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wtowbin/Projects/Diamond Forming Fluids/diamond_fluids/"/>
    </mc:Choice>
  </mc:AlternateContent>
  <xr:revisionPtr revIDLastSave="0" documentId="13_ncr:1_{44A8E8C9-257E-9C4A-8C49-53E0AF56717B}" xr6:coauthVersionLast="47" xr6:coauthVersionMax="47" xr10:uidLastSave="{00000000-0000-0000-0000-000000000000}"/>
  <bookViews>
    <workbookView xWindow="0" yWindow="740" windowWidth="27040" windowHeight="18380" tabRatio="836" activeTab="3" xr2:uid="{4AC86EF1-778C-4E65-9063-348D92C58D3C}"/>
  </bookViews>
  <sheets>
    <sheet name="Introduction" sheetId="27" r:id="rId1"/>
    <sheet name="HDF data compilation" sheetId="17" r:id="rId2"/>
    <sheet name="HDF_KNorm" sheetId="30" r:id="rId3"/>
    <sheet name="HDF_Limited_Col" sheetId="28" r:id="rId4"/>
    <sheet name="Craton Pivot Table" sheetId="29" r:id="rId5"/>
    <sheet name="Excluded Analyses" sheetId="26" r:id="rId6"/>
    <sheet name="Monocrystalline Diamonds" sheetId="25" r:id="rId7"/>
    <sheet name="Noble gases-Halogens" sheetId="5" r:id="rId8"/>
    <sheet name="References" sheetId="6" r:id="rId9"/>
    <sheet name="McDonough &amp; Sun 1995 values" sheetId="20" r:id="rId10"/>
  </sheets>
  <definedNames>
    <definedName name="_xlnm._FilterDatabase" localSheetId="5" hidden="1">'Excluded Analyses'!$A$1:$EK$261</definedName>
    <definedName name="_xlnm._FilterDatabase" localSheetId="1" hidden="1">'HDF data compilation'!$A$1:$GP$340</definedName>
    <definedName name="_xlnm._FilterDatabase" localSheetId="2" hidden="1">HDF_KNorm!$A$1:$DE$341</definedName>
    <definedName name="_xlnm._FilterDatabase" localSheetId="3" hidden="1">HDF_Limited_Col!$A$1:$DE$341</definedName>
    <definedName name="_xlnm._FilterDatabase" localSheetId="6" hidden="1">'Monocrystalline Diamonds'!$A$1:$EG$60</definedName>
    <definedName name="_xlnm._FilterDatabase" localSheetId="7" hidden="1">'Noble gases-Halogens'!$A$1:$DB$237</definedName>
  </definedNames>
  <calcPr calcId="191029"/>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M3" i="28" l="1"/>
  <c r="DN3" i="28"/>
  <c r="DO3" i="28"/>
  <c r="DP3" i="28"/>
  <c r="DM4" i="28"/>
  <c r="DN4" i="28"/>
  <c r="DO4" i="28"/>
  <c r="DP4" i="28"/>
  <c r="DM5" i="28"/>
  <c r="DN5" i="28"/>
  <c r="DO5" i="28"/>
  <c r="DP5" i="28"/>
  <c r="DM6" i="28"/>
  <c r="DN6" i="28"/>
  <c r="DO6" i="28"/>
  <c r="DP6" i="28"/>
  <c r="DM7" i="28"/>
  <c r="DN7" i="28"/>
  <c r="DO7" i="28"/>
  <c r="DP7" i="28"/>
  <c r="DM8" i="28"/>
  <c r="DN8" i="28"/>
  <c r="DO8" i="28"/>
  <c r="DP8" i="28"/>
  <c r="DM9" i="28"/>
  <c r="DN9" i="28"/>
  <c r="DO9" i="28"/>
  <c r="DP9" i="28"/>
  <c r="DM10" i="28"/>
  <c r="DN10" i="28"/>
  <c r="DO10" i="28"/>
  <c r="DP10" i="28"/>
  <c r="DM11" i="28"/>
  <c r="DN11" i="28"/>
  <c r="DO11" i="28"/>
  <c r="DP11" i="28"/>
  <c r="DM12" i="28"/>
  <c r="DN12" i="28"/>
  <c r="DO12" i="28"/>
  <c r="DP12" i="28"/>
  <c r="DM13" i="28"/>
  <c r="DN13" i="28"/>
  <c r="DO13" i="28"/>
  <c r="DP13" i="28"/>
  <c r="DM14" i="28"/>
  <c r="DN14" i="28"/>
  <c r="DO14" i="28"/>
  <c r="DP14" i="28"/>
  <c r="DM15" i="28"/>
  <c r="DN15" i="28"/>
  <c r="DO15" i="28"/>
  <c r="DP15" i="28"/>
  <c r="DM16" i="28"/>
  <c r="DN16" i="28"/>
  <c r="DO16" i="28"/>
  <c r="DP16" i="28"/>
  <c r="DM17" i="28"/>
  <c r="DN17" i="28"/>
  <c r="DO17" i="28"/>
  <c r="DP17" i="28"/>
  <c r="DM18" i="28"/>
  <c r="DN18" i="28"/>
  <c r="DO18" i="28"/>
  <c r="DP18" i="28"/>
  <c r="DM19" i="28"/>
  <c r="DN19" i="28"/>
  <c r="DO19" i="28"/>
  <c r="DP19" i="28"/>
  <c r="DM20" i="28"/>
  <c r="DN20" i="28"/>
  <c r="DO20" i="28"/>
  <c r="DP20" i="28"/>
  <c r="DM21" i="28"/>
  <c r="DN21" i="28"/>
  <c r="DO21" i="28"/>
  <c r="DP21" i="28"/>
  <c r="DM22" i="28"/>
  <c r="DN22" i="28"/>
  <c r="DO22" i="28"/>
  <c r="DP22" i="28"/>
  <c r="DM23" i="28"/>
  <c r="DN23" i="28"/>
  <c r="DO23" i="28"/>
  <c r="DP23" i="28"/>
  <c r="DM24" i="28"/>
  <c r="DN24" i="28"/>
  <c r="DO24" i="28"/>
  <c r="DP24" i="28"/>
  <c r="DM25" i="28"/>
  <c r="DN25" i="28"/>
  <c r="DO25" i="28"/>
  <c r="DP25" i="28"/>
  <c r="DM26" i="28"/>
  <c r="DN26" i="28"/>
  <c r="DO26" i="28"/>
  <c r="DP26" i="28"/>
  <c r="DM27" i="28"/>
  <c r="DN27" i="28"/>
  <c r="DO27" i="28"/>
  <c r="DP27" i="28"/>
  <c r="DM28" i="28"/>
  <c r="DN28" i="28"/>
  <c r="DO28" i="28"/>
  <c r="DP28" i="28"/>
  <c r="DM29" i="28"/>
  <c r="DN29" i="28"/>
  <c r="DO29" i="28"/>
  <c r="DP29" i="28"/>
  <c r="DM30" i="28"/>
  <c r="DN30" i="28"/>
  <c r="DO30" i="28"/>
  <c r="DP30" i="28"/>
  <c r="DM31" i="28"/>
  <c r="DN31" i="28"/>
  <c r="DO31" i="28"/>
  <c r="DP31" i="28"/>
  <c r="DM32" i="28"/>
  <c r="DN32" i="28"/>
  <c r="DO32" i="28"/>
  <c r="DP32" i="28"/>
  <c r="DM33" i="28"/>
  <c r="DN33" i="28"/>
  <c r="DO33" i="28"/>
  <c r="DP33" i="28"/>
  <c r="DM34" i="28"/>
  <c r="DN34" i="28"/>
  <c r="DO34" i="28"/>
  <c r="DP34" i="28"/>
  <c r="DM35" i="28"/>
  <c r="DN35" i="28"/>
  <c r="DO35" i="28"/>
  <c r="DP35" i="28"/>
  <c r="DM36" i="28"/>
  <c r="DN36" i="28"/>
  <c r="DO36" i="28"/>
  <c r="DP36" i="28"/>
  <c r="DM37" i="28"/>
  <c r="DN37" i="28"/>
  <c r="DO37" i="28"/>
  <c r="DP37" i="28"/>
  <c r="DM38" i="28"/>
  <c r="DN38" i="28"/>
  <c r="DO38" i="28"/>
  <c r="DP38" i="28"/>
  <c r="DM39" i="28"/>
  <c r="DN39" i="28"/>
  <c r="DO39" i="28"/>
  <c r="DP39" i="28"/>
  <c r="DM40" i="28"/>
  <c r="DN40" i="28"/>
  <c r="DO40" i="28"/>
  <c r="DP40" i="28"/>
  <c r="DM41" i="28"/>
  <c r="DN41" i="28"/>
  <c r="DO41" i="28"/>
  <c r="DP41" i="28"/>
  <c r="DM42" i="28"/>
  <c r="DN42" i="28"/>
  <c r="DO42" i="28"/>
  <c r="DP42" i="28"/>
  <c r="DM43" i="28"/>
  <c r="DN43" i="28"/>
  <c r="DO43" i="28"/>
  <c r="DP43" i="28"/>
  <c r="DM44" i="28"/>
  <c r="DN44" i="28"/>
  <c r="DO44" i="28"/>
  <c r="DP44" i="28"/>
  <c r="DM45" i="28"/>
  <c r="DN45" i="28"/>
  <c r="DO45" i="28"/>
  <c r="DP45" i="28"/>
  <c r="DM46" i="28"/>
  <c r="DN46" i="28"/>
  <c r="DO46" i="28"/>
  <c r="DP46" i="28"/>
  <c r="DM47" i="28"/>
  <c r="DN47" i="28"/>
  <c r="DO47" i="28"/>
  <c r="DP47" i="28"/>
  <c r="DM48" i="28"/>
  <c r="DN48" i="28"/>
  <c r="DO48" i="28"/>
  <c r="DP48" i="28"/>
  <c r="DM49" i="28"/>
  <c r="DN49" i="28"/>
  <c r="DO49" i="28"/>
  <c r="DP49" i="28"/>
  <c r="DM50" i="28"/>
  <c r="DN50" i="28"/>
  <c r="DO50" i="28"/>
  <c r="DP50" i="28"/>
  <c r="DM51" i="28"/>
  <c r="DN51" i="28"/>
  <c r="DO51" i="28"/>
  <c r="DP51" i="28"/>
  <c r="DM52" i="28"/>
  <c r="DN52" i="28"/>
  <c r="DO52" i="28"/>
  <c r="DP52" i="28"/>
  <c r="DM53" i="28"/>
  <c r="DN53" i="28"/>
  <c r="DO53" i="28"/>
  <c r="DP53" i="28"/>
  <c r="DM54" i="28"/>
  <c r="DN54" i="28"/>
  <c r="DO54" i="28"/>
  <c r="DP54" i="28"/>
  <c r="DM55" i="28"/>
  <c r="DN55" i="28"/>
  <c r="DO55" i="28"/>
  <c r="DP55" i="28"/>
  <c r="DM56" i="28"/>
  <c r="DN56" i="28"/>
  <c r="DO56" i="28"/>
  <c r="DP56" i="28"/>
  <c r="DM57" i="28"/>
  <c r="DN57" i="28"/>
  <c r="DO57" i="28"/>
  <c r="DP57" i="28"/>
  <c r="DM58" i="28"/>
  <c r="DN58" i="28"/>
  <c r="DO58" i="28"/>
  <c r="DP58" i="28"/>
  <c r="DM59" i="28"/>
  <c r="DN59" i="28"/>
  <c r="DO59" i="28"/>
  <c r="DP59" i="28"/>
  <c r="DM60" i="28"/>
  <c r="DN60" i="28"/>
  <c r="DO60" i="28"/>
  <c r="DP60" i="28"/>
  <c r="DM61" i="28"/>
  <c r="DN61" i="28"/>
  <c r="DO61" i="28"/>
  <c r="DP61" i="28"/>
  <c r="DM62" i="28"/>
  <c r="DN62" i="28"/>
  <c r="DO62" i="28"/>
  <c r="DP62" i="28"/>
  <c r="DM63" i="28"/>
  <c r="DN63" i="28"/>
  <c r="DO63" i="28"/>
  <c r="DP63" i="28"/>
  <c r="DM64" i="28"/>
  <c r="DN64" i="28"/>
  <c r="DO64" i="28"/>
  <c r="DP64" i="28"/>
  <c r="DM65" i="28"/>
  <c r="DN65" i="28"/>
  <c r="DO65" i="28"/>
  <c r="DP65" i="28"/>
  <c r="DM66" i="28"/>
  <c r="DN66" i="28"/>
  <c r="DO66" i="28"/>
  <c r="DP66" i="28"/>
  <c r="DM67" i="28"/>
  <c r="DN67" i="28"/>
  <c r="DO67" i="28"/>
  <c r="DP67" i="28"/>
  <c r="DM68" i="28"/>
  <c r="DN68" i="28"/>
  <c r="DO68" i="28"/>
  <c r="DP68" i="28"/>
  <c r="DM69" i="28"/>
  <c r="DN69" i="28"/>
  <c r="DO69" i="28"/>
  <c r="DP69" i="28"/>
  <c r="DM70" i="28"/>
  <c r="DN70" i="28"/>
  <c r="DO70" i="28"/>
  <c r="DP70" i="28"/>
  <c r="DM71" i="28"/>
  <c r="DN71" i="28"/>
  <c r="DO71" i="28"/>
  <c r="DP71" i="28"/>
  <c r="DM72" i="28"/>
  <c r="DN72" i="28"/>
  <c r="DO72" i="28"/>
  <c r="DP72" i="28"/>
  <c r="DM73" i="28"/>
  <c r="DN73" i="28"/>
  <c r="DO73" i="28"/>
  <c r="DP73" i="28"/>
  <c r="DM74" i="28"/>
  <c r="DN74" i="28"/>
  <c r="DO74" i="28"/>
  <c r="DP74" i="28"/>
  <c r="DM75" i="28"/>
  <c r="DN75" i="28"/>
  <c r="DO75" i="28"/>
  <c r="DP75" i="28"/>
  <c r="DM76" i="28"/>
  <c r="DN76" i="28"/>
  <c r="DO76" i="28"/>
  <c r="DP76" i="28"/>
  <c r="DM77" i="28"/>
  <c r="DN77" i="28"/>
  <c r="DO77" i="28"/>
  <c r="DP77" i="28"/>
  <c r="DM78" i="28"/>
  <c r="DN78" i="28"/>
  <c r="DO78" i="28"/>
  <c r="DP78" i="28"/>
  <c r="DM79" i="28"/>
  <c r="DN79" i="28"/>
  <c r="DO79" i="28"/>
  <c r="DP79" i="28"/>
  <c r="DM80" i="28"/>
  <c r="DN80" i="28"/>
  <c r="DO80" i="28"/>
  <c r="DP80" i="28"/>
  <c r="DM81" i="28"/>
  <c r="DN81" i="28"/>
  <c r="DO81" i="28"/>
  <c r="DP81" i="28"/>
  <c r="DM82" i="28"/>
  <c r="DN82" i="28"/>
  <c r="DO82" i="28"/>
  <c r="DP82" i="28"/>
  <c r="DM83" i="28"/>
  <c r="DN83" i="28"/>
  <c r="DO83" i="28"/>
  <c r="DP83" i="28"/>
  <c r="DM84" i="28"/>
  <c r="DN84" i="28"/>
  <c r="DO84" i="28"/>
  <c r="DP84" i="28"/>
  <c r="DM85" i="28"/>
  <c r="DN85" i="28"/>
  <c r="DO85" i="28"/>
  <c r="DP85" i="28"/>
  <c r="DM86" i="28"/>
  <c r="DN86" i="28"/>
  <c r="DO86" i="28"/>
  <c r="DP86" i="28"/>
  <c r="DM87" i="28"/>
  <c r="DN87" i="28"/>
  <c r="DO87" i="28"/>
  <c r="DP87" i="28"/>
  <c r="DM88" i="28"/>
  <c r="DN88" i="28"/>
  <c r="DO88" i="28"/>
  <c r="DP88" i="28"/>
  <c r="DM89" i="28"/>
  <c r="DN89" i="28"/>
  <c r="DO89" i="28"/>
  <c r="DP89" i="28"/>
  <c r="DM90" i="28"/>
  <c r="DN90" i="28"/>
  <c r="DO90" i="28"/>
  <c r="DP90" i="28"/>
  <c r="DM91" i="28"/>
  <c r="DN91" i="28"/>
  <c r="DO91" i="28"/>
  <c r="DP91" i="28"/>
  <c r="DM92" i="28"/>
  <c r="DN92" i="28"/>
  <c r="DO92" i="28"/>
  <c r="DP92" i="28"/>
  <c r="DM93" i="28"/>
  <c r="DN93" i="28"/>
  <c r="DO93" i="28"/>
  <c r="DP93" i="28"/>
  <c r="DM94" i="28"/>
  <c r="DN94" i="28"/>
  <c r="DO94" i="28"/>
  <c r="DP94" i="28"/>
  <c r="DM95" i="28"/>
  <c r="DN95" i="28"/>
  <c r="DO95" i="28"/>
  <c r="DP95" i="28"/>
  <c r="DM96" i="28"/>
  <c r="DN96" i="28"/>
  <c r="DO96" i="28"/>
  <c r="DP96" i="28"/>
  <c r="DM97" i="28"/>
  <c r="DN97" i="28"/>
  <c r="DO97" i="28"/>
  <c r="DP97" i="28"/>
  <c r="DM98" i="28"/>
  <c r="DN98" i="28"/>
  <c r="DO98" i="28"/>
  <c r="DP98" i="28"/>
  <c r="DM99" i="28"/>
  <c r="DN99" i="28"/>
  <c r="DO99" i="28"/>
  <c r="DP99" i="28"/>
  <c r="DM100" i="28"/>
  <c r="DN100" i="28"/>
  <c r="DO100" i="28"/>
  <c r="DP100" i="28"/>
  <c r="DM101" i="28"/>
  <c r="DN101" i="28"/>
  <c r="DO101" i="28"/>
  <c r="DP101" i="28"/>
  <c r="DM102" i="28"/>
  <c r="DN102" i="28"/>
  <c r="DO102" i="28"/>
  <c r="DP102" i="28"/>
  <c r="DM103" i="28"/>
  <c r="DN103" i="28"/>
  <c r="DO103" i="28"/>
  <c r="DP103" i="28"/>
  <c r="DM104" i="28"/>
  <c r="DN104" i="28"/>
  <c r="DO104" i="28"/>
  <c r="DP104" i="28"/>
  <c r="DM105" i="28"/>
  <c r="DN105" i="28"/>
  <c r="DO105" i="28"/>
  <c r="DP105" i="28"/>
  <c r="DM106" i="28"/>
  <c r="DN106" i="28"/>
  <c r="DO106" i="28"/>
  <c r="DP106" i="28"/>
  <c r="DM107" i="28"/>
  <c r="DN107" i="28"/>
  <c r="DO107" i="28"/>
  <c r="DP107" i="28"/>
  <c r="DM108" i="28"/>
  <c r="DN108" i="28"/>
  <c r="DO108" i="28"/>
  <c r="DP108" i="28"/>
  <c r="DM109" i="28"/>
  <c r="DN109" i="28"/>
  <c r="DO109" i="28"/>
  <c r="DP109" i="28"/>
  <c r="DM110" i="28"/>
  <c r="DN110" i="28"/>
  <c r="DO110" i="28"/>
  <c r="DP110" i="28"/>
  <c r="DM111" i="28"/>
  <c r="DN111" i="28"/>
  <c r="DO111" i="28"/>
  <c r="DP111" i="28"/>
  <c r="DM112" i="28"/>
  <c r="DN112" i="28"/>
  <c r="DO112" i="28"/>
  <c r="DP112" i="28"/>
  <c r="DM113" i="28"/>
  <c r="DN113" i="28"/>
  <c r="DO113" i="28"/>
  <c r="DP113" i="28"/>
  <c r="DM114" i="28"/>
  <c r="DN114" i="28"/>
  <c r="DO114" i="28"/>
  <c r="DP114" i="28"/>
  <c r="DM115" i="28"/>
  <c r="DN115" i="28"/>
  <c r="DO115" i="28"/>
  <c r="DP115" i="28"/>
  <c r="DM116" i="28"/>
  <c r="DN116" i="28"/>
  <c r="DO116" i="28"/>
  <c r="DP116" i="28"/>
  <c r="DM117" i="28"/>
  <c r="DN117" i="28"/>
  <c r="DO117" i="28"/>
  <c r="DP117" i="28"/>
  <c r="DM118" i="28"/>
  <c r="DN118" i="28"/>
  <c r="DO118" i="28"/>
  <c r="DP118" i="28"/>
  <c r="DM119" i="28"/>
  <c r="DN119" i="28"/>
  <c r="DO119" i="28"/>
  <c r="DP119" i="28"/>
  <c r="DM120" i="28"/>
  <c r="DN120" i="28"/>
  <c r="DO120" i="28"/>
  <c r="DP120" i="28"/>
  <c r="DM121" i="28"/>
  <c r="DN121" i="28"/>
  <c r="DO121" i="28"/>
  <c r="DP121" i="28"/>
  <c r="DM122" i="28"/>
  <c r="DN122" i="28"/>
  <c r="DO122" i="28"/>
  <c r="DP122" i="28"/>
  <c r="DM123" i="28"/>
  <c r="DN123" i="28"/>
  <c r="DO123" i="28"/>
  <c r="DP123" i="28"/>
  <c r="DM124" i="28"/>
  <c r="DN124" i="28"/>
  <c r="DO124" i="28"/>
  <c r="DP124" i="28"/>
  <c r="DM125" i="28"/>
  <c r="DN125" i="28"/>
  <c r="DO125" i="28"/>
  <c r="DP125" i="28"/>
  <c r="DM126" i="28"/>
  <c r="DN126" i="28"/>
  <c r="DO126" i="28"/>
  <c r="DP126" i="28"/>
  <c r="DM127" i="28"/>
  <c r="DN127" i="28"/>
  <c r="DO127" i="28"/>
  <c r="DP127" i="28"/>
  <c r="DM128" i="28"/>
  <c r="DN128" i="28"/>
  <c r="DO128" i="28"/>
  <c r="DP128" i="28"/>
  <c r="DM129" i="28"/>
  <c r="DN129" i="28"/>
  <c r="DO129" i="28"/>
  <c r="DP129" i="28"/>
  <c r="DM130" i="28"/>
  <c r="DN130" i="28"/>
  <c r="DO130" i="28"/>
  <c r="DP130" i="28"/>
  <c r="DM131" i="28"/>
  <c r="DN131" i="28"/>
  <c r="DO131" i="28"/>
  <c r="DP131" i="28"/>
  <c r="DM132" i="28"/>
  <c r="DN132" i="28"/>
  <c r="DO132" i="28"/>
  <c r="DP132" i="28"/>
  <c r="DM133" i="28"/>
  <c r="DN133" i="28"/>
  <c r="DO133" i="28"/>
  <c r="DP133" i="28"/>
  <c r="DM134" i="28"/>
  <c r="DN134" i="28"/>
  <c r="DO134" i="28"/>
  <c r="DP134" i="28"/>
  <c r="DM135" i="28"/>
  <c r="DN135" i="28"/>
  <c r="DO135" i="28"/>
  <c r="DP135" i="28"/>
  <c r="DM136" i="28"/>
  <c r="DN136" i="28"/>
  <c r="DO136" i="28"/>
  <c r="DP136" i="28"/>
  <c r="DM137" i="28"/>
  <c r="DN137" i="28"/>
  <c r="DO137" i="28"/>
  <c r="DP137" i="28"/>
  <c r="DM138" i="28"/>
  <c r="DN138" i="28"/>
  <c r="DO138" i="28"/>
  <c r="DP138" i="28"/>
  <c r="DM139" i="28"/>
  <c r="DN139" i="28"/>
  <c r="DO139" i="28"/>
  <c r="DP139" i="28"/>
  <c r="DM140" i="28"/>
  <c r="DN140" i="28"/>
  <c r="DO140" i="28"/>
  <c r="DP140" i="28"/>
  <c r="DM141" i="28"/>
  <c r="DN141" i="28"/>
  <c r="DO141" i="28"/>
  <c r="DP141" i="28"/>
  <c r="DM142" i="28"/>
  <c r="DN142" i="28"/>
  <c r="DO142" i="28"/>
  <c r="DP142" i="28"/>
  <c r="DM143" i="28"/>
  <c r="DN143" i="28"/>
  <c r="DO143" i="28"/>
  <c r="DP143" i="28"/>
  <c r="DM144" i="28"/>
  <c r="DN144" i="28"/>
  <c r="DO144" i="28"/>
  <c r="DP144" i="28"/>
  <c r="DM145" i="28"/>
  <c r="DN145" i="28"/>
  <c r="DO145" i="28"/>
  <c r="DP145" i="28"/>
  <c r="DM146" i="28"/>
  <c r="DN146" i="28"/>
  <c r="DO146" i="28"/>
  <c r="DP146" i="28"/>
  <c r="DM147" i="28"/>
  <c r="DN147" i="28"/>
  <c r="DO147" i="28"/>
  <c r="DP147" i="28"/>
  <c r="DM148" i="28"/>
  <c r="DN148" i="28"/>
  <c r="DO148" i="28"/>
  <c r="DP148" i="28"/>
  <c r="DM149" i="28"/>
  <c r="DN149" i="28"/>
  <c r="DO149" i="28"/>
  <c r="DP149" i="28"/>
  <c r="DM150" i="28"/>
  <c r="DN150" i="28"/>
  <c r="DO150" i="28"/>
  <c r="DP150" i="28"/>
  <c r="DM151" i="28"/>
  <c r="DN151" i="28"/>
  <c r="DO151" i="28"/>
  <c r="DP151" i="28"/>
  <c r="DM152" i="28"/>
  <c r="DN152" i="28"/>
  <c r="DO152" i="28"/>
  <c r="DP152" i="28"/>
  <c r="DM153" i="28"/>
  <c r="DN153" i="28"/>
  <c r="DO153" i="28"/>
  <c r="DP153" i="28"/>
  <c r="DM154" i="28"/>
  <c r="DN154" i="28"/>
  <c r="DO154" i="28"/>
  <c r="DP154" i="28"/>
  <c r="DM155" i="28"/>
  <c r="DN155" i="28"/>
  <c r="DO155" i="28"/>
  <c r="DP155" i="28"/>
  <c r="DM156" i="28"/>
  <c r="DN156" i="28"/>
  <c r="DO156" i="28"/>
  <c r="DP156" i="28"/>
  <c r="DM157" i="28"/>
  <c r="DN157" i="28"/>
  <c r="DO157" i="28"/>
  <c r="DP157" i="28"/>
  <c r="DM158" i="28"/>
  <c r="DN158" i="28"/>
  <c r="DO158" i="28"/>
  <c r="DP158" i="28"/>
  <c r="DM159" i="28"/>
  <c r="DN159" i="28"/>
  <c r="DO159" i="28"/>
  <c r="DP159" i="28"/>
  <c r="DM160" i="28"/>
  <c r="DN160" i="28"/>
  <c r="DO160" i="28"/>
  <c r="DP160" i="28"/>
  <c r="DM161" i="28"/>
  <c r="DN161" i="28"/>
  <c r="DO161" i="28"/>
  <c r="DP161" i="28"/>
  <c r="DM162" i="28"/>
  <c r="DN162" i="28"/>
  <c r="DO162" i="28"/>
  <c r="DP162" i="28"/>
  <c r="DM163" i="28"/>
  <c r="DN163" i="28"/>
  <c r="DO163" i="28"/>
  <c r="DP163" i="28"/>
  <c r="DM164" i="28"/>
  <c r="DN164" i="28"/>
  <c r="DO164" i="28"/>
  <c r="DP164" i="28"/>
  <c r="DM165" i="28"/>
  <c r="DN165" i="28"/>
  <c r="DO165" i="28"/>
  <c r="DP165" i="28"/>
  <c r="DM166" i="28"/>
  <c r="DN166" i="28"/>
  <c r="DO166" i="28"/>
  <c r="DP166" i="28"/>
  <c r="DM167" i="28"/>
  <c r="DN167" i="28"/>
  <c r="DO167" i="28"/>
  <c r="DP167" i="28"/>
  <c r="DM168" i="28"/>
  <c r="DN168" i="28"/>
  <c r="DO168" i="28"/>
  <c r="DP168" i="28"/>
  <c r="DM169" i="28"/>
  <c r="DN169" i="28"/>
  <c r="DO169" i="28"/>
  <c r="DP169" i="28"/>
  <c r="DM170" i="28"/>
  <c r="DN170" i="28"/>
  <c r="DO170" i="28"/>
  <c r="DP170" i="28"/>
  <c r="DM171" i="28"/>
  <c r="DN171" i="28"/>
  <c r="DO171" i="28"/>
  <c r="DP171" i="28"/>
  <c r="DM172" i="28"/>
  <c r="DN172" i="28"/>
  <c r="DO172" i="28"/>
  <c r="DP172" i="28"/>
  <c r="DM173" i="28"/>
  <c r="DN173" i="28"/>
  <c r="DO173" i="28"/>
  <c r="DP173" i="28"/>
  <c r="DM174" i="28"/>
  <c r="DN174" i="28"/>
  <c r="DO174" i="28"/>
  <c r="DP174" i="28"/>
  <c r="DM175" i="28"/>
  <c r="DN175" i="28"/>
  <c r="DO175" i="28"/>
  <c r="DP175" i="28"/>
  <c r="DM176" i="28"/>
  <c r="DN176" i="28"/>
  <c r="DO176" i="28"/>
  <c r="DP176" i="28"/>
  <c r="DM177" i="28"/>
  <c r="DN177" i="28"/>
  <c r="DO177" i="28"/>
  <c r="DP177" i="28"/>
  <c r="DM178" i="28"/>
  <c r="DN178" i="28"/>
  <c r="DO178" i="28"/>
  <c r="DP178" i="28"/>
  <c r="DM179" i="28"/>
  <c r="DN179" i="28"/>
  <c r="DO179" i="28"/>
  <c r="DP179" i="28"/>
  <c r="DM180" i="28"/>
  <c r="DN180" i="28"/>
  <c r="DO180" i="28"/>
  <c r="DP180" i="28"/>
  <c r="DM181" i="28"/>
  <c r="DN181" i="28"/>
  <c r="DO181" i="28"/>
  <c r="DP181" i="28"/>
  <c r="DM182" i="28"/>
  <c r="DN182" i="28"/>
  <c r="DO182" i="28"/>
  <c r="DP182" i="28"/>
  <c r="DM183" i="28"/>
  <c r="DN183" i="28"/>
  <c r="DO183" i="28"/>
  <c r="DP183" i="28"/>
  <c r="DM184" i="28"/>
  <c r="DN184" i="28"/>
  <c r="DO184" i="28"/>
  <c r="DP184" i="28"/>
  <c r="DM185" i="28"/>
  <c r="DN185" i="28"/>
  <c r="DO185" i="28"/>
  <c r="DP185" i="28"/>
  <c r="DM186" i="28"/>
  <c r="DN186" i="28"/>
  <c r="DO186" i="28"/>
  <c r="DP186" i="28"/>
  <c r="DM187" i="28"/>
  <c r="DN187" i="28"/>
  <c r="DO187" i="28"/>
  <c r="DP187" i="28"/>
  <c r="DM188" i="28"/>
  <c r="DN188" i="28"/>
  <c r="DO188" i="28"/>
  <c r="DP188" i="28"/>
  <c r="DM189" i="28"/>
  <c r="DN189" i="28"/>
  <c r="DO189" i="28"/>
  <c r="DP189" i="28"/>
  <c r="DM190" i="28"/>
  <c r="DN190" i="28"/>
  <c r="DO190" i="28"/>
  <c r="DP190" i="28"/>
  <c r="DM191" i="28"/>
  <c r="DN191" i="28"/>
  <c r="DO191" i="28"/>
  <c r="DP191" i="28"/>
  <c r="DM192" i="28"/>
  <c r="DN192" i="28"/>
  <c r="DO192" i="28"/>
  <c r="DP192" i="28"/>
  <c r="DM193" i="28"/>
  <c r="DN193" i="28"/>
  <c r="DO193" i="28"/>
  <c r="DP193" i="28"/>
  <c r="DM194" i="28"/>
  <c r="DN194" i="28"/>
  <c r="DO194" i="28"/>
  <c r="DP194" i="28"/>
  <c r="DM195" i="28"/>
  <c r="DN195" i="28"/>
  <c r="DO195" i="28"/>
  <c r="DP195" i="28"/>
  <c r="DM196" i="28"/>
  <c r="DN196" i="28"/>
  <c r="DO196" i="28"/>
  <c r="DP196" i="28"/>
  <c r="DM197" i="28"/>
  <c r="DN197" i="28"/>
  <c r="DO197" i="28"/>
  <c r="DP197" i="28"/>
  <c r="DM198" i="28"/>
  <c r="DN198" i="28"/>
  <c r="DO198" i="28"/>
  <c r="DP198" i="28"/>
  <c r="DM199" i="28"/>
  <c r="DN199" i="28"/>
  <c r="DO199" i="28"/>
  <c r="DP199" i="28"/>
  <c r="DM200" i="28"/>
  <c r="DN200" i="28"/>
  <c r="DO200" i="28"/>
  <c r="DP200" i="28"/>
  <c r="DM201" i="28"/>
  <c r="DN201" i="28"/>
  <c r="DO201" i="28"/>
  <c r="DP201" i="28"/>
  <c r="DM202" i="28"/>
  <c r="DN202" i="28"/>
  <c r="DO202" i="28"/>
  <c r="DP202" i="28"/>
  <c r="DM203" i="28"/>
  <c r="DN203" i="28"/>
  <c r="DO203" i="28"/>
  <c r="DP203" i="28"/>
  <c r="DM204" i="28"/>
  <c r="DN204" i="28"/>
  <c r="DO204" i="28"/>
  <c r="DP204" i="28"/>
  <c r="DM205" i="28"/>
  <c r="DN205" i="28"/>
  <c r="DO205" i="28"/>
  <c r="DP205" i="28"/>
  <c r="DM206" i="28"/>
  <c r="DN206" i="28"/>
  <c r="DO206" i="28"/>
  <c r="DP206" i="28"/>
  <c r="DM207" i="28"/>
  <c r="DN207" i="28"/>
  <c r="DO207" i="28"/>
  <c r="DP207" i="28"/>
  <c r="DM208" i="28"/>
  <c r="DN208" i="28"/>
  <c r="DO208" i="28"/>
  <c r="DP208" i="28"/>
  <c r="DM209" i="28"/>
  <c r="DN209" i="28"/>
  <c r="DO209" i="28"/>
  <c r="DP209" i="28"/>
  <c r="DM210" i="28"/>
  <c r="DN210" i="28"/>
  <c r="DO210" i="28"/>
  <c r="DP210" i="28"/>
  <c r="DM211" i="28"/>
  <c r="DN211" i="28"/>
  <c r="DO211" i="28"/>
  <c r="DP211" i="28"/>
  <c r="DM212" i="28"/>
  <c r="DN212" i="28"/>
  <c r="DO212" i="28"/>
  <c r="DP212" i="28"/>
  <c r="DM213" i="28"/>
  <c r="DN213" i="28"/>
  <c r="DO213" i="28"/>
  <c r="DP213" i="28"/>
  <c r="DM214" i="28"/>
  <c r="DN214" i="28"/>
  <c r="DO214" i="28"/>
  <c r="DP214" i="28"/>
  <c r="DM215" i="28"/>
  <c r="DN215" i="28"/>
  <c r="DO215" i="28"/>
  <c r="DP215" i="28"/>
  <c r="DM216" i="28"/>
  <c r="DN216" i="28"/>
  <c r="DO216" i="28"/>
  <c r="DP216" i="28"/>
  <c r="DM217" i="28"/>
  <c r="DN217" i="28"/>
  <c r="DO217" i="28"/>
  <c r="DP217" i="28"/>
  <c r="DM218" i="28"/>
  <c r="DN218" i="28"/>
  <c r="DO218" i="28"/>
  <c r="DP218" i="28"/>
  <c r="DM219" i="28"/>
  <c r="DN219" i="28"/>
  <c r="DO219" i="28"/>
  <c r="DP219" i="28"/>
  <c r="DM220" i="28"/>
  <c r="DN220" i="28"/>
  <c r="DO220" i="28"/>
  <c r="DP220" i="28"/>
  <c r="DM221" i="28"/>
  <c r="DN221" i="28"/>
  <c r="DO221" i="28"/>
  <c r="DP221" i="28"/>
  <c r="DM222" i="28"/>
  <c r="DN222" i="28"/>
  <c r="DO222" i="28"/>
  <c r="DP222" i="28"/>
  <c r="DM223" i="28"/>
  <c r="DN223" i="28"/>
  <c r="DO223" i="28"/>
  <c r="DP223" i="28"/>
  <c r="DM224" i="28"/>
  <c r="DN224" i="28"/>
  <c r="DO224" i="28"/>
  <c r="DP224" i="28"/>
  <c r="DM225" i="28"/>
  <c r="DN225" i="28"/>
  <c r="DO225" i="28"/>
  <c r="DP225" i="28"/>
  <c r="DM226" i="28"/>
  <c r="DN226" i="28"/>
  <c r="DO226" i="28"/>
  <c r="DP226" i="28"/>
  <c r="DM227" i="28"/>
  <c r="DN227" i="28"/>
  <c r="DO227" i="28"/>
  <c r="DP227" i="28"/>
  <c r="DM228" i="28"/>
  <c r="DN228" i="28"/>
  <c r="DO228" i="28"/>
  <c r="DP228" i="28"/>
  <c r="DM229" i="28"/>
  <c r="DN229" i="28"/>
  <c r="DO229" i="28"/>
  <c r="DP229" i="28"/>
  <c r="DM230" i="28"/>
  <c r="DN230" i="28"/>
  <c r="DO230" i="28"/>
  <c r="DP230" i="28"/>
  <c r="DM231" i="28"/>
  <c r="DN231" i="28"/>
  <c r="DO231" i="28"/>
  <c r="DP231" i="28"/>
  <c r="DM232" i="28"/>
  <c r="DN232" i="28"/>
  <c r="DO232" i="28"/>
  <c r="DP232" i="28"/>
  <c r="DM233" i="28"/>
  <c r="DN233" i="28"/>
  <c r="DO233" i="28"/>
  <c r="DP233" i="28"/>
  <c r="DM234" i="28"/>
  <c r="DN234" i="28"/>
  <c r="DO234" i="28"/>
  <c r="DP234" i="28"/>
  <c r="DM235" i="28"/>
  <c r="DN235" i="28"/>
  <c r="DO235" i="28"/>
  <c r="DP235" i="28"/>
  <c r="DM236" i="28"/>
  <c r="DN236" i="28"/>
  <c r="DO236" i="28"/>
  <c r="DP236" i="28"/>
  <c r="DM237" i="28"/>
  <c r="DN237" i="28"/>
  <c r="DO237" i="28"/>
  <c r="DP237" i="28"/>
  <c r="DM238" i="28"/>
  <c r="DN238" i="28"/>
  <c r="DO238" i="28"/>
  <c r="DP238" i="28"/>
  <c r="DM239" i="28"/>
  <c r="DN239" i="28"/>
  <c r="DO239" i="28"/>
  <c r="DP239" i="28"/>
  <c r="DM240" i="28"/>
  <c r="DN240" i="28"/>
  <c r="DO240" i="28"/>
  <c r="DP240" i="28"/>
  <c r="DM241" i="28"/>
  <c r="DN241" i="28"/>
  <c r="DO241" i="28"/>
  <c r="DP241" i="28"/>
  <c r="DM242" i="28"/>
  <c r="DN242" i="28"/>
  <c r="DO242" i="28"/>
  <c r="DP242" i="28"/>
  <c r="DM243" i="28"/>
  <c r="DN243" i="28"/>
  <c r="DO243" i="28"/>
  <c r="DP243" i="28"/>
  <c r="DM244" i="28"/>
  <c r="DN244" i="28"/>
  <c r="DO244" i="28"/>
  <c r="DP244" i="28"/>
  <c r="DM245" i="28"/>
  <c r="DN245" i="28"/>
  <c r="DO245" i="28"/>
  <c r="DP245" i="28"/>
  <c r="DM246" i="28"/>
  <c r="DN246" i="28"/>
  <c r="DO246" i="28"/>
  <c r="DP246" i="28"/>
  <c r="DM247" i="28"/>
  <c r="DN247" i="28"/>
  <c r="DO247" i="28"/>
  <c r="DP247" i="28"/>
  <c r="DM248" i="28"/>
  <c r="DN248" i="28"/>
  <c r="DO248" i="28"/>
  <c r="DP248" i="28"/>
  <c r="DM249" i="28"/>
  <c r="DN249" i="28"/>
  <c r="DO249" i="28"/>
  <c r="DP249" i="28"/>
  <c r="DM250" i="28"/>
  <c r="DN250" i="28"/>
  <c r="DO250" i="28"/>
  <c r="DP250" i="28"/>
  <c r="DM251" i="28"/>
  <c r="DN251" i="28"/>
  <c r="DO251" i="28"/>
  <c r="DP251" i="28"/>
  <c r="DM252" i="28"/>
  <c r="DN252" i="28"/>
  <c r="DO252" i="28"/>
  <c r="DP252" i="28"/>
  <c r="DM253" i="28"/>
  <c r="DN253" i="28"/>
  <c r="DO253" i="28"/>
  <c r="DP253" i="28"/>
  <c r="DM254" i="28"/>
  <c r="DN254" i="28"/>
  <c r="DO254" i="28"/>
  <c r="DP254" i="28"/>
  <c r="DM255" i="28"/>
  <c r="DN255" i="28"/>
  <c r="DO255" i="28"/>
  <c r="DP255" i="28"/>
  <c r="DM256" i="28"/>
  <c r="DN256" i="28"/>
  <c r="DO256" i="28"/>
  <c r="DP256" i="28"/>
  <c r="DM257" i="28"/>
  <c r="DN257" i="28"/>
  <c r="DO257" i="28"/>
  <c r="DP257" i="28"/>
  <c r="DM258" i="28"/>
  <c r="DN258" i="28"/>
  <c r="DO258" i="28"/>
  <c r="DP258" i="28"/>
  <c r="DM259" i="28"/>
  <c r="DN259" i="28"/>
  <c r="DO259" i="28"/>
  <c r="DP259" i="28"/>
  <c r="DM260" i="28"/>
  <c r="DN260" i="28"/>
  <c r="DO260" i="28"/>
  <c r="DP260" i="28"/>
  <c r="DM261" i="28"/>
  <c r="DN261" i="28"/>
  <c r="DO261" i="28"/>
  <c r="DP261" i="28"/>
  <c r="DM262" i="28"/>
  <c r="DN262" i="28"/>
  <c r="DO262" i="28"/>
  <c r="DP262" i="28"/>
  <c r="DM263" i="28"/>
  <c r="DN263" i="28"/>
  <c r="DO263" i="28"/>
  <c r="DP263" i="28"/>
  <c r="DM264" i="28"/>
  <c r="DN264" i="28"/>
  <c r="DO264" i="28"/>
  <c r="DP264" i="28"/>
  <c r="DM265" i="28"/>
  <c r="DN265" i="28"/>
  <c r="DO265" i="28"/>
  <c r="DP265" i="28"/>
  <c r="DM266" i="28"/>
  <c r="DN266" i="28"/>
  <c r="DO266" i="28"/>
  <c r="DP266" i="28"/>
  <c r="DM267" i="28"/>
  <c r="DN267" i="28"/>
  <c r="DO267" i="28"/>
  <c r="DP267" i="28"/>
  <c r="DM268" i="28"/>
  <c r="DN268" i="28"/>
  <c r="DO268" i="28"/>
  <c r="DP268" i="28"/>
  <c r="DM269" i="28"/>
  <c r="DN269" i="28"/>
  <c r="DO269" i="28"/>
  <c r="DP269" i="28"/>
  <c r="DM270" i="28"/>
  <c r="DN270" i="28"/>
  <c r="DO270" i="28"/>
  <c r="DP270" i="28"/>
  <c r="DM271" i="28"/>
  <c r="DN271" i="28"/>
  <c r="DO271" i="28"/>
  <c r="DP271" i="28"/>
  <c r="DM272" i="28"/>
  <c r="DN272" i="28"/>
  <c r="DO272" i="28"/>
  <c r="DP272" i="28"/>
  <c r="DM273" i="28"/>
  <c r="DN273" i="28"/>
  <c r="DO273" i="28"/>
  <c r="DP273" i="28"/>
  <c r="DM274" i="28"/>
  <c r="DN274" i="28"/>
  <c r="DO274" i="28"/>
  <c r="DP274" i="28"/>
  <c r="DM275" i="28"/>
  <c r="DN275" i="28"/>
  <c r="DO275" i="28"/>
  <c r="DP275" i="28"/>
  <c r="DM276" i="28"/>
  <c r="DN276" i="28"/>
  <c r="DO276" i="28"/>
  <c r="DP276" i="28"/>
  <c r="DM277" i="28"/>
  <c r="DN277" i="28"/>
  <c r="DO277" i="28"/>
  <c r="DP277" i="28"/>
  <c r="DM278" i="28"/>
  <c r="DN278" i="28"/>
  <c r="DO278" i="28"/>
  <c r="DP278" i="28"/>
  <c r="DM279" i="28"/>
  <c r="DN279" i="28"/>
  <c r="DO279" i="28"/>
  <c r="DP279" i="28"/>
  <c r="DM280" i="28"/>
  <c r="DN280" i="28"/>
  <c r="DO280" i="28"/>
  <c r="DP280" i="28"/>
  <c r="DM281" i="28"/>
  <c r="DN281" i="28"/>
  <c r="DO281" i="28"/>
  <c r="DP281" i="28"/>
  <c r="DM282" i="28"/>
  <c r="DN282" i="28"/>
  <c r="DO282" i="28"/>
  <c r="DP282" i="28"/>
  <c r="DM283" i="28"/>
  <c r="DN283" i="28"/>
  <c r="DO283" i="28"/>
  <c r="DP283" i="28"/>
  <c r="DM284" i="28"/>
  <c r="DN284" i="28"/>
  <c r="DO284" i="28"/>
  <c r="DP284" i="28"/>
  <c r="DM285" i="28"/>
  <c r="DN285" i="28"/>
  <c r="DO285" i="28"/>
  <c r="DP285" i="28"/>
  <c r="DM286" i="28"/>
  <c r="DN286" i="28"/>
  <c r="DO286" i="28"/>
  <c r="DP286" i="28"/>
  <c r="DM287" i="28"/>
  <c r="DN287" i="28"/>
  <c r="DO287" i="28"/>
  <c r="DP287" i="28"/>
  <c r="DM288" i="28"/>
  <c r="DN288" i="28"/>
  <c r="DO288" i="28"/>
  <c r="DP288" i="28"/>
  <c r="DM289" i="28"/>
  <c r="DN289" i="28"/>
  <c r="DO289" i="28"/>
  <c r="DP289" i="28"/>
  <c r="DM290" i="28"/>
  <c r="DN290" i="28"/>
  <c r="DO290" i="28"/>
  <c r="DP290" i="28"/>
  <c r="DM291" i="28"/>
  <c r="DN291" i="28"/>
  <c r="DO291" i="28"/>
  <c r="DP291" i="28"/>
  <c r="DM292" i="28"/>
  <c r="DN292" i="28"/>
  <c r="DO292" i="28"/>
  <c r="DP292" i="28"/>
  <c r="DM293" i="28"/>
  <c r="DN293" i="28"/>
  <c r="DO293" i="28"/>
  <c r="DP293" i="28"/>
  <c r="DM294" i="28"/>
  <c r="DN294" i="28"/>
  <c r="DO294" i="28"/>
  <c r="DP294" i="28"/>
  <c r="DM295" i="28"/>
  <c r="DN295" i="28"/>
  <c r="DO295" i="28"/>
  <c r="DP295" i="28"/>
  <c r="DM296" i="28"/>
  <c r="DN296" i="28"/>
  <c r="DO296" i="28"/>
  <c r="DP296" i="28"/>
  <c r="DM297" i="28"/>
  <c r="DN297" i="28"/>
  <c r="DO297" i="28"/>
  <c r="DP297" i="28"/>
  <c r="DM298" i="28"/>
  <c r="DN298" i="28"/>
  <c r="DO298" i="28"/>
  <c r="DP298" i="28"/>
  <c r="DM299" i="28"/>
  <c r="DN299" i="28"/>
  <c r="DO299" i="28"/>
  <c r="DP299" i="28"/>
  <c r="DM300" i="28"/>
  <c r="DN300" i="28"/>
  <c r="DO300" i="28"/>
  <c r="DP300" i="28"/>
  <c r="DM301" i="28"/>
  <c r="DN301" i="28"/>
  <c r="DO301" i="28"/>
  <c r="DP301" i="28"/>
  <c r="DM302" i="28"/>
  <c r="DN302" i="28"/>
  <c r="DO302" i="28"/>
  <c r="DP302" i="28"/>
  <c r="DM303" i="28"/>
  <c r="DN303" i="28"/>
  <c r="DO303" i="28"/>
  <c r="DP303" i="28"/>
  <c r="DM304" i="28"/>
  <c r="DN304" i="28"/>
  <c r="DO304" i="28"/>
  <c r="DP304" i="28"/>
  <c r="DM305" i="28"/>
  <c r="DN305" i="28"/>
  <c r="DO305" i="28"/>
  <c r="DP305" i="28"/>
  <c r="DM306" i="28"/>
  <c r="DN306" i="28"/>
  <c r="DO306" i="28"/>
  <c r="DP306" i="28"/>
  <c r="DM307" i="28"/>
  <c r="DN307" i="28"/>
  <c r="DO307" i="28"/>
  <c r="DP307" i="28"/>
  <c r="DM308" i="28"/>
  <c r="DN308" i="28"/>
  <c r="DO308" i="28"/>
  <c r="DP308" i="28"/>
  <c r="DM309" i="28"/>
  <c r="DN309" i="28"/>
  <c r="DO309" i="28"/>
  <c r="DP309" i="28"/>
  <c r="DM310" i="28"/>
  <c r="DN310" i="28"/>
  <c r="DO310" i="28"/>
  <c r="DP310" i="28"/>
  <c r="DM311" i="28"/>
  <c r="DN311" i="28"/>
  <c r="DO311" i="28"/>
  <c r="DP311" i="28"/>
  <c r="DM312" i="28"/>
  <c r="DN312" i="28"/>
  <c r="DO312" i="28"/>
  <c r="DP312" i="28"/>
  <c r="DM313" i="28"/>
  <c r="DN313" i="28"/>
  <c r="DO313" i="28"/>
  <c r="DP313" i="28"/>
  <c r="DM314" i="28"/>
  <c r="DN314" i="28"/>
  <c r="DO314" i="28"/>
  <c r="DP314" i="28"/>
  <c r="DM315" i="28"/>
  <c r="DN315" i="28"/>
  <c r="DO315" i="28"/>
  <c r="DP315" i="28"/>
  <c r="DM316" i="28"/>
  <c r="DN316" i="28"/>
  <c r="DO316" i="28"/>
  <c r="DP316" i="28"/>
  <c r="DM317" i="28"/>
  <c r="DN317" i="28"/>
  <c r="DO317" i="28"/>
  <c r="DP317" i="28"/>
  <c r="DM318" i="28"/>
  <c r="DN318" i="28"/>
  <c r="DO318" i="28"/>
  <c r="DP318" i="28"/>
  <c r="DM319" i="28"/>
  <c r="DN319" i="28"/>
  <c r="DO319" i="28"/>
  <c r="DP319" i="28"/>
  <c r="DM320" i="28"/>
  <c r="DN320" i="28"/>
  <c r="DO320" i="28"/>
  <c r="DP320" i="28"/>
  <c r="DM321" i="28"/>
  <c r="DN321" i="28"/>
  <c r="DO321" i="28"/>
  <c r="DP321" i="28"/>
  <c r="DM322" i="28"/>
  <c r="DN322" i="28"/>
  <c r="DO322" i="28"/>
  <c r="DP322" i="28"/>
  <c r="DM323" i="28"/>
  <c r="DN323" i="28"/>
  <c r="DO323" i="28"/>
  <c r="DP323" i="28"/>
  <c r="DM324" i="28"/>
  <c r="DN324" i="28"/>
  <c r="DO324" i="28"/>
  <c r="DP324" i="28"/>
  <c r="DM325" i="28"/>
  <c r="DN325" i="28"/>
  <c r="DO325" i="28"/>
  <c r="DP325" i="28"/>
  <c r="DM326" i="28"/>
  <c r="DN326" i="28"/>
  <c r="DO326" i="28"/>
  <c r="DP326" i="28"/>
  <c r="DM327" i="28"/>
  <c r="DN327" i="28"/>
  <c r="DO327" i="28"/>
  <c r="DP327" i="28"/>
  <c r="DM328" i="28"/>
  <c r="DN328" i="28"/>
  <c r="DO328" i="28"/>
  <c r="DP328" i="28"/>
  <c r="DM329" i="28"/>
  <c r="DN329" i="28"/>
  <c r="DO329" i="28"/>
  <c r="DP329" i="28"/>
  <c r="DM330" i="28"/>
  <c r="DN330" i="28"/>
  <c r="DO330" i="28"/>
  <c r="DP330" i="28"/>
  <c r="DM331" i="28"/>
  <c r="DN331" i="28"/>
  <c r="DO331" i="28"/>
  <c r="DP331" i="28"/>
  <c r="DM332" i="28"/>
  <c r="DN332" i="28"/>
  <c r="DO332" i="28"/>
  <c r="DP332" i="28"/>
  <c r="DM333" i="28"/>
  <c r="DN333" i="28"/>
  <c r="DO333" i="28"/>
  <c r="DP333" i="28"/>
  <c r="DM334" i="28"/>
  <c r="DN334" i="28"/>
  <c r="DO334" i="28"/>
  <c r="DP334" i="28"/>
  <c r="DM335" i="28"/>
  <c r="DN335" i="28"/>
  <c r="DO335" i="28"/>
  <c r="DP335" i="28"/>
  <c r="DM336" i="28"/>
  <c r="DN336" i="28"/>
  <c r="DO336" i="28"/>
  <c r="DP336" i="28"/>
  <c r="DM337" i="28"/>
  <c r="DN337" i="28"/>
  <c r="DO337" i="28"/>
  <c r="DP337" i="28"/>
  <c r="DM338" i="28"/>
  <c r="DN338" i="28"/>
  <c r="DO338" i="28"/>
  <c r="DP338" i="28"/>
  <c r="DM339" i="28"/>
  <c r="DN339" i="28"/>
  <c r="DO339" i="28"/>
  <c r="DP339" i="28"/>
  <c r="DM340" i="28"/>
  <c r="DN340" i="28"/>
  <c r="DO340" i="28"/>
  <c r="DP340" i="28"/>
  <c r="DM341" i="28"/>
  <c r="DN341" i="28"/>
  <c r="DO341" i="28"/>
  <c r="DP341" i="28"/>
  <c r="DP2" i="28"/>
  <c r="DN2" i="28"/>
  <c r="DO2" i="28"/>
  <c r="DM2" i="28"/>
  <c r="DK3" i="28"/>
  <c r="DL3" i="28"/>
  <c r="DK4" i="28"/>
  <c r="DL4" i="28"/>
  <c r="DK5" i="28"/>
  <c r="DL5" i="28"/>
  <c r="DK6" i="28"/>
  <c r="DL6" i="28"/>
  <c r="DK7" i="28"/>
  <c r="DL7" i="28"/>
  <c r="DK8" i="28"/>
  <c r="DL8" i="28"/>
  <c r="DK9" i="28"/>
  <c r="DL9" i="28"/>
  <c r="DK10" i="28"/>
  <c r="DL10" i="28"/>
  <c r="DK11" i="28"/>
  <c r="DL11" i="28"/>
  <c r="DK12" i="28"/>
  <c r="DL12" i="28"/>
  <c r="DK13" i="28"/>
  <c r="DL13" i="28"/>
  <c r="DK14" i="28"/>
  <c r="DL14" i="28"/>
  <c r="DK15" i="28"/>
  <c r="DL15" i="28"/>
  <c r="DK16" i="28"/>
  <c r="DL16" i="28"/>
  <c r="DK17" i="28"/>
  <c r="DL17" i="28"/>
  <c r="DK18" i="28"/>
  <c r="DL18" i="28"/>
  <c r="DK19" i="28"/>
  <c r="DL19" i="28"/>
  <c r="DK20" i="28"/>
  <c r="DL20" i="28"/>
  <c r="DK21" i="28"/>
  <c r="DL21" i="28"/>
  <c r="DK22" i="28"/>
  <c r="DL22" i="28"/>
  <c r="DK23" i="28"/>
  <c r="DL23" i="28"/>
  <c r="DK24" i="28"/>
  <c r="DL24" i="28"/>
  <c r="DK25" i="28"/>
  <c r="DL25" i="28"/>
  <c r="DK26" i="28"/>
  <c r="DL26" i="28"/>
  <c r="DK27" i="28"/>
  <c r="DL27" i="28"/>
  <c r="DK28" i="28"/>
  <c r="DL28" i="28"/>
  <c r="DK29" i="28"/>
  <c r="DL29" i="28"/>
  <c r="DK30" i="28"/>
  <c r="DL30" i="28"/>
  <c r="DK31" i="28"/>
  <c r="DL31" i="28"/>
  <c r="DK32" i="28"/>
  <c r="DL32" i="28"/>
  <c r="DK33" i="28"/>
  <c r="DL33" i="28"/>
  <c r="DK34" i="28"/>
  <c r="DL34" i="28"/>
  <c r="DK35" i="28"/>
  <c r="DL35" i="28"/>
  <c r="DK36" i="28"/>
  <c r="DL36" i="28"/>
  <c r="DK37" i="28"/>
  <c r="DL37" i="28"/>
  <c r="DK38" i="28"/>
  <c r="DL38" i="28"/>
  <c r="DK39" i="28"/>
  <c r="DL39" i="28"/>
  <c r="DK40" i="28"/>
  <c r="DL40" i="28"/>
  <c r="DK41" i="28"/>
  <c r="DL41" i="28"/>
  <c r="DK42" i="28"/>
  <c r="DL42" i="28"/>
  <c r="DK43" i="28"/>
  <c r="DL43" i="28"/>
  <c r="DK44" i="28"/>
  <c r="DL44" i="28"/>
  <c r="DK45" i="28"/>
  <c r="DL45" i="28"/>
  <c r="DK46" i="28"/>
  <c r="DL46" i="28"/>
  <c r="DK47" i="28"/>
  <c r="DL47" i="28"/>
  <c r="DK48" i="28"/>
  <c r="DL48" i="28"/>
  <c r="DK49" i="28"/>
  <c r="DL49" i="28"/>
  <c r="DK50" i="28"/>
  <c r="DL50" i="28"/>
  <c r="DK51" i="28"/>
  <c r="DL51" i="28"/>
  <c r="DK52" i="28"/>
  <c r="DL52" i="28"/>
  <c r="DK53" i="28"/>
  <c r="DL53" i="28"/>
  <c r="DK54" i="28"/>
  <c r="DL54" i="28"/>
  <c r="DK55" i="28"/>
  <c r="DL55" i="28"/>
  <c r="DK56" i="28"/>
  <c r="DL56" i="28"/>
  <c r="DK57" i="28"/>
  <c r="DL57" i="28"/>
  <c r="DK58" i="28"/>
  <c r="DL58" i="28"/>
  <c r="DK59" i="28"/>
  <c r="DL59" i="28"/>
  <c r="DK60" i="28"/>
  <c r="DL60" i="28"/>
  <c r="DK61" i="28"/>
  <c r="DL61" i="28"/>
  <c r="DK62" i="28"/>
  <c r="DL62" i="28"/>
  <c r="DK63" i="28"/>
  <c r="DL63" i="28"/>
  <c r="DK64" i="28"/>
  <c r="DL64" i="28"/>
  <c r="DK65" i="28"/>
  <c r="DL65" i="28"/>
  <c r="DK66" i="28"/>
  <c r="DL66" i="28"/>
  <c r="DK67" i="28"/>
  <c r="DL67" i="28"/>
  <c r="DK68" i="28"/>
  <c r="DL68" i="28"/>
  <c r="DK69" i="28"/>
  <c r="DL69" i="28"/>
  <c r="DK70" i="28"/>
  <c r="DL70" i="28"/>
  <c r="DK71" i="28"/>
  <c r="DL71" i="28"/>
  <c r="DK72" i="28"/>
  <c r="DL72" i="28"/>
  <c r="DK73" i="28"/>
  <c r="DL73" i="28"/>
  <c r="DK74" i="28"/>
  <c r="DL74" i="28"/>
  <c r="DK75" i="28"/>
  <c r="DL75" i="28"/>
  <c r="DK76" i="28"/>
  <c r="DL76" i="28"/>
  <c r="DK77" i="28"/>
  <c r="DL77" i="28"/>
  <c r="DK78" i="28"/>
  <c r="DL78" i="28"/>
  <c r="DK79" i="28"/>
  <c r="DL79" i="28"/>
  <c r="DK80" i="28"/>
  <c r="DL80" i="28"/>
  <c r="DK81" i="28"/>
  <c r="DL81" i="28"/>
  <c r="DK82" i="28"/>
  <c r="DL82" i="28"/>
  <c r="DK83" i="28"/>
  <c r="DL83" i="28"/>
  <c r="DK84" i="28"/>
  <c r="DL84" i="28"/>
  <c r="DK85" i="28"/>
  <c r="DL85" i="28"/>
  <c r="DK86" i="28"/>
  <c r="DL86" i="28"/>
  <c r="DK87" i="28"/>
  <c r="DL87" i="28"/>
  <c r="DK88" i="28"/>
  <c r="DL88" i="28"/>
  <c r="DK89" i="28"/>
  <c r="DL89" i="28"/>
  <c r="DK90" i="28"/>
  <c r="DL90" i="28"/>
  <c r="DK91" i="28"/>
  <c r="DL91" i="28"/>
  <c r="DK92" i="28"/>
  <c r="DL92" i="28"/>
  <c r="DK93" i="28"/>
  <c r="DL93" i="28"/>
  <c r="DK94" i="28"/>
  <c r="DL94" i="28"/>
  <c r="DK95" i="28"/>
  <c r="DL95" i="28"/>
  <c r="DK96" i="28"/>
  <c r="DL96" i="28"/>
  <c r="DK97" i="28"/>
  <c r="DL97" i="28"/>
  <c r="DK98" i="28"/>
  <c r="DL98" i="28"/>
  <c r="DK99" i="28"/>
  <c r="DL99" i="28"/>
  <c r="DK100" i="28"/>
  <c r="DL100" i="28"/>
  <c r="DK101" i="28"/>
  <c r="DL101" i="28"/>
  <c r="DK102" i="28"/>
  <c r="DL102" i="28"/>
  <c r="DK103" i="28"/>
  <c r="DL103" i="28"/>
  <c r="DK104" i="28"/>
  <c r="DL104" i="28"/>
  <c r="DK105" i="28"/>
  <c r="DL105" i="28"/>
  <c r="DK106" i="28"/>
  <c r="DL106" i="28"/>
  <c r="DK107" i="28"/>
  <c r="DL107" i="28"/>
  <c r="DK108" i="28"/>
  <c r="DL108" i="28"/>
  <c r="DK109" i="28"/>
  <c r="DL109" i="28"/>
  <c r="DK110" i="28"/>
  <c r="DL110" i="28"/>
  <c r="DK111" i="28"/>
  <c r="DL111" i="28"/>
  <c r="DK112" i="28"/>
  <c r="DL112" i="28"/>
  <c r="DK113" i="28"/>
  <c r="DL113" i="28"/>
  <c r="DK114" i="28"/>
  <c r="DL114" i="28"/>
  <c r="DK115" i="28"/>
  <c r="DL115" i="28"/>
  <c r="DK116" i="28"/>
  <c r="DL116" i="28"/>
  <c r="DK117" i="28"/>
  <c r="DL117" i="28"/>
  <c r="DK118" i="28"/>
  <c r="DL118" i="28"/>
  <c r="DK119" i="28"/>
  <c r="DL119" i="28"/>
  <c r="DK120" i="28"/>
  <c r="DL120" i="28"/>
  <c r="DK121" i="28"/>
  <c r="DL121" i="28"/>
  <c r="DK122" i="28"/>
  <c r="DL122" i="28"/>
  <c r="DK123" i="28"/>
  <c r="DL123" i="28"/>
  <c r="DK124" i="28"/>
  <c r="DL124" i="28"/>
  <c r="DK125" i="28"/>
  <c r="DL125" i="28"/>
  <c r="DK126" i="28"/>
  <c r="DL126" i="28"/>
  <c r="DK127" i="28"/>
  <c r="DL127" i="28"/>
  <c r="DK128" i="28"/>
  <c r="DL128" i="28"/>
  <c r="DK129" i="28"/>
  <c r="DL129" i="28"/>
  <c r="DK130" i="28"/>
  <c r="DL130" i="28"/>
  <c r="DK131" i="28"/>
  <c r="DL131" i="28"/>
  <c r="DK132" i="28"/>
  <c r="DL132" i="28"/>
  <c r="DK133" i="28"/>
  <c r="DL133" i="28"/>
  <c r="DK134" i="28"/>
  <c r="DL134" i="28"/>
  <c r="DK135" i="28"/>
  <c r="DL135" i="28"/>
  <c r="DK136" i="28"/>
  <c r="DL136" i="28"/>
  <c r="DK137" i="28"/>
  <c r="DL137" i="28"/>
  <c r="DK138" i="28"/>
  <c r="DL138" i="28"/>
  <c r="DK139" i="28"/>
  <c r="DL139" i="28"/>
  <c r="DK140" i="28"/>
  <c r="DL140" i="28"/>
  <c r="DK141" i="28"/>
  <c r="DL141" i="28"/>
  <c r="DK142" i="28"/>
  <c r="DL142" i="28"/>
  <c r="DK143" i="28"/>
  <c r="DL143" i="28"/>
  <c r="DK144" i="28"/>
  <c r="DL144" i="28"/>
  <c r="DK145" i="28"/>
  <c r="DL145" i="28"/>
  <c r="DK146" i="28"/>
  <c r="DL146" i="28"/>
  <c r="DK147" i="28"/>
  <c r="DL147" i="28"/>
  <c r="DK148" i="28"/>
  <c r="DL148" i="28"/>
  <c r="DK149" i="28"/>
  <c r="DL149" i="28"/>
  <c r="DK150" i="28"/>
  <c r="DL150" i="28"/>
  <c r="DK151" i="28"/>
  <c r="DL151" i="28"/>
  <c r="DK152" i="28"/>
  <c r="DL152" i="28"/>
  <c r="DK153" i="28"/>
  <c r="DL153" i="28"/>
  <c r="DK154" i="28"/>
  <c r="DL154" i="28"/>
  <c r="DK155" i="28"/>
  <c r="DL155" i="28"/>
  <c r="DK156" i="28"/>
  <c r="DL156" i="28"/>
  <c r="DK157" i="28"/>
  <c r="DL157" i="28"/>
  <c r="DK158" i="28"/>
  <c r="DL158" i="28"/>
  <c r="DK159" i="28"/>
  <c r="DL159" i="28"/>
  <c r="DK160" i="28"/>
  <c r="DL160" i="28"/>
  <c r="DK161" i="28"/>
  <c r="DL161" i="28"/>
  <c r="DK162" i="28"/>
  <c r="DL162" i="28"/>
  <c r="DK163" i="28"/>
  <c r="DL163" i="28"/>
  <c r="DK164" i="28"/>
  <c r="DL164" i="28"/>
  <c r="DK165" i="28"/>
  <c r="DL165" i="28"/>
  <c r="DK166" i="28"/>
  <c r="DL166" i="28"/>
  <c r="DK167" i="28"/>
  <c r="DL167" i="28"/>
  <c r="DK168" i="28"/>
  <c r="DL168" i="28"/>
  <c r="DK169" i="28"/>
  <c r="DL169" i="28"/>
  <c r="DK170" i="28"/>
  <c r="DL170" i="28"/>
  <c r="DK171" i="28"/>
  <c r="DL171" i="28"/>
  <c r="DK172" i="28"/>
  <c r="DL172" i="28"/>
  <c r="DK173" i="28"/>
  <c r="DL173" i="28"/>
  <c r="DK174" i="28"/>
  <c r="DL174" i="28"/>
  <c r="DK175" i="28"/>
  <c r="DL175" i="28"/>
  <c r="DK176" i="28"/>
  <c r="DL176" i="28"/>
  <c r="DK177" i="28"/>
  <c r="DL177" i="28"/>
  <c r="DK178" i="28"/>
  <c r="DL178" i="28"/>
  <c r="DK179" i="28"/>
  <c r="DL179" i="28"/>
  <c r="DK180" i="28"/>
  <c r="DL180" i="28"/>
  <c r="DK181" i="28"/>
  <c r="DL181" i="28"/>
  <c r="DK182" i="28"/>
  <c r="DL182" i="28"/>
  <c r="DK183" i="28"/>
  <c r="DL183" i="28"/>
  <c r="DK184" i="28"/>
  <c r="DL184" i="28"/>
  <c r="DK185" i="28"/>
  <c r="DL185" i="28"/>
  <c r="DK186" i="28"/>
  <c r="DL186" i="28"/>
  <c r="DK187" i="28"/>
  <c r="DL187" i="28"/>
  <c r="DK188" i="28"/>
  <c r="DL188" i="28"/>
  <c r="DK189" i="28"/>
  <c r="DL189" i="28"/>
  <c r="DK190" i="28"/>
  <c r="DL190" i="28"/>
  <c r="DK191" i="28"/>
  <c r="DL191" i="28"/>
  <c r="DK192" i="28"/>
  <c r="DL192" i="28"/>
  <c r="DK193" i="28"/>
  <c r="DL193" i="28"/>
  <c r="DK194" i="28"/>
  <c r="DL194" i="28"/>
  <c r="DK195" i="28"/>
  <c r="DL195" i="28"/>
  <c r="DK196" i="28"/>
  <c r="DL196" i="28"/>
  <c r="DK197" i="28"/>
  <c r="DL197" i="28"/>
  <c r="DK198" i="28"/>
  <c r="DL198" i="28"/>
  <c r="DK199" i="28"/>
  <c r="DL199" i="28"/>
  <c r="DK200" i="28"/>
  <c r="DL200" i="28"/>
  <c r="DK201" i="28"/>
  <c r="DL201" i="28"/>
  <c r="DK202" i="28"/>
  <c r="DL202" i="28"/>
  <c r="DK203" i="28"/>
  <c r="DL203" i="28"/>
  <c r="DK204" i="28"/>
  <c r="DL204" i="28"/>
  <c r="DK205" i="28"/>
  <c r="DL205" i="28"/>
  <c r="DK206" i="28"/>
  <c r="DL206" i="28"/>
  <c r="DK207" i="28"/>
  <c r="DL207" i="28"/>
  <c r="DK208" i="28"/>
  <c r="DL208" i="28"/>
  <c r="DK209" i="28"/>
  <c r="DL209" i="28"/>
  <c r="DK210" i="28"/>
  <c r="DL210" i="28"/>
  <c r="DK211" i="28"/>
  <c r="DL211" i="28"/>
  <c r="DK212" i="28"/>
  <c r="DL212" i="28"/>
  <c r="DK213" i="28"/>
  <c r="DL213" i="28"/>
  <c r="DK214" i="28"/>
  <c r="DL214" i="28"/>
  <c r="DK215" i="28"/>
  <c r="DL215" i="28"/>
  <c r="DK216" i="28"/>
  <c r="DL216" i="28"/>
  <c r="DK217" i="28"/>
  <c r="DL217" i="28"/>
  <c r="DK218" i="28"/>
  <c r="DL218" i="28"/>
  <c r="DK219" i="28"/>
  <c r="DL219" i="28"/>
  <c r="DK220" i="28"/>
  <c r="DL220" i="28"/>
  <c r="DK221" i="28"/>
  <c r="DL221" i="28"/>
  <c r="DK222" i="28"/>
  <c r="DL222" i="28"/>
  <c r="DK223" i="28"/>
  <c r="DL223" i="28"/>
  <c r="DK224" i="28"/>
  <c r="DL224" i="28"/>
  <c r="DK225" i="28"/>
  <c r="DL225" i="28"/>
  <c r="DK226" i="28"/>
  <c r="DL226" i="28"/>
  <c r="DK227" i="28"/>
  <c r="DL227" i="28"/>
  <c r="DK228" i="28"/>
  <c r="DL228" i="28"/>
  <c r="DK229" i="28"/>
  <c r="DL229" i="28"/>
  <c r="DK230" i="28"/>
  <c r="DL230" i="28"/>
  <c r="DK231" i="28"/>
  <c r="DL231" i="28"/>
  <c r="DK232" i="28"/>
  <c r="DL232" i="28"/>
  <c r="DK233" i="28"/>
  <c r="DL233" i="28"/>
  <c r="DK234" i="28"/>
  <c r="DL234" i="28"/>
  <c r="DK235" i="28"/>
  <c r="DL235" i="28"/>
  <c r="DK236" i="28"/>
  <c r="DL236" i="28"/>
  <c r="DK237" i="28"/>
  <c r="DL237" i="28"/>
  <c r="DK238" i="28"/>
  <c r="DL238" i="28"/>
  <c r="DK239" i="28"/>
  <c r="DL239" i="28"/>
  <c r="DK240" i="28"/>
  <c r="DL240" i="28"/>
  <c r="DK241" i="28"/>
  <c r="DL241" i="28"/>
  <c r="DK242" i="28"/>
  <c r="DL242" i="28"/>
  <c r="DK243" i="28"/>
  <c r="DL243" i="28"/>
  <c r="DK244" i="28"/>
  <c r="DL244" i="28"/>
  <c r="DK245" i="28"/>
  <c r="DL245" i="28"/>
  <c r="DK246" i="28"/>
  <c r="DL246" i="28"/>
  <c r="DK247" i="28"/>
  <c r="DL247" i="28"/>
  <c r="DK248" i="28"/>
  <c r="DL248" i="28"/>
  <c r="DK249" i="28"/>
  <c r="DL249" i="28"/>
  <c r="DK250" i="28"/>
  <c r="DL250" i="28"/>
  <c r="DK251" i="28"/>
  <c r="DL251" i="28"/>
  <c r="DK252" i="28"/>
  <c r="DL252" i="28"/>
  <c r="DK253" i="28"/>
  <c r="DL253" i="28"/>
  <c r="DK254" i="28"/>
  <c r="DL254" i="28"/>
  <c r="DK255" i="28"/>
  <c r="DL255" i="28"/>
  <c r="DK256" i="28"/>
  <c r="DL256" i="28"/>
  <c r="DK257" i="28"/>
  <c r="DL257" i="28"/>
  <c r="DK258" i="28"/>
  <c r="DL258" i="28"/>
  <c r="DK259" i="28"/>
  <c r="DL259" i="28"/>
  <c r="DK260" i="28"/>
  <c r="DL260" i="28"/>
  <c r="DK261" i="28"/>
  <c r="DL261" i="28"/>
  <c r="DK262" i="28"/>
  <c r="DL262" i="28"/>
  <c r="DK263" i="28"/>
  <c r="DL263" i="28"/>
  <c r="DK264" i="28"/>
  <c r="DL264" i="28"/>
  <c r="DK265" i="28"/>
  <c r="DL265" i="28"/>
  <c r="DK266" i="28"/>
  <c r="DL266" i="28"/>
  <c r="DK267" i="28"/>
  <c r="DL267" i="28"/>
  <c r="DK268" i="28"/>
  <c r="DL268" i="28"/>
  <c r="DK269" i="28"/>
  <c r="DL269" i="28"/>
  <c r="DK270" i="28"/>
  <c r="DL270" i="28"/>
  <c r="DK271" i="28"/>
  <c r="DL271" i="28"/>
  <c r="DK272" i="28"/>
  <c r="DL272" i="28"/>
  <c r="DK273" i="28"/>
  <c r="DL273" i="28"/>
  <c r="DK274" i="28"/>
  <c r="DL274" i="28"/>
  <c r="DK275" i="28"/>
  <c r="DL275" i="28"/>
  <c r="DK276" i="28"/>
  <c r="DL276" i="28"/>
  <c r="DK277" i="28"/>
  <c r="DL277" i="28"/>
  <c r="DK278" i="28"/>
  <c r="DL278" i="28"/>
  <c r="DK279" i="28"/>
  <c r="DL279" i="28"/>
  <c r="DK280" i="28"/>
  <c r="DL280" i="28"/>
  <c r="DK281" i="28"/>
  <c r="DL281" i="28"/>
  <c r="DK282" i="28"/>
  <c r="DL282" i="28"/>
  <c r="DK283" i="28"/>
  <c r="DL283" i="28"/>
  <c r="DK284" i="28"/>
  <c r="DL284" i="28"/>
  <c r="DK285" i="28"/>
  <c r="DL285" i="28"/>
  <c r="DK286" i="28"/>
  <c r="DL286" i="28"/>
  <c r="DK287" i="28"/>
  <c r="DL287" i="28"/>
  <c r="DK288" i="28"/>
  <c r="DL288" i="28"/>
  <c r="DK289" i="28"/>
  <c r="DL289" i="28"/>
  <c r="DK290" i="28"/>
  <c r="DL290" i="28"/>
  <c r="DK291" i="28"/>
  <c r="DL291" i="28"/>
  <c r="DK292" i="28"/>
  <c r="DL292" i="28"/>
  <c r="DK293" i="28"/>
  <c r="DL293" i="28"/>
  <c r="DK294" i="28"/>
  <c r="DL294" i="28"/>
  <c r="DK295" i="28"/>
  <c r="DL295" i="28"/>
  <c r="DK296" i="28"/>
  <c r="DL296" i="28"/>
  <c r="DK297" i="28"/>
  <c r="DL297" i="28"/>
  <c r="DK298" i="28"/>
  <c r="DL298" i="28"/>
  <c r="DK299" i="28"/>
  <c r="DL299" i="28"/>
  <c r="DK300" i="28"/>
  <c r="DL300" i="28"/>
  <c r="DK301" i="28"/>
  <c r="DL301" i="28"/>
  <c r="DK302" i="28"/>
  <c r="DL302" i="28"/>
  <c r="DK303" i="28"/>
  <c r="DL303" i="28"/>
  <c r="DK304" i="28"/>
  <c r="DL304" i="28"/>
  <c r="DK305" i="28"/>
  <c r="DL305" i="28"/>
  <c r="DK306" i="28"/>
  <c r="DL306" i="28"/>
  <c r="DK307" i="28"/>
  <c r="DL307" i="28"/>
  <c r="DK308" i="28"/>
  <c r="DL308" i="28"/>
  <c r="DK309" i="28"/>
  <c r="DL309" i="28"/>
  <c r="DK310" i="28"/>
  <c r="DL310" i="28"/>
  <c r="DK311" i="28"/>
  <c r="DL311" i="28"/>
  <c r="DK312" i="28"/>
  <c r="DL312" i="28"/>
  <c r="DK313" i="28"/>
  <c r="DL313" i="28"/>
  <c r="DK314" i="28"/>
  <c r="DL314" i="28"/>
  <c r="DK315" i="28"/>
  <c r="DL315" i="28"/>
  <c r="DK316" i="28"/>
  <c r="DL316" i="28"/>
  <c r="DK317" i="28"/>
  <c r="DL317" i="28"/>
  <c r="DK318" i="28"/>
  <c r="DL318" i="28"/>
  <c r="DK319" i="28"/>
  <c r="DL319" i="28"/>
  <c r="DK320" i="28"/>
  <c r="DL320" i="28"/>
  <c r="DK321" i="28"/>
  <c r="DL321" i="28"/>
  <c r="DK322" i="28"/>
  <c r="DL322" i="28"/>
  <c r="DK323" i="28"/>
  <c r="DL323" i="28"/>
  <c r="DK324" i="28"/>
  <c r="DL324" i="28"/>
  <c r="DK325" i="28"/>
  <c r="DL325" i="28"/>
  <c r="DK326" i="28"/>
  <c r="DL326" i="28"/>
  <c r="DK327" i="28"/>
  <c r="DL327" i="28"/>
  <c r="DK328" i="28"/>
  <c r="DL328" i="28"/>
  <c r="DK329" i="28"/>
  <c r="DL329" i="28"/>
  <c r="DK330" i="28"/>
  <c r="DL330" i="28"/>
  <c r="DK331" i="28"/>
  <c r="DL331" i="28"/>
  <c r="DK332" i="28"/>
  <c r="DL332" i="28"/>
  <c r="DK333" i="28"/>
  <c r="DL333" i="28"/>
  <c r="DK334" i="28"/>
  <c r="DL334" i="28"/>
  <c r="DK335" i="28"/>
  <c r="DL335" i="28"/>
  <c r="DK336" i="28"/>
  <c r="DL336" i="28"/>
  <c r="DK337" i="28"/>
  <c r="DL337" i="28"/>
  <c r="DK338" i="28"/>
  <c r="DL338" i="28"/>
  <c r="DK339" i="28"/>
  <c r="DL339" i="28"/>
  <c r="DK340" i="28"/>
  <c r="DL340" i="28"/>
  <c r="DK341" i="28"/>
  <c r="DL341" i="28"/>
  <c r="DL2" i="28"/>
  <c r="DK2" i="28"/>
  <c r="DF3" i="28"/>
  <c r="DG3" i="28"/>
  <c r="DH3" i="28"/>
  <c r="DI3" i="28"/>
  <c r="DJ3" i="28"/>
  <c r="DF4" i="28"/>
  <c r="DG4" i="28"/>
  <c r="DH4" i="28"/>
  <c r="DI4" i="28"/>
  <c r="DJ4" i="28"/>
  <c r="DF5" i="28"/>
  <c r="DG5" i="28"/>
  <c r="DH5" i="28"/>
  <c r="DI5" i="28"/>
  <c r="DJ5" i="28"/>
  <c r="DF6" i="28"/>
  <c r="DG6" i="28"/>
  <c r="DH6" i="28"/>
  <c r="DI6" i="28"/>
  <c r="DJ6" i="28"/>
  <c r="DF7" i="28"/>
  <c r="DG7" i="28"/>
  <c r="DH7" i="28"/>
  <c r="DI7" i="28"/>
  <c r="DJ7" i="28"/>
  <c r="DF8" i="28"/>
  <c r="DG8" i="28"/>
  <c r="DH8" i="28"/>
  <c r="DI8" i="28"/>
  <c r="DJ8" i="28"/>
  <c r="DF9" i="28"/>
  <c r="DG9" i="28"/>
  <c r="DH9" i="28"/>
  <c r="DI9" i="28"/>
  <c r="DJ9" i="28"/>
  <c r="DF10" i="28"/>
  <c r="DG10" i="28"/>
  <c r="DH10" i="28"/>
  <c r="DI10" i="28"/>
  <c r="DJ10" i="28"/>
  <c r="DF11" i="28"/>
  <c r="DG11" i="28"/>
  <c r="DH11" i="28"/>
  <c r="DI11" i="28"/>
  <c r="DJ11" i="28"/>
  <c r="DF12" i="28"/>
  <c r="DG12" i="28"/>
  <c r="DH12" i="28"/>
  <c r="DI12" i="28"/>
  <c r="DJ12" i="28"/>
  <c r="DF13" i="28"/>
  <c r="DG13" i="28"/>
  <c r="DH13" i="28"/>
  <c r="DI13" i="28"/>
  <c r="DJ13" i="28"/>
  <c r="DF14" i="28"/>
  <c r="DG14" i="28"/>
  <c r="DH14" i="28"/>
  <c r="DI14" i="28"/>
  <c r="DJ14" i="28"/>
  <c r="DF15" i="28"/>
  <c r="DG15" i="28"/>
  <c r="DH15" i="28"/>
  <c r="DI15" i="28"/>
  <c r="DJ15" i="28"/>
  <c r="DF16" i="28"/>
  <c r="DG16" i="28"/>
  <c r="DH16" i="28"/>
  <c r="DI16" i="28"/>
  <c r="DJ16" i="28"/>
  <c r="DF17" i="28"/>
  <c r="DG17" i="28"/>
  <c r="DH17" i="28"/>
  <c r="DI17" i="28"/>
  <c r="DJ17" i="28"/>
  <c r="DF18" i="28"/>
  <c r="DG18" i="28"/>
  <c r="DH18" i="28"/>
  <c r="DI18" i="28"/>
  <c r="DJ18" i="28"/>
  <c r="DF19" i="28"/>
  <c r="DG19" i="28"/>
  <c r="DH19" i="28"/>
  <c r="DI19" i="28"/>
  <c r="DJ19" i="28"/>
  <c r="DF20" i="28"/>
  <c r="DG20" i="28"/>
  <c r="DH20" i="28"/>
  <c r="DI20" i="28"/>
  <c r="DJ20" i="28"/>
  <c r="DF21" i="28"/>
  <c r="DG21" i="28"/>
  <c r="DH21" i="28"/>
  <c r="DI21" i="28"/>
  <c r="DJ21" i="28"/>
  <c r="DF22" i="28"/>
  <c r="DG22" i="28"/>
  <c r="DH22" i="28"/>
  <c r="DI22" i="28"/>
  <c r="DJ22" i="28"/>
  <c r="DF23" i="28"/>
  <c r="DG23" i="28"/>
  <c r="DH23" i="28"/>
  <c r="DI23" i="28"/>
  <c r="DJ23" i="28"/>
  <c r="DF24" i="28"/>
  <c r="DG24" i="28"/>
  <c r="DH24" i="28"/>
  <c r="DI24" i="28"/>
  <c r="DJ24" i="28"/>
  <c r="DF25" i="28"/>
  <c r="DG25" i="28"/>
  <c r="DH25" i="28"/>
  <c r="DI25" i="28"/>
  <c r="DJ25" i="28"/>
  <c r="DF26" i="28"/>
  <c r="DG26" i="28"/>
  <c r="DH26" i="28"/>
  <c r="DI26" i="28"/>
  <c r="DJ26" i="28"/>
  <c r="DF27" i="28"/>
  <c r="DG27" i="28"/>
  <c r="DH27" i="28"/>
  <c r="DI27" i="28"/>
  <c r="DJ27" i="28"/>
  <c r="DF28" i="28"/>
  <c r="DG28" i="28"/>
  <c r="DH28" i="28"/>
  <c r="DI28" i="28"/>
  <c r="DJ28" i="28"/>
  <c r="DF29" i="28"/>
  <c r="DG29" i="28"/>
  <c r="DH29" i="28"/>
  <c r="DI29" i="28"/>
  <c r="DJ29" i="28"/>
  <c r="DF30" i="28"/>
  <c r="DG30" i="28"/>
  <c r="DH30" i="28"/>
  <c r="DI30" i="28"/>
  <c r="DJ30" i="28"/>
  <c r="DF31" i="28"/>
  <c r="DG31" i="28"/>
  <c r="DH31" i="28"/>
  <c r="DI31" i="28"/>
  <c r="DJ31" i="28"/>
  <c r="DF32" i="28"/>
  <c r="DG32" i="28"/>
  <c r="DH32" i="28"/>
  <c r="DI32" i="28"/>
  <c r="DJ32" i="28"/>
  <c r="DF33" i="28"/>
  <c r="DG33" i="28"/>
  <c r="DH33" i="28"/>
  <c r="DI33" i="28"/>
  <c r="DJ33" i="28"/>
  <c r="DF34" i="28"/>
  <c r="DG34" i="28"/>
  <c r="DH34" i="28"/>
  <c r="DI34" i="28"/>
  <c r="DJ34" i="28"/>
  <c r="DF35" i="28"/>
  <c r="DG35" i="28"/>
  <c r="DH35" i="28"/>
  <c r="DI35" i="28"/>
  <c r="DJ35" i="28"/>
  <c r="DF36" i="28"/>
  <c r="DG36" i="28"/>
  <c r="DH36" i="28"/>
  <c r="DI36" i="28"/>
  <c r="DJ36" i="28"/>
  <c r="DF37" i="28"/>
  <c r="DG37" i="28"/>
  <c r="DH37" i="28"/>
  <c r="DI37" i="28"/>
  <c r="DJ37" i="28"/>
  <c r="DF38" i="28"/>
  <c r="DG38" i="28"/>
  <c r="DH38" i="28"/>
  <c r="DI38" i="28"/>
  <c r="DJ38" i="28"/>
  <c r="DF39" i="28"/>
  <c r="DG39" i="28"/>
  <c r="DH39" i="28"/>
  <c r="DI39" i="28"/>
  <c r="DJ39" i="28"/>
  <c r="DF40" i="28"/>
  <c r="DG40" i="28"/>
  <c r="DH40" i="28"/>
  <c r="DI40" i="28"/>
  <c r="DJ40" i="28"/>
  <c r="DF41" i="28"/>
  <c r="DG41" i="28"/>
  <c r="DH41" i="28"/>
  <c r="DI41" i="28"/>
  <c r="DJ41" i="28"/>
  <c r="DF42" i="28"/>
  <c r="DG42" i="28"/>
  <c r="DH42" i="28"/>
  <c r="DI42" i="28"/>
  <c r="DJ42" i="28"/>
  <c r="DF43" i="28"/>
  <c r="DG43" i="28"/>
  <c r="DH43" i="28"/>
  <c r="DI43" i="28"/>
  <c r="DJ43" i="28"/>
  <c r="DF44" i="28"/>
  <c r="DG44" i="28"/>
  <c r="DH44" i="28"/>
  <c r="DI44" i="28"/>
  <c r="DJ44" i="28"/>
  <c r="DF45" i="28"/>
  <c r="DG45" i="28"/>
  <c r="DH45" i="28"/>
  <c r="DI45" i="28"/>
  <c r="DJ45" i="28"/>
  <c r="DF46" i="28"/>
  <c r="DG46" i="28"/>
  <c r="DH46" i="28"/>
  <c r="DI46" i="28"/>
  <c r="DJ46" i="28"/>
  <c r="DF47" i="28"/>
  <c r="DG47" i="28"/>
  <c r="DH47" i="28"/>
  <c r="DI47" i="28"/>
  <c r="DJ47" i="28"/>
  <c r="DF48" i="28"/>
  <c r="DG48" i="28"/>
  <c r="DH48" i="28"/>
  <c r="DI48" i="28"/>
  <c r="DJ48" i="28"/>
  <c r="DF49" i="28"/>
  <c r="DG49" i="28"/>
  <c r="DH49" i="28"/>
  <c r="DI49" i="28"/>
  <c r="DJ49" i="28"/>
  <c r="DF50" i="28"/>
  <c r="DG50" i="28"/>
  <c r="DH50" i="28"/>
  <c r="DI50" i="28"/>
  <c r="DJ50" i="28"/>
  <c r="DF51" i="28"/>
  <c r="DG51" i="28"/>
  <c r="DH51" i="28"/>
  <c r="DI51" i="28"/>
  <c r="DJ51" i="28"/>
  <c r="DF52" i="28"/>
  <c r="DG52" i="28"/>
  <c r="DH52" i="28"/>
  <c r="DI52" i="28"/>
  <c r="DJ52" i="28"/>
  <c r="DF53" i="28"/>
  <c r="DG53" i="28"/>
  <c r="DH53" i="28"/>
  <c r="DI53" i="28"/>
  <c r="DJ53" i="28"/>
  <c r="DF54" i="28"/>
  <c r="DG54" i="28"/>
  <c r="DH54" i="28"/>
  <c r="DI54" i="28"/>
  <c r="DJ54" i="28"/>
  <c r="DF55" i="28"/>
  <c r="DG55" i="28"/>
  <c r="DH55" i="28"/>
  <c r="DI55" i="28"/>
  <c r="DJ55" i="28"/>
  <c r="DF56" i="28"/>
  <c r="DG56" i="28"/>
  <c r="DH56" i="28"/>
  <c r="DI56" i="28"/>
  <c r="DJ56" i="28"/>
  <c r="DF57" i="28"/>
  <c r="DG57" i="28"/>
  <c r="DH57" i="28"/>
  <c r="DI57" i="28"/>
  <c r="DJ57" i="28"/>
  <c r="DF58" i="28"/>
  <c r="DG58" i="28"/>
  <c r="DH58" i="28"/>
  <c r="DI58" i="28"/>
  <c r="DJ58" i="28"/>
  <c r="DF59" i="28"/>
  <c r="DG59" i="28"/>
  <c r="DH59" i="28"/>
  <c r="DI59" i="28"/>
  <c r="DJ59" i="28"/>
  <c r="DF60" i="28"/>
  <c r="DG60" i="28"/>
  <c r="DH60" i="28"/>
  <c r="DI60" i="28"/>
  <c r="DJ60" i="28"/>
  <c r="DF61" i="28"/>
  <c r="DG61" i="28"/>
  <c r="DH61" i="28"/>
  <c r="DI61" i="28"/>
  <c r="DJ61" i="28"/>
  <c r="DF62" i="28"/>
  <c r="DG62" i="28"/>
  <c r="DH62" i="28"/>
  <c r="DI62" i="28"/>
  <c r="DJ62" i="28"/>
  <c r="DF63" i="28"/>
  <c r="DG63" i="28"/>
  <c r="DH63" i="28"/>
  <c r="DI63" i="28"/>
  <c r="DJ63" i="28"/>
  <c r="DF64" i="28"/>
  <c r="DG64" i="28"/>
  <c r="DH64" i="28"/>
  <c r="DI64" i="28"/>
  <c r="DJ64" i="28"/>
  <c r="DF65" i="28"/>
  <c r="DG65" i="28"/>
  <c r="DH65" i="28"/>
  <c r="DI65" i="28"/>
  <c r="DJ65" i="28"/>
  <c r="DF66" i="28"/>
  <c r="DG66" i="28"/>
  <c r="DH66" i="28"/>
  <c r="DI66" i="28"/>
  <c r="DJ66" i="28"/>
  <c r="DF67" i="28"/>
  <c r="DG67" i="28"/>
  <c r="DH67" i="28"/>
  <c r="DI67" i="28"/>
  <c r="DJ67" i="28"/>
  <c r="DF68" i="28"/>
  <c r="DG68" i="28"/>
  <c r="DH68" i="28"/>
  <c r="DI68" i="28"/>
  <c r="DJ68" i="28"/>
  <c r="DF69" i="28"/>
  <c r="DG69" i="28"/>
  <c r="DH69" i="28"/>
  <c r="DI69" i="28"/>
  <c r="DJ69" i="28"/>
  <c r="DF70" i="28"/>
  <c r="DG70" i="28"/>
  <c r="DH70" i="28"/>
  <c r="DI70" i="28"/>
  <c r="DJ70" i="28"/>
  <c r="DF71" i="28"/>
  <c r="DG71" i="28"/>
  <c r="DH71" i="28"/>
  <c r="DI71" i="28"/>
  <c r="DJ71" i="28"/>
  <c r="DF72" i="28"/>
  <c r="DG72" i="28"/>
  <c r="DH72" i="28"/>
  <c r="DI72" i="28"/>
  <c r="DJ72" i="28"/>
  <c r="DF73" i="28"/>
  <c r="DG73" i="28"/>
  <c r="DH73" i="28"/>
  <c r="DI73" i="28"/>
  <c r="DJ73" i="28"/>
  <c r="DF74" i="28"/>
  <c r="DG74" i="28"/>
  <c r="DH74" i="28"/>
  <c r="DI74" i="28"/>
  <c r="DJ74" i="28"/>
  <c r="DF75" i="28"/>
  <c r="DG75" i="28"/>
  <c r="DH75" i="28"/>
  <c r="DI75" i="28"/>
  <c r="DJ75" i="28"/>
  <c r="DF76" i="28"/>
  <c r="DG76" i="28"/>
  <c r="DH76" i="28"/>
  <c r="DI76" i="28"/>
  <c r="DJ76" i="28"/>
  <c r="DF77" i="28"/>
  <c r="DG77" i="28"/>
  <c r="DH77" i="28"/>
  <c r="DI77" i="28"/>
  <c r="DJ77" i="28"/>
  <c r="DF78" i="28"/>
  <c r="DG78" i="28"/>
  <c r="DH78" i="28"/>
  <c r="DI78" i="28"/>
  <c r="DJ78" i="28"/>
  <c r="DF79" i="28"/>
  <c r="DG79" i="28"/>
  <c r="DH79" i="28"/>
  <c r="DI79" i="28"/>
  <c r="DJ79" i="28"/>
  <c r="DF80" i="28"/>
  <c r="DG80" i="28"/>
  <c r="DH80" i="28"/>
  <c r="DI80" i="28"/>
  <c r="DJ80" i="28"/>
  <c r="DF81" i="28"/>
  <c r="DG81" i="28"/>
  <c r="DH81" i="28"/>
  <c r="DI81" i="28"/>
  <c r="DJ81" i="28"/>
  <c r="DF82" i="28"/>
  <c r="DG82" i="28"/>
  <c r="DH82" i="28"/>
  <c r="DI82" i="28"/>
  <c r="DJ82" i="28"/>
  <c r="DF83" i="28"/>
  <c r="DG83" i="28"/>
  <c r="DH83" i="28"/>
  <c r="DI83" i="28"/>
  <c r="DJ83" i="28"/>
  <c r="DF84" i="28"/>
  <c r="DG84" i="28"/>
  <c r="DH84" i="28"/>
  <c r="DI84" i="28"/>
  <c r="DJ84" i="28"/>
  <c r="DF85" i="28"/>
  <c r="DG85" i="28"/>
  <c r="DH85" i="28"/>
  <c r="DI85" i="28"/>
  <c r="DJ85" i="28"/>
  <c r="DF86" i="28"/>
  <c r="DG86" i="28"/>
  <c r="DH86" i="28"/>
  <c r="DI86" i="28"/>
  <c r="DJ86" i="28"/>
  <c r="DF87" i="28"/>
  <c r="DG87" i="28"/>
  <c r="DH87" i="28"/>
  <c r="DI87" i="28"/>
  <c r="DJ87" i="28"/>
  <c r="DF88" i="28"/>
  <c r="DG88" i="28"/>
  <c r="DH88" i="28"/>
  <c r="DI88" i="28"/>
  <c r="DJ88" i="28"/>
  <c r="DF89" i="28"/>
  <c r="DG89" i="28"/>
  <c r="DH89" i="28"/>
  <c r="DI89" i="28"/>
  <c r="DJ89" i="28"/>
  <c r="DF90" i="28"/>
  <c r="DG90" i="28"/>
  <c r="DH90" i="28"/>
  <c r="DI90" i="28"/>
  <c r="DJ90" i="28"/>
  <c r="DF91" i="28"/>
  <c r="DG91" i="28"/>
  <c r="DH91" i="28"/>
  <c r="DI91" i="28"/>
  <c r="DJ91" i="28"/>
  <c r="DF92" i="28"/>
  <c r="DG92" i="28"/>
  <c r="DH92" i="28"/>
  <c r="DI92" i="28"/>
  <c r="DJ92" i="28"/>
  <c r="DF93" i="28"/>
  <c r="DG93" i="28"/>
  <c r="DH93" i="28"/>
  <c r="DI93" i="28"/>
  <c r="DJ93" i="28"/>
  <c r="DF94" i="28"/>
  <c r="DG94" i="28"/>
  <c r="DH94" i="28"/>
  <c r="DI94" i="28"/>
  <c r="DJ94" i="28"/>
  <c r="DF95" i="28"/>
  <c r="DG95" i="28"/>
  <c r="DH95" i="28"/>
  <c r="DI95" i="28"/>
  <c r="DJ95" i="28"/>
  <c r="DF96" i="28"/>
  <c r="DG96" i="28"/>
  <c r="DH96" i="28"/>
  <c r="DI96" i="28"/>
  <c r="DJ96" i="28"/>
  <c r="DF97" i="28"/>
  <c r="DG97" i="28"/>
  <c r="DH97" i="28"/>
  <c r="DI97" i="28"/>
  <c r="DJ97" i="28"/>
  <c r="DF98" i="28"/>
  <c r="DG98" i="28"/>
  <c r="DH98" i="28"/>
  <c r="DI98" i="28"/>
  <c r="DJ98" i="28"/>
  <c r="DF99" i="28"/>
  <c r="DG99" i="28"/>
  <c r="DH99" i="28"/>
  <c r="DI99" i="28"/>
  <c r="DJ99" i="28"/>
  <c r="DF100" i="28"/>
  <c r="DG100" i="28"/>
  <c r="DH100" i="28"/>
  <c r="DI100" i="28"/>
  <c r="DJ100" i="28"/>
  <c r="DF101" i="28"/>
  <c r="DG101" i="28"/>
  <c r="DH101" i="28"/>
  <c r="DI101" i="28"/>
  <c r="DJ101" i="28"/>
  <c r="DF102" i="28"/>
  <c r="DG102" i="28"/>
  <c r="DH102" i="28"/>
  <c r="DI102" i="28"/>
  <c r="DJ102" i="28"/>
  <c r="DF103" i="28"/>
  <c r="DG103" i="28"/>
  <c r="DH103" i="28"/>
  <c r="DI103" i="28"/>
  <c r="DJ103" i="28"/>
  <c r="DF104" i="28"/>
  <c r="DG104" i="28"/>
  <c r="DH104" i="28"/>
  <c r="DI104" i="28"/>
  <c r="DJ104" i="28"/>
  <c r="DF105" i="28"/>
  <c r="DG105" i="28"/>
  <c r="DH105" i="28"/>
  <c r="DI105" i="28"/>
  <c r="DJ105" i="28"/>
  <c r="DF106" i="28"/>
  <c r="DG106" i="28"/>
  <c r="DH106" i="28"/>
  <c r="DI106" i="28"/>
  <c r="DJ106" i="28"/>
  <c r="DF107" i="28"/>
  <c r="DG107" i="28"/>
  <c r="DH107" i="28"/>
  <c r="DI107" i="28"/>
  <c r="DJ107" i="28"/>
  <c r="DF108" i="28"/>
  <c r="DG108" i="28"/>
  <c r="DH108" i="28"/>
  <c r="DI108" i="28"/>
  <c r="DJ108" i="28"/>
  <c r="DF109" i="28"/>
  <c r="DG109" i="28"/>
  <c r="DH109" i="28"/>
  <c r="DI109" i="28"/>
  <c r="DJ109" i="28"/>
  <c r="DF110" i="28"/>
  <c r="DG110" i="28"/>
  <c r="DH110" i="28"/>
  <c r="DI110" i="28"/>
  <c r="DJ110" i="28"/>
  <c r="DF111" i="28"/>
  <c r="DG111" i="28"/>
  <c r="DH111" i="28"/>
  <c r="DI111" i="28"/>
  <c r="DJ111" i="28"/>
  <c r="DF112" i="28"/>
  <c r="DG112" i="28"/>
  <c r="DH112" i="28"/>
  <c r="DI112" i="28"/>
  <c r="DJ112" i="28"/>
  <c r="DF113" i="28"/>
  <c r="DG113" i="28"/>
  <c r="DH113" i="28"/>
  <c r="DI113" i="28"/>
  <c r="DJ113" i="28"/>
  <c r="DF114" i="28"/>
  <c r="DG114" i="28"/>
  <c r="DH114" i="28"/>
  <c r="DI114" i="28"/>
  <c r="DJ114" i="28"/>
  <c r="DF115" i="28"/>
  <c r="DG115" i="28"/>
  <c r="DH115" i="28"/>
  <c r="DI115" i="28"/>
  <c r="DJ115" i="28"/>
  <c r="DF116" i="28"/>
  <c r="DG116" i="28"/>
  <c r="DH116" i="28"/>
  <c r="DI116" i="28"/>
  <c r="DJ116" i="28"/>
  <c r="DF117" i="28"/>
  <c r="DG117" i="28"/>
  <c r="DH117" i="28"/>
  <c r="DI117" i="28"/>
  <c r="DJ117" i="28"/>
  <c r="DF118" i="28"/>
  <c r="DG118" i="28"/>
  <c r="DH118" i="28"/>
  <c r="DI118" i="28"/>
  <c r="DJ118" i="28"/>
  <c r="DF119" i="28"/>
  <c r="DG119" i="28"/>
  <c r="DH119" i="28"/>
  <c r="DI119" i="28"/>
  <c r="DJ119" i="28"/>
  <c r="DF120" i="28"/>
  <c r="DG120" i="28"/>
  <c r="DH120" i="28"/>
  <c r="DI120" i="28"/>
  <c r="DJ120" i="28"/>
  <c r="DF121" i="28"/>
  <c r="DG121" i="28"/>
  <c r="DH121" i="28"/>
  <c r="DI121" i="28"/>
  <c r="DJ121" i="28"/>
  <c r="DF122" i="28"/>
  <c r="DG122" i="28"/>
  <c r="DH122" i="28"/>
  <c r="DI122" i="28"/>
  <c r="DJ122" i="28"/>
  <c r="DF123" i="28"/>
  <c r="DG123" i="28"/>
  <c r="DH123" i="28"/>
  <c r="DI123" i="28"/>
  <c r="DJ123" i="28"/>
  <c r="DF124" i="28"/>
  <c r="DG124" i="28"/>
  <c r="DH124" i="28"/>
  <c r="DI124" i="28"/>
  <c r="DJ124" i="28"/>
  <c r="DF125" i="28"/>
  <c r="DG125" i="28"/>
  <c r="DH125" i="28"/>
  <c r="DI125" i="28"/>
  <c r="DJ125" i="28"/>
  <c r="DF126" i="28"/>
  <c r="DG126" i="28"/>
  <c r="DH126" i="28"/>
  <c r="DI126" i="28"/>
  <c r="DJ126" i="28"/>
  <c r="DF127" i="28"/>
  <c r="DG127" i="28"/>
  <c r="DH127" i="28"/>
  <c r="DI127" i="28"/>
  <c r="DJ127" i="28"/>
  <c r="DF128" i="28"/>
  <c r="DG128" i="28"/>
  <c r="DH128" i="28"/>
  <c r="DI128" i="28"/>
  <c r="DJ128" i="28"/>
  <c r="DF129" i="28"/>
  <c r="DG129" i="28"/>
  <c r="DH129" i="28"/>
  <c r="DI129" i="28"/>
  <c r="DJ129" i="28"/>
  <c r="DF130" i="28"/>
  <c r="DG130" i="28"/>
  <c r="DH130" i="28"/>
  <c r="DI130" i="28"/>
  <c r="DJ130" i="28"/>
  <c r="DF131" i="28"/>
  <c r="DG131" i="28"/>
  <c r="DH131" i="28"/>
  <c r="DI131" i="28"/>
  <c r="DJ131" i="28"/>
  <c r="DF132" i="28"/>
  <c r="DG132" i="28"/>
  <c r="DH132" i="28"/>
  <c r="DI132" i="28"/>
  <c r="DJ132" i="28"/>
  <c r="DF133" i="28"/>
  <c r="DG133" i="28"/>
  <c r="DH133" i="28"/>
  <c r="DI133" i="28"/>
  <c r="DJ133" i="28"/>
  <c r="DF134" i="28"/>
  <c r="DG134" i="28"/>
  <c r="DH134" i="28"/>
  <c r="DI134" i="28"/>
  <c r="DJ134" i="28"/>
  <c r="DF135" i="28"/>
  <c r="DG135" i="28"/>
  <c r="DH135" i="28"/>
  <c r="DI135" i="28"/>
  <c r="DJ135" i="28"/>
  <c r="DF136" i="28"/>
  <c r="DG136" i="28"/>
  <c r="DH136" i="28"/>
  <c r="DI136" i="28"/>
  <c r="DJ136" i="28"/>
  <c r="DF137" i="28"/>
  <c r="DG137" i="28"/>
  <c r="DH137" i="28"/>
  <c r="DI137" i="28"/>
  <c r="DJ137" i="28"/>
  <c r="DF138" i="28"/>
  <c r="DG138" i="28"/>
  <c r="DH138" i="28"/>
  <c r="DI138" i="28"/>
  <c r="DJ138" i="28"/>
  <c r="DF139" i="28"/>
  <c r="DG139" i="28"/>
  <c r="DH139" i="28"/>
  <c r="DI139" i="28"/>
  <c r="DJ139" i="28"/>
  <c r="DF140" i="28"/>
  <c r="DG140" i="28"/>
  <c r="DH140" i="28"/>
  <c r="DI140" i="28"/>
  <c r="DJ140" i="28"/>
  <c r="DF141" i="28"/>
  <c r="DG141" i="28"/>
  <c r="DH141" i="28"/>
  <c r="DI141" i="28"/>
  <c r="DJ141" i="28"/>
  <c r="DF142" i="28"/>
  <c r="DG142" i="28"/>
  <c r="DH142" i="28"/>
  <c r="DI142" i="28"/>
  <c r="DJ142" i="28"/>
  <c r="DF143" i="28"/>
  <c r="DG143" i="28"/>
  <c r="DH143" i="28"/>
  <c r="DI143" i="28"/>
  <c r="DJ143" i="28"/>
  <c r="DF144" i="28"/>
  <c r="DG144" i="28"/>
  <c r="DH144" i="28"/>
  <c r="DI144" i="28"/>
  <c r="DJ144" i="28"/>
  <c r="DF145" i="28"/>
  <c r="DG145" i="28"/>
  <c r="DH145" i="28"/>
  <c r="DI145" i="28"/>
  <c r="DJ145" i="28"/>
  <c r="DF146" i="28"/>
  <c r="DG146" i="28"/>
  <c r="DH146" i="28"/>
  <c r="DI146" i="28"/>
  <c r="DJ146" i="28"/>
  <c r="DF147" i="28"/>
  <c r="DG147" i="28"/>
  <c r="DH147" i="28"/>
  <c r="DI147" i="28"/>
  <c r="DJ147" i="28"/>
  <c r="DF148" i="28"/>
  <c r="DG148" i="28"/>
  <c r="DH148" i="28"/>
  <c r="DI148" i="28"/>
  <c r="DJ148" i="28"/>
  <c r="DF149" i="28"/>
  <c r="DG149" i="28"/>
  <c r="DH149" i="28"/>
  <c r="DI149" i="28"/>
  <c r="DJ149" i="28"/>
  <c r="DF150" i="28"/>
  <c r="DG150" i="28"/>
  <c r="DH150" i="28"/>
  <c r="DI150" i="28"/>
  <c r="DJ150" i="28"/>
  <c r="DF151" i="28"/>
  <c r="DG151" i="28"/>
  <c r="DH151" i="28"/>
  <c r="DI151" i="28"/>
  <c r="DJ151" i="28"/>
  <c r="DF152" i="28"/>
  <c r="DG152" i="28"/>
  <c r="DH152" i="28"/>
  <c r="DI152" i="28"/>
  <c r="DJ152" i="28"/>
  <c r="DF153" i="28"/>
  <c r="DG153" i="28"/>
  <c r="DH153" i="28"/>
  <c r="DI153" i="28"/>
  <c r="DJ153" i="28"/>
  <c r="DF154" i="28"/>
  <c r="DG154" i="28"/>
  <c r="DH154" i="28"/>
  <c r="DI154" i="28"/>
  <c r="DJ154" i="28"/>
  <c r="DF155" i="28"/>
  <c r="DG155" i="28"/>
  <c r="DH155" i="28"/>
  <c r="DI155" i="28"/>
  <c r="DJ155" i="28"/>
  <c r="DF156" i="28"/>
  <c r="DG156" i="28"/>
  <c r="DH156" i="28"/>
  <c r="DI156" i="28"/>
  <c r="DJ156" i="28"/>
  <c r="DF157" i="28"/>
  <c r="DG157" i="28"/>
  <c r="DH157" i="28"/>
  <c r="DI157" i="28"/>
  <c r="DJ157" i="28"/>
  <c r="DF158" i="28"/>
  <c r="DG158" i="28"/>
  <c r="DH158" i="28"/>
  <c r="DI158" i="28"/>
  <c r="DJ158" i="28"/>
  <c r="DF159" i="28"/>
  <c r="DG159" i="28"/>
  <c r="DH159" i="28"/>
  <c r="DI159" i="28"/>
  <c r="DJ159" i="28"/>
  <c r="DF160" i="28"/>
  <c r="DG160" i="28"/>
  <c r="DH160" i="28"/>
  <c r="DI160" i="28"/>
  <c r="DJ160" i="28"/>
  <c r="DF161" i="28"/>
  <c r="DG161" i="28"/>
  <c r="DH161" i="28"/>
  <c r="DI161" i="28"/>
  <c r="DJ161" i="28"/>
  <c r="DF162" i="28"/>
  <c r="DG162" i="28"/>
  <c r="DH162" i="28"/>
  <c r="DI162" i="28"/>
  <c r="DJ162" i="28"/>
  <c r="DF163" i="28"/>
  <c r="DG163" i="28"/>
  <c r="DH163" i="28"/>
  <c r="DI163" i="28"/>
  <c r="DJ163" i="28"/>
  <c r="DF164" i="28"/>
  <c r="DG164" i="28"/>
  <c r="DH164" i="28"/>
  <c r="DI164" i="28"/>
  <c r="DJ164" i="28"/>
  <c r="DF165" i="28"/>
  <c r="DG165" i="28"/>
  <c r="DH165" i="28"/>
  <c r="DI165" i="28"/>
  <c r="DJ165" i="28"/>
  <c r="DF166" i="28"/>
  <c r="DG166" i="28"/>
  <c r="DH166" i="28"/>
  <c r="DI166" i="28"/>
  <c r="DJ166" i="28"/>
  <c r="DF167" i="28"/>
  <c r="DG167" i="28"/>
  <c r="DH167" i="28"/>
  <c r="DI167" i="28"/>
  <c r="DJ167" i="28"/>
  <c r="DF168" i="28"/>
  <c r="DG168" i="28"/>
  <c r="DH168" i="28"/>
  <c r="DI168" i="28"/>
  <c r="DJ168" i="28"/>
  <c r="DF169" i="28"/>
  <c r="DG169" i="28"/>
  <c r="DH169" i="28"/>
  <c r="DI169" i="28"/>
  <c r="DJ169" i="28"/>
  <c r="DF170" i="28"/>
  <c r="DG170" i="28"/>
  <c r="DH170" i="28"/>
  <c r="DI170" i="28"/>
  <c r="DJ170" i="28"/>
  <c r="DF171" i="28"/>
  <c r="DG171" i="28"/>
  <c r="DH171" i="28"/>
  <c r="DI171" i="28"/>
  <c r="DJ171" i="28"/>
  <c r="DF172" i="28"/>
  <c r="DG172" i="28"/>
  <c r="DH172" i="28"/>
  <c r="DI172" i="28"/>
  <c r="DJ172" i="28"/>
  <c r="DF173" i="28"/>
  <c r="DG173" i="28"/>
  <c r="DH173" i="28"/>
  <c r="DI173" i="28"/>
  <c r="DJ173" i="28"/>
  <c r="DF174" i="28"/>
  <c r="DG174" i="28"/>
  <c r="DH174" i="28"/>
  <c r="DI174" i="28"/>
  <c r="DJ174" i="28"/>
  <c r="DF175" i="28"/>
  <c r="DG175" i="28"/>
  <c r="DH175" i="28"/>
  <c r="DI175" i="28"/>
  <c r="DJ175" i="28"/>
  <c r="DF176" i="28"/>
  <c r="DG176" i="28"/>
  <c r="DH176" i="28"/>
  <c r="DI176" i="28"/>
  <c r="DJ176" i="28"/>
  <c r="DF177" i="28"/>
  <c r="DG177" i="28"/>
  <c r="DH177" i="28"/>
  <c r="DI177" i="28"/>
  <c r="DJ177" i="28"/>
  <c r="DF178" i="28"/>
  <c r="DG178" i="28"/>
  <c r="DH178" i="28"/>
  <c r="DI178" i="28"/>
  <c r="DJ178" i="28"/>
  <c r="DF179" i="28"/>
  <c r="DG179" i="28"/>
  <c r="DH179" i="28"/>
  <c r="DI179" i="28"/>
  <c r="DJ179" i="28"/>
  <c r="DF180" i="28"/>
  <c r="DG180" i="28"/>
  <c r="DH180" i="28"/>
  <c r="DI180" i="28"/>
  <c r="DJ180" i="28"/>
  <c r="DF181" i="28"/>
  <c r="DG181" i="28"/>
  <c r="DH181" i="28"/>
  <c r="DI181" i="28"/>
  <c r="DJ181" i="28"/>
  <c r="DF182" i="28"/>
  <c r="DG182" i="28"/>
  <c r="DH182" i="28"/>
  <c r="DI182" i="28"/>
  <c r="DJ182" i="28"/>
  <c r="DF183" i="28"/>
  <c r="DG183" i="28"/>
  <c r="DH183" i="28"/>
  <c r="DI183" i="28"/>
  <c r="DJ183" i="28"/>
  <c r="DF184" i="28"/>
  <c r="DG184" i="28"/>
  <c r="DH184" i="28"/>
  <c r="DI184" i="28"/>
  <c r="DJ184" i="28"/>
  <c r="DF185" i="28"/>
  <c r="DG185" i="28"/>
  <c r="DH185" i="28"/>
  <c r="DI185" i="28"/>
  <c r="DJ185" i="28"/>
  <c r="DF186" i="28"/>
  <c r="DG186" i="28"/>
  <c r="DH186" i="28"/>
  <c r="DI186" i="28"/>
  <c r="DJ186" i="28"/>
  <c r="DF187" i="28"/>
  <c r="DG187" i="28"/>
  <c r="DH187" i="28"/>
  <c r="DI187" i="28"/>
  <c r="DJ187" i="28"/>
  <c r="DF188" i="28"/>
  <c r="DG188" i="28"/>
  <c r="DH188" i="28"/>
  <c r="DI188" i="28"/>
  <c r="DJ188" i="28"/>
  <c r="DF189" i="28"/>
  <c r="DG189" i="28"/>
  <c r="DH189" i="28"/>
  <c r="DI189" i="28"/>
  <c r="DJ189" i="28"/>
  <c r="DF190" i="28"/>
  <c r="DG190" i="28"/>
  <c r="DH190" i="28"/>
  <c r="DI190" i="28"/>
  <c r="DJ190" i="28"/>
  <c r="DF191" i="28"/>
  <c r="DG191" i="28"/>
  <c r="DH191" i="28"/>
  <c r="DI191" i="28"/>
  <c r="DJ191" i="28"/>
  <c r="DF192" i="28"/>
  <c r="DG192" i="28"/>
  <c r="DH192" i="28"/>
  <c r="DI192" i="28"/>
  <c r="DJ192" i="28"/>
  <c r="DF193" i="28"/>
  <c r="DG193" i="28"/>
  <c r="DH193" i="28"/>
  <c r="DI193" i="28"/>
  <c r="DJ193" i="28"/>
  <c r="DF194" i="28"/>
  <c r="DG194" i="28"/>
  <c r="DH194" i="28"/>
  <c r="DI194" i="28"/>
  <c r="DJ194" i="28"/>
  <c r="DF195" i="28"/>
  <c r="DG195" i="28"/>
  <c r="DH195" i="28"/>
  <c r="DI195" i="28"/>
  <c r="DJ195" i="28"/>
  <c r="DF196" i="28"/>
  <c r="DG196" i="28"/>
  <c r="DH196" i="28"/>
  <c r="DI196" i="28"/>
  <c r="DJ196" i="28"/>
  <c r="DF197" i="28"/>
  <c r="DG197" i="28"/>
  <c r="DH197" i="28"/>
  <c r="DI197" i="28"/>
  <c r="DJ197" i="28"/>
  <c r="DF198" i="28"/>
  <c r="DG198" i="28"/>
  <c r="DH198" i="28"/>
  <c r="DI198" i="28"/>
  <c r="DJ198" i="28"/>
  <c r="DF199" i="28"/>
  <c r="DG199" i="28"/>
  <c r="DH199" i="28"/>
  <c r="DI199" i="28"/>
  <c r="DJ199" i="28"/>
  <c r="DF200" i="28"/>
  <c r="DG200" i="28"/>
  <c r="DH200" i="28"/>
  <c r="DI200" i="28"/>
  <c r="DJ200" i="28"/>
  <c r="DF201" i="28"/>
  <c r="DG201" i="28"/>
  <c r="DH201" i="28"/>
  <c r="DI201" i="28"/>
  <c r="DJ201" i="28"/>
  <c r="DF202" i="28"/>
  <c r="DG202" i="28"/>
  <c r="DH202" i="28"/>
  <c r="DI202" i="28"/>
  <c r="DJ202" i="28"/>
  <c r="DF203" i="28"/>
  <c r="DG203" i="28"/>
  <c r="DH203" i="28"/>
  <c r="DI203" i="28"/>
  <c r="DJ203" i="28"/>
  <c r="DF204" i="28"/>
  <c r="DG204" i="28"/>
  <c r="DH204" i="28"/>
  <c r="DI204" i="28"/>
  <c r="DJ204" i="28"/>
  <c r="DF205" i="28"/>
  <c r="DG205" i="28"/>
  <c r="DH205" i="28"/>
  <c r="DI205" i="28"/>
  <c r="DJ205" i="28"/>
  <c r="DF206" i="28"/>
  <c r="DG206" i="28"/>
  <c r="DH206" i="28"/>
  <c r="DI206" i="28"/>
  <c r="DJ206" i="28"/>
  <c r="DF207" i="28"/>
  <c r="DG207" i="28"/>
  <c r="DH207" i="28"/>
  <c r="DI207" i="28"/>
  <c r="DJ207" i="28"/>
  <c r="DF208" i="28"/>
  <c r="DG208" i="28"/>
  <c r="DH208" i="28"/>
  <c r="DI208" i="28"/>
  <c r="DJ208" i="28"/>
  <c r="DF209" i="28"/>
  <c r="DG209" i="28"/>
  <c r="DH209" i="28"/>
  <c r="DI209" i="28"/>
  <c r="DJ209" i="28"/>
  <c r="DF210" i="28"/>
  <c r="DG210" i="28"/>
  <c r="DH210" i="28"/>
  <c r="DI210" i="28"/>
  <c r="DJ210" i="28"/>
  <c r="DF211" i="28"/>
  <c r="DG211" i="28"/>
  <c r="DH211" i="28"/>
  <c r="DI211" i="28"/>
  <c r="DJ211" i="28"/>
  <c r="DF212" i="28"/>
  <c r="DG212" i="28"/>
  <c r="DH212" i="28"/>
  <c r="DI212" i="28"/>
  <c r="DJ212" i="28"/>
  <c r="DF213" i="28"/>
  <c r="DG213" i="28"/>
  <c r="DH213" i="28"/>
  <c r="DI213" i="28"/>
  <c r="DJ213" i="28"/>
  <c r="DF214" i="28"/>
  <c r="DG214" i="28"/>
  <c r="DH214" i="28"/>
  <c r="DI214" i="28"/>
  <c r="DJ214" i="28"/>
  <c r="DF215" i="28"/>
  <c r="DG215" i="28"/>
  <c r="DH215" i="28"/>
  <c r="DI215" i="28"/>
  <c r="DJ215" i="28"/>
  <c r="DF216" i="28"/>
  <c r="DG216" i="28"/>
  <c r="DH216" i="28"/>
  <c r="DI216" i="28"/>
  <c r="DJ216" i="28"/>
  <c r="DF217" i="28"/>
  <c r="DG217" i="28"/>
  <c r="DH217" i="28"/>
  <c r="DI217" i="28"/>
  <c r="DJ217" i="28"/>
  <c r="DF218" i="28"/>
  <c r="DG218" i="28"/>
  <c r="DH218" i="28"/>
  <c r="DI218" i="28"/>
  <c r="DJ218" i="28"/>
  <c r="DF219" i="28"/>
  <c r="DG219" i="28"/>
  <c r="DH219" i="28"/>
  <c r="DI219" i="28"/>
  <c r="DJ219" i="28"/>
  <c r="DF220" i="28"/>
  <c r="DG220" i="28"/>
  <c r="DH220" i="28"/>
  <c r="DI220" i="28"/>
  <c r="DJ220" i="28"/>
  <c r="DF221" i="28"/>
  <c r="DG221" i="28"/>
  <c r="DH221" i="28"/>
  <c r="DI221" i="28"/>
  <c r="DJ221" i="28"/>
  <c r="DF222" i="28"/>
  <c r="DG222" i="28"/>
  <c r="DH222" i="28"/>
  <c r="DI222" i="28"/>
  <c r="DJ222" i="28"/>
  <c r="DF223" i="28"/>
  <c r="DG223" i="28"/>
  <c r="DH223" i="28"/>
  <c r="DI223" i="28"/>
  <c r="DJ223" i="28"/>
  <c r="DF224" i="28"/>
  <c r="DG224" i="28"/>
  <c r="DH224" i="28"/>
  <c r="DI224" i="28"/>
  <c r="DJ224" i="28"/>
  <c r="DF225" i="28"/>
  <c r="DG225" i="28"/>
  <c r="DH225" i="28"/>
  <c r="DI225" i="28"/>
  <c r="DJ225" i="28"/>
  <c r="DF226" i="28"/>
  <c r="DG226" i="28"/>
  <c r="DH226" i="28"/>
  <c r="DI226" i="28"/>
  <c r="DJ226" i="28"/>
  <c r="DF227" i="28"/>
  <c r="DG227" i="28"/>
  <c r="DH227" i="28"/>
  <c r="DI227" i="28"/>
  <c r="DJ227" i="28"/>
  <c r="DF228" i="28"/>
  <c r="DG228" i="28"/>
  <c r="DH228" i="28"/>
  <c r="DI228" i="28"/>
  <c r="DJ228" i="28"/>
  <c r="DF229" i="28"/>
  <c r="DG229" i="28"/>
  <c r="DH229" i="28"/>
  <c r="DI229" i="28"/>
  <c r="DJ229" i="28"/>
  <c r="DF230" i="28"/>
  <c r="DG230" i="28"/>
  <c r="DH230" i="28"/>
  <c r="DI230" i="28"/>
  <c r="DJ230" i="28"/>
  <c r="DF231" i="28"/>
  <c r="DG231" i="28"/>
  <c r="DH231" i="28"/>
  <c r="DI231" i="28"/>
  <c r="DJ231" i="28"/>
  <c r="DF232" i="28"/>
  <c r="DG232" i="28"/>
  <c r="DH232" i="28"/>
  <c r="DI232" i="28"/>
  <c r="DJ232" i="28"/>
  <c r="DF233" i="28"/>
  <c r="DG233" i="28"/>
  <c r="DH233" i="28"/>
  <c r="DI233" i="28"/>
  <c r="DJ233" i="28"/>
  <c r="DF234" i="28"/>
  <c r="DG234" i="28"/>
  <c r="DH234" i="28"/>
  <c r="DI234" i="28"/>
  <c r="DJ234" i="28"/>
  <c r="DF235" i="28"/>
  <c r="DG235" i="28"/>
  <c r="DH235" i="28"/>
  <c r="DI235" i="28"/>
  <c r="DJ235" i="28"/>
  <c r="DF236" i="28"/>
  <c r="DG236" i="28"/>
  <c r="DH236" i="28"/>
  <c r="DI236" i="28"/>
  <c r="DJ236" i="28"/>
  <c r="DF237" i="28"/>
  <c r="DG237" i="28"/>
  <c r="DH237" i="28"/>
  <c r="DI237" i="28"/>
  <c r="DJ237" i="28"/>
  <c r="DF238" i="28"/>
  <c r="DG238" i="28"/>
  <c r="DH238" i="28"/>
  <c r="DI238" i="28"/>
  <c r="DJ238" i="28"/>
  <c r="DF239" i="28"/>
  <c r="DG239" i="28"/>
  <c r="DH239" i="28"/>
  <c r="DI239" i="28"/>
  <c r="DJ239" i="28"/>
  <c r="DF240" i="28"/>
  <c r="DG240" i="28"/>
  <c r="DH240" i="28"/>
  <c r="DI240" i="28"/>
  <c r="DJ240" i="28"/>
  <c r="DF241" i="28"/>
  <c r="DG241" i="28"/>
  <c r="DH241" i="28"/>
  <c r="DI241" i="28"/>
  <c r="DJ241" i="28"/>
  <c r="DF242" i="28"/>
  <c r="DG242" i="28"/>
  <c r="DH242" i="28"/>
  <c r="DI242" i="28"/>
  <c r="DJ242" i="28"/>
  <c r="DF243" i="28"/>
  <c r="DG243" i="28"/>
  <c r="DH243" i="28"/>
  <c r="DI243" i="28"/>
  <c r="DJ243" i="28"/>
  <c r="DF244" i="28"/>
  <c r="DG244" i="28"/>
  <c r="DH244" i="28"/>
  <c r="DI244" i="28"/>
  <c r="DJ244" i="28"/>
  <c r="DF245" i="28"/>
  <c r="DG245" i="28"/>
  <c r="DH245" i="28"/>
  <c r="DI245" i="28"/>
  <c r="DJ245" i="28"/>
  <c r="DF246" i="28"/>
  <c r="DG246" i="28"/>
  <c r="DH246" i="28"/>
  <c r="DI246" i="28"/>
  <c r="DJ246" i="28"/>
  <c r="DF247" i="28"/>
  <c r="DG247" i="28"/>
  <c r="DH247" i="28"/>
  <c r="DI247" i="28"/>
  <c r="DJ247" i="28"/>
  <c r="DF248" i="28"/>
  <c r="DG248" i="28"/>
  <c r="DH248" i="28"/>
  <c r="DI248" i="28"/>
  <c r="DJ248" i="28"/>
  <c r="DF249" i="28"/>
  <c r="DG249" i="28"/>
  <c r="DH249" i="28"/>
  <c r="DI249" i="28"/>
  <c r="DJ249" i="28"/>
  <c r="DF250" i="28"/>
  <c r="DG250" i="28"/>
  <c r="DH250" i="28"/>
  <c r="DI250" i="28"/>
  <c r="DJ250" i="28"/>
  <c r="DF251" i="28"/>
  <c r="DG251" i="28"/>
  <c r="DH251" i="28"/>
  <c r="DI251" i="28"/>
  <c r="DJ251" i="28"/>
  <c r="DF252" i="28"/>
  <c r="DG252" i="28"/>
  <c r="DH252" i="28"/>
  <c r="DI252" i="28"/>
  <c r="DJ252" i="28"/>
  <c r="DF253" i="28"/>
  <c r="DG253" i="28"/>
  <c r="DH253" i="28"/>
  <c r="DI253" i="28"/>
  <c r="DJ253" i="28"/>
  <c r="DF254" i="28"/>
  <c r="DG254" i="28"/>
  <c r="DH254" i="28"/>
  <c r="DI254" i="28"/>
  <c r="DJ254" i="28"/>
  <c r="DF255" i="28"/>
  <c r="DG255" i="28"/>
  <c r="DH255" i="28"/>
  <c r="DI255" i="28"/>
  <c r="DJ255" i="28"/>
  <c r="DF256" i="28"/>
  <c r="DG256" i="28"/>
  <c r="DH256" i="28"/>
  <c r="DI256" i="28"/>
  <c r="DJ256" i="28"/>
  <c r="DF257" i="28"/>
  <c r="DG257" i="28"/>
  <c r="DH257" i="28"/>
  <c r="DI257" i="28"/>
  <c r="DJ257" i="28"/>
  <c r="DF258" i="28"/>
  <c r="DG258" i="28"/>
  <c r="DH258" i="28"/>
  <c r="DI258" i="28"/>
  <c r="DJ258" i="28"/>
  <c r="DF259" i="28"/>
  <c r="DG259" i="28"/>
  <c r="DH259" i="28"/>
  <c r="DI259" i="28"/>
  <c r="DJ259" i="28"/>
  <c r="DF260" i="28"/>
  <c r="DG260" i="28"/>
  <c r="DH260" i="28"/>
  <c r="DI260" i="28"/>
  <c r="DJ260" i="28"/>
  <c r="DF261" i="28"/>
  <c r="DG261" i="28"/>
  <c r="DH261" i="28"/>
  <c r="DI261" i="28"/>
  <c r="DJ261" i="28"/>
  <c r="DF262" i="28"/>
  <c r="DG262" i="28"/>
  <c r="DH262" i="28"/>
  <c r="DI262" i="28"/>
  <c r="DJ262" i="28"/>
  <c r="DF263" i="28"/>
  <c r="DG263" i="28"/>
  <c r="DH263" i="28"/>
  <c r="DI263" i="28"/>
  <c r="DJ263" i="28"/>
  <c r="DF264" i="28"/>
  <c r="DG264" i="28"/>
  <c r="DH264" i="28"/>
  <c r="DI264" i="28"/>
  <c r="DJ264" i="28"/>
  <c r="DF265" i="28"/>
  <c r="DG265" i="28"/>
  <c r="DH265" i="28"/>
  <c r="DI265" i="28"/>
  <c r="DJ265" i="28"/>
  <c r="DF266" i="28"/>
  <c r="DG266" i="28"/>
  <c r="DH266" i="28"/>
  <c r="DI266" i="28"/>
  <c r="DJ266" i="28"/>
  <c r="DF267" i="28"/>
  <c r="DG267" i="28"/>
  <c r="DH267" i="28"/>
  <c r="DI267" i="28"/>
  <c r="DJ267" i="28"/>
  <c r="DF268" i="28"/>
  <c r="DG268" i="28"/>
  <c r="DH268" i="28"/>
  <c r="DI268" i="28"/>
  <c r="DJ268" i="28"/>
  <c r="DF269" i="28"/>
  <c r="DG269" i="28"/>
  <c r="DH269" i="28"/>
  <c r="DI269" i="28"/>
  <c r="DJ269" i="28"/>
  <c r="DF270" i="28"/>
  <c r="DG270" i="28"/>
  <c r="DH270" i="28"/>
  <c r="DI270" i="28"/>
  <c r="DJ270" i="28"/>
  <c r="DF271" i="28"/>
  <c r="DG271" i="28"/>
  <c r="DH271" i="28"/>
  <c r="DI271" i="28"/>
  <c r="DJ271" i="28"/>
  <c r="DF272" i="28"/>
  <c r="DG272" i="28"/>
  <c r="DH272" i="28"/>
  <c r="DI272" i="28"/>
  <c r="DJ272" i="28"/>
  <c r="DF273" i="28"/>
  <c r="DG273" i="28"/>
  <c r="DH273" i="28"/>
  <c r="DI273" i="28"/>
  <c r="DJ273" i="28"/>
  <c r="DF274" i="28"/>
  <c r="DG274" i="28"/>
  <c r="DH274" i="28"/>
  <c r="DI274" i="28"/>
  <c r="DJ274" i="28"/>
  <c r="DF275" i="28"/>
  <c r="DG275" i="28"/>
  <c r="DH275" i="28"/>
  <c r="DI275" i="28"/>
  <c r="DJ275" i="28"/>
  <c r="DF276" i="28"/>
  <c r="DG276" i="28"/>
  <c r="DH276" i="28"/>
  <c r="DI276" i="28"/>
  <c r="DJ276" i="28"/>
  <c r="DF277" i="28"/>
  <c r="DG277" i="28"/>
  <c r="DH277" i="28"/>
  <c r="DI277" i="28"/>
  <c r="DJ277" i="28"/>
  <c r="DF278" i="28"/>
  <c r="DG278" i="28"/>
  <c r="DH278" i="28"/>
  <c r="DI278" i="28"/>
  <c r="DJ278" i="28"/>
  <c r="DF279" i="28"/>
  <c r="DG279" i="28"/>
  <c r="DH279" i="28"/>
  <c r="DI279" i="28"/>
  <c r="DJ279" i="28"/>
  <c r="DF280" i="28"/>
  <c r="DG280" i="28"/>
  <c r="DH280" i="28"/>
  <c r="DI280" i="28"/>
  <c r="DJ280" i="28"/>
  <c r="DF281" i="28"/>
  <c r="DG281" i="28"/>
  <c r="DH281" i="28"/>
  <c r="DI281" i="28"/>
  <c r="DJ281" i="28"/>
  <c r="DF282" i="28"/>
  <c r="DG282" i="28"/>
  <c r="DH282" i="28"/>
  <c r="DI282" i="28"/>
  <c r="DJ282" i="28"/>
  <c r="DF283" i="28"/>
  <c r="DG283" i="28"/>
  <c r="DH283" i="28"/>
  <c r="DI283" i="28"/>
  <c r="DJ283" i="28"/>
  <c r="DF284" i="28"/>
  <c r="DG284" i="28"/>
  <c r="DH284" i="28"/>
  <c r="DI284" i="28"/>
  <c r="DJ284" i="28"/>
  <c r="DF285" i="28"/>
  <c r="DG285" i="28"/>
  <c r="DH285" i="28"/>
  <c r="DI285" i="28"/>
  <c r="DJ285" i="28"/>
  <c r="DF286" i="28"/>
  <c r="DG286" i="28"/>
  <c r="DH286" i="28"/>
  <c r="DI286" i="28"/>
  <c r="DJ286" i="28"/>
  <c r="DF287" i="28"/>
  <c r="DG287" i="28"/>
  <c r="DH287" i="28"/>
  <c r="DI287" i="28"/>
  <c r="DJ287" i="28"/>
  <c r="DF288" i="28"/>
  <c r="DG288" i="28"/>
  <c r="DH288" i="28"/>
  <c r="DI288" i="28"/>
  <c r="DJ288" i="28"/>
  <c r="DF289" i="28"/>
  <c r="DG289" i="28"/>
  <c r="DH289" i="28"/>
  <c r="DI289" i="28"/>
  <c r="DJ289" i="28"/>
  <c r="DF290" i="28"/>
  <c r="DG290" i="28"/>
  <c r="DH290" i="28"/>
  <c r="DI290" i="28"/>
  <c r="DJ290" i="28"/>
  <c r="DF291" i="28"/>
  <c r="DG291" i="28"/>
  <c r="DH291" i="28"/>
  <c r="DI291" i="28"/>
  <c r="DJ291" i="28"/>
  <c r="DF292" i="28"/>
  <c r="DG292" i="28"/>
  <c r="DH292" i="28"/>
  <c r="DI292" i="28"/>
  <c r="DJ292" i="28"/>
  <c r="DF293" i="28"/>
  <c r="DG293" i="28"/>
  <c r="DH293" i="28"/>
  <c r="DI293" i="28"/>
  <c r="DJ293" i="28"/>
  <c r="DF294" i="28"/>
  <c r="DG294" i="28"/>
  <c r="DH294" i="28"/>
  <c r="DI294" i="28"/>
  <c r="DJ294" i="28"/>
  <c r="DF295" i="28"/>
  <c r="DG295" i="28"/>
  <c r="DH295" i="28"/>
  <c r="DI295" i="28"/>
  <c r="DJ295" i="28"/>
  <c r="DF296" i="28"/>
  <c r="DG296" i="28"/>
  <c r="DH296" i="28"/>
  <c r="DI296" i="28"/>
  <c r="DJ296" i="28"/>
  <c r="DF297" i="28"/>
  <c r="DG297" i="28"/>
  <c r="DH297" i="28"/>
  <c r="DI297" i="28"/>
  <c r="DJ297" i="28"/>
  <c r="DF298" i="28"/>
  <c r="DG298" i="28"/>
  <c r="DH298" i="28"/>
  <c r="DI298" i="28"/>
  <c r="DJ298" i="28"/>
  <c r="DF299" i="28"/>
  <c r="DG299" i="28"/>
  <c r="DH299" i="28"/>
  <c r="DI299" i="28"/>
  <c r="DJ299" i="28"/>
  <c r="DF300" i="28"/>
  <c r="DG300" i="28"/>
  <c r="DH300" i="28"/>
  <c r="DI300" i="28"/>
  <c r="DJ300" i="28"/>
  <c r="DF301" i="28"/>
  <c r="DG301" i="28"/>
  <c r="DH301" i="28"/>
  <c r="DI301" i="28"/>
  <c r="DJ301" i="28"/>
  <c r="DF302" i="28"/>
  <c r="DG302" i="28"/>
  <c r="DH302" i="28"/>
  <c r="DI302" i="28"/>
  <c r="DJ302" i="28"/>
  <c r="DF303" i="28"/>
  <c r="DG303" i="28"/>
  <c r="DH303" i="28"/>
  <c r="DI303" i="28"/>
  <c r="DJ303" i="28"/>
  <c r="DF304" i="28"/>
  <c r="DG304" i="28"/>
  <c r="DH304" i="28"/>
  <c r="DI304" i="28"/>
  <c r="DJ304" i="28"/>
  <c r="DF305" i="28"/>
  <c r="DG305" i="28"/>
  <c r="DH305" i="28"/>
  <c r="DI305" i="28"/>
  <c r="DJ305" i="28"/>
  <c r="DF306" i="28"/>
  <c r="DG306" i="28"/>
  <c r="DH306" i="28"/>
  <c r="DI306" i="28"/>
  <c r="DJ306" i="28"/>
  <c r="DF307" i="28"/>
  <c r="DG307" i="28"/>
  <c r="DH307" i="28"/>
  <c r="DI307" i="28"/>
  <c r="DJ307" i="28"/>
  <c r="DF308" i="28"/>
  <c r="DG308" i="28"/>
  <c r="DH308" i="28"/>
  <c r="DI308" i="28"/>
  <c r="DJ308" i="28"/>
  <c r="DF309" i="28"/>
  <c r="DG309" i="28"/>
  <c r="DH309" i="28"/>
  <c r="DI309" i="28"/>
  <c r="DJ309" i="28"/>
  <c r="DF310" i="28"/>
  <c r="DG310" i="28"/>
  <c r="DH310" i="28"/>
  <c r="DI310" i="28"/>
  <c r="DJ310" i="28"/>
  <c r="DF311" i="28"/>
  <c r="DG311" i="28"/>
  <c r="DH311" i="28"/>
  <c r="DI311" i="28"/>
  <c r="DJ311" i="28"/>
  <c r="DF312" i="28"/>
  <c r="DG312" i="28"/>
  <c r="DH312" i="28"/>
  <c r="DI312" i="28"/>
  <c r="DJ312" i="28"/>
  <c r="DF313" i="28"/>
  <c r="DG313" i="28"/>
  <c r="DH313" i="28"/>
  <c r="DI313" i="28"/>
  <c r="DJ313" i="28"/>
  <c r="DF314" i="28"/>
  <c r="DG314" i="28"/>
  <c r="DH314" i="28"/>
  <c r="DI314" i="28"/>
  <c r="DJ314" i="28"/>
  <c r="DF338" i="28"/>
  <c r="DG338" i="28"/>
  <c r="DH338" i="28"/>
  <c r="DI338" i="28"/>
  <c r="DJ338" i="28"/>
  <c r="DF339" i="28"/>
  <c r="DG339" i="28"/>
  <c r="DH339" i="28"/>
  <c r="DI339" i="28"/>
  <c r="DJ339" i="28"/>
  <c r="DF340" i="28"/>
  <c r="DG340" i="28"/>
  <c r="DH340" i="28"/>
  <c r="DI340" i="28"/>
  <c r="DJ340" i="28"/>
  <c r="DF341" i="28"/>
  <c r="DG341" i="28"/>
  <c r="DH341" i="28"/>
  <c r="DI341" i="28"/>
  <c r="DJ341" i="28"/>
  <c r="DJ2" i="28"/>
  <c r="DI2" i="28"/>
  <c r="DH2" i="28"/>
  <c r="DG2" i="28"/>
  <c r="DF2" i="28"/>
  <c r="CC3" i="30"/>
  <c r="AD3" i="30"/>
  <c r="AE3" i="30"/>
  <c r="AF3" i="30"/>
  <c r="AG3" i="30"/>
  <c r="AH3" i="30"/>
  <c r="AI3" i="30"/>
  <c r="AJ3" i="30"/>
  <c r="AK3" i="30"/>
  <c r="AL3" i="30"/>
  <c r="AM3" i="30"/>
  <c r="AN3" i="30"/>
  <c r="AO3" i="30"/>
  <c r="AP3" i="30"/>
  <c r="AQ3" i="30"/>
  <c r="AR3" i="30"/>
  <c r="AS3" i="30"/>
  <c r="AT3" i="30"/>
  <c r="AU3" i="30"/>
  <c r="AV3" i="30"/>
  <c r="AW3" i="30"/>
  <c r="AX3" i="30"/>
  <c r="AY3" i="30"/>
  <c r="AZ3" i="30"/>
  <c r="BA3" i="30"/>
  <c r="BB3" i="30"/>
  <c r="BC3" i="30"/>
  <c r="BD3" i="30"/>
  <c r="BE3" i="30"/>
  <c r="BF3" i="30"/>
  <c r="BG3" i="30"/>
  <c r="BH3" i="30"/>
  <c r="BI3" i="30"/>
  <c r="BJ3" i="30"/>
  <c r="BK3" i="30"/>
  <c r="BL3" i="30"/>
  <c r="BM3" i="30"/>
  <c r="BN3" i="30"/>
  <c r="BO3" i="30"/>
  <c r="BP3" i="30"/>
  <c r="BQ3" i="30"/>
  <c r="BR3" i="30"/>
  <c r="BS3" i="30"/>
  <c r="BT3" i="30"/>
  <c r="BU3" i="30"/>
  <c r="BV3" i="30"/>
  <c r="BW3" i="30"/>
  <c r="BX3" i="30"/>
  <c r="BY3" i="30"/>
  <c r="BZ3" i="30"/>
  <c r="CA3" i="30"/>
  <c r="CB3" i="30"/>
  <c r="AD4" i="30"/>
  <c r="AE4" i="30"/>
  <c r="AF4" i="30"/>
  <c r="AG4" i="30"/>
  <c r="AH4" i="30"/>
  <c r="AI4" i="30"/>
  <c r="AJ4" i="30"/>
  <c r="AK4" i="30"/>
  <c r="AL4" i="30"/>
  <c r="AM4" i="30"/>
  <c r="AN4" i="30"/>
  <c r="AO4" i="30"/>
  <c r="AP4" i="30"/>
  <c r="AQ4" i="30"/>
  <c r="AR4" i="30"/>
  <c r="AS4" i="30"/>
  <c r="AT4" i="30"/>
  <c r="AU4" i="30"/>
  <c r="AV4" i="30"/>
  <c r="AW4" i="30"/>
  <c r="AX4" i="30"/>
  <c r="AY4" i="30"/>
  <c r="AZ4" i="30"/>
  <c r="BA4" i="30"/>
  <c r="BB4" i="30"/>
  <c r="BC4" i="30"/>
  <c r="BD4" i="30"/>
  <c r="BE4" i="30"/>
  <c r="BF4" i="30"/>
  <c r="BG4" i="30"/>
  <c r="BH4" i="30"/>
  <c r="BI4" i="30"/>
  <c r="BJ4" i="30"/>
  <c r="BK4" i="30"/>
  <c r="BL4" i="30"/>
  <c r="BM4" i="30"/>
  <c r="BN4" i="30"/>
  <c r="BO4" i="30"/>
  <c r="BP4" i="30"/>
  <c r="BQ4" i="30"/>
  <c r="BR4" i="30"/>
  <c r="BS4" i="30"/>
  <c r="BT4" i="30"/>
  <c r="BU4" i="30"/>
  <c r="BV4" i="30"/>
  <c r="BW4" i="30"/>
  <c r="BX4" i="30"/>
  <c r="BY4" i="30"/>
  <c r="BZ4" i="30"/>
  <c r="CA4" i="30"/>
  <c r="CB4" i="30"/>
  <c r="CC4" i="30"/>
  <c r="AD5" i="30"/>
  <c r="AE5" i="30"/>
  <c r="AF5" i="30"/>
  <c r="AG5" i="30"/>
  <c r="AH5" i="30"/>
  <c r="AI5" i="30"/>
  <c r="AJ5" i="30"/>
  <c r="AK5" i="30"/>
  <c r="AL5" i="30"/>
  <c r="AM5" i="30"/>
  <c r="AN5" i="30"/>
  <c r="AO5" i="30"/>
  <c r="AP5" i="30"/>
  <c r="AQ5" i="30"/>
  <c r="AR5" i="30"/>
  <c r="AS5" i="30"/>
  <c r="AT5" i="30"/>
  <c r="AU5" i="30"/>
  <c r="AV5" i="30"/>
  <c r="AW5" i="30"/>
  <c r="AX5" i="30"/>
  <c r="AY5" i="30"/>
  <c r="AZ5" i="30"/>
  <c r="BA5" i="30"/>
  <c r="BB5" i="30"/>
  <c r="BC5" i="30"/>
  <c r="BD5" i="30"/>
  <c r="BE5" i="30"/>
  <c r="BF5" i="30"/>
  <c r="BG5" i="30"/>
  <c r="BH5" i="30"/>
  <c r="BI5" i="30"/>
  <c r="BJ5" i="30"/>
  <c r="BK5" i="30"/>
  <c r="BL5" i="30"/>
  <c r="BM5" i="30"/>
  <c r="BN5" i="30"/>
  <c r="BO5" i="30"/>
  <c r="BP5" i="30"/>
  <c r="BQ5" i="30"/>
  <c r="BR5" i="30"/>
  <c r="BS5" i="30"/>
  <c r="BT5" i="30"/>
  <c r="BU5" i="30"/>
  <c r="BV5" i="30"/>
  <c r="BW5" i="30"/>
  <c r="BX5" i="30"/>
  <c r="BY5" i="30"/>
  <c r="BZ5" i="30"/>
  <c r="CA5" i="30"/>
  <c r="CB5" i="30"/>
  <c r="CC5" i="30"/>
  <c r="AD6" i="30"/>
  <c r="AE6" i="30"/>
  <c r="AF6" i="30"/>
  <c r="AG6" i="30"/>
  <c r="AH6" i="30"/>
  <c r="AI6" i="30"/>
  <c r="AJ6" i="30"/>
  <c r="AK6" i="30"/>
  <c r="AL6" i="30"/>
  <c r="AM6" i="30"/>
  <c r="AN6" i="30"/>
  <c r="AO6" i="30"/>
  <c r="AP6" i="30"/>
  <c r="AQ6" i="30"/>
  <c r="AR6" i="30"/>
  <c r="AS6" i="30"/>
  <c r="AT6" i="30"/>
  <c r="AU6" i="30"/>
  <c r="AV6" i="30"/>
  <c r="AW6" i="30"/>
  <c r="AX6" i="30"/>
  <c r="AY6" i="30"/>
  <c r="AZ6" i="30"/>
  <c r="BA6" i="30"/>
  <c r="BB6" i="30"/>
  <c r="BC6" i="30"/>
  <c r="BD6" i="30"/>
  <c r="BE6" i="30"/>
  <c r="BF6" i="30"/>
  <c r="BG6" i="30"/>
  <c r="BH6" i="30"/>
  <c r="BI6" i="30"/>
  <c r="BJ6" i="30"/>
  <c r="BK6" i="30"/>
  <c r="BL6" i="30"/>
  <c r="BM6" i="30"/>
  <c r="BN6" i="30"/>
  <c r="BO6" i="30"/>
  <c r="BP6" i="30"/>
  <c r="BQ6" i="30"/>
  <c r="BR6" i="30"/>
  <c r="BS6" i="30"/>
  <c r="BT6" i="30"/>
  <c r="BU6" i="30"/>
  <c r="BV6" i="30"/>
  <c r="BW6" i="30"/>
  <c r="BX6" i="30"/>
  <c r="BY6" i="30"/>
  <c r="BZ6" i="30"/>
  <c r="CA6" i="30"/>
  <c r="CB6" i="30"/>
  <c r="CC6" i="30"/>
  <c r="AD7" i="30"/>
  <c r="AE7" i="30"/>
  <c r="AF7" i="30"/>
  <c r="AG7" i="30"/>
  <c r="AH7" i="30"/>
  <c r="AI7" i="30"/>
  <c r="AJ7" i="30"/>
  <c r="AK7" i="30"/>
  <c r="AL7" i="30"/>
  <c r="AM7" i="30"/>
  <c r="AN7" i="30"/>
  <c r="AO7" i="30"/>
  <c r="AP7" i="30"/>
  <c r="AQ7" i="30"/>
  <c r="AR7" i="30"/>
  <c r="AS7" i="30"/>
  <c r="AT7" i="30"/>
  <c r="AU7" i="30"/>
  <c r="AV7" i="30"/>
  <c r="AW7" i="30"/>
  <c r="AX7" i="30"/>
  <c r="AY7" i="30"/>
  <c r="AZ7" i="30"/>
  <c r="BA7" i="30"/>
  <c r="BB7" i="30"/>
  <c r="BC7" i="30"/>
  <c r="BD7" i="30"/>
  <c r="BE7" i="30"/>
  <c r="BF7" i="30"/>
  <c r="BG7" i="30"/>
  <c r="BH7" i="30"/>
  <c r="BI7" i="30"/>
  <c r="BJ7" i="30"/>
  <c r="BK7" i="30"/>
  <c r="BL7" i="30"/>
  <c r="BM7" i="30"/>
  <c r="BN7" i="30"/>
  <c r="BO7" i="30"/>
  <c r="BP7" i="30"/>
  <c r="BQ7" i="30"/>
  <c r="BR7" i="30"/>
  <c r="BS7" i="30"/>
  <c r="BT7" i="30"/>
  <c r="BU7" i="30"/>
  <c r="BV7" i="30"/>
  <c r="BW7" i="30"/>
  <c r="BX7" i="30"/>
  <c r="BY7" i="30"/>
  <c r="BZ7" i="30"/>
  <c r="CA7" i="30"/>
  <c r="CB7" i="30"/>
  <c r="CC7" i="30"/>
  <c r="AD8" i="30"/>
  <c r="AE8" i="30"/>
  <c r="AF8" i="30"/>
  <c r="AG8" i="30"/>
  <c r="AH8" i="30"/>
  <c r="AI8" i="30"/>
  <c r="AJ8" i="30"/>
  <c r="AK8" i="30"/>
  <c r="AL8" i="30"/>
  <c r="AM8" i="30"/>
  <c r="AN8" i="30"/>
  <c r="AO8" i="30"/>
  <c r="AP8" i="30"/>
  <c r="AQ8" i="30"/>
  <c r="AR8" i="30"/>
  <c r="AS8" i="30"/>
  <c r="AT8" i="30"/>
  <c r="AU8" i="30"/>
  <c r="AV8" i="30"/>
  <c r="AW8" i="30"/>
  <c r="AX8" i="30"/>
  <c r="AY8" i="30"/>
  <c r="AZ8" i="30"/>
  <c r="BA8" i="30"/>
  <c r="BB8" i="30"/>
  <c r="BC8" i="30"/>
  <c r="BD8" i="30"/>
  <c r="BE8" i="30"/>
  <c r="BF8" i="30"/>
  <c r="BG8" i="30"/>
  <c r="BH8" i="30"/>
  <c r="BI8" i="30"/>
  <c r="BJ8" i="30"/>
  <c r="BK8" i="30"/>
  <c r="BL8" i="30"/>
  <c r="BM8" i="30"/>
  <c r="BN8" i="30"/>
  <c r="BO8" i="30"/>
  <c r="BP8" i="30"/>
  <c r="BQ8" i="30"/>
  <c r="BR8" i="30"/>
  <c r="BS8" i="30"/>
  <c r="BT8" i="30"/>
  <c r="BU8" i="30"/>
  <c r="BV8" i="30"/>
  <c r="BW8" i="30"/>
  <c r="BX8" i="30"/>
  <c r="BY8" i="30"/>
  <c r="BZ8" i="30"/>
  <c r="CA8" i="30"/>
  <c r="CB8" i="30"/>
  <c r="CC8" i="30"/>
  <c r="AD9" i="30"/>
  <c r="AE9" i="30"/>
  <c r="AF9" i="30"/>
  <c r="AG9" i="30"/>
  <c r="AH9" i="30"/>
  <c r="AI9" i="30"/>
  <c r="AJ9" i="30"/>
  <c r="AK9" i="30"/>
  <c r="AL9" i="30"/>
  <c r="AM9" i="30"/>
  <c r="AN9" i="30"/>
  <c r="AO9" i="30"/>
  <c r="AP9" i="30"/>
  <c r="AQ9" i="30"/>
  <c r="AR9" i="30"/>
  <c r="AS9" i="30"/>
  <c r="AT9" i="30"/>
  <c r="AU9" i="30"/>
  <c r="AV9" i="30"/>
  <c r="AW9" i="30"/>
  <c r="AX9" i="30"/>
  <c r="AY9" i="30"/>
  <c r="AZ9" i="30"/>
  <c r="BA9" i="30"/>
  <c r="BB9" i="30"/>
  <c r="BC9" i="30"/>
  <c r="BD9" i="30"/>
  <c r="BE9" i="30"/>
  <c r="BF9" i="30"/>
  <c r="BG9" i="30"/>
  <c r="BH9" i="30"/>
  <c r="BI9" i="30"/>
  <c r="BJ9" i="30"/>
  <c r="BK9" i="30"/>
  <c r="BL9" i="30"/>
  <c r="BM9" i="30"/>
  <c r="BN9" i="30"/>
  <c r="BO9" i="30"/>
  <c r="BP9" i="30"/>
  <c r="BQ9" i="30"/>
  <c r="BR9" i="30"/>
  <c r="BS9" i="30"/>
  <c r="BT9" i="30"/>
  <c r="BU9" i="30"/>
  <c r="BV9" i="30"/>
  <c r="BW9" i="30"/>
  <c r="BX9" i="30"/>
  <c r="BY9" i="30"/>
  <c r="BZ9" i="30"/>
  <c r="CA9" i="30"/>
  <c r="CB9" i="30"/>
  <c r="CC9" i="30"/>
  <c r="AD10" i="30"/>
  <c r="AE10" i="30"/>
  <c r="AF10" i="30"/>
  <c r="AG10" i="30"/>
  <c r="AH10" i="30"/>
  <c r="AI10" i="30"/>
  <c r="AJ10" i="30"/>
  <c r="AK10" i="30"/>
  <c r="AL10" i="30"/>
  <c r="AM10" i="30"/>
  <c r="AN10" i="30"/>
  <c r="AO10" i="30"/>
  <c r="AP10" i="30"/>
  <c r="AQ10" i="30"/>
  <c r="AR10" i="30"/>
  <c r="AS10" i="30"/>
  <c r="AT10" i="30"/>
  <c r="AU10" i="30"/>
  <c r="AV10" i="30"/>
  <c r="AW10" i="30"/>
  <c r="AX10" i="30"/>
  <c r="AY10" i="30"/>
  <c r="AZ10" i="30"/>
  <c r="BA10" i="30"/>
  <c r="BB10" i="30"/>
  <c r="BC10" i="30"/>
  <c r="BD10" i="30"/>
  <c r="BE10" i="30"/>
  <c r="BF10" i="30"/>
  <c r="BG10" i="30"/>
  <c r="BH10" i="30"/>
  <c r="BI10" i="30"/>
  <c r="BJ10" i="30"/>
  <c r="BK10" i="30"/>
  <c r="BL10" i="30"/>
  <c r="BM10" i="30"/>
  <c r="BN10" i="30"/>
  <c r="BO10" i="30"/>
  <c r="BP10" i="30"/>
  <c r="BQ10" i="30"/>
  <c r="BR10" i="30"/>
  <c r="BS10" i="30"/>
  <c r="BT10" i="30"/>
  <c r="BU10" i="30"/>
  <c r="BV10" i="30"/>
  <c r="BW10" i="30"/>
  <c r="BX10" i="30"/>
  <c r="BY10" i="30"/>
  <c r="BZ10" i="30"/>
  <c r="CA10" i="30"/>
  <c r="CB10" i="30"/>
  <c r="CC10" i="30"/>
  <c r="AD11" i="30"/>
  <c r="AE11" i="30"/>
  <c r="AF11" i="30"/>
  <c r="AG11" i="30"/>
  <c r="AH11" i="30"/>
  <c r="AI11" i="30"/>
  <c r="AJ11" i="30"/>
  <c r="AK11" i="30"/>
  <c r="AL11" i="30"/>
  <c r="AM11" i="30"/>
  <c r="AN11" i="30"/>
  <c r="AO11" i="30"/>
  <c r="AP11" i="30"/>
  <c r="AQ11" i="30"/>
  <c r="AR11" i="30"/>
  <c r="AS11" i="30"/>
  <c r="AT11" i="30"/>
  <c r="AU11" i="30"/>
  <c r="AV11" i="30"/>
  <c r="AW11" i="30"/>
  <c r="AX11" i="30"/>
  <c r="AY11" i="30"/>
  <c r="AZ11" i="30"/>
  <c r="BA11" i="30"/>
  <c r="BB11" i="30"/>
  <c r="BC11" i="30"/>
  <c r="BD11" i="30"/>
  <c r="BE11" i="30"/>
  <c r="BF11" i="30"/>
  <c r="BG11" i="30"/>
  <c r="BH11" i="30"/>
  <c r="BI11" i="30"/>
  <c r="BJ11" i="30"/>
  <c r="BK11" i="30"/>
  <c r="BL11" i="30"/>
  <c r="BM11" i="30"/>
  <c r="BN11" i="30"/>
  <c r="BO11" i="30"/>
  <c r="BP11" i="30"/>
  <c r="BQ11" i="30"/>
  <c r="BR11" i="30"/>
  <c r="BS11" i="30"/>
  <c r="BT11" i="30"/>
  <c r="BU11" i="30"/>
  <c r="BV11" i="30"/>
  <c r="BW11" i="30"/>
  <c r="BX11" i="30"/>
  <c r="BY11" i="30"/>
  <c r="BZ11" i="30"/>
  <c r="CA11" i="30"/>
  <c r="CB11" i="30"/>
  <c r="CC11" i="30"/>
  <c r="AD12" i="30"/>
  <c r="AE12" i="30"/>
  <c r="AF12" i="30"/>
  <c r="AG12" i="30"/>
  <c r="AH12" i="30"/>
  <c r="AI12" i="30"/>
  <c r="AJ12" i="30"/>
  <c r="AK12" i="30"/>
  <c r="AL12" i="30"/>
  <c r="AM12" i="30"/>
  <c r="AN12" i="30"/>
  <c r="AO12" i="30"/>
  <c r="AP12" i="30"/>
  <c r="AQ12" i="30"/>
  <c r="AR12" i="30"/>
  <c r="AS12" i="30"/>
  <c r="AT12" i="30"/>
  <c r="AU12" i="30"/>
  <c r="AV12" i="30"/>
  <c r="AW12" i="30"/>
  <c r="AX12" i="30"/>
  <c r="AY12" i="30"/>
  <c r="AZ12" i="30"/>
  <c r="BA12" i="30"/>
  <c r="BB12" i="30"/>
  <c r="BC12" i="30"/>
  <c r="BD12" i="30"/>
  <c r="BE12" i="30"/>
  <c r="BF12" i="30"/>
  <c r="BG12" i="30"/>
  <c r="BH12" i="30"/>
  <c r="BI12" i="30"/>
  <c r="BJ12" i="30"/>
  <c r="BK12" i="30"/>
  <c r="BL12" i="30"/>
  <c r="BM12" i="30"/>
  <c r="BN12" i="30"/>
  <c r="BO12" i="30"/>
  <c r="BP12" i="30"/>
  <c r="BQ12" i="30"/>
  <c r="BR12" i="30"/>
  <c r="BS12" i="30"/>
  <c r="BT12" i="30"/>
  <c r="BU12" i="30"/>
  <c r="BV12" i="30"/>
  <c r="BW12" i="30"/>
  <c r="BX12" i="30"/>
  <c r="BY12" i="30"/>
  <c r="BZ12" i="30"/>
  <c r="CA12" i="30"/>
  <c r="CB12" i="30"/>
  <c r="CC12" i="30"/>
  <c r="AD13" i="30"/>
  <c r="AE13" i="30"/>
  <c r="AF13" i="30"/>
  <c r="AG13" i="30"/>
  <c r="AH13" i="30"/>
  <c r="AI13" i="30"/>
  <c r="AJ13" i="30"/>
  <c r="AK13" i="30"/>
  <c r="AL13" i="30"/>
  <c r="AM13" i="30"/>
  <c r="AN13" i="30"/>
  <c r="AO13" i="30"/>
  <c r="AP13" i="30"/>
  <c r="AQ13" i="30"/>
  <c r="AR13" i="30"/>
  <c r="AS13" i="30"/>
  <c r="AT13" i="30"/>
  <c r="AU13" i="30"/>
  <c r="AV13" i="30"/>
  <c r="AW13" i="30"/>
  <c r="AX13" i="30"/>
  <c r="AY13" i="30"/>
  <c r="AZ13" i="30"/>
  <c r="BA13" i="30"/>
  <c r="BB13" i="30"/>
  <c r="BC13" i="30"/>
  <c r="BD13" i="30"/>
  <c r="BE13" i="30"/>
  <c r="BF13" i="30"/>
  <c r="BG13" i="30"/>
  <c r="BH13" i="30"/>
  <c r="BI13" i="30"/>
  <c r="BJ13" i="30"/>
  <c r="BK13" i="30"/>
  <c r="BL13" i="30"/>
  <c r="BM13" i="30"/>
  <c r="BN13" i="30"/>
  <c r="BO13" i="30"/>
  <c r="BP13" i="30"/>
  <c r="BQ13" i="30"/>
  <c r="BR13" i="30"/>
  <c r="BS13" i="30"/>
  <c r="BT13" i="30"/>
  <c r="BU13" i="30"/>
  <c r="BV13" i="30"/>
  <c r="BW13" i="30"/>
  <c r="BX13" i="30"/>
  <c r="BY13" i="30"/>
  <c r="BZ13" i="30"/>
  <c r="CA13" i="30"/>
  <c r="CB13" i="30"/>
  <c r="CC13" i="30"/>
  <c r="AD14" i="30"/>
  <c r="AE14" i="30"/>
  <c r="AF14" i="30"/>
  <c r="AG14" i="30"/>
  <c r="AH14" i="30"/>
  <c r="AI14" i="30"/>
  <c r="AJ14" i="30"/>
  <c r="AK14" i="30"/>
  <c r="AL14" i="30"/>
  <c r="AM14" i="30"/>
  <c r="AN14" i="30"/>
  <c r="AO14" i="30"/>
  <c r="AP14" i="30"/>
  <c r="AQ14" i="30"/>
  <c r="AR14" i="30"/>
  <c r="AS14" i="30"/>
  <c r="AT14" i="30"/>
  <c r="AU14" i="30"/>
  <c r="AV14" i="30"/>
  <c r="AW14" i="30"/>
  <c r="AX14" i="30"/>
  <c r="AY14" i="30"/>
  <c r="AZ14" i="30"/>
  <c r="BA14" i="30"/>
  <c r="BB14" i="30"/>
  <c r="BC14" i="30"/>
  <c r="BD14" i="30"/>
  <c r="BE14" i="30"/>
  <c r="BF14" i="30"/>
  <c r="BG14" i="30"/>
  <c r="BH14" i="30"/>
  <c r="BI14" i="30"/>
  <c r="BJ14" i="30"/>
  <c r="BK14" i="30"/>
  <c r="BL14" i="30"/>
  <c r="BM14" i="30"/>
  <c r="BN14" i="30"/>
  <c r="BO14" i="30"/>
  <c r="BP14" i="30"/>
  <c r="BQ14" i="30"/>
  <c r="BR14" i="30"/>
  <c r="BS14" i="30"/>
  <c r="BT14" i="30"/>
  <c r="BU14" i="30"/>
  <c r="BV14" i="30"/>
  <c r="BW14" i="30"/>
  <c r="BX14" i="30"/>
  <c r="BY14" i="30"/>
  <c r="BZ14" i="30"/>
  <c r="CA14" i="30"/>
  <c r="CB14" i="30"/>
  <c r="CC14" i="30"/>
  <c r="AD15" i="30"/>
  <c r="AE15" i="30"/>
  <c r="AF15" i="30"/>
  <c r="AG15" i="30"/>
  <c r="AH15" i="30"/>
  <c r="AI15" i="30"/>
  <c r="AJ15" i="30"/>
  <c r="AK15" i="30"/>
  <c r="AL15" i="30"/>
  <c r="AM15" i="30"/>
  <c r="AN15" i="30"/>
  <c r="AO15" i="30"/>
  <c r="AP15" i="30"/>
  <c r="AQ15" i="30"/>
  <c r="AR15" i="30"/>
  <c r="AS15" i="30"/>
  <c r="AT15" i="30"/>
  <c r="AU15" i="30"/>
  <c r="AV15" i="30"/>
  <c r="AW15" i="30"/>
  <c r="AX15" i="30"/>
  <c r="AY15" i="30"/>
  <c r="AZ15" i="30"/>
  <c r="BA15" i="30"/>
  <c r="BB15" i="30"/>
  <c r="BC15" i="30"/>
  <c r="BD15" i="30"/>
  <c r="BE15" i="30"/>
  <c r="BF15" i="30"/>
  <c r="BG15" i="30"/>
  <c r="BH15" i="30"/>
  <c r="BI15" i="30"/>
  <c r="BJ15" i="30"/>
  <c r="BK15" i="30"/>
  <c r="BL15" i="30"/>
  <c r="BM15" i="30"/>
  <c r="BN15" i="30"/>
  <c r="BO15" i="30"/>
  <c r="BP15" i="30"/>
  <c r="BQ15" i="30"/>
  <c r="BR15" i="30"/>
  <c r="BS15" i="30"/>
  <c r="BT15" i="30"/>
  <c r="BU15" i="30"/>
  <c r="BV15" i="30"/>
  <c r="BW15" i="30"/>
  <c r="BX15" i="30"/>
  <c r="BY15" i="30"/>
  <c r="BZ15" i="30"/>
  <c r="CA15" i="30"/>
  <c r="CB15" i="30"/>
  <c r="CC15" i="30"/>
  <c r="AD16" i="30"/>
  <c r="AE16" i="30"/>
  <c r="AF16" i="30"/>
  <c r="AG16" i="30"/>
  <c r="AH16" i="30"/>
  <c r="AI16" i="30"/>
  <c r="AJ16" i="30"/>
  <c r="AK16" i="30"/>
  <c r="AL16" i="30"/>
  <c r="AM16" i="30"/>
  <c r="AN16" i="30"/>
  <c r="AO16" i="30"/>
  <c r="AP16" i="30"/>
  <c r="AQ16" i="30"/>
  <c r="AR16" i="30"/>
  <c r="AS16" i="30"/>
  <c r="AT16" i="30"/>
  <c r="AU16" i="30"/>
  <c r="AV16" i="30"/>
  <c r="AW16" i="30"/>
  <c r="AX16" i="30"/>
  <c r="AY16" i="30"/>
  <c r="AZ16" i="30"/>
  <c r="BA16" i="30"/>
  <c r="BB16" i="30"/>
  <c r="BC16" i="30"/>
  <c r="BD16" i="30"/>
  <c r="BE16" i="30"/>
  <c r="BF16" i="30"/>
  <c r="BG16" i="30"/>
  <c r="BH16" i="30"/>
  <c r="BI16" i="30"/>
  <c r="BJ16" i="30"/>
  <c r="BK16" i="30"/>
  <c r="BL16" i="30"/>
  <c r="BM16" i="30"/>
  <c r="BN16" i="30"/>
  <c r="BO16" i="30"/>
  <c r="BP16" i="30"/>
  <c r="BQ16" i="30"/>
  <c r="BR16" i="30"/>
  <c r="BS16" i="30"/>
  <c r="BT16" i="30"/>
  <c r="BU16" i="30"/>
  <c r="BV16" i="30"/>
  <c r="BW16" i="30"/>
  <c r="BX16" i="30"/>
  <c r="BY16" i="30"/>
  <c r="BZ16" i="30"/>
  <c r="CA16" i="30"/>
  <c r="CB16" i="30"/>
  <c r="CC16" i="30"/>
  <c r="AD17" i="30"/>
  <c r="AE17" i="30"/>
  <c r="AF17" i="30"/>
  <c r="AG17" i="30"/>
  <c r="AH17" i="30"/>
  <c r="AI17" i="30"/>
  <c r="AJ17" i="30"/>
  <c r="AK17" i="30"/>
  <c r="AL17" i="30"/>
  <c r="AM17" i="30"/>
  <c r="AN17" i="30"/>
  <c r="AO17" i="30"/>
  <c r="AP17" i="30"/>
  <c r="AQ17" i="30"/>
  <c r="AR17" i="30"/>
  <c r="AS17" i="30"/>
  <c r="AT17" i="30"/>
  <c r="AU17" i="30"/>
  <c r="AV17" i="30"/>
  <c r="AW17" i="30"/>
  <c r="AX17" i="30"/>
  <c r="AY17" i="30"/>
  <c r="AZ17" i="30"/>
  <c r="BA17" i="30"/>
  <c r="BB17" i="30"/>
  <c r="BC17" i="30"/>
  <c r="BD17" i="30"/>
  <c r="BE17" i="30"/>
  <c r="BF17" i="30"/>
  <c r="BG17" i="30"/>
  <c r="BH17" i="30"/>
  <c r="BI17" i="30"/>
  <c r="BJ17" i="30"/>
  <c r="BK17" i="30"/>
  <c r="BL17" i="30"/>
  <c r="BM17" i="30"/>
  <c r="BN17" i="30"/>
  <c r="BO17" i="30"/>
  <c r="BP17" i="30"/>
  <c r="BQ17" i="30"/>
  <c r="BR17" i="30"/>
  <c r="BS17" i="30"/>
  <c r="BT17" i="30"/>
  <c r="BU17" i="30"/>
  <c r="BV17" i="30"/>
  <c r="BW17" i="30"/>
  <c r="BX17" i="30"/>
  <c r="BY17" i="30"/>
  <c r="BZ17" i="30"/>
  <c r="CA17" i="30"/>
  <c r="CB17" i="30"/>
  <c r="CC17" i="30"/>
  <c r="AD18" i="30"/>
  <c r="AE18" i="30"/>
  <c r="AF18" i="30"/>
  <c r="AG18" i="30"/>
  <c r="AH18" i="30"/>
  <c r="AI18" i="30"/>
  <c r="AJ18" i="30"/>
  <c r="AK18" i="30"/>
  <c r="AL18" i="30"/>
  <c r="AM18" i="30"/>
  <c r="AN18" i="30"/>
  <c r="AO18" i="30"/>
  <c r="AP18" i="30"/>
  <c r="AQ18" i="30"/>
  <c r="AR18" i="30"/>
  <c r="AS18" i="30"/>
  <c r="AT18" i="30"/>
  <c r="AU18" i="30"/>
  <c r="AV18" i="30"/>
  <c r="AW18" i="30"/>
  <c r="AX18" i="30"/>
  <c r="AY18" i="30"/>
  <c r="AZ18" i="30"/>
  <c r="BA18" i="30"/>
  <c r="BB18" i="30"/>
  <c r="BC18" i="30"/>
  <c r="BD18" i="30"/>
  <c r="BE18" i="30"/>
  <c r="BF18" i="30"/>
  <c r="BG18" i="30"/>
  <c r="BH18" i="30"/>
  <c r="BI18" i="30"/>
  <c r="BJ18" i="30"/>
  <c r="BK18" i="30"/>
  <c r="BL18" i="30"/>
  <c r="BM18" i="30"/>
  <c r="BN18" i="30"/>
  <c r="BO18" i="30"/>
  <c r="BP18" i="30"/>
  <c r="BQ18" i="30"/>
  <c r="BR18" i="30"/>
  <c r="BS18" i="30"/>
  <c r="BT18" i="30"/>
  <c r="BU18" i="30"/>
  <c r="BV18" i="30"/>
  <c r="BW18" i="30"/>
  <c r="BX18" i="30"/>
  <c r="BY18" i="30"/>
  <c r="BZ18" i="30"/>
  <c r="CA18" i="30"/>
  <c r="CB18" i="30"/>
  <c r="CC18" i="30"/>
  <c r="AD19" i="30"/>
  <c r="AE19" i="30"/>
  <c r="AF19" i="30"/>
  <c r="AG19" i="30"/>
  <c r="AH19" i="30"/>
  <c r="AI19" i="30"/>
  <c r="AJ19" i="30"/>
  <c r="AK19" i="30"/>
  <c r="AL19" i="30"/>
  <c r="AM19" i="30"/>
  <c r="AN19" i="30"/>
  <c r="AO19" i="30"/>
  <c r="AP19" i="30"/>
  <c r="AQ19" i="30"/>
  <c r="AR19" i="30"/>
  <c r="AS19" i="30"/>
  <c r="AT19" i="30"/>
  <c r="AU19" i="30"/>
  <c r="AV19" i="30"/>
  <c r="AW19" i="30"/>
  <c r="AX19" i="30"/>
  <c r="AY19" i="30"/>
  <c r="AZ19" i="30"/>
  <c r="BA19" i="30"/>
  <c r="BB19" i="30"/>
  <c r="BC19" i="30"/>
  <c r="BD19" i="30"/>
  <c r="BE19" i="30"/>
  <c r="BF19" i="30"/>
  <c r="BG19" i="30"/>
  <c r="BH19" i="30"/>
  <c r="BI19" i="30"/>
  <c r="BJ19" i="30"/>
  <c r="BK19" i="30"/>
  <c r="BL19" i="30"/>
  <c r="BM19" i="30"/>
  <c r="BN19" i="30"/>
  <c r="BO19" i="30"/>
  <c r="BP19" i="30"/>
  <c r="BQ19" i="30"/>
  <c r="BR19" i="30"/>
  <c r="BS19" i="30"/>
  <c r="BT19" i="30"/>
  <c r="BU19" i="30"/>
  <c r="BV19" i="30"/>
  <c r="BW19" i="30"/>
  <c r="BX19" i="30"/>
  <c r="BY19" i="30"/>
  <c r="BZ19" i="30"/>
  <c r="CA19" i="30"/>
  <c r="CB19" i="30"/>
  <c r="CC19" i="30"/>
  <c r="AD20" i="30"/>
  <c r="AE20" i="30"/>
  <c r="AF20" i="30"/>
  <c r="AG20" i="30"/>
  <c r="AH20" i="30"/>
  <c r="AI20" i="30"/>
  <c r="AJ20" i="30"/>
  <c r="AK20" i="30"/>
  <c r="AL20" i="30"/>
  <c r="AM20" i="30"/>
  <c r="AN20" i="30"/>
  <c r="AO20" i="30"/>
  <c r="AP20" i="30"/>
  <c r="AQ20" i="30"/>
  <c r="AR20" i="30"/>
  <c r="AS20" i="30"/>
  <c r="AT20" i="30"/>
  <c r="AU20" i="30"/>
  <c r="AV20" i="30"/>
  <c r="AW20" i="30"/>
  <c r="AX20" i="30"/>
  <c r="AY20" i="30"/>
  <c r="AZ20" i="30"/>
  <c r="BA20" i="30"/>
  <c r="BB20" i="30"/>
  <c r="BC20" i="30"/>
  <c r="BD20" i="30"/>
  <c r="BE20" i="30"/>
  <c r="BF20" i="30"/>
  <c r="BG20" i="30"/>
  <c r="BH20" i="30"/>
  <c r="BI20" i="30"/>
  <c r="BJ20" i="30"/>
  <c r="BK20" i="30"/>
  <c r="BL20" i="30"/>
  <c r="BM20" i="30"/>
  <c r="BN20" i="30"/>
  <c r="BO20" i="30"/>
  <c r="BP20" i="30"/>
  <c r="BQ20" i="30"/>
  <c r="BR20" i="30"/>
  <c r="BS20" i="30"/>
  <c r="BT20" i="30"/>
  <c r="BU20" i="30"/>
  <c r="BV20" i="30"/>
  <c r="BW20" i="30"/>
  <c r="BX20" i="30"/>
  <c r="BY20" i="30"/>
  <c r="BZ20" i="30"/>
  <c r="CA20" i="30"/>
  <c r="CB20" i="30"/>
  <c r="CC20" i="30"/>
  <c r="AD21" i="30"/>
  <c r="AE21" i="30"/>
  <c r="AF21" i="30"/>
  <c r="AG21" i="30"/>
  <c r="AH21" i="30"/>
  <c r="AI21" i="30"/>
  <c r="AJ21" i="30"/>
  <c r="AK21" i="30"/>
  <c r="AL21" i="30"/>
  <c r="AM21" i="30"/>
  <c r="AN21" i="30"/>
  <c r="AO21" i="30"/>
  <c r="AP21" i="30"/>
  <c r="AQ21" i="30"/>
  <c r="AR21" i="30"/>
  <c r="AS21" i="30"/>
  <c r="AT21" i="30"/>
  <c r="AU21" i="30"/>
  <c r="AV21" i="30"/>
  <c r="AW21" i="30"/>
  <c r="AX21" i="30"/>
  <c r="AY21" i="30"/>
  <c r="AZ21" i="30"/>
  <c r="BA21" i="30"/>
  <c r="BB21" i="30"/>
  <c r="BC21" i="30"/>
  <c r="BD21" i="30"/>
  <c r="BE21" i="30"/>
  <c r="BF21" i="30"/>
  <c r="BG21" i="30"/>
  <c r="BH21" i="30"/>
  <c r="BI21" i="30"/>
  <c r="BJ21" i="30"/>
  <c r="BK21" i="30"/>
  <c r="BL21" i="30"/>
  <c r="BM21" i="30"/>
  <c r="BN21" i="30"/>
  <c r="BO21" i="30"/>
  <c r="BP21" i="30"/>
  <c r="BQ21" i="30"/>
  <c r="BR21" i="30"/>
  <c r="BS21" i="30"/>
  <c r="BT21" i="30"/>
  <c r="BU21" i="30"/>
  <c r="BV21" i="30"/>
  <c r="BW21" i="30"/>
  <c r="BX21" i="30"/>
  <c r="BY21" i="30"/>
  <c r="BZ21" i="30"/>
  <c r="CA21" i="30"/>
  <c r="CB21" i="30"/>
  <c r="CC21" i="30"/>
  <c r="AD22" i="30"/>
  <c r="AE22" i="30"/>
  <c r="AF22" i="30"/>
  <c r="AG22" i="30"/>
  <c r="AH22" i="30"/>
  <c r="AI22" i="30"/>
  <c r="AJ22" i="30"/>
  <c r="AK22" i="30"/>
  <c r="AL22" i="30"/>
  <c r="AM22" i="30"/>
  <c r="AN22" i="30"/>
  <c r="AO22" i="30"/>
  <c r="AP22" i="30"/>
  <c r="AQ22" i="30"/>
  <c r="AR22" i="30"/>
  <c r="AS22" i="30"/>
  <c r="AT22" i="30"/>
  <c r="AU22" i="30"/>
  <c r="AV22" i="30"/>
  <c r="AW22" i="30"/>
  <c r="AX22" i="30"/>
  <c r="AY22" i="30"/>
  <c r="AZ22" i="30"/>
  <c r="BA22" i="30"/>
  <c r="BB22" i="30"/>
  <c r="BC22" i="30"/>
  <c r="BD22" i="30"/>
  <c r="BE22" i="30"/>
  <c r="BF22" i="30"/>
  <c r="BG22" i="30"/>
  <c r="BH22" i="30"/>
  <c r="BI22" i="30"/>
  <c r="BJ22" i="30"/>
  <c r="BK22" i="30"/>
  <c r="BL22" i="30"/>
  <c r="BM22" i="30"/>
  <c r="BN22" i="30"/>
  <c r="BO22" i="30"/>
  <c r="BP22" i="30"/>
  <c r="BQ22" i="30"/>
  <c r="BR22" i="30"/>
  <c r="BS22" i="30"/>
  <c r="BT22" i="30"/>
  <c r="BU22" i="30"/>
  <c r="BV22" i="30"/>
  <c r="BW22" i="30"/>
  <c r="BX22" i="30"/>
  <c r="BY22" i="30"/>
  <c r="BZ22" i="30"/>
  <c r="CA22" i="30"/>
  <c r="CB22" i="30"/>
  <c r="CC22" i="30"/>
  <c r="AD23" i="30"/>
  <c r="AE23" i="30"/>
  <c r="AF23" i="30"/>
  <c r="AG23" i="30"/>
  <c r="AH23" i="30"/>
  <c r="AI23" i="30"/>
  <c r="AJ23" i="30"/>
  <c r="AK23" i="30"/>
  <c r="AL23" i="30"/>
  <c r="AM23" i="30"/>
  <c r="AN23" i="30"/>
  <c r="AO23" i="30"/>
  <c r="AP23" i="30"/>
  <c r="AQ23" i="30"/>
  <c r="AR23" i="30"/>
  <c r="AS23" i="30"/>
  <c r="AT23" i="30"/>
  <c r="AU23" i="30"/>
  <c r="AV23" i="30"/>
  <c r="AW23" i="30"/>
  <c r="AX23" i="30"/>
  <c r="AY23" i="30"/>
  <c r="AZ23" i="30"/>
  <c r="BA23" i="30"/>
  <c r="BB23" i="30"/>
  <c r="BC23" i="30"/>
  <c r="BD23" i="30"/>
  <c r="BE23" i="30"/>
  <c r="BF23" i="30"/>
  <c r="BG23" i="30"/>
  <c r="BH23" i="30"/>
  <c r="BI23" i="30"/>
  <c r="BJ23" i="30"/>
  <c r="BK23" i="30"/>
  <c r="BL23" i="30"/>
  <c r="BM23" i="30"/>
  <c r="BN23" i="30"/>
  <c r="BO23" i="30"/>
  <c r="BP23" i="30"/>
  <c r="BQ23" i="30"/>
  <c r="BR23" i="30"/>
  <c r="BS23" i="30"/>
  <c r="BT23" i="30"/>
  <c r="BU23" i="30"/>
  <c r="BV23" i="30"/>
  <c r="BW23" i="30"/>
  <c r="BX23" i="30"/>
  <c r="BY23" i="30"/>
  <c r="BZ23" i="30"/>
  <c r="CA23" i="30"/>
  <c r="CB23" i="30"/>
  <c r="CC23" i="30"/>
  <c r="AD24" i="30"/>
  <c r="AE24" i="30"/>
  <c r="AF24" i="30"/>
  <c r="AG24" i="30"/>
  <c r="AH24" i="30"/>
  <c r="AI24" i="30"/>
  <c r="AJ24" i="30"/>
  <c r="AK24" i="30"/>
  <c r="AL24" i="30"/>
  <c r="AM24" i="30"/>
  <c r="AN24" i="30"/>
  <c r="AO24" i="30"/>
  <c r="AP24" i="30"/>
  <c r="AQ24" i="30"/>
  <c r="AR24" i="30"/>
  <c r="AS24" i="30"/>
  <c r="AT24" i="30"/>
  <c r="AU24" i="30"/>
  <c r="AV24" i="30"/>
  <c r="AW24" i="30"/>
  <c r="AX24" i="30"/>
  <c r="AY24" i="30"/>
  <c r="AZ24" i="30"/>
  <c r="BA24" i="30"/>
  <c r="BB24" i="30"/>
  <c r="BC24" i="30"/>
  <c r="BD24" i="30"/>
  <c r="BE24" i="30"/>
  <c r="BF24" i="30"/>
  <c r="BG24" i="30"/>
  <c r="BH24" i="30"/>
  <c r="BI24" i="30"/>
  <c r="BJ24" i="30"/>
  <c r="BK24" i="30"/>
  <c r="BL24" i="30"/>
  <c r="BM24" i="30"/>
  <c r="BN24" i="30"/>
  <c r="BO24" i="30"/>
  <c r="BP24" i="30"/>
  <c r="BQ24" i="30"/>
  <c r="BR24" i="30"/>
  <c r="BS24" i="30"/>
  <c r="BT24" i="30"/>
  <c r="BU24" i="30"/>
  <c r="BV24" i="30"/>
  <c r="BW24" i="30"/>
  <c r="BX24" i="30"/>
  <c r="BY24" i="30"/>
  <c r="BZ24" i="30"/>
  <c r="CA24" i="30"/>
  <c r="CB24" i="30"/>
  <c r="CC24" i="30"/>
  <c r="AD25" i="30"/>
  <c r="AE25" i="30"/>
  <c r="AF25" i="30"/>
  <c r="AG25" i="30"/>
  <c r="AH25" i="30"/>
  <c r="AI25" i="30"/>
  <c r="AJ25" i="30"/>
  <c r="AK25" i="30"/>
  <c r="AL25" i="30"/>
  <c r="AM25" i="30"/>
  <c r="AN25" i="30"/>
  <c r="AO25" i="30"/>
  <c r="AP25" i="30"/>
  <c r="AQ25" i="30"/>
  <c r="AR25" i="30"/>
  <c r="AS25" i="30"/>
  <c r="AT25" i="30"/>
  <c r="AU25" i="30"/>
  <c r="AV25" i="30"/>
  <c r="AW25" i="30"/>
  <c r="AX25" i="30"/>
  <c r="AY25" i="30"/>
  <c r="AZ25" i="30"/>
  <c r="BA25" i="30"/>
  <c r="BB25" i="30"/>
  <c r="BC25" i="30"/>
  <c r="BD25" i="30"/>
  <c r="BE25" i="30"/>
  <c r="BF25" i="30"/>
  <c r="BG25" i="30"/>
  <c r="BH25" i="30"/>
  <c r="BI25" i="30"/>
  <c r="BJ25" i="30"/>
  <c r="BK25" i="30"/>
  <c r="BL25" i="30"/>
  <c r="BM25" i="30"/>
  <c r="BN25" i="30"/>
  <c r="BO25" i="30"/>
  <c r="BP25" i="30"/>
  <c r="BQ25" i="30"/>
  <c r="BR25" i="30"/>
  <c r="BS25" i="30"/>
  <c r="BT25" i="30"/>
  <c r="BU25" i="30"/>
  <c r="BV25" i="30"/>
  <c r="BW25" i="30"/>
  <c r="BX25" i="30"/>
  <c r="BY25" i="30"/>
  <c r="BZ25" i="30"/>
  <c r="CA25" i="30"/>
  <c r="CB25" i="30"/>
  <c r="CC25" i="30"/>
  <c r="AD26" i="30"/>
  <c r="AE26" i="30"/>
  <c r="AF26" i="30"/>
  <c r="AG26" i="30"/>
  <c r="AH26" i="30"/>
  <c r="AI26" i="30"/>
  <c r="AJ26" i="30"/>
  <c r="AK26" i="30"/>
  <c r="AL26" i="30"/>
  <c r="AM26" i="30"/>
  <c r="AN26" i="30"/>
  <c r="AO26" i="30"/>
  <c r="AP26" i="30"/>
  <c r="AQ26" i="30"/>
  <c r="AR26" i="30"/>
  <c r="AS26" i="30"/>
  <c r="AT26" i="30"/>
  <c r="AU26" i="30"/>
  <c r="AV26" i="30"/>
  <c r="AW26" i="30"/>
  <c r="AX26" i="30"/>
  <c r="AY26" i="30"/>
  <c r="AZ26" i="30"/>
  <c r="BA26" i="30"/>
  <c r="BB26" i="30"/>
  <c r="BC26" i="30"/>
  <c r="BD26" i="30"/>
  <c r="BE26" i="30"/>
  <c r="BF26" i="30"/>
  <c r="BG26" i="30"/>
  <c r="BH26" i="30"/>
  <c r="BI26" i="30"/>
  <c r="BJ26" i="30"/>
  <c r="BK26" i="30"/>
  <c r="BL26" i="30"/>
  <c r="BM26" i="30"/>
  <c r="BN26" i="30"/>
  <c r="BO26" i="30"/>
  <c r="BP26" i="30"/>
  <c r="BQ26" i="30"/>
  <c r="BR26" i="30"/>
  <c r="BS26" i="30"/>
  <c r="BT26" i="30"/>
  <c r="BU26" i="30"/>
  <c r="BV26" i="30"/>
  <c r="BW26" i="30"/>
  <c r="BX26" i="30"/>
  <c r="BY26" i="30"/>
  <c r="BZ26" i="30"/>
  <c r="CA26" i="30"/>
  <c r="CB26" i="30"/>
  <c r="CC26" i="30"/>
  <c r="AD27" i="30"/>
  <c r="AE27" i="30"/>
  <c r="AF27" i="30"/>
  <c r="AG27" i="30"/>
  <c r="AH27" i="30"/>
  <c r="AI27" i="30"/>
  <c r="AJ27" i="30"/>
  <c r="AK27" i="30"/>
  <c r="AL27" i="30"/>
  <c r="AM27" i="30"/>
  <c r="AN27" i="30"/>
  <c r="AO27" i="30"/>
  <c r="AP27" i="30"/>
  <c r="AQ27" i="30"/>
  <c r="AR27" i="30"/>
  <c r="AS27" i="30"/>
  <c r="AT27" i="30"/>
  <c r="AU27" i="30"/>
  <c r="AV27" i="30"/>
  <c r="AW27" i="30"/>
  <c r="AX27" i="30"/>
  <c r="AY27" i="30"/>
  <c r="AZ27" i="30"/>
  <c r="BA27" i="30"/>
  <c r="BB27" i="30"/>
  <c r="BC27" i="30"/>
  <c r="BD27" i="30"/>
  <c r="BE27" i="30"/>
  <c r="BF27" i="30"/>
  <c r="BG27" i="30"/>
  <c r="BH27" i="30"/>
  <c r="BI27" i="30"/>
  <c r="BJ27" i="30"/>
  <c r="BK27" i="30"/>
  <c r="BL27" i="30"/>
  <c r="BM27" i="30"/>
  <c r="BN27" i="30"/>
  <c r="BO27" i="30"/>
  <c r="BP27" i="30"/>
  <c r="BQ27" i="30"/>
  <c r="BR27" i="30"/>
  <c r="BS27" i="30"/>
  <c r="BT27" i="30"/>
  <c r="BU27" i="30"/>
  <c r="BV27" i="30"/>
  <c r="BW27" i="30"/>
  <c r="BX27" i="30"/>
  <c r="BY27" i="30"/>
  <c r="BZ27" i="30"/>
  <c r="CA27" i="30"/>
  <c r="CB27" i="30"/>
  <c r="CC27" i="30"/>
  <c r="AD28" i="30"/>
  <c r="AE28" i="30"/>
  <c r="AF28" i="30"/>
  <c r="AG28" i="30"/>
  <c r="AH28" i="30"/>
  <c r="AI28" i="30"/>
  <c r="AJ28" i="30"/>
  <c r="AK28" i="30"/>
  <c r="AL28" i="30"/>
  <c r="AM28" i="30"/>
  <c r="AN28" i="30"/>
  <c r="AO28" i="30"/>
  <c r="AP28" i="30"/>
  <c r="AQ28" i="30"/>
  <c r="AR28" i="30"/>
  <c r="AS28" i="30"/>
  <c r="AT28" i="30"/>
  <c r="AU28" i="30"/>
  <c r="AV28" i="30"/>
  <c r="AW28" i="30"/>
  <c r="AX28" i="30"/>
  <c r="AY28" i="30"/>
  <c r="AZ28" i="30"/>
  <c r="BA28" i="30"/>
  <c r="BB28" i="30"/>
  <c r="BC28" i="30"/>
  <c r="BD28" i="30"/>
  <c r="BE28" i="30"/>
  <c r="BF28" i="30"/>
  <c r="BG28" i="30"/>
  <c r="BH28" i="30"/>
  <c r="BI28" i="30"/>
  <c r="BJ28" i="30"/>
  <c r="BK28" i="30"/>
  <c r="BL28" i="30"/>
  <c r="BM28" i="30"/>
  <c r="BN28" i="30"/>
  <c r="BO28" i="30"/>
  <c r="BP28" i="30"/>
  <c r="BQ28" i="30"/>
  <c r="BR28" i="30"/>
  <c r="BS28" i="30"/>
  <c r="BT28" i="30"/>
  <c r="BU28" i="30"/>
  <c r="BV28" i="30"/>
  <c r="BW28" i="30"/>
  <c r="BX28" i="30"/>
  <c r="BY28" i="30"/>
  <c r="BZ28" i="30"/>
  <c r="CA28" i="30"/>
  <c r="CB28" i="30"/>
  <c r="CC28" i="30"/>
  <c r="AD29" i="30"/>
  <c r="AE29" i="30"/>
  <c r="AF29" i="30"/>
  <c r="AG29" i="30"/>
  <c r="AH29" i="30"/>
  <c r="AI29" i="30"/>
  <c r="AJ29" i="30"/>
  <c r="AK29" i="30"/>
  <c r="AL29" i="30"/>
  <c r="AM29" i="30"/>
  <c r="AN29" i="30"/>
  <c r="AO29" i="30"/>
  <c r="AP29" i="30"/>
  <c r="AQ29" i="30"/>
  <c r="AR29" i="30"/>
  <c r="AS29" i="30"/>
  <c r="AT29" i="30"/>
  <c r="AU29" i="30"/>
  <c r="AV29" i="30"/>
  <c r="AW29" i="30"/>
  <c r="AX29" i="30"/>
  <c r="AY29" i="30"/>
  <c r="AZ29" i="30"/>
  <c r="BA29" i="30"/>
  <c r="BB29" i="30"/>
  <c r="BC29" i="30"/>
  <c r="BD29" i="30"/>
  <c r="BE29" i="30"/>
  <c r="BF29" i="30"/>
  <c r="BG29" i="30"/>
  <c r="BH29" i="30"/>
  <c r="BI29" i="30"/>
  <c r="BJ29" i="30"/>
  <c r="BK29" i="30"/>
  <c r="BL29" i="30"/>
  <c r="BM29" i="30"/>
  <c r="BN29" i="30"/>
  <c r="BO29" i="30"/>
  <c r="BP29" i="30"/>
  <c r="BQ29" i="30"/>
  <c r="BR29" i="30"/>
  <c r="BS29" i="30"/>
  <c r="BT29" i="30"/>
  <c r="BU29" i="30"/>
  <c r="BV29" i="30"/>
  <c r="BW29" i="30"/>
  <c r="BX29" i="30"/>
  <c r="BY29" i="30"/>
  <c r="BZ29" i="30"/>
  <c r="CA29" i="30"/>
  <c r="CB29" i="30"/>
  <c r="CC29" i="30"/>
  <c r="AD30" i="30"/>
  <c r="AE30" i="30"/>
  <c r="AF30" i="30"/>
  <c r="AG30" i="30"/>
  <c r="AH30" i="30"/>
  <c r="AI30" i="30"/>
  <c r="AJ30" i="30"/>
  <c r="AK30" i="30"/>
  <c r="AL30" i="30"/>
  <c r="AM30" i="30"/>
  <c r="AN30" i="30"/>
  <c r="AO30" i="30"/>
  <c r="AP30" i="30"/>
  <c r="AQ30" i="30"/>
  <c r="AR30" i="30"/>
  <c r="AS30" i="30"/>
  <c r="AT30" i="30"/>
  <c r="AU30" i="30"/>
  <c r="AV30" i="30"/>
  <c r="AW30" i="30"/>
  <c r="AX30" i="30"/>
  <c r="AY30" i="30"/>
  <c r="AZ30" i="30"/>
  <c r="BA30" i="30"/>
  <c r="BB30" i="30"/>
  <c r="BC30" i="30"/>
  <c r="BD30" i="30"/>
  <c r="BE30" i="30"/>
  <c r="BF30" i="30"/>
  <c r="BG30" i="30"/>
  <c r="BH30" i="30"/>
  <c r="BI30" i="30"/>
  <c r="BJ30" i="30"/>
  <c r="BK30" i="30"/>
  <c r="BL30" i="30"/>
  <c r="BM30" i="30"/>
  <c r="BN30" i="30"/>
  <c r="BO30" i="30"/>
  <c r="BP30" i="30"/>
  <c r="BQ30" i="30"/>
  <c r="BR30" i="30"/>
  <c r="BS30" i="30"/>
  <c r="BT30" i="30"/>
  <c r="BU30" i="30"/>
  <c r="BV30" i="30"/>
  <c r="BW30" i="30"/>
  <c r="BX30" i="30"/>
  <c r="BY30" i="30"/>
  <c r="BZ30" i="30"/>
  <c r="CA30" i="30"/>
  <c r="CB30" i="30"/>
  <c r="CC30" i="30"/>
  <c r="AD31" i="30"/>
  <c r="AE31" i="30"/>
  <c r="AF31" i="30"/>
  <c r="AG31" i="30"/>
  <c r="AH31" i="30"/>
  <c r="AI31" i="30"/>
  <c r="AJ31" i="30"/>
  <c r="AK31" i="30"/>
  <c r="AL31" i="30"/>
  <c r="AM31" i="30"/>
  <c r="AN31" i="30"/>
  <c r="AO31" i="30"/>
  <c r="AP31" i="30"/>
  <c r="AQ31" i="30"/>
  <c r="AR31" i="30"/>
  <c r="AS31" i="30"/>
  <c r="AT31" i="30"/>
  <c r="AU31" i="30"/>
  <c r="AV31" i="30"/>
  <c r="AW31" i="30"/>
  <c r="AX31" i="30"/>
  <c r="AY31" i="30"/>
  <c r="AZ31" i="30"/>
  <c r="BA31" i="30"/>
  <c r="BB31" i="30"/>
  <c r="BC31" i="30"/>
  <c r="BD31" i="30"/>
  <c r="BE31" i="30"/>
  <c r="BF31" i="30"/>
  <c r="BG31" i="30"/>
  <c r="BH31" i="30"/>
  <c r="BI31" i="30"/>
  <c r="BJ31" i="30"/>
  <c r="BK31" i="30"/>
  <c r="BL31" i="30"/>
  <c r="BM31" i="30"/>
  <c r="BN31" i="30"/>
  <c r="BO31" i="30"/>
  <c r="BP31" i="30"/>
  <c r="BQ31" i="30"/>
  <c r="BR31" i="30"/>
  <c r="BS31" i="30"/>
  <c r="BT31" i="30"/>
  <c r="BU31" i="30"/>
  <c r="BV31" i="30"/>
  <c r="BW31" i="30"/>
  <c r="BX31" i="30"/>
  <c r="BY31" i="30"/>
  <c r="BZ31" i="30"/>
  <c r="CA31" i="30"/>
  <c r="CB31" i="30"/>
  <c r="CC31" i="30"/>
  <c r="AD32" i="30"/>
  <c r="AE32" i="30"/>
  <c r="AF32" i="30"/>
  <c r="AG32" i="30"/>
  <c r="AH32" i="30"/>
  <c r="AI32" i="30"/>
  <c r="AJ32" i="30"/>
  <c r="AK32" i="30"/>
  <c r="AL32" i="30"/>
  <c r="AM32" i="30"/>
  <c r="AN32" i="30"/>
  <c r="AO32" i="30"/>
  <c r="AP32" i="30"/>
  <c r="AQ32" i="30"/>
  <c r="AR32" i="30"/>
  <c r="AS32" i="30"/>
  <c r="AT32" i="30"/>
  <c r="AU32" i="30"/>
  <c r="AV32" i="30"/>
  <c r="AW32" i="30"/>
  <c r="AX32" i="30"/>
  <c r="AY32" i="30"/>
  <c r="AZ32" i="30"/>
  <c r="BA32" i="30"/>
  <c r="BB32" i="30"/>
  <c r="BC32" i="30"/>
  <c r="BD32" i="30"/>
  <c r="BE32" i="30"/>
  <c r="BF32" i="30"/>
  <c r="BG32" i="30"/>
  <c r="BH32" i="30"/>
  <c r="BI32" i="30"/>
  <c r="BJ32" i="30"/>
  <c r="BK32" i="30"/>
  <c r="BL32" i="30"/>
  <c r="BM32" i="30"/>
  <c r="BN32" i="30"/>
  <c r="BO32" i="30"/>
  <c r="BP32" i="30"/>
  <c r="BQ32" i="30"/>
  <c r="BR32" i="30"/>
  <c r="BS32" i="30"/>
  <c r="BT32" i="30"/>
  <c r="BU32" i="30"/>
  <c r="BV32" i="30"/>
  <c r="BW32" i="30"/>
  <c r="BX32" i="30"/>
  <c r="BY32" i="30"/>
  <c r="BZ32" i="30"/>
  <c r="CA32" i="30"/>
  <c r="CB32" i="30"/>
  <c r="CC32" i="30"/>
  <c r="AD33" i="30"/>
  <c r="AE33" i="30"/>
  <c r="AF33" i="30"/>
  <c r="AG33" i="30"/>
  <c r="AH33" i="30"/>
  <c r="AI33" i="30"/>
  <c r="AJ33" i="30"/>
  <c r="AK33" i="30"/>
  <c r="AL33" i="30"/>
  <c r="AM33" i="30"/>
  <c r="AN33" i="30"/>
  <c r="AO33" i="30"/>
  <c r="AP33" i="30"/>
  <c r="AQ33" i="30"/>
  <c r="AR33" i="30"/>
  <c r="AS33" i="30"/>
  <c r="AT33" i="30"/>
  <c r="AU33" i="30"/>
  <c r="AV33" i="30"/>
  <c r="AW33" i="30"/>
  <c r="AX33" i="30"/>
  <c r="AY33" i="30"/>
  <c r="AZ33" i="30"/>
  <c r="BA33" i="30"/>
  <c r="BB33" i="30"/>
  <c r="BC33" i="30"/>
  <c r="BD33" i="30"/>
  <c r="BE33" i="30"/>
  <c r="BF33" i="30"/>
  <c r="BG33" i="30"/>
  <c r="BH33" i="30"/>
  <c r="BI33" i="30"/>
  <c r="BJ33" i="30"/>
  <c r="BK33" i="30"/>
  <c r="BL33" i="30"/>
  <c r="BM33" i="30"/>
  <c r="BN33" i="30"/>
  <c r="BO33" i="30"/>
  <c r="BP33" i="30"/>
  <c r="BQ33" i="30"/>
  <c r="BR33" i="30"/>
  <c r="BS33" i="30"/>
  <c r="BT33" i="30"/>
  <c r="BU33" i="30"/>
  <c r="BV33" i="30"/>
  <c r="BW33" i="30"/>
  <c r="BX33" i="30"/>
  <c r="BY33" i="30"/>
  <c r="BZ33" i="30"/>
  <c r="CA33" i="30"/>
  <c r="CB33" i="30"/>
  <c r="CC33" i="30"/>
  <c r="AD34" i="30"/>
  <c r="AE34" i="30"/>
  <c r="AF34" i="30"/>
  <c r="AG34" i="30"/>
  <c r="AH34" i="30"/>
  <c r="AI34" i="30"/>
  <c r="AJ34" i="30"/>
  <c r="AK34" i="30"/>
  <c r="AL34" i="30"/>
  <c r="AM34" i="30"/>
  <c r="AN34" i="30"/>
  <c r="AO34" i="30"/>
  <c r="AP34" i="30"/>
  <c r="AQ34" i="30"/>
  <c r="AR34" i="30"/>
  <c r="AS34" i="30"/>
  <c r="AT34" i="30"/>
  <c r="AU34" i="30"/>
  <c r="AV34" i="30"/>
  <c r="AW34" i="30"/>
  <c r="AX34" i="30"/>
  <c r="AY34" i="30"/>
  <c r="AZ34" i="30"/>
  <c r="BA34" i="30"/>
  <c r="BB34" i="30"/>
  <c r="BC34" i="30"/>
  <c r="BD34" i="30"/>
  <c r="BE34" i="30"/>
  <c r="BF34" i="30"/>
  <c r="BG34" i="30"/>
  <c r="BH34" i="30"/>
  <c r="BI34" i="30"/>
  <c r="BJ34" i="30"/>
  <c r="BK34" i="30"/>
  <c r="BL34" i="30"/>
  <c r="BM34" i="30"/>
  <c r="BN34" i="30"/>
  <c r="BO34" i="30"/>
  <c r="BP34" i="30"/>
  <c r="BQ34" i="30"/>
  <c r="BR34" i="30"/>
  <c r="BS34" i="30"/>
  <c r="BT34" i="30"/>
  <c r="BU34" i="30"/>
  <c r="BV34" i="30"/>
  <c r="BW34" i="30"/>
  <c r="BX34" i="30"/>
  <c r="BY34" i="30"/>
  <c r="BZ34" i="30"/>
  <c r="CA34" i="30"/>
  <c r="CB34" i="30"/>
  <c r="CC34" i="30"/>
  <c r="AD35" i="30"/>
  <c r="AE35" i="30"/>
  <c r="AF35" i="30"/>
  <c r="AG35" i="30"/>
  <c r="AH35" i="30"/>
  <c r="AI35" i="30"/>
  <c r="AJ35" i="30"/>
  <c r="AK35" i="30"/>
  <c r="AL35" i="30"/>
  <c r="AM35" i="30"/>
  <c r="AN35" i="30"/>
  <c r="AO35" i="30"/>
  <c r="AP35" i="30"/>
  <c r="AQ35" i="30"/>
  <c r="AR35" i="30"/>
  <c r="AS35" i="30"/>
  <c r="AT35" i="30"/>
  <c r="AU35" i="30"/>
  <c r="AV35" i="30"/>
  <c r="AW35" i="30"/>
  <c r="AX35" i="30"/>
  <c r="AY35" i="30"/>
  <c r="AZ35" i="30"/>
  <c r="BA35" i="30"/>
  <c r="BB35" i="30"/>
  <c r="BC35" i="30"/>
  <c r="BD35" i="30"/>
  <c r="BE35" i="30"/>
  <c r="BF35" i="30"/>
  <c r="BG35" i="30"/>
  <c r="BH35" i="30"/>
  <c r="BI35" i="30"/>
  <c r="BJ35" i="30"/>
  <c r="BK35" i="30"/>
  <c r="BL35" i="30"/>
  <c r="BM35" i="30"/>
  <c r="BN35" i="30"/>
  <c r="BO35" i="30"/>
  <c r="BP35" i="30"/>
  <c r="BQ35" i="30"/>
  <c r="BR35" i="30"/>
  <c r="BS35" i="30"/>
  <c r="BT35" i="30"/>
  <c r="BU35" i="30"/>
  <c r="BV35" i="30"/>
  <c r="BW35" i="30"/>
  <c r="BX35" i="30"/>
  <c r="BY35" i="30"/>
  <c r="BZ35" i="30"/>
  <c r="CA35" i="30"/>
  <c r="CB35" i="30"/>
  <c r="CC35" i="30"/>
  <c r="AD36" i="30"/>
  <c r="AE36" i="30"/>
  <c r="AF36" i="30"/>
  <c r="AG36" i="30"/>
  <c r="AH36" i="30"/>
  <c r="AI36" i="30"/>
  <c r="AJ36" i="30"/>
  <c r="AK36" i="30"/>
  <c r="AL36" i="30"/>
  <c r="AM36" i="30"/>
  <c r="AN36" i="30"/>
  <c r="AO36" i="30"/>
  <c r="AP36" i="30"/>
  <c r="AQ36" i="30"/>
  <c r="AR36" i="30"/>
  <c r="AS36" i="30"/>
  <c r="AT36" i="30"/>
  <c r="AU36" i="30"/>
  <c r="AV36" i="30"/>
  <c r="AW36" i="30"/>
  <c r="AX36" i="30"/>
  <c r="AY36" i="30"/>
  <c r="AZ36" i="30"/>
  <c r="BA36" i="30"/>
  <c r="BB36" i="30"/>
  <c r="BC36" i="30"/>
  <c r="BD36" i="30"/>
  <c r="BE36" i="30"/>
  <c r="BF36" i="30"/>
  <c r="BG36" i="30"/>
  <c r="BH36" i="30"/>
  <c r="BI36" i="30"/>
  <c r="BJ36" i="30"/>
  <c r="BK36" i="30"/>
  <c r="BL36" i="30"/>
  <c r="BM36" i="30"/>
  <c r="BN36" i="30"/>
  <c r="BO36" i="30"/>
  <c r="BP36" i="30"/>
  <c r="BQ36" i="30"/>
  <c r="BR36" i="30"/>
  <c r="BS36" i="30"/>
  <c r="BT36" i="30"/>
  <c r="BU36" i="30"/>
  <c r="BV36" i="30"/>
  <c r="BW36" i="30"/>
  <c r="BX36" i="30"/>
  <c r="BY36" i="30"/>
  <c r="BZ36" i="30"/>
  <c r="CA36" i="30"/>
  <c r="CB36" i="30"/>
  <c r="CC36" i="30"/>
  <c r="AD37" i="30"/>
  <c r="AE37" i="30"/>
  <c r="AF37" i="30"/>
  <c r="AG37" i="30"/>
  <c r="AH37" i="30"/>
  <c r="AI37" i="30"/>
  <c r="AJ37" i="30"/>
  <c r="AK37" i="30"/>
  <c r="AL37" i="30"/>
  <c r="AM37" i="30"/>
  <c r="AN37" i="30"/>
  <c r="AO37" i="30"/>
  <c r="AP37" i="30"/>
  <c r="AQ37" i="30"/>
  <c r="AR37" i="30"/>
  <c r="AS37" i="30"/>
  <c r="AT37" i="30"/>
  <c r="AU37" i="30"/>
  <c r="AV37" i="30"/>
  <c r="AW37" i="30"/>
  <c r="AX37" i="30"/>
  <c r="AY37" i="30"/>
  <c r="AZ37" i="30"/>
  <c r="BA37" i="30"/>
  <c r="BB37" i="30"/>
  <c r="BC37" i="30"/>
  <c r="BD37" i="30"/>
  <c r="BE37" i="30"/>
  <c r="BF37" i="30"/>
  <c r="BG37" i="30"/>
  <c r="BH37" i="30"/>
  <c r="BI37" i="30"/>
  <c r="BJ37" i="30"/>
  <c r="BK37" i="30"/>
  <c r="BL37" i="30"/>
  <c r="BM37" i="30"/>
  <c r="BN37" i="30"/>
  <c r="BO37" i="30"/>
  <c r="BP37" i="30"/>
  <c r="BQ37" i="30"/>
  <c r="BR37" i="30"/>
  <c r="BS37" i="30"/>
  <c r="BT37" i="30"/>
  <c r="BU37" i="30"/>
  <c r="BV37" i="30"/>
  <c r="BW37" i="30"/>
  <c r="BX37" i="30"/>
  <c r="BY37" i="30"/>
  <c r="BZ37" i="30"/>
  <c r="CA37" i="30"/>
  <c r="CB37" i="30"/>
  <c r="CC37" i="30"/>
  <c r="AD38" i="30"/>
  <c r="AE38" i="30"/>
  <c r="AF38" i="30"/>
  <c r="AG38" i="30"/>
  <c r="AH38" i="30"/>
  <c r="AI38" i="30"/>
  <c r="AJ38" i="30"/>
  <c r="AK38" i="30"/>
  <c r="AL38" i="30"/>
  <c r="AM38" i="30"/>
  <c r="AN38" i="30"/>
  <c r="AO38" i="30"/>
  <c r="AP38" i="30"/>
  <c r="AQ38" i="30"/>
  <c r="AR38" i="30"/>
  <c r="AS38" i="30"/>
  <c r="AT38" i="30"/>
  <c r="AU38" i="30"/>
  <c r="AV38" i="30"/>
  <c r="AW38" i="30"/>
  <c r="AX38" i="30"/>
  <c r="AY38" i="30"/>
  <c r="AZ38" i="30"/>
  <c r="BA38" i="30"/>
  <c r="BB38" i="30"/>
  <c r="BC38" i="30"/>
  <c r="BD38" i="30"/>
  <c r="BE38" i="30"/>
  <c r="BF38" i="30"/>
  <c r="BG38" i="30"/>
  <c r="BH38" i="30"/>
  <c r="BI38" i="30"/>
  <c r="BJ38" i="30"/>
  <c r="BK38" i="30"/>
  <c r="BL38" i="30"/>
  <c r="BM38" i="30"/>
  <c r="BN38" i="30"/>
  <c r="BO38" i="30"/>
  <c r="BP38" i="30"/>
  <c r="BQ38" i="30"/>
  <c r="BR38" i="30"/>
  <c r="BS38" i="30"/>
  <c r="BT38" i="30"/>
  <c r="BU38" i="30"/>
  <c r="BV38" i="30"/>
  <c r="BW38" i="30"/>
  <c r="BX38" i="30"/>
  <c r="BY38" i="30"/>
  <c r="BZ38" i="30"/>
  <c r="CA38" i="30"/>
  <c r="CB38" i="30"/>
  <c r="CC38" i="30"/>
  <c r="AD39" i="30"/>
  <c r="AE39" i="30"/>
  <c r="AF39" i="30"/>
  <c r="AG39" i="30"/>
  <c r="AH39" i="30"/>
  <c r="AI39" i="30"/>
  <c r="AJ39" i="30"/>
  <c r="AK39" i="30"/>
  <c r="AL39" i="30"/>
  <c r="AM39" i="30"/>
  <c r="AN39" i="30"/>
  <c r="AO39" i="30"/>
  <c r="AP39" i="30"/>
  <c r="AQ39" i="30"/>
  <c r="AR39" i="30"/>
  <c r="AS39" i="30"/>
  <c r="AT39" i="30"/>
  <c r="AU39" i="30"/>
  <c r="AV39" i="30"/>
  <c r="AW39" i="30"/>
  <c r="AX39" i="30"/>
  <c r="AY39" i="30"/>
  <c r="AZ39" i="30"/>
  <c r="BA39" i="30"/>
  <c r="BB39" i="30"/>
  <c r="BC39" i="30"/>
  <c r="BD39" i="30"/>
  <c r="BE39" i="30"/>
  <c r="BF39" i="30"/>
  <c r="BG39" i="30"/>
  <c r="BH39" i="30"/>
  <c r="BI39" i="30"/>
  <c r="BJ39" i="30"/>
  <c r="BK39" i="30"/>
  <c r="BL39" i="30"/>
  <c r="BM39" i="30"/>
  <c r="BN39" i="30"/>
  <c r="BO39" i="30"/>
  <c r="BP39" i="30"/>
  <c r="BQ39" i="30"/>
  <c r="BR39" i="30"/>
  <c r="BS39" i="30"/>
  <c r="BT39" i="30"/>
  <c r="BU39" i="30"/>
  <c r="BV39" i="30"/>
  <c r="BW39" i="30"/>
  <c r="BX39" i="30"/>
  <c r="BY39" i="30"/>
  <c r="BZ39" i="30"/>
  <c r="CA39" i="30"/>
  <c r="CB39" i="30"/>
  <c r="CC39" i="30"/>
  <c r="AD40" i="30"/>
  <c r="AE40" i="30"/>
  <c r="AF40" i="30"/>
  <c r="AG40" i="30"/>
  <c r="AH40" i="30"/>
  <c r="AI40" i="30"/>
  <c r="AJ40" i="30"/>
  <c r="AK40" i="30"/>
  <c r="AL40" i="30"/>
  <c r="AM40" i="30"/>
  <c r="AN40" i="30"/>
  <c r="AO40" i="30"/>
  <c r="AP40" i="30"/>
  <c r="AQ40" i="30"/>
  <c r="AR40" i="30"/>
  <c r="AS40" i="30"/>
  <c r="AT40" i="30"/>
  <c r="AU40" i="30"/>
  <c r="AV40" i="30"/>
  <c r="AW40" i="30"/>
  <c r="AX40" i="30"/>
  <c r="AY40" i="30"/>
  <c r="AZ40" i="30"/>
  <c r="BA40" i="30"/>
  <c r="BB40" i="30"/>
  <c r="BC40" i="30"/>
  <c r="BD40" i="30"/>
  <c r="BE40" i="30"/>
  <c r="BF40" i="30"/>
  <c r="BG40" i="30"/>
  <c r="BH40" i="30"/>
  <c r="BI40" i="30"/>
  <c r="BJ40" i="30"/>
  <c r="BK40" i="30"/>
  <c r="BL40" i="30"/>
  <c r="BM40" i="30"/>
  <c r="BN40" i="30"/>
  <c r="BO40" i="30"/>
  <c r="BP40" i="30"/>
  <c r="BQ40" i="30"/>
  <c r="BR40" i="30"/>
  <c r="BS40" i="30"/>
  <c r="BT40" i="30"/>
  <c r="BU40" i="30"/>
  <c r="BV40" i="30"/>
  <c r="BW40" i="30"/>
  <c r="BX40" i="30"/>
  <c r="BY40" i="30"/>
  <c r="BZ40" i="30"/>
  <c r="CA40" i="30"/>
  <c r="CB40" i="30"/>
  <c r="CC40" i="30"/>
  <c r="AD41" i="30"/>
  <c r="AE41" i="30"/>
  <c r="AF41" i="30"/>
  <c r="AG41" i="30"/>
  <c r="AH41" i="30"/>
  <c r="AI41" i="30"/>
  <c r="AJ41" i="30"/>
  <c r="AK41" i="30"/>
  <c r="AL41" i="30"/>
  <c r="AM41" i="30"/>
  <c r="AN41" i="30"/>
  <c r="AO41" i="30"/>
  <c r="AP41" i="30"/>
  <c r="AQ41" i="30"/>
  <c r="AR41" i="30"/>
  <c r="AS41" i="30"/>
  <c r="AT41" i="30"/>
  <c r="AU41" i="30"/>
  <c r="AV41" i="30"/>
  <c r="AW41" i="30"/>
  <c r="AX41" i="30"/>
  <c r="AY41" i="30"/>
  <c r="AZ41" i="30"/>
  <c r="BA41" i="30"/>
  <c r="BB41" i="30"/>
  <c r="BC41" i="30"/>
  <c r="BD41" i="30"/>
  <c r="BE41" i="30"/>
  <c r="BF41" i="30"/>
  <c r="BG41" i="30"/>
  <c r="BH41" i="30"/>
  <c r="BI41" i="30"/>
  <c r="BJ41" i="30"/>
  <c r="BK41" i="30"/>
  <c r="BL41" i="30"/>
  <c r="BM41" i="30"/>
  <c r="BN41" i="30"/>
  <c r="BO41" i="30"/>
  <c r="BP41" i="30"/>
  <c r="BQ41" i="30"/>
  <c r="BR41" i="30"/>
  <c r="BS41" i="30"/>
  <c r="BT41" i="30"/>
  <c r="BU41" i="30"/>
  <c r="BV41" i="30"/>
  <c r="BW41" i="30"/>
  <c r="BX41" i="30"/>
  <c r="BY41" i="30"/>
  <c r="BZ41" i="30"/>
  <c r="CA41" i="30"/>
  <c r="CB41" i="30"/>
  <c r="CC41" i="30"/>
  <c r="AD42" i="30"/>
  <c r="AE42" i="30"/>
  <c r="AF42" i="30"/>
  <c r="AG42" i="30"/>
  <c r="AH42" i="30"/>
  <c r="AI42" i="30"/>
  <c r="AJ42" i="30"/>
  <c r="AK42" i="30"/>
  <c r="AL42" i="30"/>
  <c r="AM42" i="30"/>
  <c r="AN42" i="30"/>
  <c r="AO42" i="30"/>
  <c r="AP42" i="30"/>
  <c r="AQ42" i="30"/>
  <c r="AR42" i="30"/>
  <c r="AS42" i="30"/>
  <c r="AT42" i="30"/>
  <c r="AU42" i="30"/>
  <c r="AV42" i="30"/>
  <c r="AW42" i="30"/>
  <c r="AX42" i="30"/>
  <c r="AY42" i="30"/>
  <c r="AZ42" i="30"/>
  <c r="BA42" i="30"/>
  <c r="BB42" i="30"/>
  <c r="BC42" i="30"/>
  <c r="BD42" i="30"/>
  <c r="BE42" i="30"/>
  <c r="BF42" i="30"/>
  <c r="BG42" i="30"/>
  <c r="BH42" i="30"/>
  <c r="BI42" i="30"/>
  <c r="BJ42" i="30"/>
  <c r="BK42" i="30"/>
  <c r="BL42" i="30"/>
  <c r="BM42" i="30"/>
  <c r="BN42" i="30"/>
  <c r="BO42" i="30"/>
  <c r="BP42" i="30"/>
  <c r="BQ42" i="30"/>
  <c r="BR42" i="30"/>
  <c r="BS42" i="30"/>
  <c r="BT42" i="30"/>
  <c r="BU42" i="30"/>
  <c r="BV42" i="30"/>
  <c r="BW42" i="30"/>
  <c r="BX42" i="30"/>
  <c r="BY42" i="30"/>
  <c r="BZ42" i="30"/>
  <c r="CA42" i="30"/>
  <c r="CB42" i="30"/>
  <c r="CC42" i="30"/>
  <c r="AD43" i="30"/>
  <c r="AE43" i="30"/>
  <c r="AF43" i="30"/>
  <c r="AG43" i="30"/>
  <c r="AH43" i="30"/>
  <c r="AI43" i="30"/>
  <c r="AJ43" i="30"/>
  <c r="AK43" i="30"/>
  <c r="AL43" i="30"/>
  <c r="AM43" i="30"/>
  <c r="AN43" i="30"/>
  <c r="AO43" i="30"/>
  <c r="AP43" i="30"/>
  <c r="AQ43" i="30"/>
  <c r="AR43" i="30"/>
  <c r="AS43" i="30"/>
  <c r="AT43" i="30"/>
  <c r="AU43" i="30"/>
  <c r="AV43" i="30"/>
  <c r="AW43" i="30"/>
  <c r="AX43" i="30"/>
  <c r="AY43" i="30"/>
  <c r="AZ43" i="30"/>
  <c r="BA43" i="30"/>
  <c r="BB43" i="30"/>
  <c r="BC43" i="30"/>
  <c r="BD43" i="30"/>
  <c r="BE43" i="30"/>
  <c r="BF43" i="30"/>
  <c r="BG43" i="30"/>
  <c r="BH43" i="30"/>
  <c r="BI43" i="30"/>
  <c r="BJ43" i="30"/>
  <c r="BK43" i="30"/>
  <c r="BL43" i="30"/>
  <c r="BM43" i="30"/>
  <c r="BN43" i="30"/>
  <c r="BO43" i="30"/>
  <c r="BP43" i="30"/>
  <c r="BQ43" i="30"/>
  <c r="BR43" i="30"/>
  <c r="BS43" i="30"/>
  <c r="BT43" i="30"/>
  <c r="BU43" i="30"/>
  <c r="BV43" i="30"/>
  <c r="BW43" i="30"/>
  <c r="BX43" i="30"/>
  <c r="BY43" i="30"/>
  <c r="BZ43" i="30"/>
  <c r="CA43" i="30"/>
  <c r="CB43" i="30"/>
  <c r="CC43" i="30"/>
  <c r="AD44" i="30"/>
  <c r="AE44" i="30"/>
  <c r="AF44" i="30"/>
  <c r="AG44" i="30"/>
  <c r="AH44" i="30"/>
  <c r="AI44" i="30"/>
  <c r="AJ44" i="30"/>
  <c r="AK44" i="30"/>
  <c r="AL44" i="30"/>
  <c r="AM44" i="30"/>
  <c r="AN44" i="30"/>
  <c r="AO44" i="30"/>
  <c r="AP44" i="30"/>
  <c r="AQ44" i="30"/>
  <c r="AR44" i="30"/>
  <c r="AS44" i="30"/>
  <c r="AT44" i="30"/>
  <c r="AU44" i="30"/>
  <c r="AV44" i="30"/>
  <c r="AW44" i="30"/>
  <c r="AX44" i="30"/>
  <c r="AY44" i="30"/>
  <c r="AZ44" i="30"/>
  <c r="BA44" i="30"/>
  <c r="BB44" i="30"/>
  <c r="BC44" i="30"/>
  <c r="BD44" i="30"/>
  <c r="BE44" i="30"/>
  <c r="BF44" i="30"/>
  <c r="BG44" i="30"/>
  <c r="BH44" i="30"/>
  <c r="BI44" i="30"/>
  <c r="BJ44" i="30"/>
  <c r="BK44" i="30"/>
  <c r="BL44" i="30"/>
  <c r="BM44" i="30"/>
  <c r="BN44" i="30"/>
  <c r="BO44" i="30"/>
  <c r="BP44" i="30"/>
  <c r="BQ44" i="30"/>
  <c r="BR44" i="30"/>
  <c r="BS44" i="30"/>
  <c r="BT44" i="30"/>
  <c r="BU44" i="30"/>
  <c r="BV44" i="30"/>
  <c r="BW44" i="30"/>
  <c r="BX44" i="30"/>
  <c r="BY44" i="30"/>
  <c r="BZ44" i="30"/>
  <c r="CA44" i="30"/>
  <c r="CB44" i="30"/>
  <c r="CC44" i="30"/>
  <c r="AD45" i="30"/>
  <c r="AE45" i="30"/>
  <c r="AF45" i="30"/>
  <c r="AG45" i="30"/>
  <c r="AH45" i="30"/>
  <c r="AI45" i="30"/>
  <c r="AJ45" i="30"/>
  <c r="AK45" i="30"/>
  <c r="AL45" i="30"/>
  <c r="AM45" i="30"/>
  <c r="AN45" i="30"/>
  <c r="AO45" i="30"/>
  <c r="AP45" i="30"/>
  <c r="AQ45" i="30"/>
  <c r="AR45" i="30"/>
  <c r="AS45" i="30"/>
  <c r="AT45" i="30"/>
  <c r="AU45" i="30"/>
  <c r="AV45" i="30"/>
  <c r="AW45" i="30"/>
  <c r="AX45" i="30"/>
  <c r="AY45" i="30"/>
  <c r="AZ45" i="30"/>
  <c r="BA45" i="30"/>
  <c r="BB45" i="30"/>
  <c r="BC45" i="30"/>
  <c r="BD45" i="30"/>
  <c r="BE45" i="30"/>
  <c r="BF45" i="30"/>
  <c r="BG45" i="30"/>
  <c r="BH45" i="30"/>
  <c r="BI45" i="30"/>
  <c r="BJ45" i="30"/>
  <c r="BK45" i="30"/>
  <c r="BL45" i="30"/>
  <c r="BM45" i="30"/>
  <c r="BN45" i="30"/>
  <c r="BO45" i="30"/>
  <c r="BP45" i="30"/>
  <c r="BQ45" i="30"/>
  <c r="BR45" i="30"/>
  <c r="BS45" i="30"/>
  <c r="BT45" i="30"/>
  <c r="BU45" i="30"/>
  <c r="BV45" i="30"/>
  <c r="BW45" i="30"/>
  <c r="BX45" i="30"/>
  <c r="BY45" i="30"/>
  <c r="BZ45" i="30"/>
  <c r="CA45" i="30"/>
  <c r="CB45" i="30"/>
  <c r="CC45" i="30"/>
  <c r="AD46" i="30"/>
  <c r="AE46" i="30"/>
  <c r="AF46" i="30"/>
  <c r="AG46" i="30"/>
  <c r="AH46" i="30"/>
  <c r="AI46" i="30"/>
  <c r="AJ46" i="30"/>
  <c r="AK46" i="30"/>
  <c r="AL46" i="30"/>
  <c r="AM46" i="30"/>
  <c r="AN46" i="30"/>
  <c r="AO46" i="30"/>
  <c r="AP46" i="30"/>
  <c r="AQ46" i="30"/>
  <c r="AR46" i="30"/>
  <c r="AS46" i="30"/>
  <c r="AT46" i="30"/>
  <c r="AU46" i="30"/>
  <c r="AV46" i="30"/>
  <c r="AW46" i="30"/>
  <c r="AX46" i="30"/>
  <c r="AY46" i="30"/>
  <c r="AZ46" i="30"/>
  <c r="BA46" i="30"/>
  <c r="BB46" i="30"/>
  <c r="BC46" i="30"/>
  <c r="BD46" i="30"/>
  <c r="BE46" i="30"/>
  <c r="BF46" i="30"/>
  <c r="BG46" i="30"/>
  <c r="BH46" i="30"/>
  <c r="BI46" i="30"/>
  <c r="BJ46" i="30"/>
  <c r="BK46" i="30"/>
  <c r="BL46" i="30"/>
  <c r="BM46" i="30"/>
  <c r="BN46" i="30"/>
  <c r="BO46" i="30"/>
  <c r="BP46" i="30"/>
  <c r="BQ46" i="30"/>
  <c r="BR46" i="30"/>
  <c r="BS46" i="30"/>
  <c r="BT46" i="30"/>
  <c r="BU46" i="30"/>
  <c r="BV46" i="30"/>
  <c r="BW46" i="30"/>
  <c r="BX46" i="30"/>
  <c r="BY46" i="30"/>
  <c r="BZ46" i="30"/>
  <c r="CA46" i="30"/>
  <c r="CB46" i="30"/>
  <c r="CC46" i="30"/>
  <c r="AD47" i="30"/>
  <c r="AE47" i="30"/>
  <c r="AF47" i="30"/>
  <c r="AG47" i="30"/>
  <c r="AH47" i="30"/>
  <c r="AI47" i="30"/>
  <c r="AJ47" i="30"/>
  <c r="AK47" i="30"/>
  <c r="AL47" i="30"/>
  <c r="AM47" i="30"/>
  <c r="AN47" i="30"/>
  <c r="AO47" i="30"/>
  <c r="AP47" i="30"/>
  <c r="AQ47" i="30"/>
  <c r="AR47" i="30"/>
  <c r="AS47" i="30"/>
  <c r="AT47" i="30"/>
  <c r="AU47" i="30"/>
  <c r="AV47" i="30"/>
  <c r="AW47" i="30"/>
  <c r="AX47" i="30"/>
  <c r="AY47" i="30"/>
  <c r="AZ47" i="30"/>
  <c r="BA47" i="30"/>
  <c r="BB47" i="30"/>
  <c r="BC47" i="30"/>
  <c r="BD47" i="30"/>
  <c r="BE47" i="30"/>
  <c r="BF47" i="30"/>
  <c r="BG47" i="30"/>
  <c r="BH47" i="30"/>
  <c r="BI47" i="30"/>
  <c r="BJ47" i="30"/>
  <c r="BK47" i="30"/>
  <c r="BL47" i="30"/>
  <c r="BM47" i="30"/>
  <c r="BN47" i="30"/>
  <c r="BO47" i="30"/>
  <c r="BP47" i="30"/>
  <c r="BQ47" i="30"/>
  <c r="BR47" i="30"/>
  <c r="BS47" i="30"/>
  <c r="BT47" i="30"/>
  <c r="BU47" i="30"/>
  <c r="BV47" i="30"/>
  <c r="BW47" i="30"/>
  <c r="BX47" i="30"/>
  <c r="BY47" i="30"/>
  <c r="BZ47" i="30"/>
  <c r="CA47" i="30"/>
  <c r="CB47" i="30"/>
  <c r="CC47" i="30"/>
  <c r="AD48" i="30"/>
  <c r="AE48" i="30"/>
  <c r="AF48" i="30"/>
  <c r="AG48" i="30"/>
  <c r="AH48" i="30"/>
  <c r="AI48" i="30"/>
  <c r="AJ48" i="30"/>
  <c r="AK48" i="30"/>
  <c r="AL48" i="30"/>
  <c r="AM48" i="30"/>
  <c r="AN48" i="30"/>
  <c r="AO48" i="30"/>
  <c r="AP48" i="30"/>
  <c r="AQ48" i="30"/>
  <c r="AR48" i="30"/>
  <c r="AS48" i="30"/>
  <c r="AT48" i="30"/>
  <c r="AU48" i="30"/>
  <c r="AV48" i="30"/>
  <c r="AW48" i="30"/>
  <c r="AX48" i="30"/>
  <c r="AY48" i="30"/>
  <c r="AZ48" i="30"/>
  <c r="BA48" i="30"/>
  <c r="BB48" i="30"/>
  <c r="BC48" i="30"/>
  <c r="BD48" i="30"/>
  <c r="BE48" i="30"/>
  <c r="BF48" i="30"/>
  <c r="BG48" i="30"/>
  <c r="BH48" i="30"/>
  <c r="BI48" i="30"/>
  <c r="BJ48" i="30"/>
  <c r="BK48" i="30"/>
  <c r="BL48" i="30"/>
  <c r="BM48" i="30"/>
  <c r="BN48" i="30"/>
  <c r="BO48" i="30"/>
  <c r="BP48" i="30"/>
  <c r="BQ48" i="30"/>
  <c r="BR48" i="30"/>
  <c r="BS48" i="30"/>
  <c r="BT48" i="30"/>
  <c r="BU48" i="30"/>
  <c r="BV48" i="30"/>
  <c r="BW48" i="30"/>
  <c r="BX48" i="30"/>
  <c r="BY48" i="30"/>
  <c r="BZ48" i="30"/>
  <c r="CA48" i="30"/>
  <c r="CB48" i="30"/>
  <c r="CC48" i="30"/>
  <c r="AD49" i="30"/>
  <c r="AE49" i="30"/>
  <c r="AF49" i="30"/>
  <c r="AG49" i="30"/>
  <c r="AH49" i="30"/>
  <c r="AI49" i="30"/>
  <c r="AJ49" i="30"/>
  <c r="AK49" i="30"/>
  <c r="AL49" i="30"/>
  <c r="AM49" i="30"/>
  <c r="AN49" i="30"/>
  <c r="AO49" i="30"/>
  <c r="AP49" i="30"/>
  <c r="AQ49" i="30"/>
  <c r="AR49" i="30"/>
  <c r="AS49" i="30"/>
  <c r="AT49" i="30"/>
  <c r="AU49" i="30"/>
  <c r="AV49" i="30"/>
  <c r="AW49" i="30"/>
  <c r="AX49" i="30"/>
  <c r="AY49" i="30"/>
  <c r="AZ49" i="30"/>
  <c r="BA49" i="30"/>
  <c r="BB49" i="30"/>
  <c r="BC49" i="30"/>
  <c r="BD49" i="30"/>
  <c r="BE49" i="30"/>
  <c r="BF49" i="30"/>
  <c r="BG49" i="30"/>
  <c r="BH49" i="30"/>
  <c r="BI49" i="30"/>
  <c r="BJ49" i="30"/>
  <c r="BK49" i="30"/>
  <c r="BL49" i="30"/>
  <c r="BM49" i="30"/>
  <c r="BN49" i="30"/>
  <c r="BO49" i="30"/>
  <c r="BP49" i="30"/>
  <c r="BQ49" i="30"/>
  <c r="BR49" i="30"/>
  <c r="BS49" i="30"/>
  <c r="BT49" i="30"/>
  <c r="BU49" i="30"/>
  <c r="BV49" i="30"/>
  <c r="BW49" i="30"/>
  <c r="BX49" i="30"/>
  <c r="BY49" i="30"/>
  <c r="BZ49" i="30"/>
  <c r="CA49" i="30"/>
  <c r="CB49" i="30"/>
  <c r="CC49" i="30"/>
  <c r="AD50" i="30"/>
  <c r="AE50" i="30"/>
  <c r="AF50" i="30"/>
  <c r="AG50" i="30"/>
  <c r="AH50" i="30"/>
  <c r="AI50" i="30"/>
  <c r="AJ50" i="30"/>
  <c r="AK50" i="30"/>
  <c r="AL50" i="30"/>
  <c r="AM50" i="30"/>
  <c r="AN50" i="30"/>
  <c r="AO50" i="30"/>
  <c r="AP50" i="30"/>
  <c r="AQ50" i="30"/>
  <c r="AR50" i="30"/>
  <c r="AS50" i="30"/>
  <c r="AT50" i="30"/>
  <c r="AU50" i="30"/>
  <c r="AV50" i="30"/>
  <c r="AW50" i="30"/>
  <c r="AX50" i="30"/>
  <c r="AY50" i="30"/>
  <c r="AZ50" i="30"/>
  <c r="BA50" i="30"/>
  <c r="BB50" i="30"/>
  <c r="BC50" i="30"/>
  <c r="BD50" i="30"/>
  <c r="BE50" i="30"/>
  <c r="BF50" i="30"/>
  <c r="BG50" i="30"/>
  <c r="BH50" i="30"/>
  <c r="BI50" i="30"/>
  <c r="BJ50" i="30"/>
  <c r="BK50" i="30"/>
  <c r="BL50" i="30"/>
  <c r="BM50" i="30"/>
  <c r="BN50" i="30"/>
  <c r="BO50" i="30"/>
  <c r="BP50" i="30"/>
  <c r="BQ50" i="30"/>
  <c r="BR50" i="30"/>
  <c r="BS50" i="30"/>
  <c r="BT50" i="30"/>
  <c r="BU50" i="30"/>
  <c r="BV50" i="30"/>
  <c r="BW50" i="30"/>
  <c r="BX50" i="30"/>
  <c r="BY50" i="30"/>
  <c r="BZ50" i="30"/>
  <c r="CA50" i="30"/>
  <c r="CB50" i="30"/>
  <c r="CC50" i="30"/>
  <c r="AD51" i="30"/>
  <c r="AE51" i="30"/>
  <c r="AF51" i="30"/>
  <c r="AG51" i="30"/>
  <c r="AH51" i="30"/>
  <c r="AI51" i="30"/>
  <c r="AJ51" i="30"/>
  <c r="AK51" i="30"/>
  <c r="AL51" i="30"/>
  <c r="AM51" i="30"/>
  <c r="AN51" i="30"/>
  <c r="AO51" i="30"/>
  <c r="AP51" i="30"/>
  <c r="AQ51" i="30"/>
  <c r="AR51" i="30"/>
  <c r="AS51" i="30"/>
  <c r="AT51" i="30"/>
  <c r="AU51" i="30"/>
  <c r="AV51" i="30"/>
  <c r="AW51" i="30"/>
  <c r="AX51" i="30"/>
  <c r="AY51" i="30"/>
  <c r="AZ51" i="30"/>
  <c r="BA51" i="30"/>
  <c r="BB51" i="30"/>
  <c r="BC51" i="30"/>
  <c r="BD51" i="30"/>
  <c r="BE51" i="30"/>
  <c r="BF51" i="30"/>
  <c r="BG51" i="30"/>
  <c r="BH51" i="30"/>
  <c r="BI51" i="30"/>
  <c r="BJ51" i="30"/>
  <c r="BK51" i="30"/>
  <c r="BL51" i="30"/>
  <c r="BM51" i="30"/>
  <c r="BN51" i="30"/>
  <c r="BO51" i="30"/>
  <c r="BP51" i="30"/>
  <c r="BQ51" i="30"/>
  <c r="BR51" i="30"/>
  <c r="BS51" i="30"/>
  <c r="BT51" i="30"/>
  <c r="BU51" i="30"/>
  <c r="BV51" i="30"/>
  <c r="BW51" i="30"/>
  <c r="BX51" i="30"/>
  <c r="BY51" i="30"/>
  <c r="BZ51" i="30"/>
  <c r="CA51" i="30"/>
  <c r="CB51" i="30"/>
  <c r="CC51" i="30"/>
  <c r="AD52" i="30"/>
  <c r="AE52" i="30"/>
  <c r="AF52" i="30"/>
  <c r="AG52" i="30"/>
  <c r="AH52" i="30"/>
  <c r="AI52" i="30"/>
  <c r="AJ52" i="30"/>
  <c r="AK52" i="30"/>
  <c r="AL52" i="30"/>
  <c r="AM52" i="30"/>
  <c r="AN52" i="30"/>
  <c r="AO52" i="30"/>
  <c r="AP52" i="30"/>
  <c r="AQ52" i="30"/>
  <c r="AR52" i="30"/>
  <c r="AS52" i="30"/>
  <c r="AT52" i="30"/>
  <c r="AU52" i="30"/>
  <c r="AV52" i="30"/>
  <c r="AW52" i="30"/>
  <c r="AX52" i="30"/>
  <c r="AY52" i="30"/>
  <c r="AZ52" i="30"/>
  <c r="BA52" i="30"/>
  <c r="BB52" i="30"/>
  <c r="BC52" i="30"/>
  <c r="BD52" i="30"/>
  <c r="BE52" i="30"/>
  <c r="BF52" i="30"/>
  <c r="BG52" i="30"/>
  <c r="BH52" i="30"/>
  <c r="BI52" i="30"/>
  <c r="BJ52" i="30"/>
  <c r="BK52" i="30"/>
  <c r="BL52" i="30"/>
  <c r="BM52" i="30"/>
  <c r="BN52" i="30"/>
  <c r="BO52" i="30"/>
  <c r="BP52" i="30"/>
  <c r="BQ52" i="30"/>
  <c r="BR52" i="30"/>
  <c r="BS52" i="30"/>
  <c r="BT52" i="30"/>
  <c r="BU52" i="30"/>
  <c r="BV52" i="30"/>
  <c r="BW52" i="30"/>
  <c r="BX52" i="30"/>
  <c r="BY52" i="30"/>
  <c r="BZ52" i="30"/>
  <c r="CA52" i="30"/>
  <c r="CB52" i="30"/>
  <c r="CC52" i="30"/>
  <c r="AD53" i="30"/>
  <c r="AE53" i="30"/>
  <c r="AF53" i="30"/>
  <c r="AG53" i="30"/>
  <c r="AH53" i="30"/>
  <c r="AI53" i="30"/>
  <c r="AJ53" i="30"/>
  <c r="AK53" i="30"/>
  <c r="AL53" i="30"/>
  <c r="AM53" i="30"/>
  <c r="AN53" i="30"/>
  <c r="AO53" i="30"/>
  <c r="AP53" i="30"/>
  <c r="AQ53" i="30"/>
  <c r="AR53" i="30"/>
  <c r="AS53" i="30"/>
  <c r="AT53" i="30"/>
  <c r="AU53" i="30"/>
  <c r="AV53" i="30"/>
  <c r="AW53" i="30"/>
  <c r="AX53" i="30"/>
  <c r="AY53" i="30"/>
  <c r="AZ53" i="30"/>
  <c r="BA53" i="30"/>
  <c r="BB53" i="30"/>
  <c r="BC53" i="30"/>
  <c r="BD53" i="30"/>
  <c r="BE53" i="30"/>
  <c r="BF53" i="30"/>
  <c r="BG53" i="30"/>
  <c r="BH53" i="30"/>
  <c r="BI53" i="30"/>
  <c r="BJ53" i="30"/>
  <c r="BK53" i="30"/>
  <c r="BL53" i="30"/>
  <c r="BM53" i="30"/>
  <c r="BN53" i="30"/>
  <c r="BO53" i="30"/>
  <c r="BP53" i="30"/>
  <c r="BQ53" i="30"/>
  <c r="BR53" i="30"/>
  <c r="BS53" i="30"/>
  <c r="BT53" i="30"/>
  <c r="BU53" i="30"/>
  <c r="BV53" i="30"/>
  <c r="BW53" i="30"/>
  <c r="BX53" i="30"/>
  <c r="BY53" i="30"/>
  <c r="BZ53" i="30"/>
  <c r="CA53" i="30"/>
  <c r="CB53" i="30"/>
  <c r="CC53" i="30"/>
  <c r="AD54" i="30"/>
  <c r="AE54" i="30"/>
  <c r="AF54" i="30"/>
  <c r="AG54" i="30"/>
  <c r="AH54" i="30"/>
  <c r="AI54" i="30"/>
  <c r="AJ54" i="30"/>
  <c r="AK54" i="30"/>
  <c r="AL54" i="30"/>
  <c r="AM54" i="30"/>
  <c r="AN54" i="30"/>
  <c r="AO54" i="30"/>
  <c r="AP54" i="30"/>
  <c r="AQ54" i="30"/>
  <c r="AR54" i="30"/>
  <c r="AS54" i="30"/>
  <c r="AT54" i="30"/>
  <c r="AU54" i="30"/>
  <c r="AV54" i="30"/>
  <c r="AW54" i="30"/>
  <c r="AX54" i="30"/>
  <c r="AY54" i="30"/>
  <c r="AZ54" i="30"/>
  <c r="BA54" i="30"/>
  <c r="BB54" i="30"/>
  <c r="BC54" i="30"/>
  <c r="BD54" i="30"/>
  <c r="BE54" i="30"/>
  <c r="BF54" i="30"/>
  <c r="BG54" i="30"/>
  <c r="BH54" i="30"/>
  <c r="BI54" i="30"/>
  <c r="BJ54" i="30"/>
  <c r="BK54" i="30"/>
  <c r="BL54" i="30"/>
  <c r="BM54" i="30"/>
  <c r="BN54" i="30"/>
  <c r="BO54" i="30"/>
  <c r="BP54" i="30"/>
  <c r="BQ54" i="30"/>
  <c r="BR54" i="30"/>
  <c r="BS54" i="30"/>
  <c r="BT54" i="30"/>
  <c r="BU54" i="30"/>
  <c r="BV54" i="30"/>
  <c r="BW54" i="30"/>
  <c r="BX54" i="30"/>
  <c r="BY54" i="30"/>
  <c r="BZ54" i="30"/>
  <c r="CA54" i="30"/>
  <c r="CB54" i="30"/>
  <c r="CC54" i="30"/>
  <c r="AD55" i="30"/>
  <c r="AE55" i="30"/>
  <c r="AF55" i="30"/>
  <c r="AG55" i="30"/>
  <c r="AH55" i="30"/>
  <c r="AI55" i="30"/>
  <c r="AJ55" i="30"/>
  <c r="AK55" i="30"/>
  <c r="AL55" i="30"/>
  <c r="AM55" i="30"/>
  <c r="AN55" i="30"/>
  <c r="AO55" i="30"/>
  <c r="AP55" i="30"/>
  <c r="AQ55" i="30"/>
  <c r="AR55" i="30"/>
  <c r="AS55" i="30"/>
  <c r="AT55" i="30"/>
  <c r="AU55" i="30"/>
  <c r="AV55" i="30"/>
  <c r="AW55" i="30"/>
  <c r="AX55" i="30"/>
  <c r="AY55" i="30"/>
  <c r="AZ55" i="30"/>
  <c r="BA55" i="30"/>
  <c r="BB55" i="30"/>
  <c r="BC55" i="30"/>
  <c r="BD55" i="30"/>
  <c r="BE55" i="30"/>
  <c r="BF55" i="30"/>
  <c r="BG55" i="30"/>
  <c r="BH55" i="30"/>
  <c r="BI55" i="30"/>
  <c r="BJ55" i="30"/>
  <c r="BK55" i="30"/>
  <c r="BL55" i="30"/>
  <c r="BM55" i="30"/>
  <c r="BN55" i="30"/>
  <c r="BO55" i="30"/>
  <c r="BP55" i="30"/>
  <c r="BQ55" i="30"/>
  <c r="BR55" i="30"/>
  <c r="BS55" i="30"/>
  <c r="BT55" i="30"/>
  <c r="BU55" i="30"/>
  <c r="BV55" i="30"/>
  <c r="BW55" i="30"/>
  <c r="BX55" i="30"/>
  <c r="BY55" i="30"/>
  <c r="BZ55" i="30"/>
  <c r="CA55" i="30"/>
  <c r="CB55" i="30"/>
  <c r="CC55" i="30"/>
  <c r="AD56" i="30"/>
  <c r="AE56" i="30"/>
  <c r="AF56" i="30"/>
  <c r="AG56" i="30"/>
  <c r="AH56" i="30"/>
  <c r="AI56" i="30"/>
  <c r="AJ56" i="30"/>
  <c r="AK56" i="30"/>
  <c r="AL56" i="30"/>
  <c r="AM56" i="30"/>
  <c r="AN56" i="30"/>
  <c r="AO56" i="30"/>
  <c r="AP56" i="30"/>
  <c r="AQ56" i="30"/>
  <c r="AR56" i="30"/>
  <c r="AS56" i="30"/>
  <c r="AT56" i="30"/>
  <c r="AU56" i="30"/>
  <c r="AV56" i="30"/>
  <c r="AW56" i="30"/>
  <c r="AX56" i="30"/>
  <c r="AY56" i="30"/>
  <c r="AZ56" i="30"/>
  <c r="BA56" i="30"/>
  <c r="BB56" i="30"/>
  <c r="BC56" i="30"/>
  <c r="BD56" i="30"/>
  <c r="BE56" i="30"/>
  <c r="BF56" i="30"/>
  <c r="BG56" i="30"/>
  <c r="BH56" i="30"/>
  <c r="BI56" i="30"/>
  <c r="BJ56" i="30"/>
  <c r="BK56" i="30"/>
  <c r="BL56" i="30"/>
  <c r="BM56" i="30"/>
  <c r="BN56" i="30"/>
  <c r="BO56" i="30"/>
  <c r="BP56" i="30"/>
  <c r="BQ56" i="30"/>
  <c r="BR56" i="30"/>
  <c r="BS56" i="30"/>
  <c r="BT56" i="30"/>
  <c r="BU56" i="30"/>
  <c r="BV56" i="30"/>
  <c r="BW56" i="30"/>
  <c r="BX56" i="30"/>
  <c r="BY56" i="30"/>
  <c r="BZ56" i="30"/>
  <c r="CA56" i="30"/>
  <c r="CB56" i="30"/>
  <c r="CC56" i="30"/>
  <c r="AD57" i="30"/>
  <c r="AE57" i="30"/>
  <c r="AF57" i="30"/>
  <c r="AG57" i="30"/>
  <c r="AH57" i="30"/>
  <c r="AI57" i="30"/>
  <c r="AJ57" i="30"/>
  <c r="AK57" i="30"/>
  <c r="AL57" i="30"/>
  <c r="AM57" i="30"/>
  <c r="AN57" i="30"/>
  <c r="AO57" i="30"/>
  <c r="AP57" i="30"/>
  <c r="AQ57" i="30"/>
  <c r="AR57" i="30"/>
  <c r="AS57" i="30"/>
  <c r="AT57" i="30"/>
  <c r="AU57" i="30"/>
  <c r="AV57" i="30"/>
  <c r="AW57" i="30"/>
  <c r="AX57" i="30"/>
  <c r="AY57" i="30"/>
  <c r="AZ57" i="30"/>
  <c r="BA57" i="30"/>
  <c r="BB57" i="30"/>
  <c r="BC57" i="30"/>
  <c r="BD57" i="30"/>
  <c r="BE57" i="30"/>
  <c r="BF57" i="30"/>
  <c r="BG57" i="30"/>
  <c r="BH57" i="30"/>
  <c r="BI57" i="30"/>
  <c r="BJ57" i="30"/>
  <c r="BK57" i="30"/>
  <c r="BL57" i="30"/>
  <c r="BM57" i="30"/>
  <c r="BN57" i="30"/>
  <c r="BO57" i="30"/>
  <c r="BP57" i="30"/>
  <c r="BQ57" i="30"/>
  <c r="BR57" i="30"/>
  <c r="BS57" i="30"/>
  <c r="BT57" i="30"/>
  <c r="BU57" i="30"/>
  <c r="BV57" i="30"/>
  <c r="BW57" i="30"/>
  <c r="BX57" i="30"/>
  <c r="BY57" i="30"/>
  <c r="BZ57" i="30"/>
  <c r="CA57" i="30"/>
  <c r="CB57" i="30"/>
  <c r="CC57" i="30"/>
  <c r="AD58" i="30"/>
  <c r="AE58" i="30"/>
  <c r="AF58" i="30"/>
  <c r="AG58" i="30"/>
  <c r="AH58" i="30"/>
  <c r="AI58" i="30"/>
  <c r="AJ58" i="30"/>
  <c r="AK58" i="30"/>
  <c r="AL58" i="30"/>
  <c r="AM58" i="30"/>
  <c r="AN58" i="30"/>
  <c r="AO58" i="30"/>
  <c r="AP58" i="30"/>
  <c r="AQ58" i="30"/>
  <c r="AR58" i="30"/>
  <c r="AS58" i="30"/>
  <c r="AT58" i="30"/>
  <c r="AU58" i="30"/>
  <c r="AV58" i="30"/>
  <c r="AW58" i="30"/>
  <c r="AX58" i="30"/>
  <c r="AY58" i="30"/>
  <c r="AZ58" i="30"/>
  <c r="BA58" i="30"/>
  <c r="BB58" i="30"/>
  <c r="BC58" i="30"/>
  <c r="BD58" i="30"/>
  <c r="BE58" i="30"/>
  <c r="BF58" i="30"/>
  <c r="BG58" i="30"/>
  <c r="BH58" i="30"/>
  <c r="BI58" i="30"/>
  <c r="BJ58" i="30"/>
  <c r="BK58" i="30"/>
  <c r="BL58" i="30"/>
  <c r="BM58" i="30"/>
  <c r="BN58" i="30"/>
  <c r="BO58" i="30"/>
  <c r="BP58" i="30"/>
  <c r="BQ58" i="30"/>
  <c r="BR58" i="30"/>
  <c r="BS58" i="30"/>
  <c r="BT58" i="30"/>
  <c r="BU58" i="30"/>
  <c r="BV58" i="30"/>
  <c r="BW58" i="30"/>
  <c r="BX58" i="30"/>
  <c r="BY58" i="30"/>
  <c r="BZ58" i="30"/>
  <c r="CA58" i="30"/>
  <c r="CB58" i="30"/>
  <c r="CC58" i="30"/>
  <c r="AD59" i="30"/>
  <c r="AE59" i="30"/>
  <c r="AF59" i="30"/>
  <c r="AG59" i="30"/>
  <c r="AH59" i="30"/>
  <c r="AI59" i="30"/>
  <c r="AJ59" i="30"/>
  <c r="AK59" i="30"/>
  <c r="AL59" i="30"/>
  <c r="AM59" i="30"/>
  <c r="AN59" i="30"/>
  <c r="AO59" i="30"/>
  <c r="AP59" i="30"/>
  <c r="AQ59" i="30"/>
  <c r="AR59" i="30"/>
  <c r="AS59" i="30"/>
  <c r="AT59" i="30"/>
  <c r="AU59" i="30"/>
  <c r="AV59" i="30"/>
  <c r="AW59" i="30"/>
  <c r="AX59" i="30"/>
  <c r="AY59" i="30"/>
  <c r="AZ59" i="30"/>
  <c r="BA59" i="30"/>
  <c r="BB59" i="30"/>
  <c r="BC59" i="30"/>
  <c r="BD59" i="30"/>
  <c r="BE59" i="30"/>
  <c r="BF59" i="30"/>
  <c r="BG59" i="30"/>
  <c r="BH59" i="30"/>
  <c r="BI59" i="30"/>
  <c r="BJ59" i="30"/>
  <c r="BK59" i="30"/>
  <c r="BL59" i="30"/>
  <c r="BM59" i="30"/>
  <c r="BN59" i="30"/>
  <c r="BO59" i="30"/>
  <c r="BP59" i="30"/>
  <c r="BQ59" i="30"/>
  <c r="BR59" i="30"/>
  <c r="BS59" i="30"/>
  <c r="BT59" i="30"/>
  <c r="BU59" i="30"/>
  <c r="BV59" i="30"/>
  <c r="BW59" i="30"/>
  <c r="BX59" i="30"/>
  <c r="BY59" i="30"/>
  <c r="BZ59" i="30"/>
  <c r="CA59" i="30"/>
  <c r="CB59" i="30"/>
  <c r="CC59" i="30"/>
  <c r="AD60" i="30"/>
  <c r="AE60" i="30"/>
  <c r="AF60" i="30"/>
  <c r="AG60" i="30"/>
  <c r="AH60" i="30"/>
  <c r="AI60" i="30"/>
  <c r="AJ60" i="30"/>
  <c r="AK60" i="30"/>
  <c r="AL60" i="30"/>
  <c r="AM60" i="30"/>
  <c r="AN60" i="30"/>
  <c r="AO60" i="30"/>
  <c r="AP60" i="30"/>
  <c r="AQ60" i="30"/>
  <c r="AR60" i="30"/>
  <c r="AS60" i="30"/>
  <c r="AT60" i="30"/>
  <c r="AU60" i="30"/>
  <c r="AV60" i="30"/>
  <c r="AW60" i="30"/>
  <c r="AX60" i="30"/>
  <c r="AY60" i="30"/>
  <c r="AZ60" i="30"/>
  <c r="BA60" i="30"/>
  <c r="BB60" i="30"/>
  <c r="BC60" i="30"/>
  <c r="BD60" i="30"/>
  <c r="BE60" i="30"/>
  <c r="BF60" i="30"/>
  <c r="BG60" i="30"/>
  <c r="BH60" i="30"/>
  <c r="BI60" i="30"/>
  <c r="BJ60" i="30"/>
  <c r="BK60" i="30"/>
  <c r="BL60" i="30"/>
  <c r="BM60" i="30"/>
  <c r="BN60" i="30"/>
  <c r="BO60" i="30"/>
  <c r="BP60" i="30"/>
  <c r="BQ60" i="30"/>
  <c r="BR60" i="30"/>
  <c r="BS60" i="30"/>
  <c r="BT60" i="30"/>
  <c r="BU60" i="30"/>
  <c r="BV60" i="30"/>
  <c r="BW60" i="30"/>
  <c r="BX60" i="30"/>
  <c r="BY60" i="30"/>
  <c r="BZ60" i="30"/>
  <c r="CA60" i="30"/>
  <c r="CB60" i="30"/>
  <c r="CC60" i="30"/>
  <c r="AD61" i="30"/>
  <c r="AE61" i="30"/>
  <c r="AF61" i="30"/>
  <c r="AG61" i="30"/>
  <c r="AH61" i="30"/>
  <c r="AI61" i="30"/>
  <c r="AJ61" i="30"/>
  <c r="AK61" i="30"/>
  <c r="AL61" i="30"/>
  <c r="AM61" i="30"/>
  <c r="AN61" i="30"/>
  <c r="AO61" i="30"/>
  <c r="AP61" i="30"/>
  <c r="AQ61" i="30"/>
  <c r="AR61" i="30"/>
  <c r="AS61" i="30"/>
  <c r="AT61" i="30"/>
  <c r="AU61" i="30"/>
  <c r="AV61" i="30"/>
  <c r="AW61" i="30"/>
  <c r="AX61" i="30"/>
  <c r="AY61" i="30"/>
  <c r="AZ61" i="30"/>
  <c r="BA61" i="30"/>
  <c r="BB61" i="30"/>
  <c r="BC61" i="30"/>
  <c r="BD61" i="30"/>
  <c r="BE61" i="30"/>
  <c r="BF61" i="30"/>
  <c r="BG61" i="30"/>
  <c r="BH61" i="30"/>
  <c r="BI61" i="30"/>
  <c r="BJ61" i="30"/>
  <c r="BK61" i="30"/>
  <c r="BL61" i="30"/>
  <c r="BM61" i="30"/>
  <c r="BN61" i="30"/>
  <c r="BO61" i="30"/>
  <c r="BP61" i="30"/>
  <c r="BQ61" i="30"/>
  <c r="BR61" i="30"/>
  <c r="BS61" i="30"/>
  <c r="BT61" i="30"/>
  <c r="BU61" i="30"/>
  <c r="BV61" i="30"/>
  <c r="BW61" i="30"/>
  <c r="BX61" i="30"/>
  <c r="BY61" i="30"/>
  <c r="BZ61" i="30"/>
  <c r="CA61" i="30"/>
  <c r="CB61" i="30"/>
  <c r="CC61" i="30"/>
  <c r="AD62" i="30"/>
  <c r="AE62" i="30"/>
  <c r="AF62" i="30"/>
  <c r="AG62" i="30"/>
  <c r="AH62" i="30"/>
  <c r="AI62" i="30"/>
  <c r="AJ62" i="30"/>
  <c r="AK62" i="30"/>
  <c r="AL62" i="30"/>
  <c r="AM62" i="30"/>
  <c r="AN62" i="30"/>
  <c r="AO62" i="30"/>
  <c r="AP62" i="30"/>
  <c r="AQ62" i="30"/>
  <c r="AR62" i="30"/>
  <c r="AS62" i="30"/>
  <c r="AT62" i="30"/>
  <c r="AU62" i="30"/>
  <c r="AV62" i="30"/>
  <c r="AW62" i="30"/>
  <c r="AX62" i="30"/>
  <c r="AY62" i="30"/>
  <c r="AZ62" i="30"/>
  <c r="BA62" i="30"/>
  <c r="BB62" i="30"/>
  <c r="BC62" i="30"/>
  <c r="BD62" i="30"/>
  <c r="BE62" i="30"/>
  <c r="BF62" i="30"/>
  <c r="BG62" i="30"/>
  <c r="BH62" i="30"/>
  <c r="BI62" i="30"/>
  <c r="BJ62" i="30"/>
  <c r="BK62" i="30"/>
  <c r="BL62" i="30"/>
  <c r="BM62" i="30"/>
  <c r="BN62" i="30"/>
  <c r="BO62" i="30"/>
  <c r="BP62" i="30"/>
  <c r="BQ62" i="30"/>
  <c r="BR62" i="30"/>
  <c r="BS62" i="30"/>
  <c r="BT62" i="30"/>
  <c r="BU62" i="30"/>
  <c r="BV62" i="30"/>
  <c r="BW62" i="30"/>
  <c r="BX62" i="30"/>
  <c r="BY62" i="30"/>
  <c r="BZ62" i="30"/>
  <c r="CA62" i="30"/>
  <c r="CB62" i="30"/>
  <c r="CC62" i="30"/>
  <c r="AD63" i="30"/>
  <c r="AE63" i="30"/>
  <c r="AF63" i="30"/>
  <c r="AG63" i="30"/>
  <c r="AH63" i="30"/>
  <c r="AI63" i="30"/>
  <c r="AJ63" i="30"/>
  <c r="AK63" i="30"/>
  <c r="AL63" i="30"/>
  <c r="AM63" i="30"/>
  <c r="AN63" i="30"/>
  <c r="AO63" i="30"/>
  <c r="AP63" i="30"/>
  <c r="AQ63" i="30"/>
  <c r="AR63" i="30"/>
  <c r="AS63" i="30"/>
  <c r="AT63" i="30"/>
  <c r="AU63" i="30"/>
  <c r="AV63" i="30"/>
  <c r="AW63" i="30"/>
  <c r="AX63" i="30"/>
  <c r="AY63" i="30"/>
  <c r="AZ63" i="30"/>
  <c r="BA63" i="30"/>
  <c r="BB63" i="30"/>
  <c r="BC63" i="30"/>
  <c r="BD63" i="30"/>
  <c r="BE63" i="30"/>
  <c r="BF63" i="30"/>
  <c r="BG63" i="30"/>
  <c r="BH63" i="30"/>
  <c r="BI63" i="30"/>
  <c r="BJ63" i="30"/>
  <c r="BK63" i="30"/>
  <c r="BL63" i="30"/>
  <c r="BM63" i="30"/>
  <c r="BN63" i="30"/>
  <c r="BO63" i="30"/>
  <c r="BP63" i="30"/>
  <c r="BQ63" i="30"/>
  <c r="BR63" i="30"/>
  <c r="BS63" i="30"/>
  <c r="BT63" i="30"/>
  <c r="BU63" i="30"/>
  <c r="BV63" i="30"/>
  <c r="BW63" i="30"/>
  <c r="BX63" i="30"/>
  <c r="BY63" i="30"/>
  <c r="BZ63" i="30"/>
  <c r="CA63" i="30"/>
  <c r="CB63" i="30"/>
  <c r="CC63" i="30"/>
  <c r="AD64" i="30"/>
  <c r="AE64" i="30"/>
  <c r="AF64" i="30"/>
  <c r="AG64" i="30"/>
  <c r="AH64" i="30"/>
  <c r="AI64" i="30"/>
  <c r="AJ64" i="30"/>
  <c r="AK64" i="30"/>
  <c r="AL64" i="30"/>
  <c r="AM64" i="30"/>
  <c r="AN64" i="30"/>
  <c r="AO64" i="30"/>
  <c r="AP64" i="30"/>
  <c r="AQ64" i="30"/>
  <c r="AR64" i="30"/>
  <c r="AS64" i="30"/>
  <c r="AT64" i="30"/>
  <c r="AU64" i="30"/>
  <c r="AV64" i="30"/>
  <c r="AW64" i="30"/>
  <c r="AX64" i="30"/>
  <c r="AY64" i="30"/>
  <c r="AZ64" i="30"/>
  <c r="BA64" i="30"/>
  <c r="BB64" i="30"/>
  <c r="BC64" i="30"/>
  <c r="BD64" i="30"/>
  <c r="BE64" i="30"/>
  <c r="BF64" i="30"/>
  <c r="BG64" i="30"/>
  <c r="BH64" i="30"/>
  <c r="BI64" i="30"/>
  <c r="BJ64" i="30"/>
  <c r="BK64" i="30"/>
  <c r="BL64" i="30"/>
  <c r="BM64" i="30"/>
  <c r="BN64" i="30"/>
  <c r="BO64" i="30"/>
  <c r="BP64" i="30"/>
  <c r="BQ64" i="30"/>
  <c r="BR64" i="30"/>
  <c r="BS64" i="30"/>
  <c r="BT64" i="30"/>
  <c r="BU64" i="30"/>
  <c r="BV64" i="30"/>
  <c r="BW64" i="30"/>
  <c r="BX64" i="30"/>
  <c r="BY64" i="30"/>
  <c r="BZ64" i="30"/>
  <c r="CA64" i="30"/>
  <c r="CB64" i="30"/>
  <c r="CC64" i="30"/>
  <c r="AD65" i="30"/>
  <c r="AE65" i="30"/>
  <c r="AF65" i="30"/>
  <c r="AG65" i="30"/>
  <c r="AH65" i="30"/>
  <c r="AI65" i="30"/>
  <c r="AJ65" i="30"/>
  <c r="AK65" i="30"/>
  <c r="AL65" i="30"/>
  <c r="AM65" i="30"/>
  <c r="AN65" i="30"/>
  <c r="AO65" i="30"/>
  <c r="AP65" i="30"/>
  <c r="AQ65" i="30"/>
  <c r="AR65" i="30"/>
  <c r="AS65" i="30"/>
  <c r="AT65" i="30"/>
  <c r="AU65" i="30"/>
  <c r="AV65" i="30"/>
  <c r="AW65" i="30"/>
  <c r="AX65" i="30"/>
  <c r="AY65" i="30"/>
  <c r="AZ65" i="30"/>
  <c r="BA65" i="30"/>
  <c r="BB65" i="30"/>
  <c r="BC65" i="30"/>
  <c r="BD65" i="30"/>
  <c r="BE65" i="30"/>
  <c r="BF65" i="30"/>
  <c r="BG65" i="30"/>
  <c r="BH65" i="30"/>
  <c r="BI65" i="30"/>
  <c r="BJ65" i="30"/>
  <c r="BK65" i="30"/>
  <c r="BL65" i="30"/>
  <c r="BM65" i="30"/>
  <c r="BN65" i="30"/>
  <c r="BO65" i="30"/>
  <c r="BP65" i="30"/>
  <c r="BQ65" i="30"/>
  <c r="BR65" i="30"/>
  <c r="BS65" i="30"/>
  <c r="BT65" i="30"/>
  <c r="BU65" i="30"/>
  <c r="BV65" i="30"/>
  <c r="BW65" i="30"/>
  <c r="BX65" i="30"/>
  <c r="BY65" i="30"/>
  <c r="BZ65" i="30"/>
  <c r="CA65" i="30"/>
  <c r="CB65" i="30"/>
  <c r="CC65" i="30"/>
  <c r="AD66" i="30"/>
  <c r="AE66" i="30"/>
  <c r="AF66" i="30"/>
  <c r="AG66" i="30"/>
  <c r="AH66" i="30"/>
  <c r="AI66" i="30"/>
  <c r="AJ66" i="30"/>
  <c r="AK66" i="30"/>
  <c r="AL66" i="30"/>
  <c r="AM66" i="30"/>
  <c r="AN66" i="30"/>
  <c r="AO66" i="30"/>
  <c r="AP66" i="30"/>
  <c r="AQ66" i="30"/>
  <c r="AR66" i="30"/>
  <c r="AS66" i="30"/>
  <c r="AT66" i="30"/>
  <c r="AU66" i="30"/>
  <c r="AV66" i="30"/>
  <c r="AW66" i="30"/>
  <c r="AX66" i="30"/>
  <c r="AY66" i="30"/>
  <c r="AZ66" i="30"/>
  <c r="BA66" i="30"/>
  <c r="BB66" i="30"/>
  <c r="BC66" i="30"/>
  <c r="BD66" i="30"/>
  <c r="BE66" i="30"/>
  <c r="BF66" i="30"/>
  <c r="BG66" i="30"/>
  <c r="BH66" i="30"/>
  <c r="BI66" i="30"/>
  <c r="BJ66" i="30"/>
  <c r="BK66" i="30"/>
  <c r="BL66" i="30"/>
  <c r="BM66" i="30"/>
  <c r="BN66" i="30"/>
  <c r="BO66" i="30"/>
  <c r="BP66" i="30"/>
  <c r="BQ66" i="30"/>
  <c r="BR66" i="30"/>
  <c r="BS66" i="30"/>
  <c r="BT66" i="30"/>
  <c r="BU66" i="30"/>
  <c r="BV66" i="30"/>
  <c r="BW66" i="30"/>
  <c r="BX66" i="30"/>
  <c r="BY66" i="30"/>
  <c r="BZ66" i="30"/>
  <c r="CA66" i="30"/>
  <c r="CB66" i="30"/>
  <c r="CC66" i="30"/>
  <c r="AD67" i="30"/>
  <c r="AE67" i="30"/>
  <c r="AF67" i="30"/>
  <c r="AG67" i="30"/>
  <c r="AH67" i="30"/>
  <c r="AI67" i="30"/>
  <c r="AJ67" i="30"/>
  <c r="AK67" i="30"/>
  <c r="AL67" i="30"/>
  <c r="AM67" i="30"/>
  <c r="AN67" i="30"/>
  <c r="AO67" i="30"/>
  <c r="AP67" i="30"/>
  <c r="AQ67" i="30"/>
  <c r="AR67" i="30"/>
  <c r="AS67" i="30"/>
  <c r="AT67" i="30"/>
  <c r="AU67" i="30"/>
  <c r="AV67" i="30"/>
  <c r="AW67" i="30"/>
  <c r="AX67" i="30"/>
  <c r="AY67" i="30"/>
  <c r="AZ67" i="30"/>
  <c r="BA67" i="30"/>
  <c r="BB67" i="30"/>
  <c r="BC67" i="30"/>
  <c r="BD67" i="30"/>
  <c r="BE67" i="30"/>
  <c r="BF67" i="30"/>
  <c r="BG67" i="30"/>
  <c r="BH67" i="30"/>
  <c r="BI67" i="30"/>
  <c r="BJ67" i="30"/>
  <c r="BK67" i="30"/>
  <c r="BL67" i="30"/>
  <c r="BM67" i="30"/>
  <c r="BN67" i="30"/>
  <c r="BO67" i="30"/>
  <c r="BP67" i="30"/>
  <c r="BQ67" i="30"/>
  <c r="BR67" i="30"/>
  <c r="BS67" i="30"/>
  <c r="BT67" i="30"/>
  <c r="BU67" i="30"/>
  <c r="BV67" i="30"/>
  <c r="BW67" i="30"/>
  <c r="BX67" i="30"/>
  <c r="BY67" i="30"/>
  <c r="BZ67" i="30"/>
  <c r="CA67" i="30"/>
  <c r="CB67" i="30"/>
  <c r="CC67" i="30"/>
  <c r="AD68" i="30"/>
  <c r="AE68" i="30"/>
  <c r="AF68" i="30"/>
  <c r="AG68" i="30"/>
  <c r="AH68" i="30"/>
  <c r="AI68" i="30"/>
  <c r="AJ68" i="30"/>
  <c r="AK68" i="30"/>
  <c r="AL68" i="30"/>
  <c r="AM68" i="30"/>
  <c r="AN68" i="30"/>
  <c r="AO68" i="30"/>
  <c r="AP68" i="30"/>
  <c r="AQ68" i="30"/>
  <c r="AR68" i="30"/>
  <c r="AS68" i="30"/>
  <c r="AT68" i="30"/>
  <c r="AU68" i="30"/>
  <c r="AV68" i="30"/>
  <c r="AW68" i="30"/>
  <c r="AX68" i="30"/>
  <c r="AY68" i="30"/>
  <c r="AZ68" i="30"/>
  <c r="BA68" i="30"/>
  <c r="BB68" i="30"/>
  <c r="BC68" i="30"/>
  <c r="BD68" i="30"/>
  <c r="BE68" i="30"/>
  <c r="BF68" i="30"/>
  <c r="BG68" i="30"/>
  <c r="BH68" i="30"/>
  <c r="BI68" i="30"/>
  <c r="BJ68" i="30"/>
  <c r="BK68" i="30"/>
  <c r="BL68" i="30"/>
  <c r="BM68" i="30"/>
  <c r="BN68" i="30"/>
  <c r="BO68" i="30"/>
  <c r="BP68" i="30"/>
  <c r="BQ68" i="30"/>
  <c r="BR68" i="30"/>
  <c r="BS68" i="30"/>
  <c r="BT68" i="30"/>
  <c r="BU68" i="30"/>
  <c r="BV68" i="30"/>
  <c r="BW68" i="30"/>
  <c r="BX68" i="30"/>
  <c r="BY68" i="30"/>
  <c r="BZ68" i="30"/>
  <c r="CA68" i="30"/>
  <c r="CB68" i="30"/>
  <c r="CC68" i="30"/>
  <c r="AD69" i="30"/>
  <c r="AE69" i="30"/>
  <c r="AF69" i="30"/>
  <c r="AG69" i="30"/>
  <c r="AH69" i="30"/>
  <c r="AI69" i="30"/>
  <c r="AJ69" i="30"/>
  <c r="AK69" i="30"/>
  <c r="AL69" i="30"/>
  <c r="AM69" i="30"/>
  <c r="AN69" i="30"/>
  <c r="AO69" i="30"/>
  <c r="AP69" i="30"/>
  <c r="AQ69" i="30"/>
  <c r="AR69" i="30"/>
  <c r="AS69" i="30"/>
  <c r="AT69" i="30"/>
  <c r="AU69" i="30"/>
  <c r="AV69" i="30"/>
  <c r="AW69" i="30"/>
  <c r="AX69" i="30"/>
  <c r="AY69" i="30"/>
  <c r="AZ69" i="30"/>
  <c r="BA69" i="30"/>
  <c r="BB69" i="30"/>
  <c r="BC69" i="30"/>
  <c r="BD69" i="30"/>
  <c r="BE69" i="30"/>
  <c r="BF69" i="30"/>
  <c r="BG69" i="30"/>
  <c r="BH69" i="30"/>
  <c r="BI69" i="30"/>
  <c r="BJ69" i="30"/>
  <c r="BK69" i="30"/>
  <c r="BL69" i="30"/>
  <c r="BM69" i="30"/>
  <c r="BN69" i="30"/>
  <c r="BO69" i="30"/>
  <c r="BP69" i="30"/>
  <c r="BQ69" i="30"/>
  <c r="BR69" i="30"/>
  <c r="BS69" i="30"/>
  <c r="BT69" i="30"/>
  <c r="BU69" i="30"/>
  <c r="BV69" i="30"/>
  <c r="BW69" i="30"/>
  <c r="BX69" i="30"/>
  <c r="BY69" i="30"/>
  <c r="BZ69" i="30"/>
  <c r="CA69" i="30"/>
  <c r="CB69" i="30"/>
  <c r="CC69" i="30"/>
  <c r="AD70" i="30"/>
  <c r="AE70" i="30"/>
  <c r="AF70" i="30"/>
  <c r="AG70" i="30"/>
  <c r="AH70" i="30"/>
  <c r="AI70" i="30"/>
  <c r="AJ70" i="30"/>
  <c r="AK70" i="30"/>
  <c r="AL70" i="30"/>
  <c r="AM70" i="30"/>
  <c r="AN70" i="30"/>
  <c r="AO70" i="30"/>
  <c r="AP70" i="30"/>
  <c r="AQ70" i="30"/>
  <c r="AR70" i="30"/>
  <c r="AS70" i="30"/>
  <c r="AT70" i="30"/>
  <c r="AU70" i="30"/>
  <c r="AV70" i="30"/>
  <c r="AW70" i="30"/>
  <c r="AX70" i="30"/>
  <c r="AY70" i="30"/>
  <c r="AZ70" i="30"/>
  <c r="BA70" i="30"/>
  <c r="BB70" i="30"/>
  <c r="BC70" i="30"/>
  <c r="BD70" i="30"/>
  <c r="BE70" i="30"/>
  <c r="BF70" i="30"/>
  <c r="BG70" i="30"/>
  <c r="BH70" i="30"/>
  <c r="BI70" i="30"/>
  <c r="BJ70" i="30"/>
  <c r="BK70" i="30"/>
  <c r="BL70" i="30"/>
  <c r="BM70" i="30"/>
  <c r="BN70" i="30"/>
  <c r="BO70" i="30"/>
  <c r="BP70" i="30"/>
  <c r="BQ70" i="30"/>
  <c r="BR70" i="30"/>
  <c r="BS70" i="30"/>
  <c r="BT70" i="30"/>
  <c r="BU70" i="30"/>
  <c r="BV70" i="30"/>
  <c r="BW70" i="30"/>
  <c r="BX70" i="30"/>
  <c r="BY70" i="30"/>
  <c r="BZ70" i="30"/>
  <c r="CA70" i="30"/>
  <c r="CB70" i="30"/>
  <c r="CC70" i="30"/>
  <c r="AD71" i="30"/>
  <c r="AE71" i="30"/>
  <c r="AF71" i="30"/>
  <c r="AG71" i="30"/>
  <c r="AH71" i="30"/>
  <c r="AI71" i="30"/>
  <c r="AJ71" i="30"/>
  <c r="AK71" i="30"/>
  <c r="AL71" i="30"/>
  <c r="AM71" i="30"/>
  <c r="AN71" i="30"/>
  <c r="AO71" i="30"/>
  <c r="AP71" i="30"/>
  <c r="AQ71" i="30"/>
  <c r="AR71" i="30"/>
  <c r="AS71" i="30"/>
  <c r="AT71" i="30"/>
  <c r="AU71" i="30"/>
  <c r="AV71" i="30"/>
  <c r="AW71" i="30"/>
  <c r="AX71" i="30"/>
  <c r="AY71" i="30"/>
  <c r="AZ71" i="30"/>
  <c r="BA71" i="30"/>
  <c r="BB71" i="30"/>
  <c r="BC71" i="30"/>
  <c r="BD71" i="30"/>
  <c r="BE71" i="30"/>
  <c r="BF71" i="30"/>
  <c r="BG71" i="30"/>
  <c r="BH71" i="30"/>
  <c r="BI71" i="30"/>
  <c r="BJ71" i="30"/>
  <c r="BK71" i="30"/>
  <c r="BL71" i="30"/>
  <c r="BM71" i="30"/>
  <c r="BN71" i="30"/>
  <c r="BO71" i="30"/>
  <c r="BP71" i="30"/>
  <c r="BQ71" i="30"/>
  <c r="BR71" i="30"/>
  <c r="BS71" i="30"/>
  <c r="BT71" i="30"/>
  <c r="BU71" i="30"/>
  <c r="BV71" i="30"/>
  <c r="BW71" i="30"/>
  <c r="BX71" i="30"/>
  <c r="BY71" i="30"/>
  <c r="BZ71" i="30"/>
  <c r="CA71" i="30"/>
  <c r="CB71" i="30"/>
  <c r="CC71" i="30"/>
  <c r="AD72" i="30"/>
  <c r="AE72" i="30"/>
  <c r="AF72" i="30"/>
  <c r="AG72" i="30"/>
  <c r="AH72" i="30"/>
  <c r="AI72" i="30"/>
  <c r="AJ72" i="30"/>
  <c r="AK72" i="30"/>
  <c r="AL72" i="30"/>
  <c r="AM72" i="30"/>
  <c r="AN72" i="30"/>
  <c r="AO72" i="30"/>
  <c r="AP72" i="30"/>
  <c r="AQ72" i="30"/>
  <c r="AR72" i="30"/>
  <c r="AS72" i="30"/>
  <c r="AT72" i="30"/>
  <c r="AU72" i="30"/>
  <c r="AV72" i="30"/>
  <c r="AW72" i="30"/>
  <c r="AX72" i="30"/>
  <c r="AY72" i="30"/>
  <c r="AZ72" i="30"/>
  <c r="BA72" i="30"/>
  <c r="BB72" i="30"/>
  <c r="BC72" i="30"/>
  <c r="BD72" i="30"/>
  <c r="BE72" i="30"/>
  <c r="BF72" i="30"/>
  <c r="BG72" i="30"/>
  <c r="BH72" i="30"/>
  <c r="BI72" i="30"/>
  <c r="BJ72" i="30"/>
  <c r="BK72" i="30"/>
  <c r="BL72" i="30"/>
  <c r="BM72" i="30"/>
  <c r="BN72" i="30"/>
  <c r="BO72" i="30"/>
  <c r="BP72" i="30"/>
  <c r="BQ72" i="30"/>
  <c r="BR72" i="30"/>
  <c r="BS72" i="30"/>
  <c r="BT72" i="30"/>
  <c r="BU72" i="30"/>
  <c r="BV72" i="30"/>
  <c r="BW72" i="30"/>
  <c r="BX72" i="30"/>
  <c r="BY72" i="30"/>
  <c r="BZ72" i="30"/>
  <c r="CA72" i="30"/>
  <c r="CB72" i="30"/>
  <c r="CC72" i="30"/>
  <c r="AD73" i="30"/>
  <c r="AE73" i="30"/>
  <c r="AF73" i="30"/>
  <c r="AG73" i="30"/>
  <c r="AH73" i="30"/>
  <c r="AI73" i="30"/>
  <c r="AJ73" i="30"/>
  <c r="AK73" i="30"/>
  <c r="AL73" i="30"/>
  <c r="AM73" i="30"/>
  <c r="AN73" i="30"/>
  <c r="AO73" i="30"/>
  <c r="AP73" i="30"/>
  <c r="AQ73" i="30"/>
  <c r="AR73" i="30"/>
  <c r="AS73" i="30"/>
  <c r="AT73" i="30"/>
  <c r="AU73" i="30"/>
  <c r="AV73" i="30"/>
  <c r="AW73" i="30"/>
  <c r="AX73" i="30"/>
  <c r="AY73" i="30"/>
  <c r="AZ73" i="30"/>
  <c r="BA73" i="30"/>
  <c r="BB73" i="30"/>
  <c r="BC73" i="30"/>
  <c r="BD73" i="30"/>
  <c r="BE73" i="30"/>
  <c r="BF73" i="30"/>
  <c r="BG73" i="30"/>
  <c r="BH73" i="30"/>
  <c r="BI73" i="30"/>
  <c r="BJ73" i="30"/>
  <c r="BK73" i="30"/>
  <c r="BL73" i="30"/>
  <c r="BM73" i="30"/>
  <c r="BN73" i="30"/>
  <c r="BO73" i="30"/>
  <c r="BP73" i="30"/>
  <c r="BQ73" i="30"/>
  <c r="BR73" i="30"/>
  <c r="BS73" i="30"/>
  <c r="BT73" i="30"/>
  <c r="BU73" i="30"/>
  <c r="BV73" i="30"/>
  <c r="BW73" i="30"/>
  <c r="BX73" i="30"/>
  <c r="BY73" i="30"/>
  <c r="BZ73" i="30"/>
  <c r="CA73" i="30"/>
  <c r="CB73" i="30"/>
  <c r="CC73" i="30"/>
  <c r="AD74" i="30"/>
  <c r="AE74" i="30"/>
  <c r="AF74" i="30"/>
  <c r="AG74" i="30"/>
  <c r="AH74" i="30"/>
  <c r="AI74" i="30"/>
  <c r="AJ74" i="30"/>
  <c r="AK74" i="30"/>
  <c r="AL74" i="30"/>
  <c r="AM74" i="30"/>
  <c r="AN74" i="30"/>
  <c r="AO74" i="30"/>
  <c r="AP74" i="30"/>
  <c r="AQ74" i="30"/>
  <c r="AR74" i="30"/>
  <c r="AS74" i="30"/>
  <c r="AT74" i="30"/>
  <c r="AU74" i="30"/>
  <c r="AV74" i="30"/>
  <c r="AW74" i="30"/>
  <c r="AX74" i="30"/>
  <c r="AY74" i="30"/>
  <c r="AZ74" i="30"/>
  <c r="BA74" i="30"/>
  <c r="BB74" i="30"/>
  <c r="BC74" i="30"/>
  <c r="BD74" i="30"/>
  <c r="BE74" i="30"/>
  <c r="BF74" i="30"/>
  <c r="BG74" i="30"/>
  <c r="BH74" i="30"/>
  <c r="BI74" i="30"/>
  <c r="BJ74" i="30"/>
  <c r="BK74" i="30"/>
  <c r="BL74" i="30"/>
  <c r="BM74" i="30"/>
  <c r="BN74" i="30"/>
  <c r="BO74" i="30"/>
  <c r="BP74" i="30"/>
  <c r="BQ74" i="30"/>
  <c r="BR74" i="30"/>
  <c r="BS74" i="30"/>
  <c r="BT74" i="30"/>
  <c r="BU74" i="30"/>
  <c r="BV74" i="30"/>
  <c r="BW74" i="30"/>
  <c r="BX74" i="30"/>
  <c r="BY74" i="30"/>
  <c r="BZ74" i="30"/>
  <c r="CA74" i="30"/>
  <c r="CB74" i="30"/>
  <c r="CC74" i="30"/>
  <c r="AD75" i="30"/>
  <c r="AE75" i="30"/>
  <c r="AF75" i="30"/>
  <c r="AG75" i="30"/>
  <c r="AH75" i="30"/>
  <c r="AI75" i="30"/>
  <c r="AJ75" i="30"/>
  <c r="AK75" i="30"/>
  <c r="AL75" i="30"/>
  <c r="AM75" i="30"/>
  <c r="AN75" i="30"/>
  <c r="AO75" i="30"/>
  <c r="AP75" i="30"/>
  <c r="AQ75" i="30"/>
  <c r="AR75" i="30"/>
  <c r="AS75" i="30"/>
  <c r="AT75" i="30"/>
  <c r="AU75" i="30"/>
  <c r="AV75" i="30"/>
  <c r="AW75" i="30"/>
  <c r="AX75" i="30"/>
  <c r="AY75" i="30"/>
  <c r="AZ75" i="30"/>
  <c r="BA75" i="30"/>
  <c r="BB75" i="30"/>
  <c r="BC75" i="30"/>
  <c r="BD75" i="30"/>
  <c r="BE75" i="30"/>
  <c r="BF75" i="30"/>
  <c r="BG75" i="30"/>
  <c r="BH75" i="30"/>
  <c r="BI75" i="30"/>
  <c r="BJ75" i="30"/>
  <c r="BK75" i="30"/>
  <c r="BL75" i="30"/>
  <c r="BM75" i="30"/>
  <c r="BN75" i="30"/>
  <c r="BO75" i="30"/>
  <c r="BP75" i="30"/>
  <c r="BQ75" i="30"/>
  <c r="BR75" i="30"/>
  <c r="BS75" i="30"/>
  <c r="BT75" i="30"/>
  <c r="BU75" i="30"/>
  <c r="BV75" i="30"/>
  <c r="BW75" i="30"/>
  <c r="BX75" i="30"/>
  <c r="BY75" i="30"/>
  <c r="BZ75" i="30"/>
  <c r="CA75" i="30"/>
  <c r="CB75" i="30"/>
  <c r="CC75" i="30"/>
  <c r="AD76" i="30"/>
  <c r="AE76" i="30"/>
  <c r="AF76" i="30"/>
  <c r="AG76" i="30"/>
  <c r="AH76" i="30"/>
  <c r="AI76" i="30"/>
  <c r="AJ76" i="30"/>
  <c r="AK76" i="30"/>
  <c r="AL76" i="30"/>
  <c r="AM76" i="30"/>
  <c r="AN76" i="30"/>
  <c r="AO76" i="30"/>
  <c r="AP76" i="30"/>
  <c r="AQ76" i="30"/>
  <c r="AR76" i="30"/>
  <c r="AS76" i="30"/>
  <c r="AT76" i="30"/>
  <c r="AU76" i="30"/>
  <c r="AV76" i="30"/>
  <c r="AW76" i="30"/>
  <c r="AX76" i="30"/>
  <c r="AY76" i="30"/>
  <c r="AZ76" i="30"/>
  <c r="BA76" i="30"/>
  <c r="BB76" i="30"/>
  <c r="BC76" i="30"/>
  <c r="BD76" i="30"/>
  <c r="BE76" i="30"/>
  <c r="BF76" i="30"/>
  <c r="BG76" i="30"/>
  <c r="BH76" i="30"/>
  <c r="BI76" i="30"/>
  <c r="BJ76" i="30"/>
  <c r="BK76" i="30"/>
  <c r="BL76" i="30"/>
  <c r="BM76" i="30"/>
  <c r="BN76" i="30"/>
  <c r="BO76" i="30"/>
  <c r="BP76" i="30"/>
  <c r="BQ76" i="30"/>
  <c r="BR76" i="30"/>
  <c r="BS76" i="30"/>
  <c r="BT76" i="30"/>
  <c r="BU76" i="30"/>
  <c r="BV76" i="30"/>
  <c r="BW76" i="30"/>
  <c r="BX76" i="30"/>
  <c r="BY76" i="30"/>
  <c r="BZ76" i="30"/>
  <c r="CA76" i="30"/>
  <c r="CB76" i="30"/>
  <c r="CC76" i="30"/>
  <c r="AD77" i="30"/>
  <c r="AE77" i="30"/>
  <c r="AF77" i="30"/>
  <c r="AG77" i="30"/>
  <c r="AH77" i="30"/>
  <c r="AI77" i="30"/>
  <c r="AJ77" i="30"/>
  <c r="AK77" i="30"/>
  <c r="AL77" i="30"/>
  <c r="AM77" i="30"/>
  <c r="AN77" i="30"/>
  <c r="AO77" i="30"/>
  <c r="AP77" i="30"/>
  <c r="AQ77" i="30"/>
  <c r="AR77" i="30"/>
  <c r="AS77" i="30"/>
  <c r="AT77" i="30"/>
  <c r="AU77" i="30"/>
  <c r="AV77" i="30"/>
  <c r="AW77" i="30"/>
  <c r="AX77" i="30"/>
  <c r="AY77" i="30"/>
  <c r="AZ77" i="30"/>
  <c r="BA77" i="30"/>
  <c r="BB77" i="30"/>
  <c r="BC77" i="30"/>
  <c r="BD77" i="30"/>
  <c r="BE77" i="30"/>
  <c r="BF77" i="30"/>
  <c r="BG77" i="30"/>
  <c r="BH77" i="30"/>
  <c r="BI77" i="30"/>
  <c r="BJ77" i="30"/>
  <c r="BK77" i="30"/>
  <c r="BL77" i="30"/>
  <c r="BM77" i="30"/>
  <c r="BN77" i="30"/>
  <c r="BO77" i="30"/>
  <c r="BP77" i="30"/>
  <c r="BQ77" i="30"/>
  <c r="BR77" i="30"/>
  <c r="BS77" i="30"/>
  <c r="BT77" i="30"/>
  <c r="BU77" i="30"/>
  <c r="BV77" i="30"/>
  <c r="BW77" i="30"/>
  <c r="BX77" i="30"/>
  <c r="BY77" i="30"/>
  <c r="BZ77" i="30"/>
  <c r="CA77" i="30"/>
  <c r="CB77" i="30"/>
  <c r="CC77" i="30"/>
  <c r="AD78" i="30"/>
  <c r="AE78" i="30"/>
  <c r="AF78" i="30"/>
  <c r="AG78" i="30"/>
  <c r="AH78" i="30"/>
  <c r="AI78" i="30"/>
  <c r="AJ78" i="30"/>
  <c r="AK78" i="30"/>
  <c r="AL78" i="30"/>
  <c r="AM78" i="30"/>
  <c r="AN78" i="30"/>
  <c r="AO78" i="30"/>
  <c r="AP78" i="30"/>
  <c r="AQ78" i="30"/>
  <c r="AR78" i="30"/>
  <c r="AS78" i="30"/>
  <c r="AT78" i="30"/>
  <c r="AU78" i="30"/>
  <c r="AV78" i="30"/>
  <c r="AW78" i="30"/>
  <c r="AX78" i="30"/>
  <c r="AY78" i="30"/>
  <c r="AZ78" i="30"/>
  <c r="BA78" i="30"/>
  <c r="BB78" i="30"/>
  <c r="BC78" i="30"/>
  <c r="BD78" i="30"/>
  <c r="BE78" i="30"/>
  <c r="BF78" i="30"/>
  <c r="BG78" i="30"/>
  <c r="BH78" i="30"/>
  <c r="BI78" i="30"/>
  <c r="BJ78" i="30"/>
  <c r="BK78" i="30"/>
  <c r="BL78" i="30"/>
  <c r="BM78" i="30"/>
  <c r="BN78" i="30"/>
  <c r="BO78" i="30"/>
  <c r="BP78" i="30"/>
  <c r="BQ78" i="30"/>
  <c r="BR78" i="30"/>
  <c r="BS78" i="30"/>
  <c r="BT78" i="30"/>
  <c r="BU78" i="30"/>
  <c r="BV78" i="30"/>
  <c r="BW78" i="30"/>
  <c r="BX78" i="30"/>
  <c r="BY78" i="30"/>
  <c r="BZ78" i="30"/>
  <c r="CA78" i="30"/>
  <c r="CB78" i="30"/>
  <c r="CC78" i="30"/>
  <c r="AD79" i="30"/>
  <c r="AE79" i="30"/>
  <c r="AF79" i="30"/>
  <c r="AG79" i="30"/>
  <c r="AH79" i="30"/>
  <c r="AI79" i="30"/>
  <c r="AJ79" i="30"/>
  <c r="AK79" i="30"/>
  <c r="AL79" i="30"/>
  <c r="AM79" i="30"/>
  <c r="AN79" i="30"/>
  <c r="AO79" i="30"/>
  <c r="AP79" i="30"/>
  <c r="AQ79" i="30"/>
  <c r="AR79" i="30"/>
  <c r="AS79" i="30"/>
  <c r="AT79" i="30"/>
  <c r="AU79" i="30"/>
  <c r="AV79" i="30"/>
  <c r="AW79" i="30"/>
  <c r="AX79" i="30"/>
  <c r="AY79" i="30"/>
  <c r="AZ79" i="30"/>
  <c r="BA79" i="30"/>
  <c r="BB79" i="30"/>
  <c r="BC79" i="30"/>
  <c r="BD79" i="30"/>
  <c r="BE79" i="30"/>
  <c r="BF79" i="30"/>
  <c r="BG79" i="30"/>
  <c r="BH79" i="30"/>
  <c r="BI79" i="30"/>
  <c r="BJ79" i="30"/>
  <c r="BK79" i="30"/>
  <c r="BL79" i="30"/>
  <c r="BM79" i="30"/>
  <c r="BN79" i="30"/>
  <c r="BO79" i="30"/>
  <c r="BP79" i="30"/>
  <c r="BQ79" i="30"/>
  <c r="BR79" i="30"/>
  <c r="BS79" i="30"/>
  <c r="BT79" i="30"/>
  <c r="BU79" i="30"/>
  <c r="BV79" i="30"/>
  <c r="BW79" i="30"/>
  <c r="BX79" i="30"/>
  <c r="BY79" i="30"/>
  <c r="BZ79" i="30"/>
  <c r="CA79" i="30"/>
  <c r="CB79" i="30"/>
  <c r="CC79" i="30"/>
  <c r="AD80" i="30"/>
  <c r="AE80" i="30"/>
  <c r="AF80" i="30"/>
  <c r="AG80" i="30"/>
  <c r="AH80" i="30"/>
  <c r="AI80" i="30"/>
  <c r="AJ80" i="30"/>
  <c r="AK80" i="30"/>
  <c r="AL80" i="30"/>
  <c r="AM80" i="30"/>
  <c r="AN80" i="30"/>
  <c r="AO80" i="30"/>
  <c r="AP80" i="30"/>
  <c r="AQ80" i="30"/>
  <c r="AR80" i="30"/>
  <c r="AS80" i="30"/>
  <c r="AT80" i="30"/>
  <c r="AU80" i="30"/>
  <c r="AV80" i="30"/>
  <c r="AW80" i="30"/>
  <c r="AX80" i="30"/>
  <c r="AY80" i="30"/>
  <c r="AZ80" i="30"/>
  <c r="BA80" i="30"/>
  <c r="BB80" i="30"/>
  <c r="BC80" i="30"/>
  <c r="BD80" i="30"/>
  <c r="BE80" i="30"/>
  <c r="BF80" i="30"/>
  <c r="BG80" i="30"/>
  <c r="BH80" i="30"/>
  <c r="BI80" i="30"/>
  <c r="BJ80" i="30"/>
  <c r="BK80" i="30"/>
  <c r="BL80" i="30"/>
  <c r="BM80" i="30"/>
  <c r="BN80" i="30"/>
  <c r="BO80" i="30"/>
  <c r="BP80" i="30"/>
  <c r="BQ80" i="30"/>
  <c r="BR80" i="30"/>
  <c r="BS80" i="30"/>
  <c r="BT80" i="30"/>
  <c r="BU80" i="30"/>
  <c r="BV80" i="30"/>
  <c r="BW80" i="30"/>
  <c r="BX80" i="30"/>
  <c r="BY80" i="30"/>
  <c r="BZ80" i="30"/>
  <c r="CA80" i="30"/>
  <c r="CB80" i="30"/>
  <c r="CC80" i="30"/>
  <c r="AD81" i="30"/>
  <c r="AE81" i="30"/>
  <c r="AF81" i="30"/>
  <c r="AG81" i="30"/>
  <c r="AH81" i="30"/>
  <c r="AI81" i="30"/>
  <c r="AJ81" i="30"/>
  <c r="AK81" i="30"/>
  <c r="AL81" i="30"/>
  <c r="AM81" i="30"/>
  <c r="AN81" i="30"/>
  <c r="AO81" i="30"/>
  <c r="AP81" i="30"/>
  <c r="AQ81" i="30"/>
  <c r="AR81" i="30"/>
  <c r="AS81" i="30"/>
  <c r="AT81" i="30"/>
  <c r="AU81" i="30"/>
  <c r="AV81" i="30"/>
  <c r="AW81" i="30"/>
  <c r="AX81" i="30"/>
  <c r="AY81" i="30"/>
  <c r="AZ81" i="30"/>
  <c r="BA81" i="30"/>
  <c r="BB81" i="30"/>
  <c r="BC81" i="30"/>
  <c r="BD81" i="30"/>
  <c r="BE81" i="30"/>
  <c r="BF81" i="30"/>
  <c r="BG81" i="30"/>
  <c r="BH81" i="30"/>
  <c r="BI81" i="30"/>
  <c r="BJ81" i="30"/>
  <c r="BK81" i="30"/>
  <c r="BL81" i="30"/>
  <c r="BM81" i="30"/>
  <c r="BN81" i="30"/>
  <c r="BO81" i="30"/>
  <c r="BP81" i="30"/>
  <c r="BQ81" i="30"/>
  <c r="BR81" i="30"/>
  <c r="BS81" i="30"/>
  <c r="BT81" i="30"/>
  <c r="BU81" i="30"/>
  <c r="BV81" i="30"/>
  <c r="BW81" i="30"/>
  <c r="BX81" i="30"/>
  <c r="BY81" i="30"/>
  <c r="BZ81" i="30"/>
  <c r="CA81" i="30"/>
  <c r="CB81" i="30"/>
  <c r="CC81" i="30"/>
  <c r="AD82" i="30"/>
  <c r="AE82" i="30"/>
  <c r="AF82" i="30"/>
  <c r="AG82" i="30"/>
  <c r="AH82" i="30"/>
  <c r="AI82" i="30"/>
  <c r="AJ82" i="30"/>
  <c r="AK82" i="30"/>
  <c r="AL82" i="30"/>
  <c r="AM82" i="30"/>
  <c r="AN82" i="30"/>
  <c r="AO82" i="30"/>
  <c r="AP82" i="30"/>
  <c r="AQ82" i="30"/>
  <c r="AR82" i="30"/>
  <c r="AS82" i="30"/>
  <c r="AT82" i="30"/>
  <c r="AU82" i="30"/>
  <c r="AV82" i="30"/>
  <c r="AW82" i="30"/>
  <c r="AX82" i="30"/>
  <c r="AY82" i="30"/>
  <c r="AZ82" i="30"/>
  <c r="BA82" i="30"/>
  <c r="BB82" i="30"/>
  <c r="BC82" i="30"/>
  <c r="BD82" i="30"/>
  <c r="BE82" i="30"/>
  <c r="BF82" i="30"/>
  <c r="BG82" i="30"/>
  <c r="BH82" i="30"/>
  <c r="BI82" i="30"/>
  <c r="BJ82" i="30"/>
  <c r="BK82" i="30"/>
  <c r="BL82" i="30"/>
  <c r="BM82" i="30"/>
  <c r="BN82" i="30"/>
  <c r="BO82" i="30"/>
  <c r="BP82" i="30"/>
  <c r="BQ82" i="30"/>
  <c r="BR82" i="30"/>
  <c r="BS82" i="30"/>
  <c r="BT82" i="30"/>
  <c r="BU82" i="30"/>
  <c r="BV82" i="30"/>
  <c r="BW82" i="30"/>
  <c r="BX82" i="30"/>
  <c r="BY82" i="30"/>
  <c r="BZ82" i="30"/>
  <c r="CA82" i="30"/>
  <c r="CB82" i="30"/>
  <c r="CC82" i="30"/>
  <c r="AD83" i="30"/>
  <c r="AE83" i="30"/>
  <c r="AF83" i="30"/>
  <c r="AG83" i="30"/>
  <c r="AH83" i="30"/>
  <c r="AI83" i="30"/>
  <c r="AJ83" i="30"/>
  <c r="AK83" i="30"/>
  <c r="AL83" i="30"/>
  <c r="AM83" i="30"/>
  <c r="AN83" i="30"/>
  <c r="AO83" i="30"/>
  <c r="AP83" i="30"/>
  <c r="AQ83" i="30"/>
  <c r="AR83" i="30"/>
  <c r="AS83" i="30"/>
  <c r="AT83" i="30"/>
  <c r="AU83" i="30"/>
  <c r="AV83" i="30"/>
  <c r="AW83" i="30"/>
  <c r="AX83" i="30"/>
  <c r="AY83" i="30"/>
  <c r="AZ83" i="30"/>
  <c r="BA83" i="30"/>
  <c r="BB83" i="30"/>
  <c r="BC83" i="30"/>
  <c r="BD83" i="30"/>
  <c r="BE83" i="30"/>
  <c r="BF83" i="30"/>
  <c r="BG83" i="30"/>
  <c r="BH83" i="30"/>
  <c r="BI83" i="30"/>
  <c r="BJ83" i="30"/>
  <c r="BK83" i="30"/>
  <c r="BL83" i="30"/>
  <c r="BM83" i="30"/>
  <c r="BN83" i="30"/>
  <c r="BO83" i="30"/>
  <c r="BP83" i="30"/>
  <c r="BQ83" i="30"/>
  <c r="BR83" i="30"/>
  <c r="BS83" i="30"/>
  <c r="BT83" i="30"/>
  <c r="BU83" i="30"/>
  <c r="BV83" i="30"/>
  <c r="BW83" i="30"/>
  <c r="BX83" i="30"/>
  <c r="BY83" i="30"/>
  <c r="BZ83" i="30"/>
  <c r="CA83" i="30"/>
  <c r="CB83" i="30"/>
  <c r="CC83" i="30"/>
  <c r="AD84" i="30"/>
  <c r="AE84" i="30"/>
  <c r="AF84" i="30"/>
  <c r="AG84" i="30"/>
  <c r="AH84" i="30"/>
  <c r="AI84" i="30"/>
  <c r="AJ84" i="30"/>
  <c r="AK84" i="30"/>
  <c r="AL84" i="30"/>
  <c r="AM84" i="30"/>
  <c r="AN84" i="30"/>
  <c r="AO84" i="30"/>
  <c r="AP84" i="30"/>
  <c r="AQ84" i="30"/>
  <c r="AR84" i="30"/>
  <c r="AS84" i="30"/>
  <c r="AT84" i="30"/>
  <c r="AU84" i="30"/>
  <c r="AV84" i="30"/>
  <c r="AW84" i="30"/>
  <c r="AX84" i="30"/>
  <c r="AY84" i="30"/>
  <c r="AZ84" i="30"/>
  <c r="BA84" i="30"/>
  <c r="BB84" i="30"/>
  <c r="BC84" i="30"/>
  <c r="BD84" i="30"/>
  <c r="BE84" i="30"/>
  <c r="BF84" i="30"/>
  <c r="BG84" i="30"/>
  <c r="BH84" i="30"/>
  <c r="BI84" i="30"/>
  <c r="BJ84" i="30"/>
  <c r="BK84" i="30"/>
  <c r="BL84" i="30"/>
  <c r="BM84" i="30"/>
  <c r="BN84" i="30"/>
  <c r="BO84" i="30"/>
  <c r="BP84" i="30"/>
  <c r="BQ84" i="30"/>
  <c r="BR84" i="30"/>
  <c r="BS84" i="30"/>
  <c r="BT84" i="30"/>
  <c r="BU84" i="30"/>
  <c r="BV84" i="30"/>
  <c r="BW84" i="30"/>
  <c r="BX84" i="30"/>
  <c r="BY84" i="30"/>
  <c r="BZ84" i="30"/>
  <c r="CA84" i="30"/>
  <c r="CB84" i="30"/>
  <c r="CC84" i="30"/>
  <c r="AD85" i="30"/>
  <c r="AE85" i="30"/>
  <c r="AF85" i="30"/>
  <c r="AG85" i="30"/>
  <c r="AH85" i="30"/>
  <c r="AI85" i="30"/>
  <c r="AJ85" i="30"/>
  <c r="AK85" i="30"/>
  <c r="AL85" i="30"/>
  <c r="AM85" i="30"/>
  <c r="AN85" i="30"/>
  <c r="AO85" i="30"/>
  <c r="AP85" i="30"/>
  <c r="AQ85" i="30"/>
  <c r="AR85" i="30"/>
  <c r="AS85" i="30"/>
  <c r="AT85" i="30"/>
  <c r="AU85" i="30"/>
  <c r="AV85" i="30"/>
  <c r="AW85" i="30"/>
  <c r="AX85" i="30"/>
  <c r="AY85" i="30"/>
  <c r="AZ85" i="30"/>
  <c r="BA85" i="30"/>
  <c r="BB85" i="30"/>
  <c r="BC85" i="30"/>
  <c r="BD85" i="30"/>
  <c r="BE85" i="30"/>
  <c r="BF85" i="30"/>
  <c r="BG85" i="30"/>
  <c r="BH85" i="30"/>
  <c r="BI85" i="30"/>
  <c r="BJ85" i="30"/>
  <c r="BK85" i="30"/>
  <c r="BL85" i="30"/>
  <c r="BM85" i="30"/>
  <c r="BN85" i="30"/>
  <c r="BO85" i="30"/>
  <c r="BP85" i="30"/>
  <c r="BQ85" i="30"/>
  <c r="BR85" i="30"/>
  <c r="BS85" i="30"/>
  <c r="BT85" i="30"/>
  <c r="BU85" i="30"/>
  <c r="BV85" i="30"/>
  <c r="BW85" i="30"/>
  <c r="BX85" i="30"/>
  <c r="BY85" i="30"/>
  <c r="BZ85" i="30"/>
  <c r="CA85" i="30"/>
  <c r="CB85" i="30"/>
  <c r="CC85" i="30"/>
  <c r="AD86" i="30"/>
  <c r="AE86" i="30"/>
  <c r="AF86" i="30"/>
  <c r="AG86" i="30"/>
  <c r="AH86" i="30"/>
  <c r="AI86" i="30"/>
  <c r="AJ86" i="30"/>
  <c r="AK86" i="30"/>
  <c r="AL86" i="30"/>
  <c r="AM86" i="30"/>
  <c r="AN86" i="30"/>
  <c r="AO86" i="30"/>
  <c r="AP86" i="30"/>
  <c r="AQ86" i="30"/>
  <c r="AR86" i="30"/>
  <c r="AS86" i="30"/>
  <c r="AT86" i="30"/>
  <c r="AU86" i="30"/>
  <c r="AV86" i="30"/>
  <c r="AW86" i="30"/>
  <c r="AX86" i="30"/>
  <c r="AY86" i="30"/>
  <c r="AZ86" i="30"/>
  <c r="BA86" i="30"/>
  <c r="BB86" i="30"/>
  <c r="BC86" i="30"/>
  <c r="BD86" i="30"/>
  <c r="BE86" i="30"/>
  <c r="BF86" i="30"/>
  <c r="BG86" i="30"/>
  <c r="BH86" i="30"/>
  <c r="BI86" i="30"/>
  <c r="BJ86" i="30"/>
  <c r="BK86" i="30"/>
  <c r="BL86" i="30"/>
  <c r="BM86" i="30"/>
  <c r="BN86" i="30"/>
  <c r="BO86" i="30"/>
  <c r="BP86" i="30"/>
  <c r="BQ86" i="30"/>
  <c r="BR86" i="30"/>
  <c r="BS86" i="30"/>
  <c r="BT86" i="30"/>
  <c r="BU86" i="30"/>
  <c r="BV86" i="30"/>
  <c r="BW86" i="30"/>
  <c r="BX86" i="30"/>
  <c r="BY86" i="30"/>
  <c r="BZ86" i="30"/>
  <c r="CA86" i="30"/>
  <c r="CB86" i="30"/>
  <c r="CC86" i="30"/>
  <c r="AD87" i="30"/>
  <c r="AE87" i="30"/>
  <c r="AF87" i="30"/>
  <c r="AG87" i="30"/>
  <c r="AH87" i="30"/>
  <c r="AI87" i="30"/>
  <c r="AJ87" i="30"/>
  <c r="AK87" i="30"/>
  <c r="AL87" i="30"/>
  <c r="AM87" i="30"/>
  <c r="AN87" i="30"/>
  <c r="AO87" i="30"/>
  <c r="AP87" i="30"/>
  <c r="AQ87" i="30"/>
  <c r="AR87" i="30"/>
  <c r="AS87" i="30"/>
  <c r="AT87" i="30"/>
  <c r="AU87" i="30"/>
  <c r="AV87" i="30"/>
  <c r="AW87" i="30"/>
  <c r="AX87" i="30"/>
  <c r="AY87" i="30"/>
  <c r="AZ87" i="30"/>
  <c r="BA87" i="30"/>
  <c r="BB87" i="30"/>
  <c r="BC87" i="30"/>
  <c r="BD87" i="30"/>
  <c r="BE87" i="30"/>
  <c r="BF87" i="30"/>
  <c r="BG87" i="30"/>
  <c r="BH87" i="30"/>
  <c r="BI87" i="30"/>
  <c r="BJ87" i="30"/>
  <c r="BK87" i="30"/>
  <c r="BL87" i="30"/>
  <c r="BM87" i="30"/>
  <c r="BN87" i="30"/>
  <c r="BO87" i="30"/>
  <c r="BP87" i="30"/>
  <c r="BQ87" i="30"/>
  <c r="BR87" i="30"/>
  <c r="BS87" i="30"/>
  <c r="BT87" i="30"/>
  <c r="BU87" i="30"/>
  <c r="BV87" i="30"/>
  <c r="BW87" i="30"/>
  <c r="BX87" i="30"/>
  <c r="BY87" i="30"/>
  <c r="BZ87" i="30"/>
  <c r="CA87" i="30"/>
  <c r="CB87" i="30"/>
  <c r="CC87" i="30"/>
  <c r="AD88" i="30"/>
  <c r="AE88" i="30"/>
  <c r="AF88" i="30"/>
  <c r="AG88" i="30"/>
  <c r="AH88" i="30"/>
  <c r="AI88" i="30"/>
  <c r="AJ88" i="30"/>
  <c r="AK88" i="30"/>
  <c r="AL88" i="30"/>
  <c r="AM88" i="30"/>
  <c r="AN88" i="30"/>
  <c r="AO88" i="30"/>
  <c r="AP88" i="30"/>
  <c r="AQ88" i="30"/>
  <c r="AR88" i="30"/>
  <c r="AS88" i="30"/>
  <c r="AT88" i="30"/>
  <c r="AU88" i="30"/>
  <c r="AV88" i="30"/>
  <c r="AW88" i="30"/>
  <c r="AX88" i="30"/>
  <c r="AY88" i="30"/>
  <c r="AZ88" i="30"/>
  <c r="BA88" i="30"/>
  <c r="BB88" i="30"/>
  <c r="BC88" i="30"/>
  <c r="BD88" i="30"/>
  <c r="BE88" i="30"/>
  <c r="BF88" i="30"/>
  <c r="BG88" i="30"/>
  <c r="BH88" i="30"/>
  <c r="BI88" i="30"/>
  <c r="BJ88" i="30"/>
  <c r="BK88" i="30"/>
  <c r="BL88" i="30"/>
  <c r="BM88" i="30"/>
  <c r="BN88" i="30"/>
  <c r="BO88" i="30"/>
  <c r="BP88" i="30"/>
  <c r="BQ88" i="30"/>
  <c r="BR88" i="30"/>
  <c r="BS88" i="30"/>
  <c r="BT88" i="30"/>
  <c r="BU88" i="30"/>
  <c r="BV88" i="30"/>
  <c r="BW88" i="30"/>
  <c r="BX88" i="30"/>
  <c r="BY88" i="30"/>
  <c r="BZ88" i="30"/>
  <c r="CA88" i="30"/>
  <c r="CB88" i="30"/>
  <c r="CC88" i="30"/>
  <c r="AD89" i="30"/>
  <c r="AE89" i="30"/>
  <c r="AF89" i="30"/>
  <c r="AG89" i="30"/>
  <c r="AH89" i="30"/>
  <c r="AI89" i="30"/>
  <c r="AJ89" i="30"/>
  <c r="AK89" i="30"/>
  <c r="AL89" i="30"/>
  <c r="AM89" i="30"/>
  <c r="AN89" i="30"/>
  <c r="AO89" i="30"/>
  <c r="AP89" i="30"/>
  <c r="AQ89" i="30"/>
  <c r="AR89" i="30"/>
  <c r="AS89" i="30"/>
  <c r="AT89" i="30"/>
  <c r="AU89" i="30"/>
  <c r="AV89" i="30"/>
  <c r="AW89" i="30"/>
  <c r="AX89" i="30"/>
  <c r="AY89" i="30"/>
  <c r="AZ89" i="30"/>
  <c r="BA89" i="30"/>
  <c r="BB89" i="30"/>
  <c r="BC89" i="30"/>
  <c r="BD89" i="30"/>
  <c r="BE89" i="30"/>
  <c r="BF89" i="30"/>
  <c r="BG89" i="30"/>
  <c r="BH89" i="30"/>
  <c r="BI89" i="30"/>
  <c r="BJ89" i="30"/>
  <c r="BK89" i="30"/>
  <c r="BL89" i="30"/>
  <c r="BM89" i="30"/>
  <c r="BN89" i="30"/>
  <c r="BO89" i="30"/>
  <c r="BP89" i="30"/>
  <c r="BQ89" i="30"/>
  <c r="BR89" i="30"/>
  <c r="BS89" i="30"/>
  <c r="BT89" i="30"/>
  <c r="BU89" i="30"/>
  <c r="BV89" i="30"/>
  <c r="BW89" i="30"/>
  <c r="BX89" i="30"/>
  <c r="BY89" i="30"/>
  <c r="BZ89" i="30"/>
  <c r="CA89" i="30"/>
  <c r="CB89" i="30"/>
  <c r="CC89" i="30"/>
  <c r="AD90" i="30"/>
  <c r="AE90" i="30"/>
  <c r="AF90" i="30"/>
  <c r="AG90" i="30"/>
  <c r="AH90" i="30"/>
  <c r="AI90" i="30"/>
  <c r="AJ90" i="30"/>
  <c r="AK90" i="30"/>
  <c r="AL90" i="30"/>
  <c r="AM90" i="30"/>
  <c r="AN90" i="30"/>
  <c r="AO90" i="30"/>
  <c r="AP90" i="30"/>
  <c r="AQ90" i="30"/>
  <c r="AR90" i="30"/>
  <c r="AS90" i="30"/>
  <c r="AT90" i="30"/>
  <c r="AU90" i="30"/>
  <c r="AV90" i="30"/>
  <c r="AW90" i="30"/>
  <c r="AX90" i="30"/>
  <c r="AY90" i="30"/>
  <c r="AZ90" i="30"/>
  <c r="BA90" i="30"/>
  <c r="BB90" i="30"/>
  <c r="BC90" i="30"/>
  <c r="BD90" i="30"/>
  <c r="BE90" i="30"/>
  <c r="BF90" i="30"/>
  <c r="BG90" i="30"/>
  <c r="BH90" i="30"/>
  <c r="BI90" i="30"/>
  <c r="BJ90" i="30"/>
  <c r="BK90" i="30"/>
  <c r="BL90" i="30"/>
  <c r="BM90" i="30"/>
  <c r="BN90" i="30"/>
  <c r="BO90" i="30"/>
  <c r="BP90" i="30"/>
  <c r="BQ90" i="30"/>
  <c r="BR90" i="30"/>
  <c r="BS90" i="30"/>
  <c r="BT90" i="30"/>
  <c r="BU90" i="30"/>
  <c r="BV90" i="30"/>
  <c r="BW90" i="30"/>
  <c r="BX90" i="30"/>
  <c r="BY90" i="30"/>
  <c r="BZ90" i="30"/>
  <c r="CA90" i="30"/>
  <c r="CB90" i="30"/>
  <c r="CC90" i="30"/>
  <c r="AD91" i="30"/>
  <c r="AE91" i="30"/>
  <c r="AF91" i="30"/>
  <c r="AG91" i="30"/>
  <c r="AH91" i="30"/>
  <c r="AI91" i="30"/>
  <c r="AJ91" i="30"/>
  <c r="AK91" i="30"/>
  <c r="AL91" i="30"/>
  <c r="AM91" i="30"/>
  <c r="AN91" i="30"/>
  <c r="AO91" i="30"/>
  <c r="AP91" i="30"/>
  <c r="AQ91" i="30"/>
  <c r="AR91" i="30"/>
  <c r="AS91" i="30"/>
  <c r="AT91" i="30"/>
  <c r="AU91" i="30"/>
  <c r="AV91" i="30"/>
  <c r="AW91" i="30"/>
  <c r="AX91" i="30"/>
  <c r="AY91" i="30"/>
  <c r="AZ91" i="30"/>
  <c r="BA91" i="30"/>
  <c r="BB91" i="30"/>
  <c r="BC91" i="30"/>
  <c r="BD91" i="30"/>
  <c r="BE91" i="30"/>
  <c r="BF91" i="30"/>
  <c r="BG91" i="30"/>
  <c r="BH91" i="30"/>
  <c r="BI91" i="30"/>
  <c r="BJ91" i="30"/>
  <c r="BK91" i="30"/>
  <c r="BL91" i="30"/>
  <c r="BM91" i="30"/>
  <c r="BN91" i="30"/>
  <c r="BO91" i="30"/>
  <c r="BP91" i="30"/>
  <c r="BQ91" i="30"/>
  <c r="BR91" i="30"/>
  <c r="BS91" i="30"/>
  <c r="BT91" i="30"/>
  <c r="BU91" i="30"/>
  <c r="BV91" i="30"/>
  <c r="BW91" i="30"/>
  <c r="BX91" i="30"/>
  <c r="BY91" i="30"/>
  <c r="BZ91" i="30"/>
  <c r="CA91" i="30"/>
  <c r="CB91" i="30"/>
  <c r="CC91" i="30"/>
  <c r="AD92" i="30"/>
  <c r="AE92" i="30"/>
  <c r="AF92" i="30"/>
  <c r="AG92" i="30"/>
  <c r="AH92" i="30"/>
  <c r="AI92" i="30"/>
  <c r="AJ92" i="30"/>
  <c r="AK92" i="30"/>
  <c r="AL92" i="30"/>
  <c r="AM92" i="30"/>
  <c r="AN92" i="30"/>
  <c r="AO92" i="30"/>
  <c r="AP92" i="30"/>
  <c r="AQ92" i="30"/>
  <c r="AR92" i="30"/>
  <c r="AS92" i="30"/>
  <c r="AT92" i="30"/>
  <c r="AU92" i="30"/>
  <c r="AV92" i="30"/>
  <c r="AW92" i="30"/>
  <c r="AX92" i="30"/>
  <c r="AY92" i="30"/>
  <c r="AZ92" i="30"/>
  <c r="BA92" i="30"/>
  <c r="BB92" i="30"/>
  <c r="BC92" i="30"/>
  <c r="BD92" i="30"/>
  <c r="BE92" i="30"/>
  <c r="BF92" i="30"/>
  <c r="BG92" i="30"/>
  <c r="BH92" i="30"/>
  <c r="BI92" i="30"/>
  <c r="BJ92" i="30"/>
  <c r="BK92" i="30"/>
  <c r="BL92" i="30"/>
  <c r="BM92" i="30"/>
  <c r="BN92" i="30"/>
  <c r="BO92" i="30"/>
  <c r="BP92" i="30"/>
  <c r="BQ92" i="30"/>
  <c r="BR92" i="30"/>
  <c r="BS92" i="30"/>
  <c r="BT92" i="30"/>
  <c r="BU92" i="30"/>
  <c r="BV92" i="30"/>
  <c r="BW92" i="30"/>
  <c r="BX92" i="30"/>
  <c r="BY92" i="30"/>
  <c r="BZ92" i="30"/>
  <c r="CA92" i="30"/>
  <c r="CB92" i="30"/>
  <c r="CC92" i="30"/>
  <c r="AD93" i="30"/>
  <c r="AE93" i="30"/>
  <c r="AF93" i="30"/>
  <c r="AG93" i="30"/>
  <c r="AH93" i="30"/>
  <c r="AI93" i="30"/>
  <c r="AJ93" i="30"/>
  <c r="AK93" i="30"/>
  <c r="AL93" i="30"/>
  <c r="AM93" i="30"/>
  <c r="AN93" i="30"/>
  <c r="AO93" i="30"/>
  <c r="AP93" i="30"/>
  <c r="AQ93" i="30"/>
  <c r="AR93" i="30"/>
  <c r="AS93" i="30"/>
  <c r="AT93" i="30"/>
  <c r="AU93" i="30"/>
  <c r="AV93" i="30"/>
  <c r="AW93" i="30"/>
  <c r="AX93" i="30"/>
  <c r="AY93" i="30"/>
  <c r="AZ93" i="30"/>
  <c r="BA93" i="30"/>
  <c r="BB93" i="30"/>
  <c r="BC93" i="30"/>
  <c r="BD93" i="30"/>
  <c r="BE93" i="30"/>
  <c r="BF93" i="30"/>
  <c r="BG93" i="30"/>
  <c r="BH93" i="30"/>
  <c r="BI93" i="30"/>
  <c r="BJ93" i="30"/>
  <c r="BK93" i="30"/>
  <c r="BL93" i="30"/>
  <c r="BM93" i="30"/>
  <c r="BN93" i="30"/>
  <c r="BO93" i="30"/>
  <c r="BP93" i="30"/>
  <c r="BQ93" i="30"/>
  <c r="BR93" i="30"/>
  <c r="BS93" i="30"/>
  <c r="BT93" i="30"/>
  <c r="BU93" i="30"/>
  <c r="BV93" i="30"/>
  <c r="BW93" i="30"/>
  <c r="BX93" i="30"/>
  <c r="BY93" i="30"/>
  <c r="BZ93" i="30"/>
  <c r="CA93" i="30"/>
  <c r="CB93" i="30"/>
  <c r="CC93" i="30"/>
  <c r="AD94" i="30"/>
  <c r="AE94" i="30"/>
  <c r="AF94" i="30"/>
  <c r="AG94" i="30"/>
  <c r="AH94" i="30"/>
  <c r="AI94" i="30"/>
  <c r="AJ94" i="30"/>
  <c r="AK94" i="30"/>
  <c r="AL94" i="30"/>
  <c r="AM94" i="30"/>
  <c r="AN94" i="30"/>
  <c r="AO94" i="30"/>
  <c r="AP94" i="30"/>
  <c r="AQ94" i="30"/>
  <c r="AR94" i="30"/>
  <c r="AS94" i="30"/>
  <c r="AT94" i="30"/>
  <c r="AU94" i="30"/>
  <c r="AV94" i="30"/>
  <c r="AW94" i="30"/>
  <c r="AX94" i="30"/>
  <c r="AY94" i="30"/>
  <c r="AZ94" i="30"/>
  <c r="BA94" i="30"/>
  <c r="BB94" i="30"/>
  <c r="BC94" i="30"/>
  <c r="BD94" i="30"/>
  <c r="BE94" i="30"/>
  <c r="BF94" i="30"/>
  <c r="BG94" i="30"/>
  <c r="BH94" i="30"/>
  <c r="BI94" i="30"/>
  <c r="BJ94" i="30"/>
  <c r="BK94" i="30"/>
  <c r="BL94" i="30"/>
  <c r="BM94" i="30"/>
  <c r="BN94" i="30"/>
  <c r="BO94" i="30"/>
  <c r="BP94" i="30"/>
  <c r="BQ94" i="30"/>
  <c r="BR94" i="30"/>
  <c r="BS94" i="30"/>
  <c r="BT94" i="30"/>
  <c r="BU94" i="30"/>
  <c r="BV94" i="30"/>
  <c r="BW94" i="30"/>
  <c r="BX94" i="30"/>
  <c r="BY94" i="30"/>
  <c r="BZ94" i="30"/>
  <c r="CA94" i="30"/>
  <c r="CB94" i="30"/>
  <c r="CC94" i="30"/>
  <c r="AD95" i="30"/>
  <c r="AE95" i="30"/>
  <c r="AF95" i="30"/>
  <c r="AG95" i="30"/>
  <c r="AH95" i="30"/>
  <c r="AI95" i="30"/>
  <c r="AJ95" i="30"/>
  <c r="AK95" i="30"/>
  <c r="AL95" i="30"/>
  <c r="AM95" i="30"/>
  <c r="AN95" i="30"/>
  <c r="AO95" i="30"/>
  <c r="AP95" i="30"/>
  <c r="AQ95" i="30"/>
  <c r="AR95" i="30"/>
  <c r="AS95" i="30"/>
  <c r="AT95" i="30"/>
  <c r="AU95" i="30"/>
  <c r="AV95" i="30"/>
  <c r="AW95" i="30"/>
  <c r="AX95" i="30"/>
  <c r="AY95" i="30"/>
  <c r="AZ95" i="30"/>
  <c r="BA95" i="30"/>
  <c r="BB95" i="30"/>
  <c r="BC95" i="30"/>
  <c r="BD95" i="30"/>
  <c r="BE95" i="30"/>
  <c r="BF95" i="30"/>
  <c r="BG95" i="30"/>
  <c r="BH95" i="30"/>
  <c r="BI95" i="30"/>
  <c r="BJ95" i="30"/>
  <c r="BK95" i="30"/>
  <c r="BL95" i="30"/>
  <c r="BM95" i="30"/>
  <c r="BN95" i="30"/>
  <c r="BO95" i="30"/>
  <c r="BP95" i="30"/>
  <c r="BQ95" i="30"/>
  <c r="BR95" i="30"/>
  <c r="BS95" i="30"/>
  <c r="BT95" i="30"/>
  <c r="BU95" i="30"/>
  <c r="BV95" i="30"/>
  <c r="BW95" i="30"/>
  <c r="BX95" i="30"/>
  <c r="BY95" i="30"/>
  <c r="BZ95" i="30"/>
  <c r="CA95" i="30"/>
  <c r="CB95" i="30"/>
  <c r="CC95" i="30"/>
  <c r="AD96" i="30"/>
  <c r="AE96" i="30"/>
  <c r="AF96" i="30"/>
  <c r="AG96" i="30"/>
  <c r="AH96" i="30"/>
  <c r="AI96" i="30"/>
  <c r="AJ96" i="30"/>
  <c r="AK96" i="30"/>
  <c r="AL96" i="30"/>
  <c r="AM96" i="30"/>
  <c r="AN96" i="30"/>
  <c r="AO96" i="30"/>
  <c r="AP96" i="30"/>
  <c r="AQ96" i="30"/>
  <c r="AR96" i="30"/>
  <c r="AS96" i="30"/>
  <c r="AT96" i="30"/>
  <c r="AU96" i="30"/>
  <c r="AV96" i="30"/>
  <c r="AW96" i="30"/>
  <c r="AX96" i="30"/>
  <c r="AY96" i="30"/>
  <c r="AZ96" i="30"/>
  <c r="BA96" i="30"/>
  <c r="BB96" i="30"/>
  <c r="BC96" i="30"/>
  <c r="BD96" i="30"/>
  <c r="BE96" i="30"/>
  <c r="BF96" i="30"/>
  <c r="BG96" i="30"/>
  <c r="BH96" i="30"/>
  <c r="BI96" i="30"/>
  <c r="BJ96" i="30"/>
  <c r="BK96" i="30"/>
  <c r="BL96" i="30"/>
  <c r="BM96" i="30"/>
  <c r="BN96" i="30"/>
  <c r="BO96" i="30"/>
  <c r="BP96" i="30"/>
  <c r="BQ96" i="30"/>
  <c r="BR96" i="30"/>
  <c r="BS96" i="30"/>
  <c r="BT96" i="30"/>
  <c r="BU96" i="30"/>
  <c r="BV96" i="30"/>
  <c r="BW96" i="30"/>
  <c r="BX96" i="30"/>
  <c r="BY96" i="30"/>
  <c r="BZ96" i="30"/>
  <c r="CA96" i="30"/>
  <c r="CB96" i="30"/>
  <c r="CC96" i="30"/>
  <c r="AD97" i="30"/>
  <c r="AE97" i="30"/>
  <c r="AF97" i="30"/>
  <c r="AG97" i="30"/>
  <c r="AH97" i="30"/>
  <c r="AI97" i="30"/>
  <c r="AJ97" i="30"/>
  <c r="AK97" i="30"/>
  <c r="AL97" i="30"/>
  <c r="AM97" i="30"/>
  <c r="AN97" i="30"/>
  <c r="AO97" i="30"/>
  <c r="AP97" i="30"/>
  <c r="AQ97" i="30"/>
  <c r="AR97" i="30"/>
  <c r="AS97" i="30"/>
  <c r="AT97" i="30"/>
  <c r="AU97" i="30"/>
  <c r="AV97" i="30"/>
  <c r="AW97" i="30"/>
  <c r="AX97" i="30"/>
  <c r="AY97" i="30"/>
  <c r="AZ97" i="30"/>
  <c r="BA97" i="30"/>
  <c r="BB97" i="30"/>
  <c r="BC97" i="30"/>
  <c r="BD97" i="30"/>
  <c r="BE97" i="30"/>
  <c r="BF97" i="30"/>
  <c r="BG97" i="30"/>
  <c r="BH97" i="30"/>
  <c r="BI97" i="30"/>
  <c r="BJ97" i="30"/>
  <c r="BK97" i="30"/>
  <c r="BL97" i="30"/>
  <c r="BM97" i="30"/>
  <c r="BN97" i="30"/>
  <c r="BO97" i="30"/>
  <c r="BP97" i="30"/>
  <c r="BQ97" i="30"/>
  <c r="BR97" i="30"/>
  <c r="BS97" i="30"/>
  <c r="BT97" i="30"/>
  <c r="BU97" i="30"/>
  <c r="BV97" i="30"/>
  <c r="BW97" i="30"/>
  <c r="BX97" i="30"/>
  <c r="BY97" i="30"/>
  <c r="BZ97" i="30"/>
  <c r="CA97" i="30"/>
  <c r="CB97" i="30"/>
  <c r="CC97" i="30"/>
  <c r="AD98" i="30"/>
  <c r="AE98" i="30"/>
  <c r="AF98" i="30"/>
  <c r="AG98" i="30"/>
  <c r="AH98" i="30"/>
  <c r="AI98" i="30"/>
  <c r="AJ98" i="30"/>
  <c r="AK98" i="30"/>
  <c r="AL98" i="30"/>
  <c r="AM98" i="30"/>
  <c r="AN98" i="30"/>
  <c r="AO98" i="30"/>
  <c r="AP98" i="30"/>
  <c r="AQ98" i="30"/>
  <c r="AR98" i="30"/>
  <c r="AS98" i="30"/>
  <c r="AT98" i="30"/>
  <c r="AU98" i="30"/>
  <c r="AV98" i="30"/>
  <c r="AW98" i="30"/>
  <c r="AX98" i="30"/>
  <c r="AY98" i="30"/>
  <c r="AZ98" i="30"/>
  <c r="BA98" i="30"/>
  <c r="BB98" i="30"/>
  <c r="BC98" i="30"/>
  <c r="BD98" i="30"/>
  <c r="BE98" i="30"/>
  <c r="BF98" i="30"/>
  <c r="BG98" i="30"/>
  <c r="BH98" i="30"/>
  <c r="BI98" i="30"/>
  <c r="BJ98" i="30"/>
  <c r="BK98" i="30"/>
  <c r="BL98" i="30"/>
  <c r="BM98" i="30"/>
  <c r="BN98" i="30"/>
  <c r="BO98" i="30"/>
  <c r="BP98" i="30"/>
  <c r="BQ98" i="30"/>
  <c r="BR98" i="30"/>
  <c r="BS98" i="30"/>
  <c r="BT98" i="30"/>
  <c r="BU98" i="30"/>
  <c r="BV98" i="30"/>
  <c r="BW98" i="30"/>
  <c r="BX98" i="30"/>
  <c r="BY98" i="30"/>
  <c r="BZ98" i="30"/>
  <c r="CA98" i="30"/>
  <c r="CB98" i="30"/>
  <c r="CC98" i="30"/>
  <c r="AD99" i="30"/>
  <c r="AE99" i="30"/>
  <c r="AF99" i="30"/>
  <c r="AG99" i="30"/>
  <c r="AH99" i="30"/>
  <c r="AI99" i="30"/>
  <c r="AJ99" i="30"/>
  <c r="AK99" i="30"/>
  <c r="AL99" i="30"/>
  <c r="AM99" i="30"/>
  <c r="AN99" i="30"/>
  <c r="AO99" i="30"/>
  <c r="AP99" i="30"/>
  <c r="AQ99" i="30"/>
  <c r="AR99" i="30"/>
  <c r="AS99" i="30"/>
  <c r="AT99" i="30"/>
  <c r="AU99" i="30"/>
  <c r="AV99" i="30"/>
  <c r="AW99" i="30"/>
  <c r="AX99" i="30"/>
  <c r="AY99" i="30"/>
  <c r="AZ99" i="30"/>
  <c r="BA99" i="30"/>
  <c r="BB99" i="30"/>
  <c r="BC99" i="30"/>
  <c r="BD99" i="30"/>
  <c r="BE99" i="30"/>
  <c r="BF99" i="30"/>
  <c r="BG99" i="30"/>
  <c r="BH99" i="30"/>
  <c r="BI99" i="30"/>
  <c r="BJ99" i="30"/>
  <c r="BK99" i="30"/>
  <c r="BL99" i="30"/>
  <c r="BM99" i="30"/>
  <c r="BN99" i="30"/>
  <c r="BO99" i="30"/>
  <c r="BP99" i="30"/>
  <c r="BQ99" i="30"/>
  <c r="BR99" i="30"/>
  <c r="BS99" i="30"/>
  <c r="BT99" i="30"/>
  <c r="BU99" i="30"/>
  <c r="BV99" i="30"/>
  <c r="BW99" i="30"/>
  <c r="BX99" i="30"/>
  <c r="BY99" i="30"/>
  <c r="BZ99" i="30"/>
  <c r="CA99" i="30"/>
  <c r="CB99" i="30"/>
  <c r="CC99" i="30"/>
  <c r="AD100" i="30"/>
  <c r="AE100" i="30"/>
  <c r="AF100" i="30"/>
  <c r="AG100" i="30"/>
  <c r="AH100" i="30"/>
  <c r="AI100" i="30"/>
  <c r="AJ100" i="30"/>
  <c r="AK100" i="30"/>
  <c r="AL100" i="30"/>
  <c r="AM100" i="30"/>
  <c r="AN100" i="30"/>
  <c r="AO100" i="30"/>
  <c r="AP100" i="30"/>
  <c r="AQ100" i="30"/>
  <c r="AR100" i="30"/>
  <c r="AS100" i="30"/>
  <c r="AT100" i="30"/>
  <c r="AU100" i="30"/>
  <c r="AV100" i="30"/>
  <c r="AW100" i="30"/>
  <c r="AX100" i="30"/>
  <c r="AY100" i="30"/>
  <c r="AZ100" i="30"/>
  <c r="BA100" i="30"/>
  <c r="BB100" i="30"/>
  <c r="BC100" i="30"/>
  <c r="BD100" i="30"/>
  <c r="BE100" i="30"/>
  <c r="BF100" i="30"/>
  <c r="BG100" i="30"/>
  <c r="BH100" i="30"/>
  <c r="BI100" i="30"/>
  <c r="BJ100" i="30"/>
  <c r="BK100" i="30"/>
  <c r="BL100" i="30"/>
  <c r="BM100" i="30"/>
  <c r="BN100" i="30"/>
  <c r="BO100" i="30"/>
  <c r="BP100" i="30"/>
  <c r="BQ100" i="30"/>
  <c r="BR100" i="30"/>
  <c r="BS100" i="30"/>
  <c r="BT100" i="30"/>
  <c r="BU100" i="30"/>
  <c r="BV100" i="30"/>
  <c r="BW100" i="30"/>
  <c r="BX100" i="30"/>
  <c r="BY100" i="30"/>
  <c r="BZ100" i="30"/>
  <c r="CA100" i="30"/>
  <c r="CB100" i="30"/>
  <c r="CC100" i="30"/>
  <c r="AD101" i="30"/>
  <c r="AE101" i="30"/>
  <c r="AF101" i="30"/>
  <c r="AG101" i="30"/>
  <c r="AH101" i="30"/>
  <c r="AI101" i="30"/>
  <c r="AJ101" i="30"/>
  <c r="AK101" i="30"/>
  <c r="AL101" i="30"/>
  <c r="AM101" i="30"/>
  <c r="AN101" i="30"/>
  <c r="AO101" i="30"/>
  <c r="AP101" i="30"/>
  <c r="AQ101" i="30"/>
  <c r="AR101" i="30"/>
  <c r="AS101" i="30"/>
  <c r="AT101" i="30"/>
  <c r="AU101" i="30"/>
  <c r="AV101" i="30"/>
  <c r="AW101" i="30"/>
  <c r="AX101" i="30"/>
  <c r="AY101" i="30"/>
  <c r="AZ101" i="30"/>
  <c r="BA101" i="30"/>
  <c r="BB101" i="30"/>
  <c r="BC101" i="30"/>
  <c r="BD101" i="30"/>
  <c r="BE101" i="30"/>
  <c r="BF101" i="30"/>
  <c r="BG101" i="30"/>
  <c r="BH101" i="30"/>
  <c r="BI101" i="30"/>
  <c r="BJ101" i="30"/>
  <c r="BK101" i="30"/>
  <c r="BL101" i="30"/>
  <c r="BM101" i="30"/>
  <c r="BN101" i="30"/>
  <c r="BO101" i="30"/>
  <c r="BP101" i="30"/>
  <c r="BQ101" i="30"/>
  <c r="BR101" i="30"/>
  <c r="BS101" i="30"/>
  <c r="BT101" i="30"/>
  <c r="BU101" i="30"/>
  <c r="BV101" i="30"/>
  <c r="BW101" i="30"/>
  <c r="BX101" i="30"/>
  <c r="BY101" i="30"/>
  <c r="BZ101" i="30"/>
  <c r="CA101" i="30"/>
  <c r="CB101" i="30"/>
  <c r="CC101" i="30"/>
  <c r="AD102" i="30"/>
  <c r="AE102" i="30"/>
  <c r="AF102" i="30"/>
  <c r="AG102" i="30"/>
  <c r="AH102" i="30"/>
  <c r="AI102" i="30"/>
  <c r="AJ102" i="30"/>
  <c r="AK102" i="30"/>
  <c r="AL102" i="30"/>
  <c r="AM102" i="30"/>
  <c r="AN102" i="30"/>
  <c r="AO102" i="30"/>
  <c r="AP102" i="30"/>
  <c r="AQ102" i="30"/>
  <c r="AR102" i="30"/>
  <c r="AS102" i="30"/>
  <c r="AT102" i="30"/>
  <c r="AU102" i="30"/>
  <c r="AV102" i="30"/>
  <c r="AW102" i="30"/>
  <c r="AX102" i="30"/>
  <c r="AY102" i="30"/>
  <c r="AZ102" i="30"/>
  <c r="BA102" i="30"/>
  <c r="BB102" i="30"/>
  <c r="BC102" i="30"/>
  <c r="BD102" i="30"/>
  <c r="BE102" i="30"/>
  <c r="BF102" i="30"/>
  <c r="BG102" i="30"/>
  <c r="BH102" i="30"/>
  <c r="BI102" i="30"/>
  <c r="BJ102" i="30"/>
  <c r="BK102" i="30"/>
  <c r="BL102" i="30"/>
  <c r="BM102" i="30"/>
  <c r="BN102" i="30"/>
  <c r="BO102" i="30"/>
  <c r="BP102" i="30"/>
  <c r="BQ102" i="30"/>
  <c r="BR102" i="30"/>
  <c r="BS102" i="30"/>
  <c r="BT102" i="30"/>
  <c r="BU102" i="30"/>
  <c r="BV102" i="30"/>
  <c r="BW102" i="30"/>
  <c r="BX102" i="30"/>
  <c r="BY102" i="30"/>
  <c r="BZ102" i="30"/>
  <c r="CA102" i="30"/>
  <c r="CB102" i="30"/>
  <c r="CC102" i="30"/>
  <c r="AD103" i="30"/>
  <c r="AE103" i="30"/>
  <c r="AF103" i="30"/>
  <c r="AG103" i="30"/>
  <c r="AH103" i="30"/>
  <c r="AI103" i="30"/>
  <c r="AJ103" i="30"/>
  <c r="AK103" i="30"/>
  <c r="AL103" i="30"/>
  <c r="AM103" i="30"/>
  <c r="AN103" i="30"/>
  <c r="AO103" i="30"/>
  <c r="AP103" i="30"/>
  <c r="AQ103" i="30"/>
  <c r="AR103" i="30"/>
  <c r="AS103" i="30"/>
  <c r="AT103" i="30"/>
  <c r="AU103" i="30"/>
  <c r="AV103" i="30"/>
  <c r="AW103" i="30"/>
  <c r="AX103" i="30"/>
  <c r="AY103" i="30"/>
  <c r="AZ103" i="30"/>
  <c r="BA103" i="30"/>
  <c r="BB103" i="30"/>
  <c r="BC103" i="30"/>
  <c r="BD103" i="30"/>
  <c r="BE103" i="30"/>
  <c r="BF103" i="30"/>
  <c r="BG103" i="30"/>
  <c r="BH103" i="30"/>
  <c r="BI103" i="30"/>
  <c r="BJ103" i="30"/>
  <c r="BK103" i="30"/>
  <c r="BL103" i="30"/>
  <c r="BM103" i="30"/>
  <c r="BN103" i="30"/>
  <c r="BO103" i="30"/>
  <c r="BP103" i="30"/>
  <c r="BQ103" i="30"/>
  <c r="BR103" i="30"/>
  <c r="BS103" i="30"/>
  <c r="BT103" i="30"/>
  <c r="BU103" i="30"/>
  <c r="BV103" i="30"/>
  <c r="BW103" i="30"/>
  <c r="BX103" i="30"/>
  <c r="BY103" i="30"/>
  <c r="BZ103" i="30"/>
  <c r="CA103" i="30"/>
  <c r="CB103" i="30"/>
  <c r="CC103" i="30"/>
  <c r="AD104" i="30"/>
  <c r="AE104" i="30"/>
  <c r="AF104" i="30"/>
  <c r="AG104" i="30"/>
  <c r="AH104" i="30"/>
  <c r="AI104" i="30"/>
  <c r="AJ104" i="30"/>
  <c r="AK104" i="30"/>
  <c r="AL104" i="30"/>
  <c r="AM104" i="30"/>
  <c r="AN104" i="30"/>
  <c r="AO104" i="30"/>
  <c r="AP104" i="30"/>
  <c r="AQ104" i="30"/>
  <c r="AR104" i="30"/>
  <c r="AS104" i="30"/>
  <c r="AT104" i="30"/>
  <c r="AU104" i="30"/>
  <c r="AV104" i="30"/>
  <c r="AW104" i="30"/>
  <c r="AX104" i="30"/>
  <c r="AY104" i="30"/>
  <c r="AZ104" i="30"/>
  <c r="BA104" i="30"/>
  <c r="BB104" i="30"/>
  <c r="BC104" i="30"/>
  <c r="BD104" i="30"/>
  <c r="BE104" i="30"/>
  <c r="BF104" i="30"/>
  <c r="BG104" i="30"/>
  <c r="BH104" i="30"/>
  <c r="BI104" i="30"/>
  <c r="BJ104" i="30"/>
  <c r="BK104" i="30"/>
  <c r="BL104" i="30"/>
  <c r="BM104" i="30"/>
  <c r="BN104" i="30"/>
  <c r="BO104" i="30"/>
  <c r="BP104" i="30"/>
  <c r="BQ104" i="30"/>
  <c r="BR104" i="30"/>
  <c r="BS104" i="30"/>
  <c r="BT104" i="30"/>
  <c r="BU104" i="30"/>
  <c r="BV104" i="30"/>
  <c r="BW104" i="30"/>
  <c r="BX104" i="30"/>
  <c r="BY104" i="30"/>
  <c r="BZ104" i="30"/>
  <c r="CA104" i="30"/>
  <c r="CB104" i="30"/>
  <c r="CC104" i="30"/>
  <c r="AD105" i="30"/>
  <c r="AE105" i="30"/>
  <c r="AF105" i="30"/>
  <c r="AG105" i="30"/>
  <c r="AH105" i="30"/>
  <c r="AI105" i="30"/>
  <c r="AJ105" i="30"/>
  <c r="AK105" i="30"/>
  <c r="AL105" i="30"/>
  <c r="AM105" i="30"/>
  <c r="AN105" i="30"/>
  <c r="AO105" i="30"/>
  <c r="AP105" i="30"/>
  <c r="AQ105" i="30"/>
  <c r="AR105" i="30"/>
  <c r="AS105" i="30"/>
  <c r="AT105" i="30"/>
  <c r="AU105" i="30"/>
  <c r="AV105" i="30"/>
  <c r="AW105" i="30"/>
  <c r="AX105" i="30"/>
  <c r="AY105" i="30"/>
  <c r="AZ105" i="30"/>
  <c r="BA105" i="30"/>
  <c r="BB105" i="30"/>
  <c r="BC105" i="30"/>
  <c r="BD105" i="30"/>
  <c r="BE105" i="30"/>
  <c r="BF105" i="30"/>
  <c r="BG105" i="30"/>
  <c r="BH105" i="30"/>
  <c r="BI105" i="30"/>
  <c r="BJ105" i="30"/>
  <c r="BK105" i="30"/>
  <c r="BL105" i="30"/>
  <c r="BM105" i="30"/>
  <c r="BN105" i="30"/>
  <c r="BO105" i="30"/>
  <c r="BP105" i="30"/>
  <c r="BQ105" i="30"/>
  <c r="BR105" i="30"/>
  <c r="BS105" i="30"/>
  <c r="BT105" i="30"/>
  <c r="BU105" i="30"/>
  <c r="BV105" i="30"/>
  <c r="BW105" i="30"/>
  <c r="BX105" i="30"/>
  <c r="BY105" i="30"/>
  <c r="BZ105" i="30"/>
  <c r="CA105" i="30"/>
  <c r="CB105" i="30"/>
  <c r="CC105" i="30"/>
  <c r="AD106" i="30"/>
  <c r="AE106" i="30"/>
  <c r="AF106" i="30"/>
  <c r="AG106" i="30"/>
  <c r="AH106" i="30"/>
  <c r="AI106" i="30"/>
  <c r="AJ106" i="30"/>
  <c r="AK106" i="30"/>
  <c r="AL106" i="30"/>
  <c r="AM106" i="30"/>
  <c r="AN106" i="30"/>
  <c r="AO106" i="30"/>
  <c r="AP106" i="30"/>
  <c r="AQ106" i="30"/>
  <c r="AR106" i="30"/>
  <c r="AS106" i="30"/>
  <c r="AT106" i="30"/>
  <c r="AU106" i="30"/>
  <c r="AV106" i="30"/>
  <c r="AW106" i="30"/>
  <c r="AX106" i="30"/>
  <c r="AY106" i="30"/>
  <c r="AZ106" i="30"/>
  <c r="BA106" i="30"/>
  <c r="BB106" i="30"/>
  <c r="BC106" i="30"/>
  <c r="BD106" i="30"/>
  <c r="BE106" i="30"/>
  <c r="BF106" i="30"/>
  <c r="BG106" i="30"/>
  <c r="BH106" i="30"/>
  <c r="BI106" i="30"/>
  <c r="BJ106" i="30"/>
  <c r="BK106" i="30"/>
  <c r="BL106" i="30"/>
  <c r="BM106" i="30"/>
  <c r="BN106" i="30"/>
  <c r="BO106" i="30"/>
  <c r="BP106" i="30"/>
  <c r="BQ106" i="30"/>
  <c r="BR106" i="30"/>
  <c r="BS106" i="30"/>
  <c r="BT106" i="30"/>
  <c r="BU106" i="30"/>
  <c r="BV106" i="30"/>
  <c r="BW106" i="30"/>
  <c r="BX106" i="30"/>
  <c r="BY106" i="30"/>
  <c r="BZ106" i="30"/>
  <c r="CA106" i="30"/>
  <c r="CB106" i="30"/>
  <c r="CC106" i="30"/>
  <c r="AD107" i="30"/>
  <c r="AE107" i="30"/>
  <c r="AF107" i="30"/>
  <c r="AG107" i="30"/>
  <c r="AH107" i="30"/>
  <c r="AI107" i="30"/>
  <c r="AJ107" i="30"/>
  <c r="AK107" i="30"/>
  <c r="AL107" i="30"/>
  <c r="AM107" i="30"/>
  <c r="AN107" i="30"/>
  <c r="AO107" i="30"/>
  <c r="AP107" i="30"/>
  <c r="AQ107" i="30"/>
  <c r="AR107" i="30"/>
  <c r="AS107" i="30"/>
  <c r="AT107" i="30"/>
  <c r="AU107" i="30"/>
  <c r="AV107" i="30"/>
  <c r="AW107" i="30"/>
  <c r="AX107" i="30"/>
  <c r="AY107" i="30"/>
  <c r="AZ107" i="30"/>
  <c r="BA107" i="30"/>
  <c r="BB107" i="30"/>
  <c r="BC107" i="30"/>
  <c r="BD107" i="30"/>
  <c r="BE107" i="30"/>
  <c r="BF107" i="30"/>
  <c r="BG107" i="30"/>
  <c r="BH107" i="30"/>
  <c r="BI107" i="30"/>
  <c r="BJ107" i="30"/>
  <c r="BK107" i="30"/>
  <c r="BL107" i="30"/>
  <c r="BM107" i="30"/>
  <c r="BN107" i="30"/>
  <c r="BO107" i="30"/>
  <c r="BP107" i="30"/>
  <c r="BQ107" i="30"/>
  <c r="BR107" i="30"/>
  <c r="BS107" i="30"/>
  <c r="BT107" i="30"/>
  <c r="BU107" i="30"/>
  <c r="BV107" i="30"/>
  <c r="BW107" i="30"/>
  <c r="BX107" i="30"/>
  <c r="BY107" i="30"/>
  <c r="BZ107" i="30"/>
  <c r="CA107" i="30"/>
  <c r="CB107" i="30"/>
  <c r="CC107" i="30"/>
  <c r="AD108" i="30"/>
  <c r="AE108" i="30"/>
  <c r="AF108" i="30"/>
  <c r="AG108" i="30"/>
  <c r="AH108" i="30"/>
  <c r="AI108" i="30"/>
  <c r="AJ108" i="30"/>
  <c r="AK108" i="30"/>
  <c r="AL108" i="30"/>
  <c r="AM108" i="30"/>
  <c r="AN108" i="30"/>
  <c r="AO108" i="30"/>
  <c r="AP108" i="30"/>
  <c r="AQ108" i="30"/>
  <c r="AR108" i="30"/>
  <c r="AS108" i="30"/>
  <c r="AT108" i="30"/>
  <c r="AU108" i="30"/>
  <c r="AV108" i="30"/>
  <c r="AW108" i="30"/>
  <c r="AX108" i="30"/>
  <c r="AY108" i="30"/>
  <c r="AZ108" i="30"/>
  <c r="BA108" i="30"/>
  <c r="BB108" i="30"/>
  <c r="BC108" i="30"/>
  <c r="BD108" i="30"/>
  <c r="BE108" i="30"/>
  <c r="BF108" i="30"/>
  <c r="BG108" i="30"/>
  <c r="BH108" i="30"/>
  <c r="BI108" i="30"/>
  <c r="BJ108" i="30"/>
  <c r="BK108" i="30"/>
  <c r="BL108" i="30"/>
  <c r="BM108" i="30"/>
  <c r="BN108" i="30"/>
  <c r="BO108" i="30"/>
  <c r="BP108" i="30"/>
  <c r="BQ108" i="30"/>
  <c r="BR108" i="30"/>
  <c r="BS108" i="30"/>
  <c r="BT108" i="30"/>
  <c r="BU108" i="30"/>
  <c r="BV108" i="30"/>
  <c r="BW108" i="30"/>
  <c r="BX108" i="30"/>
  <c r="BY108" i="30"/>
  <c r="BZ108" i="30"/>
  <c r="CA108" i="30"/>
  <c r="CB108" i="30"/>
  <c r="CC108" i="30"/>
  <c r="AD109" i="30"/>
  <c r="AE109" i="30"/>
  <c r="AF109" i="30"/>
  <c r="AG109" i="30"/>
  <c r="AH109" i="30"/>
  <c r="AI109" i="30"/>
  <c r="AJ109" i="30"/>
  <c r="AK109" i="30"/>
  <c r="AL109" i="30"/>
  <c r="AM109" i="30"/>
  <c r="AN109" i="30"/>
  <c r="AO109" i="30"/>
  <c r="AP109" i="30"/>
  <c r="AQ109" i="30"/>
  <c r="AR109" i="30"/>
  <c r="AS109" i="30"/>
  <c r="AT109" i="30"/>
  <c r="AU109" i="30"/>
  <c r="AV109" i="30"/>
  <c r="AW109" i="30"/>
  <c r="AX109" i="30"/>
  <c r="AY109" i="30"/>
  <c r="AZ109" i="30"/>
  <c r="BA109" i="30"/>
  <c r="BB109" i="30"/>
  <c r="BC109" i="30"/>
  <c r="BD109" i="30"/>
  <c r="BE109" i="30"/>
  <c r="BF109" i="30"/>
  <c r="BG109" i="30"/>
  <c r="BH109" i="30"/>
  <c r="BI109" i="30"/>
  <c r="BJ109" i="30"/>
  <c r="BK109" i="30"/>
  <c r="BL109" i="30"/>
  <c r="BM109" i="30"/>
  <c r="BN109" i="30"/>
  <c r="BO109" i="30"/>
  <c r="BP109" i="30"/>
  <c r="BQ109" i="30"/>
  <c r="BR109" i="30"/>
  <c r="BS109" i="30"/>
  <c r="BT109" i="30"/>
  <c r="BU109" i="30"/>
  <c r="BV109" i="30"/>
  <c r="BW109" i="30"/>
  <c r="BX109" i="30"/>
  <c r="BY109" i="30"/>
  <c r="BZ109" i="30"/>
  <c r="CA109" i="30"/>
  <c r="CB109" i="30"/>
  <c r="CC109" i="30"/>
  <c r="AD110" i="30"/>
  <c r="AE110" i="30"/>
  <c r="AF110" i="30"/>
  <c r="AG110" i="30"/>
  <c r="AH110" i="30"/>
  <c r="AI110" i="30"/>
  <c r="AJ110" i="30"/>
  <c r="AK110" i="30"/>
  <c r="AL110" i="30"/>
  <c r="AM110" i="30"/>
  <c r="AN110" i="30"/>
  <c r="AO110" i="30"/>
  <c r="AP110" i="30"/>
  <c r="AQ110" i="30"/>
  <c r="AR110" i="30"/>
  <c r="AS110" i="30"/>
  <c r="AT110" i="30"/>
  <c r="AU110" i="30"/>
  <c r="AV110" i="30"/>
  <c r="AW110" i="30"/>
  <c r="AX110" i="30"/>
  <c r="AY110" i="30"/>
  <c r="AZ110" i="30"/>
  <c r="BA110" i="30"/>
  <c r="BB110" i="30"/>
  <c r="BC110" i="30"/>
  <c r="BD110" i="30"/>
  <c r="BE110" i="30"/>
  <c r="BF110" i="30"/>
  <c r="BG110" i="30"/>
  <c r="BH110" i="30"/>
  <c r="BI110" i="30"/>
  <c r="BJ110" i="30"/>
  <c r="BK110" i="30"/>
  <c r="BL110" i="30"/>
  <c r="BM110" i="30"/>
  <c r="BN110" i="30"/>
  <c r="BO110" i="30"/>
  <c r="BP110" i="30"/>
  <c r="BQ110" i="30"/>
  <c r="BR110" i="30"/>
  <c r="BS110" i="30"/>
  <c r="BT110" i="30"/>
  <c r="BU110" i="30"/>
  <c r="BV110" i="30"/>
  <c r="BW110" i="30"/>
  <c r="BX110" i="30"/>
  <c r="BY110" i="30"/>
  <c r="BZ110" i="30"/>
  <c r="CA110" i="30"/>
  <c r="CB110" i="30"/>
  <c r="CC110" i="30"/>
  <c r="AD111" i="30"/>
  <c r="AE111" i="30"/>
  <c r="AF111" i="30"/>
  <c r="AG111" i="30"/>
  <c r="AH111" i="30"/>
  <c r="AI111" i="30"/>
  <c r="AJ111" i="30"/>
  <c r="AK111" i="30"/>
  <c r="AL111" i="30"/>
  <c r="AM111" i="30"/>
  <c r="AN111" i="30"/>
  <c r="AO111" i="30"/>
  <c r="AP111" i="30"/>
  <c r="AQ111" i="30"/>
  <c r="AR111" i="30"/>
  <c r="AS111" i="30"/>
  <c r="AT111" i="30"/>
  <c r="AU111" i="30"/>
  <c r="AV111" i="30"/>
  <c r="AW111" i="30"/>
  <c r="AX111" i="30"/>
  <c r="AY111" i="30"/>
  <c r="AZ111" i="30"/>
  <c r="BA111" i="30"/>
  <c r="BB111" i="30"/>
  <c r="BC111" i="30"/>
  <c r="BD111" i="30"/>
  <c r="BE111" i="30"/>
  <c r="BF111" i="30"/>
  <c r="BG111" i="30"/>
  <c r="BH111" i="30"/>
  <c r="BI111" i="30"/>
  <c r="BJ111" i="30"/>
  <c r="BK111" i="30"/>
  <c r="BL111" i="30"/>
  <c r="BM111" i="30"/>
  <c r="BN111" i="30"/>
  <c r="BO111" i="30"/>
  <c r="BP111" i="30"/>
  <c r="BQ111" i="30"/>
  <c r="BR111" i="30"/>
  <c r="BS111" i="30"/>
  <c r="BT111" i="30"/>
  <c r="BU111" i="30"/>
  <c r="BV111" i="30"/>
  <c r="BW111" i="30"/>
  <c r="BX111" i="30"/>
  <c r="BY111" i="30"/>
  <c r="BZ111" i="30"/>
  <c r="CA111" i="30"/>
  <c r="CB111" i="30"/>
  <c r="CC111" i="30"/>
  <c r="AD112" i="30"/>
  <c r="AE112" i="30"/>
  <c r="AF112" i="30"/>
  <c r="AG112" i="30"/>
  <c r="AH112" i="30"/>
  <c r="AI112" i="30"/>
  <c r="AJ112" i="30"/>
  <c r="AK112" i="30"/>
  <c r="AL112" i="30"/>
  <c r="AM112" i="30"/>
  <c r="AN112" i="30"/>
  <c r="AO112" i="30"/>
  <c r="AP112" i="30"/>
  <c r="AQ112" i="30"/>
  <c r="AR112" i="30"/>
  <c r="AS112" i="30"/>
  <c r="AT112" i="30"/>
  <c r="AU112" i="30"/>
  <c r="AV112" i="30"/>
  <c r="AW112" i="30"/>
  <c r="AX112" i="30"/>
  <c r="AY112" i="30"/>
  <c r="AZ112" i="30"/>
  <c r="BA112" i="30"/>
  <c r="BB112" i="30"/>
  <c r="BC112" i="30"/>
  <c r="BD112" i="30"/>
  <c r="BE112" i="30"/>
  <c r="BF112" i="30"/>
  <c r="BG112" i="30"/>
  <c r="BH112" i="30"/>
  <c r="BI112" i="30"/>
  <c r="BJ112" i="30"/>
  <c r="BK112" i="30"/>
  <c r="BL112" i="30"/>
  <c r="BM112" i="30"/>
  <c r="BN112" i="30"/>
  <c r="BO112" i="30"/>
  <c r="BP112" i="30"/>
  <c r="BQ112" i="30"/>
  <c r="BR112" i="30"/>
  <c r="BS112" i="30"/>
  <c r="BT112" i="30"/>
  <c r="BU112" i="30"/>
  <c r="BV112" i="30"/>
  <c r="BW112" i="30"/>
  <c r="BX112" i="30"/>
  <c r="BY112" i="30"/>
  <c r="BZ112" i="30"/>
  <c r="CA112" i="30"/>
  <c r="CB112" i="30"/>
  <c r="CC112" i="30"/>
  <c r="AD113" i="30"/>
  <c r="AE113" i="30"/>
  <c r="AF113" i="30"/>
  <c r="AG113" i="30"/>
  <c r="AH113" i="30"/>
  <c r="AI113" i="30"/>
  <c r="AJ113" i="30"/>
  <c r="AK113" i="30"/>
  <c r="AL113" i="30"/>
  <c r="AM113" i="30"/>
  <c r="AN113" i="30"/>
  <c r="AO113" i="30"/>
  <c r="AP113" i="30"/>
  <c r="AQ113" i="30"/>
  <c r="AR113" i="30"/>
  <c r="AS113" i="30"/>
  <c r="AT113" i="30"/>
  <c r="AU113" i="30"/>
  <c r="AV113" i="30"/>
  <c r="AW113" i="30"/>
  <c r="AX113" i="30"/>
  <c r="AY113" i="30"/>
  <c r="AZ113" i="30"/>
  <c r="BA113" i="30"/>
  <c r="BB113" i="30"/>
  <c r="BC113" i="30"/>
  <c r="BD113" i="30"/>
  <c r="BE113" i="30"/>
  <c r="BF113" i="30"/>
  <c r="BG113" i="30"/>
  <c r="BH113" i="30"/>
  <c r="BI113" i="30"/>
  <c r="BJ113" i="30"/>
  <c r="BK113" i="30"/>
  <c r="BL113" i="30"/>
  <c r="BM113" i="30"/>
  <c r="BN113" i="30"/>
  <c r="BO113" i="30"/>
  <c r="BP113" i="30"/>
  <c r="BQ113" i="30"/>
  <c r="BR113" i="30"/>
  <c r="BS113" i="30"/>
  <c r="BT113" i="30"/>
  <c r="BU113" i="30"/>
  <c r="BV113" i="30"/>
  <c r="BW113" i="30"/>
  <c r="BX113" i="30"/>
  <c r="BY113" i="30"/>
  <c r="BZ113" i="30"/>
  <c r="CA113" i="30"/>
  <c r="CB113" i="30"/>
  <c r="CC113" i="30"/>
  <c r="AD114" i="30"/>
  <c r="AE114" i="30"/>
  <c r="AF114" i="30"/>
  <c r="AG114" i="30"/>
  <c r="AH114" i="30"/>
  <c r="AI114" i="30"/>
  <c r="AJ114" i="30"/>
  <c r="AK114" i="30"/>
  <c r="AL114" i="30"/>
  <c r="AM114" i="30"/>
  <c r="AN114" i="30"/>
  <c r="AO114" i="30"/>
  <c r="AP114" i="30"/>
  <c r="AQ114" i="30"/>
  <c r="AR114" i="30"/>
  <c r="AS114" i="30"/>
  <c r="AT114" i="30"/>
  <c r="AU114" i="30"/>
  <c r="AV114" i="30"/>
  <c r="AW114" i="30"/>
  <c r="AX114" i="30"/>
  <c r="AY114" i="30"/>
  <c r="AZ114" i="30"/>
  <c r="BA114" i="30"/>
  <c r="BB114" i="30"/>
  <c r="BC114" i="30"/>
  <c r="BD114" i="30"/>
  <c r="BE114" i="30"/>
  <c r="BF114" i="30"/>
  <c r="BG114" i="30"/>
  <c r="BH114" i="30"/>
  <c r="BI114" i="30"/>
  <c r="BJ114" i="30"/>
  <c r="BK114" i="30"/>
  <c r="BL114" i="30"/>
  <c r="BM114" i="30"/>
  <c r="BN114" i="30"/>
  <c r="BO114" i="30"/>
  <c r="BP114" i="30"/>
  <c r="BQ114" i="30"/>
  <c r="BR114" i="30"/>
  <c r="BS114" i="30"/>
  <c r="BT114" i="30"/>
  <c r="BU114" i="30"/>
  <c r="BV114" i="30"/>
  <c r="BW114" i="30"/>
  <c r="BX114" i="30"/>
  <c r="BY114" i="30"/>
  <c r="BZ114" i="30"/>
  <c r="CA114" i="30"/>
  <c r="CB114" i="30"/>
  <c r="CC114" i="30"/>
  <c r="AD115" i="30"/>
  <c r="AE115" i="30"/>
  <c r="AF115" i="30"/>
  <c r="AG115" i="30"/>
  <c r="AH115" i="30"/>
  <c r="AI115" i="30"/>
  <c r="AJ115" i="30"/>
  <c r="AK115" i="30"/>
  <c r="AL115" i="30"/>
  <c r="AM115" i="30"/>
  <c r="AN115" i="30"/>
  <c r="AO115" i="30"/>
  <c r="AP115" i="30"/>
  <c r="AQ115" i="30"/>
  <c r="AR115" i="30"/>
  <c r="AS115" i="30"/>
  <c r="AT115" i="30"/>
  <c r="AU115" i="30"/>
  <c r="AV115" i="30"/>
  <c r="AW115" i="30"/>
  <c r="AX115" i="30"/>
  <c r="AY115" i="30"/>
  <c r="AZ115" i="30"/>
  <c r="BA115" i="30"/>
  <c r="BB115" i="30"/>
  <c r="BC115" i="30"/>
  <c r="BD115" i="30"/>
  <c r="BE115" i="30"/>
  <c r="BF115" i="30"/>
  <c r="BG115" i="30"/>
  <c r="BH115" i="30"/>
  <c r="BI115" i="30"/>
  <c r="BJ115" i="30"/>
  <c r="BK115" i="30"/>
  <c r="BL115" i="30"/>
  <c r="BM115" i="30"/>
  <c r="BN115" i="30"/>
  <c r="BO115" i="30"/>
  <c r="BP115" i="30"/>
  <c r="BQ115" i="30"/>
  <c r="BR115" i="30"/>
  <c r="BS115" i="30"/>
  <c r="BT115" i="30"/>
  <c r="BU115" i="30"/>
  <c r="BV115" i="30"/>
  <c r="BW115" i="30"/>
  <c r="BX115" i="30"/>
  <c r="BY115" i="30"/>
  <c r="BZ115" i="30"/>
  <c r="CA115" i="30"/>
  <c r="CB115" i="30"/>
  <c r="CC115" i="30"/>
  <c r="AD116" i="30"/>
  <c r="AE116" i="30"/>
  <c r="AF116" i="30"/>
  <c r="AG116" i="30"/>
  <c r="AH116" i="30"/>
  <c r="AI116" i="30"/>
  <c r="AJ116" i="30"/>
  <c r="AK116" i="30"/>
  <c r="AL116" i="30"/>
  <c r="AM116" i="30"/>
  <c r="AN116" i="30"/>
  <c r="AO116" i="30"/>
  <c r="AP116" i="30"/>
  <c r="AQ116" i="30"/>
  <c r="AR116" i="30"/>
  <c r="AS116" i="30"/>
  <c r="AT116" i="30"/>
  <c r="AU116" i="30"/>
  <c r="AV116" i="30"/>
  <c r="AW116" i="30"/>
  <c r="AX116" i="30"/>
  <c r="AY116" i="30"/>
  <c r="AZ116" i="30"/>
  <c r="BA116" i="30"/>
  <c r="BB116" i="30"/>
  <c r="BC116" i="30"/>
  <c r="BD116" i="30"/>
  <c r="BE116" i="30"/>
  <c r="BF116" i="30"/>
  <c r="BG116" i="30"/>
  <c r="BH116" i="30"/>
  <c r="BI116" i="30"/>
  <c r="BJ116" i="30"/>
  <c r="BK116" i="30"/>
  <c r="BL116" i="30"/>
  <c r="BM116" i="30"/>
  <c r="BN116" i="30"/>
  <c r="BO116" i="30"/>
  <c r="BP116" i="30"/>
  <c r="BQ116" i="30"/>
  <c r="BR116" i="30"/>
  <c r="BS116" i="30"/>
  <c r="BT116" i="30"/>
  <c r="BU116" i="30"/>
  <c r="BV116" i="30"/>
  <c r="BW116" i="30"/>
  <c r="BX116" i="30"/>
  <c r="BY116" i="30"/>
  <c r="BZ116" i="30"/>
  <c r="CA116" i="30"/>
  <c r="CB116" i="30"/>
  <c r="CC116" i="30"/>
  <c r="AD117" i="30"/>
  <c r="AE117" i="30"/>
  <c r="AF117" i="30"/>
  <c r="AG117" i="30"/>
  <c r="AH117" i="30"/>
  <c r="AI117" i="30"/>
  <c r="AJ117" i="30"/>
  <c r="AK117" i="30"/>
  <c r="AL117" i="30"/>
  <c r="AM117" i="30"/>
  <c r="AN117" i="30"/>
  <c r="AO117" i="30"/>
  <c r="AP117" i="30"/>
  <c r="AQ117" i="30"/>
  <c r="AR117" i="30"/>
  <c r="AS117" i="30"/>
  <c r="AT117" i="30"/>
  <c r="AU117" i="30"/>
  <c r="AV117" i="30"/>
  <c r="AW117" i="30"/>
  <c r="AX117" i="30"/>
  <c r="AY117" i="30"/>
  <c r="AZ117" i="30"/>
  <c r="BA117" i="30"/>
  <c r="BB117" i="30"/>
  <c r="BC117" i="30"/>
  <c r="BD117" i="30"/>
  <c r="BE117" i="30"/>
  <c r="BF117" i="30"/>
  <c r="BG117" i="30"/>
  <c r="BH117" i="30"/>
  <c r="BI117" i="30"/>
  <c r="BJ117" i="30"/>
  <c r="BK117" i="30"/>
  <c r="BL117" i="30"/>
  <c r="BM117" i="30"/>
  <c r="BN117" i="30"/>
  <c r="BO117" i="30"/>
  <c r="BP117" i="30"/>
  <c r="BQ117" i="30"/>
  <c r="BR117" i="30"/>
  <c r="BS117" i="30"/>
  <c r="BT117" i="30"/>
  <c r="BU117" i="30"/>
  <c r="BV117" i="30"/>
  <c r="BW117" i="30"/>
  <c r="BX117" i="30"/>
  <c r="BY117" i="30"/>
  <c r="BZ117" i="30"/>
  <c r="CA117" i="30"/>
  <c r="CB117" i="30"/>
  <c r="CC117" i="30"/>
  <c r="AD118" i="30"/>
  <c r="AE118" i="30"/>
  <c r="AF118" i="30"/>
  <c r="AG118" i="30"/>
  <c r="AH118" i="30"/>
  <c r="AI118" i="30"/>
  <c r="AJ118" i="30"/>
  <c r="AK118" i="30"/>
  <c r="AL118" i="30"/>
  <c r="AM118" i="30"/>
  <c r="AN118" i="30"/>
  <c r="AO118" i="30"/>
  <c r="AP118" i="30"/>
  <c r="AQ118" i="30"/>
  <c r="AR118" i="30"/>
  <c r="AS118" i="30"/>
  <c r="AT118" i="30"/>
  <c r="AU118" i="30"/>
  <c r="AV118" i="30"/>
  <c r="AW118" i="30"/>
  <c r="AX118" i="30"/>
  <c r="AY118" i="30"/>
  <c r="AZ118" i="30"/>
  <c r="BA118" i="30"/>
  <c r="BB118" i="30"/>
  <c r="BC118" i="30"/>
  <c r="BD118" i="30"/>
  <c r="BE118" i="30"/>
  <c r="BF118" i="30"/>
  <c r="BG118" i="30"/>
  <c r="BH118" i="30"/>
  <c r="BI118" i="30"/>
  <c r="BJ118" i="30"/>
  <c r="BK118" i="30"/>
  <c r="BL118" i="30"/>
  <c r="BM118" i="30"/>
  <c r="BN118" i="30"/>
  <c r="BO118" i="30"/>
  <c r="BP118" i="30"/>
  <c r="BQ118" i="30"/>
  <c r="BR118" i="30"/>
  <c r="BS118" i="30"/>
  <c r="BT118" i="30"/>
  <c r="BU118" i="30"/>
  <c r="BV118" i="30"/>
  <c r="BW118" i="30"/>
  <c r="BX118" i="30"/>
  <c r="BY118" i="30"/>
  <c r="BZ118" i="30"/>
  <c r="CA118" i="30"/>
  <c r="CB118" i="30"/>
  <c r="CC118" i="30"/>
  <c r="AD119" i="30"/>
  <c r="AE119" i="30"/>
  <c r="AF119" i="30"/>
  <c r="AG119" i="30"/>
  <c r="AH119" i="30"/>
  <c r="AI119" i="30"/>
  <c r="AJ119" i="30"/>
  <c r="AK119" i="30"/>
  <c r="AL119" i="30"/>
  <c r="AM119" i="30"/>
  <c r="AN119" i="30"/>
  <c r="AO119" i="30"/>
  <c r="AP119" i="30"/>
  <c r="AQ119" i="30"/>
  <c r="AR119" i="30"/>
  <c r="AS119" i="30"/>
  <c r="AT119" i="30"/>
  <c r="AU119" i="30"/>
  <c r="AV119" i="30"/>
  <c r="AW119" i="30"/>
  <c r="AX119" i="30"/>
  <c r="AY119" i="30"/>
  <c r="AZ119" i="30"/>
  <c r="BA119" i="30"/>
  <c r="BB119" i="30"/>
  <c r="BC119" i="30"/>
  <c r="BD119" i="30"/>
  <c r="BE119" i="30"/>
  <c r="BF119" i="30"/>
  <c r="BG119" i="30"/>
  <c r="BH119" i="30"/>
  <c r="BI119" i="30"/>
  <c r="BJ119" i="30"/>
  <c r="BK119" i="30"/>
  <c r="BL119" i="30"/>
  <c r="BM119" i="30"/>
  <c r="BN119" i="30"/>
  <c r="BO119" i="30"/>
  <c r="BP119" i="30"/>
  <c r="BQ119" i="30"/>
  <c r="BR119" i="30"/>
  <c r="BS119" i="30"/>
  <c r="BT119" i="30"/>
  <c r="BU119" i="30"/>
  <c r="BV119" i="30"/>
  <c r="BW119" i="30"/>
  <c r="BX119" i="30"/>
  <c r="BY119" i="30"/>
  <c r="BZ119" i="30"/>
  <c r="CA119" i="30"/>
  <c r="CB119" i="30"/>
  <c r="CC119" i="30"/>
  <c r="AD120" i="30"/>
  <c r="AE120" i="30"/>
  <c r="AF120" i="30"/>
  <c r="AG120" i="30"/>
  <c r="AH120" i="30"/>
  <c r="AI120" i="30"/>
  <c r="AJ120" i="30"/>
  <c r="AK120" i="30"/>
  <c r="AL120" i="30"/>
  <c r="AM120" i="30"/>
  <c r="AN120" i="30"/>
  <c r="AO120" i="30"/>
  <c r="AP120" i="30"/>
  <c r="AQ120" i="30"/>
  <c r="AR120" i="30"/>
  <c r="AS120" i="30"/>
  <c r="AT120" i="30"/>
  <c r="AU120" i="30"/>
  <c r="AV120" i="30"/>
  <c r="AW120" i="30"/>
  <c r="AX120" i="30"/>
  <c r="AY120" i="30"/>
  <c r="AZ120" i="30"/>
  <c r="BA120" i="30"/>
  <c r="BB120" i="30"/>
  <c r="BC120" i="30"/>
  <c r="BD120" i="30"/>
  <c r="BE120" i="30"/>
  <c r="BF120" i="30"/>
  <c r="BG120" i="30"/>
  <c r="BH120" i="30"/>
  <c r="BI120" i="30"/>
  <c r="BJ120" i="30"/>
  <c r="BK120" i="30"/>
  <c r="BL120" i="30"/>
  <c r="BM120" i="30"/>
  <c r="BN120" i="30"/>
  <c r="BO120" i="30"/>
  <c r="BP120" i="30"/>
  <c r="BQ120" i="30"/>
  <c r="BR120" i="30"/>
  <c r="BS120" i="30"/>
  <c r="BT120" i="30"/>
  <c r="BU120" i="30"/>
  <c r="BV120" i="30"/>
  <c r="BW120" i="30"/>
  <c r="BX120" i="30"/>
  <c r="BY120" i="30"/>
  <c r="BZ120" i="30"/>
  <c r="CA120" i="30"/>
  <c r="CB120" i="30"/>
  <c r="CC120" i="30"/>
  <c r="AD121" i="30"/>
  <c r="AE121" i="30"/>
  <c r="AF121" i="30"/>
  <c r="AG121" i="30"/>
  <c r="AH121" i="30"/>
  <c r="AI121" i="30"/>
  <c r="AJ121" i="30"/>
  <c r="AK121" i="30"/>
  <c r="AL121" i="30"/>
  <c r="AM121" i="30"/>
  <c r="AN121" i="30"/>
  <c r="AO121" i="30"/>
  <c r="AP121" i="30"/>
  <c r="AQ121" i="30"/>
  <c r="AR121" i="30"/>
  <c r="AS121" i="30"/>
  <c r="AT121" i="30"/>
  <c r="AU121" i="30"/>
  <c r="AV121" i="30"/>
  <c r="AW121" i="30"/>
  <c r="AX121" i="30"/>
  <c r="AY121" i="30"/>
  <c r="AZ121" i="30"/>
  <c r="BA121" i="30"/>
  <c r="BB121" i="30"/>
  <c r="BC121" i="30"/>
  <c r="BD121" i="30"/>
  <c r="BE121" i="30"/>
  <c r="BF121" i="30"/>
  <c r="BG121" i="30"/>
  <c r="BH121" i="30"/>
  <c r="BI121" i="30"/>
  <c r="BJ121" i="30"/>
  <c r="BK121" i="30"/>
  <c r="BL121" i="30"/>
  <c r="BM121" i="30"/>
  <c r="BN121" i="30"/>
  <c r="BO121" i="30"/>
  <c r="BP121" i="30"/>
  <c r="BQ121" i="30"/>
  <c r="BR121" i="30"/>
  <c r="BS121" i="30"/>
  <c r="BT121" i="30"/>
  <c r="BU121" i="30"/>
  <c r="BV121" i="30"/>
  <c r="BW121" i="30"/>
  <c r="BX121" i="30"/>
  <c r="BY121" i="30"/>
  <c r="BZ121" i="30"/>
  <c r="CA121" i="30"/>
  <c r="CB121" i="30"/>
  <c r="CC121" i="30"/>
  <c r="AD122" i="30"/>
  <c r="AE122" i="30"/>
  <c r="AF122" i="30"/>
  <c r="AG122" i="30"/>
  <c r="AH122" i="30"/>
  <c r="AI122" i="30"/>
  <c r="AJ122" i="30"/>
  <c r="AK122" i="30"/>
  <c r="AL122" i="30"/>
  <c r="AM122" i="30"/>
  <c r="AN122" i="30"/>
  <c r="AO122" i="30"/>
  <c r="AP122" i="30"/>
  <c r="AQ122" i="30"/>
  <c r="AR122" i="30"/>
  <c r="AS122" i="30"/>
  <c r="AT122" i="30"/>
  <c r="AU122" i="30"/>
  <c r="AV122" i="30"/>
  <c r="AW122" i="30"/>
  <c r="AX122" i="30"/>
  <c r="AY122" i="30"/>
  <c r="AZ122" i="30"/>
  <c r="BA122" i="30"/>
  <c r="BB122" i="30"/>
  <c r="BC122" i="30"/>
  <c r="BD122" i="30"/>
  <c r="BE122" i="30"/>
  <c r="BF122" i="30"/>
  <c r="BG122" i="30"/>
  <c r="BH122" i="30"/>
  <c r="BI122" i="30"/>
  <c r="BJ122" i="30"/>
  <c r="BK122" i="30"/>
  <c r="BL122" i="30"/>
  <c r="BM122" i="30"/>
  <c r="BN122" i="30"/>
  <c r="BO122" i="30"/>
  <c r="BP122" i="30"/>
  <c r="BQ122" i="30"/>
  <c r="BR122" i="30"/>
  <c r="BS122" i="30"/>
  <c r="BT122" i="30"/>
  <c r="BU122" i="30"/>
  <c r="BV122" i="30"/>
  <c r="BW122" i="30"/>
  <c r="BX122" i="30"/>
  <c r="BY122" i="30"/>
  <c r="BZ122" i="30"/>
  <c r="CA122" i="30"/>
  <c r="CB122" i="30"/>
  <c r="CC122" i="30"/>
  <c r="AD123" i="30"/>
  <c r="AE123" i="30"/>
  <c r="AF123" i="30"/>
  <c r="AG123" i="30"/>
  <c r="AH123" i="30"/>
  <c r="AI123" i="30"/>
  <c r="AJ123" i="30"/>
  <c r="AK123" i="30"/>
  <c r="AL123" i="30"/>
  <c r="AM123" i="30"/>
  <c r="AN123" i="30"/>
  <c r="AO123" i="30"/>
  <c r="AP123" i="30"/>
  <c r="AQ123" i="30"/>
  <c r="AR123" i="30"/>
  <c r="AS123" i="30"/>
  <c r="AT123" i="30"/>
  <c r="AU123" i="30"/>
  <c r="AV123" i="30"/>
  <c r="AW123" i="30"/>
  <c r="AX123" i="30"/>
  <c r="AY123" i="30"/>
  <c r="AZ123" i="30"/>
  <c r="BA123" i="30"/>
  <c r="BB123" i="30"/>
  <c r="BC123" i="30"/>
  <c r="BD123" i="30"/>
  <c r="BE123" i="30"/>
  <c r="BF123" i="30"/>
  <c r="BG123" i="30"/>
  <c r="BH123" i="30"/>
  <c r="BI123" i="30"/>
  <c r="BJ123" i="30"/>
  <c r="BK123" i="30"/>
  <c r="BL123" i="30"/>
  <c r="BM123" i="30"/>
  <c r="BN123" i="30"/>
  <c r="BO123" i="30"/>
  <c r="BP123" i="30"/>
  <c r="BQ123" i="30"/>
  <c r="BR123" i="30"/>
  <c r="BS123" i="30"/>
  <c r="BT123" i="30"/>
  <c r="BU123" i="30"/>
  <c r="BV123" i="30"/>
  <c r="BW123" i="30"/>
  <c r="BX123" i="30"/>
  <c r="BY123" i="30"/>
  <c r="BZ123" i="30"/>
  <c r="CA123" i="30"/>
  <c r="CB123" i="30"/>
  <c r="CC123" i="30"/>
  <c r="AD124" i="30"/>
  <c r="AE124" i="30"/>
  <c r="AF124" i="30"/>
  <c r="AG124" i="30"/>
  <c r="AH124" i="30"/>
  <c r="AI124" i="30"/>
  <c r="AJ124" i="30"/>
  <c r="AK124" i="30"/>
  <c r="AL124" i="30"/>
  <c r="AM124" i="30"/>
  <c r="AN124" i="30"/>
  <c r="AO124" i="30"/>
  <c r="AP124" i="30"/>
  <c r="AQ124" i="30"/>
  <c r="AR124" i="30"/>
  <c r="AS124" i="30"/>
  <c r="AT124" i="30"/>
  <c r="AU124" i="30"/>
  <c r="AV124" i="30"/>
  <c r="AW124" i="30"/>
  <c r="AX124" i="30"/>
  <c r="AY124" i="30"/>
  <c r="AZ124" i="30"/>
  <c r="BA124" i="30"/>
  <c r="BB124" i="30"/>
  <c r="BC124" i="30"/>
  <c r="BD124" i="30"/>
  <c r="BE124" i="30"/>
  <c r="BF124" i="30"/>
  <c r="BG124" i="30"/>
  <c r="BH124" i="30"/>
  <c r="BI124" i="30"/>
  <c r="BJ124" i="30"/>
  <c r="BK124" i="30"/>
  <c r="BL124" i="30"/>
  <c r="BM124" i="30"/>
  <c r="BN124" i="30"/>
  <c r="BO124" i="30"/>
  <c r="BP124" i="30"/>
  <c r="BQ124" i="30"/>
  <c r="BR124" i="30"/>
  <c r="BS124" i="30"/>
  <c r="BT124" i="30"/>
  <c r="BU124" i="30"/>
  <c r="BV124" i="30"/>
  <c r="BW124" i="30"/>
  <c r="BX124" i="30"/>
  <c r="BY124" i="30"/>
  <c r="BZ124" i="30"/>
  <c r="CA124" i="30"/>
  <c r="CB124" i="30"/>
  <c r="CC124" i="30"/>
  <c r="AD125" i="30"/>
  <c r="AE125" i="30"/>
  <c r="AF125" i="30"/>
  <c r="AG125" i="30"/>
  <c r="AH125" i="30"/>
  <c r="AI125" i="30"/>
  <c r="AJ125" i="30"/>
  <c r="AK125" i="30"/>
  <c r="AL125" i="30"/>
  <c r="AM125" i="30"/>
  <c r="AN125" i="30"/>
  <c r="AO125" i="30"/>
  <c r="AP125" i="30"/>
  <c r="AQ125" i="30"/>
  <c r="AR125" i="30"/>
  <c r="AS125" i="30"/>
  <c r="AT125" i="30"/>
  <c r="AU125" i="30"/>
  <c r="AV125" i="30"/>
  <c r="AW125" i="30"/>
  <c r="AX125" i="30"/>
  <c r="AY125" i="30"/>
  <c r="AZ125" i="30"/>
  <c r="BA125" i="30"/>
  <c r="BB125" i="30"/>
  <c r="BC125" i="30"/>
  <c r="BD125" i="30"/>
  <c r="BE125" i="30"/>
  <c r="BF125" i="30"/>
  <c r="BG125" i="30"/>
  <c r="BH125" i="30"/>
  <c r="BI125" i="30"/>
  <c r="BJ125" i="30"/>
  <c r="BK125" i="30"/>
  <c r="BL125" i="30"/>
  <c r="BM125" i="30"/>
  <c r="BN125" i="30"/>
  <c r="BO125" i="30"/>
  <c r="BP125" i="30"/>
  <c r="BQ125" i="30"/>
  <c r="BR125" i="30"/>
  <c r="BS125" i="30"/>
  <c r="BT125" i="30"/>
  <c r="BU125" i="30"/>
  <c r="BV125" i="30"/>
  <c r="BW125" i="30"/>
  <c r="BX125" i="30"/>
  <c r="BY125" i="30"/>
  <c r="BZ125" i="30"/>
  <c r="CA125" i="30"/>
  <c r="CB125" i="30"/>
  <c r="CC125" i="30"/>
  <c r="AD126" i="30"/>
  <c r="AE126" i="30"/>
  <c r="AF126" i="30"/>
  <c r="AG126" i="30"/>
  <c r="AH126" i="30"/>
  <c r="AI126" i="30"/>
  <c r="AJ126" i="30"/>
  <c r="AK126" i="30"/>
  <c r="AL126" i="30"/>
  <c r="AM126" i="30"/>
  <c r="AN126" i="30"/>
  <c r="AO126" i="30"/>
  <c r="AP126" i="30"/>
  <c r="AQ126" i="30"/>
  <c r="AR126" i="30"/>
  <c r="AS126" i="30"/>
  <c r="AT126" i="30"/>
  <c r="AU126" i="30"/>
  <c r="AV126" i="30"/>
  <c r="AW126" i="30"/>
  <c r="AX126" i="30"/>
  <c r="AY126" i="30"/>
  <c r="AZ126" i="30"/>
  <c r="BA126" i="30"/>
  <c r="BB126" i="30"/>
  <c r="BC126" i="30"/>
  <c r="BD126" i="30"/>
  <c r="BE126" i="30"/>
  <c r="BF126" i="30"/>
  <c r="BG126" i="30"/>
  <c r="BH126" i="30"/>
  <c r="BI126" i="30"/>
  <c r="BJ126" i="30"/>
  <c r="BK126" i="30"/>
  <c r="BL126" i="30"/>
  <c r="BM126" i="30"/>
  <c r="BN126" i="30"/>
  <c r="BO126" i="30"/>
  <c r="BP126" i="30"/>
  <c r="BQ126" i="30"/>
  <c r="BR126" i="30"/>
  <c r="BS126" i="30"/>
  <c r="BT126" i="30"/>
  <c r="BU126" i="30"/>
  <c r="BV126" i="30"/>
  <c r="BW126" i="30"/>
  <c r="BX126" i="30"/>
  <c r="BY126" i="30"/>
  <c r="BZ126" i="30"/>
  <c r="CA126" i="30"/>
  <c r="CB126" i="30"/>
  <c r="CC126" i="30"/>
  <c r="AD127" i="30"/>
  <c r="AE127" i="30"/>
  <c r="AF127" i="30"/>
  <c r="AG127" i="30"/>
  <c r="AH127" i="30"/>
  <c r="AI127" i="30"/>
  <c r="AJ127" i="30"/>
  <c r="AK127" i="30"/>
  <c r="AL127" i="30"/>
  <c r="AM127" i="30"/>
  <c r="AN127" i="30"/>
  <c r="AO127" i="30"/>
  <c r="AP127" i="30"/>
  <c r="AQ127" i="30"/>
  <c r="AR127" i="30"/>
  <c r="AS127" i="30"/>
  <c r="AT127" i="30"/>
  <c r="AU127" i="30"/>
  <c r="AV127" i="30"/>
  <c r="AW127" i="30"/>
  <c r="AX127" i="30"/>
  <c r="AY127" i="30"/>
  <c r="AZ127" i="30"/>
  <c r="BA127" i="30"/>
  <c r="BB127" i="30"/>
  <c r="BC127" i="30"/>
  <c r="BD127" i="30"/>
  <c r="BE127" i="30"/>
  <c r="BF127" i="30"/>
  <c r="BG127" i="30"/>
  <c r="BH127" i="30"/>
  <c r="BI127" i="30"/>
  <c r="BJ127" i="30"/>
  <c r="BK127" i="30"/>
  <c r="BL127" i="30"/>
  <c r="BM127" i="30"/>
  <c r="BN127" i="30"/>
  <c r="BO127" i="30"/>
  <c r="BP127" i="30"/>
  <c r="BQ127" i="30"/>
  <c r="BR127" i="30"/>
  <c r="BS127" i="30"/>
  <c r="BT127" i="30"/>
  <c r="BU127" i="30"/>
  <c r="BV127" i="30"/>
  <c r="BW127" i="30"/>
  <c r="BX127" i="30"/>
  <c r="BY127" i="30"/>
  <c r="BZ127" i="30"/>
  <c r="CA127" i="30"/>
  <c r="CB127" i="30"/>
  <c r="CC127" i="30"/>
  <c r="AD128" i="30"/>
  <c r="AE128" i="30"/>
  <c r="AF128" i="30"/>
  <c r="AG128" i="30"/>
  <c r="AH128" i="30"/>
  <c r="AI128" i="30"/>
  <c r="AJ128" i="30"/>
  <c r="AK128" i="30"/>
  <c r="AL128" i="30"/>
  <c r="AM128" i="30"/>
  <c r="AN128" i="30"/>
  <c r="AO128" i="30"/>
  <c r="AP128" i="30"/>
  <c r="AQ128" i="30"/>
  <c r="AR128" i="30"/>
  <c r="AS128" i="30"/>
  <c r="AT128" i="30"/>
  <c r="AU128" i="30"/>
  <c r="AV128" i="30"/>
  <c r="AW128" i="30"/>
  <c r="AX128" i="30"/>
  <c r="AY128" i="30"/>
  <c r="AZ128" i="30"/>
  <c r="BA128" i="30"/>
  <c r="BB128" i="30"/>
  <c r="BC128" i="30"/>
  <c r="BD128" i="30"/>
  <c r="BE128" i="30"/>
  <c r="BF128" i="30"/>
  <c r="BG128" i="30"/>
  <c r="BH128" i="30"/>
  <c r="BI128" i="30"/>
  <c r="BJ128" i="30"/>
  <c r="BK128" i="30"/>
  <c r="BL128" i="30"/>
  <c r="BM128" i="30"/>
  <c r="BN128" i="30"/>
  <c r="BO128" i="30"/>
  <c r="BP128" i="30"/>
  <c r="BQ128" i="30"/>
  <c r="BR128" i="30"/>
  <c r="BS128" i="30"/>
  <c r="BT128" i="30"/>
  <c r="BU128" i="30"/>
  <c r="BV128" i="30"/>
  <c r="BW128" i="30"/>
  <c r="BX128" i="30"/>
  <c r="BY128" i="30"/>
  <c r="BZ128" i="30"/>
  <c r="CA128" i="30"/>
  <c r="CB128" i="30"/>
  <c r="CC128" i="30"/>
  <c r="AD129" i="30"/>
  <c r="AE129" i="30"/>
  <c r="AF129" i="30"/>
  <c r="AG129" i="30"/>
  <c r="AH129" i="30"/>
  <c r="AI129" i="30"/>
  <c r="AJ129" i="30"/>
  <c r="AK129" i="30"/>
  <c r="AL129" i="30"/>
  <c r="AM129" i="30"/>
  <c r="AN129" i="30"/>
  <c r="AO129" i="30"/>
  <c r="AP129" i="30"/>
  <c r="AQ129" i="30"/>
  <c r="AR129" i="30"/>
  <c r="AS129" i="30"/>
  <c r="AT129" i="30"/>
  <c r="AU129" i="30"/>
  <c r="AV129" i="30"/>
  <c r="AW129" i="30"/>
  <c r="AX129" i="30"/>
  <c r="AY129" i="30"/>
  <c r="AZ129" i="30"/>
  <c r="BA129" i="30"/>
  <c r="BB129" i="30"/>
  <c r="BC129" i="30"/>
  <c r="BD129" i="30"/>
  <c r="BE129" i="30"/>
  <c r="BF129" i="30"/>
  <c r="BG129" i="30"/>
  <c r="BH129" i="30"/>
  <c r="BI129" i="30"/>
  <c r="BJ129" i="30"/>
  <c r="BK129" i="30"/>
  <c r="BL129" i="30"/>
  <c r="BM129" i="30"/>
  <c r="BN129" i="30"/>
  <c r="BO129" i="30"/>
  <c r="BP129" i="30"/>
  <c r="BQ129" i="30"/>
  <c r="BR129" i="30"/>
  <c r="BS129" i="30"/>
  <c r="BT129" i="30"/>
  <c r="BU129" i="30"/>
  <c r="BV129" i="30"/>
  <c r="BW129" i="30"/>
  <c r="BX129" i="30"/>
  <c r="BY129" i="30"/>
  <c r="BZ129" i="30"/>
  <c r="CA129" i="30"/>
  <c r="CB129" i="30"/>
  <c r="CC129" i="30"/>
  <c r="AD130" i="30"/>
  <c r="AE130" i="30"/>
  <c r="AF130" i="30"/>
  <c r="AG130" i="30"/>
  <c r="AH130" i="30"/>
  <c r="AI130" i="30"/>
  <c r="AJ130" i="30"/>
  <c r="AK130" i="30"/>
  <c r="AL130" i="30"/>
  <c r="AM130" i="30"/>
  <c r="AN130" i="30"/>
  <c r="AO130" i="30"/>
  <c r="AP130" i="30"/>
  <c r="AQ130" i="30"/>
  <c r="AR130" i="30"/>
  <c r="AS130" i="30"/>
  <c r="AT130" i="30"/>
  <c r="AU130" i="30"/>
  <c r="AV130" i="30"/>
  <c r="AW130" i="30"/>
  <c r="AX130" i="30"/>
  <c r="AY130" i="30"/>
  <c r="AZ130" i="30"/>
  <c r="BA130" i="30"/>
  <c r="BB130" i="30"/>
  <c r="BC130" i="30"/>
  <c r="BD130" i="30"/>
  <c r="BE130" i="30"/>
  <c r="BF130" i="30"/>
  <c r="BG130" i="30"/>
  <c r="BH130" i="30"/>
  <c r="BI130" i="30"/>
  <c r="BJ130" i="30"/>
  <c r="BK130" i="30"/>
  <c r="BL130" i="30"/>
  <c r="BM130" i="30"/>
  <c r="BN130" i="30"/>
  <c r="BO130" i="30"/>
  <c r="BP130" i="30"/>
  <c r="BQ130" i="30"/>
  <c r="BR130" i="30"/>
  <c r="BS130" i="30"/>
  <c r="BT130" i="30"/>
  <c r="BU130" i="30"/>
  <c r="BV130" i="30"/>
  <c r="BW130" i="30"/>
  <c r="BX130" i="30"/>
  <c r="BY130" i="30"/>
  <c r="BZ130" i="30"/>
  <c r="CA130" i="30"/>
  <c r="CB130" i="30"/>
  <c r="CC130" i="30"/>
  <c r="AD131" i="30"/>
  <c r="AE131" i="30"/>
  <c r="AF131" i="30"/>
  <c r="AG131" i="30"/>
  <c r="AH131" i="30"/>
  <c r="AI131" i="30"/>
  <c r="AJ131" i="30"/>
  <c r="AK131" i="30"/>
  <c r="AL131" i="30"/>
  <c r="AM131" i="30"/>
  <c r="AN131" i="30"/>
  <c r="AO131" i="30"/>
  <c r="AP131" i="30"/>
  <c r="AQ131" i="30"/>
  <c r="AR131" i="30"/>
  <c r="AS131" i="30"/>
  <c r="AT131" i="30"/>
  <c r="AU131" i="30"/>
  <c r="AV131" i="30"/>
  <c r="AW131" i="30"/>
  <c r="AX131" i="30"/>
  <c r="AY131" i="30"/>
  <c r="AZ131" i="30"/>
  <c r="BA131" i="30"/>
  <c r="BB131" i="30"/>
  <c r="BC131" i="30"/>
  <c r="BD131" i="30"/>
  <c r="BE131" i="30"/>
  <c r="BF131" i="30"/>
  <c r="BG131" i="30"/>
  <c r="BH131" i="30"/>
  <c r="BI131" i="30"/>
  <c r="BJ131" i="30"/>
  <c r="BK131" i="30"/>
  <c r="BL131" i="30"/>
  <c r="BM131" i="30"/>
  <c r="BN131" i="30"/>
  <c r="BO131" i="30"/>
  <c r="BP131" i="30"/>
  <c r="BQ131" i="30"/>
  <c r="BR131" i="30"/>
  <c r="BS131" i="30"/>
  <c r="BT131" i="30"/>
  <c r="BU131" i="30"/>
  <c r="BV131" i="30"/>
  <c r="BW131" i="30"/>
  <c r="BX131" i="30"/>
  <c r="BY131" i="30"/>
  <c r="BZ131" i="30"/>
  <c r="CA131" i="30"/>
  <c r="CB131" i="30"/>
  <c r="CC131" i="30"/>
  <c r="AD132" i="30"/>
  <c r="AE132" i="30"/>
  <c r="AF132" i="30"/>
  <c r="AG132" i="30"/>
  <c r="AH132" i="30"/>
  <c r="AI132" i="30"/>
  <c r="AJ132" i="30"/>
  <c r="AK132" i="30"/>
  <c r="AL132" i="30"/>
  <c r="AM132" i="30"/>
  <c r="AN132" i="30"/>
  <c r="AO132" i="30"/>
  <c r="AP132" i="30"/>
  <c r="AQ132" i="30"/>
  <c r="AR132" i="30"/>
  <c r="AS132" i="30"/>
  <c r="AT132" i="30"/>
  <c r="AU132" i="30"/>
  <c r="AV132" i="30"/>
  <c r="AW132" i="30"/>
  <c r="AX132" i="30"/>
  <c r="AY132" i="30"/>
  <c r="AZ132" i="30"/>
  <c r="BA132" i="30"/>
  <c r="BB132" i="30"/>
  <c r="BC132" i="30"/>
  <c r="BD132" i="30"/>
  <c r="BE132" i="30"/>
  <c r="BF132" i="30"/>
  <c r="BG132" i="30"/>
  <c r="BH132" i="30"/>
  <c r="BI132" i="30"/>
  <c r="BJ132" i="30"/>
  <c r="BK132" i="30"/>
  <c r="BL132" i="30"/>
  <c r="BM132" i="30"/>
  <c r="BN132" i="30"/>
  <c r="BO132" i="30"/>
  <c r="BP132" i="30"/>
  <c r="BQ132" i="30"/>
  <c r="BR132" i="30"/>
  <c r="BS132" i="30"/>
  <c r="BT132" i="30"/>
  <c r="BU132" i="30"/>
  <c r="BV132" i="30"/>
  <c r="BW132" i="30"/>
  <c r="BX132" i="30"/>
  <c r="BY132" i="30"/>
  <c r="BZ132" i="30"/>
  <c r="CA132" i="30"/>
  <c r="CB132" i="30"/>
  <c r="CC132" i="30"/>
  <c r="AD133" i="30"/>
  <c r="AE133" i="30"/>
  <c r="AF133" i="30"/>
  <c r="AG133" i="30"/>
  <c r="AH133" i="30"/>
  <c r="AI133" i="30"/>
  <c r="AJ133" i="30"/>
  <c r="AK133" i="30"/>
  <c r="AL133" i="30"/>
  <c r="AM133" i="30"/>
  <c r="AN133" i="30"/>
  <c r="AO133" i="30"/>
  <c r="AP133" i="30"/>
  <c r="AQ133" i="30"/>
  <c r="AR133" i="30"/>
  <c r="AS133" i="30"/>
  <c r="AT133" i="30"/>
  <c r="AU133" i="30"/>
  <c r="AV133" i="30"/>
  <c r="AW133" i="30"/>
  <c r="AX133" i="30"/>
  <c r="AY133" i="30"/>
  <c r="AZ133" i="30"/>
  <c r="BA133" i="30"/>
  <c r="BB133" i="30"/>
  <c r="BC133" i="30"/>
  <c r="BD133" i="30"/>
  <c r="BE133" i="30"/>
  <c r="BF133" i="30"/>
  <c r="BG133" i="30"/>
  <c r="BH133" i="30"/>
  <c r="BI133" i="30"/>
  <c r="BJ133" i="30"/>
  <c r="BK133" i="30"/>
  <c r="BL133" i="30"/>
  <c r="BM133" i="30"/>
  <c r="BN133" i="30"/>
  <c r="BO133" i="30"/>
  <c r="BP133" i="30"/>
  <c r="BQ133" i="30"/>
  <c r="BR133" i="30"/>
  <c r="BS133" i="30"/>
  <c r="BT133" i="30"/>
  <c r="BU133" i="30"/>
  <c r="BV133" i="30"/>
  <c r="BW133" i="30"/>
  <c r="BX133" i="30"/>
  <c r="BY133" i="30"/>
  <c r="BZ133" i="30"/>
  <c r="CA133" i="30"/>
  <c r="CB133" i="30"/>
  <c r="CC133" i="30"/>
  <c r="AD134" i="30"/>
  <c r="AE134" i="30"/>
  <c r="AF134" i="30"/>
  <c r="AG134" i="30"/>
  <c r="AH134" i="30"/>
  <c r="AI134" i="30"/>
  <c r="AJ134" i="30"/>
  <c r="AK134" i="30"/>
  <c r="AL134" i="30"/>
  <c r="AM134" i="30"/>
  <c r="AN134" i="30"/>
  <c r="AO134" i="30"/>
  <c r="AP134" i="30"/>
  <c r="AQ134" i="30"/>
  <c r="AR134" i="30"/>
  <c r="AS134" i="30"/>
  <c r="AT134" i="30"/>
  <c r="AU134" i="30"/>
  <c r="AV134" i="30"/>
  <c r="AW134" i="30"/>
  <c r="AX134" i="30"/>
  <c r="AY134" i="30"/>
  <c r="AZ134" i="30"/>
  <c r="BA134" i="30"/>
  <c r="BB134" i="30"/>
  <c r="BC134" i="30"/>
  <c r="BD134" i="30"/>
  <c r="BE134" i="30"/>
  <c r="BF134" i="30"/>
  <c r="BG134" i="30"/>
  <c r="BH134" i="30"/>
  <c r="BI134" i="30"/>
  <c r="BJ134" i="30"/>
  <c r="BK134" i="30"/>
  <c r="BL134" i="30"/>
  <c r="BM134" i="30"/>
  <c r="BN134" i="30"/>
  <c r="BO134" i="30"/>
  <c r="BP134" i="30"/>
  <c r="BQ134" i="30"/>
  <c r="BR134" i="30"/>
  <c r="BS134" i="30"/>
  <c r="BT134" i="30"/>
  <c r="BU134" i="30"/>
  <c r="BV134" i="30"/>
  <c r="BW134" i="30"/>
  <c r="BX134" i="30"/>
  <c r="BY134" i="30"/>
  <c r="BZ134" i="30"/>
  <c r="CA134" i="30"/>
  <c r="CB134" i="30"/>
  <c r="CC134" i="30"/>
  <c r="AD135" i="30"/>
  <c r="AE135" i="30"/>
  <c r="AF135" i="30"/>
  <c r="AG135" i="30"/>
  <c r="AH135" i="30"/>
  <c r="AI135" i="30"/>
  <c r="AJ135" i="30"/>
  <c r="AK135" i="30"/>
  <c r="AL135" i="30"/>
  <c r="AM135" i="30"/>
  <c r="AN135" i="30"/>
  <c r="AO135" i="30"/>
  <c r="AP135" i="30"/>
  <c r="AQ135" i="30"/>
  <c r="AR135" i="30"/>
  <c r="AS135" i="30"/>
  <c r="AT135" i="30"/>
  <c r="AU135" i="30"/>
  <c r="AV135" i="30"/>
  <c r="AW135" i="30"/>
  <c r="AX135" i="30"/>
  <c r="AY135" i="30"/>
  <c r="AZ135" i="30"/>
  <c r="BA135" i="30"/>
  <c r="BB135" i="30"/>
  <c r="BC135" i="30"/>
  <c r="BD135" i="30"/>
  <c r="BE135" i="30"/>
  <c r="BF135" i="30"/>
  <c r="BG135" i="30"/>
  <c r="BH135" i="30"/>
  <c r="BI135" i="30"/>
  <c r="BJ135" i="30"/>
  <c r="BK135" i="30"/>
  <c r="BL135" i="30"/>
  <c r="BM135" i="30"/>
  <c r="BN135" i="30"/>
  <c r="BO135" i="30"/>
  <c r="BP135" i="30"/>
  <c r="BQ135" i="30"/>
  <c r="BR135" i="30"/>
  <c r="BS135" i="30"/>
  <c r="BT135" i="30"/>
  <c r="BU135" i="30"/>
  <c r="BV135" i="30"/>
  <c r="BW135" i="30"/>
  <c r="BX135" i="30"/>
  <c r="BY135" i="30"/>
  <c r="BZ135" i="30"/>
  <c r="CA135" i="30"/>
  <c r="CB135" i="30"/>
  <c r="CC135" i="30"/>
  <c r="AD136" i="30"/>
  <c r="AE136" i="30"/>
  <c r="AF136" i="30"/>
  <c r="AG136" i="30"/>
  <c r="AH136" i="30"/>
  <c r="AI136" i="30"/>
  <c r="AJ136" i="30"/>
  <c r="AK136" i="30"/>
  <c r="AL136" i="30"/>
  <c r="AM136" i="30"/>
  <c r="AN136" i="30"/>
  <c r="AO136" i="30"/>
  <c r="AP136" i="30"/>
  <c r="AQ136" i="30"/>
  <c r="AR136" i="30"/>
  <c r="AS136" i="30"/>
  <c r="AT136" i="30"/>
  <c r="AU136" i="30"/>
  <c r="AV136" i="30"/>
  <c r="AW136" i="30"/>
  <c r="AX136" i="30"/>
  <c r="AY136" i="30"/>
  <c r="AZ136" i="30"/>
  <c r="BA136" i="30"/>
  <c r="BB136" i="30"/>
  <c r="BC136" i="30"/>
  <c r="BD136" i="30"/>
  <c r="BE136" i="30"/>
  <c r="BF136" i="30"/>
  <c r="BG136" i="30"/>
  <c r="BH136" i="30"/>
  <c r="BI136" i="30"/>
  <c r="BJ136" i="30"/>
  <c r="BK136" i="30"/>
  <c r="BL136" i="30"/>
  <c r="BM136" i="30"/>
  <c r="BN136" i="30"/>
  <c r="BO136" i="30"/>
  <c r="BP136" i="30"/>
  <c r="BQ136" i="30"/>
  <c r="BR136" i="30"/>
  <c r="BS136" i="30"/>
  <c r="BT136" i="30"/>
  <c r="BU136" i="30"/>
  <c r="BV136" i="30"/>
  <c r="BW136" i="30"/>
  <c r="BX136" i="30"/>
  <c r="BY136" i="30"/>
  <c r="BZ136" i="30"/>
  <c r="CA136" i="30"/>
  <c r="CB136" i="30"/>
  <c r="CC136" i="30"/>
  <c r="AD137" i="30"/>
  <c r="AE137" i="30"/>
  <c r="AF137" i="30"/>
  <c r="AG137" i="30"/>
  <c r="AH137" i="30"/>
  <c r="AI137" i="30"/>
  <c r="AJ137" i="30"/>
  <c r="AK137" i="30"/>
  <c r="AL137" i="30"/>
  <c r="AM137" i="30"/>
  <c r="AN137" i="30"/>
  <c r="AO137" i="30"/>
  <c r="AP137" i="30"/>
  <c r="AQ137" i="30"/>
  <c r="AR137" i="30"/>
  <c r="AS137" i="30"/>
  <c r="AT137" i="30"/>
  <c r="AU137" i="30"/>
  <c r="AV137" i="30"/>
  <c r="AW137" i="30"/>
  <c r="AX137" i="30"/>
  <c r="AY137" i="30"/>
  <c r="AZ137" i="30"/>
  <c r="BA137" i="30"/>
  <c r="BB137" i="30"/>
  <c r="BC137" i="30"/>
  <c r="BD137" i="30"/>
  <c r="BE137" i="30"/>
  <c r="BF137" i="30"/>
  <c r="BG137" i="30"/>
  <c r="BH137" i="30"/>
  <c r="BI137" i="30"/>
  <c r="BJ137" i="30"/>
  <c r="BK137" i="30"/>
  <c r="BL137" i="30"/>
  <c r="BM137" i="30"/>
  <c r="BN137" i="30"/>
  <c r="BO137" i="30"/>
  <c r="BP137" i="30"/>
  <c r="BQ137" i="30"/>
  <c r="BR137" i="30"/>
  <c r="BS137" i="30"/>
  <c r="BT137" i="30"/>
  <c r="BU137" i="30"/>
  <c r="BV137" i="30"/>
  <c r="BW137" i="30"/>
  <c r="BX137" i="30"/>
  <c r="BY137" i="30"/>
  <c r="BZ137" i="30"/>
  <c r="CA137" i="30"/>
  <c r="CB137" i="30"/>
  <c r="CC137" i="30"/>
  <c r="AD138" i="30"/>
  <c r="AE138" i="30"/>
  <c r="AF138" i="30"/>
  <c r="AG138" i="30"/>
  <c r="AH138" i="30"/>
  <c r="AI138" i="30"/>
  <c r="AJ138" i="30"/>
  <c r="AK138" i="30"/>
  <c r="AL138" i="30"/>
  <c r="AM138" i="30"/>
  <c r="AN138" i="30"/>
  <c r="AO138" i="30"/>
  <c r="AP138" i="30"/>
  <c r="AQ138" i="30"/>
  <c r="AR138" i="30"/>
  <c r="AS138" i="30"/>
  <c r="AT138" i="30"/>
  <c r="AU138" i="30"/>
  <c r="AV138" i="30"/>
  <c r="AW138" i="30"/>
  <c r="AX138" i="30"/>
  <c r="AY138" i="30"/>
  <c r="AZ138" i="30"/>
  <c r="BA138" i="30"/>
  <c r="BB138" i="30"/>
  <c r="BC138" i="30"/>
  <c r="BD138" i="30"/>
  <c r="BE138" i="30"/>
  <c r="BF138" i="30"/>
  <c r="BG138" i="30"/>
  <c r="BH138" i="30"/>
  <c r="BI138" i="30"/>
  <c r="BJ138" i="30"/>
  <c r="BK138" i="30"/>
  <c r="BL138" i="30"/>
  <c r="BM138" i="30"/>
  <c r="BN138" i="30"/>
  <c r="BO138" i="30"/>
  <c r="BP138" i="30"/>
  <c r="BQ138" i="30"/>
  <c r="BR138" i="30"/>
  <c r="BS138" i="30"/>
  <c r="BT138" i="30"/>
  <c r="BU138" i="30"/>
  <c r="BV138" i="30"/>
  <c r="BW138" i="30"/>
  <c r="BX138" i="30"/>
  <c r="BY138" i="30"/>
  <c r="BZ138" i="30"/>
  <c r="CA138" i="30"/>
  <c r="CB138" i="30"/>
  <c r="CC138" i="30"/>
  <c r="AD139" i="30"/>
  <c r="AE139" i="30"/>
  <c r="AF139" i="30"/>
  <c r="AG139" i="30"/>
  <c r="AH139" i="30"/>
  <c r="AI139" i="30"/>
  <c r="AJ139" i="30"/>
  <c r="AK139" i="30"/>
  <c r="AL139" i="30"/>
  <c r="AM139" i="30"/>
  <c r="AN139" i="30"/>
  <c r="AO139" i="30"/>
  <c r="AP139" i="30"/>
  <c r="AQ139" i="30"/>
  <c r="AR139" i="30"/>
  <c r="AS139" i="30"/>
  <c r="AT139" i="30"/>
  <c r="AU139" i="30"/>
  <c r="AV139" i="30"/>
  <c r="AW139" i="30"/>
  <c r="AX139" i="30"/>
  <c r="AY139" i="30"/>
  <c r="AZ139" i="30"/>
  <c r="BA139" i="30"/>
  <c r="BB139" i="30"/>
  <c r="BC139" i="30"/>
  <c r="BD139" i="30"/>
  <c r="BE139" i="30"/>
  <c r="BF139" i="30"/>
  <c r="BG139" i="30"/>
  <c r="BH139" i="30"/>
  <c r="BI139" i="30"/>
  <c r="BJ139" i="30"/>
  <c r="BK139" i="30"/>
  <c r="BL139" i="30"/>
  <c r="BM139" i="30"/>
  <c r="BN139" i="30"/>
  <c r="BO139" i="30"/>
  <c r="BP139" i="30"/>
  <c r="BQ139" i="30"/>
  <c r="BR139" i="30"/>
  <c r="BS139" i="30"/>
  <c r="BT139" i="30"/>
  <c r="BU139" i="30"/>
  <c r="BV139" i="30"/>
  <c r="BW139" i="30"/>
  <c r="BX139" i="30"/>
  <c r="BY139" i="30"/>
  <c r="BZ139" i="30"/>
  <c r="CA139" i="30"/>
  <c r="CB139" i="30"/>
  <c r="CC139" i="30"/>
  <c r="AD140" i="30"/>
  <c r="AE140" i="30"/>
  <c r="AF140" i="30"/>
  <c r="AG140" i="30"/>
  <c r="AH140" i="30"/>
  <c r="AI140" i="30"/>
  <c r="AJ140" i="30"/>
  <c r="AK140" i="30"/>
  <c r="AL140" i="30"/>
  <c r="AM140" i="30"/>
  <c r="AN140" i="30"/>
  <c r="AO140" i="30"/>
  <c r="AP140" i="30"/>
  <c r="AQ140" i="30"/>
  <c r="AR140" i="30"/>
  <c r="AS140" i="30"/>
  <c r="AT140" i="30"/>
  <c r="AU140" i="30"/>
  <c r="AV140" i="30"/>
  <c r="AW140" i="30"/>
  <c r="AX140" i="30"/>
  <c r="AY140" i="30"/>
  <c r="AZ140" i="30"/>
  <c r="BA140" i="30"/>
  <c r="BB140" i="30"/>
  <c r="BC140" i="30"/>
  <c r="BD140" i="30"/>
  <c r="BE140" i="30"/>
  <c r="BF140" i="30"/>
  <c r="BG140" i="30"/>
  <c r="BH140" i="30"/>
  <c r="BI140" i="30"/>
  <c r="BJ140" i="30"/>
  <c r="BK140" i="30"/>
  <c r="BL140" i="30"/>
  <c r="BM140" i="30"/>
  <c r="BN140" i="30"/>
  <c r="BO140" i="30"/>
  <c r="BP140" i="30"/>
  <c r="BQ140" i="30"/>
  <c r="BR140" i="30"/>
  <c r="BS140" i="30"/>
  <c r="BT140" i="30"/>
  <c r="BU140" i="30"/>
  <c r="BV140" i="30"/>
  <c r="BW140" i="30"/>
  <c r="BX140" i="30"/>
  <c r="BY140" i="30"/>
  <c r="BZ140" i="30"/>
  <c r="CA140" i="30"/>
  <c r="CB140" i="30"/>
  <c r="CC140" i="30"/>
  <c r="AD141" i="30"/>
  <c r="AE141" i="30"/>
  <c r="AF141" i="30"/>
  <c r="AG141" i="30"/>
  <c r="AH141" i="30"/>
  <c r="AI141" i="30"/>
  <c r="AJ141" i="30"/>
  <c r="AK141" i="30"/>
  <c r="AL141" i="30"/>
  <c r="AM141" i="30"/>
  <c r="AN141" i="30"/>
  <c r="AO141" i="30"/>
  <c r="AP141" i="30"/>
  <c r="AQ141" i="30"/>
  <c r="AR141" i="30"/>
  <c r="AS141" i="30"/>
  <c r="AT141" i="30"/>
  <c r="AU141" i="30"/>
  <c r="AV141" i="30"/>
  <c r="AW141" i="30"/>
  <c r="AX141" i="30"/>
  <c r="AY141" i="30"/>
  <c r="AZ141" i="30"/>
  <c r="BA141" i="30"/>
  <c r="BB141" i="30"/>
  <c r="BC141" i="30"/>
  <c r="BD141" i="30"/>
  <c r="BE141" i="30"/>
  <c r="BF141" i="30"/>
  <c r="BG141" i="30"/>
  <c r="BH141" i="30"/>
  <c r="BI141" i="30"/>
  <c r="BJ141" i="30"/>
  <c r="BK141" i="30"/>
  <c r="BL141" i="30"/>
  <c r="BM141" i="30"/>
  <c r="BN141" i="30"/>
  <c r="BO141" i="30"/>
  <c r="BP141" i="30"/>
  <c r="BQ141" i="30"/>
  <c r="BR141" i="30"/>
  <c r="BS141" i="30"/>
  <c r="BT141" i="30"/>
  <c r="BU141" i="30"/>
  <c r="BV141" i="30"/>
  <c r="BW141" i="30"/>
  <c r="BX141" i="30"/>
  <c r="BY141" i="30"/>
  <c r="BZ141" i="30"/>
  <c r="CA141" i="30"/>
  <c r="CB141" i="30"/>
  <c r="CC141" i="30"/>
  <c r="AD142" i="30"/>
  <c r="AE142" i="30"/>
  <c r="AF142" i="30"/>
  <c r="AG142" i="30"/>
  <c r="AH142" i="30"/>
  <c r="AI142" i="30"/>
  <c r="AJ142" i="30"/>
  <c r="AK142" i="30"/>
  <c r="AL142" i="30"/>
  <c r="AM142" i="30"/>
  <c r="AN142" i="30"/>
  <c r="AO142" i="30"/>
  <c r="AP142" i="30"/>
  <c r="AQ142" i="30"/>
  <c r="AR142" i="30"/>
  <c r="AS142" i="30"/>
  <c r="AT142" i="30"/>
  <c r="AU142" i="30"/>
  <c r="AV142" i="30"/>
  <c r="AW142" i="30"/>
  <c r="AX142" i="30"/>
  <c r="AY142" i="30"/>
  <c r="AZ142" i="30"/>
  <c r="BA142" i="30"/>
  <c r="BB142" i="30"/>
  <c r="BC142" i="30"/>
  <c r="BD142" i="30"/>
  <c r="BE142" i="30"/>
  <c r="BF142" i="30"/>
  <c r="BG142" i="30"/>
  <c r="BH142" i="30"/>
  <c r="BI142" i="30"/>
  <c r="BJ142" i="30"/>
  <c r="BK142" i="30"/>
  <c r="BL142" i="30"/>
  <c r="BM142" i="30"/>
  <c r="BN142" i="30"/>
  <c r="BO142" i="30"/>
  <c r="BP142" i="30"/>
  <c r="BQ142" i="30"/>
  <c r="BR142" i="30"/>
  <c r="BS142" i="30"/>
  <c r="BT142" i="30"/>
  <c r="BU142" i="30"/>
  <c r="BV142" i="30"/>
  <c r="BW142" i="30"/>
  <c r="BX142" i="30"/>
  <c r="BY142" i="30"/>
  <c r="BZ142" i="30"/>
  <c r="CA142" i="30"/>
  <c r="CB142" i="30"/>
  <c r="CC142" i="30"/>
  <c r="AD143" i="30"/>
  <c r="AE143" i="30"/>
  <c r="AF143" i="30"/>
  <c r="AG143" i="30"/>
  <c r="AH143" i="30"/>
  <c r="AI143" i="30"/>
  <c r="AJ143" i="30"/>
  <c r="AK143" i="30"/>
  <c r="AL143" i="30"/>
  <c r="AM143" i="30"/>
  <c r="AN143" i="30"/>
  <c r="AO143" i="30"/>
  <c r="AP143" i="30"/>
  <c r="AQ143" i="30"/>
  <c r="AR143" i="30"/>
  <c r="AS143" i="30"/>
  <c r="AT143" i="30"/>
  <c r="AU143" i="30"/>
  <c r="AV143" i="30"/>
  <c r="AW143" i="30"/>
  <c r="AX143" i="30"/>
  <c r="AY143" i="30"/>
  <c r="AZ143" i="30"/>
  <c r="BA143" i="30"/>
  <c r="BB143" i="30"/>
  <c r="BC143" i="30"/>
  <c r="BD143" i="30"/>
  <c r="BE143" i="30"/>
  <c r="BF143" i="30"/>
  <c r="BG143" i="30"/>
  <c r="BH143" i="30"/>
  <c r="BI143" i="30"/>
  <c r="BJ143" i="30"/>
  <c r="BK143" i="30"/>
  <c r="BL143" i="30"/>
  <c r="BM143" i="30"/>
  <c r="BN143" i="30"/>
  <c r="BO143" i="30"/>
  <c r="BP143" i="30"/>
  <c r="BQ143" i="30"/>
  <c r="BR143" i="30"/>
  <c r="BS143" i="30"/>
  <c r="BT143" i="30"/>
  <c r="BU143" i="30"/>
  <c r="BV143" i="30"/>
  <c r="BW143" i="30"/>
  <c r="BX143" i="30"/>
  <c r="BY143" i="30"/>
  <c r="BZ143" i="30"/>
  <c r="CA143" i="30"/>
  <c r="CB143" i="30"/>
  <c r="CC143" i="30"/>
  <c r="AD144" i="30"/>
  <c r="AE144" i="30"/>
  <c r="AF144" i="30"/>
  <c r="AG144" i="30"/>
  <c r="AH144" i="30"/>
  <c r="AI144" i="30"/>
  <c r="AJ144" i="30"/>
  <c r="AK144" i="30"/>
  <c r="AL144" i="30"/>
  <c r="AM144" i="30"/>
  <c r="AN144" i="30"/>
  <c r="AO144" i="30"/>
  <c r="AP144" i="30"/>
  <c r="AQ144" i="30"/>
  <c r="AR144" i="30"/>
  <c r="AS144" i="30"/>
  <c r="AT144" i="30"/>
  <c r="AU144" i="30"/>
  <c r="AV144" i="30"/>
  <c r="AW144" i="30"/>
  <c r="AX144" i="30"/>
  <c r="AY144" i="30"/>
  <c r="AZ144" i="30"/>
  <c r="BA144" i="30"/>
  <c r="BB144" i="30"/>
  <c r="BC144" i="30"/>
  <c r="BD144" i="30"/>
  <c r="BE144" i="30"/>
  <c r="BF144" i="30"/>
  <c r="BG144" i="30"/>
  <c r="BH144" i="30"/>
  <c r="BI144" i="30"/>
  <c r="BJ144" i="30"/>
  <c r="BK144" i="30"/>
  <c r="BL144" i="30"/>
  <c r="BM144" i="30"/>
  <c r="BN144" i="30"/>
  <c r="BO144" i="30"/>
  <c r="BP144" i="30"/>
  <c r="BQ144" i="30"/>
  <c r="BR144" i="30"/>
  <c r="BS144" i="30"/>
  <c r="BT144" i="30"/>
  <c r="BU144" i="30"/>
  <c r="BV144" i="30"/>
  <c r="BW144" i="30"/>
  <c r="BX144" i="30"/>
  <c r="BY144" i="30"/>
  <c r="BZ144" i="30"/>
  <c r="CA144" i="30"/>
  <c r="CB144" i="30"/>
  <c r="CC144" i="30"/>
  <c r="AD145" i="30"/>
  <c r="AE145" i="30"/>
  <c r="AF145" i="30"/>
  <c r="AG145" i="30"/>
  <c r="AH145" i="30"/>
  <c r="AI145" i="30"/>
  <c r="AJ145" i="30"/>
  <c r="AK145" i="30"/>
  <c r="AL145" i="30"/>
  <c r="AM145" i="30"/>
  <c r="AN145" i="30"/>
  <c r="AO145" i="30"/>
  <c r="AP145" i="30"/>
  <c r="AQ145" i="30"/>
  <c r="AR145" i="30"/>
  <c r="AS145" i="30"/>
  <c r="AT145" i="30"/>
  <c r="AU145" i="30"/>
  <c r="AV145" i="30"/>
  <c r="AW145" i="30"/>
  <c r="AX145" i="30"/>
  <c r="AY145" i="30"/>
  <c r="AZ145" i="30"/>
  <c r="BA145" i="30"/>
  <c r="BB145" i="30"/>
  <c r="BC145" i="30"/>
  <c r="BD145" i="30"/>
  <c r="BE145" i="30"/>
  <c r="BF145" i="30"/>
  <c r="BG145" i="30"/>
  <c r="BH145" i="30"/>
  <c r="BI145" i="30"/>
  <c r="BJ145" i="30"/>
  <c r="BK145" i="30"/>
  <c r="BL145" i="30"/>
  <c r="BM145" i="30"/>
  <c r="BN145" i="30"/>
  <c r="BO145" i="30"/>
  <c r="BP145" i="30"/>
  <c r="BQ145" i="30"/>
  <c r="BR145" i="30"/>
  <c r="BS145" i="30"/>
  <c r="BT145" i="30"/>
  <c r="BU145" i="30"/>
  <c r="BV145" i="30"/>
  <c r="BW145" i="30"/>
  <c r="BX145" i="30"/>
  <c r="BY145" i="30"/>
  <c r="BZ145" i="30"/>
  <c r="CA145" i="30"/>
  <c r="CB145" i="30"/>
  <c r="CC145" i="30"/>
  <c r="AD146" i="30"/>
  <c r="AE146" i="30"/>
  <c r="AF146" i="30"/>
  <c r="AG146" i="30"/>
  <c r="AH146" i="30"/>
  <c r="AI146" i="30"/>
  <c r="AJ146" i="30"/>
  <c r="AK146" i="30"/>
  <c r="AL146" i="30"/>
  <c r="AM146" i="30"/>
  <c r="AN146" i="30"/>
  <c r="AO146" i="30"/>
  <c r="AP146" i="30"/>
  <c r="AQ146" i="30"/>
  <c r="AR146" i="30"/>
  <c r="AS146" i="30"/>
  <c r="AT146" i="30"/>
  <c r="AU146" i="30"/>
  <c r="AV146" i="30"/>
  <c r="AW146" i="30"/>
  <c r="AX146" i="30"/>
  <c r="AY146" i="30"/>
  <c r="AZ146" i="30"/>
  <c r="BA146" i="30"/>
  <c r="BB146" i="30"/>
  <c r="BC146" i="30"/>
  <c r="BD146" i="30"/>
  <c r="BE146" i="30"/>
  <c r="BF146" i="30"/>
  <c r="BG146" i="30"/>
  <c r="BH146" i="30"/>
  <c r="BI146" i="30"/>
  <c r="BJ146" i="30"/>
  <c r="BK146" i="30"/>
  <c r="BL146" i="30"/>
  <c r="BM146" i="30"/>
  <c r="BN146" i="30"/>
  <c r="BO146" i="30"/>
  <c r="BP146" i="30"/>
  <c r="BQ146" i="30"/>
  <c r="BR146" i="30"/>
  <c r="BS146" i="30"/>
  <c r="BT146" i="30"/>
  <c r="BU146" i="30"/>
  <c r="BV146" i="30"/>
  <c r="BW146" i="30"/>
  <c r="BX146" i="30"/>
  <c r="BY146" i="30"/>
  <c r="BZ146" i="30"/>
  <c r="CA146" i="30"/>
  <c r="CB146" i="30"/>
  <c r="CC146" i="30"/>
  <c r="AD147" i="30"/>
  <c r="AE147" i="30"/>
  <c r="AF147" i="30"/>
  <c r="AG147" i="30"/>
  <c r="AH147" i="30"/>
  <c r="AI147" i="30"/>
  <c r="AJ147" i="30"/>
  <c r="AK147" i="30"/>
  <c r="AL147" i="30"/>
  <c r="AM147" i="30"/>
  <c r="AN147" i="30"/>
  <c r="AO147" i="30"/>
  <c r="AP147" i="30"/>
  <c r="AQ147" i="30"/>
  <c r="AR147" i="30"/>
  <c r="AS147" i="30"/>
  <c r="AT147" i="30"/>
  <c r="AU147" i="30"/>
  <c r="AV147" i="30"/>
  <c r="AW147" i="30"/>
  <c r="AX147" i="30"/>
  <c r="AY147" i="30"/>
  <c r="AZ147" i="30"/>
  <c r="BA147" i="30"/>
  <c r="BB147" i="30"/>
  <c r="BC147" i="30"/>
  <c r="BD147" i="30"/>
  <c r="BE147" i="30"/>
  <c r="BF147" i="30"/>
  <c r="BG147" i="30"/>
  <c r="BH147" i="30"/>
  <c r="BI147" i="30"/>
  <c r="BJ147" i="30"/>
  <c r="BK147" i="30"/>
  <c r="BL147" i="30"/>
  <c r="BM147" i="30"/>
  <c r="BN147" i="30"/>
  <c r="BO147" i="30"/>
  <c r="BP147" i="30"/>
  <c r="BQ147" i="30"/>
  <c r="BR147" i="30"/>
  <c r="BS147" i="30"/>
  <c r="BT147" i="30"/>
  <c r="BU147" i="30"/>
  <c r="BV147" i="30"/>
  <c r="BW147" i="30"/>
  <c r="BX147" i="30"/>
  <c r="BY147" i="30"/>
  <c r="BZ147" i="30"/>
  <c r="CA147" i="30"/>
  <c r="CB147" i="30"/>
  <c r="CC147" i="30"/>
  <c r="AD148" i="30"/>
  <c r="AE148" i="30"/>
  <c r="AF148" i="30"/>
  <c r="AG148" i="30"/>
  <c r="AH148" i="30"/>
  <c r="AI148" i="30"/>
  <c r="AJ148" i="30"/>
  <c r="AK148" i="30"/>
  <c r="AL148" i="30"/>
  <c r="AM148" i="30"/>
  <c r="AN148" i="30"/>
  <c r="AO148" i="30"/>
  <c r="AP148" i="30"/>
  <c r="AQ148" i="30"/>
  <c r="AR148" i="30"/>
  <c r="AS148" i="30"/>
  <c r="AT148" i="30"/>
  <c r="AU148" i="30"/>
  <c r="AV148" i="30"/>
  <c r="AW148" i="30"/>
  <c r="AX148" i="30"/>
  <c r="AY148" i="30"/>
  <c r="AZ148" i="30"/>
  <c r="BA148" i="30"/>
  <c r="BB148" i="30"/>
  <c r="BC148" i="30"/>
  <c r="BD148" i="30"/>
  <c r="BE148" i="30"/>
  <c r="BF148" i="30"/>
  <c r="BG148" i="30"/>
  <c r="BH148" i="30"/>
  <c r="BI148" i="30"/>
  <c r="BJ148" i="30"/>
  <c r="BK148" i="30"/>
  <c r="BL148" i="30"/>
  <c r="BM148" i="30"/>
  <c r="BN148" i="30"/>
  <c r="BO148" i="30"/>
  <c r="BP148" i="30"/>
  <c r="BQ148" i="30"/>
  <c r="BR148" i="30"/>
  <c r="BS148" i="30"/>
  <c r="BT148" i="30"/>
  <c r="BU148" i="30"/>
  <c r="BV148" i="30"/>
  <c r="BW148" i="30"/>
  <c r="BX148" i="30"/>
  <c r="BY148" i="30"/>
  <c r="BZ148" i="30"/>
  <c r="CA148" i="30"/>
  <c r="CB148" i="30"/>
  <c r="CC148" i="30"/>
  <c r="AD149" i="30"/>
  <c r="AE149" i="30"/>
  <c r="AF149" i="30"/>
  <c r="AG149" i="30"/>
  <c r="AH149" i="30"/>
  <c r="AI149" i="30"/>
  <c r="AJ149" i="30"/>
  <c r="AK149" i="30"/>
  <c r="AL149" i="30"/>
  <c r="AM149" i="30"/>
  <c r="AN149" i="30"/>
  <c r="AO149" i="30"/>
  <c r="AP149" i="30"/>
  <c r="AQ149" i="30"/>
  <c r="AR149" i="30"/>
  <c r="AS149" i="30"/>
  <c r="AT149" i="30"/>
  <c r="AU149" i="30"/>
  <c r="AV149" i="30"/>
  <c r="AW149" i="30"/>
  <c r="AX149" i="30"/>
  <c r="AY149" i="30"/>
  <c r="AZ149" i="30"/>
  <c r="BA149" i="30"/>
  <c r="BB149" i="30"/>
  <c r="BC149" i="30"/>
  <c r="BD149" i="30"/>
  <c r="BE149" i="30"/>
  <c r="BF149" i="30"/>
  <c r="BG149" i="30"/>
  <c r="BH149" i="30"/>
  <c r="BI149" i="30"/>
  <c r="BJ149" i="30"/>
  <c r="BK149" i="30"/>
  <c r="BL149" i="30"/>
  <c r="BM149" i="30"/>
  <c r="BN149" i="30"/>
  <c r="BO149" i="30"/>
  <c r="BP149" i="30"/>
  <c r="BQ149" i="30"/>
  <c r="BR149" i="30"/>
  <c r="BS149" i="30"/>
  <c r="BT149" i="30"/>
  <c r="BU149" i="30"/>
  <c r="BV149" i="30"/>
  <c r="BW149" i="30"/>
  <c r="BX149" i="30"/>
  <c r="BY149" i="30"/>
  <c r="BZ149" i="30"/>
  <c r="CA149" i="30"/>
  <c r="CB149" i="30"/>
  <c r="CC149" i="30"/>
  <c r="AD150" i="30"/>
  <c r="AE150" i="30"/>
  <c r="AF150" i="30"/>
  <c r="AG150" i="30"/>
  <c r="AH150" i="30"/>
  <c r="AI150" i="30"/>
  <c r="AJ150" i="30"/>
  <c r="AK150" i="30"/>
  <c r="AL150" i="30"/>
  <c r="AM150" i="30"/>
  <c r="AN150" i="30"/>
  <c r="AO150" i="30"/>
  <c r="AP150" i="30"/>
  <c r="AQ150" i="30"/>
  <c r="AR150" i="30"/>
  <c r="AS150" i="30"/>
  <c r="AT150" i="30"/>
  <c r="AU150" i="30"/>
  <c r="AV150" i="30"/>
  <c r="AW150" i="30"/>
  <c r="AX150" i="30"/>
  <c r="AY150" i="30"/>
  <c r="AZ150" i="30"/>
  <c r="BA150" i="30"/>
  <c r="BB150" i="30"/>
  <c r="BC150" i="30"/>
  <c r="BD150" i="30"/>
  <c r="BE150" i="30"/>
  <c r="BF150" i="30"/>
  <c r="BG150" i="30"/>
  <c r="BH150" i="30"/>
  <c r="BI150" i="30"/>
  <c r="BJ150" i="30"/>
  <c r="BK150" i="30"/>
  <c r="BL150" i="30"/>
  <c r="BM150" i="30"/>
  <c r="BN150" i="30"/>
  <c r="BO150" i="30"/>
  <c r="BP150" i="30"/>
  <c r="BQ150" i="30"/>
  <c r="BR150" i="30"/>
  <c r="BS150" i="30"/>
  <c r="BT150" i="30"/>
  <c r="BU150" i="30"/>
  <c r="BV150" i="30"/>
  <c r="BW150" i="30"/>
  <c r="BX150" i="30"/>
  <c r="BY150" i="30"/>
  <c r="BZ150" i="30"/>
  <c r="CA150" i="30"/>
  <c r="CB150" i="30"/>
  <c r="CC150" i="30"/>
  <c r="AD151" i="30"/>
  <c r="AE151" i="30"/>
  <c r="AF151" i="30"/>
  <c r="AG151" i="30"/>
  <c r="AH151" i="30"/>
  <c r="AI151" i="30"/>
  <c r="AJ151" i="30"/>
  <c r="AK151" i="30"/>
  <c r="AL151" i="30"/>
  <c r="AM151" i="30"/>
  <c r="AN151" i="30"/>
  <c r="AO151" i="30"/>
  <c r="AP151" i="30"/>
  <c r="AQ151" i="30"/>
  <c r="AR151" i="30"/>
  <c r="AS151" i="30"/>
  <c r="AT151" i="30"/>
  <c r="AU151" i="30"/>
  <c r="AV151" i="30"/>
  <c r="AW151" i="30"/>
  <c r="AX151" i="30"/>
  <c r="AY151" i="30"/>
  <c r="AZ151" i="30"/>
  <c r="BA151" i="30"/>
  <c r="BB151" i="30"/>
  <c r="BC151" i="30"/>
  <c r="BD151" i="30"/>
  <c r="BE151" i="30"/>
  <c r="BF151" i="30"/>
  <c r="BG151" i="30"/>
  <c r="BH151" i="30"/>
  <c r="BI151" i="30"/>
  <c r="BJ151" i="30"/>
  <c r="BK151" i="30"/>
  <c r="BL151" i="30"/>
  <c r="BM151" i="30"/>
  <c r="BN151" i="30"/>
  <c r="BO151" i="30"/>
  <c r="BP151" i="30"/>
  <c r="BQ151" i="30"/>
  <c r="BR151" i="30"/>
  <c r="BS151" i="30"/>
  <c r="BT151" i="30"/>
  <c r="BU151" i="30"/>
  <c r="BV151" i="30"/>
  <c r="BW151" i="30"/>
  <c r="BX151" i="30"/>
  <c r="BY151" i="30"/>
  <c r="BZ151" i="30"/>
  <c r="CA151" i="30"/>
  <c r="CB151" i="30"/>
  <c r="CC151" i="30"/>
  <c r="AD152" i="30"/>
  <c r="AE152" i="30"/>
  <c r="AF152" i="30"/>
  <c r="AG152" i="30"/>
  <c r="AH152" i="30"/>
  <c r="AI152" i="30"/>
  <c r="AJ152" i="30"/>
  <c r="AK152" i="30"/>
  <c r="AL152" i="30"/>
  <c r="AM152" i="30"/>
  <c r="AN152" i="30"/>
  <c r="AO152" i="30"/>
  <c r="AP152" i="30"/>
  <c r="AQ152" i="30"/>
  <c r="AR152" i="30"/>
  <c r="AS152" i="30"/>
  <c r="AT152" i="30"/>
  <c r="AU152" i="30"/>
  <c r="AV152" i="30"/>
  <c r="AW152" i="30"/>
  <c r="AX152" i="30"/>
  <c r="AY152" i="30"/>
  <c r="AZ152" i="30"/>
  <c r="BA152" i="30"/>
  <c r="BB152" i="30"/>
  <c r="BC152" i="30"/>
  <c r="BD152" i="30"/>
  <c r="BE152" i="30"/>
  <c r="BF152" i="30"/>
  <c r="BG152" i="30"/>
  <c r="BH152" i="30"/>
  <c r="BI152" i="30"/>
  <c r="BJ152" i="30"/>
  <c r="BK152" i="30"/>
  <c r="BL152" i="30"/>
  <c r="BM152" i="30"/>
  <c r="BN152" i="30"/>
  <c r="BO152" i="30"/>
  <c r="BP152" i="30"/>
  <c r="BQ152" i="30"/>
  <c r="BR152" i="30"/>
  <c r="BS152" i="30"/>
  <c r="BT152" i="30"/>
  <c r="BU152" i="30"/>
  <c r="BV152" i="30"/>
  <c r="BW152" i="30"/>
  <c r="BX152" i="30"/>
  <c r="BY152" i="30"/>
  <c r="BZ152" i="30"/>
  <c r="CA152" i="30"/>
  <c r="CB152" i="30"/>
  <c r="CC152" i="30"/>
  <c r="AD153" i="30"/>
  <c r="AE153" i="30"/>
  <c r="AF153" i="30"/>
  <c r="AG153" i="30"/>
  <c r="AH153" i="30"/>
  <c r="AI153" i="30"/>
  <c r="AJ153" i="30"/>
  <c r="AK153" i="30"/>
  <c r="AL153" i="30"/>
  <c r="AM153" i="30"/>
  <c r="AN153" i="30"/>
  <c r="AO153" i="30"/>
  <c r="AP153" i="30"/>
  <c r="AQ153" i="30"/>
  <c r="AR153" i="30"/>
  <c r="AS153" i="30"/>
  <c r="AT153" i="30"/>
  <c r="AU153" i="30"/>
  <c r="AV153" i="30"/>
  <c r="AW153" i="30"/>
  <c r="AX153" i="30"/>
  <c r="AY153" i="30"/>
  <c r="AZ153" i="30"/>
  <c r="BA153" i="30"/>
  <c r="BB153" i="30"/>
  <c r="BC153" i="30"/>
  <c r="BD153" i="30"/>
  <c r="BE153" i="30"/>
  <c r="BF153" i="30"/>
  <c r="BG153" i="30"/>
  <c r="BH153" i="30"/>
  <c r="BI153" i="30"/>
  <c r="BJ153" i="30"/>
  <c r="BK153" i="30"/>
  <c r="BL153" i="30"/>
  <c r="BM153" i="30"/>
  <c r="BN153" i="30"/>
  <c r="BO153" i="30"/>
  <c r="BP153" i="30"/>
  <c r="BQ153" i="30"/>
  <c r="BR153" i="30"/>
  <c r="BS153" i="30"/>
  <c r="BT153" i="30"/>
  <c r="BU153" i="30"/>
  <c r="BV153" i="30"/>
  <c r="BW153" i="30"/>
  <c r="BX153" i="30"/>
  <c r="BY153" i="30"/>
  <c r="BZ153" i="30"/>
  <c r="CA153" i="30"/>
  <c r="CB153" i="30"/>
  <c r="CC153" i="30"/>
  <c r="AD154" i="30"/>
  <c r="AE154" i="30"/>
  <c r="AF154" i="30"/>
  <c r="AG154" i="30"/>
  <c r="AH154" i="30"/>
  <c r="AI154" i="30"/>
  <c r="AJ154" i="30"/>
  <c r="AK154" i="30"/>
  <c r="AL154" i="30"/>
  <c r="AM154" i="30"/>
  <c r="AN154" i="30"/>
  <c r="AO154" i="30"/>
  <c r="AP154" i="30"/>
  <c r="AQ154" i="30"/>
  <c r="AR154" i="30"/>
  <c r="AS154" i="30"/>
  <c r="AT154" i="30"/>
  <c r="AU154" i="30"/>
  <c r="AV154" i="30"/>
  <c r="AW154" i="30"/>
  <c r="AX154" i="30"/>
  <c r="AY154" i="30"/>
  <c r="AZ154" i="30"/>
  <c r="BA154" i="30"/>
  <c r="BB154" i="30"/>
  <c r="BC154" i="30"/>
  <c r="BD154" i="30"/>
  <c r="BE154" i="30"/>
  <c r="BF154" i="30"/>
  <c r="BG154" i="30"/>
  <c r="BH154" i="30"/>
  <c r="BI154" i="30"/>
  <c r="BJ154" i="30"/>
  <c r="BK154" i="30"/>
  <c r="BL154" i="30"/>
  <c r="BM154" i="30"/>
  <c r="BN154" i="30"/>
  <c r="BO154" i="30"/>
  <c r="BP154" i="30"/>
  <c r="BQ154" i="30"/>
  <c r="BR154" i="30"/>
  <c r="BS154" i="30"/>
  <c r="BT154" i="30"/>
  <c r="BU154" i="30"/>
  <c r="BV154" i="30"/>
  <c r="BW154" i="30"/>
  <c r="BX154" i="30"/>
  <c r="BY154" i="30"/>
  <c r="BZ154" i="30"/>
  <c r="CA154" i="30"/>
  <c r="CB154" i="30"/>
  <c r="CC154" i="30"/>
  <c r="AD155" i="30"/>
  <c r="AE155" i="30"/>
  <c r="AF155" i="30"/>
  <c r="AG155" i="30"/>
  <c r="AH155" i="30"/>
  <c r="AI155" i="30"/>
  <c r="AJ155" i="30"/>
  <c r="AK155" i="30"/>
  <c r="AL155" i="30"/>
  <c r="AM155" i="30"/>
  <c r="AN155" i="30"/>
  <c r="AO155" i="30"/>
  <c r="AP155" i="30"/>
  <c r="AQ155" i="30"/>
  <c r="AR155" i="30"/>
  <c r="AS155" i="30"/>
  <c r="AT155" i="30"/>
  <c r="AU155" i="30"/>
  <c r="AV155" i="30"/>
  <c r="AW155" i="30"/>
  <c r="AX155" i="30"/>
  <c r="AY155" i="30"/>
  <c r="AZ155" i="30"/>
  <c r="BA155" i="30"/>
  <c r="BB155" i="30"/>
  <c r="BC155" i="30"/>
  <c r="BD155" i="30"/>
  <c r="BE155" i="30"/>
  <c r="BF155" i="30"/>
  <c r="BG155" i="30"/>
  <c r="BH155" i="30"/>
  <c r="BI155" i="30"/>
  <c r="BJ155" i="30"/>
  <c r="BK155" i="30"/>
  <c r="BL155" i="30"/>
  <c r="BM155" i="30"/>
  <c r="BN155" i="30"/>
  <c r="BO155" i="30"/>
  <c r="BP155" i="30"/>
  <c r="BQ155" i="30"/>
  <c r="BR155" i="30"/>
  <c r="BS155" i="30"/>
  <c r="BT155" i="30"/>
  <c r="BU155" i="30"/>
  <c r="BV155" i="30"/>
  <c r="BW155" i="30"/>
  <c r="BX155" i="30"/>
  <c r="BY155" i="30"/>
  <c r="BZ155" i="30"/>
  <c r="CA155" i="30"/>
  <c r="CB155" i="30"/>
  <c r="CC155" i="30"/>
  <c r="AD156" i="30"/>
  <c r="AE156" i="30"/>
  <c r="AF156" i="30"/>
  <c r="AG156" i="30"/>
  <c r="AH156" i="30"/>
  <c r="AI156" i="30"/>
  <c r="AJ156" i="30"/>
  <c r="AK156" i="30"/>
  <c r="AL156" i="30"/>
  <c r="AM156" i="30"/>
  <c r="AN156" i="30"/>
  <c r="AO156" i="30"/>
  <c r="AP156" i="30"/>
  <c r="AQ156" i="30"/>
  <c r="AR156" i="30"/>
  <c r="AS156" i="30"/>
  <c r="AT156" i="30"/>
  <c r="AU156" i="30"/>
  <c r="AV156" i="30"/>
  <c r="AW156" i="30"/>
  <c r="AX156" i="30"/>
  <c r="AY156" i="30"/>
  <c r="AZ156" i="30"/>
  <c r="BA156" i="30"/>
  <c r="BB156" i="30"/>
  <c r="BC156" i="30"/>
  <c r="BD156" i="30"/>
  <c r="BE156" i="30"/>
  <c r="BF156" i="30"/>
  <c r="BG156" i="30"/>
  <c r="BH156" i="30"/>
  <c r="BI156" i="30"/>
  <c r="BJ156" i="30"/>
  <c r="BK156" i="30"/>
  <c r="BL156" i="30"/>
  <c r="BM156" i="30"/>
  <c r="BN156" i="30"/>
  <c r="BO156" i="30"/>
  <c r="BP156" i="30"/>
  <c r="BQ156" i="30"/>
  <c r="BR156" i="30"/>
  <c r="BS156" i="30"/>
  <c r="BT156" i="30"/>
  <c r="BU156" i="30"/>
  <c r="BV156" i="30"/>
  <c r="BW156" i="30"/>
  <c r="BX156" i="30"/>
  <c r="BY156" i="30"/>
  <c r="BZ156" i="30"/>
  <c r="CA156" i="30"/>
  <c r="CB156" i="30"/>
  <c r="CC156" i="30"/>
  <c r="AD157" i="30"/>
  <c r="AE157" i="30"/>
  <c r="AF157" i="30"/>
  <c r="AG157" i="30"/>
  <c r="AH157" i="30"/>
  <c r="AI157" i="30"/>
  <c r="AJ157" i="30"/>
  <c r="AK157" i="30"/>
  <c r="AL157" i="30"/>
  <c r="AM157" i="30"/>
  <c r="AN157" i="30"/>
  <c r="AO157" i="30"/>
  <c r="AP157" i="30"/>
  <c r="AQ157" i="30"/>
  <c r="AR157" i="30"/>
  <c r="AS157" i="30"/>
  <c r="AT157" i="30"/>
  <c r="AU157" i="30"/>
  <c r="AV157" i="30"/>
  <c r="AW157" i="30"/>
  <c r="AX157" i="30"/>
  <c r="AY157" i="30"/>
  <c r="AZ157" i="30"/>
  <c r="BA157" i="30"/>
  <c r="BB157" i="30"/>
  <c r="BC157" i="30"/>
  <c r="BD157" i="30"/>
  <c r="BE157" i="30"/>
  <c r="BF157" i="30"/>
  <c r="BG157" i="30"/>
  <c r="BH157" i="30"/>
  <c r="BI157" i="30"/>
  <c r="BJ157" i="30"/>
  <c r="BK157" i="30"/>
  <c r="BL157" i="30"/>
  <c r="BM157" i="30"/>
  <c r="BN157" i="30"/>
  <c r="BO157" i="30"/>
  <c r="BP157" i="30"/>
  <c r="BQ157" i="30"/>
  <c r="BR157" i="30"/>
  <c r="BS157" i="30"/>
  <c r="BT157" i="30"/>
  <c r="BU157" i="30"/>
  <c r="BV157" i="30"/>
  <c r="BW157" i="30"/>
  <c r="BX157" i="30"/>
  <c r="BY157" i="30"/>
  <c r="BZ157" i="30"/>
  <c r="CA157" i="30"/>
  <c r="CB157" i="30"/>
  <c r="CC157" i="30"/>
  <c r="AD158" i="30"/>
  <c r="AE158" i="30"/>
  <c r="AF158" i="30"/>
  <c r="AG158" i="30"/>
  <c r="AH158" i="30"/>
  <c r="AI158" i="30"/>
  <c r="AJ158" i="30"/>
  <c r="AK158" i="30"/>
  <c r="AL158" i="30"/>
  <c r="AM158" i="30"/>
  <c r="AN158" i="30"/>
  <c r="AO158" i="30"/>
  <c r="AP158" i="30"/>
  <c r="AQ158" i="30"/>
  <c r="AR158" i="30"/>
  <c r="AS158" i="30"/>
  <c r="AT158" i="30"/>
  <c r="AU158" i="30"/>
  <c r="AV158" i="30"/>
  <c r="AW158" i="30"/>
  <c r="AX158" i="30"/>
  <c r="AY158" i="30"/>
  <c r="AZ158" i="30"/>
  <c r="BA158" i="30"/>
  <c r="BB158" i="30"/>
  <c r="BC158" i="30"/>
  <c r="BD158" i="30"/>
  <c r="BE158" i="30"/>
  <c r="BF158" i="30"/>
  <c r="BG158" i="30"/>
  <c r="BH158" i="30"/>
  <c r="BI158" i="30"/>
  <c r="BJ158" i="30"/>
  <c r="BK158" i="30"/>
  <c r="BL158" i="30"/>
  <c r="BM158" i="30"/>
  <c r="BN158" i="30"/>
  <c r="BO158" i="30"/>
  <c r="BP158" i="30"/>
  <c r="BQ158" i="30"/>
  <c r="BR158" i="30"/>
  <c r="BS158" i="30"/>
  <c r="BT158" i="30"/>
  <c r="BU158" i="30"/>
  <c r="BV158" i="30"/>
  <c r="BW158" i="30"/>
  <c r="BX158" i="30"/>
  <c r="BY158" i="30"/>
  <c r="BZ158" i="30"/>
  <c r="CA158" i="30"/>
  <c r="CB158" i="30"/>
  <c r="CC158" i="30"/>
  <c r="AD159" i="30"/>
  <c r="AE159" i="30"/>
  <c r="AF159" i="30"/>
  <c r="AG159" i="30"/>
  <c r="AH159" i="30"/>
  <c r="AI159" i="30"/>
  <c r="AJ159" i="30"/>
  <c r="AK159" i="30"/>
  <c r="AL159" i="30"/>
  <c r="AM159" i="30"/>
  <c r="AN159" i="30"/>
  <c r="AO159" i="30"/>
  <c r="AP159" i="30"/>
  <c r="AQ159" i="30"/>
  <c r="AR159" i="30"/>
  <c r="AS159" i="30"/>
  <c r="AT159" i="30"/>
  <c r="AU159" i="30"/>
  <c r="AV159" i="30"/>
  <c r="AW159" i="30"/>
  <c r="AX159" i="30"/>
  <c r="AY159" i="30"/>
  <c r="AZ159" i="30"/>
  <c r="BA159" i="30"/>
  <c r="BB159" i="30"/>
  <c r="BC159" i="30"/>
  <c r="BD159" i="30"/>
  <c r="BE159" i="30"/>
  <c r="BF159" i="30"/>
  <c r="BG159" i="30"/>
  <c r="BH159" i="30"/>
  <c r="BI159" i="30"/>
  <c r="BJ159" i="30"/>
  <c r="BK159" i="30"/>
  <c r="BL159" i="30"/>
  <c r="BM159" i="30"/>
  <c r="BN159" i="30"/>
  <c r="BO159" i="30"/>
  <c r="BP159" i="30"/>
  <c r="BQ159" i="30"/>
  <c r="BR159" i="30"/>
  <c r="BS159" i="30"/>
  <c r="BT159" i="30"/>
  <c r="BU159" i="30"/>
  <c r="BV159" i="30"/>
  <c r="BW159" i="30"/>
  <c r="BX159" i="30"/>
  <c r="BY159" i="30"/>
  <c r="BZ159" i="30"/>
  <c r="CA159" i="30"/>
  <c r="CB159" i="30"/>
  <c r="CC159" i="30"/>
  <c r="AD160" i="30"/>
  <c r="AE160" i="30"/>
  <c r="AF160" i="30"/>
  <c r="AG160" i="30"/>
  <c r="AH160" i="30"/>
  <c r="AI160" i="30"/>
  <c r="AJ160" i="30"/>
  <c r="AK160" i="30"/>
  <c r="AL160" i="30"/>
  <c r="AM160" i="30"/>
  <c r="AN160" i="30"/>
  <c r="AO160" i="30"/>
  <c r="AP160" i="30"/>
  <c r="AQ160" i="30"/>
  <c r="AR160" i="30"/>
  <c r="AS160" i="30"/>
  <c r="AT160" i="30"/>
  <c r="AU160" i="30"/>
  <c r="AV160" i="30"/>
  <c r="AW160" i="30"/>
  <c r="AX160" i="30"/>
  <c r="AY160" i="30"/>
  <c r="AZ160" i="30"/>
  <c r="BA160" i="30"/>
  <c r="BB160" i="30"/>
  <c r="BC160" i="30"/>
  <c r="BD160" i="30"/>
  <c r="BE160" i="30"/>
  <c r="BF160" i="30"/>
  <c r="BG160" i="30"/>
  <c r="BH160" i="30"/>
  <c r="BI160" i="30"/>
  <c r="BJ160" i="30"/>
  <c r="BK160" i="30"/>
  <c r="BL160" i="30"/>
  <c r="BM160" i="30"/>
  <c r="BN160" i="30"/>
  <c r="BO160" i="30"/>
  <c r="BP160" i="30"/>
  <c r="BQ160" i="30"/>
  <c r="BR160" i="30"/>
  <c r="BS160" i="30"/>
  <c r="BT160" i="30"/>
  <c r="BU160" i="30"/>
  <c r="BV160" i="30"/>
  <c r="BW160" i="30"/>
  <c r="BX160" i="30"/>
  <c r="BY160" i="30"/>
  <c r="BZ160" i="30"/>
  <c r="CA160" i="30"/>
  <c r="CB160" i="30"/>
  <c r="CC160" i="30"/>
  <c r="AD161" i="30"/>
  <c r="AE161" i="30"/>
  <c r="AF161" i="30"/>
  <c r="AG161" i="30"/>
  <c r="AH161" i="30"/>
  <c r="AI161" i="30"/>
  <c r="AJ161" i="30"/>
  <c r="AK161" i="30"/>
  <c r="AL161" i="30"/>
  <c r="AM161" i="30"/>
  <c r="AN161" i="30"/>
  <c r="AO161" i="30"/>
  <c r="AP161" i="30"/>
  <c r="AQ161" i="30"/>
  <c r="AR161" i="30"/>
  <c r="AS161" i="30"/>
  <c r="AT161" i="30"/>
  <c r="AU161" i="30"/>
  <c r="AV161" i="30"/>
  <c r="AW161" i="30"/>
  <c r="AX161" i="30"/>
  <c r="AY161" i="30"/>
  <c r="AZ161" i="30"/>
  <c r="BA161" i="30"/>
  <c r="BB161" i="30"/>
  <c r="BC161" i="30"/>
  <c r="BD161" i="30"/>
  <c r="BE161" i="30"/>
  <c r="BF161" i="30"/>
  <c r="BG161" i="30"/>
  <c r="BH161" i="30"/>
  <c r="BI161" i="30"/>
  <c r="BJ161" i="30"/>
  <c r="BK161" i="30"/>
  <c r="BL161" i="30"/>
  <c r="BM161" i="30"/>
  <c r="BN161" i="30"/>
  <c r="BO161" i="30"/>
  <c r="BP161" i="30"/>
  <c r="BQ161" i="30"/>
  <c r="BR161" i="30"/>
  <c r="BS161" i="30"/>
  <c r="BT161" i="30"/>
  <c r="BU161" i="30"/>
  <c r="BV161" i="30"/>
  <c r="BW161" i="30"/>
  <c r="BX161" i="30"/>
  <c r="BY161" i="30"/>
  <c r="BZ161" i="30"/>
  <c r="CA161" i="30"/>
  <c r="CB161" i="30"/>
  <c r="CC161" i="30"/>
  <c r="AD162" i="30"/>
  <c r="AE162" i="30"/>
  <c r="AF162" i="30"/>
  <c r="AG162" i="30"/>
  <c r="AH162" i="30"/>
  <c r="AI162" i="30"/>
  <c r="AJ162" i="30"/>
  <c r="AK162" i="30"/>
  <c r="AL162" i="30"/>
  <c r="AM162" i="30"/>
  <c r="AN162" i="30"/>
  <c r="AO162" i="30"/>
  <c r="AP162" i="30"/>
  <c r="AQ162" i="30"/>
  <c r="AR162" i="30"/>
  <c r="AS162" i="30"/>
  <c r="AT162" i="30"/>
  <c r="AU162" i="30"/>
  <c r="AV162" i="30"/>
  <c r="AW162" i="30"/>
  <c r="AX162" i="30"/>
  <c r="AY162" i="30"/>
  <c r="AZ162" i="30"/>
  <c r="BA162" i="30"/>
  <c r="BB162" i="30"/>
  <c r="BC162" i="30"/>
  <c r="BD162" i="30"/>
  <c r="BE162" i="30"/>
  <c r="BF162" i="30"/>
  <c r="BG162" i="30"/>
  <c r="BH162" i="30"/>
  <c r="BI162" i="30"/>
  <c r="BJ162" i="30"/>
  <c r="BK162" i="30"/>
  <c r="BL162" i="30"/>
  <c r="BM162" i="30"/>
  <c r="BN162" i="30"/>
  <c r="BO162" i="30"/>
  <c r="BP162" i="30"/>
  <c r="BQ162" i="30"/>
  <c r="BR162" i="30"/>
  <c r="BS162" i="30"/>
  <c r="BT162" i="30"/>
  <c r="BU162" i="30"/>
  <c r="BV162" i="30"/>
  <c r="BW162" i="30"/>
  <c r="BX162" i="30"/>
  <c r="BY162" i="30"/>
  <c r="BZ162" i="30"/>
  <c r="CA162" i="30"/>
  <c r="CB162" i="30"/>
  <c r="CC162" i="30"/>
  <c r="AD163" i="30"/>
  <c r="AE163" i="30"/>
  <c r="AF163" i="30"/>
  <c r="AG163" i="30"/>
  <c r="AH163" i="30"/>
  <c r="AI163" i="30"/>
  <c r="AJ163" i="30"/>
  <c r="AK163" i="30"/>
  <c r="AL163" i="30"/>
  <c r="AM163" i="30"/>
  <c r="AN163" i="30"/>
  <c r="AO163" i="30"/>
  <c r="AP163" i="30"/>
  <c r="AQ163" i="30"/>
  <c r="AR163" i="30"/>
  <c r="AS163" i="30"/>
  <c r="AT163" i="30"/>
  <c r="AU163" i="30"/>
  <c r="AV163" i="30"/>
  <c r="AW163" i="30"/>
  <c r="AX163" i="30"/>
  <c r="AY163" i="30"/>
  <c r="AZ163" i="30"/>
  <c r="BA163" i="30"/>
  <c r="BB163" i="30"/>
  <c r="BC163" i="30"/>
  <c r="BD163" i="30"/>
  <c r="BE163" i="30"/>
  <c r="BF163" i="30"/>
  <c r="BG163" i="30"/>
  <c r="BH163" i="30"/>
  <c r="BI163" i="30"/>
  <c r="BJ163" i="30"/>
  <c r="BK163" i="30"/>
  <c r="BL163" i="30"/>
  <c r="BM163" i="30"/>
  <c r="BN163" i="30"/>
  <c r="BO163" i="30"/>
  <c r="BP163" i="30"/>
  <c r="BQ163" i="30"/>
  <c r="BR163" i="30"/>
  <c r="BS163" i="30"/>
  <c r="BT163" i="30"/>
  <c r="BU163" i="30"/>
  <c r="BV163" i="30"/>
  <c r="BW163" i="30"/>
  <c r="BX163" i="30"/>
  <c r="BY163" i="30"/>
  <c r="BZ163" i="30"/>
  <c r="CA163" i="30"/>
  <c r="CB163" i="30"/>
  <c r="CC163" i="30"/>
  <c r="AD164" i="30"/>
  <c r="AE164" i="30"/>
  <c r="AF164" i="30"/>
  <c r="AG164" i="30"/>
  <c r="AH164" i="30"/>
  <c r="AI164" i="30"/>
  <c r="AJ164" i="30"/>
  <c r="AK164" i="30"/>
  <c r="AL164" i="30"/>
  <c r="AM164" i="30"/>
  <c r="AN164" i="30"/>
  <c r="AO164" i="30"/>
  <c r="AP164" i="30"/>
  <c r="AQ164" i="30"/>
  <c r="AR164" i="30"/>
  <c r="AS164" i="30"/>
  <c r="AT164" i="30"/>
  <c r="AU164" i="30"/>
  <c r="AV164" i="30"/>
  <c r="AW164" i="30"/>
  <c r="AX164" i="30"/>
  <c r="AY164" i="30"/>
  <c r="AZ164" i="30"/>
  <c r="BA164" i="30"/>
  <c r="BB164" i="30"/>
  <c r="BC164" i="30"/>
  <c r="BD164" i="30"/>
  <c r="BE164" i="30"/>
  <c r="BF164" i="30"/>
  <c r="BG164" i="30"/>
  <c r="BH164" i="30"/>
  <c r="BI164" i="30"/>
  <c r="BJ164" i="30"/>
  <c r="BK164" i="30"/>
  <c r="BL164" i="30"/>
  <c r="BM164" i="30"/>
  <c r="BN164" i="30"/>
  <c r="BO164" i="30"/>
  <c r="BP164" i="30"/>
  <c r="BQ164" i="30"/>
  <c r="BR164" i="30"/>
  <c r="BS164" i="30"/>
  <c r="BT164" i="30"/>
  <c r="BU164" i="30"/>
  <c r="BV164" i="30"/>
  <c r="BW164" i="30"/>
  <c r="BX164" i="30"/>
  <c r="BY164" i="30"/>
  <c r="BZ164" i="30"/>
  <c r="CA164" i="30"/>
  <c r="CB164" i="30"/>
  <c r="CC164" i="30"/>
  <c r="AD165" i="30"/>
  <c r="AE165" i="30"/>
  <c r="AF165" i="30"/>
  <c r="AG165" i="30"/>
  <c r="AH165" i="30"/>
  <c r="AI165" i="30"/>
  <c r="AJ165" i="30"/>
  <c r="AK165" i="30"/>
  <c r="AL165" i="30"/>
  <c r="AM165" i="30"/>
  <c r="AN165" i="30"/>
  <c r="AO165" i="30"/>
  <c r="AP165" i="30"/>
  <c r="AQ165" i="30"/>
  <c r="AR165" i="30"/>
  <c r="AS165" i="30"/>
  <c r="AT165" i="30"/>
  <c r="AU165" i="30"/>
  <c r="AV165" i="30"/>
  <c r="AW165" i="30"/>
  <c r="AX165" i="30"/>
  <c r="AY165" i="30"/>
  <c r="AZ165" i="30"/>
  <c r="BA165" i="30"/>
  <c r="BB165" i="30"/>
  <c r="BC165" i="30"/>
  <c r="BD165" i="30"/>
  <c r="BE165" i="30"/>
  <c r="BF165" i="30"/>
  <c r="BG165" i="30"/>
  <c r="BH165" i="30"/>
  <c r="BI165" i="30"/>
  <c r="BJ165" i="30"/>
  <c r="BK165" i="30"/>
  <c r="BL165" i="30"/>
  <c r="BM165" i="30"/>
  <c r="BN165" i="30"/>
  <c r="BO165" i="30"/>
  <c r="BP165" i="30"/>
  <c r="BQ165" i="30"/>
  <c r="BR165" i="30"/>
  <c r="BS165" i="30"/>
  <c r="BT165" i="30"/>
  <c r="BU165" i="30"/>
  <c r="BV165" i="30"/>
  <c r="BW165" i="30"/>
  <c r="BX165" i="30"/>
  <c r="BY165" i="30"/>
  <c r="BZ165" i="30"/>
  <c r="CA165" i="30"/>
  <c r="CB165" i="30"/>
  <c r="CC165" i="30"/>
  <c r="AD166" i="30"/>
  <c r="AE166" i="30"/>
  <c r="AF166" i="30"/>
  <c r="AG166" i="30"/>
  <c r="AH166" i="30"/>
  <c r="AI166" i="30"/>
  <c r="AJ166" i="30"/>
  <c r="AK166" i="30"/>
  <c r="AL166" i="30"/>
  <c r="AM166" i="30"/>
  <c r="AN166" i="30"/>
  <c r="AO166" i="30"/>
  <c r="AP166" i="30"/>
  <c r="AQ166" i="30"/>
  <c r="AR166" i="30"/>
  <c r="AS166" i="30"/>
  <c r="AT166" i="30"/>
  <c r="AU166" i="30"/>
  <c r="AV166" i="30"/>
  <c r="AW166" i="30"/>
  <c r="AX166" i="30"/>
  <c r="AY166" i="30"/>
  <c r="AZ166" i="30"/>
  <c r="BA166" i="30"/>
  <c r="BB166" i="30"/>
  <c r="BC166" i="30"/>
  <c r="BD166" i="30"/>
  <c r="BE166" i="30"/>
  <c r="BF166" i="30"/>
  <c r="BG166" i="30"/>
  <c r="BH166" i="30"/>
  <c r="BI166" i="30"/>
  <c r="BJ166" i="30"/>
  <c r="BK166" i="30"/>
  <c r="BL166" i="30"/>
  <c r="BM166" i="30"/>
  <c r="BN166" i="30"/>
  <c r="BO166" i="30"/>
  <c r="BP166" i="30"/>
  <c r="BQ166" i="30"/>
  <c r="BR166" i="30"/>
  <c r="BS166" i="30"/>
  <c r="BT166" i="30"/>
  <c r="BU166" i="30"/>
  <c r="BV166" i="30"/>
  <c r="BW166" i="30"/>
  <c r="BX166" i="30"/>
  <c r="BY166" i="30"/>
  <c r="BZ166" i="30"/>
  <c r="CA166" i="30"/>
  <c r="CB166" i="30"/>
  <c r="CC166" i="30"/>
  <c r="AD167" i="30"/>
  <c r="AE167" i="30"/>
  <c r="AF167" i="30"/>
  <c r="AG167" i="30"/>
  <c r="AH167" i="30"/>
  <c r="AI167" i="30"/>
  <c r="AJ167" i="30"/>
  <c r="AK167" i="30"/>
  <c r="AL167" i="30"/>
  <c r="AM167" i="30"/>
  <c r="AN167" i="30"/>
  <c r="AO167" i="30"/>
  <c r="AP167" i="30"/>
  <c r="AQ167" i="30"/>
  <c r="AR167" i="30"/>
  <c r="AS167" i="30"/>
  <c r="AT167" i="30"/>
  <c r="AU167" i="30"/>
  <c r="AV167" i="30"/>
  <c r="AW167" i="30"/>
  <c r="AX167" i="30"/>
  <c r="AY167" i="30"/>
  <c r="AZ167" i="30"/>
  <c r="BA167" i="30"/>
  <c r="BB167" i="30"/>
  <c r="BC167" i="30"/>
  <c r="BD167" i="30"/>
  <c r="BE167" i="30"/>
  <c r="BF167" i="30"/>
  <c r="BG167" i="30"/>
  <c r="BH167" i="30"/>
  <c r="BI167" i="30"/>
  <c r="BJ167" i="30"/>
  <c r="BK167" i="30"/>
  <c r="BL167" i="30"/>
  <c r="BM167" i="30"/>
  <c r="BN167" i="30"/>
  <c r="BO167" i="30"/>
  <c r="BP167" i="30"/>
  <c r="BQ167" i="30"/>
  <c r="BR167" i="30"/>
  <c r="BS167" i="30"/>
  <c r="BT167" i="30"/>
  <c r="BU167" i="30"/>
  <c r="BV167" i="30"/>
  <c r="BW167" i="30"/>
  <c r="BX167" i="30"/>
  <c r="BY167" i="30"/>
  <c r="BZ167" i="30"/>
  <c r="CA167" i="30"/>
  <c r="CB167" i="30"/>
  <c r="CC167" i="30"/>
  <c r="AD168" i="30"/>
  <c r="AE168" i="30"/>
  <c r="AF168" i="30"/>
  <c r="AG168" i="30"/>
  <c r="AH168" i="30"/>
  <c r="AI168" i="30"/>
  <c r="AJ168" i="30"/>
  <c r="AK168" i="30"/>
  <c r="AL168" i="30"/>
  <c r="AM168" i="30"/>
  <c r="AN168" i="30"/>
  <c r="AO168" i="30"/>
  <c r="AP168" i="30"/>
  <c r="AQ168" i="30"/>
  <c r="AR168" i="30"/>
  <c r="AS168" i="30"/>
  <c r="AT168" i="30"/>
  <c r="AU168" i="30"/>
  <c r="AV168" i="30"/>
  <c r="AW168" i="30"/>
  <c r="AX168" i="30"/>
  <c r="AY168" i="30"/>
  <c r="AZ168" i="30"/>
  <c r="BA168" i="30"/>
  <c r="BB168" i="30"/>
  <c r="BC168" i="30"/>
  <c r="BD168" i="30"/>
  <c r="BE168" i="30"/>
  <c r="BF168" i="30"/>
  <c r="BG168" i="30"/>
  <c r="BH168" i="30"/>
  <c r="BI168" i="30"/>
  <c r="BJ168" i="30"/>
  <c r="BK168" i="30"/>
  <c r="BL168" i="30"/>
  <c r="BM168" i="30"/>
  <c r="BN168" i="30"/>
  <c r="BO168" i="30"/>
  <c r="BP168" i="30"/>
  <c r="BQ168" i="30"/>
  <c r="BR168" i="30"/>
  <c r="BS168" i="30"/>
  <c r="BT168" i="30"/>
  <c r="BU168" i="30"/>
  <c r="BV168" i="30"/>
  <c r="BW168" i="30"/>
  <c r="BX168" i="30"/>
  <c r="BY168" i="30"/>
  <c r="BZ168" i="30"/>
  <c r="CA168" i="30"/>
  <c r="CB168" i="30"/>
  <c r="CC168" i="30"/>
  <c r="AD169" i="30"/>
  <c r="AE169" i="30"/>
  <c r="AF169" i="30"/>
  <c r="AG169" i="30"/>
  <c r="AH169" i="30"/>
  <c r="AI169" i="30"/>
  <c r="AJ169" i="30"/>
  <c r="AK169" i="30"/>
  <c r="AL169" i="30"/>
  <c r="AM169" i="30"/>
  <c r="AN169" i="30"/>
  <c r="AO169" i="30"/>
  <c r="AP169" i="30"/>
  <c r="AQ169" i="30"/>
  <c r="AR169" i="30"/>
  <c r="AS169" i="30"/>
  <c r="AT169" i="30"/>
  <c r="AU169" i="30"/>
  <c r="AV169" i="30"/>
  <c r="AW169" i="30"/>
  <c r="AX169" i="30"/>
  <c r="AY169" i="30"/>
  <c r="AZ169" i="30"/>
  <c r="BA169" i="30"/>
  <c r="BB169" i="30"/>
  <c r="BC169" i="30"/>
  <c r="BD169" i="30"/>
  <c r="BE169" i="30"/>
  <c r="BF169" i="30"/>
  <c r="BG169" i="30"/>
  <c r="BH169" i="30"/>
  <c r="BI169" i="30"/>
  <c r="BJ169" i="30"/>
  <c r="BK169" i="30"/>
  <c r="BL169" i="30"/>
  <c r="BM169" i="30"/>
  <c r="BN169" i="30"/>
  <c r="BO169" i="30"/>
  <c r="BP169" i="30"/>
  <c r="BQ169" i="30"/>
  <c r="BR169" i="30"/>
  <c r="BS169" i="30"/>
  <c r="BT169" i="30"/>
  <c r="BU169" i="30"/>
  <c r="BV169" i="30"/>
  <c r="BW169" i="30"/>
  <c r="BX169" i="30"/>
  <c r="BY169" i="30"/>
  <c r="BZ169" i="30"/>
  <c r="CA169" i="30"/>
  <c r="CB169" i="30"/>
  <c r="CC169" i="30"/>
  <c r="AD170" i="30"/>
  <c r="AE170" i="30"/>
  <c r="AF170" i="30"/>
  <c r="AG170" i="30"/>
  <c r="AH170" i="30"/>
  <c r="AI170" i="30"/>
  <c r="AJ170" i="30"/>
  <c r="AK170" i="30"/>
  <c r="AL170" i="30"/>
  <c r="AM170" i="30"/>
  <c r="AN170" i="30"/>
  <c r="AO170" i="30"/>
  <c r="AP170" i="30"/>
  <c r="AQ170" i="30"/>
  <c r="AR170" i="30"/>
  <c r="AS170" i="30"/>
  <c r="AT170" i="30"/>
  <c r="AU170" i="30"/>
  <c r="AV170" i="30"/>
  <c r="AW170" i="30"/>
  <c r="AX170" i="30"/>
  <c r="AY170" i="30"/>
  <c r="AZ170" i="30"/>
  <c r="BA170" i="30"/>
  <c r="BB170" i="30"/>
  <c r="BC170" i="30"/>
  <c r="BD170" i="30"/>
  <c r="BE170" i="30"/>
  <c r="BF170" i="30"/>
  <c r="BG170" i="30"/>
  <c r="BH170" i="30"/>
  <c r="BI170" i="30"/>
  <c r="BJ170" i="30"/>
  <c r="BK170" i="30"/>
  <c r="BL170" i="30"/>
  <c r="BM170" i="30"/>
  <c r="BN170" i="30"/>
  <c r="BO170" i="30"/>
  <c r="BP170" i="30"/>
  <c r="BQ170" i="30"/>
  <c r="BR170" i="30"/>
  <c r="BS170" i="30"/>
  <c r="BT170" i="30"/>
  <c r="BU170" i="30"/>
  <c r="BV170" i="30"/>
  <c r="BW170" i="30"/>
  <c r="BX170" i="30"/>
  <c r="BY170" i="30"/>
  <c r="BZ170" i="30"/>
  <c r="CA170" i="30"/>
  <c r="CB170" i="30"/>
  <c r="CC170" i="30"/>
  <c r="AD171" i="30"/>
  <c r="AE171" i="30"/>
  <c r="AF171" i="30"/>
  <c r="AG171" i="30"/>
  <c r="AH171" i="30"/>
  <c r="AI171" i="30"/>
  <c r="AJ171" i="30"/>
  <c r="AK171" i="30"/>
  <c r="AL171" i="30"/>
  <c r="AM171" i="30"/>
  <c r="AN171" i="30"/>
  <c r="AO171" i="30"/>
  <c r="AP171" i="30"/>
  <c r="AQ171" i="30"/>
  <c r="AR171" i="30"/>
  <c r="AS171" i="30"/>
  <c r="AT171" i="30"/>
  <c r="AU171" i="30"/>
  <c r="AV171" i="30"/>
  <c r="AW171" i="30"/>
  <c r="AX171" i="30"/>
  <c r="AY171" i="30"/>
  <c r="AZ171" i="30"/>
  <c r="BA171" i="30"/>
  <c r="BB171" i="30"/>
  <c r="BC171" i="30"/>
  <c r="BD171" i="30"/>
  <c r="BE171" i="30"/>
  <c r="BF171" i="30"/>
  <c r="BG171" i="30"/>
  <c r="BH171" i="30"/>
  <c r="BI171" i="30"/>
  <c r="BJ171" i="30"/>
  <c r="BK171" i="30"/>
  <c r="BL171" i="30"/>
  <c r="BM171" i="30"/>
  <c r="BN171" i="30"/>
  <c r="BO171" i="30"/>
  <c r="BP171" i="30"/>
  <c r="BQ171" i="30"/>
  <c r="BR171" i="30"/>
  <c r="BS171" i="30"/>
  <c r="BT171" i="30"/>
  <c r="BU171" i="30"/>
  <c r="BV171" i="30"/>
  <c r="BW171" i="30"/>
  <c r="BX171" i="30"/>
  <c r="BY171" i="30"/>
  <c r="BZ171" i="30"/>
  <c r="CA171" i="30"/>
  <c r="CB171" i="30"/>
  <c r="CC171" i="30"/>
  <c r="AD172" i="30"/>
  <c r="AE172" i="30"/>
  <c r="AF172" i="30"/>
  <c r="AG172" i="30"/>
  <c r="AH172" i="30"/>
  <c r="AI172" i="30"/>
  <c r="AJ172" i="30"/>
  <c r="AK172" i="30"/>
  <c r="AL172" i="30"/>
  <c r="AM172" i="30"/>
  <c r="AN172" i="30"/>
  <c r="AO172" i="30"/>
  <c r="AP172" i="30"/>
  <c r="AQ172" i="30"/>
  <c r="AR172" i="30"/>
  <c r="AS172" i="30"/>
  <c r="AT172" i="30"/>
  <c r="AU172" i="30"/>
  <c r="AV172" i="30"/>
  <c r="AW172" i="30"/>
  <c r="AX172" i="30"/>
  <c r="AY172" i="30"/>
  <c r="AZ172" i="30"/>
  <c r="BA172" i="30"/>
  <c r="BB172" i="30"/>
  <c r="BC172" i="30"/>
  <c r="BD172" i="30"/>
  <c r="BE172" i="30"/>
  <c r="BF172" i="30"/>
  <c r="BG172" i="30"/>
  <c r="BH172" i="30"/>
  <c r="BI172" i="30"/>
  <c r="BJ172" i="30"/>
  <c r="BK172" i="30"/>
  <c r="BL172" i="30"/>
  <c r="BM172" i="30"/>
  <c r="BN172" i="30"/>
  <c r="BO172" i="30"/>
  <c r="BP172" i="30"/>
  <c r="BQ172" i="30"/>
  <c r="BR172" i="30"/>
  <c r="BS172" i="30"/>
  <c r="BT172" i="30"/>
  <c r="BU172" i="30"/>
  <c r="BV172" i="30"/>
  <c r="BW172" i="30"/>
  <c r="BX172" i="30"/>
  <c r="BY172" i="30"/>
  <c r="BZ172" i="30"/>
  <c r="CA172" i="30"/>
  <c r="CB172" i="30"/>
  <c r="CC172" i="30"/>
  <c r="AD173" i="30"/>
  <c r="AE173" i="30"/>
  <c r="AF173" i="30"/>
  <c r="AG173" i="30"/>
  <c r="AH173" i="30"/>
  <c r="AI173" i="30"/>
  <c r="AJ173" i="30"/>
  <c r="AK173" i="30"/>
  <c r="AL173" i="30"/>
  <c r="AM173" i="30"/>
  <c r="AN173" i="30"/>
  <c r="AO173" i="30"/>
  <c r="AP173" i="30"/>
  <c r="AQ173" i="30"/>
  <c r="AR173" i="30"/>
  <c r="AS173" i="30"/>
  <c r="AT173" i="30"/>
  <c r="AU173" i="30"/>
  <c r="AV173" i="30"/>
  <c r="AW173" i="30"/>
  <c r="AX173" i="30"/>
  <c r="AY173" i="30"/>
  <c r="AZ173" i="30"/>
  <c r="BA173" i="30"/>
  <c r="BB173" i="30"/>
  <c r="BC173" i="30"/>
  <c r="BD173" i="30"/>
  <c r="BE173" i="30"/>
  <c r="BF173" i="30"/>
  <c r="BG173" i="30"/>
  <c r="BH173" i="30"/>
  <c r="BI173" i="30"/>
  <c r="BJ173" i="30"/>
  <c r="BK173" i="30"/>
  <c r="BL173" i="30"/>
  <c r="BM173" i="30"/>
  <c r="BN173" i="30"/>
  <c r="BO173" i="30"/>
  <c r="BP173" i="30"/>
  <c r="BQ173" i="30"/>
  <c r="BR173" i="30"/>
  <c r="BS173" i="30"/>
  <c r="BT173" i="30"/>
  <c r="BU173" i="30"/>
  <c r="BV173" i="30"/>
  <c r="BW173" i="30"/>
  <c r="BX173" i="30"/>
  <c r="BY173" i="30"/>
  <c r="BZ173" i="30"/>
  <c r="CA173" i="30"/>
  <c r="CB173" i="30"/>
  <c r="CC173" i="30"/>
  <c r="AD174" i="30"/>
  <c r="AE174" i="30"/>
  <c r="AF174" i="30"/>
  <c r="AG174" i="30"/>
  <c r="AH174" i="30"/>
  <c r="AI174" i="30"/>
  <c r="AJ174" i="30"/>
  <c r="AK174" i="30"/>
  <c r="AL174" i="30"/>
  <c r="AM174" i="30"/>
  <c r="AN174" i="30"/>
  <c r="AO174" i="30"/>
  <c r="AP174" i="30"/>
  <c r="AQ174" i="30"/>
  <c r="AR174" i="30"/>
  <c r="AS174" i="30"/>
  <c r="AT174" i="30"/>
  <c r="AU174" i="30"/>
  <c r="AV174" i="30"/>
  <c r="AW174" i="30"/>
  <c r="AX174" i="30"/>
  <c r="AY174" i="30"/>
  <c r="AZ174" i="30"/>
  <c r="BA174" i="30"/>
  <c r="BB174" i="30"/>
  <c r="BC174" i="30"/>
  <c r="BD174" i="30"/>
  <c r="BE174" i="30"/>
  <c r="BF174" i="30"/>
  <c r="BG174" i="30"/>
  <c r="BH174" i="30"/>
  <c r="BI174" i="30"/>
  <c r="BJ174" i="30"/>
  <c r="BK174" i="30"/>
  <c r="BL174" i="30"/>
  <c r="BM174" i="30"/>
  <c r="BN174" i="30"/>
  <c r="BO174" i="30"/>
  <c r="BP174" i="30"/>
  <c r="BQ174" i="30"/>
  <c r="BR174" i="30"/>
  <c r="BS174" i="30"/>
  <c r="BT174" i="30"/>
  <c r="BU174" i="30"/>
  <c r="BV174" i="30"/>
  <c r="BW174" i="30"/>
  <c r="BX174" i="30"/>
  <c r="BY174" i="30"/>
  <c r="BZ174" i="30"/>
  <c r="CA174" i="30"/>
  <c r="CB174" i="30"/>
  <c r="CC174" i="30"/>
  <c r="AD175" i="30"/>
  <c r="AE175" i="30"/>
  <c r="AF175" i="30"/>
  <c r="AG175" i="30"/>
  <c r="AH175" i="30"/>
  <c r="AI175" i="30"/>
  <c r="AJ175" i="30"/>
  <c r="AK175" i="30"/>
  <c r="AL175" i="30"/>
  <c r="AM175" i="30"/>
  <c r="AN175" i="30"/>
  <c r="AO175" i="30"/>
  <c r="AP175" i="30"/>
  <c r="AQ175" i="30"/>
  <c r="AR175" i="30"/>
  <c r="AS175" i="30"/>
  <c r="AT175" i="30"/>
  <c r="AU175" i="30"/>
  <c r="AV175" i="30"/>
  <c r="AW175" i="30"/>
  <c r="AX175" i="30"/>
  <c r="AY175" i="30"/>
  <c r="AZ175" i="30"/>
  <c r="BA175" i="30"/>
  <c r="BB175" i="30"/>
  <c r="BC175" i="30"/>
  <c r="BD175" i="30"/>
  <c r="BE175" i="30"/>
  <c r="BF175" i="30"/>
  <c r="BG175" i="30"/>
  <c r="BH175" i="30"/>
  <c r="BI175" i="30"/>
  <c r="BJ175" i="30"/>
  <c r="BK175" i="30"/>
  <c r="BL175" i="30"/>
  <c r="BM175" i="30"/>
  <c r="BN175" i="30"/>
  <c r="BO175" i="30"/>
  <c r="BP175" i="30"/>
  <c r="BQ175" i="30"/>
  <c r="BR175" i="30"/>
  <c r="BS175" i="30"/>
  <c r="BT175" i="30"/>
  <c r="BU175" i="30"/>
  <c r="BV175" i="30"/>
  <c r="BW175" i="30"/>
  <c r="BX175" i="30"/>
  <c r="BY175" i="30"/>
  <c r="BZ175" i="30"/>
  <c r="CA175" i="30"/>
  <c r="CB175" i="30"/>
  <c r="CC175" i="30"/>
  <c r="AD176" i="30"/>
  <c r="AE176" i="30"/>
  <c r="AF176" i="30"/>
  <c r="AG176" i="30"/>
  <c r="AH176" i="30"/>
  <c r="AI176" i="30"/>
  <c r="AJ176" i="30"/>
  <c r="AK176" i="30"/>
  <c r="AL176" i="30"/>
  <c r="AM176" i="30"/>
  <c r="AN176" i="30"/>
  <c r="AO176" i="30"/>
  <c r="AP176" i="30"/>
  <c r="AQ176" i="30"/>
  <c r="AR176" i="30"/>
  <c r="AS176" i="30"/>
  <c r="AT176" i="30"/>
  <c r="AU176" i="30"/>
  <c r="AV176" i="30"/>
  <c r="AW176" i="30"/>
  <c r="AX176" i="30"/>
  <c r="AY176" i="30"/>
  <c r="AZ176" i="30"/>
  <c r="BA176" i="30"/>
  <c r="BB176" i="30"/>
  <c r="BC176" i="30"/>
  <c r="BD176" i="30"/>
  <c r="BE176" i="30"/>
  <c r="BF176" i="30"/>
  <c r="BG176" i="30"/>
  <c r="BH176" i="30"/>
  <c r="BI176" i="30"/>
  <c r="BJ176" i="30"/>
  <c r="BK176" i="30"/>
  <c r="BL176" i="30"/>
  <c r="BM176" i="30"/>
  <c r="BN176" i="30"/>
  <c r="BO176" i="30"/>
  <c r="BP176" i="30"/>
  <c r="BQ176" i="30"/>
  <c r="BR176" i="30"/>
  <c r="BS176" i="30"/>
  <c r="BT176" i="30"/>
  <c r="BU176" i="30"/>
  <c r="BV176" i="30"/>
  <c r="BW176" i="30"/>
  <c r="BX176" i="30"/>
  <c r="BY176" i="30"/>
  <c r="BZ176" i="30"/>
  <c r="CA176" i="30"/>
  <c r="CB176" i="30"/>
  <c r="CC176" i="30"/>
  <c r="AD177" i="30"/>
  <c r="AE177" i="30"/>
  <c r="AF177" i="30"/>
  <c r="AG177" i="30"/>
  <c r="AH177" i="30"/>
  <c r="AI177" i="30"/>
  <c r="AJ177" i="30"/>
  <c r="AK177" i="30"/>
  <c r="AL177" i="30"/>
  <c r="AM177" i="30"/>
  <c r="AN177" i="30"/>
  <c r="AO177" i="30"/>
  <c r="AP177" i="30"/>
  <c r="AQ177" i="30"/>
  <c r="AR177" i="30"/>
  <c r="AS177" i="30"/>
  <c r="AT177" i="30"/>
  <c r="AU177" i="30"/>
  <c r="AV177" i="30"/>
  <c r="AW177" i="30"/>
  <c r="AX177" i="30"/>
  <c r="AY177" i="30"/>
  <c r="AZ177" i="30"/>
  <c r="BA177" i="30"/>
  <c r="BB177" i="30"/>
  <c r="BC177" i="30"/>
  <c r="BD177" i="30"/>
  <c r="BE177" i="30"/>
  <c r="BF177" i="30"/>
  <c r="BG177" i="30"/>
  <c r="BH177" i="30"/>
  <c r="BI177" i="30"/>
  <c r="BJ177" i="30"/>
  <c r="BK177" i="30"/>
  <c r="BL177" i="30"/>
  <c r="BM177" i="30"/>
  <c r="BN177" i="30"/>
  <c r="BO177" i="30"/>
  <c r="BP177" i="30"/>
  <c r="BQ177" i="30"/>
  <c r="BR177" i="30"/>
  <c r="BS177" i="30"/>
  <c r="BT177" i="30"/>
  <c r="BU177" i="30"/>
  <c r="BV177" i="30"/>
  <c r="BW177" i="30"/>
  <c r="BX177" i="30"/>
  <c r="BY177" i="30"/>
  <c r="BZ177" i="30"/>
  <c r="CA177" i="30"/>
  <c r="CB177" i="30"/>
  <c r="CC177" i="30"/>
  <c r="AD178" i="30"/>
  <c r="AE178" i="30"/>
  <c r="AF178" i="30"/>
  <c r="AG178" i="30"/>
  <c r="AH178" i="30"/>
  <c r="AI178" i="30"/>
  <c r="AJ178" i="30"/>
  <c r="AK178" i="30"/>
  <c r="AL178" i="30"/>
  <c r="AM178" i="30"/>
  <c r="AN178" i="30"/>
  <c r="AO178" i="30"/>
  <c r="AP178" i="30"/>
  <c r="AQ178" i="30"/>
  <c r="AR178" i="30"/>
  <c r="AS178" i="30"/>
  <c r="AT178" i="30"/>
  <c r="AU178" i="30"/>
  <c r="AV178" i="30"/>
  <c r="AW178" i="30"/>
  <c r="AX178" i="30"/>
  <c r="AY178" i="30"/>
  <c r="AZ178" i="30"/>
  <c r="BA178" i="30"/>
  <c r="BB178" i="30"/>
  <c r="BC178" i="30"/>
  <c r="BD178" i="30"/>
  <c r="BE178" i="30"/>
  <c r="BF178" i="30"/>
  <c r="BG178" i="30"/>
  <c r="BH178" i="30"/>
  <c r="BI178" i="30"/>
  <c r="BJ178" i="30"/>
  <c r="BK178" i="30"/>
  <c r="BL178" i="30"/>
  <c r="BM178" i="30"/>
  <c r="BN178" i="30"/>
  <c r="BO178" i="30"/>
  <c r="BP178" i="30"/>
  <c r="BQ178" i="30"/>
  <c r="BR178" i="30"/>
  <c r="BS178" i="30"/>
  <c r="BT178" i="30"/>
  <c r="BU178" i="30"/>
  <c r="BV178" i="30"/>
  <c r="BW178" i="30"/>
  <c r="BX178" i="30"/>
  <c r="BY178" i="30"/>
  <c r="BZ178" i="30"/>
  <c r="CA178" i="30"/>
  <c r="CB178" i="30"/>
  <c r="CC178" i="30"/>
  <c r="AD179" i="30"/>
  <c r="AE179" i="30"/>
  <c r="AF179" i="30"/>
  <c r="AG179" i="30"/>
  <c r="AH179" i="30"/>
  <c r="AI179" i="30"/>
  <c r="AJ179" i="30"/>
  <c r="AK179" i="30"/>
  <c r="AL179" i="30"/>
  <c r="AM179" i="30"/>
  <c r="AN179" i="30"/>
  <c r="AO179" i="30"/>
  <c r="AP179" i="30"/>
  <c r="AQ179" i="30"/>
  <c r="AR179" i="30"/>
  <c r="AS179" i="30"/>
  <c r="AT179" i="30"/>
  <c r="AU179" i="30"/>
  <c r="AV179" i="30"/>
  <c r="AW179" i="30"/>
  <c r="AX179" i="30"/>
  <c r="AY179" i="30"/>
  <c r="AZ179" i="30"/>
  <c r="BA179" i="30"/>
  <c r="BB179" i="30"/>
  <c r="BC179" i="30"/>
  <c r="BD179" i="30"/>
  <c r="BE179" i="30"/>
  <c r="BF179" i="30"/>
  <c r="BG179" i="30"/>
  <c r="BH179" i="30"/>
  <c r="BI179" i="30"/>
  <c r="BJ179" i="30"/>
  <c r="BK179" i="30"/>
  <c r="BL179" i="30"/>
  <c r="BM179" i="30"/>
  <c r="BN179" i="30"/>
  <c r="BO179" i="30"/>
  <c r="BP179" i="30"/>
  <c r="BQ179" i="30"/>
  <c r="BR179" i="30"/>
  <c r="BS179" i="30"/>
  <c r="BT179" i="30"/>
  <c r="BU179" i="30"/>
  <c r="BV179" i="30"/>
  <c r="BW179" i="30"/>
  <c r="BX179" i="30"/>
  <c r="BY179" i="30"/>
  <c r="BZ179" i="30"/>
  <c r="CA179" i="30"/>
  <c r="CB179" i="30"/>
  <c r="CC179" i="30"/>
  <c r="AD180" i="30"/>
  <c r="AE180" i="30"/>
  <c r="AF180" i="30"/>
  <c r="AG180" i="30"/>
  <c r="AH180" i="30"/>
  <c r="AI180" i="30"/>
  <c r="AJ180" i="30"/>
  <c r="AK180" i="30"/>
  <c r="AL180" i="30"/>
  <c r="AM180" i="30"/>
  <c r="AN180" i="30"/>
  <c r="AO180" i="30"/>
  <c r="AP180" i="30"/>
  <c r="AQ180" i="30"/>
  <c r="AR180" i="30"/>
  <c r="AS180" i="30"/>
  <c r="AT180" i="30"/>
  <c r="AU180" i="30"/>
  <c r="AV180" i="30"/>
  <c r="AW180" i="30"/>
  <c r="AX180" i="30"/>
  <c r="AY180" i="30"/>
  <c r="AZ180" i="30"/>
  <c r="BA180" i="30"/>
  <c r="BB180" i="30"/>
  <c r="BC180" i="30"/>
  <c r="BD180" i="30"/>
  <c r="BE180" i="30"/>
  <c r="BF180" i="30"/>
  <c r="BG180" i="30"/>
  <c r="BH180" i="30"/>
  <c r="BI180" i="30"/>
  <c r="BJ180" i="30"/>
  <c r="BK180" i="30"/>
  <c r="BL180" i="30"/>
  <c r="BM180" i="30"/>
  <c r="BN180" i="30"/>
  <c r="BO180" i="30"/>
  <c r="BP180" i="30"/>
  <c r="BQ180" i="30"/>
  <c r="BR180" i="30"/>
  <c r="BS180" i="30"/>
  <c r="BT180" i="30"/>
  <c r="BU180" i="30"/>
  <c r="BV180" i="30"/>
  <c r="BW180" i="30"/>
  <c r="BX180" i="30"/>
  <c r="BY180" i="30"/>
  <c r="BZ180" i="30"/>
  <c r="CA180" i="30"/>
  <c r="CB180" i="30"/>
  <c r="CC180" i="30"/>
  <c r="AD181" i="30"/>
  <c r="AE181" i="30"/>
  <c r="AF181" i="30"/>
  <c r="AG181" i="30"/>
  <c r="AH181" i="30"/>
  <c r="AI181" i="30"/>
  <c r="AJ181" i="30"/>
  <c r="AK181" i="30"/>
  <c r="AL181" i="30"/>
  <c r="AM181" i="30"/>
  <c r="AN181" i="30"/>
  <c r="AO181" i="30"/>
  <c r="AP181" i="30"/>
  <c r="AQ181" i="30"/>
  <c r="AR181" i="30"/>
  <c r="AS181" i="30"/>
  <c r="AT181" i="30"/>
  <c r="AU181" i="30"/>
  <c r="AV181" i="30"/>
  <c r="AW181" i="30"/>
  <c r="AX181" i="30"/>
  <c r="AY181" i="30"/>
  <c r="AZ181" i="30"/>
  <c r="BA181" i="30"/>
  <c r="BB181" i="30"/>
  <c r="BC181" i="30"/>
  <c r="BD181" i="30"/>
  <c r="BE181" i="30"/>
  <c r="BF181" i="30"/>
  <c r="BG181" i="30"/>
  <c r="BH181" i="30"/>
  <c r="BI181" i="30"/>
  <c r="BJ181" i="30"/>
  <c r="BK181" i="30"/>
  <c r="BL181" i="30"/>
  <c r="BM181" i="30"/>
  <c r="BN181" i="30"/>
  <c r="BO181" i="30"/>
  <c r="BP181" i="30"/>
  <c r="BQ181" i="30"/>
  <c r="BR181" i="30"/>
  <c r="BS181" i="30"/>
  <c r="BT181" i="30"/>
  <c r="BU181" i="30"/>
  <c r="BV181" i="30"/>
  <c r="BW181" i="30"/>
  <c r="BX181" i="30"/>
  <c r="BY181" i="30"/>
  <c r="BZ181" i="30"/>
  <c r="CA181" i="30"/>
  <c r="CB181" i="30"/>
  <c r="CC181" i="30"/>
  <c r="AD182" i="30"/>
  <c r="AE182" i="30"/>
  <c r="AF182" i="30"/>
  <c r="AG182" i="30"/>
  <c r="AH182" i="30"/>
  <c r="AI182" i="30"/>
  <c r="AJ182" i="30"/>
  <c r="AK182" i="30"/>
  <c r="AL182" i="30"/>
  <c r="AM182" i="30"/>
  <c r="AN182" i="30"/>
  <c r="AO182" i="30"/>
  <c r="AP182" i="30"/>
  <c r="AQ182" i="30"/>
  <c r="AR182" i="30"/>
  <c r="AS182" i="30"/>
  <c r="AT182" i="30"/>
  <c r="AU182" i="30"/>
  <c r="AV182" i="30"/>
  <c r="AW182" i="30"/>
  <c r="AX182" i="30"/>
  <c r="AY182" i="30"/>
  <c r="AZ182" i="30"/>
  <c r="BA182" i="30"/>
  <c r="BB182" i="30"/>
  <c r="BC182" i="30"/>
  <c r="BD182" i="30"/>
  <c r="BE182" i="30"/>
  <c r="BF182" i="30"/>
  <c r="BG182" i="30"/>
  <c r="BH182" i="30"/>
  <c r="BI182" i="30"/>
  <c r="BJ182" i="30"/>
  <c r="BK182" i="30"/>
  <c r="BL182" i="30"/>
  <c r="BM182" i="30"/>
  <c r="BN182" i="30"/>
  <c r="BO182" i="30"/>
  <c r="BP182" i="30"/>
  <c r="BQ182" i="30"/>
  <c r="BR182" i="30"/>
  <c r="BS182" i="30"/>
  <c r="BT182" i="30"/>
  <c r="BU182" i="30"/>
  <c r="BV182" i="30"/>
  <c r="BW182" i="30"/>
  <c r="BX182" i="30"/>
  <c r="BY182" i="30"/>
  <c r="BZ182" i="30"/>
  <c r="CA182" i="30"/>
  <c r="CB182" i="30"/>
  <c r="CC182" i="30"/>
  <c r="AD183" i="30"/>
  <c r="AE183" i="30"/>
  <c r="AF183" i="30"/>
  <c r="AG183" i="30"/>
  <c r="AH183" i="30"/>
  <c r="AI183" i="30"/>
  <c r="AJ183" i="30"/>
  <c r="AK183" i="30"/>
  <c r="AL183" i="30"/>
  <c r="AM183" i="30"/>
  <c r="AN183" i="30"/>
  <c r="AO183" i="30"/>
  <c r="AP183" i="30"/>
  <c r="AQ183" i="30"/>
  <c r="AR183" i="30"/>
  <c r="AS183" i="30"/>
  <c r="AT183" i="30"/>
  <c r="AU183" i="30"/>
  <c r="AV183" i="30"/>
  <c r="AW183" i="30"/>
  <c r="AX183" i="30"/>
  <c r="AY183" i="30"/>
  <c r="AZ183" i="30"/>
  <c r="BA183" i="30"/>
  <c r="BB183" i="30"/>
  <c r="BC183" i="30"/>
  <c r="BD183" i="30"/>
  <c r="BE183" i="30"/>
  <c r="BF183" i="30"/>
  <c r="BG183" i="30"/>
  <c r="BH183" i="30"/>
  <c r="BI183" i="30"/>
  <c r="BJ183" i="30"/>
  <c r="BK183" i="30"/>
  <c r="BL183" i="30"/>
  <c r="BM183" i="30"/>
  <c r="BN183" i="30"/>
  <c r="BO183" i="30"/>
  <c r="BP183" i="30"/>
  <c r="BQ183" i="30"/>
  <c r="BR183" i="30"/>
  <c r="BS183" i="30"/>
  <c r="BT183" i="30"/>
  <c r="BU183" i="30"/>
  <c r="BV183" i="30"/>
  <c r="BW183" i="30"/>
  <c r="BX183" i="30"/>
  <c r="BY183" i="30"/>
  <c r="BZ183" i="30"/>
  <c r="CA183" i="30"/>
  <c r="CB183" i="30"/>
  <c r="CC183" i="30"/>
  <c r="AD184" i="30"/>
  <c r="AE184" i="30"/>
  <c r="AF184" i="30"/>
  <c r="AG184" i="30"/>
  <c r="AH184" i="30"/>
  <c r="AI184" i="30"/>
  <c r="AJ184" i="30"/>
  <c r="AK184" i="30"/>
  <c r="AL184" i="30"/>
  <c r="AM184" i="30"/>
  <c r="AN184" i="30"/>
  <c r="AO184" i="30"/>
  <c r="AP184" i="30"/>
  <c r="AQ184" i="30"/>
  <c r="AR184" i="30"/>
  <c r="AS184" i="30"/>
  <c r="AT184" i="30"/>
  <c r="AU184" i="30"/>
  <c r="AV184" i="30"/>
  <c r="AW184" i="30"/>
  <c r="AX184" i="30"/>
  <c r="AY184" i="30"/>
  <c r="AZ184" i="30"/>
  <c r="BA184" i="30"/>
  <c r="BB184" i="30"/>
  <c r="BC184" i="30"/>
  <c r="BD184" i="30"/>
  <c r="BE184" i="30"/>
  <c r="BF184" i="30"/>
  <c r="BG184" i="30"/>
  <c r="BH184" i="30"/>
  <c r="BI184" i="30"/>
  <c r="BJ184" i="30"/>
  <c r="BK184" i="30"/>
  <c r="BL184" i="30"/>
  <c r="BM184" i="30"/>
  <c r="BN184" i="30"/>
  <c r="BO184" i="30"/>
  <c r="BP184" i="30"/>
  <c r="BQ184" i="30"/>
  <c r="BR184" i="30"/>
  <c r="BS184" i="30"/>
  <c r="BT184" i="30"/>
  <c r="BU184" i="30"/>
  <c r="BV184" i="30"/>
  <c r="BW184" i="30"/>
  <c r="BX184" i="30"/>
  <c r="BY184" i="30"/>
  <c r="BZ184" i="30"/>
  <c r="CA184" i="30"/>
  <c r="CB184" i="30"/>
  <c r="CC184" i="30"/>
  <c r="AD185" i="30"/>
  <c r="AE185" i="30"/>
  <c r="AF185" i="30"/>
  <c r="AG185" i="30"/>
  <c r="AH185" i="30"/>
  <c r="AI185" i="30"/>
  <c r="AJ185" i="30"/>
  <c r="AK185" i="30"/>
  <c r="AL185" i="30"/>
  <c r="AM185" i="30"/>
  <c r="AN185" i="30"/>
  <c r="AO185" i="30"/>
  <c r="AP185" i="30"/>
  <c r="AQ185" i="30"/>
  <c r="AR185" i="30"/>
  <c r="AS185" i="30"/>
  <c r="AT185" i="30"/>
  <c r="AU185" i="30"/>
  <c r="AV185" i="30"/>
  <c r="AW185" i="30"/>
  <c r="AX185" i="30"/>
  <c r="AY185" i="30"/>
  <c r="AZ185" i="30"/>
  <c r="BA185" i="30"/>
  <c r="BB185" i="30"/>
  <c r="BC185" i="30"/>
  <c r="BD185" i="30"/>
  <c r="BE185" i="30"/>
  <c r="BF185" i="30"/>
  <c r="BG185" i="30"/>
  <c r="BH185" i="30"/>
  <c r="BI185" i="30"/>
  <c r="BJ185" i="30"/>
  <c r="BK185" i="30"/>
  <c r="BL185" i="30"/>
  <c r="BM185" i="30"/>
  <c r="BN185" i="30"/>
  <c r="BO185" i="30"/>
  <c r="BP185" i="30"/>
  <c r="BQ185" i="30"/>
  <c r="BR185" i="30"/>
  <c r="BS185" i="30"/>
  <c r="BT185" i="30"/>
  <c r="BU185" i="30"/>
  <c r="BV185" i="30"/>
  <c r="BW185" i="30"/>
  <c r="BX185" i="30"/>
  <c r="BY185" i="30"/>
  <c r="BZ185" i="30"/>
  <c r="CA185" i="30"/>
  <c r="CB185" i="30"/>
  <c r="CC185" i="30"/>
  <c r="AD186" i="30"/>
  <c r="AE186" i="30"/>
  <c r="AF186" i="30"/>
  <c r="AG186" i="30"/>
  <c r="AH186" i="30"/>
  <c r="AI186" i="30"/>
  <c r="AJ186" i="30"/>
  <c r="AK186" i="30"/>
  <c r="AL186" i="30"/>
  <c r="AM186" i="30"/>
  <c r="AN186" i="30"/>
  <c r="AO186" i="30"/>
  <c r="AP186" i="30"/>
  <c r="AQ186" i="30"/>
  <c r="AR186" i="30"/>
  <c r="AS186" i="30"/>
  <c r="AT186" i="30"/>
  <c r="AU186" i="30"/>
  <c r="AV186" i="30"/>
  <c r="AW186" i="30"/>
  <c r="AX186" i="30"/>
  <c r="AY186" i="30"/>
  <c r="AZ186" i="30"/>
  <c r="BA186" i="30"/>
  <c r="BB186" i="30"/>
  <c r="BC186" i="30"/>
  <c r="BD186" i="30"/>
  <c r="BE186" i="30"/>
  <c r="BF186" i="30"/>
  <c r="BG186" i="30"/>
  <c r="BH186" i="30"/>
  <c r="BI186" i="30"/>
  <c r="BJ186" i="30"/>
  <c r="BK186" i="30"/>
  <c r="BL186" i="30"/>
  <c r="BM186" i="30"/>
  <c r="BN186" i="30"/>
  <c r="BO186" i="30"/>
  <c r="BP186" i="30"/>
  <c r="BQ186" i="30"/>
  <c r="BR186" i="30"/>
  <c r="BS186" i="30"/>
  <c r="BT186" i="30"/>
  <c r="BU186" i="30"/>
  <c r="BV186" i="30"/>
  <c r="BW186" i="30"/>
  <c r="BX186" i="30"/>
  <c r="BY186" i="30"/>
  <c r="BZ186" i="30"/>
  <c r="CA186" i="30"/>
  <c r="CB186" i="30"/>
  <c r="CC186" i="30"/>
  <c r="AD187" i="30"/>
  <c r="AE187" i="30"/>
  <c r="AF187" i="30"/>
  <c r="AG187" i="30"/>
  <c r="AH187" i="30"/>
  <c r="AI187" i="30"/>
  <c r="AJ187" i="30"/>
  <c r="AK187" i="30"/>
  <c r="AL187" i="30"/>
  <c r="AM187" i="30"/>
  <c r="AN187" i="30"/>
  <c r="AO187" i="30"/>
  <c r="AP187" i="30"/>
  <c r="AQ187" i="30"/>
  <c r="AR187" i="30"/>
  <c r="AS187" i="30"/>
  <c r="AT187" i="30"/>
  <c r="AU187" i="30"/>
  <c r="AV187" i="30"/>
  <c r="AW187" i="30"/>
  <c r="AX187" i="30"/>
  <c r="AY187" i="30"/>
  <c r="AZ187" i="30"/>
  <c r="BA187" i="30"/>
  <c r="BB187" i="30"/>
  <c r="BC187" i="30"/>
  <c r="BD187" i="30"/>
  <c r="BE187" i="30"/>
  <c r="BF187" i="30"/>
  <c r="BG187" i="30"/>
  <c r="BH187" i="30"/>
  <c r="BI187" i="30"/>
  <c r="BJ187" i="30"/>
  <c r="BK187" i="30"/>
  <c r="BL187" i="30"/>
  <c r="BM187" i="30"/>
  <c r="BN187" i="30"/>
  <c r="BO187" i="30"/>
  <c r="BP187" i="30"/>
  <c r="BQ187" i="30"/>
  <c r="BR187" i="30"/>
  <c r="BS187" i="30"/>
  <c r="BT187" i="30"/>
  <c r="BU187" i="30"/>
  <c r="BV187" i="30"/>
  <c r="BW187" i="30"/>
  <c r="BX187" i="30"/>
  <c r="BY187" i="30"/>
  <c r="BZ187" i="30"/>
  <c r="CA187" i="30"/>
  <c r="CB187" i="30"/>
  <c r="CC187" i="30"/>
  <c r="AD188" i="30"/>
  <c r="AE188" i="30"/>
  <c r="AF188" i="30"/>
  <c r="AG188" i="30"/>
  <c r="AH188" i="30"/>
  <c r="AI188" i="30"/>
  <c r="AJ188" i="30"/>
  <c r="AK188" i="30"/>
  <c r="AL188" i="30"/>
  <c r="AM188" i="30"/>
  <c r="AN188" i="30"/>
  <c r="AO188" i="30"/>
  <c r="AP188" i="30"/>
  <c r="AQ188" i="30"/>
  <c r="AR188" i="30"/>
  <c r="AS188" i="30"/>
  <c r="AT188" i="30"/>
  <c r="AU188" i="30"/>
  <c r="AV188" i="30"/>
  <c r="AW188" i="30"/>
  <c r="AX188" i="30"/>
  <c r="AY188" i="30"/>
  <c r="AZ188" i="30"/>
  <c r="BA188" i="30"/>
  <c r="BB188" i="30"/>
  <c r="BC188" i="30"/>
  <c r="BD188" i="30"/>
  <c r="BE188" i="30"/>
  <c r="BF188" i="30"/>
  <c r="BG188" i="30"/>
  <c r="BH188" i="30"/>
  <c r="BI188" i="30"/>
  <c r="BJ188" i="30"/>
  <c r="BK188" i="30"/>
  <c r="BL188" i="30"/>
  <c r="BM188" i="30"/>
  <c r="BN188" i="30"/>
  <c r="BO188" i="30"/>
  <c r="BP188" i="30"/>
  <c r="BQ188" i="30"/>
  <c r="BR188" i="30"/>
  <c r="BS188" i="30"/>
  <c r="BT188" i="30"/>
  <c r="BU188" i="30"/>
  <c r="BV188" i="30"/>
  <c r="BW188" i="30"/>
  <c r="BX188" i="30"/>
  <c r="BY188" i="30"/>
  <c r="BZ188" i="30"/>
  <c r="CA188" i="30"/>
  <c r="CB188" i="30"/>
  <c r="CC188" i="30"/>
  <c r="AD189" i="30"/>
  <c r="AE189" i="30"/>
  <c r="AF189" i="30"/>
  <c r="AG189" i="30"/>
  <c r="AH189" i="30"/>
  <c r="AI189" i="30"/>
  <c r="AJ189" i="30"/>
  <c r="AK189" i="30"/>
  <c r="AL189" i="30"/>
  <c r="AM189" i="30"/>
  <c r="AN189" i="30"/>
  <c r="AO189" i="30"/>
  <c r="AP189" i="30"/>
  <c r="AQ189" i="30"/>
  <c r="AR189" i="30"/>
  <c r="AS189" i="30"/>
  <c r="AT189" i="30"/>
  <c r="AU189" i="30"/>
  <c r="AV189" i="30"/>
  <c r="AW189" i="30"/>
  <c r="AX189" i="30"/>
  <c r="AY189" i="30"/>
  <c r="AZ189" i="30"/>
  <c r="BA189" i="30"/>
  <c r="BB189" i="30"/>
  <c r="BC189" i="30"/>
  <c r="BD189" i="30"/>
  <c r="BE189" i="30"/>
  <c r="BF189" i="30"/>
  <c r="BG189" i="30"/>
  <c r="BH189" i="30"/>
  <c r="BI189" i="30"/>
  <c r="BJ189" i="30"/>
  <c r="BK189" i="30"/>
  <c r="BL189" i="30"/>
  <c r="BM189" i="30"/>
  <c r="BN189" i="30"/>
  <c r="BO189" i="30"/>
  <c r="BP189" i="30"/>
  <c r="BQ189" i="30"/>
  <c r="BR189" i="30"/>
  <c r="BS189" i="30"/>
  <c r="BT189" i="30"/>
  <c r="BU189" i="30"/>
  <c r="BV189" i="30"/>
  <c r="BW189" i="30"/>
  <c r="BX189" i="30"/>
  <c r="BY189" i="30"/>
  <c r="BZ189" i="30"/>
  <c r="CA189" i="30"/>
  <c r="CB189" i="30"/>
  <c r="CC189" i="30"/>
  <c r="AD190" i="30"/>
  <c r="AE190" i="30"/>
  <c r="AF190" i="30"/>
  <c r="AG190" i="30"/>
  <c r="AH190" i="30"/>
  <c r="AI190" i="30"/>
  <c r="AJ190" i="30"/>
  <c r="AK190" i="30"/>
  <c r="AL190" i="30"/>
  <c r="AM190" i="30"/>
  <c r="AN190" i="30"/>
  <c r="AO190" i="30"/>
  <c r="AP190" i="30"/>
  <c r="AQ190" i="30"/>
  <c r="AR190" i="30"/>
  <c r="AS190" i="30"/>
  <c r="AT190" i="30"/>
  <c r="AU190" i="30"/>
  <c r="AV190" i="30"/>
  <c r="AW190" i="30"/>
  <c r="AX190" i="30"/>
  <c r="AY190" i="30"/>
  <c r="AZ190" i="30"/>
  <c r="BA190" i="30"/>
  <c r="BB190" i="30"/>
  <c r="BC190" i="30"/>
  <c r="BD190" i="30"/>
  <c r="BE190" i="30"/>
  <c r="BF190" i="30"/>
  <c r="BG190" i="30"/>
  <c r="BH190" i="30"/>
  <c r="BI190" i="30"/>
  <c r="BJ190" i="30"/>
  <c r="BK190" i="30"/>
  <c r="BL190" i="30"/>
  <c r="BM190" i="30"/>
  <c r="BN190" i="30"/>
  <c r="BO190" i="30"/>
  <c r="BP190" i="30"/>
  <c r="BQ190" i="30"/>
  <c r="BR190" i="30"/>
  <c r="BS190" i="30"/>
  <c r="BT190" i="30"/>
  <c r="BU190" i="30"/>
  <c r="BV190" i="30"/>
  <c r="BW190" i="30"/>
  <c r="BX190" i="30"/>
  <c r="BY190" i="30"/>
  <c r="BZ190" i="30"/>
  <c r="CA190" i="30"/>
  <c r="CB190" i="30"/>
  <c r="CC190" i="30"/>
  <c r="AD191" i="30"/>
  <c r="AE191" i="30"/>
  <c r="AF191" i="30"/>
  <c r="AG191" i="30"/>
  <c r="AH191" i="30"/>
  <c r="AI191" i="30"/>
  <c r="AJ191" i="30"/>
  <c r="AK191" i="30"/>
  <c r="AL191" i="30"/>
  <c r="AM191" i="30"/>
  <c r="AN191" i="30"/>
  <c r="AO191" i="30"/>
  <c r="AP191" i="30"/>
  <c r="AQ191" i="30"/>
  <c r="AR191" i="30"/>
  <c r="AS191" i="30"/>
  <c r="AT191" i="30"/>
  <c r="AU191" i="30"/>
  <c r="AV191" i="30"/>
  <c r="AW191" i="30"/>
  <c r="AX191" i="30"/>
  <c r="AY191" i="30"/>
  <c r="AZ191" i="30"/>
  <c r="BA191" i="30"/>
  <c r="BB191" i="30"/>
  <c r="BC191" i="30"/>
  <c r="BD191" i="30"/>
  <c r="BE191" i="30"/>
  <c r="BF191" i="30"/>
  <c r="BG191" i="30"/>
  <c r="BH191" i="30"/>
  <c r="BI191" i="30"/>
  <c r="BJ191" i="30"/>
  <c r="BK191" i="30"/>
  <c r="BL191" i="30"/>
  <c r="BM191" i="30"/>
  <c r="BN191" i="30"/>
  <c r="BO191" i="30"/>
  <c r="BP191" i="30"/>
  <c r="BQ191" i="30"/>
  <c r="BR191" i="30"/>
  <c r="BS191" i="30"/>
  <c r="BT191" i="30"/>
  <c r="BU191" i="30"/>
  <c r="BV191" i="30"/>
  <c r="BW191" i="30"/>
  <c r="BX191" i="30"/>
  <c r="BY191" i="30"/>
  <c r="BZ191" i="30"/>
  <c r="CA191" i="30"/>
  <c r="CB191" i="30"/>
  <c r="CC191" i="30"/>
  <c r="AD192" i="30"/>
  <c r="AE192" i="30"/>
  <c r="AF192" i="30"/>
  <c r="AG192" i="30"/>
  <c r="AH192" i="30"/>
  <c r="AI192" i="30"/>
  <c r="AJ192" i="30"/>
  <c r="AK192" i="30"/>
  <c r="AL192" i="30"/>
  <c r="AM192" i="30"/>
  <c r="AN192" i="30"/>
  <c r="AO192" i="30"/>
  <c r="AP192" i="30"/>
  <c r="AQ192" i="30"/>
  <c r="AR192" i="30"/>
  <c r="AS192" i="30"/>
  <c r="AT192" i="30"/>
  <c r="AU192" i="30"/>
  <c r="AV192" i="30"/>
  <c r="AW192" i="30"/>
  <c r="AX192" i="30"/>
  <c r="AY192" i="30"/>
  <c r="AZ192" i="30"/>
  <c r="BA192" i="30"/>
  <c r="BB192" i="30"/>
  <c r="BC192" i="30"/>
  <c r="BD192" i="30"/>
  <c r="BE192" i="30"/>
  <c r="BF192" i="30"/>
  <c r="BG192" i="30"/>
  <c r="BH192" i="30"/>
  <c r="BI192" i="30"/>
  <c r="BJ192" i="30"/>
  <c r="BK192" i="30"/>
  <c r="BL192" i="30"/>
  <c r="BM192" i="30"/>
  <c r="BN192" i="30"/>
  <c r="BO192" i="30"/>
  <c r="BP192" i="30"/>
  <c r="BQ192" i="30"/>
  <c r="BR192" i="30"/>
  <c r="BS192" i="30"/>
  <c r="BT192" i="30"/>
  <c r="BU192" i="30"/>
  <c r="BV192" i="30"/>
  <c r="BW192" i="30"/>
  <c r="BX192" i="30"/>
  <c r="BY192" i="30"/>
  <c r="BZ192" i="30"/>
  <c r="CA192" i="30"/>
  <c r="CB192" i="30"/>
  <c r="CC192" i="30"/>
  <c r="AD193" i="30"/>
  <c r="AE193" i="30"/>
  <c r="AF193" i="30"/>
  <c r="AG193" i="30"/>
  <c r="AH193" i="30"/>
  <c r="AI193" i="30"/>
  <c r="AJ193" i="30"/>
  <c r="AK193" i="30"/>
  <c r="AL193" i="30"/>
  <c r="AM193" i="30"/>
  <c r="AN193" i="30"/>
  <c r="AO193" i="30"/>
  <c r="AP193" i="30"/>
  <c r="AQ193" i="30"/>
  <c r="AR193" i="30"/>
  <c r="AS193" i="30"/>
  <c r="AT193" i="30"/>
  <c r="AU193" i="30"/>
  <c r="AV193" i="30"/>
  <c r="AW193" i="30"/>
  <c r="AX193" i="30"/>
  <c r="AY193" i="30"/>
  <c r="AZ193" i="30"/>
  <c r="BA193" i="30"/>
  <c r="BB193" i="30"/>
  <c r="BC193" i="30"/>
  <c r="BD193" i="30"/>
  <c r="BE193" i="30"/>
  <c r="BF193" i="30"/>
  <c r="BG193" i="30"/>
  <c r="BH193" i="30"/>
  <c r="BI193" i="30"/>
  <c r="BJ193" i="30"/>
  <c r="BK193" i="30"/>
  <c r="BL193" i="30"/>
  <c r="BM193" i="30"/>
  <c r="BN193" i="30"/>
  <c r="BO193" i="30"/>
  <c r="BP193" i="30"/>
  <c r="BQ193" i="30"/>
  <c r="BR193" i="30"/>
  <c r="BS193" i="30"/>
  <c r="BT193" i="30"/>
  <c r="BU193" i="30"/>
  <c r="BV193" i="30"/>
  <c r="BW193" i="30"/>
  <c r="BX193" i="30"/>
  <c r="BY193" i="30"/>
  <c r="BZ193" i="30"/>
  <c r="CA193" i="30"/>
  <c r="CB193" i="30"/>
  <c r="CC193" i="30"/>
  <c r="AD194" i="30"/>
  <c r="AE194" i="30"/>
  <c r="AF194" i="30"/>
  <c r="AG194" i="30"/>
  <c r="AH194" i="30"/>
  <c r="AI194" i="30"/>
  <c r="AJ194" i="30"/>
  <c r="AK194" i="30"/>
  <c r="AL194" i="30"/>
  <c r="AM194" i="30"/>
  <c r="AN194" i="30"/>
  <c r="AO194" i="30"/>
  <c r="AP194" i="30"/>
  <c r="AQ194" i="30"/>
  <c r="AR194" i="30"/>
  <c r="AS194" i="30"/>
  <c r="AT194" i="30"/>
  <c r="AU194" i="30"/>
  <c r="AV194" i="30"/>
  <c r="AW194" i="30"/>
  <c r="AX194" i="30"/>
  <c r="AY194" i="30"/>
  <c r="AZ194" i="30"/>
  <c r="BA194" i="30"/>
  <c r="BB194" i="30"/>
  <c r="BC194" i="30"/>
  <c r="BD194" i="30"/>
  <c r="BE194" i="30"/>
  <c r="BF194" i="30"/>
  <c r="BG194" i="30"/>
  <c r="BH194" i="30"/>
  <c r="BI194" i="30"/>
  <c r="BJ194" i="30"/>
  <c r="BK194" i="30"/>
  <c r="BL194" i="30"/>
  <c r="BM194" i="30"/>
  <c r="BN194" i="30"/>
  <c r="BO194" i="30"/>
  <c r="BP194" i="30"/>
  <c r="BQ194" i="30"/>
  <c r="BR194" i="30"/>
  <c r="BS194" i="30"/>
  <c r="BT194" i="30"/>
  <c r="BU194" i="30"/>
  <c r="BV194" i="30"/>
  <c r="BW194" i="30"/>
  <c r="BX194" i="30"/>
  <c r="BY194" i="30"/>
  <c r="BZ194" i="30"/>
  <c r="CA194" i="30"/>
  <c r="CB194" i="30"/>
  <c r="CC194" i="30"/>
  <c r="AD195" i="30"/>
  <c r="AE195" i="30"/>
  <c r="AF195" i="30"/>
  <c r="AG195" i="30"/>
  <c r="AH195" i="30"/>
  <c r="AI195" i="30"/>
  <c r="AJ195" i="30"/>
  <c r="AK195" i="30"/>
  <c r="AL195" i="30"/>
  <c r="AM195" i="30"/>
  <c r="AN195" i="30"/>
  <c r="AO195" i="30"/>
  <c r="AP195" i="30"/>
  <c r="AQ195" i="30"/>
  <c r="AR195" i="30"/>
  <c r="AS195" i="30"/>
  <c r="AT195" i="30"/>
  <c r="AU195" i="30"/>
  <c r="AV195" i="30"/>
  <c r="AW195" i="30"/>
  <c r="AX195" i="30"/>
  <c r="AY195" i="30"/>
  <c r="AZ195" i="30"/>
  <c r="BA195" i="30"/>
  <c r="BB195" i="30"/>
  <c r="BC195" i="30"/>
  <c r="BD195" i="30"/>
  <c r="BE195" i="30"/>
  <c r="BF195" i="30"/>
  <c r="BG195" i="30"/>
  <c r="BH195" i="30"/>
  <c r="BI195" i="30"/>
  <c r="BJ195" i="30"/>
  <c r="BK195" i="30"/>
  <c r="BL195" i="30"/>
  <c r="BM195" i="30"/>
  <c r="BN195" i="30"/>
  <c r="BO195" i="30"/>
  <c r="BP195" i="30"/>
  <c r="BQ195" i="30"/>
  <c r="BR195" i="30"/>
  <c r="BS195" i="30"/>
  <c r="BT195" i="30"/>
  <c r="BU195" i="30"/>
  <c r="BV195" i="30"/>
  <c r="BW195" i="30"/>
  <c r="BX195" i="30"/>
  <c r="BY195" i="30"/>
  <c r="BZ195" i="30"/>
  <c r="CA195" i="30"/>
  <c r="CB195" i="30"/>
  <c r="CC195" i="30"/>
  <c r="AD196" i="30"/>
  <c r="AE196" i="30"/>
  <c r="AF196" i="30"/>
  <c r="AG196" i="30"/>
  <c r="AH196" i="30"/>
  <c r="AI196" i="30"/>
  <c r="AJ196" i="30"/>
  <c r="AK196" i="30"/>
  <c r="AL196" i="30"/>
  <c r="AM196" i="30"/>
  <c r="AN196" i="30"/>
  <c r="AO196" i="30"/>
  <c r="AP196" i="30"/>
  <c r="AQ196" i="30"/>
  <c r="AR196" i="30"/>
  <c r="AS196" i="30"/>
  <c r="AT196" i="30"/>
  <c r="AU196" i="30"/>
  <c r="AV196" i="30"/>
  <c r="AW196" i="30"/>
  <c r="AX196" i="30"/>
  <c r="AY196" i="30"/>
  <c r="AZ196" i="30"/>
  <c r="BA196" i="30"/>
  <c r="BB196" i="30"/>
  <c r="BC196" i="30"/>
  <c r="BD196" i="30"/>
  <c r="BE196" i="30"/>
  <c r="BF196" i="30"/>
  <c r="BG196" i="30"/>
  <c r="BH196" i="30"/>
  <c r="BI196" i="30"/>
  <c r="BJ196" i="30"/>
  <c r="BK196" i="30"/>
  <c r="BL196" i="30"/>
  <c r="BM196" i="30"/>
  <c r="BN196" i="30"/>
  <c r="BO196" i="30"/>
  <c r="BP196" i="30"/>
  <c r="BQ196" i="30"/>
  <c r="BR196" i="30"/>
  <c r="BS196" i="30"/>
  <c r="BT196" i="30"/>
  <c r="BU196" i="30"/>
  <c r="BV196" i="30"/>
  <c r="BW196" i="30"/>
  <c r="BX196" i="30"/>
  <c r="BY196" i="30"/>
  <c r="BZ196" i="30"/>
  <c r="CA196" i="30"/>
  <c r="CB196" i="30"/>
  <c r="CC196" i="30"/>
  <c r="AD197" i="30"/>
  <c r="AE197" i="30"/>
  <c r="AF197" i="30"/>
  <c r="AG197" i="30"/>
  <c r="AH197" i="30"/>
  <c r="AI197" i="30"/>
  <c r="AJ197" i="30"/>
  <c r="AK197" i="30"/>
  <c r="AL197" i="30"/>
  <c r="AM197" i="30"/>
  <c r="AN197" i="30"/>
  <c r="AO197" i="30"/>
  <c r="AP197" i="30"/>
  <c r="AQ197" i="30"/>
  <c r="AR197" i="30"/>
  <c r="AS197" i="30"/>
  <c r="AT197" i="30"/>
  <c r="AU197" i="30"/>
  <c r="AV197" i="30"/>
  <c r="AW197" i="30"/>
  <c r="AX197" i="30"/>
  <c r="AY197" i="30"/>
  <c r="AZ197" i="30"/>
  <c r="BA197" i="30"/>
  <c r="BB197" i="30"/>
  <c r="BC197" i="30"/>
  <c r="BD197" i="30"/>
  <c r="BE197" i="30"/>
  <c r="BF197" i="30"/>
  <c r="BG197" i="30"/>
  <c r="BH197" i="30"/>
  <c r="BI197" i="30"/>
  <c r="BJ197" i="30"/>
  <c r="BK197" i="30"/>
  <c r="BL197" i="30"/>
  <c r="BM197" i="30"/>
  <c r="BN197" i="30"/>
  <c r="BO197" i="30"/>
  <c r="BP197" i="30"/>
  <c r="BQ197" i="30"/>
  <c r="BR197" i="30"/>
  <c r="BS197" i="30"/>
  <c r="BT197" i="30"/>
  <c r="BU197" i="30"/>
  <c r="BV197" i="30"/>
  <c r="BW197" i="30"/>
  <c r="BX197" i="30"/>
  <c r="BY197" i="30"/>
  <c r="BZ197" i="30"/>
  <c r="CA197" i="30"/>
  <c r="CB197" i="30"/>
  <c r="CC197" i="30"/>
  <c r="AD198" i="30"/>
  <c r="AE198" i="30"/>
  <c r="AF198" i="30"/>
  <c r="AG198" i="30"/>
  <c r="AH198" i="30"/>
  <c r="AI198" i="30"/>
  <c r="AJ198" i="30"/>
  <c r="AK198" i="30"/>
  <c r="AL198" i="30"/>
  <c r="AM198" i="30"/>
  <c r="AN198" i="30"/>
  <c r="AO198" i="30"/>
  <c r="AP198" i="30"/>
  <c r="AQ198" i="30"/>
  <c r="AR198" i="30"/>
  <c r="AS198" i="30"/>
  <c r="AT198" i="30"/>
  <c r="AU198" i="30"/>
  <c r="AV198" i="30"/>
  <c r="AW198" i="30"/>
  <c r="AX198" i="30"/>
  <c r="AY198" i="30"/>
  <c r="AZ198" i="30"/>
  <c r="BA198" i="30"/>
  <c r="BB198" i="30"/>
  <c r="BC198" i="30"/>
  <c r="BD198" i="30"/>
  <c r="BE198" i="30"/>
  <c r="BF198" i="30"/>
  <c r="BG198" i="30"/>
  <c r="BH198" i="30"/>
  <c r="BI198" i="30"/>
  <c r="BJ198" i="30"/>
  <c r="BK198" i="30"/>
  <c r="BL198" i="30"/>
  <c r="BM198" i="30"/>
  <c r="BN198" i="30"/>
  <c r="BO198" i="30"/>
  <c r="BP198" i="30"/>
  <c r="BQ198" i="30"/>
  <c r="BR198" i="30"/>
  <c r="BS198" i="30"/>
  <c r="BT198" i="30"/>
  <c r="BU198" i="30"/>
  <c r="BV198" i="30"/>
  <c r="BW198" i="30"/>
  <c r="BX198" i="30"/>
  <c r="BY198" i="30"/>
  <c r="BZ198" i="30"/>
  <c r="CA198" i="30"/>
  <c r="CB198" i="30"/>
  <c r="CC198" i="30"/>
  <c r="AD199" i="30"/>
  <c r="AE199" i="30"/>
  <c r="AF199" i="30"/>
  <c r="AG199" i="30"/>
  <c r="AH199" i="30"/>
  <c r="AI199" i="30"/>
  <c r="AJ199" i="30"/>
  <c r="AK199" i="30"/>
  <c r="AL199" i="30"/>
  <c r="AM199" i="30"/>
  <c r="AN199" i="30"/>
  <c r="AO199" i="30"/>
  <c r="AP199" i="30"/>
  <c r="AQ199" i="30"/>
  <c r="AR199" i="30"/>
  <c r="AS199" i="30"/>
  <c r="AT199" i="30"/>
  <c r="AU199" i="30"/>
  <c r="AV199" i="30"/>
  <c r="AW199" i="30"/>
  <c r="AX199" i="30"/>
  <c r="AY199" i="30"/>
  <c r="AZ199" i="30"/>
  <c r="BA199" i="30"/>
  <c r="BB199" i="30"/>
  <c r="BC199" i="30"/>
  <c r="BD199" i="30"/>
  <c r="BE199" i="30"/>
  <c r="BF199" i="30"/>
  <c r="BG199" i="30"/>
  <c r="BH199" i="30"/>
  <c r="BI199" i="30"/>
  <c r="BJ199" i="30"/>
  <c r="BK199" i="30"/>
  <c r="BL199" i="30"/>
  <c r="BM199" i="30"/>
  <c r="BN199" i="30"/>
  <c r="BO199" i="30"/>
  <c r="BP199" i="30"/>
  <c r="BQ199" i="30"/>
  <c r="BR199" i="30"/>
  <c r="BS199" i="30"/>
  <c r="BT199" i="30"/>
  <c r="BU199" i="30"/>
  <c r="BV199" i="30"/>
  <c r="BW199" i="30"/>
  <c r="BX199" i="30"/>
  <c r="BY199" i="30"/>
  <c r="BZ199" i="30"/>
  <c r="CA199" i="30"/>
  <c r="CB199" i="30"/>
  <c r="CC199" i="30"/>
  <c r="AD200" i="30"/>
  <c r="AE200" i="30"/>
  <c r="AF200" i="30"/>
  <c r="AG200" i="30"/>
  <c r="AH200" i="30"/>
  <c r="AI200" i="30"/>
  <c r="AJ200" i="30"/>
  <c r="AK200" i="30"/>
  <c r="AL200" i="30"/>
  <c r="AM200" i="30"/>
  <c r="AN200" i="30"/>
  <c r="AO200" i="30"/>
  <c r="AP200" i="30"/>
  <c r="AQ200" i="30"/>
  <c r="AR200" i="30"/>
  <c r="AS200" i="30"/>
  <c r="AT200" i="30"/>
  <c r="AU200" i="30"/>
  <c r="AV200" i="30"/>
  <c r="AW200" i="30"/>
  <c r="AX200" i="30"/>
  <c r="AY200" i="30"/>
  <c r="AZ200" i="30"/>
  <c r="BA200" i="30"/>
  <c r="BB200" i="30"/>
  <c r="BC200" i="30"/>
  <c r="BD200" i="30"/>
  <c r="BE200" i="30"/>
  <c r="BF200" i="30"/>
  <c r="BG200" i="30"/>
  <c r="BH200" i="30"/>
  <c r="BI200" i="30"/>
  <c r="BJ200" i="30"/>
  <c r="BK200" i="30"/>
  <c r="BL200" i="30"/>
  <c r="BM200" i="30"/>
  <c r="BN200" i="30"/>
  <c r="BO200" i="30"/>
  <c r="BP200" i="30"/>
  <c r="BQ200" i="30"/>
  <c r="BR200" i="30"/>
  <c r="BS200" i="30"/>
  <c r="BT200" i="30"/>
  <c r="BU200" i="30"/>
  <c r="BV200" i="30"/>
  <c r="BW200" i="30"/>
  <c r="BX200" i="30"/>
  <c r="BY200" i="30"/>
  <c r="BZ200" i="30"/>
  <c r="CA200" i="30"/>
  <c r="CB200" i="30"/>
  <c r="CC200" i="30"/>
  <c r="AD201" i="30"/>
  <c r="AE201" i="30"/>
  <c r="AF201" i="30"/>
  <c r="AG201" i="30"/>
  <c r="AH201" i="30"/>
  <c r="AI201" i="30"/>
  <c r="AJ201" i="30"/>
  <c r="AK201" i="30"/>
  <c r="AL201" i="30"/>
  <c r="AM201" i="30"/>
  <c r="AN201" i="30"/>
  <c r="AO201" i="30"/>
  <c r="AP201" i="30"/>
  <c r="AQ201" i="30"/>
  <c r="AR201" i="30"/>
  <c r="AS201" i="30"/>
  <c r="AT201" i="30"/>
  <c r="AU201" i="30"/>
  <c r="AV201" i="30"/>
  <c r="AW201" i="30"/>
  <c r="AX201" i="30"/>
  <c r="AY201" i="30"/>
  <c r="AZ201" i="30"/>
  <c r="BA201" i="30"/>
  <c r="BB201" i="30"/>
  <c r="BC201" i="30"/>
  <c r="BD201" i="30"/>
  <c r="BE201" i="30"/>
  <c r="BF201" i="30"/>
  <c r="BG201" i="30"/>
  <c r="BH201" i="30"/>
  <c r="BI201" i="30"/>
  <c r="BJ201" i="30"/>
  <c r="BK201" i="30"/>
  <c r="BL201" i="30"/>
  <c r="BM201" i="30"/>
  <c r="BN201" i="30"/>
  <c r="BO201" i="30"/>
  <c r="BP201" i="30"/>
  <c r="BQ201" i="30"/>
  <c r="BR201" i="30"/>
  <c r="BS201" i="30"/>
  <c r="BT201" i="30"/>
  <c r="BU201" i="30"/>
  <c r="BV201" i="30"/>
  <c r="BW201" i="30"/>
  <c r="BX201" i="30"/>
  <c r="BY201" i="30"/>
  <c r="BZ201" i="30"/>
  <c r="CA201" i="30"/>
  <c r="CB201" i="30"/>
  <c r="CC201" i="30"/>
  <c r="AD202" i="30"/>
  <c r="AE202" i="30"/>
  <c r="AF202" i="30"/>
  <c r="AG202" i="30"/>
  <c r="AH202" i="30"/>
  <c r="AI202" i="30"/>
  <c r="AJ202" i="30"/>
  <c r="AK202" i="30"/>
  <c r="AL202" i="30"/>
  <c r="AM202" i="30"/>
  <c r="AN202" i="30"/>
  <c r="AO202" i="30"/>
  <c r="AP202" i="30"/>
  <c r="AQ202" i="30"/>
  <c r="AR202" i="30"/>
  <c r="AS202" i="30"/>
  <c r="AT202" i="30"/>
  <c r="AU202" i="30"/>
  <c r="AV202" i="30"/>
  <c r="AW202" i="30"/>
  <c r="AX202" i="30"/>
  <c r="AY202" i="30"/>
  <c r="AZ202" i="30"/>
  <c r="BA202" i="30"/>
  <c r="BB202" i="30"/>
  <c r="BC202" i="30"/>
  <c r="BD202" i="30"/>
  <c r="BE202" i="30"/>
  <c r="BF202" i="30"/>
  <c r="BG202" i="30"/>
  <c r="BH202" i="30"/>
  <c r="BI202" i="30"/>
  <c r="BJ202" i="30"/>
  <c r="BK202" i="30"/>
  <c r="BL202" i="30"/>
  <c r="BM202" i="30"/>
  <c r="BN202" i="30"/>
  <c r="BO202" i="30"/>
  <c r="BP202" i="30"/>
  <c r="BQ202" i="30"/>
  <c r="BR202" i="30"/>
  <c r="BS202" i="30"/>
  <c r="BT202" i="30"/>
  <c r="BU202" i="30"/>
  <c r="BV202" i="30"/>
  <c r="BW202" i="30"/>
  <c r="BX202" i="30"/>
  <c r="BY202" i="30"/>
  <c r="BZ202" i="30"/>
  <c r="CA202" i="30"/>
  <c r="CB202" i="30"/>
  <c r="CC202" i="30"/>
  <c r="AD203" i="30"/>
  <c r="AE203" i="30"/>
  <c r="AF203" i="30"/>
  <c r="AG203" i="30"/>
  <c r="AH203" i="30"/>
  <c r="AI203" i="30"/>
  <c r="AJ203" i="30"/>
  <c r="AK203" i="30"/>
  <c r="AL203" i="30"/>
  <c r="AM203" i="30"/>
  <c r="AN203" i="30"/>
  <c r="AO203" i="30"/>
  <c r="AP203" i="30"/>
  <c r="AQ203" i="30"/>
  <c r="AR203" i="30"/>
  <c r="AS203" i="30"/>
  <c r="AT203" i="30"/>
  <c r="AU203" i="30"/>
  <c r="AV203" i="30"/>
  <c r="AW203" i="30"/>
  <c r="AX203" i="30"/>
  <c r="AY203" i="30"/>
  <c r="AZ203" i="30"/>
  <c r="BA203" i="30"/>
  <c r="BB203" i="30"/>
  <c r="BC203" i="30"/>
  <c r="BD203" i="30"/>
  <c r="BE203" i="30"/>
  <c r="BF203" i="30"/>
  <c r="BG203" i="30"/>
  <c r="BH203" i="30"/>
  <c r="BI203" i="30"/>
  <c r="BJ203" i="30"/>
  <c r="BK203" i="30"/>
  <c r="BL203" i="30"/>
  <c r="BM203" i="30"/>
  <c r="BN203" i="30"/>
  <c r="BO203" i="30"/>
  <c r="BP203" i="30"/>
  <c r="BQ203" i="30"/>
  <c r="BR203" i="30"/>
  <c r="BS203" i="30"/>
  <c r="BT203" i="30"/>
  <c r="BU203" i="30"/>
  <c r="BV203" i="30"/>
  <c r="BW203" i="30"/>
  <c r="BX203" i="30"/>
  <c r="BY203" i="30"/>
  <c r="BZ203" i="30"/>
  <c r="CA203" i="30"/>
  <c r="CB203" i="30"/>
  <c r="CC203" i="30"/>
  <c r="AD204" i="30"/>
  <c r="AE204" i="30"/>
  <c r="AF204" i="30"/>
  <c r="AG204" i="30"/>
  <c r="AH204" i="30"/>
  <c r="AI204" i="30"/>
  <c r="AJ204" i="30"/>
  <c r="AK204" i="30"/>
  <c r="AL204" i="30"/>
  <c r="AM204" i="30"/>
  <c r="AN204" i="30"/>
  <c r="AO204" i="30"/>
  <c r="AP204" i="30"/>
  <c r="AQ204" i="30"/>
  <c r="AR204" i="30"/>
  <c r="AS204" i="30"/>
  <c r="AT204" i="30"/>
  <c r="AU204" i="30"/>
  <c r="AV204" i="30"/>
  <c r="AW204" i="30"/>
  <c r="AX204" i="30"/>
  <c r="AY204" i="30"/>
  <c r="AZ204" i="30"/>
  <c r="BA204" i="30"/>
  <c r="BB204" i="30"/>
  <c r="BC204" i="30"/>
  <c r="BD204" i="30"/>
  <c r="BE204" i="30"/>
  <c r="BF204" i="30"/>
  <c r="BG204" i="30"/>
  <c r="BH204" i="30"/>
  <c r="BI204" i="30"/>
  <c r="BJ204" i="30"/>
  <c r="BK204" i="30"/>
  <c r="BL204" i="30"/>
  <c r="BM204" i="30"/>
  <c r="BN204" i="30"/>
  <c r="BO204" i="30"/>
  <c r="BP204" i="30"/>
  <c r="BQ204" i="30"/>
  <c r="BR204" i="30"/>
  <c r="BS204" i="30"/>
  <c r="BT204" i="30"/>
  <c r="BU204" i="30"/>
  <c r="BV204" i="30"/>
  <c r="BW204" i="30"/>
  <c r="BX204" i="30"/>
  <c r="BY204" i="30"/>
  <c r="BZ204" i="30"/>
  <c r="CA204" i="30"/>
  <c r="CB204" i="30"/>
  <c r="CC204" i="30"/>
  <c r="AD205" i="30"/>
  <c r="AE205" i="30"/>
  <c r="AF205" i="30"/>
  <c r="AG205" i="30"/>
  <c r="AH205" i="30"/>
  <c r="AI205" i="30"/>
  <c r="AJ205" i="30"/>
  <c r="AK205" i="30"/>
  <c r="AL205" i="30"/>
  <c r="AM205" i="30"/>
  <c r="AN205" i="30"/>
  <c r="AO205" i="30"/>
  <c r="AP205" i="30"/>
  <c r="AQ205" i="30"/>
  <c r="AR205" i="30"/>
  <c r="AS205" i="30"/>
  <c r="AT205" i="30"/>
  <c r="AU205" i="30"/>
  <c r="AV205" i="30"/>
  <c r="AW205" i="30"/>
  <c r="AX205" i="30"/>
  <c r="AY205" i="30"/>
  <c r="AZ205" i="30"/>
  <c r="BA205" i="30"/>
  <c r="BB205" i="30"/>
  <c r="BC205" i="30"/>
  <c r="BD205" i="30"/>
  <c r="BE205" i="30"/>
  <c r="BF205" i="30"/>
  <c r="BG205" i="30"/>
  <c r="BH205" i="30"/>
  <c r="BI205" i="30"/>
  <c r="BJ205" i="30"/>
  <c r="BK205" i="30"/>
  <c r="BL205" i="30"/>
  <c r="BM205" i="30"/>
  <c r="BN205" i="30"/>
  <c r="BO205" i="30"/>
  <c r="BP205" i="30"/>
  <c r="BQ205" i="30"/>
  <c r="BR205" i="30"/>
  <c r="BS205" i="30"/>
  <c r="BT205" i="30"/>
  <c r="BU205" i="30"/>
  <c r="BV205" i="30"/>
  <c r="BW205" i="30"/>
  <c r="BX205" i="30"/>
  <c r="BY205" i="30"/>
  <c r="BZ205" i="30"/>
  <c r="CA205" i="30"/>
  <c r="CB205" i="30"/>
  <c r="CC205" i="30"/>
  <c r="AD206" i="30"/>
  <c r="AE206" i="30"/>
  <c r="AF206" i="30"/>
  <c r="AG206" i="30"/>
  <c r="AH206" i="30"/>
  <c r="AI206" i="30"/>
  <c r="AJ206" i="30"/>
  <c r="AK206" i="30"/>
  <c r="AL206" i="30"/>
  <c r="AM206" i="30"/>
  <c r="AN206" i="30"/>
  <c r="AO206" i="30"/>
  <c r="AP206" i="30"/>
  <c r="AQ206" i="30"/>
  <c r="AR206" i="30"/>
  <c r="AS206" i="30"/>
  <c r="AT206" i="30"/>
  <c r="AU206" i="30"/>
  <c r="AV206" i="30"/>
  <c r="AW206" i="30"/>
  <c r="AX206" i="30"/>
  <c r="AY206" i="30"/>
  <c r="AZ206" i="30"/>
  <c r="BA206" i="30"/>
  <c r="BB206" i="30"/>
  <c r="BC206" i="30"/>
  <c r="BD206" i="30"/>
  <c r="BE206" i="30"/>
  <c r="BF206" i="30"/>
  <c r="BG206" i="30"/>
  <c r="BH206" i="30"/>
  <c r="BI206" i="30"/>
  <c r="BJ206" i="30"/>
  <c r="BK206" i="30"/>
  <c r="BL206" i="30"/>
  <c r="BM206" i="30"/>
  <c r="BN206" i="30"/>
  <c r="BO206" i="30"/>
  <c r="BP206" i="30"/>
  <c r="BQ206" i="30"/>
  <c r="BR206" i="30"/>
  <c r="BS206" i="30"/>
  <c r="BT206" i="30"/>
  <c r="BU206" i="30"/>
  <c r="BV206" i="30"/>
  <c r="BW206" i="30"/>
  <c r="BX206" i="30"/>
  <c r="BY206" i="30"/>
  <c r="BZ206" i="30"/>
  <c r="CA206" i="30"/>
  <c r="CB206" i="30"/>
  <c r="CC206" i="30"/>
  <c r="AD207" i="30"/>
  <c r="AE207" i="30"/>
  <c r="AF207" i="30"/>
  <c r="AG207" i="30"/>
  <c r="AH207" i="30"/>
  <c r="AI207" i="30"/>
  <c r="AJ207" i="30"/>
  <c r="AK207" i="30"/>
  <c r="AL207" i="30"/>
  <c r="AM207" i="30"/>
  <c r="AN207" i="30"/>
  <c r="AO207" i="30"/>
  <c r="AP207" i="30"/>
  <c r="AQ207" i="30"/>
  <c r="AR207" i="30"/>
  <c r="AS207" i="30"/>
  <c r="AT207" i="30"/>
  <c r="AU207" i="30"/>
  <c r="AV207" i="30"/>
  <c r="AW207" i="30"/>
  <c r="AX207" i="30"/>
  <c r="AY207" i="30"/>
  <c r="AZ207" i="30"/>
  <c r="BA207" i="30"/>
  <c r="BB207" i="30"/>
  <c r="BC207" i="30"/>
  <c r="BD207" i="30"/>
  <c r="BE207" i="30"/>
  <c r="BF207" i="30"/>
  <c r="BG207" i="30"/>
  <c r="BH207" i="30"/>
  <c r="BI207" i="30"/>
  <c r="BJ207" i="30"/>
  <c r="BK207" i="30"/>
  <c r="BL207" i="30"/>
  <c r="BM207" i="30"/>
  <c r="BN207" i="30"/>
  <c r="BO207" i="30"/>
  <c r="BP207" i="30"/>
  <c r="BQ207" i="30"/>
  <c r="BR207" i="30"/>
  <c r="BS207" i="30"/>
  <c r="BT207" i="30"/>
  <c r="BU207" i="30"/>
  <c r="BV207" i="30"/>
  <c r="BW207" i="30"/>
  <c r="BX207" i="30"/>
  <c r="BY207" i="30"/>
  <c r="BZ207" i="30"/>
  <c r="CA207" i="30"/>
  <c r="CB207" i="30"/>
  <c r="CC207" i="30"/>
  <c r="AD208" i="30"/>
  <c r="AE208" i="30"/>
  <c r="AF208" i="30"/>
  <c r="AG208" i="30"/>
  <c r="AH208" i="30"/>
  <c r="AI208" i="30"/>
  <c r="AJ208" i="30"/>
  <c r="AK208" i="30"/>
  <c r="AL208" i="30"/>
  <c r="AM208" i="30"/>
  <c r="AN208" i="30"/>
  <c r="AO208" i="30"/>
  <c r="AP208" i="30"/>
  <c r="AQ208" i="30"/>
  <c r="AR208" i="30"/>
  <c r="AS208" i="30"/>
  <c r="AT208" i="30"/>
  <c r="AU208" i="30"/>
  <c r="AV208" i="30"/>
  <c r="AW208" i="30"/>
  <c r="AX208" i="30"/>
  <c r="AY208" i="30"/>
  <c r="AZ208" i="30"/>
  <c r="BA208" i="30"/>
  <c r="BB208" i="30"/>
  <c r="BC208" i="30"/>
  <c r="BD208" i="30"/>
  <c r="BE208" i="30"/>
  <c r="BF208" i="30"/>
  <c r="BG208" i="30"/>
  <c r="BH208" i="30"/>
  <c r="BI208" i="30"/>
  <c r="BJ208" i="30"/>
  <c r="BK208" i="30"/>
  <c r="BL208" i="30"/>
  <c r="BM208" i="30"/>
  <c r="BN208" i="30"/>
  <c r="BO208" i="30"/>
  <c r="BP208" i="30"/>
  <c r="BQ208" i="30"/>
  <c r="BR208" i="30"/>
  <c r="BS208" i="30"/>
  <c r="BT208" i="30"/>
  <c r="BU208" i="30"/>
  <c r="BV208" i="30"/>
  <c r="BW208" i="30"/>
  <c r="BX208" i="30"/>
  <c r="BY208" i="30"/>
  <c r="BZ208" i="30"/>
  <c r="CA208" i="30"/>
  <c r="CB208" i="30"/>
  <c r="CC208" i="30"/>
  <c r="AD209" i="30"/>
  <c r="AE209" i="30"/>
  <c r="AF209" i="30"/>
  <c r="AG209" i="30"/>
  <c r="AH209" i="30"/>
  <c r="AI209" i="30"/>
  <c r="AJ209" i="30"/>
  <c r="AK209" i="30"/>
  <c r="AL209" i="30"/>
  <c r="AM209" i="30"/>
  <c r="AN209" i="30"/>
  <c r="AO209" i="30"/>
  <c r="AP209" i="30"/>
  <c r="AQ209" i="30"/>
  <c r="AR209" i="30"/>
  <c r="AS209" i="30"/>
  <c r="AT209" i="30"/>
  <c r="AU209" i="30"/>
  <c r="AV209" i="30"/>
  <c r="AW209" i="30"/>
  <c r="AX209" i="30"/>
  <c r="AY209" i="30"/>
  <c r="AZ209" i="30"/>
  <c r="BA209" i="30"/>
  <c r="BB209" i="30"/>
  <c r="BC209" i="30"/>
  <c r="BD209" i="30"/>
  <c r="BE209" i="30"/>
  <c r="BF209" i="30"/>
  <c r="BG209" i="30"/>
  <c r="BH209" i="30"/>
  <c r="BI209" i="30"/>
  <c r="BJ209" i="30"/>
  <c r="BK209" i="30"/>
  <c r="BL209" i="30"/>
  <c r="BM209" i="30"/>
  <c r="BN209" i="30"/>
  <c r="BO209" i="30"/>
  <c r="BP209" i="30"/>
  <c r="BQ209" i="30"/>
  <c r="BR209" i="30"/>
  <c r="BS209" i="30"/>
  <c r="BT209" i="30"/>
  <c r="BU209" i="30"/>
  <c r="BV209" i="30"/>
  <c r="BW209" i="30"/>
  <c r="BX209" i="30"/>
  <c r="BY209" i="30"/>
  <c r="BZ209" i="30"/>
  <c r="CA209" i="30"/>
  <c r="CB209" i="30"/>
  <c r="CC209" i="30"/>
  <c r="AD210" i="30"/>
  <c r="AE210" i="30"/>
  <c r="AF210" i="30"/>
  <c r="AG210" i="30"/>
  <c r="AH210" i="30"/>
  <c r="AI210" i="30"/>
  <c r="AJ210" i="30"/>
  <c r="AK210" i="30"/>
  <c r="AL210" i="30"/>
  <c r="AM210" i="30"/>
  <c r="AN210" i="30"/>
  <c r="AO210" i="30"/>
  <c r="AP210" i="30"/>
  <c r="AQ210" i="30"/>
  <c r="AR210" i="30"/>
  <c r="AS210" i="30"/>
  <c r="AT210" i="30"/>
  <c r="AU210" i="30"/>
  <c r="AV210" i="30"/>
  <c r="AW210" i="30"/>
  <c r="AX210" i="30"/>
  <c r="AY210" i="30"/>
  <c r="AZ210" i="30"/>
  <c r="BA210" i="30"/>
  <c r="BB210" i="30"/>
  <c r="BC210" i="30"/>
  <c r="BD210" i="30"/>
  <c r="BE210" i="30"/>
  <c r="BF210" i="30"/>
  <c r="BG210" i="30"/>
  <c r="BH210" i="30"/>
  <c r="BI210" i="30"/>
  <c r="BJ210" i="30"/>
  <c r="BK210" i="30"/>
  <c r="BL210" i="30"/>
  <c r="BM210" i="30"/>
  <c r="BN210" i="30"/>
  <c r="BO210" i="30"/>
  <c r="BP210" i="30"/>
  <c r="BQ210" i="30"/>
  <c r="BR210" i="30"/>
  <c r="BS210" i="30"/>
  <c r="BT210" i="30"/>
  <c r="BU210" i="30"/>
  <c r="BV210" i="30"/>
  <c r="BW210" i="30"/>
  <c r="BX210" i="30"/>
  <c r="BY210" i="30"/>
  <c r="BZ210" i="30"/>
  <c r="CA210" i="30"/>
  <c r="CB210" i="30"/>
  <c r="CC210" i="30"/>
  <c r="AD211" i="30"/>
  <c r="AE211" i="30"/>
  <c r="AF211" i="30"/>
  <c r="AG211" i="30"/>
  <c r="AH211" i="30"/>
  <c r="AI211" i="30"/>
  <c r="AJ211" i="30"/>
  <c r="AK211" i="30"/>
  <c r="AL211" i="30"/>
  <c r="AM211" i="30"/>
  <c r="AN211" i="30"/>
  <c r="AO211" i="30"/>
  <c r="AP211" i="30"/>
  <c r="AQ211" i="30"/>
  <c r="AR211" i="30"/>
  <c r="AS211" i="30"/>
  <c r="AT211" i="30"/>
  <c r="AU211" i="30"/>
  <c r="AV211" i="30"/>
  <c r="AW211" i="30"/>
  <c r="AX211" i="30"/>
  <c r="AY211" i="30"/>
  <c r="AZ211" i="30"/>
  <c r="BA211" i="30"/>
  <c r="BB211" i="30"/>
  <c r="BC211" i="30"/>
  <c r="BD211" i="30"/>
  <c r="BE211" i="30"/>
  <c r="BF211" i="30"/>
  <c r="BG211" i="30"/>
  <c r="BH211" i="30"/>
  <c r="BI211" i="30"/>
  <c r="BJ211" i="30"/>
  <c r="BK211" i="30"/>
  <c r="BL211" i="30"/>
  <c r="BM211" i="30"/>
  <c r="BN211" i="30"/>
  <c r="BO211" i="30"/>
  <c r="BP211" i="30"/>
  <c r="BQ211" i="30"/>
  <c r="BR211" i="30"/>
  <c r="BS211" i="30"/>
  <c r="BT211" i="30"/>
  <c r="BU211" i="30"/>
  <c r="BV211" i="30"/>
  <c r="BW211" i="30"/>
  <c r="BX211" i="30"/>
  <c r="BY211" i="30"/>
  <c r="BZ211" i="30"/>
  <c r="CA211" i="30"/>
  <c r="CB211" i="30"/>
  <c r="CC211" i="30"/>
  <c r="AD212" i="30"/>
  <c r="AE212" i="30"/>
  <c r="AF212" i="30"/>
  <c r="AG212" i="30"/>
  <c r="AH212" i="30"/>
  <c r="AI212" i="30"/>
  <c r="AJ212" i="30"/>
  <c r="AK212" i="30"/>
  <c r="AL212" i="30"/>
  <c r="AM212" i="30"/>
  <c r="AN212" i="30"/>
  <c r="AO212" i="30"/>
  <c r="AP212" i="30"/>
  <c r="AQ212" i="30"/>
  <c r="AR212" i="30"/>
  <c r="AS212" i="30"/>
  <c r="AT212" i="30"/>
  <c r="AU212" i="30"/>
  <c r="AV212" i="30"/>
  <c r="AW212" i="30"/>
  <c r="AX212" i="30"/>
  <c r="AY212" i="30"/>
  <c r="AZ212" i="30"/>
  <c r="BA212" i="30"/>
  <c r="BB212" i="30"/>
  <c r="BC212" i="30"/>
  <c r="BD212" i="30"/>
  <c r="BE212" i="30"/>
  <c r="BF212" i="30"/>
  <c r="BG212" i="30"/>
  <c r="BH212" i="30"/>
  <c r="BI212" i="30"/>
  <c r="BJ212" i="30"/>
  <c r="BK212" i="30"/>
  <c r="BL212" i="30"/>
  <c r="BM212" i="30"/>
  <c r="BN212" i="30"/>
  <c r="BO212" i="30"/>
  <c r="BP212" i="30"/>
  <c r="BQ212" i="30"/>
  <c r="BR212" i="30"/>
  <c r="BS212" i="30"/>
  <c r="BT212" i="30"/>
  <c r="BU212" i="30"/>
  <c r="BV212" i="30"/>
  <c r="BW212" i="30"/>
  <c r="BX212" i="30"/>
  <c r="BY212" i="30"/>
  <c r="BZ212" i="30"/>
  <c r="CA212" i="30"/>
  <c r="CB212" i="30"/>
  <c r="CC212" i="30"/>
  <c r="AD213" i="30"/>
  <c r="AE213" i="30"/>
  <c r="AF213" i="30"/>
  <c r="AG213" i="30"/>
  <c r="AH213" i="30"/>
  <c r="AI213" i="30"/>
  <c r="AJ213" i="30"/>
  <c r="AK213" i="30"/>
  <c r="AL213" i="30"/>
  <c r="AM213" i="30"/>
  <c r="AN213" i="30"/>
  <c r="AO213" i="30"/>
  <c r="AP213" i="30"/>
  <c r="AQ213" i="30"/>
  <c r="AR213" i="30"/>
  <c r="AS213" i="30"/>
  <c r="AT213" i="30"/>
  <c r="AU213" i="30"/>
  <c r="AV213" i="30"/>
  <c r="AW213" i="30"/>
  <c r="AX213" i="30"/>
  <c r="AY213" i="30"/>
  <c r="AZ213" i="30"/>
  <c r="BA213" i="30"/>
  <c r="BB213" i="30"/>
  <c r="BC213" i="30"/>
  <c r="BD213" i="30"/>
  <c r="BE213" i="30"/>
  <c r="BF213" i="30"/>
  <c r="BG213" i="30"/>
  <c r="BH213" i="30"/>
  <c r="BI213" i="30"/>
  <c r="BJ213" i="30"/>
  <c r="BK213" i="30"/>
  <c r="BL213" i="30"/>
  <c r="BM213" i="30"/>
  <c r="BN213" i="30"/>
  <c r="BO213" i="30"/>
  <c r="BP213" i="30"/>
  <c r="BQ213" i="30"/>
  <c r="BR213" i="30"/>
  <c r="BS213" i="30"/>
  <c r="BT213" i="30"/>
  <c r="BU213" i="30"/>
  <c r="BV213" i="30"/>
  <c r="BW213" i="30"/>
  <c r="BX213" i="30"/>
  <c r="BY213" i="30"/>
  <c r="BZ213" i="30"/>
  <c r="CA213" i="30"/>
  <c r="CB213" i="30"/>
  <c r="CC213" i="30"/>
  <c r="AD214" i="30"/>
  <c r="AE214" i="30"/>
  <c r="AF214" i="30"/>
  <c r="AG214" i="30"/>
  <c r="AH214" i="30"/>
  <c r="AI214" i="30"/>
  <c r="AJ214" i="30"/>
  <c r="AK214" i="30"/>
  <c r="AL214" i="30"/>
  <c r="AM214" i="30"/>
  <c r="AN214" i="30"/>
  <c r="AO214" i="30"/>
  <c r="AP214" i="30"/>
  <c r="AQ214" i="30"/>
  <c r="AR214" i="30"/>
  <c r="AS214" i="30"/>
  <c r="AT214" i="30"/>
  <c r="AU214" i="30"/>
  <c r="AV214" i="30"/>
  <c r="AW214" i="30"/>
  <c r="AX214" i="30"/>
  <c r="AY214" i="30"/>
  <c r="AZ214" i="30"/>
  <c r="BA214" i="30"/>
  <c r="BB214" i="30"/>
  <c r="BC214" i="30"/>
  <c r="BD214" i="30"/>
  <c r="BE214" i="30"/>
  <c r="BF214" i="30"/>
  <c r="BG214" i="30"/>
  <c r="BH214" i="30"/>
  <c r="BI214" i="30"/>
  <c r="BJ214" i="30"/>
  <c r="BK214" i="30"/>
  <c r="BL214" i="30"/>
  <c r="BM214" i="30"/>
  <c r="BN214" i="30"/>
  <c r="BO214" i="30"/>
  <c r="BP214" i="30"/>
  <c r="BQ214" i="30"/>
  <c r="BR214" i="30"/>
  <c r="BS214" i="30"/>
  <c r="BT214" i="30"/>
  <c r="BU214" i="30"/>
  <c r="BV214" i="30"/>
  <c r="BW214" i="30"/>
  <c r="BX214" i="30"/>
  <c r="BY214" i="30"/>
  <c r="BZ214" i="30"/>
  <c r="CA214" i="30"/>
  <c r="CB214" i="30"/>
  <c r="CC214" i="30"/>
  <c r="AD215" i="30"/>
  <c r="AE215" i="30"/>
  <c r="AF215" i="30"/>
  <c r="AG215" i="30"/>
  <c r="AH215" i="30"/>
  <c r="AI215" i="30"/>
  <c r="AJ215" i="30"/>
  <c r="AK215" i="30"/>
  <c r="AL215" i="30"/>
  <c r="AM215" i="30"/>
  <c r="AN215" i="30"/>
  <c r="AO215" i="30"/>
  <c r="AP215" i="30"/>
  <c r="AQ215" i="30"/>
  <c r="AR215" i="30"/>
  <c r="AS215" i="30"/>
  <c r="AT215" i="30"/>
  <c r="AU215" i="30"/>
  <c r="AV215" i="30"/>
  <c r="AW215" i="30"/>
  <c r="AX215" i="30"/>
  <c r="AY215" i="30"/>
  <c r="AZ215" i="30"/>
  <c r="BA215" i="30"/>
  <c r="BB215" i="30"/>
  <c r="BC215" i="30"/>
  <c r="BD215" i="30"/>
  <c r="BE215" i="30"/>
  <c r="BF215" i="30"/>
  <c r="BG215" i="30"/>
  <c r="BH215" i="30"/>
  <c r="BI215" i="30"/>
  <c r="BJ215" i="30"/>
  <c r="BK215" i="30"/>
  <c r="BL215" i="30"/>
  <c r="BM215" i="30"/>
  <c r="BN215" i="30"/>
  <c r="BO215" i="30"/>
  <c r="BP215" i="30"/>
  <c r="BQ215" i="30"/>
  <c r="BR215" i="30"/>
  <c r="BS215" i="30"/>
  <c r="BT215" i="30"/>
  <c r="BU215" i="30"/>
  <c r="BV215" i="30"/>
  <c r="BW215" i="30"/>
  <c r="BX215" i="30"/>
  <c r="BY215" i="30"/>
  <c r="BZ215" i="30"/>
  <c r="CA215" i="30"/>
  <c r="CB215" i="30"/>
  <c r="CC215" i="30"/>
  <c r="AD216" i="30"/>
  <c r="AE216" i="30"/>
  <c r="AF216" i="30"/>
  <c r="AG216" i="30"/>
  <c r="AH216" i="30"/>
  <c r="AI216" i="30"/>
  <c r="AJ216" i="30"/>
  <c r="AK216" i="30"/>
  <c r="AL216" i="30"/>
  <c r="AM216" i="30"/>
  <c r="AN216" i="30"/>
  <c r="AO216" i="30"/>
  <c r="AP216" i="30"/>
  <c r="AQ216" i="30"/>
  <c r="AR216" i="30"/>
  <c r="AS216" i="30"/>
  <c r="AT216" i="30"/>
  <c r="AU216" i="30"/>
  <c r="AV216" i="30"/>
  <c r="AW216" i="30"/>
  <c r="AX216" i="30"/>
  <c r="AY216" i="30"/>
  <c r="AZ216" i="30"/>
  <c r="BA216" i="30"/>
  <c r="BB216" i="30"/>
  <c r="BC216" i="30"/>
  <c r="BD216" i="30"/>
  <c r="BE216" i="30"/>
  <c r="BF216" i="30"/>
  <c r="BG216" i="30"/>
  <c r="BH216" i="30"/>
  <c r="BI216" i="30"/>
  <c r="BJ216" i="30"/>
  <c r="BK216" i="30"/>
  <c r="BL216" i="30"/>
  <c r="BM216" i="30"/>
  <c r="BN216" i="30"/>
  <c r="BO216" i="30"/>
  <c r="BP216" i="30"/>
  <c r="BQ216" i="30"/>
  <c r="BR216" i="30"/>
  <c r="BS216" i="30"/>
  <c r="BT216" i="30"/>
  <c r="BU216" i="30"/>
  <c r="BV216" i="30"/>
  <c r="BW216" i="30"/>
  <c r="BX216" i="30"/>
  <c r="BY216" i="30"/>
  <c r="BZ216" i="30"/>
  <c r="CA216" i="30"/>
  <c r="CB216" i="30"/>
  <c r="CC216" i="30"/>
  <c r="AD217" i="30"/>
  <c r="AE217" i="30"/>
  <c r="AF217" i="30"/>
  <c r="AG217" i="30"/>
  <c r="AH217" i="30"/>
  <c r="AI217" i="30"/>
  <c r="AJ217" i="30"/>
  <c r="AK217" i="30"/>
  <c r="AL217" i="30"/>
  <c r="AM217" i="30"/>
  <c r="AN217" i="30"/>
  <c r="AO217" i="30"/>
  <c r="AP217" i="30"/>
  <c r="AQ217" i="30"/>
  <c r="AR217" i="30"/>
  <c r="AS217" i="30"/>
  <c r="AT217" i="30"/>
  <c r="AU217" i="30"/>
  <c r="AV217" i="30"/>
  <c r="AW217" i="30"/>
  <c r="AX217" i="30"/>
  <c r="AY217" i="30"/>
  <c r="AZ217" i="30"/>
  <c r="BA217" i="30"/>
  <c r="BB217" i="30"/>
  <c r="BC217" i="30"/>
  <c r="BD217" i="30"/>
  <c r="BE217" i="30"/>
  <c r="BF217" i="30"/>
  <c r="BG217" i="30"/>
  <c r="BH217" i="30"/>
  <c r="BI217" i="30"/>
  <c r="BJ217" i="30"/>
  <c r="BK217" i="30"/>
  <c r="BL217" i="30"/>
  <c r="BM217" i="30"/>
  <c r="BN217" i="30"/>
  <c r="BO217" i="30"/>
  <c r="BP217" i="30"/>
  <c r="BQ217" i="30"/>
  <c r="BR217" i="30"/>
  <c r="BS217" i="30"/>
  <c r="BT217" i="30"/>
  <c r="BU217" i="30"/>
  <c r="BV217" i="30"/>
  <c r="BW217" i="30"/>
  <c r="BX217" i="30"/>
  <c r="BY217" i="30"/>
  <c r="BZ217" i="30"/>
  <c r="CA217" i="30"/>
  <c r="CB217" i="30"/>
  <c r="CC217" i="30"/>
  <c r="AD218" i="30"/>
  <c r="AE218" i="30"/>
  <c r="AF218" i="30"/>
  <c r="AG218" i="30"/>
  <c r="AH218" i="30"/>
  <c r="AI218" i="30"/>
  <c r="AJ218" i="30"/>
  <c r="AK218" i="30"/>
  <c r="AL218" i="30"/>
  <c r="AM218" i="30"/>
  <c r="AN218" i="30"/>
  <c r="AO218" i="30"/>
  <c r="AP218" i="30"/>
  <c r="AQ218" i="30"/>
  <c r="AR218" i="30"/>
  <c r="AS218" i="30"/>
  <c r="AT218" i="30"/>
  <c r="AU218" i="30"/>
  <c r="AV218" i="30"/>
  <c r="AW218" i="30"/>
  <c r="AX218" i="30"/>
  <c r="AY218" i="30"/>
  <c r="AZ218" i="30"/>
  <c r="BA218" i="30"/>
  <c r="BB218" i="30"/>
  <c r="BC218" i="30"/>
  <c r="BD218" i="30"/>
  <c r="BE218" i="30"/>
  <c r="BF218" i="30"/>
  <c r="BG218" i="30"/>
  <c r="BH218" i="30"/>
  <c r="BI218" i="30"/>
  <c r="BJ218" i="30"/>
  <c r="BK218" i="30"/>
  <c r="BL218" i="30"/>
  <c r="BM218" i="30"/>
  <c r="BN218" i="30"/>
  <c r="BO218" i="30"/>
  <c r="BP218" i="30"/>
  <c r="BQ218" i="30"/>
  <c r="BR218" i="30"/>
  <c r="BS218" i="30"/>
  <c r="BT218" i="30"/>
  <c r="BU218" i="30"/>
  <c r="BV218" i="30"/>
  <c r="BW218" i="30"/>
  <c r="BX218" i="30"/>
  <c r="BY218" i="30"/>
  <c r="BZ218" i="30"/>
  <c r="CA218" i="30"/>
  <c r="CB218" i="30"/>
  <c r="CC218" i="30"/>
  <c r="AD219" i="30"/>
  <c r="AE219" i="30"/>
  <c r="AF219" i="30"/>
  <c r="AG219" i="30"/>
  <c r="AH219" i="30"/>
  <c r="AI219" i="30"/>
  <c r="AJ219" i="30"/>
  <c r="AK219" i="30"/>
  <c r="AL219" i="30"/>
  <c r="AM219" i="30"/>
  <c r="AN219" i="30"/>
  <c r="AO219" i="30"/>
  <c r="AP219" i="30"/>
  <c r="AQ219" i="30"/>
  <c r="AR219" i="30"/>
  <c r="AS219" i="30"/>
  <c r="AT219" i="30"/>
  <c r="AU219" i="30"/>
  <c r="AV219" i="30"/>
  <c r="AW219" i="30"/>
  <c r="AX219" i="30"/>
  <c r="AY219" i="30"/>
  <c r="AZ219" i="30"/>
  <c r="BA219" i="30"/>
  <c r="BB219" i="30"/>
  <c r="BC219" i="30"/>
  <c r="BD219" i="30"/>
  <c r="BE219" i="30"/>
  <c r="BF219" i="30"/>
  <c r="BG219" i="30"/>
  <c r="BH219" i="30"/>
  <c r="BI219" i="30"/>
  <c r="BJ219" i="30"/>
  <c r="BK219" i="30"/>
  <c r="BL219" i="30"/>
  <c r="BM219" i="30"/>
  <c r="BN219" i="30"/>
  <c r="BO219" i="30"/>
  <c r="BP219" i="30"/>
  <c r="BQ219" i="30"/>
  <c r="BR219" i="30"/>
  <c r="BS219" i="30"/>
  <c r="BT219" i="30"/>
  <c r="BU219" i="30"/>
  <c r="BV219" i="30"/>
  <c r="BW219" i="30"/>
  <c r="BX219" i="30"/>
  <c r="BY219" i="30"/>
  <c r="BZ219" i="30"/>
  <c r="CA219" i="30"/>
  <c r="CB219" i="30"/>
  <c r="CC219" i="30"/>
  <c r="AD220" i="30"/>
  <c r="AE220" i="30"/>
  <c r="AF220" i="30"/>
  <c r="AG220" i="30"/>
  <c r="AH220" i="30"/>
  <c r="AI220" i="30"/>
  <c r="AJ220" i="30"/>
  <c r="AK220" i="30"/>
  <c r="AL220" i="30"/>
  <c r="AM220" i="30"/>
  <c r="AN220" i="30"/>
  <c r="AO220" i="30"/>
  <c r="AP220" i="30"/>
  <c r="AQ220" i="30"/>
  <c r="AR220" i="30"/>
  <c r="AS220" i="30"/>
  <c r="AT220" i="30"/>
  <c r="AU220" i="30"/>
  <c r="AV220" i="30"/>
  <c r="AW220" i="30"/>
  <c r="AX220" i="30"/>
  <c r="AY220" i="30"/>
  <c r="AZ220" i="30"/>
  <c r="BA220" i="30"/>
  <c r="BB220" i="30"/>
  <c r="BC220" i="30"/>
  <c r="BD220" i="30"/>
  <c r="BE220" i="30"/>
  <c r="BF220" i="30"/>
  <c r="BG220" i="30"/>
  <c r="BH220" i="30"/>
  <c r="BI220" i="30"/>
  <c r="BJ220" i="30"/>
  <c r="BK220" i="30"/>
  <c r="BL220" i="30"/>
  <c r="BM220" i="30"/>
  <c r="BN220" i="30"/>
  <c r="BO220" i="30"/>
  <c r="BP220" i="30"/>
  <c r="BQ220" i="30"/>
  <c r="BR220" i="30"/>
  <c r="BS220" i="30"/>
  <c r="BT220" i="30"/>
  <c r="BU220" i="30"/>
  <c r="BV220" i="30"/>
  <c r="BW220" i="30"/>
  <c r="BX220" i="30"/>
  <c r="BY220" i="30"/>
  <c r="BZ220" i="30"/>
  <c r="CA220" i="30"/>
  <c r="CB220" i="30"/>
  <c r="CC220" i="30"/>
  <c r="AD221" i="30"/>
  <c r="AE221" i="30"/>
  <c r="AF221" i="30"/>
  <c r="AG221" i="30"/>
  <c r="AH221" i="30"/>
  <c r="AI221" i="30"/>
  <c r="AJ221" i="30"/>
  <c r="AK221" i="30"/>
  <c r="AL221" i="30"/>
  <c r="AM221" i="30"/>
  <c r="AN221" i="30"/>
  <c r="AO221" i="30"/>
  <c r="AP221" i="30"/>
  <c r="AQ221" i="30"/>
  <c r="AR221" i="30"/>
  <c r="AS221" i="30"/>
  <c r="AT221" i="30"/>
  <c r="AU221" i="30"/>
  <c r="AV221" i="30"/>
  <c r="AW221" i="30"/>
  <c r="AX221" i="30"/>
  <c r="AY221" i="30"/>
  <c r="AZ221" i="30"/>
  <c r="BA221" i="30"/>
  <c r="BB221" i="30"/>
  <c r="BC221" i="30"/>
  <c r="BD221" i="30"/>
  <c r="BE221" i="30"/>
  <c r="BF221" i="30"/>
  <c r="BG221" i="30"/>
  <c r="BH221" i="30"/>
  <c r="BI221" i="30"/>
  <c r="BJ221" i="30"/>
  <c r="BK221" i="30"/>
  <c r="BL221" i="30"/>
  <c r="BM221" i="30"/>
  <c r="BN221" i="30"/>
  <c r="BO221" i="30"/>
  <c r="BP221" i="30"/>
  <c r="BQ221" i="30"/>
  <c r="BR221" i="30"/>
  <c r="BS221" i="30"/>
  <c r="BT221" i="30"/>
  <c r="BU221" i="30"/>
  <c r="BV221" i="30"/>
  <c r="BW221" i="30"/>
  <c r="BX221" i="30"/>
  <c r="BY221" i="30"/>
  <c r="BZ221" i="30"/>
  <c r="CA221" i="30"/>
  <c r="CB221" i="30"/>
  <c r="CC221" i="30"/>
  <c r="AD222" i="30"/>
  <c r="AE222" i="30"/>
  <c r="AF222" i="30"/>
  <c r="AG222" i="30"/>
  <c r="AH222" i="30"/>
  <c r="AI222" i="30"/>
  <c r="AJ222" i="30"/>
  <c r="AK222" i="30"/>
  <c r="AL222" i="30"/>
  <c r="AM222" i="30"/>
  <c r="AN222" i="30"/>
  <c r="AO222" i="30"/>
  <c r="AP222" i="30"/>
  <c r="AQ222" i="30"/>
  <c r="AR222" i="30"/>
  <c r="AS222" i="30"/>
  <c r="AT222" i="30"/>
  <c r="AU222" i="30"/>
  <c r="AV222" i="30"/>
  <c r="AW222" i="30"/>
  <c r="AX222" i="30"/>
  <c r="AY222" i="30"/>
  <c r="AZ222" i="30"/>
  <c r="BA222" i="30"/>
  <c r="BB222" i="30"/>
  <c r="BC222" i="30"/>
  <c r="BD222" i="30"/>
  <c r="BE222" i="30"/>
  <c r="BF222" i="30"/>
  <c r="BG222" i="30"/>
  <c r="BH222" i="30"/>
  <c r="BI222" i="30"/>
  <c r="BJ222" i="30"/>
  <c r="BK222" i="30"/>
  <c r="BL222" i="30"/>
  <c r="BM222" i="30"/>
  <c r="BN222" i="30"/>
  <c r="BO222" i="30"/>
  <c r="BP222" i="30"/>
  <c r="BQ222" i="30"/>
  <c r="BR222" i="30"/>
  <c r="BS222" i="30"/>
  <c r="BT222" i="30"/>
  <c r="BU222" i="30"/>
  <c r="BV222" i="30"/>
  <c r="BW222" i="30"/>
  <c r="BX222" i="30"/>
  <c r="BY222" i="30"/>
  <c r="BZ222" i="30"/>
  <c r="CA222" i="30"/>
  <c r="CB222" i="30"/>
  <c r="CC222" i="30"/>
  <c r="AD223" i="30"/>
  <c r="AE223" i="30"/>
  <c r="AF223" i="30"/>
  <c r="AG223" i="30"/>
  <c r="AH223" i="30"/>
  <c r="AI223" i="30"/>
  <c r="AJ223" i="30"/>
  <c r="AK223" i="30"/>
  <c r="AL223" i="30"/>
  <c r="AM223" i="30"/>
  <c r="AN223" i="30"/>
  <c r="AO223" i="30"/>
  <c r="AP223" i="30"/>
  <c r="AQ223" i="30"/>
  <c r="AR223" i="30"/>
  <c r="AS223" i="30"/>
  <c r="AT223" i="30"/>
  <c r="AU223" i="30"/>
  <c r="AV223" i="30"/>
  <c r="AW223" i="30"/>
  <c r="AX223" i="30"/>
  <c r="AY223" i="30"/>
  <c r="AZ223" i="30"/>
  <c r="BA223" i="30"/>
  <c r="BB223" i="30"/>
  <c r="BC223" i="30"/>
  <c r="BD223" i="30"/>
  <c r="BE223" i="30"/>
  <c r="BF223" i="30"/>
  <c r="BG223" i="30"/>
  <c r="BH223" i="30"/>
  <c r="BI223" i="30"/>
  <c r="BJ223" i="30"/>
  <c r="BK223" i="30"/>
  <c r="BL223" i="30"/>
  <c r="BM223" i="30"/>
  <c r="BN223" i="30"/>
  <c r="BO223" i="30"/>
  <c r="BP223" i="30"/>
  <c r="BQ223" i="30"/>
  <c r="BR223" i="30"/>
  <c r="BS223" i="30"/>
  <c r="BT223" i="30"/>
  <c r="BU223" i="30"/>
  <c r="BV223" i="30"/>
  <c r="BW223" i="30"/>
  <c r="BX223" i="30"/>
  <c r="BY223" i="30"/>
  <c r="BZ223" i="30"/>
  <c r="CA223" i="30"/>
  <c r="CB223" i="30"/>
  <c r="CC223" i="30"/>
  <c r="AD224" i="30"/>
  <c r="AE224" i="30"/>
  <c r="AF224" i="30"/>
  <c r="AG224" i="30"/>
  <c r="AH224" i="30"/>
  <c r="AI224" i="30"/>
  <c r="AJ224" i="30"/>
  <c r="AK224" i="30"/>
  <c r="AL224" i="30"/>
  <c r="AM224" i="30"/>
  <c r="AN224" i="30"/>
  <c r="AO224" i="30"/>
  <c r="AP224" i="30"/>
  <c r="AQ224" i="30"/>
  <c r="AR224" i="30"/>
  <c r="AS224" i="30"/>
  <c r="AT224" i="30"/>
  <c r="AU224" i="30"/>
  <c r="AV224" i="30"/>
  <c r="AW224" i="30"/>
  <c r="AX224" i="30"/>
  <c r="AY224" i="30"/>
  <c r="AZ224" i="30"/>
  <c r="BA224" i="30"/>
  <c r="BB224" i="30"/>
  <c r="BC224" i="30"/>
  <c r="BD224" i="30"/>
  <c r="BE224" i="30"/>
  <c r="BF224" i="30"/>
  <c r="BG224" i="30"/>
  <c r="BH224" i="30"/>
  <c r="BI224" i="30"/>
  <c r="BJ224" i="30"/>
  <c r="BK224" i="30"/>
  <c r="BL224" i="30"/>
  <c r="BM224" i="30"/>
  <c r="BN224" i="30"/>
  <c r="BO224" i="30"/>
  <c r="BP224" i="30"/>
  <c r="BQ224" i="30"/>
  <c r="BR224" i="30"/>
  <c r="BS224" i="30"/>
  <c r="BT224" i="30"/>
  <c r="BU224" i="30"/>
  <c r="BV224" i="30"/>
  <c r="BW224" i="30"/>
  <c r="BX224" i="30"/>
  <c r="BY224" i="30"/>
  <c r="BZ224" i="30"/>
  <c r="CA224" i="30"/>
  <c r="CB224" i="30"/>
  <c r="CC224" i="30"/>
  <c r="AD225" i="30"/>
  <c r="AE225" i="30"/>
  <c r="AF225" i="30"/>
  <c r="AG225" i="30"/>
  <c r="AH225" i="30"/>
  <c r="AI225" i="30"/>
  <c r="AJ225" i="30"/>
  <c r="AK225" i="30"/>
  <c r="AL225" i="30"/>
  <c r="AM225" i="30"/>
  <c r="AN225" i="30"/>
  <c r="AO225" i="30"/>
  <c r="AP225" i="30"/>
  <c r="AQ225" i="30"/>
  <c r="AR225" i="30"/>
  <c r="AS225" i="30"/>
  <c r="AT225" i="30"/>
  <c r="AU225" i="30"/>
  <c r="AV225" i="30"/>
  <c r="AW225" i="30"/>
  <c r="AX225" i="30"/>
  <c r="AY225" i="30"/>
  <c r="AZ225" i="30"/>
  <c r="BA225" i="30"/>
  <c r="BB225" i="30"/>
  <c r="BC225" i="30"/>
  <c r="BD225" i="30"/>
  <c r="BE225" i="30"/>
  <c r="BF225" i="30"/>
  <c r="BG225" i="30"/>
  <c r="BH225" i="30"/>
  <c r="BI225" i="30"/>
  <c r="BJ225" i="30"/>
  <c r="BK225" i="30"/>
  <c r="BL225" i="30"/>
  <c r="BM225" i="30"/>
  <c r="BN225" i="30"/>
  <c r="BO225" i="30"/>
  <c r="BP225" i="30"/>
  <c r="BQ225" i="30"/>
  <c r="BR225" i="30"/>
  <c r="BS225" i="30"/>
  <c r="BT225" i="30"/>
  <c r="BU225" i="30"/>
  <c r="BV225" i="30"/>
  <c r="BW225" i="30"/>
  <c r="BX225" i="30"/>
  <c r="BY225" i="30"/>
  <c r="BZ225" i="30"/>
  <c r="CA225" i="30"/>
  <c r="CB225" i="30"/>
  <c r="CC225" i="30"/>
  <c r="AD226" i="30"/>
  <c r="AE226" i="30"/>
  <c r="AF226" i="30"/>
  <c r="AG226" i="30"/>
  <c r="AH226" i="30"/>
  <c r="AI226" i="30"/>
  <c r="AJ226" i="30"/>
  <c r="AK226" i="30"/>
  <c r="AL226" i="30"/>
  <c r="AM226" i="30"/>
  <c r="AN226" i="30"/>
  <c r="AO226" i="30"/>
  <c r="AP226" i="30"/>
  <c r="AQ226" i="30"/>
  <c r="AR226" i="30"/>
  <c r="AS226" i="30"/>
  <c r="AT226" i="30"/>
  <c r="AU226" i="30"/>
  <c r="AV226" i="30"/>
  <c r="AW226" i="30"/>
  <c r="AX226" i="30"/>
  <c r="AY226" i="30"/>
  <c r="AZ226" i="30"/>
  <c r="BA226" i="30"/>
  <c r="BB226" i="30"/>
  <c r="BC226" i="30"/>
  <c r="BD226" i="30"/>
  <c r="BE226" i="30"/>
  <c r="BF226" i="30"/>
  <c r="BG226" i="30"/>
  <c r="BH226" i="30"/>
  <c r="BI226" i="30"/>
  <c r="BJ226" i="30"/>
  <c r="BK226" i="30"/>
  <c r="BL226" i="30"/>
  <c r="BM226" i="30"/>
  <c r="BN226" i="30"/>
  <c r="BO226" i="30"/>
  <c r="BP226" i="30"/>
  <c r="BQ226" i="30"/>
  <c r="BR226" i="30"/>
  <c r="BS226" i="30"/>
  <c r="BT226" i="30"/>
  <c r="BU226" i="30"/>
  <c r="BV226" i="30"/>
  <c r="BW226" i="30"/>
  <c r="BX226" i="30"/>
  <c r="BY226" i="30"/>
  <c r="BZ226" i="30"/>
  <c r="CA226" i="30"/>
  <c r="CB226" i="30"/>
  <c r="CC226" i="30"/>
  <c r="AD227" i="30"/>
  <c r="AE227" i="30"/>
  <c r="AF227" i="30"/>
  <c r="AG227" i="30"/>
  <c r="AH227" i="30"/>
  <c r="AI227" i="30"/>
  <c r="AJ227" i="30"/>
  <c r="AK227" i="30"/>
  <c r="AL227" i="30"/>
  <c r="AM227" i="30"/>
  <c r="AN227" i="30"/>
  <c r="AO227" i="30"/>
  <c r="AP227" i="30"/>
  <c r="AQ227" i="30"/>
  <c r="AR227" i="30"/>
  <c r="AS227" i="30"/>
  <c r="AT227" i="30"/>
  <c r="AU227" i="30"/>
  <c r="AV227" i="30"/>
  <c r="AW227" i="30"/>
  <c r="AX227" i="30"/>
  <c r="AY227" i="30"/>
  <c r="AZ227" i="30"/>
  <c r="BA227" i="30"/>
  <c r="BB227" i="30"/>
  <c r="BC227" i="30"/>
  <c r="BD227" i="30"/>
  <c r="BE227" i="30"/>
  <c r="BF227" i="30"/>
  <c r="BG227" i="30"/>
  <c r="BH227" i="30"/>
  <c r="BI227" i="30"/>
  <c r="BJ227" i="30"/>
  <c r="BK227" i="30"/>
  <c r="BL227" i="30"/>
  <c r="BM227" i="30"/>
  <c r="BN227" i="30"/>
  <c r="BO227" i="30"/>
  <c r="BP227" i="30"/>
  <c r="BQ227" i="30"/>
  <c r="BR227" i="30"/>
  <c r="BS227" i="30"/>
  <c r="BT227" i="30"/>
  <c r="BU227" i="30"/>
  <c r="BV227" i="30"/>
  <c r="BW227" i="30"/>
  <c r="BX227" i="30"/>
  <c r="BY227" i="30"/>
  <c r="BZ227" i="30"/>
  <c r="CA227" i="30"/>
  <c r="CB227" i="30"/>
  <c r="CC227" i="30"/>
  <c r="AD228" i="30"/>
  <c r="AE228" i="30"/>
  <c r="AF228" i="30"/>
  <c r="AG228" i="30"/>
  <c r="AH228" i="30"/>
  <c r="AI228" i="30"/>
  <c r="AJ228" i="30"/>
  <c r="AK228" i="30"/>
  <c r="AL228" i="30"/>
  <c r="AM228" i="30"/>
  <c r="AN228" i="30"/>
  <c r="AO228" i="30"/>
  <c r="AP228" i="30"/>
  <c r="AQ228" i="30"/>
  <c r="AR228" i="30"/>
  <c r="AS228" i="30"/>
  <c r="AT228" i="30"/>
  <c r="AU228" i="30"/>
  <c r="AV228" i="30"/>
  <c r="AW228" i="30"/>
  <c r="AX228" i="30"/>
  <c r="AY228" i="30"/>
  <c r="AZ228" i="30"/>
  <c r="BA228" i="30"/>
  <c r="BB228" i="30"/>
  <c r="BC228" i="30"/>
  <c r="BD228" i="30"/>
  <c r="BE228" i="30"/>
  <c r="BF228" i="30"/>
  <c r="BG228" i="30"/>
  <c r="BH228" i="30"/>
  <c r="BI228" i="30"/>
  <c r="BJ228" i="30"/>
  <c r="BK228" i="30"/>
  <c r="BL228" i="30"/>
  <c r="BM228" i="30"/>
  <c r="BN228" i="30"/>
  <c r="BO228" i="30"/>
  <c r="BP228" i="30"/>
  <c r="BQ228" i="30"/>
  <c r="BR228" i="30"/>
  <c r="BS228" i="30"/>
  <c r="BT228" i="30"/>
  <c r="BU228" i="30"/>
  <c r="BV228" i="30"/>
  <c r="BW228" i="30"/>
  <c r="BX228" i="30"/>
  <c r="BY228" i="30"/>
  <c r="BZ228" i="30"/>
  <c r="CA228" i="30"/>
  <c r="CB228" i="30"/>
  <c r="CC228" i="30"/>
  <c r="AD229" i="30"/>
  <c r="AE229" i="30"/>
  <c r="AF229" i="30"/>
  <c r="AG229" i="30"/>
  <c r="AH229" i="30"/>
  <c r="AI229" i="30"/>
  <c r="AJ229" i="30"/>
  <c r="AK229" i="30"/>
  <c r="AL229" i="30"/>
  <c r="AM229" i="30"/>
  <c r="AN229" i="30"/>
  <c r="AO229" i="30"/>
  <c r="AP229" i="30"/>
  <c r="AQ229" i="30"/>
  <c r="AR229" i="30"/>
  <c r="AS229" i="30"/>
  <c r="AT229" i="30"/>
  <c r="AU229" i="30"/>
  <c r="AV229" i="30"/>
  <c r="AW229" i="30"/>
  <c r="AX229" i="30"/>
  <c r="AY229" i="30"/>
  <c r="AZ229" i="30"/>
  <c r="BA229" i="30"/>
  <c r="BB229" i="30"/>
  <c r="BC229" i="30"/>
  <c r="BD229" i="30"/>
  <c r="BE229" i="30"/>
  <c r="BF229" i="30"/>
  <c r="BG229" i="30"/>
  <c r="BH229" i="30"/>
  <c r="BI229" i="30"/>
  <c r="BJ229" i="30"/>
  <c r="BK229" i="30"/>
  <c r="BL229" i="30"/>
  <c r="BM229" i="30"/>
  <c r="BN229" i="30"/>
  <c r="BO229" i="30"/>
  <c r="BP229" i="30"/>
  <c r="BQ229" i="30"/>
  <c r="BR229" i="30"/>
  <c r="BS229" i="30"/>
  <c r="BT229" i="30"/>
  <c r="BU229" i="30"/>
  <c r="BV229" i="30"/>
  <c r="BW229" i="30"/>
  <c r="BX229" i="30"/>
  <c r="BY229" i="30"/>
  <c r="BZ229" i="30"/>
  <c r="CA229" i="30"/>
  <c r="CB229" i="30"/>
  <c r="CC229" i="30"/>
  <c r="AD230" i="30"/>
  <c r="AE230" i="30"/>
  <c r="AF230" i="30"/>
  <c r="AG230" i="30"/>
  <c r="AH230" i="30"/>
  <c r="AI230" i="30"/>
  <c r="AJ230" i="30"/>
  <c r="AK230" i="30"/>
  <c r="AL230" i="30"/>
  <c r="AM230" i="30"/>
  <c r="AN230" i="30"/>
  <c r="AO230" i="30"/>
  <c r="AP230" i="30"/>
  <c r="AQ230" i="30"/>
  <c r="AR230" i="30"/>
  <c r="AS230" i="30"/>
  <c r="AT230" i="30"/>
  <c r="AU230" i="30"/>
  <c r="AV230" i="30"/>
  <c r="AW230" i="30"/>
  <c r="AX230" i="30"/>
  <c r="AY230" i="30"/>
  <c r="AZ230" i="30"/>
  <c r="BA230" i="30"/>
  <c r="BB230" i="30"/>
  <c r="BC230" i="30"/>
  <c r="BD230" i="30"/>
  <c r="BE230" i="30"/>
  <c r="BF230" i="30"/>
  <c r="BG230" i="30"/>
  <c r="BH230" i="30"/>
  <c r="BI230" i="30"/>
  <c r="BJ230" i="30"/>
  <c r="BK230" i="30"/>
  <c r="BL230" i="30"/>
  <c r="BM230" i="30"/>
  <c r="BN230" i="30"/>
  <c r="BO230" i="30"/>
  <c r="BP230" i="30"/>
  <c r="BQ230" i="30"/>
  <c r="BR230" i="30"/>
  <c r="BS230" i="30"/>
  <c r="BT230" i="30"/>
  <c r="BU230" i="30"/>
  <c r="BV230" i="30"/>
  <c r="BW230" i="30"/>
  <c r="BX230" i="30"/>
  <c r="BY230" i="30"/>
  <c r="BZ230" i="30"/>
  <c r="CA230" i="30"/>
  <c r="CB230" i="30"/>
  <c r="CC230" i="30"/>
  <c r="AD231" i="30"/>
  <c r="AE231" i="30"/>
  <c r="AF231" i="30"/>
  <c r="AG231" i="30"/>
  <c r="AH231" i="30"/>
  <c r="AI231" i="30"/>
  <c r="AJ231" i="30"/>
  <c r="AK231" i="30"/>
  <c r="AL231" i="30"/>
  <c r="AM231" i="30"/>
  <c r="AN231" i="30"/>
  <c r="AO231" i="30"/>
  <c r="AP231" i="30"/>
  <c r="AQ231" i="30"/>
  <c r="AR231" i="30"/>
  <c r="AS231" i="30"/>
  <c r="AT231" i="30"/>
  <c r="AU231" i="30"/>
  <c r="AV231" i="30"/>
  <c r="AW231" i="30"/>
  <c r="AX231" i="30"/>
  <c r="AY231" i="30"/>
  <c r="AZ231" i="30"/>
  <c r="BA231" i="30"/>
  <c r="BB231" i="30"/>
  <c r="BC231" i="30"/>
  <c r="BD231" i="30"/>
  <c r="BE231" i="30"/>
  <c r="BF231" i="30"/>
  <c r="BG231" i="30"/>
  <c r="BH231" i="30"/>
  <c r="BI231" i="30"/>
  <c r="BJ231" i="30"/>
  <c r="BK231" i="30"/>
  <c r="BL231" i="30"/>
  <c r="BM231" i="30"/>
  <c r="BN231" i="30"/>
  <c r="BO231" i="30"/>
  <c r="BP231" i="30"/>
  <c r="BQ231" i="30"/>
  <c r="BR231" i="30"/>
  <c r="BS231" i="30"/>
  <c r="BT231" i="30"/>
  <c r="BU231" i="30"/>
  <c r="BV231" i="30"/>
  <c r="BW231" i="30"/>
  <c r="BX231" i="30"/>
  <c r="BY231" i="30"/>
  <c r="BZ231" i="30"/>
  <c r="CA231" i="30"/>
  <c r="CB231" i="30"/>
  <c r="CC231" i="30"/>
  <c r="AD232" i="30"/>
  <c r="AE232" i="30"/>
  <c r="AF232" i="30"/>
  <c r="AG232" i="30"/>
  <c r="AH232" i="30"/>
  <c r="AI232" i="30"/>
  <c r="AJ232" i="30"/>
  <c r="AK232" i="30"/>
  <c r="AL232" i="30"/>
  <c r="AM232" i="30"/>
  <c r="AN232" i="30"/>
  <c r="AO232" i="30"/>
  <c r="AP232" i="30"/>
  <c r="AQ232" i="30"/>
  <c r="AR232" i="30"/>
  <c r="AS232" i="30"/>
  <c r="AT232" i="30"/>
  <c r="AU232" i="30"/>
  <c r="AV232" i="30"/>
  <c r="AW232" i="30"/>
  <c r="AX232" i="30"/>
  <c r="AY232" i="30"/>
  <c r="AZ232" i="30"/>
  <c r="BA232" i="30"/>
  <c r="BB232" i="30"/>
  <c r="BC232" i="30"/>
  <c r="BD232" i="30"/>
  <c r="BE232" i="30"/>
  <c r="BF232" i="30"/>
  <c r="BG232" i="30"/>
  <c r="BH232" i="30"/>
  <c r="BI232" i="30"/>
  <c r="BJ232" i="30"/>
  <c r="BK232" i="30"/>
  <c r="BL232" i="30"/>
  <c r="BM232" i="30"/>
  <c r="BN232" i="30"/>
  <c r="BO232" i="30"/>
  <c r="BP232" i="30"/>
  <c r="BQ232" i="30"/>
  <c r="BR232" i="30"/>
  <c r="BS232" i="30"/>
  <c r="BT232" i="30"/>
  <c r="BU232" i="30"/>
  <c r="BV232" i="30"/>
  <c r="BW232" i="30"/>
  <c r="BX232" i="30"/>
  <c r="BY232" i="30"/>
  <c r="BZ232" i="30"/>
  <c r="CA232" i="30"/>
  <c r="CB232" i="30"/>
  <c r="CC232" i="30"/>
  <c r="AD233" i="30"/>
  <c r="AE233" i="30"/>
  <c r="AF233" i="30"/>
  <c r="AG233" i="30"/>
  <c r="AH233" i="30"/>
  <c r="AI233" i="30"/>
  <c r="AJ233" i="30"/>
  <c r="AK233" i="30"/>
  <c r="AL233" i="30"/>
  <c r="AM233" i="30"/>
  <c r="AN233" i="30"/>
  <c r="AO233" i="30"/>
  <c r="AP233" i="30"/>
  <c r="AQ233" i="30"/>
  <c r="AR233" i="30"/>
  <c r="AS233" i="30"/>
  <c r="AT233" i="30"/>
  <c r="AU233" i="30"/>
  <c r="AV233" i="30"/>
  <c r="AW233" i="30"/>
  <c r="AX233" i="30"/>
  <c r="AY233" i="30"/>
  <c r="AZ233" i="30"/>
  <c r="BA233" i="30"/>
  <c r="BB233" i="30"/>
  <c r="BC233" i="30"/>
  <c r="BD233" i="30"/>
  <c r="BE233" i="30"/>
  <c r="BF233" i="30"/>
  <c r="BG233" i="30"/>
  <c r="BH233" i="30"/>
  <c r="BI233" i="30"/>
  <c r="BJ233" i="30"/>
  <c r="BK233" i="30"/>
  <c r="BL233" i="30"/>
  <c r="BM233" i="30"/>
  <c r="BN233" i="30"/>
  <c r="BO233" i="30"/>
  <c r="BP233" i="30"/>
  <c r="BQ233" i="30"/>
  <c r="BR233" i="30"/>
  <c r="BS233" i="30"/>
  <c r="BT233" i="30"/>
  <c r="BU233" i="30"/>
  <c r="BV233" i="30"/>
  <c r="BW233" i="30"/>
  <c r="BX233" i="30"/>
  <c r="BY233" i="30"/>
  <c r="BZ233" i="30"/>
  <c r="CA233" i="30"/>
  <c r="CB233" i="30"/>
  <c r="CC233" i="30"/>
  <c r="AD234" i="30"/>
  <c r="AE234" i="30"/>
  <c r="AF234" i="30"/>
  <c r="AG234" i="30"/>
  <c r="AH234" i="30"/>
  <c r="AI234" i="30"/>
  <c r="AJ234" i="30"/>
  <c r="AK234" i="30"/>
  <c r="AL234" i="30"/>
  <c r="AM234" i="30"/>
  <c r="AN234" i="30"/>
  <c r="AO234" i="30"/>
  <c r="AP234" i="30"/>
  <c r="AQ234" i="30"/>
  <c r="AR234" i="30"/>
  <c r="AS234" i="30"/>
  <c r="AT234" i="30"/>
  <c r="AU234" i="30"/>
  <c r="AV234" i="30"/>
  <c r="AW234" i="30"/>
  <c r="AX234" i="30"/>
  <c r="AY234" i="30"/>
  <c r="AZ234" i="30"/>
  <c r="BA234" i="30"/>
  <c r="BB234" i="30"/>
  <c r="BC234" i="30"/>
  <c r="BD234" i="30"/>
  <c r="BE234" i="30"/>
  <c r="BF234" i="30"/>
  <c r="BG234" i="30"/>
  <c r="BH234" i="30"/>
  <c r="BI234" i="30"/>
  <c r="BJ234" i="30"/>
  <c r="BK234" i="30"/>
  <c r="BL234" i="30"/>
  <c r="BM234" i="30"/>
  <c r="BN234" i="30"/>
  <c r="BO234" i="30"/>
  <c r="BP234" i="30"/>
  <c r="BQ234" i="30"/>
  <c r="BR234" i="30"/>
  <c r="BS234" i="30"/>
  <c r="BT234" i="30"/>
  <c r="BU234" i="30"/>
  <c r="BV234" i="30"/>
  <c r="BW234" i="30"/>
  <c r="BX234" i="30"/>
  <c r="BY234" i="30"/>
  <c r="BZ234" i="30"/>
  <c r="CA234" i="30"/>
  <c r="CB234" i="30"/>
  <c r="CC234" i="30"/>
  <c r="AD235" i="30"/>
  <c r="AE235" i="30"/>
  <c r="AF235" i="30"/>
  <c r="AG235" i="30"/>
  <c r="AH235" i="30"/>
  <c r="AI235" i="30"/>
  <c r="AJ235" i="30"/>
  <c r="AK235" i="30"/>
  <c r="AL235" i="30"/>
  <c r="AM235" i="30"/>
  <c r="AN235" i="30"/>
  <c r="AO235" i="30"/>
  <c r="AP235" i="30"/>
  <c r="AQ235" i="30"/>
  <c r="AR235" i="30"/>
  <c r="AS235" i="30"/>
  <c r="AT235" i="30"/>
  <c r="AU235" i="30"/>
  <c r="AV235" i="30"/>
  <c r="AW235" i="30"/>
  <c r="AX235" i="30"/>
  <c r="AY235" i="30"/>
  <c r="AZ235" i="30"/>
  <c r="BA235" i="30"/>
  <c r="BB235" i="30"/>
  <c r="BC235" i="30"/>
  <c r="BD235" i="30"/>
  <c r="BE235" i="30"/>
  <c r="BF235" i="30"/>
  <c r="BG235" i="30"/>
  <c r="BH235" i="30"/>
  <c r="BI235" i="30"/>
  <c r="BJ235" i="30"/>
  <c r="BK235" i="30"/>
  <c r="BL235" i="30"/>
  <c r="BM235" i="30"/>
  <c r="BN235" i="30"/>
  <c r="BO235" i="30"/>
  <c r="BP235" i="30"/>
  <c r="BQ235" i="30"/>
  <c r="BR235" i="30"/>
  <c r="BS235" i="30"/>
  <c r="BT235" i="30"/>
  <c r="BU235" i="30"/>
  <c r="BV235" i="30"/>
  <c r="BW235" i="30"/>
  <c r="BX235" i="30"/>
  <c r="BY235" i="30"/>
  <c r="BZ235" i="30"/>
  <c r="CA235" i="30"/>
  <c r="CB235" i="30"/>
  <c r="CC235" i="30"/>
  <c r="AD236" i="30"/>
  <c r="AE236" i="30"/>
  <c r="AF236" i="30"/>
  <c r="AG236" i="30"/>
  <c r="AH236" i="30"/>
  <c r="AI236" i="30"/>
  <c r="AJ236" i="30"/>
  <c r="AK236" i="30"/>
  <c r="AL236" i="30"/>
  <c r="AM236" i="30"/>
  <c r="AN236" i="30"/>
  <c r="AO236" i="30"/>
  <c r="AP236" i="30"/>
  <c r="AQ236" i="30"/>
  <c r="AR236" i="30"/>
  <c r="AS236" i="30"/>
  <c r="AT236" i="30"/>
  <c r="AU236" i="30"/>
  <c r="AV236" i="30"/>
  <c r="AW236" i="30"/>
  <c r="AX236" i="30"/>
  <c r="AY236" i="30"/>
  <c r="AZ236" i="30"/>
  <c r="BA236" i="30"/>
  <c r="BB236" i="30"/>
  <c r="BC236" i="30"/>
  <c r="BD236" i="30"/>
  <c r="BE236" i="30"/>
  <c r="BF236" i="30"/>
  <c r="BG236" i="30"/>
  <c r="BH236" i="30"/>
  <c r="BI236" i="30"/>
  <c r="BJ236" i="30"/>
  <c r="BK236" i="30"/>
  <c r="BL236" i="30"/>
  <c r="BM236" i="30"/>
  <c r="BN236" i="30"/>
  <c r="BO236" i="30"/>
  <c r="BP236" i="30"/>
  <c r="BQ236" i="30"/>
  <c r="BR236" i="30"/>
  <c r="BS236" i="30"/>
  <c r="BT236" i="30"/>
  <c r="BU236" i="30"/>
  <c r="BV236" i="30"/>
  <c r="BW236" i="30"/>
  <c r="BX236" i="30"/>
  <c r="BY236" i="30"/>
  <c r="BZ236" i="30"/>
  <c r="CA236" i="30"/>
  <c r="CB236" i="30"/>
  <c r="CC236" i="30"/>
  <c r="AD237" i="30"/>
  <c r="AE237" i="30"/>
  <c r="AF237" i="30"/>
  <c r="AG237" i="30"/>
  <c r="AH237" i="30"/>
  <c r="AI237" i="30"/>
  <c r="AJ237" i="30"/>
  <c r="AK237" i="30"/>
  <c r="AL237" i="30"/>
  <c r="AM237" i="30"/>
  <c r="AN237" i="30"/>
  <c r="AO237" i="30"/>
  <c r="AP237" i="30"/>
  <c r="AQ237" i="30"/>
  <c r="AR237" i="30"/>
  <c r="AS237" i="30"/>
  <c r="AT237" i="30"/>
  <c r="AU237" i="30"/>
  <c r="AV237" i="30"/>
  <c r="AW237" i="30"/>
  <c r="AX237" i="30"/>
  <c r="AY237" i="30"/>
  <c r="AZ237" i="30"/>
  <c r="BA237" i="30"/>
  <c r="BB237" i="30"/>
  <c r="BC237" i="30"/>
  <c r="BD237" i="30"/>
  <c r="BE237" i="30"/>
  <c r="BF237" i="30"/>
  <c r="BG237" i="30"/>
  <c r="BH237" i="30"/>
  <c r="BI237" i="30"/>
  <c r="BJ237" i="30"/>
  <c r="BK237" i="30"/>
  <c r="BL237" i="30"/>
  <c r="BM237" i="30"/>
  <c r="BN237" i="30"/>
  <c r="BO237" i="30"/>
  <c r="BP237" i="30"/>
  <c r="BQ237" i="30"/>
  <c r="BR237" i="30"/>
  <c r="BS237" i="30"/>
  <c r="BT237" i="30"/>
  <c r="BU237" i="30"/>
  <c r="BV237" i="30"/>
  <c r="BW237" i="30"/>
  <c r="BX237" i="30"/>
  <c r="BY237" i="30"/>
  <c r="BZ237" i="30"/>
  <c r="CA237" i="30"/>
  <c r="CB237" i="30"/>
  <c r="CC237" i="30"/>
  <c r="AD238" i="30"/>
  <c r="AE238" i="30"/>
  <c r="AF238" i="30"/>
  <c r="AG238" i="30"/>
  <c r="AH238" i="30"/>
  <c r="AI238" i="30"/>
  <c r="AJ238" i="30"/>
  <c r="AK238" i="30"/>
  <c r="AL238" i="30"/>
  <c r="AM238" i="30"/>
  <c r="AN238" i="30"/>
  <c r="AO238" i="30"/>
  <c r="AP238" i="30"/>
  <c r="AQ238" i="30"/>
  <c r="AR238" i="30"/>
  <c r="AS238" i="30"/>
  <c r="AT238" i="30"/>
  <c r="AU238" i="30"/>
  <c r="AV238" i="30"/>
  <c r="AW238" i="30"/>
  <c r="AX238" i="30"/>
  <c r="AY238" i="30"/>
  <c r="AZ238" i="30"/>
  <c r="BA238" i="30"/>
  <c r="BB238" i="30"/>
  <c r="BC238" i="30"/>
  <c r="BD238" i="30"/>
  <c r="BE238" i="30"/>
  <c r="BF238" i="30"/>
  <c r="BG238" i="30"/>
  <c r="BH238" i="30"/>
  <c r="BI238" i="30"/>
  <c r="BJ238" i="30"/>
  <c r="BK238" i="30"/>
  <c r="BL238" i="30"/>
  <c r="BM238" i="30"/>
  <c r="BN238" i="30"/>
  <c r="BO238" i="30"/>
  <c r="BP238" i="30"/>
  <c r="BQ238" i="30"/>
  <c r="BR238" i="30"/>
  <c r="BS238" i="30"/>
  <c r="BT238" i="30"/>
  <c r="BU238" i="30"/>
  <c r="BV238" i="30"/>
  <c r="BW238" i="30"/>
  <c r="BX238" i="30"/>
  <c r="BY238" i="30"/>
  <c r="BZ238" i="30"/>
  <c r="CA238" i="30"/>
  <c r="CB238" i="30"/>
  <c r="CC238" i="30"/>
  <c r="AD239" i="30"/>
  <c r="AE239" i="30"/>
  <c r="AF239" i="30"/>
  <c r="AG239" i="30"/>
  <c r="AH239" i="30"/>
  <c r="AI239" i="30"/>
  <c r="AJ239" i="30"/>
  <c r="AK239" i="30"/>
  <c r="AL239" i="30"/>
  <c r="AM239" i="30"/>
  <c r="AN239" i="30"/>
  <c r="AO239" i="30"/>
  <c r="AP239" i="30"/>
  <c r="AQ239" i="30"/>
  <c r="AR239" i="30"/>
  <c r="AS239" i="30"/>
  <c r="AT239" i="30"/>
  <c r="AU239" i="30"/>
  <c r="AV239" i="30"/>
  <c r="AW239" i="30"/>
  <c r="AX239" i="30"/>
  <c r="AY239" i="30"/>
  <c r="AZ239" i="30"/>
  <c r="BA239" i="30"/>
  <c r="BB239" i="30"/>
  <c r="BC239" i="30"/>
  <c r="BD239" i="30"/>
  <c r="BE239" i="30"/>
  <c r="BF239" i="30"/>
  <c r="BG239" i="30"/>
  <c r="BH239" i="30"/>
  <c r="BI239" i="30"/>
  <c r="BJ239" i="30"/>
  <c r="BK239" i="30"/>
  <c r="BL239" i="30"/>
  <c r="BM239" i="30"/>
  <c r="BN239" i="30"/>
  <c r="BO239" i="30"/>
  <c r="BP239" i="30"/>
  <c r="BQ239" i="30"/>
  <c r="BR239" i="30"/>
  <c r="BS239" i="30"/>
  <c r="BT239" i="30"/>
  <c r="BU239" i="30"/>
  <c r="BV239" i="30"/>
  <c r="BW239" i="30"/>
  <c r="BX239" i="30"/>
  <c r="BY239" i="30"/>
  <c r="BZ239" i="30"/>
  <c r="CA239" i="30"/>
  <c r="CB239" i="30"/>
  <c r="CC239" i="30"/>
  <c r="AD240" i="30"/>
  <c r="AE240" i="30"/>
  <c r="AF240" i="30"/>
  <c r="AG240" i="30"/>
  <c r="AH240" i="30"/>
  <c r="AI240" i="30"/>
  <c r="AJ240" i="30"/>
  <c r="AK240" i="30"/>
  <c r="AL240" i="30"/>
  <c r="AM240" i="30"/>
  <c r="AN240" i="30"/>
  <c r="AO240" i="30"/>
  <c r="AP240" i="30"/>
  <c r="AQ240" i="30"/>
  <c r="AR240" i="30"/>
  <c r="AS240" i="30"/>
  <c r="AT240" i="30"/>
  <c r="AU240" i="30"/>
  <c r="AV240" i="30"/>
  <c r="AW240" i="30"/>
  <c r="AX240" i="30"/>
  <c r="AY240" i="30"/>
  <c r="AZ240" i="30"/>
  <c r="BA240" i="30"/>
  <c r="BB240" i="30"/>
  <c r="BC240" i="30"/>
  <c r="BD240" i="30"/>
  <c r="BE240" i="30"/>
  <c r="BF240" i="30"/>
  <c r="BG240" i="30"/>
  <c r="BH240" i="30"/>
  <c r="BI240" i="30"/>
  <c r="BJ240" i="30"/>
  <c r="BK240" i="30"/>
  <c r="BL240" i="30"/>
  <c r="BM240" i="30"/>
  <c r="BN240" i="30"/>
  <c r="BO240" i="30"/>
  <c r="BP240" i="30"/>
  <c r="BQ240" i="30"/>
  <c r="BR240" i="30"/>
  <c r="BS240" i="30"/>
  <c r="BT240" i="30"/>
  <c r="BU240" i="30"/>
  <c r="BV240" i="30"/>
  <c r="BW240" i="30"/>
  <c r="BX240" i="30"/>
  <c r="BY240" i="30"/>
  <c r="BZ240" i="30"/>
  <c r="CA240" i="30"/>
  <c r="CB240" i="30"/>
  <c r="CC240" i="30"/>
  <c r="AD241" i="30"/>
  <c r="AE241" i="30"/>
  <c r="AF241" i="30"/>
  <c r="AG241" i="30"/>
  <c r="AH241" i="30"/>
  <c r="AI241" i="30"/>
  <c r="AJ241" i="30"/>
  <c r="AK241" i="30"/>
  <c r="AL241" i="30"/>
  <c r="AM241" i="30"/>
  <c r="AN241" i="30"/>
  <c r="AO241" i="30"/>
  <c r="AP241" i="30"/>
  <c r="AQ241" i="30"/>
  <c r="AR241" i="30"/>
  <c r="AS241" i="30"/>
  <c r="AT241" i="30"/>
  <c r="AU241" i="30"/>
  <c r="AV241" i="30"/>
  <c r="AW241" i="30"/>
  <c r="AX241" i="30"/>
  <c r="AY241" i="30"/>
  <c r="AZ241" i="30"/>
  <c r="BA241" i="30"/>
  <c r="BB241" i="30"/>
  <c r="BC241" i="30"/>
  <c r="BD241" i="30"/>
  <c r="BE241" i="30"/>
  <c r="BF241" i="30"/>
  <c r="BG241" i="30"/>
  <c r="BH241" i="30"/>
  <c r="BI241" i="30"/>
  <c r="BJ241" i="30"/>
  <c r="BK241" i="30"/>
  <c r="BL241" i="30"/>
  <c r="BM241" i="30"/>
  <c r="BN241" i="30"/>
  <c r="BO241" i="30"/>
  <c r="BP241" i="30"/>
  <c r="BQ241" i="30"/>
  <c r="BR241" i="30"/>
  <c r="BS241" i="30"/>
  <c r="BT241" i="30"/>
  <c r="BU241" i="30"/>
  <c r="BV241" i="30"/>
  <c r="BW241" i="30"/>
  <c r="BX241" i="30"/>
  <c r="BY241" i="30"/>
  <c r="BZ241" i="30"/>
  <c r="CA241" i="30"/>
  <c r="CB241" i="30"/>
  <c r="CC241" i="30"/>
  <c r="AD242" i="30"/>
  <c r="AE242" i="30"/>
  <c r="AF242" i="30"/>
  <c r="AG242" i="30"/>
  <c r="AH242" i="30"/>
  <c r="AI242" i="30"/>
  <c r="AJ242" i="30"/>
  <c r="AK242" i="30"/>
  <c r="AL242" i="30"/>
  <c r="AM242" i="30"/>
  <c r="AN242" i="30"/>
  <c r="AO242" i="30"/>
  <c r="AP242" i="30"/>
  <c r="AQ242" i="30"/>
  <c r="AR242" i="30"/>
  <c r="AS242" i="30"/>
  <c r="AT242" i="30"/>
  <c r="AU242" i="30"/>
  <c r="AV242" i="30"/>
  <c r="AW242" i="30"/>
  <c r="AX242" i="30"/>
  <c r="AY242" i="30"/>
  <c r="AZ242" i="30"/>
  <c r="BA242" i="30"/>
  <c r="BB242" i="30"/>
  <c r="BC242" i="30"/>
  <c r="BD242" i="30"/>
  <c r="BE242" i="30"/>
  <c r="BF242" i="30"/>
  <c r="BG242" i="30"/>
  <c r="BH242" i="30"/>
  <c r="BI242" i="30"/>
  <c r="BJ242" i="30"/>
  <c r="BK242" i="30"/>
  <c r="BL242" i="30"/>
  <c r="BM242" i="30"/>
  <c r="BN242" i="30"/>
  <c r="BO242" i="30"/>
  <c r="BP242" i="30"/>
  <c r="BQ242" i="30"/>
  <c r="BR242" i="30"/>
  <c r="BS242" i="30"/>
  <c r="BT242" i="30"/>
  <c r="BU242" i="30"/>
  <c r="BV242" i="30"/>
  <c r="BW242" i="30"/>
  <c r="BX242" i="30"/>
  <c r="BY242" i="30"/>
  <c r="BZ242" i="30"/>
  <c r="CA242" i="30"/>
  <c r="CB242" i="30"/>
  <c r="CC242" i="30"/>
  <c r="AD243" i="30"/>
  <c r="AE243" i="30"/>
  <c r="AF243" i="30"/>
  <c r="AG243" i="30"/>
  <c r="AH243" i="30"/>
  <c r="AI243" i="30"/>
  <c r="AJ243" i="30"/>
  <c r="AK243" i="30"/>
  <c r="AL243" i="30"/>
  <c r="AM243" i="30"/>
  <c r="AN243" i="30"/>
  <c r="AO243" i="30"/>
  <c r="AP243" i="30"/>
  <c r="AQ243" i="30"/>
  <c r="AR243" i="30"/>
  <c r="AS243" i="30"/>
  <c r="AT243" i="30"/>
  <c r="AU243" i="30"/>
  <c r="AV243" i="30"/>
  <c r="AW243" i="30"/>
  <c r="AX243" i="30"/>
  <c r="AY243" i="30"/>
  <c r="AZ243" i="30"/>
  <c r="BA243" i="30"/>
  <c r="BB243" i="30"/>
  <c r="BC243" i="30"/>
  <c r="BD243" i="30"/>
  <c r="BE243" i="30"/>
  <c r="BF243" i="30"/>
  <c r="BG243" i="30"/>
  <c r="BH243" i="30"/>
  <c r="BI243" i="30"/>
  <c r="BJ243" i="30"/>
  <c r="BK243" i="30"/>
  <c r="BL243" i="30"/>
  <c r="BM243" i="30"/>
  <c r="BN243" i="30"/>
  <c r="BO243" i="30"/>
  <c r="BP243" i="30"/>
  <c r="BQ243" i="30"/>
  <c r="BR243" i="30"/>
  <c r="BS243" i="30"/>
  <c r="BT243" i="30"/>
  <c r="BU243" i="30"/>
  <c r="BV243" i="30"/>
  <c r="BW243" i="30"/>
  <c r="BX243" i="30"/>
  <c r="BY243" i="30"/>
  <c r="BZ243" i="30"/>
  <c r="CA243" i="30"/>
  <c r="CB243" i="30"/>
  <c r="CC243" i="30"/>
  <c r="AD244" i="30"/>
  <c r="AE244" i="30"/>
  <c r="AF244" i="30"/>
  <c r="AG244" i="30"/>
  <c r="AH244" i="30"/>
  <c r="AI244" i="30"/>
  <c r="AJ244" i="30"/>
  <c r="AK244" i="30"/>
  <c r="AL244" i="30"/>
  <c r="AM244" i="30"/>
  <c r="AN244" i="30"/>
  <c r="AO244" i="30"/>
  <c r="AP244" i="30"/>
  <c r="AQ244" i="30"/>
  <c r="AR244" i="30"/>
  <c r="AS244" i="30"/>
  <c r="AT244" i="30"/>
  <c r="AU244" i="30"/>
  <c r="AV244" i="30"/>
  <c r="AW244" i="30"/>
  <c r="AX244" i="30"/>
  <c r="AY244" i="30"/>
  <c r="AZ244" i="30"/>
  <c r="BA244" i="30"/>
  <c r="BB244" i="30"/>
  <c r="BC244" i="30"/>
  <c r="BD244" i="30"/>
  <c r="BE244" i="30"/>
  <c r="BF244" i="30"/>
  <c r="BG244" i="30"/>
  <c r="BH244" i="30"/>
  <c r="BI244" i="30"/>
  <c r="BJ244" i="30"/>
  <c r="BK244" i="30"/>
  <c r="BL244" i="30"/>
  <c r="BM244" i="30"/>
  <c r="BN244" i="30"/>
  <c r="BO244" i="30"/>
  <c r="BP244" i="30"/>
  <c r="BQ244" i="30"/>
  <c r="BR244" i="30"/>
  <c r="BS244" i="30"/>
  <c r="BT244" i="30"/>
  <c r="BU244" i="30"/>
  <c r="BV244" i="30"/>
  <c r="BW244" i="30"/>
  <c r="BX244" i="30"/>
  <c r="BY244" i="30"/>
  <c r="BZ244" i="30"/>
  <c r="CA244" i="30"/>
  <c r="CB244" i="30"/>
  <c r="CC244" i="30"/>
  <c r="AD245" i="30"/>
  <c r="AE245" i="30"/>
  <c r="AF245" i="30"/>
  <c r="AG245" i="30"/>
  <c r="AH245" i="30"/>
  <c r="AI245" i="30"/>
  <c r="AJ245" i="30"/>
  <c r="AK245" i="30"/>
  <c r="AL245" i="30"/>
  <c r="AM245" i="30"/>
  <c r="AN245" i="30"/>
  <c r="AO245" i="30"/>
  <c r="AP245" i="30"/>
  <c r="AQ245" i="30"/>
  <c r="AR245" i="30"/>
  <c r="AS245" i="30"/>
  <c r="AT245" i="30"/>
  <c r="AU245" i="30"/>
  <c r="AV245" i="30"/>
  <c r="AW245" i="30"/>
  <c r="AX245" i="30"/>
  <c r="AY245" i="30"/>
  <c r="AZ245" i="30"/>
  <c r="BA245" i="30"/>
  <c r="BB245" i="30"/>
  <c r="BC245" i="30"/>
  <c r="BD245" i="30"/>
  <c r="BE245" i="30"/>
  <c r="BF245" i="30"/>
  <c r="BG245" i="30"/>
  <c r="BH245" i="30"/>
  <c r="BI245" i="30"/>
  <c r="BJ245" i="30"/>
  <c r="BK245" i="30"/>
  <c r="BL245" i="30"/>
  <c r="BM245" i="30"/>
  <c r="BN245" i="30"/>
  <c r="BO245" i="30"/>
  <c r="BP245" i="30"/>
  <c r="BQ245" i="30"/>
  <c r="BR245" i="30"/>
  <c r="BS245" i="30"/>
  <c r="BT245" i="30"/>
  <c r="BU245" i="30"/>
  <c r="BV245" i="30"/>
  <c r="BW245" i="30"/>
  <c r="BX245" i="30"/>
  <c r="BY245" i="30"/>
  <c r="BZ245" i="30"/>
  <c r="CA245" i="30"/>
  <c r="CB245" i="30"/>
  <c r="CC245" i="30"/>
  <c r="AD246" i="30"/>
  <c r="AE246" i="30"/>
  <c r="AF246" i="30"/>
  <c r="AG246" i="30"/>
  <c r="AH246" i="30"/>
  <c r="AI246" i="30"/>
  <c r="AJ246" i="30"/>
  <c r="AK246" i="30"/>
  <c r="AL246" i="30"/>
  <c r="AM246" i="30"/>
  <c r="AN246" i="30"/>
  <c r="AO246" i="30"/>
  <c r="AP246" i="30"/>
  <c r="AQ246" i="30"/>
  <c r="AR246" i="30"/>
  <c r="AS246" i="30"/>
  <c r="AT246" i="30"/>
  <c r="AU246" i="30"/>
  <c r="AV246" i="30"/>
  <c r="AW246" i="30"/>
  <c r="AX246" i="30"/>
  <c r="AY246" i="30"/>
  <c r="AZ246" i="30"/>
  <c r="BA246" i="30"/>
  <c r="BB246" i="30"/>
  <c r="BC246" i="30"/>
  <c r="BD246" i="30"/>
  <c r="BE246" i="30"/>
  <c r="BF246" i="30"/>
  <c r="BG246" i="30"/>
  <c r="BH246" i="30"/>
  <c r="BI246" i="30"/>
  <c r="BJ246" i="30"/>
  <c r="BK246" i="30"/>
  <c r="BL246" i="30"/>
  <c r="BM246" i="30"/>
  <c r="BN246" i="30"/>
  <c r="BO246" i="30"/>
  <c r="BP246" i="30"/>
  <c r="BQ246" i="30"/>
  <c r="BR246" i="30"/>
  <c r="BS246" i="30"/>
  <c r="BT246" i="30"/>
  <c r="BU246" i="30"/>
  <c r="BV246" i="30"/>
  <c r="BW246" i="30"/>
  <c r="BX246" i="30"/>
  <c r="BY246" i="30"/>
  <c r="BZ246" i="30"/>
  <c r="CA246" i="30"/>
  <c r="CB246" i="30"/>
  <c r="CC246" i="30"/>
  <c r="AD247" i="30"/>
  <c r="AE247" i="30"/>
  <c r="AF247" i="30"/>
  <c r="AG247" i="30"/>
  <c r="AH247" i="30"/>
  <c r="AI247" i="30"/>
  <c r="AJ247" i="30"/>
  <c r="AK247" i="30"/>
  <c r="AL247" i="30"/>
  <c r="AM247" i="30"/>
  <c r="AN247" i="30"/>
  <c r="AO247" i="30"/>
  <c r="AP247" i="30"/>
  <c r="AQ247" i="30"/>
  <c r="AR247" i="30"/>
  <c r="AS247" i="30"/>
  <c r="AT247" i="30"/>
  <c r="AU247" i="30"/>
  <c r="AV247" i="30"/>
  <c r="AW247" i="30"/>
  <c r="AX247" i="30"/>
  <c r="AY247" i="30"/>
  <c r="AZ247" i="30"/>
  <c r="BA247" i="30"/>
  <c r="BB247" i="30"/>
  <c r="BC247" i="30"/>
  <c r="BD247" i="30"/>
  <c r="BE247" i="30"/>
  <c r="BF247" i="30"/>
  <c r="BG247" i="30"/>
  <c r="BH247" i="30"/>
  <c r="BI247" i="30"/>
  <c r="BJ247" i="30"/>
  <c r="BK247" i="30"/>
  <c r="BL247" i="30"/>
  <c r="BM247" i="30"/>
  <c r="BN247" i="30"/>
  <c r="BO247" i="30"/>
  <c r="BP247" i="30"/>
  <c r="BQ247" i="30"/>
  <c r="BR247" i="30"/>
  <c r="BS247" i="30"/>
  <c r="BT247" i="30"/>
  <c r="BU247" i="30"/>
  <c r="BV247" i="30"/>
  <c r="BW247" i="30"/>
  <c r="BX247" i="30"/>
  <c r="BY247" i="30"/>
  <c r="BZ247" i="30"/>
  <c r="CA247" i="30"/>
  <c r="CB247" i="30"/>
  <c r="CC247" i="30"/>
  <c r="AD248" i="30"/>
  <c r="AE248" i="30"/>
  <c r="AF248" i="30"/>
  <c r="AG248" i="30"/>
  <c r="AH248" i="30"/>
  <c r="AI248" i="30"/>
  <c r="AJ248" i="30"/>
  <c r="AK248" i="30"/>
  <c r="AL248" i="30"/>
  <c r="AM248" i="30"/>
  <c r="AN248" i="30"/>
  <c r="AO248" i="30"/>
  <c r="AP248" i="30"/>
  <c r="AQ248" i="30"/>
  <c r="AR248" i="30"/>
  <c r="AS248" i="30"/>
  <c r="AT248" i="30"/>
  <c r="AU248" i="30"/>
  <c r="AV248" i="30"/>
  <c r="AW248" i="30"/>
  <c r="AX248" i="30"/>
  <c r="AY248" i="30"/>
  <c r="AZ248" i="30"/>
  <c r="BA248" i="30"/>
  <c r="BB248" i="30"/>
  <c r="BC248" i="30"/>
  <c r="BD248" i="30"/>
  <c r="BE248" i="30"/>
  <c r="BF248" i="30"/>
  <c r="BG248" i="30"/>
  <c r="BH248" i="30"/>
  <c r="BI248" i="30"/>
  <c r="BJ248" i="30"/>
  <c r="BK248" i="30"/>
  <c r="BL248" i="30"/>
  <c r="BM248" i="30"/>
  <c r="BN248" i="30"/>
  <c r="BO248" i="30"/>
  <c r="BP248" i="30"/>
  <c r="BQ248" i="30"/>
  <c r="BR248" i="30"/>
  <c r="BS248" i="30"/>
  <c r="BT248" i="30"/>
  <c r="BU248" i="30"/>
  <c r="BV248" i="30"/>
  <c r="BW248" i="30"/>
  <c r="BX248" i="30"/>
  <c r="BY248" i="30"/>
  <c r="BZ248" i="30"/>
  <c r="CA248" i="30"/>
  <c r="CB248" i="30"/>
  <c r="CC248" i="30"/>
  <c r="AD249" i="30"/>
  <c r="AE249" i="30"/>
  <c r="AF249" i="30"/>
  <c r="AG249" i="30"/>
  <c r="AH249" i="30"/>
  <c r="AI249" i="30"/>
  <c r="AJ249" i="30"/>
  <c r="AK249" i="30"/>
  <c r="AL249" i="30"/>
  <c r="AM249" i="30"/>
  <c r="AN249" i="30"/>
  <c r="AO249" i="30"/>
  <c r="AP249" i="30"/>
  <c r="AQ249" i="30"/>
  <c r="AR249" i="30"/>
  <c r="AS249" i="30"/>
  <c r="AT249" i="30"/>
  <c r="AU249" i="30"/>
  <c r="AV249" i="30"/>
  <c r="AW249" i="30"/>
  <c r="AX249" i="30"/>
  <c r="AY249" i="30"/>
  <c r="AZ249" i="30"/>
  <c r="BA249" i="30"/>
  <c r="BB249" i="30"/>
  <c r="BC249" i="30"/>
  <c r="BD249" i="30"/>
  <c r="BE249" i="30"/>
  <c r="BF249" i="30"/>
  <c r="BG249" i="30"/>
  <c r="BH249" i="30"/>
  <c r="BI249" i="30"/>
  <c r="BJ249" i="30"/>
  <c r="BK249" i="30"/>
  <c r="BL249" i="30"/>
  <c r="BM249" i="30"/>
  <c r="BN249" i="30"/>
  <c r="BO249" i="30"/>
  <c r="BP249" i="30"/>
  <c r="BQ249" i="30"/>
  <c r="BR249" i="30"/>
  <c r="BS249" i="30"/>
  <c r="BT249" i="30"/>
  <c r="BU249" i="30"/>
  <c r="BV249" i="30"/>
  <c r="BW249" i="30"/>
  <c r="BX249" i="30"/>
  <c r="BY249" i="30"/>
  <c r="BZ249" i="30"/>
  <c r="CA249" i="30"/>
  <c r="CB249" i="30"/>
  <c r="CC249" i="30"/>
  <c r="AD250" i="30"/>
  <c r="AE250" i="30"/>
  <c r="AF250" i="30"/>
  <c r="AG250" i="30"/>
  <c r="AH250" i="30"/>
  <c r="AI250" i="30"/>
  <c r="AJ250" i="30"/>
  <c r="AK250" i="30"/>
  <c r="AL250" i="30"/>
  <c r="AM250" i="30"/>
  <c r="AN250" i="30"/>
  <c r="AO250" i="30"/>
  <c r="AP250" i="30"/>
  <c r="AQ250" i="30"/>
  <c r="AR250" i="30"/>
  <c r="AS250" i="30"/>
  <c r="AT250" i="30"/>
  <c r="AU250" i="30"/>
  <c r="AV250" i="30"/>
  <c r="AW250" i="30"/>
  <c r="AX250" i="30"/>
  <c r="AY250" i="30"/>
  <c r="AZ250" i="30"/>
  <c r="BA250" i="30"/>
  <c r="BB250" i="30"/>
  <c r="BC250" i="30"/>
  <c r="BD250" i="30"/>
  <c r="BE250" i="30"/>
  <c r="BF250" i="30"/>
  <c r="BG250" i="30"/>
  <c r="BH250" i="30"/>
  <c r="BI250" i="30"/>
  <c r="BJ250" i="30"/>
  <c r="BK250" i="30"/>
  <c r="BL250" i="30"/>
  <c r="BM250" i="30"/>
  <c r="BN250" i="30"/>
  <c r="BO250" i="30"/>
  <c r="BP250" i="30"/>
  <c r="BQ250" i="30"/>
  <c r="BR250" i="30"/>
  <c r="BS250" i="30"/>
  <c r="BT250" i="30"/>
  <c r="BU250" i="30"/>
  <c r="BV250" i="30"/>
  <c r="BW250" i="30"/>
  <c r="BX250" i="30"/>
  <c r="BY250" i="30"/>
  <c r="BZ250" i="30"/>
  <c r="CA250" i="30"/>
  <c r="CB250" i="30"/>
  <c r="CC250" i="30"/>
  <c r="AD251" i="30"/>
  <c r="AE251" i="30"/>
  <c r="AF251" i="30"/>
  <c r="AG251" i="30"/>
  <c r="AH251" i="30"/>
  <c r="AI251" i="30"/>
  <c r="AJ251" i="30"/>
  <c r="AK251" i="30"/>
  <c r="AL251" i="30"/>
  <c r="AM251" i="30"/>
  <c r="AN251" i="30"/>
  <c r="AO251" i="30"/>
  <c r="AP251" i="30"/>
  <c r="AQ251" i="30"/>
  <c r="AR251" i="30"/>
  <c r="AS251" i="30"/>
  <c r="AT251" i="30"/>
  <c r="AU251" i="30"/>
  <c r="AV251" i="30"/>
  <c r="AW251" i="30"/>
  <c r="AX251" i="30"/>
  <c r="AY251" i="30"/>
  <c r="AZ251" i="30"/>
  <c r="BA251" i="30"/>
  <c r="BB251" i="30"/>
  <c r="BC251" i="30"/>
  <c r="BD251" i="30"/>
  <c r="BE251" i="30"/>
  <c r="BF251" i="30"/>
  <c r="BG251" i="30"/>
  <c r="BH251" i="30"/>
  <c r="BI251" i="30"/>
  <c r="BJ251" i="30"/>
  <c r="BK251" i="30"/>
  <c r="BL251" i="30"/>
  <c r="BM251" i="30"/>
  <c r="BN251" i="30"/>
  <c r="BO251" i="30"/>
  <c r="BP251" i="30"/>
  <c r="BQ251" i="30"/>
  <c r="BR251" i="30"/>
  <c r="BS251" i="30"/>
  <c r="BT251" i="30"/>
  <c r="BU251" i="30"/>
  <c r="BV251" i="30"/>
  <c r="BW251" i="30"/>
  <c r="BX251" i="30"/>
  <c r="BY251" i="30"/>
  <c r="BZ251" i="30"/>
  <c r="CA251" i="30"/>
  <c r="CB251" i="30"/>
  <c r="CC251" i="30"/>
  <c r="AD252" i="30"/>
  <c r="AE252" i="30"/>
  <c r="AF252" i="30"/>
  <c r="AG252" i="30"/>
  <c r="AH252" i="30"/>
  <c r="AI252" i="30"/>
  <c r="AJ252" i="30"/>
  <c r="AK252" i="30"/>
  <c r="AL252" i="30"/>
  <c r="AM252" i="30"/>
  <c r="AN252" i="30"/>
  <c r="AO252" i="30"/>
  <c r="AP252" i="30"/>
  <c r="AQ252" i="30"/>
  <c r="AR252" i="30"/>
  <c r="AS252" i="30"/>
  <c r="AT252" i="30"/>
  <c r="AU252" i="30"/>
  <c r="AV252" i="30"/>
  <c r="AW252" i="30"/>
  <c r="AX252" i="30"/>
  <c r="AY252" i="30"/>
  <c r="AZ252" i="30"/>
  <c r="BA252" i="30"/>
  <c r="BB252" i="30"/>
  <c r="BC252" i="30"/>
  <c r="BD252" i="30"/>
  <c r="BE252" i="30"/>
  <c r="BF252" i="30"/>
  <c r="BG252" i="30"/>
  <c r="BH252" i="30"/>
  <c r="BI252" i="30"/>
  <c r="BJ252" i="30"/>
  <c r="BK252" i="30"/>
  <c r="BL252" i="30"/>
  <c r="BM252" i="30"/>
  <c r="BN252" i="30"/>
  <c r="BO252" i="30"/>
  <c r="BP252" i="30"/>
  <c r="BQ252" i="30"/>
  <c r="BR252" i="30"/>
  <c r="BS252" i="30"/>
  <c r="BT252" i="30"/>
  <c r="BU252" i="30"/>
  <c r="BV252" i="30"/>
  <c r="BW252" i="30"/>
  <c r="BX252" i="30"/>
  <c r="BY252" i="30"/>
  <c r="BZ252" i="30"/>
  <c r="CA252" i="30"/>
  <c r="CB252" i="30"/>
  <c r="CC252" i="30"/>
  <c r="AD253" i="30"/>
  <c r="AE253" i="30"/>
  <c r="AF253" i="30"/>
  <c r="AG253" i="30"/>
  <c r="AH253" i="30"/>
  <c r="AI253" i="30"/>
  <c r="AJ253" i="30"/>
  <c r="AK253" i="30"/>
  <c r="AL253" i="30"/>
  <c r="AM253" i="30"/>
  <c r="AN253" i="30"/>
  <c r="AO253" i="30"/>
  <c r="AP253" i="30"/>
  <c r="AQ253" i="30"/>
  <c r="AR253" i="30"/>
  <c r="AS253" i="30"/>
  <c r="AT253" i="30"/>
  <c r="AU253" i="30"/>
  <c r="AV253" i="30"/>
  <c r="AW253" i="30"/>
  <c r="AX253" i="30"/>
  <c r="AY253" i="30"/>
  <c r="AZ253" i="30"/>
  <c r="BA253" i="30"/>
  <c r="BB253" i="30"/>
  <c r="BC253" i="30"/>
  <c r="BD253" i="30"/>
  <c r="BE253" i="30"/>
  <c r="BF253" i="30"/>
  <c r="BG253" i="30"/>
  <c r="BH253" i="30"/>
  <c r="BI253" i="30"/>
  <c r="BJ253" i="30"/>
  <c r="BK253" i="30"/>
  <c r="BL253" i="30"/>
  <c r="BM253" i="30"/>
  <c r="BN253" i="30"/>
  <c r="BO253" i="30"/>
  <c r="BP253" i="30"/>
  <c r="BQ253" i="30"/>
  <c r="BR253" i="30"/>
  <c r="BS253" i="30"/>
  <c r="BT253" i="30"/>
  <c r="BU253" i="30"/>
  <c r="BV253" i="30"/>
  <c r="BW253" i="30"/>
  <c r="BX253" i="30"/>
  <c r="BY253" i="30"/>
  <c r="BZ253" i="30"/>
  <c r="CA253" i="30"/>
  <c r="CB253" i="30"/>
  <c r="CC253" i="30"/>
  <c r="AD254" i="30"/>
  <c r="AE254" i="30"/>
  <c r="AF254" i="30"/>
  <c r="AG254" i="30"/>
  <c r="AH254" i="30"/>
  <c r="AI254" i="30"/>
  <c r="AJ254" i="30"/>
  <c r="AK254" i="30"/>
  <c r="AL254" i="30"/>
  <c r="AM254" i="30"/>
  <c r="AN254" i="30"/>
  <c r="AO254" i="30"/>
  <c r="AP254" i="30"/>
  <c r="AQ254" i="30"/>
  <c r="AR254" i="30"/>
  <c r="AS254" i="30"/>
  <c r="AT254" i="30"/>
  <c r="AU254" i="30"/>
  <c r="AV254" i="30"/>
  <c r="AW254" i="30"/>
  <c r="AX254" i="30"/>
  <c r="AY254" i="30"/>
  <c r="AZ254" i="30"/>
  <c r="BA254" i="30"/>
  <c r="BB254" i="30"/>
  <c r="BC254" i="30"/>
  <c r="BD254" i="30"/>
  <c r="BE254" i="30"/>
  <c r="BF254" i="30"/>
  <c r="BG254" i="30"/>
  <c r="BH254" i="30"/>
  <c r="BI254" i="30"/>
  <c r="BJ254" i="30"/>
  <c r="BK254" i="30"/>
  <c r="BL254" i="30"/>
  <c r="BM254" i="30"/>
  <c r="BN254" i="30"/>
  <c r="BO254" i="30"/>
  <c r="BP254" i="30"/>
  <c r="BQ254" i="30"/>
  <c r="BR254" i="30"/>
  <c r="BS254" i="30"/>
  <c r="BT254" i="30"/>
  <c r="BU254" i="30"/>
  <c r="BV254" i="30"/>
  <c r="BW254" i="30"/>
  <c r="BX254" i="30"/>
  <c r="BY254" i="30"/>
  <c r="BZ254" i="30"/>
  <c r="CA254" i="30"/>
  <c r="CB254" i="30"/>
  <c r="CC254" i="30"/>
  <c r="AD255" i="30"/>
  <c r="AE255" i="30"/>
  <c r="AF255" i="30"/>
  <c r="AG255" i="30"/>
  <c r="AH255" i="30"/>
  <c r="AI255" i="30"/>
  <c r="AJ255" i="30"/>
  <c r="AK255" i="30"/>
  <c r="AL255" i="30"/>
  <c r="AM255" i="30"/>
  <c r="AN255" i="30"/>
  <c r="AO255" i="30"/>
  <c r="AP255" i="30"/>
  <c r="AQ255" i="30"/>
  <c r="AR255" i="30"/>
  <c r="AS255" i="30"/>
  <c r="AT255" i="30"/>
  <c r="AU255" i="30"/>
  <c r="AV255" i="30"/>
  <c r="AW255" i="30"/>
  <c r="AX255" i="30"/>
  <c r="AY255" i="30"/>
  <c r="AZ255" i="30"/>
  <c r="BA255" i="30"/>
  <c r="BB255" i="30"/>
  <c r="BC255" i="30"/>
  <c r="BD255" i="30"/>
  <c r="BE255" i="30"/>
  <c r="BF255" i="30"/>
  <c r="BG255" i="30"/>
  <c r="BH255" i="30"/>
  <c r="BI255" i="30"/>
  <c r="BJ255" i="30"/>
  <c r="BK255" i="30"/>
  <c r="BL255" i="30"/>
  <c r="BM255" i="30"/>
  <c r="BN255" i="30"/>
  <c r="BO255" i="30"/>
  <c r="BP255" i="30"/>
  <c r="BQ255" i="30"/>
  <c r="BR255" i="30"/>
  <c r="BS255" i="30"/>
  <c r="BT255" i="30"/>
  <c r="BU255" i="30"/>
  <c r="BV255" i="30"/>
  <c r="BW255" i="30"/>
  <c r="BX255" i="30"/>
  <c r="BY255" i="30"/>
  <c r="BZ255" i="30"/>
  <c r="CA255" i="30"/>
  <c r="CB255" i="30"/>
  <c r="CC255" i="30"/>
  <c r="AD256" i="30"/>
  <c r="AE256" i="30"/>
  <c r="AF256" i="30"/>
  <c r="AG256" i="30"/>
  <c r="AH256" i="30"/>
  <c r="AI256" i="30"/>
  <c r="AJ256" i="30"/>
  <c r="AK256" i="30"/>
  <c r="AL256" i="30"/>
  <c r="AM256" i="30"/>
  <c r="AN256" i="30"/>
  <c r="AO256" i="30"/>
  <c r="AP256" i="30"/>
  <c r="AQ256" i="30"/>
  <c r="AR256" i="30"/>
  <c r="AS256" i="30"/>
  <c r="AT256" i="30"/>
  <c r="AU256" i="30"/>
  <c r="AV256" i="30"/>
  <c r="AW256" i="30"/>
  <c r="AX256" i="30"/>
  <c r="AY256" i="30"/>
  <c r="AZ256" i="30"/>
  <c r="BA256" i="30"/>
  <c r="BB256" i="30"/>
  <c r="BC256" i="30"/>
  <c r="BD256" i="30"/>
  <c r="BE256" i="30"/>
  <c r="BF256" i="30"/>
  <c r="BG256" i="30"/>
  <c r="BH256" i="30"/>
  <c r="BI256" i="30"/>
  <c r="BJ256" i="30"/>
  <c r="BK256" i="30"/>
  <c r="BL256" i="30"/>
  <c r="BM256" i="30"/>
  <c r="BN256" i="30"/>
  <c r="BO256" i="30"/>
  <c r="BP256" i="30"/>
  <c r="BQ256" i="30"/>
  <c r="BR256" i="30"/>
  <c r="BS256" i="30"/>
  <c r="BT256" i="30"/>
  <c r="BU256" i="30"/>
  <c r="BV256" i="30"/>
  <c r="BW256" i="30"/>
  <c r="BX256" i="30"/>
  <c r="BY256" i="30"/>
  <c r="BZ256" i="30"/>
  <c r="CA256" i="30"/>
  <c r="CB256" i="30"/>
  <c r="CC256" i="30"/>
  <c r="AD257" i="30"/>
  <c r="AE257" i="30"/>
  <c r="AF257" i="30"/>
  <c r="AG257" i="30"/>
  <c r="AH257" i="30"/>
  <c r="AI257" i="30"/>
  <c r="AJ257" i="30"/>
  <c r="AK257" i="30"/>
  <c r="AL257" i="30"/>
  <c r="AM257" i="30"/>
  <c r="AN257" i="30"/>
  <c r="AO257" i="30"/>
  <c r="AP257" i="30"/>
  <c r="AQ257" i="30"/>
  <c r="AR257" i="30"/>
  <c r="AS257" i="30"/>
  <c r="AT257" i="30"/>
  <c r="AU257" i="30"/>
  <c r="AV257" i="30"/>
  <c r="AW257" i="30"/>
  <c r="AX257" i="30"/>
  <c r="AY257" i="30"/>
  <c r="AZ257" i="30"/>
  <c r="BA257" i="30"/>
  <c r="BB257" i="30"/>
  <c r="BC257" i="30"/>
  <c r="BD257" i="30"/>
  <c r="BE257" i="30"/>
  <c r="BF257" i="30"/>
  <c r="BG257" i="30"/>
  <c r="BH257" i="30"/>
  <c r="BI257" i="30"/>
  <c r="BJ257" i="30"/>
  <c r="BK257" i="30"/>
  <c r="BL257" i="30"/>
  <c r="BM257" i="30"/>
  <c r="BN257" i="30"/>
  <c r="BO257" i="30"/>
  <c r="BP257" i="30"/>
  <c r="BQ257" i="30"/>
  <c r="BR257" i="30"/>
  <c r="BS257" i="30"/>
  <c r="BT257" i="30"/>
  <c r="BU257" i="30"/>
  <c r="BV257" i="30"/>
  <c r="BW257" i="30"/>
  <c r="BX257" i="30"/>
  <c r="BY257" i="30"/>
  <c r="BZ257" i="30"/>
  <c r="CA257" i="30"/>
  <c r="CB257" i="30"/>
  <c r="CC257" i="30"/>
  <c r="AD258" i="30"/>
  <c r="AE258" i="30"/>
  <c r="AF258" i="30"/>
  <c r="AG258" i="30"/>
  <c r="AH258" i="30"/>
  <c r="AI258" i="30"/>
  <c r="AJ258" i="30"/>
  <c r="AK258" i="30"/>
  <c r="AL258" i="30"/>
  <c r="AM258" i="30"/>
  <c r="AN258" i="30"/>
  <c r="AO258" i="30"/>
  <c r="AP258" i="30"/>
  <c r="AQ258" i="30"/>
  <c r="AR258" i="30"/>
  <c r="AS258" i="30"/>
  <c r="AT258" i="30"/>
  <c r="AU258" i="30"/>
  <c r="AV258" i="30"/>
  <c r="AW258" i="30"/>
  <c r="AX258" i="30"/>
  <c r="AY258" i="30"/>
  <c r="AZ258" i="30"/>
  <c r="BA258" i="30"/>
  <c r="BB258" i="30"/>
  <c r="BC258" i="30"/>
  <c r="BD258" i="30"/>
  <c r="BE258" i="30"/>
  <c r="BF258" i="30"/>
  <c r="BG258" i="30"/>
  <c r="BH258" i="30"/>
  <c r="BI258" i="30"/>
  <c r="BJ258" i="30"/>
  <c r="BK258" i="30"/>
  <c r="BL258" i="30"/>
  <c r="BM258" i="30"/>
  <c r="BN258" i="30"/>
  <c r="BO258" i="30"/>
  <c r="BP258" i="30"/>
  <c r="BQ258" i="30"/>
  <c r="BR258" i="30"/>
  <c r="BS258" i="30"/>
  <c r="BT258" i="30"/>
  <c r="BU258" i="30"/>
  <c r="BV258" i="30"/>
  <c r="BW258" i="30"/>
  <c r="BX258" i="30"/>
  <c r="BY258" i="30"/>
  <c r="BZ258" i="30"/>
  <c r="CA258" i="30"/>
  <c r="CB258" i="30"/>
  <c r="CC258" i="30"/>
  <c r="AD259" i="30"/>
  <c r="AE259" i="30"/>
  <c r="AF259" i="30"/>
  <c r="AG259" i="30"/>
  <c r="AH259" i="30"/>
  <c r="AI259" i="30"/>
  <c r="AJ259" i="30"/>
  <c r="AK259" i="30"/>
  <c r="AL259" i="30"/>
  <c r="AM259" i="30"/>
  <c r="AN259" i="30"/>
  <c r="AO259" i="30"/>
  <c r="AP259" i="30"/>
  <c r="AQ259" i="30"/>
  <c r="AR259" i="30"/>
  <c r="AS259" i="30"/>
  <c r="AT259" i="30"/>
  <c r="AU259" i="30"/>
  <c r="AV259" i="30"/>
  <c r="AW259" i="30"/>
  <c r="AX259" i="30"/>
  <c r="AY259" i="30"/>
  <c r="AZ259" i="30"/>
  <c r="BA259" i="30"/>
  <c r="BB259" i="30"/>
  <c r="BC259" i="30"/>
  <c r="BD259" i="30"/>
  <c r="BE259" i="30"/>
  <c r="BF259" i="30"/>
  <c r="BG259" i="30"/>
  <c r="BH259" i="30"/>
  <c r="BI259" i="30"/>
  <c r="BJ259" i="30"/>
  <c r="BK259" i="30"/>
  <c r="BL259" i="30"/>
  <c r="BM259" i="30"/>
  <c r="BN259" i="30"/>
  <c r="BO259" i="30"/>
  <c r="BP259" i="30"/>
  <c r="BQ259" i="30"/>
  <c r="BR259" i="30"/>
  <c r="BS259" i="30"/>
  <c r="BT259" i="30"/>
  <c r="BU259" i="30"/>
  <c r="BV259" i="30"/>
  <c r="BW259" i="30"/>
  <c r="BX259" i="30"/>
  <c r="BY259" i="30"/>
  <c r="BZ259" i="30"/>
  <c r="CA259" i="30"/>
  <c r="CB259" i="30"/>
  <c r="CC259" i="30"/>
  <c r="AD260" i="30"/>
  <c r="AE260" i="30"/>
  <c r="AF260" i="30"/>
  <c r="AG260" i="30"/>
  <c r="AH260" i="30"/>
  <c r="AI260" i="30"/>
  <c r="AJ260" i="30"/>
  <c r="AK260" i="30"/>
  <c r="AL260" i="30"/>
  <c r="AM260" i="30"/>
  <c r="AN260" i="30"/>
  <c r="AO260" i="30"/>
  <c r="AP260" i="30"/>
  <c r="AQ260" i="30"/>
  <c r="AR260" i="30"/>
  <c r="AS260" i="30"/>
  <c r="AT260" i="30"/>
  <c r="AU260" i="30"/>
  <c r="AV260" i="30"/>
  <c r="AW260" i="30"/>
  <c r="AX260" i="30"/>
  <c r="AY260" i="30"/>
  <c r="AZ260" i="30"/>
  <c r="BA260" i="30"/>
  <c r="BB260" i="30"/>
  <c r="BC260" i="30"/>
  <c r="BD260" i="30"/>
  <c r="BE260" i="30"/>
  <c r="BF260" i="30"/>
  <c r="BG260" i="30"/>
  <c r="BH260" i="30"/>
  <c r="BI260" i="30"/>
  <c r="BJ260" i="30"/>
  <c r="BK260" i="30"/>
  <c r="BL260" i="30"/>
  <c r="BM260" i="30"/>
  <c r="BN260" i="30"/>
  <c r="BO260" i="30"/>
  <c r="BP260" i="30"/>
  <c r="BQ260" i="30"/>
  <c r="BR260" i="30"/>
  <c r="BS260" i="30"/>
  <c r="BT260" i="30"/>
  <c r="BU260" i="30"/>
  <c r="BV260" i="30"/>
  <c r="BW260" i="30"/>
  <c r="BX260" i="30"/>
  <c r="BY260" i="30"/>
  <c r="BZ260" i="30"/>
  <c r="CA260" i="30"/>
  <c r="CB260" i="30"/>
  <c r="CC260" i="30"/>
  <c r="AD261" i="30"/>
  <c r="AE261" i="30"/>
  <c r="AF261" i="30"/>
  <c r="AG261" i="30"/>
  <c r="AH261" i="30"/>
  <c r="AI261" i="30"/>
  <c r="AJ261" i="30"/>
  <c r="AK261" i="30"/>
  <c r="AL261" i="30"/>
  <c r="AM261" i="30"/>
  <c r="AN261" i="30"/>
  <c r="AO261" i="30"/>
  <c r="AP261" i="30"/>
  <c r="AQ261" i="30"/>
  <c r="AR261" i="30"/>
  <c r="AS261" i="30"/>
  <c r="AT261" i="30"/>
  <c r="AU261" i="30"/>
  <c r="AV261" i="30"/>
  <c r="AW261" i="30"/>
  <c r="AX261" i="30"/>
  <c r="AY261" i="30"/>
  <c r="AZ261" i="30"/>
  <c r="BA261" i="30"/>
  <c r="BB261" i="30"/>
  <c r="BC261" i="30"/>
  <c r="BD261" i="30"/>
  <c r="BE261" i="30"/>
  <c r="BF261" i="30"/>
  <c r="BG261" i="30"/>
  <c r="BH261" i="30"/>
  <c r="BI261" i="30"/>
  <c r="BJ261" i="30"/>
  <c r="BK261" i="30"/>
  <c r="BL261" i="30"/>
  <c r="BM261" i="30"/>
  <c r="BN261" i="30"/>
  <c r="BO261" i="30"/>
  <c r="BP261" i="30"/>
  <c r="BQ261" i="30"/>
  <c r="BR261" i="30"/>
  <c r="BS261" i="30"/>
  <c r="BT261" i="30"/>
  <c r="BU261" i="30"/>
  <c r="BV261" i="30"/>
  <c r="BW261" i="30"/>
  <c r="BX261" i="30"/>
  <c r="BY261" i="30"/>
  <c r="BZ261" i="30"/>
  <c r="CA261" i="30"/>
  <c r="CB261" i="30"/>
  <c r="CC261" i="30"/>
  <c r="AD262" i="30"/>
  <c r="AE262" i="30"/>
  <c r="AF262" i="30"/>
  <c r="AG262" i="30"/>
  <c r="AH262" i="30"/>
  <c r="AI262" i="30"/>
  <c r="AJ262" i="30"/>
  <c r="AK262" i="30"/>
  <c r="AL262" i="30"/>
  <c r="AM262" i="30"/>
  <c r="AN262" i="30"/>
  <c r="AO262" i="30"/>
  <c r="AP262" i="30"/>
  <c r="AQ262" i="30"/>
  <c r="AR262" i="30"/>
  <c r="AS262" i="30"/>
  <c r="AT262" i="30"/>
  <c r="AU262" i="30"/>
  <c r="AV262" i="30"/>
  <c r="AW262" i="30"/>
  <c r="AX262" i="30"/>
  <c r="AY262" i="30"/>
  <c r="AZ262" i="30"/>
  <c r="BA262" i="30"/>
  <c r="BB262" i="30"/>
  <c r="BC262" i="30"/>
  <c r="BD262" i="30"/>
  <c r="BE262" i="30"/>
  <c r="BF262" i="30"/>
  <c r="BG262" i="30"/>
  <c r="BH262" i="30"/>
  <c r="BI262" i="30"/>
  <c r="BJ262" i="30"/>
  <c r="BK262" i="30"/>
  <c r="BL262" i="30"/>
  <c r="BM262" i="30"/>
  <c r="BN262" i="30"/>
  <c r="BO262" i="30"/>
  <c r="BP262" i="30"/>
  <c r="BQ262" i="30"/>
  <c r="BR262" i="30"/>
  <c r="BS262" i="30"/>
  <c r="BT262" i="30"/>
  <c r="BU262" i="30"/>
  <c r="BV262" i="30"/>
  <c r="BW262" i="30"/>
  <c r="BX262" i="30"/>
  <c r="BY262" i="30"/>
  <c r="BZ262" i="30"/>
  <c r="CA262" i="30"/>
  <c r="CB262" i="30"/>
  <c r="CC262" i="30"/>
  <c r="AD263" i="30"/>
  <c r="AE263" i="30"/>
  <c r="AF263" i="30"/>
  <c r="AG263" i="30"/>
  <c r="AH263" i="30"/>
  <c r="AI263" i="30"/>
  <c r="AJ263" i="30"/>
  <c r="AK263" i="30"/>
  <c r="AL263" i="30"/>
  <c r="AM263" i="30"/>
  <c r="AN263" i="30"/>
  <c r="AO263" i="30"/>
  <c r="AP263" i="30"/>
  <c r="AQ263" i="30"/>
  <c r="AR263" i="30"/>
  <c r="AS263" i="30"/>
  <c r="AT263" i="30"/>
  <c r="AU263" i="30"/>
  <c r="AV263" i="30"/>
  <c r="AW263" i="30"/>
  <c r="AX263" i="30"/>
  <c r="AY263" i="30"/>
  <c r="AZ263" i="30"/>
  <c r="BA263" i="30"/>
  <c r="BB263" i="30"/>
  <c r="BC263" i="30"/>
  <c r="BD263" i="30"/>
  <c r="BE263" i="30"/>
  <c r="BF263" i="30"/>
  <c r="BG263" i="30"/>
  <c r="BH263" i="30"/>
  <c r="BI263" i="30"/>
  <c r="BJ263" i="30"/>
  <c r="BK263" i="30"/>
  <c r="BL263" i="30"/>
  <c r="BM263" i="30"/>
  <c r="BN263" i="30"/>
  <c r="BO263" i="30"/>
  <c r="BP263" i="30"/>
  <c r="BQ263" i="30"/>
  <c r="BR263" i="30"/>
  <c r="BS263" i="30"/>
  <c r="BT263" i="30"/>
  <c r="BU263" i="30"/>
  <c r="BV263" i="30"/>
  <c r="BW263" i="30"/>
  <c r="BX263" i="30"/>
  <c r="BY263" i="30"/>
  <c r="BZ263" i="30"/>
  <c r="CA263" i="30"/>
  <c r="CB263" i="30"/>
  <c r="CC263" i="30"/>
  <c r="AD264" i="30"/>
  <c r="AE264" i="30"/>
  <c r="AF264" i="30"/>
  <c r="AG264" i="30"/>
  <c r="AH264" i="30"/>
  <c r="AI264" i="30"/>
  <c r="AJ264" i="30"/>
  <c r="AK264" i="30"/>
  <c r="AL264" i="30"/>
  <c r="AM264" i="30"/>
  <c r="AN264" i="30"/>
  <c r="AO264" i="30"/>
  <c r="AP264" i="30"/>
  <c r="AQ264" i="30"/>
  <c r="AR264" i="30"/>
  <c r="AS264" i="30"/>
  <c r="AT264" i="30"/>
  <c r="AU264" i="30"/>
  <c r="AV264" i="30"/>
  <c r="AW264" i="30"/>
  <c r="AX264" i="30"/>
  <c r="AY264" i="30"/>
  <c r="AZ264" i="30"/>
  <c r="BA264" i="30"/>
  <c r="BB264" i="30"/>
  <c r="BC264" i="30"/>
  <c r="BD264" i="30"/>
  <c r="BE264" i="30"/>
  <c r="BF264" i="30"/>
  <c r="BG264" i="30"/>
  <c r="BH264" i="30"/>
  <c r="BI264" i="30"/>
  <c r="BJ264" i="30"/>
  <c r="BK264" i="30"/>
  <c r="BL264" i="30"/>
  <c r="BM264" i="30"/>
  <c r="BN264" i="30"/>
  <c r="BO264" i="30"/>
  <c r="BP264" i="30"/>
  <c r="BQ264" i="30"/>
  <c r="BR264" i="30"/>
  <c r="BS264" i="30"/>
  <c r="BT264" i="30"/>
  <c r="BU264" i="30"/>
  <c r="BV264" i="30"/>
  <c r="BW264" i="30"/>
  <c r="BX264" i="30"/>
  <c r="BY264" i="30"/>
  <c r="BZ264" i="30"/>
  <c r="CA264" i="30"/>
  <c r="CB264" i="30"/>
  <c r="CC264" i="30"/>
  <c r="AD265" i="30"/>
  <c r="AE265" i="30"/>
  <c r="AF265" i="30"/>
  <c r="AG265" i="30"/>
  <c r="AH265" i="30"/>
  <c r="AI265" i="30"/>
  <c r="AJ265" i="30"/>
  <c r="AK265" i="30"/>
  <c r="AL265" i="30"/>
  <c r="AM265" i="30"/>
  <c r="AN265" i="30"/>
  <c r="AO265" i="30"/>
  <c r="AP265" i="30"/>
  <c r="AQ265" i="30"/>
  <c r="AR265" i="30"/>
  <c r="AS265" i="30"/>
  <c r="AT265" i="30"/>
  <c r="AU265" i="30"/>
  <c r="AV265" i="30"/>
  <c r="AW265" i="30"/>
  <c r="AX265" i="30"/>
  <c r="AY265" i="30"/>
  <c r="AZ265" i="30"/>
  <c r="BA265" i="30"/>
  <c r="BB265" i="30"/>
  <c r="BC265" i="30"/>
  <c r="BD265" i="30"/>
  <c r="BE265" i="30"/>
  <c r="BF265" i="30"/>
  <c r="BG265" i="30"/>
  <c r="BH265" i="30"/>
  <c r="BI265" i="30"/>
  <c r="BJ265" i="30"/>
  <c r="BK265" i="30"/>
  <c r="BL265" i="30"/>
  <c r="BM265" i="30"/>
  <c r="BN265" i="30"/>
  <c r="BO265" i="30"/>
  <c r="BP265" i="30"/>
  <c r="BQ265" i="30"/>
  <c r="BR265" i="30"/>
  <c r="BS265" i="30"/>
  <c r="BT265" i="30"/>
  <c r="BU265" i="30"/>
  <c r="BV265" i="30"/>
  <c r="BW265" i="30"/>
  <c r="BX265" i="30"/>
  <c r="BY265" i="30"/>
  <c r="BZ265" i="30"/>
  <c r="CA265" i="30"/>
  <c r="CB265" i="30"/>
  <c r="CC265" i="30"/>
  <c r="AD266" i="30"/>
  <c r="AE266" i="30"/>
  <c r="AF266" i="30"/>
  <c r="AG266" i="30"/>
  <c r="AH266" i="30"/>
  <c r="AI266" i="30"/>
  <c r="AJ266" i="30"/>
  <c r="AK266" i="30"/>
  <c r="AL266" i="30"/>
  <c r="AM266" i="30"/>
  <c r="AN266" i="30"/>
  <c r="AO266" i="30"/>
  <c r="AP266" i="30"/>
  <c r="AQ266" i="30"/>
  <c r="AR266" i="30"/>
  <c r="AS266" i="30"/>
  <c r="AT266" i="30"/>
  <c r="AU266" i="30"/>
  <c r="AV266" i="30"/>
  <c r="AW266" i="30"/>
  <c r="AX266" i="30"/>
  <c r="AY266" i="30"/>
  <c r="AZ266" i="30"/>
  <c r="BA266" i="30"/>
  <c r="BB266" i="30"/>
  <c r="BC266" i="30"/>
  <c r="BD266" i="30"/>
  <c r="BE266" i="30"/>
  <c r="BF266" i="30"/>
  <c r="BG266" i="30"/>
  <c r="BH266" i="30"/>
  <c r="BI266" i="30"/>
  <c r="BJ266" i="30"/>
  <c r="BK266" i="30"/>
  <c r="BL266" i="30"/>
  <c r="BM266" i="30"/>
  <c r="BN266" i="30"/>
  <c r="BO266" i="30"/>
  <c r="BP266" i="30"/>
  <c r="BQ266" i="30"/>
  <c r="BR266" i="30"/>
  <c r="BS266" i="30"/>
  <c r="BT266" i="30"/>
  <c r="BU266" i="30"/>
  <c r="BV266" i="30"/>
  <c r="BW266" i="30"/>
  <c r="BX266" i="30"/>
  <c r="BY266" i="30"/>
  <c r="BZ266" i="30"/>
  <c r="CA266" i="30"/>
  <c r="CB266" i="30"/>
  <c r="CC266" i="30"/>
  <c r="AD267" i="30"/>
  <c r="AE267" i="30"/>
  <c r="AF267" i="30"/>
  <c r="AG267" i="30"/>
  <c r="AH267" i="30"/>
  <c r="AI267" i="30"/>
  <c r="AJ267" i="30"/>
  <c r="AK267" i="30"/>
  <c r="AL267" i="30"/>
  <c r="AM267" i="30"/>
  <c r="AN267" i="30"/>
  <c r="AO267" i="30"/>
  <c r="AP267" i="30"/>
  <c r="AQ267" i="30"/>
  <c r="AR267" i="30"/>
  <c r="AS267" i="30"/>
  <c r="AT267" i="30"/>
  <c r="AU267" i="30"/>
  <c r="AV267" i="30"/>
  <c r="AW267" i="30"/>
  <c r="AX267" i="30"/>
  <c r="AY267" i="30"/>
  <c r="AZ267" i="30"/>
  <c r="BA267" i="30"/>
  <c r="BB267" i="30"/>
  <c r="BC267" i="30"/>
  <c r="BD267" i="30"/>
  <c r="BE267" i="30"/>
  <c r="BF267" i="30"/>
  <c r="BG267" i="30"/>
  <c r="BH267" i="30"/>
  <c r="BI267" i="30"/>
  <c r="BJ267" i="30"/>
  <c r="BK267" i="30"/>
  <c r="BL267" i="30"/>
  <c r="BM267" i="30"/>
  <c r="BN267" i="30"/>
  <c r="BO267" i="30"/>
  <c r="BP267" i="30"/>
  <c r="BQ267" i="30"/>
  <c r="BR267" i="30"/>
  <c r="BS267" i="30"/>
  <c r="BT267" i="30"/>
  <c r="BU267" i="30"/>
  <c r="BV267" i="30"/>
  <c r="BW267" i="30"/>
  <c r="BX267" i="30"/>
  <c r="BY267" i="30"/>
  <c r="BZ267" i="30"/>
  <c r="CA267" i="30"/>
  <c r="CB267" i="30"/>
  <c r="CC267" i="30"/>
  <c r="AD268" i="30"/>
  <c r="AE268" i="30"/>
  <c r="AF268" i="30"/>
  <c r="AG268" i="30"/>
  <c r="AH268" i="30"/>
  <c r="AI268" i="30"/>
  <c r="AJ268" i="30"/>
  <c r="AK268" i="30"/>
  <c r="AL268" i="30"/>
  <c r="AM268" i="30"/>
  <c r="AN268" i="30"/>
  <c r="AO268" i="30"/>
  <c r="AP268" i="30"/>
  <c r="AQ268" i="30"/>
  <c r="AR268" i="30"/>
  <c r="AS268" i="30"/>
  <c r="AT268" i="30"/>
  <c r="AU268" i="30"/>
  <c r="AV268" i="30"/>
  <c r="AW268" i="30"/>
  <c r="AX268" i="30"/>
  <c r="AY268" i="30"/>
  <c r="AZ268" i="30"/>
  <c r="BA268" i="30"/>
  <c r="BB268" i="30"/>
  <c r="BC268" i="30"/>
  <c r="BD268" i="30"/>
  <c r="BE268" i="30"/>
  <c r="BF268" i="30"/>
  <c r="BG268" i="30"/>
  <c r="BH268" i="30"/>
  <c r="BI268" i="30"/>
  <c r="BJ268" i="30"/>
  <c r="BK268" i="30"/>
  <c r="BL268" i="30"/>
  <c r="BM268" i="30"/>
  <c r="BN268" i="30"/>
  <c r="BO268" i="30"/>
  <c r="BP268" i="30"/>
  <c r="BQ268" i="30"/>
  <c r="BR268" i="30"/>
  <c r="BS268" i="30"/>
  <c r="BT268" i="30"/>
  <c r="BU268" i="30"/>
  <c r="BV268" i="30"/>
  <c r="BW268" i="30"/>
  <c r="BX268" i="30"/>
  <c r="BY268" i="30"/>
  <c r="BZ268" i="30"/>
  <c r="CA268" i="30"/>
  <c r="CB268" i="30"/>
  <c r="CC268" i="30"/>
  <c r="AD269" i="30"/>
  <c r="AE269" i="30"/>
  <c r="AF269" i="30"/>
  <c r="AG269" i="30"/>
  <c r="AH269" i="30"/>
  <c r="AI269" i="30"/>
  <c r="AJ269" i="30"/>
  <c r="AK269" i="30"/>
  <c r="AL269" i="30"/>
  <c r="AM269" i="30"/>
  <c r="AN269" i="30"/>
  <c r="AO269" i="30"/>
  <c r="AP269" i="30"/>
  <c r="AQ269" i="30"/>
  <c r="AR269" i="30"/>
  <c r="AS269" i="30"/>
  <c r="AT269" i="30"/>
  <c r="AU269" i="30"/>
  <c r="AV269" i="30"/>
  <c r="AW269" i="30"/>
  <c r="AX269" i="30"/>
  <c r="AY269" i="30"/>
  <c r="AZ269" i="30"/>
  <c r="BA269" i="30"/>
  <c r="BB269" i="30"/>
  <c r="BC269" i="30"/>
  <c r="BD269" i="30"/>
  <c r="BE269" i="30"/>
  <c r="BF269" i="30"/>
  <c r="BG269" i="30"/>
  <c r="BH269" i="30"/>
  <c r="BI269" i="30"/>
  <c r="BJ269" i="30"/>
  <c r="BK269" i="30"/>
  <c r="BL269" i="30"/>
  <c r="BM269" i="30"/>
  <c r="BN269" i="30"/>
  <c r="BO269" i="30"/>
  <c r="BP269" i="30"/>
  <c r="BQ269" i="30"/>
  <c r="BR269" i="30"/>
  <c r="BS269" i="30"/>
  <c r="BT269" i="30"/>
  <c r="BU269" i="30"/>
  <c r="BV269" i="30"/>
  <c r="BW269" i="30"/>
  <c r="BX269" i="30"/>
  <c r="BY269" i="30"/>
  <c r="BZ269" i="30"/>
  <c r="CA269" i="30"/>
  <c r="CB269" i="30"/>
  <c r="CC269" i="30"/>
  <c r="AD270" i="30"/>
  <c r="AE270" i="30"/>
  <c r="AF270" i="30"/>
  <c r="AG270" i="30"/>
  <c r="AH270" i="30"/>
  <c r="AI270" i="30"/>
  <c r="AJ270" i="30"/>
  <c r="AK270" i="30"/>
  <c r="AL270" i="30"/>
  <c r="AM270" i="30"/>
  <c r="AN270" i="30"/>
  <c r="AO270" i="30"/>
  <c r="AP270" i="30"/>
  <c r="AQ270" i="30"/>
  <c r="AR270" i="30"/>
  <c r="AS270" i="30"/>
  <c r="AT270" i="30"/>
  <c r="AU270" i="30"/>
  <c r="AV270" i="30"/>
  <c r="AW270" i="30"/>
  <c r="AX270" i="30"/>
  <c r="AY270" i="30"/>
  <c r="AZ270" i="30"/>
  <c r="BA270" i="30"/>
  <c r="BB270" i="30"/>
  <c r="BC270" i="30"/>
  <c r="BD270" i="30"/>
  <c r="BE270" i="30"/>
  <c r="BF270" i="30"/>
  <c r="BG270" i="30"/>
  <c r="BH270" i="30"/>
  <c r="BI270" i="30"/>
  <c r="BJ270" i="30"/>
  <c r="BK270" i="30"/>
  <c r="BL270" i="30"/>
  <c r="BM270" i="30"/>
  <c r="BN270" i="30"/>
  <c r="BO270" i="30"/>
  <c r="BP270" i="30"/>
  <c r="BQ270" i="30"/>
  <c r="BR270" i="30"/>
  <c r="BS270" i="30"/>
  <c r="BT270" i="30"/>
  <c r="BU270" i="30"/>
  <c r="BV270" i="30"/>
  <c r="BW270" i="30"/>
  <c r="BX270" i="30"/>
  <c r="BY270" i="30"/>
  <c r="BZ270" i="30"/>
  <c r="CA270" i="30"/>
  <c r="CB270" i="30"/>
  <c r="CC270" i="30"/>
  <c r="AD271" i="30"/>
  <c r="AE271" i="30"/>
  <c r="AF271" i="30"/>
  <c r="AG271" i="30"/>
  <c r="AH271" i="30"/>
  <c r="AI271" i="30"/>
  <c r="AJ271" i="30"/>
  <c r="AK271" i="30"/>
  <c r="AL271" i="30"/>
  <c r="AM271" i="30"/>
  <c r="AN271" i="30"/>
  <c r="AO271" i="30"/>
  <c r="AP271" i="30"/>
  <c r="AQ271" i="30"/>
  <c r="AR271" i="30"/>
  <c r="AS271" i="30"/>
  <c r="AT271" i="30"/>
  <c r="AU271" i="30"/>
  <c r="AV271" i="30"/>
  <c r="AW271" i="30"/>
  <c r="AX271" i="30"/>
  <c r="AY271" i="30"/>
  <c r="AZ271" i="30"/>
  <c r="BA271" i="30"/>
  <c r="BB271" i="30"/>
  <c r="BC271" i="30"/>
  <c r="BD271" i="30"/>
  <c r="BE271" i="30"/>
  <c r="BF271" i="30"/>
  <c r="BG271" i="30"/>
  <c r="BH271" i="30"/>
  <c r="BI271" i="30"/>
  <c r="BJ271" i="30"/>
  <c r="BK271" i="30"/>
  <c r="BL271" i="30"/>
  <c r="BM271" i="30"/>
  <c r="BN271" i="30"/>
  <c r="BO271" i="30"/>
  <c r="BP271" i="30"/>
  <c r="BQ271" i="30"/>
  <c r="BR271" i="30"/>
  <c r="BS271" i="30"/>
  <c r="BT271" i="30"/>
  <c r="BU271" i="30"/>
  <c r="BV271" i="30"/>
  <c r="BW271" i="30"/>
  <c r="BX271" i="30"/>
  <c r="BY271" i="30"/>
  <c r="BZ271" i="30"/>
  <c r="CA271" i="30"/>
  <c r="CB271" i="30"/>
  <c r="CC271" i="30"/>
  <c r="AD272" i="30"/>
  <c r="AE272" i="30"/>
  <c r="AF272" i="30"/>
  <c r="AG272" i="30"/>
  <c r="AH272" i="30"/>
  <c r="AI272" i="30"/>
  <c r="AJ272" i="30"/>
  <c r="AK272" i="30"/>
  <c r="AL272" i="30"/>
  <c r="AM272" i="30"/>
  <c r="AN272" i="30"/>
  <c r="AO272" i="30"/>
  <c r="AP272" i="30"/>
  <c r="AQ272" i="30"/>
  <c r="AR272" i="30"/>
  <c r="AS272" i="30"/>
  <c r="AT272" i="30"/>
  <c r="AU272" i="30"/>
  <c r="AV272" i="30"/>
  <c r="AW272" i="30"/>
  <c r="AX272" i="30"/>
  <c r="AY272" i="30"/>
  <c r="AZ272" i="30"/>
  <c r="BA272" i="30"/>
  <c r="BB272" i="30"/>
  <c r="BC272" i="30"/>
  <c r="BD272" i="30"/>
  <c r="BE272" i="30"/>
  <c r="BF272" i="30"/>
  <c r="BG272" i="30"/>
  <c r="BH272" i="30"/>
  <c r="BI272" i="30"/>
  <c r="BJ272" i="30"/>
  <c r="BK272" i="30"/>
  <c r="BL272" i="30"/>
  <c r="BM272" i="30"/>
  <c r="BN272" i="30"/>
  <c r="BO272" i="30"/>
  <c r="BP272" i="30"/>
  <c r="BQ272" i="30"/>
  <c r="BR272" i="30"/>
  <c r="BS272" i="30"/>
  <c r="BT272" i="30"/>
  <c r="BU272" i="30"/>
  <c r="BV272" i="30"/>
  <c r="BW272" i="30"/>
  <c r="BX272" i="30"/>
  <c r="BY272" i="30"/>
  <c r="BZ272" i="30"/>
  <c r="CA272" i="30"/>
  <c r="CB272" i="30"/>
  <c r="CC272" i="30"/>
  <c r="AD273" i="30"/>
  <c r="AE273" i="30"/>
  <c r="AF273" i="30"/>
  <c r="AG273" i="30"/>
  <c r="AH273" i="30"/>
  <c r="AI273" i="30"/>
  <c r="AJ273" i="30"/>
  <c r="AK273" i="30"/>
  <c r="AL273" i="30"/>
  <c r="AM273" i="30"/>
  <c r="AN273" i="30"/>
  <c r="AO273" i="30"/>
  <c r="AP273" i="30"/>
  <c r="AQ273" i="30"/>
  <c r="AR273" i="30"/>
  <c r="AS273" i="30"/>
  <c r="AT273" i="30"/>
  <c r="AU273" i="30"/>
  <c r="AV273" i="30"/>
  <c r="AW273" i="30"/>
  <c r="AX273" i="30"/>
  <c r="AY273" i="30"/>
  <c r="AZ273" i="30"/>
  <c r="BA273" i="30"/>
  <c r="BB273" i="30"/>
  <c r="BC273" i="30"/>
  <c r="BD273" i="30"/>
  <c r="BE273" i="30"/>
  <c r="BF273" i="30"/>
  <c r="BG273" i="30"/>
  <c r="BH273" i="30"/>
  <c r="BI273" i="30"/>
  <c r="BJ273" i="30"/>
  <c r="BK273" i="30"/>
  <c r="BL273" i="30"/>
  <c r="BM273" i="30"/>
  <c r="BN273" i="30"/>
  <c r="BO273" i="30"/>
  <c r="BP273" i="30"/>
  <c r="BQ273" i="30"/>
  <c r="BR273" i="30"/>
  <c r="BS273" i="30"/>
  <c r="BT273" i="30"/>
  <c r="BU273" i="30"/>
  <c r="BV273" i="30"/>
  <c r="BW273" i="30"/>
  <c r="BX273" i="30"/>
  <c r="BY273" i="30"/>
  <c r="BZ273" i="30"/>
  <c r="CA273" i="30"/>
  <c r="CB273" i="30"/>
  <c r="CC273" i="30"/>
  <c r="AD274" i="30"/>
  <c r="AE274" i="30"/>
  <c r="AF274" i="30"/>
  <c r="AG274" i="30"/>
  <c r="AH274" i="30"/>
  <c r="AI274" i="30"/>
  <c r="AJ274" i="30"/>
  <c r="AK274" i="30"/>
  <c r="AL274" i="30"/>
  <c r="AM274" i="30"/>
  <c r="AN274" i="30"/>
  <c r="AO274" i="30"/>
  <c r="AP274" i="30"/>
  <c r="AQ274" i="30"/>
  <c r="AR274" i="30"/>
  <c r="AS274" i="30"/>
  <c r="AT274" i="30"/>
  <c r="AU274" i="30"/>
  <c r="AV274" i="30"/>
  <c r="AW274" i="30"/>
  <c r="AX274" i="30"/>
  <c r="AY274" i="30"/>
  <c r="AZ274" i="30"/>
  <c r="BA274" i="30"/>
  <c r="BB274" i="30"/>
  <c r="BC274" i="30"/>
  <c r="BD274" i="30"/>
  <c r="BE274" i="30"/>
  <c r="BF274" i="30"/>
  <c r="BG274" i="30"/>
  <c r="BH274" i="30"/>
  <c r="BI274" i="30"/>
  <c r="BJ274" i="30"/>
  <c r="BK274" i="30"/>
  <c r="BL274" i="30"/>
  <c r="BM274" i="30"/>
  <c r="BN274" i="30"/>
  <c r="BO274" i="30"/>
  <c r="BP274" i="30"/>
  <c r="BQ274" i="30"/>
  <c r="BR274" i="30"/>
  <c r="BS274" i="30"/>
  <c r="BT274" i="30"/>
  <c r="BU274" i="30"/>
  <c r="BV274" i="30"/>
  <c r="BW274" i="30"/>
  <c r="BX274" i="30"/>
  <c r="BY274" i="30"/>
  <c r="BZ274" i="30"/>
  <c r="CA274" i="30"/>
  <c r="CB274" i="30"/>
  <c r="CC274" i="30"/>
  <c r="AD275" i="30"/>
  <c r="AE275" i="30"/>
  <c r="AF275" i="30"/>
  <c r="AG275" i="30"/>
  <c r="AH275" i="30"/>
  <c r="AI275" i="30"/>
  <c r="AJ275" i="30"/>
  <c r="AK275" i="30"/>
  <c r="AL275" i="30"/>
  <c r="AM275" i="30"/>
  <c r="AN275" i="30"/>
  <c r="AO275" i="30"/>
  <c r="AP275" i="30"/>
  <c r="AQ275" i="30"/>
  <c r="AR275" i="30"/>
  <c r="AS275" i="30"/>
  <c r="AT275" i="30"/>
  <c r="AU275" i="30"/>
  <c r="AV275" i="30"/>
  <c r="AW275" i="30"/>
  <c r="AX275" i="30"/>
  <c r="AY275" i="30"/>
  <c r="AZ275" i="30"/>
  <c r="BA275" i="30"/>
  <c r="BB275" i="30"/>
  <c r="BC275" i="30"/>
  <c r="BD275" i="30"/>
  <c r="BE275" i="30"/>
  <c r="BF275" i="30"/>
  <c r="BG275" i="30"/>
  <c r="BH275" i="30"/>
  <c r="BI275" i="30"/>
  <c r="BJ275" i="30"/>
  <c r="BK275" i="30"/>
  <c r="BL275" i="30"/>
  <c r="BM275" i="30"/>
  <c r="BN275" i="30"/>
  <c r="BO275" i="30"/>
  <c r="BP275" i="30"/>
  <c r="BQ275" i="30"/>
  <c r="BR275" i="30"/>
  <c r="BS275" i="30"/>
  <c r="BT275" i="30"/>
  <c r="BU275" i="30"/>
  <c r="BV275" i="30"/>
  <c r="BW275" i="30"/>
  <c r="BX275" i="30"/>
  <c r="BY275" i="30"/>
  <c r="BZ275" i="30"/>
  <c r="CA275" i="30"/>
  <c r="CB275" i="30"/>
  <c r="CC275" i="30"/>
  <c r="AD276" i="30"/>
  <c r="AE276" i="30"/>
  <c r="AF276" i="30"/>
  <c r="AG276" i="30"/>
  <c r="AH276" i="30"/>
  <c r="AI276" i="30"/>
  <c r="AJ276" i="30"/>
  <c r="AK276" i="30"/>
  <c r="AL276" i="30"/>
  <c r="AM276" i="30"/>
  <c r="AN276" i="30"/>
  <c r="AO276" i="30"/>
  <c r="AP276" i="30"/>
  <c r="AQ276" i="30"/>
  <c r="AR276" i="30"/>
  <c r="AS276" i="30"/>
  <c r="AT276" i="30"/>
  <c r="AU276" i="30"/>
  <c r="AV276" i="30"/>
  <c r="AW276" i="30"/>
  <c r="AX276" i="30"/>
  <c r="AY276" i="30"/>
  <c r="AZ276" i="30"/>
  <c r="BA276" i="30"/>
  <c r="BB276" i="30"/>
  <c r="BC276" i="30"/>
  <c r="BD276" i="30"/>
  <c r="BE276" i="30"/>
  <c r="BF276" i="30"/>
  <c r="BG276" i="30"/>
  <c r="BH276" i="30"/>
  <c r="BI276" i="30"/>
  <c r="BJ276" i="30"/>
  <c r="BK276" i="30"/>
  <c r="BL276" i="30"/>
  <c r="BM276" i="30"/>
  <c r="BN276" i="30"/>
  <c r="BO276" i="30"/>
  <c r="BP276" i="30"/>
  <c r="BQ276" i="30"/>
  <c r="BR276" i="30"/>
  <c r="BS276" i="30"/>
  <c r="BT276" i="30"/>
  <c r="BU276" i="30"/>
  <c r="BV276" i="30"/>
  <c r="BW276" i="30"/>
  <c r="BX276" i="30"/>
  <c r="BY276" i="30"/>
  <c r="BZ276" i="30"/>
  <c r="CA276" i="30"/>
  <c r="CB276" i="30"/>
  <c r="CC276" i="30"/>
  <c r="AD277" i="30"/>
  <c r="AE277" i="30"/>
  <c r="AF277" i="30"/>
  <c r="AG277" i="30"/>
  <c r="AH277" i="30"/>
  <c r="AI277" i="30"/>
  <c r="AJ277" i="30"/>
  <c r="AK277" i="30"/>
  <c r="AL277" i="30"/>
  <c r="AM277" i="30"/>
  <c r="AN277" i="30"/>
  <c r="AO277" i="30"/>
  <c r="AP277" i="30"/>
  <c r="AQ277" i="30"/>
  <c r="AR277" i="30"/>
  <c r="AS277" i="30"/>
  <c r="AT277" i="30"/>
  <c r="AU277" i="30"/>
  <c r="AV277" i="30"/>
  <c r="AW277" i="30"/>
  <c r="AX277" i="30"/>
  <c r="AY277" i="30"/>
  <c r="AZ277" i="30"/>
  <c r="BA277" i="30"/>
  <c r="BB277" i="30"/>
  <c r="BC277" i="30"/>
  <c r="BD277" i="30"/>
  <c r="BE277" i="30"/>
  <c r="BF277" i="30"/>
  <c r="BG277" i="30"/>
  <c r="BH277" i="30"/>
  <c r="BI277" i="30"/>
  <c r="BJ277" i="30"/>
  <c r="BK277" i="30"/>
  <c r="BL277" i="30"/>
  <c r="BM277" i="30"/>
  <c r="BN277" i="30"/>
  <c r="BO277" i="30"/>
  <c r="BP277" i="30"/>
  <c r="BQ277" i="30"/>
  <c r="BR277" i="30"/>
  <c r="BS277" i="30"/>
  <c r="BT277" i="30"/>
  <c r="BU277" i="30"/>
  <c r="BV277" i="30"/>
  <c r="BW277" i="30"/>
  <c r="BX277" i="30"/>
  <c r="BY277" i="30"/>
  <c r="BZ277" i="30"/>
  <c r="CA277" i="30"/>
  <c r="CB277" i="30"/>
  <c r="CC277" i="30"/>
  <c r="AD278" i="30"/>
  <c r="AE278" i="30"/>
  <c r="AF278" i="30"/>
  <c r="AG278" i="30"/>
  <c r="AH278" i="30"/>
  <c r="AI278" i="30"/>
  <c r="AJ278" i="30"/>
  <c r="AK278" i="30"/>
  <c r="AL278" i="30"/>
  <c r="AM278" i="30"/>
  <c r="AN278" i="30"/>
  <c r="AO278" i="30"/>
  <c r="AP278" i="30"/>
  <c r="AQ278" i="30"/>
  <c r="AR278" i="30"/>
  <c r="AS278" i="30"/>
  <c r="AT278" i="30"/>
  <c r="AU278" i="30"/>
  <c r="AV278" i="30"/>
  <c r="AW278" i="30"/>
  <c r="AX278" i="30"/>
  <c r="AY278" i="30"/>
  <c r="AZ278" i="30"/>
  <c r="BA278" i="30"/>
  <c r="BB278" i="30"/>
  <c r="BC278" i="30"/>
  <c r="BD278" i="30"/>
  <c r="BE278" i="30"/>
  <c r="BF278" i="30"/>
  <c r="BG278" i="30"/>
  <c r="BH278" i="30"/>
  <c r="BI278" i="30"/>
  <c r="BJ278" i="30"/>
  <c r="BK278" i="30"/>
  <c r="BL278" i="30"/>
  <c r="BM278" i="30"/>
  <c r="BN278" i="30"/>
  <c r="BO278" i="30"/>
  <c r="BP278" i="30"/>
  <c r="BQ278" i="30"/>
  <c r="BR278" i="30"/>
  <c r="BS278" i="30"/>
  <c r="BT278" i="30"/>
  <c r="BU278" i="30"/>
  <c r="BV278" i="30"/>
  <c r="BW278" i="30"/>
  <c r="BX278" i="30"/>
  <c r="BY278" i="30"/>
  <c r="BZ278" i="30"/>
  <c r="CA278" i="30"/>
  <c r="CB278" i="30"/>
  <c r="CC278" i="30"/>
  <c r="AD279" i="30"/>
  <c r="AE279" i="30"/>
  <c r="AF279" i="30"/>
  <c r="AG279" i="30"/>
  <c r="AH279" i="30"/>
  <c r="AI279" i="30"/>
  <c r="AJ279" i="30"/>
  <c r="AK279" i="30"/>
  <c r="AL279" i="30"/>
  <c r="AM279" i="30"/>
  <c r="AN279" i="30"/>
  <c r="AO279" i="30"/>
  <c r="AP279" i="30"/>
  <c r="AQ279" i="30"/>
  <c r="AR279" i="30"/>
  <c r="AS279" i="30"/>
  <c r="AT279" i="30"/>
  <c r="AU279" i="30"/>
  <c r="AV279" i="30"/>
  <c r="AW279" i="30"/>
  <c r="AX279" i="30"/>
  <c r="AY279" i="30"/>
  <c r="AZ279" i="30"/>
  <c r="BA279" i="30"/>
  <c r="BB279" i="30"/>
  <c r="BC279" i="30"/>
  <c r="BD279" i="30"/>
  <c r="BE279" i="30"/>
  <c r="BF279" i="30"/>
  <c r="BG279" i="30"/>
  <c r="BH279" i="30"/>
  <c r="BI279" i="30"/>
  <c r="BJ279" i="30"/>
  <c r="BK279" i="30"/>
  <c r="BL279" i="30"/>
  <c r="BM279" i="30"/>
  <c r="BN279" i="30"/>
  <c r="BO279" i="30"/>
  <c r="BP279" i="30"/>
  <c r="BQ279" i="30"/>
  <c r="BR279" i="30"/>
  <c r="BS279" i="30"/>
  <c r="BT279" i="30"/>
  <c r="BU279" i="30"/>
  <c r="BV279" i="30"/>
  <c r="BW279" i="30"/>
  <c r="BX279" i="30"/>
  <c r="BY279" i="30"/>
  <c r="BZ279" i="30"/>
  <c r="CA279" i="30"/>
  <c r="CB279" i="30"/>
  <c r="CC279" i="30"/>
  <c r="AD280" i="30"/>
  <c r="AE280" i="30"/>
  <c r="AF280" i="30"/>
  <c r="AG280" i="30"/>
  <c r="AH280" i="30"/>
  <c r="AI280" i="30"/>
  <c r="AJ280" i="30"/>
  <c r="AK280" i="30"/>
  <c r="AL280" i="30"/>
  <c r="AM280" i="30"/>
  <c r="AN280" i="30"/>
  <c r="AO280" i="30"/>
  <c r="AP280" i="30"/>
  <c r="AQ280" i="30"/>
  <c r="AR280" i="30"/>
  <c r="AS280" i="30"/>
  <c r="AT280" i="30"/>
  <c r="AU280" i="30"/>
  <c r="AV280" i="30"/>
  <c r="AW280" i="30"/>
  <c r="AX280" i="30"/>
  <c r="AY280" i="30"/>
  <c r="AZ280" i="30"/>
  <c r="BA280" i="30"/>
  <c r="BB280" i="30"/>
  <c r="BC280" i="30"/>
  <c r="BD280" i="30"/>
  <c r="BE280" i="30"/>
  <c r="BF280" i="30"/>
  <c r="BG280" i="30"/>
  <c r="BH280" i="30"/>
  <c r="BI280" i="30"/>
  <c r="BJ280" i="30"/>
  <c r="BK280" i="30"/>
  <c r="BL280" i="30"/>
  <c r="BM280" i="30"/>
  <c r="BN280" i="30"/>
  <c r="BO280" i="30"/>
  <c r="BP280" i="30"/>
  <c r="BQ280" i="30"/>
  <c r="BR280" i="30"/>
  <c r="BS280" i="30"/>
  <c r="BT280" i="30"/>
  <c r="BU280" i="30"/>
  <c r="BV280" i="30"/>
  <c r="BW280" i="30"/>
  <c r="BX280" i="30"/>
  <c r="BY280" i="30"/>
  <c r="BZ280" i="30"/>
  <c r="CA280" i="30"/>
  <c r="CB280" i="30"/>
  <c r="CC280" i="30"/>
  <c r="AD281" i="30"/>
  <c r="AE281" i="30"/>
  <c r="AF281" i="30"/>
  <c r="AG281" i="30"/>
  <c r="AH281" i="30"/>
  <c r="AI281" i="30"/>
  <c r="AJ281" i="30"/>
  <c r="AK281" i="30"/>
  <c r="AL281" i="30"/>
  <c r="AM281" i="30"/>
  <c r="AN281" i="30"/>
  <c r="AO281" i="30"/>
  <c r="AP281" i="30"/>
  <c r="AQ281" i="30"/>
  <c r="AR281" i="30"/>
  <c r="AS281" i="30"/>
  <c r="AT281" i="30"/>
  <c r="AU281" i="30"/>
  <c r="AV281" i="30"/>
  <c r="AW281" i="30"/>
  <c r="AX281" i="30"/>
  <c r="AY281" i="30"/>
  <c r="AZ281" i="30"/>
  <c r="BA281" i="30"/>
  <c r="BB281" i="30"/>
  <c r="BC281" i="30"/>
  <c r="BD281" i="30"/>
  <c r="BE281" i="30"/>
  <c r="BF281" i="30"/>
  <c r="BG281" i="30"/>
  <c r="BH281" i="30"/>
  <c r="BI281" i="30"/>
  <c r="BJ281" i="30"/>
  <c r="BK281" i="30"/>
  <c r="BL281" i="30"/>
  <c r="BM281" i="30"/>
  <c r="BN281" i="30"/>
  <c r="BO281" i="30"/>
  <c r="BP281" i="30"/>
  <c r="BQ281" i="30"/>
  <c r="BR281" i="30"/>
  <c r="BS281" i="30"/>
  <c r="BT281" i="30"/>
  <c r="BU281" i="30"/>
  <c r="BV281" i="30"/>
  <c r="BW281" i="30"/>
  <c r="BX281" i="30"/>
  <c r="BY281" i="30"/>
  <c r="BZ281" i="30"/>
  <c r="CA281" i="30"/>
  <c r="CB281" i="30"/>
  <c r="CC281" i="30"/>
  <c r="AD282" i="30"/>
  <c r="AE282" i="30"/>
  <c r="AF282" i="30"/>
  <c r="AG282" i="30"/>
  <c r="AH282" i="30"/>
  <c r="AI282" i="30"/>
  <c r="AJ282" i="30"/>
  <c r="AK282" i="30"/>
  <c r="AL282" i="30"/>
  <c r="AM282" i="30"/>
  <c r="AN282" i="30"/>
  <c r="AO282" i="30"/>
  <c r="AP282" i="30"/>
  <c r="AQ282" i="30"/>
  <c r="AR282" i="30"/>
  <c r="AS282" i="30"/>
  <c r="AT282" i="30"/>
  <c r="AU282" i="30"/>
  <c r="AV282" i="30"/>
  <c r="AW282" i="30"/>
  <c r="AX282" i="30"/>
  <c r="AY282" i="30"/>
  <c r="AZ282" i="30"/>
  <c r="BA282" i="30"/>
  <c r="BB282" i="30"/>
  <c r="BC282" i="30"/>
  <c r="BD282" i="30"/>
  <c r="BE282" i="30"/>
  <c r="BF282" i="30"/>
  <c r="BG282" i="30"/>
  <c r="BH282" i="30"/>
  <c r="BI282" i="30"/>
  <c r="BJ282" i="30"/>
  <c r="BK282" i="30"/>
  <c r="BL282" i="30"/>
  <c r="BM282" i="30"/>
  <c r="BN282" i="30"/>
  <c r="BO282" i="30"/>
  <c r="BP282" i="30"/>
  <c r="BQ282" i="30"/>
  <c r="BR282" i="30"/>
  <c r="BS282" i="30"/>
  <c r="BT282" i="30"/>
  <c r="BU282" i="30"/>
  <c r="BV282" i="30"/>
  <c r="BW282" i="30"/>
  <c r="BX282" i="30"/>
  <c r="BY282" i="30"/>
  <c r="BZ282" i="30"/>
  <c r="CA282" i="30"/>
  <c r="CB282" i="30"/>
  <c r="CC282" i="30"/>
  <c r="AD283" i="30"/>
  <c r="AE283" i="30"/>
  <c r="AF283" i="30"/>
  <c r="AG283" i="30"/>
  <c r="AH283" i="30"/>
  <c r="AI283" i="30"/>
  <c r="AJ283" i="30"/>
  <c r="AK283" i="30"/>
  <c r="AL283" i="30"/>
  <c r="AM283" i="30"/>
  <c r="AN283" i="30"/>
  <c r="AO283" i="30"/>
  <c r="AP283" i="30"/>
  <c r="AQ283" i="30"/>
  <c r="AR283" i="30"/>
  <c r="AS283" i="30"/>
  <c r="AT283" i="30"/>
  <c r="AU283" i="30"/>
  <c r="AV283" i="30"/>
  <c r="AW283" i="30"/>
  <c r="AX283" i="30"/>
  <c r="AY283" i="30"/>
  <c r="AZ283" i="30"/>
  <c r="BA283" i="30"/>
  <c r="BB283" i="30"/>
  <c r="BC283" i="30"/>
  <c r="BD283" i="30"/>
  <c r="BE283" i="30"/>
  <c r="BF283" i="30"/>
  <c r="BG283" i="30"/>
  <c r="BH283" i="30"/>
  <c r="BI283" i="30"/>
  <c r="BJ283" i="30"/>
  <c r="BK283" i="30"/>
  <c r="BL283" i="30"/>
  <c r="BM283" i="30"/>
  <c r="BN283" i="30"/>
  <c r="BO283" i="30"/>
  <c r="BP283" i="30"/>
  <c r="BQ283" i="30"/>
  <c r="BR283" i="30"/>
  <c r="BS283" i="30"/>
  <c r="BT283" i="30"/>
  <c r="BU283" i="30"/>
  <c r="BV283" i="30"/>
  <c r="BW283" i="30"/>
  <c r="BX283" i="30"/>
  <c r="BY283" i="30"/>
  <c r="BZ283" i="30"/>
  <c r="CA283" i="30"/>
  <c r="CB283" i="30"/>
  <c r="CC283" i="30"/>
  <c r="AD284" i="30"/>
  <c r="AE284" i="30"/>
  <c r="AF284" i="30"/>
  <c r="AG284" i="30"/>
  <c r="AH284" i="30"/>
  <c r="AI284" i="30"/>
  <c r="AJ284" i="30"/>
  <c r="AK284" i="30"/>
  <c r="AL284" i="30"/>
  <c r="AM284" i="30"/>
  <c r="AN284" i="30"/>
  <c r="AO284" i="30"/>
  <c r="AP284" i="30"/>
  <c r="AQ284" i="30"/>
  <c r="AR284" i="30"/>
  <c r="AS284" i="30"/>
  <c r="AT284" i="30"/>
  <c r="AU284" i="30"/>
  <c r="AV284" i="30"/>
  <c r="AW284" i="30"/>
  <c r="AX284" i="30"/>
  <c r="AY284" i="30"/>
  <c r="AZ284" i="30"/>
  <c r="BA284" i="30"/>
  <c r="BB284" i="30"/>
  <c r="BC284" i="30"/>
  <c r="BD284" i="30"/>
  <c r="BE284" i="30"/>
  <c r="BF284" i="30"/>
  <c r="BG284" i="30"/>
  <c r="BH284" i="30"/>
  <c r="BI284" i="30"/>
  <c r="BJ284" i="30"/>
  <c r="BK284" i="30"/>
  <c r="BL284" i="30"/>
  <c r="BM284" i="30"/>
  <c r="BN284" i="30"/>
  <c r="BO284" i="30"/>
  <c r="BP284" i="30"/>
  <c r="BQ284" i="30"/>
  <c r="BR284" i="30"/>
  <c r="BS284" i="30"/>
  <c r="BT284" i="30"/>
  <c r="BU284" i="30"/>
  <c r="BV284" i="30"/>
  <c r="BW284" i="30"/>
  <c r="BX284" i="30"/>
  <c r="BY284" i="30"/>
  <c r="BZ284" i="30"/>
  <c r="CA284" i="30"/>
  <c r="CB284" i="30"/>
  <c r="CC284" i="30"/>
  <c r="AD285" i="30"/>
  <c r="AE285" i="30"/>
  <c r="AF285" i="30"/>
  <c r="AG285" i="30"/>
  <c r="AH285" i="30"/>
  <c r="AI285" i="30"/>
  <c r="AJ285" i="30"/>
  <c r="AK285" i="30"/>
  <c r="AL285" i="30"/>
  <c r="AM285" i="30"/>
  <c r="AN285" i="30"/>
  <c r="AO285" i="30"/>
  <c r="AP285" i="30"/>
  <c r="AQ285" i="30"/>
  <c r="AR285" i="30"/>
  <c r="AS285" i="30"/>
  <c r="AT285" i="30"/>
  <c r="AU285" i="30"/>
  <c r="AV285" i="30"/>
  <c r="AW285" i="30"/>
  <c r="AX285" i="30"/>
  <c r="AY285" i="30"/>
  <c r="AZ285" i="30"/>
  <c r="BA285" i="30"/>
  <c r="BB285" i="30"/>
  <c r="BC285" i="30"/>
  <c r="BD285" i="30"/>
  <c r="BE285" i="30"/>
  <c r="BF285" i="30"/>
  <c r="BG285" i="30"/>
  <c r="BH285" i="30"/>
  <c r="BI285" i="30"/>
  <c r="BJ285" i="30"/>
  <c r="BK285" i="30"/>
  <c r="BL285" i="30"/>
  <c r="BM285" i="30"/>
  <c r="BN285" i="30"/>
  <c r="BO285" i="30"/>
  <c r="BP285" i="30"/>
  <c r="BQ285" i="30"/>
  <c r="BR285" i="30"/>
  <c r="BS285" i="30"/>
  <c r="BT285" i="30"/>
  <c r="BU285" i="30"/>
  <c r="BV285" i="30"/>
  <c r="BW285" i="30"/>
  <c r="BX285" i="30"/>
  <c r="BY285" i="30"/>
  <c r="BZ285" i="30"/>
  <c r="CA285" i="30"/>
  <c r="CB285" i="30"/>
  <c r="CC285" i="30"/>
  <c r="AD286" i="30"/>
  <c r="AE286" i="30"/>
  <c r="AF286" i="30"/>
  <c r="AG286" i="30"/>
  <c r="AH286" i="30"/>
  <c r="AI286" i="30"/>
  <c r="AJ286" i="30"/>
  <c r="AK286" i="30"/>
  <c r="AL286" i="30"/>
  <c r="AM286" i="30"/>
  <c r="AN286" i="30"/>
  <c r="AO286" i="30"/>
  <c r="AP286" i="30"/>
  <c r="AQ286" i="30"/>
  <c r="AR286" i="30"/>
  <c r="AS286" i="30"/>
  <c r="AT286" i="30"/>
  <c r="AU286" i="30"/>
  <c r="AV286" i="30"/>
  <c r="AW286" i="30"/>
  <c r="AX286" i="30"/>
  <c r="AY286" i="30"/>
  <c r="AZ286" i="30"/>
  <c r="BA286" i="30"/>
  <c r="BB286" i="30"/>
  <c r="BC286" i="30"/>
  <c r="BD286" i="30"/>
  <c r="BE286" i="30"/>
  <c r="BF286" i="30"/>
  <c r="BG286" i="30"/>
  <c r="BH286" i="30"/>
  <c r="BI286" i="30"/>
  <c r="BJ286" i="30"/>
  <c r="BK286" i="30"/>
  <c r="BL286" i="30"/>
  <c r="BM286" i="30"/>
  <c r="BN286" i="30"/>
  <c r="BO286" i="30"/>
  <c r="BP286" i="30"/>
  <c r="BQ286" i="30"/>
  <c r="BR286" i="30"/>
  <c r="BS286" i="30"/>
  <c r="BT286" i="30"/>
  <c r="BU286" i="30"/>
  <c r="BV286" i="30"/>
  <c r="BW286" i="30"/>
  <c r="BX286" i="30"/>
  <c r="BY286" i="30"/>
  <c r="BZ286" i="30"/>
  <c r="CA286" i="30"/>
  <c r="CB286" i="30"/>
  <c r="CC286" i="30"/>
  <c r="AD287" i="30"/>
  <c r="AE287" i="30"/>
  <c r="AF287" i="30"/>
  <c r="AG287" i="30"/>
  <c r="AH287" i="30"/>
  <c r="AI287" i="30"/>
  <c r="AJ287" i="30"/>
  <c r="AK287" i="30"/>
  <c r="AL287" i="30"/>
  <c r="AM287" i="30"/>
  <c r="AN287" i="30"/>
  <c r="AO287" i="30"/>
  <c r="AP287" i="30"/>
  <c r="AQ287" i="30"/>
  <c r="AR287" i="30"/>
  <c r="AS287" i="30"/>
  <c r="AT287" i="30"/>
  <c r="AU287" i="30"/>
  <c r="AV287" i="30"/>
  <c r="AW287" i="30"/>
  <c r="AX287" i="30"/>
  <c r="AY287" i="30"/>
  <c r="AZ287" i="30"/>
  <c r="BA287" i="30"/>
  <c r="BB287" i="30"/>
  <c r="BC287" i="30"/>
  <c r="BD287" i="30"/>
  <c r="BE287" i="30"/>
  <c r="BF287" i="30"/>
  <c r="BG287" i="30"/>
  <c r="BH287" i="30"/>
  <c r="BI287" i="30"/>
  <c r="BJ287" i="30"/>
  <c r="BK287" i="30"/>
  <c r="BL287" i="30"/>
  <c r="BM287" i="30"/>
  <c r="BN287" i="30"/>
  <c r="BO287" i="30"/>
  <c r="BP287" i="30"/>
  <c r="BQ287" i="30"/>
  <c r="BR287" i="30"/>
  <c r="BS287" i="30"/>
  <c r="BT287" i="30"/>
  <c r="BU287" i="30"/>
  <c r="BV287" i="30"/>
  <c r="BW287" i="30"/>
  <c r="BX287" i="30"/>
  <c r="BY287" i="30"/>
  <c r="BZ287" i="30"/>
  <c r="CA287" i="30"/>
  <c r="CB287" i="30"/>
  <c r="CC287" i="30"/>
  <c r="AD288" i="30"/>
  <c r="AE288" i="30"/>
  <c r="AF288" i="30"/>
  <c r="AG288" i="30"/>
  <c r="AH288" i="30"/>
  <c r="AI288" i="30"/>
  <c r="AJ288" i="30"/>
  <c r="AK288" i="30"/>
  <c r="AL288" i="30"/>
  <c r="AM288" i="30"/>
  <c r="AN288" i="30"/>
  <c r="AO288" i="30"/>
  <c r="AP288" i="30"/>
  <c r="AQ288" i="30"/>
  <c r="AR288" i="30"/>
  <c r="AS288" i="30"/>
  <c r="AT288" i="30"/>
  <c r="AU288" i="30"/>
  <c r="AV288" i="30"/>
  <c r="AW288" i="30"/>
  <c r="AX288" i="30"/>
  <c r="AY288" i="30"/>
  <c r="AZ288" i="30"/>
  <c r="BA288" i="30"/>
  <c r="BB288" i="30"/>
  <c r="BC288" i="30"/>
  <c r="BD288" i="30"/>
  <c r="BE288" i="30"/>
  <c r="BF288" i="30"/>
  <c r="BG288" i="30"/>
  <c r="BH288" i="30"/>
  <c r="BI288" i="30"/>
  <c r="BJ288" i="30"/>
  <c r="BK288" i="30"/>
  <c r="BL288" i="30"/>
  <c r="BM288" i="30"/>
  <c r="BN288" i="30"/>
  <c r="BO288" i="30"/>
  <c r="BP288" i="30"/>
  <c r="BQ288" i="30"/>
  <c r="BR288" i="30"/>
  <c r="BS288" i="30"/>
  <c r="BT288" i="30"/>
  <c r="BU288" i="30"/>
  <c r="BV288" i="30"/>
  <c r="BW288" i="30"/>
  <c r="BX288" i="30"/>
  <c r="BY288" i="30"/>
  <c r="BZ288" i="30"/>
  <c r="CA288" i="30"/>
  <c r="CB288" i="30"/>
  <c r="CC288" i="30"/>
  <c r="AD289" i="30"/>
  <c r="AE289" i="30"/>
  <c r="AF289" i="30"/>
  <c r="AG289" i="30"/>
  <c r="AH289" i="30"/>
  <c r="AI289" i="30"/>
  <c r="AJ289" i="30"/>
  <c r="AK289" i="30"/>
  <c r="AL289" i="30"/>
  <c r="AM289" i="30"/>
  <c r="AN289" i="30"/>
  <c r="AO289" i="30"/>
  <c r="AP289" i="30"/>
  <c r="AQ289" i="30"/>
  <c r="AR289" i="30"/>
  <c r="AS289" i="30"/>
  <c r="AT289" i="30"/>
  <c r="AU289" i="30"/>
  <c r="AV289" i="30"/>
  <c r="AW289" i="30"/>
  <c r="AX289" i="30"/>
  <c r="AY289" i="30"/>
  <c r="AZ289" i="30"/>
  <c r="BA289" i="30"/>
  <c r="BB289" i="30"/>
  <c r="BC289" i="30"/>
  <c r="BD289" i="30"/>
  <c r="BE289" i="30"/>
  <c r="BF289" i="30"/>
  <c r="BG289" i="30"/>
  <c r="BH289" i="30"/>
  <c r="BI289" i="30"/>
  <c r="BJ289" i="30"/>
  <c r="BK289" i="30"/>
  <c r="BL289" i="30"/>
  <c r="BM289" i="30"/>
  <c r="BN289" i="30"/>
  <c r="BO289" i="30"/>
  <c r="BP289" i="30"/>
  <c r="BQ289" i="30"/>
  <c r="BR289" i="30"/>
  <c r="BS289" i="30"/>
  <c r="BT289" i="30"/>
  <c r="BU289" i="30"/>
  <c r="BV289" i="30"/>
  <c r="BW289" i="30"/>
  <c r="BX289" i="30"/>
  <c r="BY289" i="30"/>
  <c r="BZ289" i="30"/>
  <c r="CA289" i="30"/>
  <c r="CB289" i="30"/>
  <c r="CC289" i="30"/>
  <c r="AD290" i="30"/>
  <c r="AE290" i="30"/>
  <c r="AF290" i="30"/>
  <c r="AG290" i="30"/>
  <c r="AH290" i="30"/>
  <c r="AI290" i="30"/>
  <c r="AJ290" i="30"/>
  <c r="AK290" i="30"/>
  <c r="AL290" i="30"/>
  <c r="AM290" i="30"/>
  <c r="AN290" i="30"/>
  <c r="AO290" i="30"/>
  <c r="AP290" i="30"/>
  <c r="AQ290" i="30"/>
  <c r="AR290" i="30"/>
  <c r="AS290" i="30"/>
  <c r="AT290" i="30"/>
  <c r="AU290" i="30"/>
  <c r="AV290" i="30"/>
  <c r="AW290" i="30"/>
  <c r="AX290" i="30"/>
  <c r="AY290" i="30"/>
  <c r="AZ290" i="30"/>
  <c r="BA290" i="30"/>
  <c r="BB290" i="30"/>
  <c r="BC290" i="30"/>
  <c r="BD290" i="30"/>
  <c r="BE290" i="30"/>
  <c r="BF290" i="30"/>
  <c r="BG290" i="30"/>
  <c r="BH290" i="30"/>
  <c r="BI290" i="30"/>
  <c r="BJ290" i="30"/>
  <c r="BK290" i="30"/>
  <c r="BL290" i="30"/>
  <c r="BM290" i="30"/>
  <c r="BN290" i="30"/>
  <c r="BO290" i="30"/>
  <c r="BP290" i="30"/>
  <c r="BQ290" i="30"/>
  <c r="BR290" i="30"/>
  <c r="BS290" i="30"/>
  <c r="BT290" i="30"/>
  <c r="BU290" i="30"/>
  <c r="BV290" i="30"/>
  <c r="BW290" i="30"/>
  <c r="BX290" i="30"/>
  <c r="BY290" i="30"/>
  <c r="BZ290" i="30"/>
  <c r="CA290" i="30"/>
  <c r="CB290" i="30"/>
  <c r="CC290" i="30"/>
  <c r="AD291" i="30"/>
  <c r="AE291" i="30"/>
  <c r="AF291" i="30"/>
  <c r="AG291" i="30"/>
  <c r="AH291" i="30"/>
  <c r="AI291" i="30"/>
  <c r="AJ291" i="30"/>
  <c r="AK291" i="30"/>
  <c r="AL291" i="30"/>
  <c r="AM291" i="30"/>
  <c r="AN291" i="30"/>
  <c r="AO291" i="30"/>
  <c r="AP291" i="30"/>
  <c r="AQ291" i="30"/>
  <c r="AR291" i="30"/>
  <c r="AS291" i="30"/>
  <c r="AT291" i="30"/>
  <c r="AU291" i="30"/>
  <c r="AV291" i="30"/>
  <c r="AW291" i="30"/>
  <c r="AX291" i="30"/>
  <c r="AY291" i="30"/>
  <c r="AZ291" i="30"/>
  <c r="BA291" i="30"/>
  <c r="BB291" i="30"/>
  <c r="BC291" i="30"/>
  <c r="BD291" i="30"/>
  <c r="BE291" i="30"/>
  <c r="BF291" i="30"/>
  <c r="BG291" i="30"/>
  <c r="BH291" i="30"/>
  <c r="BI291" i="30"/>
  <c r="BJ291" i="30"/>
  <c r="BK291" i="30"/>
  <c r="BL291" i="30"/>
  <c r="BM291" i="30"/>
  <c r="BN291" i="30"/>
  <c r="BO291" i="30"/>
  <c r="BP291" i="30"/>
  <c r="BQ291" i="30"/>
  <c r="BR291" i="30"/>
  <c r="BS291" i="30"/>
  <c r="BT291" i="30"/>
  <c r="BU291" i="30"/>
  <c r="BV291" i="30"/>
  <c r="BW291" i="30"/>
  <c r="BX291" i="30"/>
  <c r="BY291" i="30"/>
  <c r="BZ291" i="30"/>
  <c r="CA291" i="30"/>
  <c r="CB291" i="30"/>
  <c r="CC291" i="30"/>
  <c r="AD292" i="30"/>
  <c r="AE292" i="30"/>
  <c r="AF292" i="30"/>
  <c r="AG292" i="30"/>
  <c r="AH292" i="30"/>
  <c r="AI292" i="30"/>
  <c r="AJ292" i="30"/>
  <c r="AK292" i="30"/>
  <c r="AL292" i="30"/>
  <c r="AM292" i="30"/>
  <c r="AN292" i="30"/>
  <c r="AO292" i="30"/>
  <c r="AP292" i="30"/>
  <c r="AQ292" i="30"/>
  <c r="AR292" i="30"/>
  <c r="AS292" i="30"/>
  <c r="AT292" i="30"/>
  <c r="AU292" i="30"/>
  <c r="AV292" i="30"/>
  <c r="AW292" i="30"/>
  <c r="AX292" i="30"/>
  <c r="AY292" i="30"/>
  <c r="AZ292" i="30"/>
  <c r="BA292" i="30"/>
  <c r="BB292" i="30"/>
  <c r="BC292" i="30"/>
  <c r="BD292" i="30"/>
  <c r="BE292" i="30"/>
  <c r="BF292" i="30"/>
  <c r="BG292" i="30"/>
  <c r="BH292" i="30"/>
  <c r="BI292" i="30"/>
  <c r="BJ292" i="30"/>
  <c r="BK292" i="30"/>
  <c r="BL292" i="30"/>
  <c r="BM292" i="30"/>
  <c r="BN292" i="30"/>
  <c r="BO292" i="30"/>
  <c r="BP292" i="30"/>
  <c r="BQ292" i="30"/>
  <c r="BR292" i="30"/>
  <c r="BS292" i="30"/>
  <c r="BT292" i="30"/>
  <c r="BU292" i="30"/>
  <c r="BV292" i="30"/>
  <c r="BW292" i="30"/>
  <c r="BX292" i="30"/>
  <c r="BY292" i="30"/>
  <c r="BZ292" i="30"/>
  <c r="CA292" i="30"/>
  <c r="CB292" i="30"/>
  <c r="CC292" i="30"/>
  <c r="AD293" i="30"/>
  <c r="AE293" i="30"/>
  <c r="AF293" i="30"/>
  <c r="AG293" i="30"/>
  <c r="AH293" i="30"/>
  <c r="AI293" i="30"/>
  <c r="AJ293" i="30"/>
  <c r="AK293" i="30"/>
  <c r="AL293" i="30"/>
  <c r="AM293" i="30"/>
  <c r="AN293" i="30"/>
  <c r="AO293" i="30"/>
  <c r="AP293" i="30"/>
  <c r="AQ293" i="30"/>
  <c r="AR293" i="30"/>
  <c r="AS293" i="30"/>
  <c r="AT293" i="30"/>
  <c r="AU293" i="30"/>
  <c r="AV293" i="30"/>
  <c r="AW293" i="30"/>
  <c r="AX293" i="30"/>
  <c r="AY293" i="30"/>
  <c r="AZ293" i="30"/>
  <c r="BA293" i="30"/>
  <c r="BB293" i="30"/>
  <c r="BC293" i="30"/>
  <c r="BD293" i="30"/>
  <c r="BE293" i="30"/>
  <c r="BF293" i="30"/>
  <c r="BG293" i="30"/>
  <c r="BH293" i="30"/>
  <c r="BI293" i="30"/>
  <c r="BJ293" i="30"/>
  <c r="BK293" i="30"/>
  <c r="BL293" i="30"/>
  <c r="BM293" i="30"/>
  <c r="BN293" i="30"/>
  <c r="BO293" i="30"/>
  <c r="BP293" i="30"/>
  <c r="BQ293" i="30"/>
  <c r="BR293" i="30"/>
  <c r="BS293" i="30"/>
  <c r="BT293" i="30"/>
  <c r="BU293" i="30"/>
  <c r="BV293" i="30"/>
  <c r="BW293" i="30"/>
  <c r="BX293" i="30"/>
  <c r="BY293" i="30"/>
  <c r="BZ293" i="30"/>
  <c r="CA293" i="30"/>
  <c r="CB293" i="30"/>
  <c r="CC293" i="30"/>
  <c r="AD294" i="30"/>
  <c r="AE294" i="30"/>
  <c r="AF294" i="30"/>
  <c r="AG294" i="30"/>
  <c r="AH294" i="30"/>
  <c r="AI294" i="30"/>
  <c r="AJ294" i="30"/>
  <c r="AK294" i="30"/>
  <c r="AL294" i="30"/>
  <c r="AM294" i="30"/>
  <c r="AN294" i="30"/>
  <c r="AO294" i="30"/>
  <c r="AP294" i="30"/>
  <c r="AQ294" i="30"/>
  <c r="AR294" i="30"/>
  <c r="AS294" i="30"/>
  <c r="AT294" i="30"/>
  <c r="AU294" i="30"/>
  <c r="AV294" i="30"/>
  <c r="AW294" i="30"/>
  <c r="AX294" i="30"/>
  <c r="AY294" i="30"/>
  <c r="AZ294" i="30"/>
  <c r="BA294" i="30"/>
  <c r="BB294" i="30"/>
  <c r="BC294" i="30"/>
  <c r="BD294" i="30"/>
  <c r="BE294" i="30"/>
  <c r="BF294" i="30"/>
  <c r="BG294" i="30"/>
  <c r="BH294" i="30"/>
  <c r="BI294" i="30"/>
  <c r="BJ294" i="30"/>
  <c r="BK294" i="30"/>
  <c r="BL294" i="30"/>
  <c r="BM294" i="30"/>
  <c r="BN294" i="30"/>
  <c r="BO294" i="30"/>
  <c r="BP294" i="30"/>
  <c r="BQ294" i="30"/>
  <c r="BR294" i="30"/>
  <c r="BS294" i="30"/>
  <c r="BT294" i="30"/>
  <c r="BU294" i="30"/>
  <c r="BV294" i="30"/>
  <c r="BW294" i="30"/>
  <c r="BX294" i="30"/>
  <c r="BY294" i="30"/>
  <c r="BZ294" i="30"/>
  <c r="CA294" i="30"/>
  <c r="CB294" i="30"/>
  <c r="CC294" i="30"/>
  <c r="AD295" i="30"/>
  <c r="AE295" i="30"/>
  <c r="AF295" i="30"/>
  <c r="AG295" i="30"/>
  <c r="AH295" i="30"/>
  <c r="AI295" i="30"/>
  <c r="AJ295" i="30"/>
  <c r="AK295" i="30"/>
  <c r="AL295" i="30"/>
  <c r="AM295" i="30"/>
  <c r="AN295" i="30"/>
  <c r="AO295" i="30"/>
  <c r="AP295" i="30"/>
  <c r="AQ295" i="30"/>
  <c r="AR295" i="30"/>
  <c r="AS295" i="30"/>
  <c r="AT295" i="30"/>
  <c r="AU295" i="30"/>
  <c r="AV295" i="30"/>
  <c r="AW295" i="30"/>
  <c r="AX295" i="30"/>
  <c r="AY295" i="30"/>
  <c r="AZ295" i="30"/>
  <c r="BA295" i="30"/>
  <c r="BB295" i="30"/>
  <c r="BC295" i="30"/>
  <c r="BD295" i="30"/>
  <c r="BE295" i="30"/>
  <c r="BF295" i="30"/>
  <c r="BG295" i="30"/>
  <c r="BH295" i="30"/>
  <c r="BI295" i="30"/>
  <c r="BJ295" i="30"/>
  <c r="BK295" i="30"/>
  <c r="BL295" i="30"/>
  <c r="BM295" i="30"/>
  <c r="BN295" i="30"/>
  <c r="BO295" i="30"/>
  <c r="BP295" i="30"/>
  <c r="BQ295" i="30"/>
  <c r="BR295" i="30"/>
  <c r="BS295" i="30"/>
  <c r="BT295" i="30"/>
  <c r="BU295" i="30"/>
  <c r="BV295" i="30"/>
  <c r="BW295" i="30"/>
  <c r="BX295" i="30"/>
  <c r="BY295" i="30"/>
  <c r="BZ295" i="30"/>
  <c r="CA295" i="30"/>
  <c r="CB295" i="30"/>
  <c r="CC295" i="30"/>
  <c r="AD296" i="30"/>
  <c r="AE296" i="30"/>
  <c r="AF296" i="30"/>
  <c r="AG296" i="30"/>
  <c r="AH296" i="30"/>
  <c r="AI296" i="30"/>
  <c r="AJ296" i="30"/>
  <c r="AK296" i="30"/>
  <c r="AL296" i="30"/>
  <c r="AM296" i="30"/>
  <c r="AN296" i="30"/>
  <c r="AO296" i="30"/>
  <c r="AP296" i="30"/>
  <c r="AQ296" i="30"/>
  <c r="AR296" i="30"/>
  <c r="AS296" i="30"/>
  <c r="AT296" i="30"/>
  <c r="AU296" i="30"/>
  <c r="AV296" i="30"/>
  <c r="AW296" i="30"/>
  <c r="AX296" i="30"/>
  <c r="AY296" i="30"/>
  <c r="AZ296" i="30"/>
  <c r="BA296" i="30"/>
  <c r="BB296" i="30"/>
  <c r="BC296" i="30"/>
  <c r="BD296" i="30"/>
  <c r="BE296" i="30"/>
  <c r="BF296" i="30"/>
  <c r="BG296" i="30"/>
  <c r="BH296" i="30"/>
  <c r="BI296" i="30"/>
  <c r="BJ296" i="30"/>
  <c r="BK296" i="30"/>
  <c r="BL296" i="30"/>
  <c r="BM296" i="30"/>
  <c r="BN296" i="30"/>
  <c r="BO296" i="30"/>
  <c r="BP296" i="30"/>
  <c r="BQ296" i="30"/>
  <c r="BR296" i="30"/>
  <c r="BS296" i="30"/>
  <c r="BT296" i="30"/>
  <c r="BU296" i="30"/>
  <c r="BV296" i="30"/>
  <c r="BW296" i="30"/>
  <c r="BX296" i="30"/>
  <c r="BY296" i="30"/>
  <c r="BZ296" i="30"/>
  <c r="CA296" i="30"/>
  <c r="CB296" i="30"/>
  <c r="CC296" i="30"/>
  <c r="AD297" i="30"/>
  <c r="AE297" i="30"/>
  <c r="AF297" i="30"/>
  <c r="AG297" i="30"/>
  <c r="AH297" i="30"/>
  <c r="AI297" i="30"/>
  <c r="AJ297" i="30"/>
  <c r="AK297" i="30"/>
  <c r="AL297" i="30"/>
  <c r="AM297" i="30"/>
  <c r="AN297" i="30"/>
  <c r="AO297" i="30"/>
  <c r="AP297" i="30"/>
  <c r="AQ297" i="30"/>
  <c r="AR297" i="30"/>
  <c r="AS297" i="30"/>
  <c r="AT297" i="30"/>
  <c r="AU297" i="30"/>
  <c r="AV297" i="30"/>
  <c r="AW297" i="30"/>
  <c r="AX297" i="30"/>
  <c r="AY297" i="30"/>
  <c r="AZ297" i="30"/>
  <c r="BA297" i="30"/>
  <c r="BB297" i="30"/>
  <c r="BC297" i="30"/>
  <c r="BD297" i="30"/>
  <c r="BE297" i="30"/>
  <c r="BF297" i="30"/>
  <c r="BG297" i="30"/>
  <c r="BH297" i="30"/>
  <c r="BI297" i="30"/>
  <c r="BJ297" i="30"/>
  <c r="BK297" i="30"/>
  <c r="BL297" i="30"/>
  <c r="BM297" i="30"/>
  <c r="BN297" i="30"/>
  <c r="BO297" i="30"/>
  <c r="BP297" i="30"/>
  <c r="BQ297" i="30"/>
  <c r="BR297" i="30"/>
  <c r="BS297" i="30"/>
  <c r="BT297" i="30"/>
  <c r="BU297" i="30"/>
  <c r="BV297" i="30"/>
  <c r="BW297" i="30"/>
  <c r="BX297" i="30"/>
  <c r="BY297" i="30"/>
  <c r="BZ297" i="30"/>
  <c r="CA297" i="30"/>
  <c r="CB297" i="30"/>
  <c r="CC297" i="30"/>
  <c r="AD298" i="30"/>
  <c r="AE298" i="30"/>
  <c r="AF298" i="30"/>
  <c r="AG298" i="30"/>
  <c r="AH298" i="30"/>
  <c r="AI298" i="30"/>
  <c r="AJ298" i="30"/>
  <c r="AK298" i="30"/>
  <c r="AL298" i="30"/>
  <c r="AM298" i="30"/>
  <c r="AN298" i="30"/>
  <c r="AO298" i="30"/>
  <c r="AP298" i="30"/>
  <c r="AQ298" i="30"/>
  <c r="AR298" i="30"/>
  <c r="AS298" i="30"/>
  <c r="AT298" i="30"/>
  <c r="AU298" i="30"/>
  <c r="AV298" i="30"/>
  <c r="AW298" i="30"/>
  <c r="AX298" i="30"/>
  <c r="AY298" i="30"/>
  <c r="AZ298" i="30"/>
  <c r="BA298" i="30"/>
  <c r="BB298" i="30"/>
  <c r="BC298" i="30"/>
  <c r="BD298" i="30"/>
  <c r="BE298" i="30"/>
  <c r="BF298" i="30"/>
  <c r="BG298" i="30"/>
  <c r="BH298" i="30"/>
  <c r="BI298" i="30"/>
  <c r="BJ298" i="30"/>
  <c r="BK298" i="30"/>
  <c r="BL298" i="30"/>
  <c r="BM298" i="30"/>
  <c r="BN298" i="30"/>
  <c r="BO298" i="30"/>
  <c r="BP298" i="30"/>
  <c r="BQ298" i="30"/>
  <c r="BR298" i="30"/>
  <c r="BS298" i="30"/>
  <c r="BT298" i="30"/>
  <c r="BU298" i="30"/>
  <c r="BV298" i="30"/>
  <c r="BW298" i="30"/>
  <c r="BX298" i="30"/>
  <c r="BY298" i="30"/>
  <c r="BZ298" i="30"/>
  <c r="CA298" i="30"/>
  <c r="CB298" i="30"/>
  <c r="CC298" i="30"/>
  <c r="AD299" i="30"/>
  <c r="AE299" i="30"/>
  <c r="AF299" i="30"/>
  <c r="AG299" i="30"/>
  <c r="AH299" i="30"/>
  <c r="AI299" i="30"/>
  <c r="AJ299" i="30"/>
  <c r="AK299" i="30"/>
  <c r="AL299" i="30"/>
  <c r="AM299" i="30"/>
  <c r="AN299" i="30"/>
  <c r="AO299" i="30"/>
  <c r="AP299" i="30"/>
  <c r="AQ299" i="30"/>
  <c r="AR299" i="30"/>
  <c r="AS299" i="30"/>
  <c r="AT299" i="30"/>
  <c r="AU299" i="30"/>
  <c r="AV299" i="30"/>
  <c r="AW299" i="30"/>
  <c r="AX299" i="30"/>
  <c r="AY299" i="30"/>
  <c r="AZ299" i="30"/>
  <c r="BA299" i="30"/>
  <c r="BB299" i="30"/>
  <c r="BC299" i="30"/>
  <c r="BD299" i="30"/>
  <c r="BE299" i="30"/>
  <c r="BF299" i="30"/>
  <c r="BG299" i="30"/>
  <c r="BH299" i="30"/>
  <c r="BI299" i="30"/>
  <c r="BJ299" i="30"/>
  <c r="BK299" i="30"/>
  <c r="BL299" i="30"/>
  <c r="BM299" i="30"/>
  <c r="BN299" i="30"/>
  <c r="BO299" i="30"/>
  <c r="BP299" i="30"/>
  <c r="BQ299" i="30"/>
  <c r="BR299" i="30"/>
  <c r="BS299" i="30"/>
  <c r="BT299" i="30"/>
  <c r="BU299" i="30"/>
  <c r="BV299" i="30"/>
  <c r="BW299" i="30"/>
  <c r="BX299" i="30"/>
  <c r="BY299" i="30"/>
  <c r="BZ299" i="30"/>
  <c r="CA299" i="30"/>
  <c r="CB299" i="30"/>
  <c r="CC299" i="30"/>
  <c r="AD300" i="30"/>
  <c r="AE300" i="30"/>
  <c r="AF300" i="30"/>
  <c r="AG300" i="30"/>
  <c r="AH300" i="30"/>
  <c r="AI300" i="30"/>
  <c r="AJ300" i="30"/>
  <c r="AK300" i="30"/>
  <c r="AL300" i="30"/>
  <c r="AM300" i="30"/>
  <c r="AN300" i="30"/>
  <c r="AO300" i="30"/>
  <c r="AP300" i="30"/>
  <c r="AQ300" i="30"/>
  <c r="AR300" i="30"/>
  <c r="AS300" i="30"/>
  <c r="AT300" i="30"/>
  <c r="AU300" i="30"/>
  <c r="AV300" i="30"/>
  <c r="AW300" i="30"/>
  <c r="AX300" i="30"/>
  <c r="AY300" i="30"/>
  <c r="AZ300" i="30"/>
  <c r="BA300" i="30"/>
  <c r="BB300" i="30"/>
  <c r="BC300" i="30"/>
  <c r="BD300" i="30"/>
  <c r="BE300" i="30"/>
  <c r="BF300" i="30"/>
  <c r="BG300" i="30"/>
  <c r="BH300" i="30"/>
  <c r="BI300" i="30"/>
  <c r="BJ300" i="30"/>
  <c r="BK300" i="30"/>
  <c r="BL300" i="30"/>
  <c r="BM300" i="30"/>
  <c r="BN300" i="30"/>
  <c r="BO300" i="30"/>
  <c r="BP300" i="30"/>
  <c r="BQ300" i="30"/>
  <c r="BR300" i="30"/>
  <c r="BS300" i="30"/>
  <c r="BT300" i="30"/>
  <c r="BU300" i="30"/>
  <c r="BV300" i="30"/>
  <c r="BW300" i="30"/>
  <c r="BX300" i="30"/>
  <c r="BY300" i="30"/>
  <c r="BZ300" i="30"/>
  <c r="CA300" i="30"/>
  <c r="CB300" i="30"/>
  <c r="CC300" i="30"/>
  <c r="AD301" i="30"/>
  <c r="AE301" i="30"/>
  <c r="AF301" i="30"/>
  <c r="AG301" i="30"/>
  <c r="AH301" i="30"/>
  <c r="AI301" i="30"/>
  <c r="AJ301" i="30"/>
  <c r="AK301" i="30"/>
  <c r="AL301" i="30"/>
  <c r="AM301" i="30"/>
  <c r="AN301" i="30"/>
  <c r="AO301" i="30"/>
  <c r="AP301" i="30"/>
  <c r="AQ301" i="30"/>
  <c r="AR301" i="30"/>
  <c r="AS301" i="30"/>
  <c r="AT301" i="30"/>
  <c r="AU301" i="30"/>
  <c r="AV301" i="30"/>
  <c r="AW301" i="30"/>
  <c r="AX301" i="30"/>
  <c r="AY301" i="30"/>
  <c r="AZ301" i="30"/>
  <c r="BA301" i="30"/>
  <c r="BB301" i="30"/>
  <c r="BC301" i="30"/>
  <c r="BD301" i="30"/>
  <c r="BE301" i="30"/>
  <c r="BF301" i="30"/>
  <c r="BG301" i="30"/>
  <c r="BH301" i="30"/>
  <c r="BI301" i="30"/>
  <c r="BJ301" i="30"/>
  <c r="BK301" i="30"/>
  <c r="BL301" i="30"/>
  <c r="BM301" i="30"/>
  <c r="BN301" i="30"/>
  <c r="BO301" i="30"/>
  <c r="BP301" i="30"/>
  <c r="BQ301" i="30"/>
  <c r="BR301" i="30"/>
  <c r="BS301" i="30"/>
  <c r="BT301" i="30"/>
  <c r="BU301" i="30"/>
  <c r="BV301" i="30"/>
  <c r="BW301" i="30"/>
  <c r="BX301" i="30"/>
  <c r="BY301" i="30"/>
  <c r="BZ301" i="30"/>
  <c r="CA301" i="30"/>
  <c r="CB301" i="30"/>
  <c r="CC301" i="30"/>
  <c r="AD302" i="30"/>
  <c r="AE302" i="30"/>
  <c r="AF302" i="30"/>
  <c r="AG302" i="30"/>
  <c r="AH302" i="30"/>
  <c r="AI302" i="30"/>
  <c r="AJ302" i="30"/>
  <c r="AK302" i="30"/>
  <c r="AL302" i="30"/>
  <c r="AM302" i="30"/>
  <c r="AN302" i="30"/>
  <c r="AO302" i="30"/>
  <c r="AP302" i="30"/>
  <c r="AQ302" i="30"/>
  <c r="AR302" i="30"/>
  <c r="AS302" i="30"/>
  <c r="AT302" i="30"/>
  <c r="AU302" i="30"/>
  <c r="AV302" i="30"/>
  <c r="AW302" i="30"/>
  <c r="AX302" i="30"/>
  <c r="AY302" i="30"/>
  <c r="AZ302" i="30"/>
  <c r="BA302" i="30"/>
  <c r="BB302" i="30"/>
  <c r="BC302" i="30"/>
  <c r="BD302" i="30"/>
  <c r="BE302" i="30"/>
  <c r="BF302" i="30"/>
  <c r="BG302" i="30"/>
  <c r="BH302" i="30"/>
  <c r="BI302" i="30"/>
  <c r="BJ302" i="30"/>
  <c r="BK302" i="30"/>
  <c r="BL302" i="30"/>
  <c r="BM302" i="30"/>
  <c r="BN302" i="30"/>
  <c r="BO302" i="30"/>
  <c r="BP302" i="30"/>
  <c r="BQ302" i="30"/>
  <c r="BR302" i="30"/>
  <c r="BS302" i="30"/>
  <c r="BT302" i="30"/>
  <c r="BU302" i="30"/>
  <c r="BV302" i="30"/>
  <c r="BW302" i="30"/>
  <c r="BX302" i="30"/>
  <c r="BY302" i="30"/>
  <c r="BZ302" i="30"/>
  <c r="CA302" i="30"/>
  <c r="CB302" i="30"/>
  <c r="CC302" i="30"/>
  <c r="AD303" i="30"/>
  <c r="AE303" i="30"/>
  <c r="AF303" i="30"/>
  <c r="AG303" i="30"/>
  <c r="AH303" i="30"/>
  <c r="AI303" i="30"/>
  <c r="AJ303" i="30"/>
  <c r="AK303" i="30"/>
  <c r="AL303" i="30"/>
  <c r="AM303" i="30"/>
  <c r="AN303" i="30"/>
  <c r="AO303" i="30"/>
  <c r="AP303" i="30"/>
  <c r="AQ303" i="30"/>
  <c r="AR303" i="30"/>
  <c r="AS303" i="30"/>
  <c r="AT303" i="30"/>
  <c r="AU303" i="30"/>
  <c r="AV303" i="30"/>
  <c r="AW303" i="30"/>
  <c r="AX303" i="30"/>
  <c r="AY303" i="30"/>
  <c r="AZ303" i="30"/>
  <c r="BA303" i="30"/>
  <c r="BB303" i="30"/>
  <c r="BC303" i="30"/>
  <c r="BD303" i="30"/>
  <c r="BE303" i="30"/>
  <c r="BF303" i="30"/>
  <c r="BG303" i="30"/>
  <c r="BH303" i="30"/>
  <c r="BI303" i="30"/>
  <c r="BJ303" i="30"/>
  <c r="BK303" i="30"/>
  <c r="BL303" i="30"/>
  <c r="BM303" i="30"/>
  <c r="BN303" i="30"/>
  <c r="BO303" i="30"/>
  <c r="BP303" i="30"/>
  <c r="BQ303" i="30"/>
  <c r="BR303" i="30"/>
  <c r="BS303" i="30"/>
  <c r="BT303" i="30"/>
  <c r="BU303" i="30"/>
  <c r="BV303" i="30"/>
  <c r="BW303" i="30"/>
  <c r="BX303" i="30"/>
  <c r="BY303" i="30"/>
  <c r="BZ303" i="30"/>
  <c r="CA303" i="30"/>
  <c r="CB303" i="30"/>
  <c r="CC303" i="30"/>
  <c r="AD304" i="30"/>
  <c r="AE304" i="30"/>
  <c r="AF304" i="30"/>
  <c r="AG304" i="30"/>
  <c r="AH304" i="30"/>
  <c r="AI304" i="30"/>
  <c r="AJ304" i="30"/>
  <c r="AK304" i="30"/>
  <c r="AL304" i="30"/>
  <c r="AM304" i="30"/>
  <c r="AN304" i="30"/>
  <c r="AO304" i="30"/>
  <c r="AP304" i="30"/>
  <c r="AQ304" i="30"/>
  <c r="AR304" i="30"/>
  <c r="AS304" i="30"/>
  <c r="AT304" i="30"/>
  <c r="AU304" i="30"/>
  <c r="AV304" i="30"/>
  <c r="AW304" i="30"/>
  <c r="AX304" i="30"/>
  <c r="AY304" i="30"/>
  <c r="AZ304" i="30"/>
  <c r="BA304" i="30"/>
  <c r="BB304" i="30"/>
  <c r="BC304" i="30"/>
  <c r="BD304" i="30"/>
  <c r="BE304" i="30"/>
  <c r="BF304" i="30"/>
  <c r="BG304" i="30"/>
  <c r="BH304" i="30"/>
  <c r="BI304" i="30"/>
  <c r="BJ304" i="30"/>
  <c r="BK304" i="30"/>
  <c r="BL304" i="30"/>
  <c r="BM304" i="30"/>
  <c r="BN304" i="30"/>
  <c r="BO304" i="30"/>
  <c r="BP304" i="30"/>
  <c r="BQ304" i="30"/>
  <c r="BR304" i="30"/>
  <c r="BS304" i="30"/>
  <c r="BT304" i="30"/>
  <c r="BU304" i="30"/>
  <c r="BV304" i="30"/>
  <c r="BW304" i="30"/>
  <c r="BX304" i="30"/>
  <c r="BY304" i="30"/>
  <c r="BZ304" i="30"/>
  <c r="CA304" i="30"/>
  <c r="CB304" i="30"/>
  <c r="CC304" i="30"/>
  <c r="AD305" i="30"/>
  <c r="AE305" i="30"/>
  <c r="AF305" i="30"/>
  <c r="AG305" i="30"/>
  <c r="AH305" i="30"/>
  <c r="AI305" i="30"/>
  <c r="AJ305" i="30"/>
  <c r="AK305" i="30"/>
  <c r="AL305" i="30"/>
  <c r="AM305" i="30"/>
  <c r="AN305" i="30"/>
  <c r="AO305" i="30"/>
  <c r="AP305" i="30"/>
  <c r="AQ305" i="30"/>
  <c r="AR305" i="30"/>
  <c r="AS305" i="30"/>
  <c r="AT305" i="30"/>
  <c r="AU305" i="30"/>
  <c r="AV305" i="30"/>
  <c r="AW305" i="30"/>
  <c r="AX305" i="30"/>
  <c r="AY305" i="30"/>
  <c r="AZ305" i="30"/>
  <c r="BA305" i="30"/>
  <c r="BB305" i="30"/>
  <c r="BC305" i="30"/>
  <c r="BD305" i="30"/>
  <c r="BE305" i="30"/>
  <c r="BF305" i="30"/>
  <c r="BG305" i="30"/>
  <c r="BH305" i="30"/>
  <c r="BI305" i="30"/>
  <c r="BJ305" i="30"/>
  <c r="BK305" i="30"/>
  <c r="BL305" i="30"/>
  <c r="BM305" i="30"/>
  <c r="BN305" i="30"/>
  <c r="BO305" i="30"/>
  <c r="BP305" i="30"/>
  <c r="BQ305" i="30"/>
  <c r="BR305" i="30"/>
  <c r="BS305" i="30"/>
  <c r="BT305" i="30"/>
  <c r="BU305" i="30"/>
  <c r="BV305" i="30"/>
  <c r="BW305" i="30"/>
  <c r="BX305" i="30"/>
  <c r="BY305" i="30"/>
  <c r="BZ305" i="30"/>
  <c r="CA305" i="30"/>
  <c r="CB305" i="30"/>
  <c r="CC305" i="30"/>
  <c r="AD306" i="30"/>
  <c r="AE306" i="30"/>
  <c r="AF306" i="30"/>
  <c r="AG306" i="30"/>
  <c r="AH306" i="30"/>
  <c r="AI306" i="30"/>
  <c r="AJ306" i="30"/>
  <c r="AK306" i="30"/>
  <c r="AL306" i="30"/>
  <c r="AM306" i="30"/>
  <c r="AN306" i="30"/>
  <c r="AO306" i="30"/>
  <c r="AP306" i="30"/>
  <c r="AQ306" i="30"/>
  <c r="AR306" i="30"/>
  <c r="AS306" i="30"/>
  <c r="AT306" i="30"/>
  <c r="AU306" i="30"/>
  <c r="AV306" i="30"/>
  <c r="AW306" i="30"/>
  <c r="AX306" i="30"/>
  <c r="AY306" i="30"/>
  <c r="AZ306" i="30"/>
  <c r="BA306" i="30"/>
  <c r="BB306" i="30"/>
  <c r="BC306" i="30"/>
  <c r="BD306" i="30"/>
  <c r="BE306" i="30"/>
  <c r="BF306" i="30"/>
  <c r="BG306" i="30"/>
  <c r="BH306" i="30"/>
  <c r="BI306" i="30"/>
  <c r="BJ306" i="30"/>
  <c r="BK306" i="30"/>
  <c r="BL306" i="30"/>
  <c r="BM306" i="30"/>
  <c r="BN306" i="30"/>
  <c r="BO306" i="30"/>
  <c r="BP306" i="30"/>
  <c r="BQ306" i="30"/>
  <c r="BR306" i="30"/>
  <c r="BS306" i="30"/>
  <c r="BT306" i="30"/>
  <c r="BU306" i="30"/>
  <c r="BV306" i="30"/>
  <c r="BW306" i="30"/>
  <c r="BX306" i="30"/>
  <c r="BY306" i="30"/>
  <c r="BZ306" i="30"/>
  <c r="CA306" i="30"/>
  <c r="CB306" i="30"/>
  <c r="CC306" i="30"/>
  <c r="AD307" i="30"/>
  <c r="AE307" i="30"/>
  <c r="AF307" i="30"/>
  <c r="AG307" i="30"/>
  <c r="AH307" i="30"/>
  <c r="AI307" i="30"/>
  <c r="AJ307" i="30"/>
  <c r="AK307" i="30"/>
  <c r="AL307" i="30"/>
  <c r="AM307" i="30"/>
  <c r="AN307" i="30"/>
  <c r="AO307" i="30"/>
  <c r="AP307" i="30"/>
  <c r="AQ307" i="30"/>
  <c r="AR307" i="30"/>
  <c r="AS307" i="30"/>
  <c r="AT307" i="30"/>
  <c r="AU307" i="30"/>
  <c r="AV307" i="30"/>
  <c r="AW307" i="30"/>
  <c r="AX307" i="30"/>
  <c r="AY307" i="30"/>
  <c r="AZ307" i="30"/>
  <c r="BA307" i="30"/>
  <c r="BB307" i="30"/>
  <c r="BC307" i="30"/>
  <c r="BD307" i="30"/>
  <c r="BE307" i="30"/>
  <c r="BF307" i="30"/>
  <c r="BG307" i="30"/>
  <c r="BH307" i="30"/>
  <c r="BI307" i="30"/>
  <c r="BJ307" i="30"/>
  <c r="BK307" i="30"/>
  <c r="BL307" i="30"/>
  <c r="BM307" i="30"/>
  <c r="BN307" i="30"/>
  <c r="BO307" i="30"/>
  <c r="BP307" i="30"/>
  <c r="BQ307" i="30"/>
  <c r="BR307" i="30"/>
  <c r="BS307" i="30"/>
  <c r="BT307" i="30"/>
  <c r="BU307" i="30"/>
  <c r="BV307" i="30"/>
  <c r="BW307" i="30"/>
  <c r="BX307" i="30"/>
  <c r="BY307" i="30"/>
  <c r="BZ307" i="30"/>
  <c r="CA307" i="30"/>
  <c r="CB307" i="30"/>
  <c r="CC307" i="30"/>
  <c r="AD308" i="30"/>
  <c r="AE308" i="30"/>
  <c r="AF308" i="30"/>
  <c r="AG308" i="30"/>
  <c r="AH308" i="30"/>
  <c r="AI308" i="30"/>
  <c r="AJ308" i="30"/>
  <c r="AK308" i="30"/>
  <c r="AL308" i="30"/>
  <c r="AM308" i="30"/>
  <c r="AN308" i="30"/>
  <c r="AO308" i="30"/>
  <c r="AP308" i="30"/>
  <c r="AQ308" i="30"/>
  <c r="AR308" i="30"/>
  <c r="AS308" i="30"/>
  <c r="AT308" i="30"/>
  <c r="AU308" i="30"/>
  <c r="AV308" i="30"/>
  <c r="AW308" i="30"/>
  <c r="AX308" i="30"/>
  <c r="AY308" i="30"/>
  <c r="AZ308" i="30"/>
  <c r="BA308" i="30"/>
  <c r="BB308" i="30"/>
  <c r="BC308" i="30"/>
  <c r="BD308" i="30"/>
  <c r="BE308" i="30"/>
  <c r="BF308" i="30"/>
  <c r="BG308" i="30"/>
  <c r="BH308" i="30"/>
  <c r="BI308" i="30"/>
  <c r="BJ308" i="30"/>
  <c r="BK308" i="30"/>
  <c r="BL308" i="30"/>
  <c r="BM308" i="30"/>
  <c r="BN308" i="30"/>
  <c r="BO308" i="30"/>
  <c r="BP308" i="30"/>
  <c r="BQ308" i="30"/>
  <c r="BR308" i="30"/>
  <c r="BS308" i="30"/>
  <c r="BT308" i="30"/>
  <c r="BU308" i="30"/>
  <c r="BV308" i="30"/>
  <c r="BW308" i="30"/>
  <c r="BX308" i="30"/>
  <c r="BY308" i="30"/>
  <c r="BZ308" i="30"/>
  <c r="CA308" i="30"/>
  <c r="CB308" i="30"/>
  <c r="CC308" i="30"/>
  <c r="AD309" i="30"/>
  <c r="AE309" i="30"/>
  <c r="AF309" i="30"/>
  <c r="AG309" i="30"/>
  <c r="AH309" i="30"/>
  <c r="AI309" i="30"/>
  <c r="AJ309" i="30"/>
  <c r="AK309" i="30"/>
  <c r="AL309" i="30"/>
  <c r="AM309" i="30"/>
  <c r="AN309" i="30"/>
  <c r="AO309" i="30"/>
  <c r="AP309" i="30"/>
  <c r="AQ309" i="30"/>
  <c r="AR309" i="30"/>
  <c r="AS309" i="30"/>
  <c r="AT309" i="30"/>
  <c r="AU309" i="30"/>
  <c r="AV309" i="30"/>
  <c r="AW309" i="30"/>
  <c r="AX309" i="30"/>
  <c r="AY309" i="30"/>
  <c r="AZ309" i="30"/>
  <c r="BA309" i="30"/>
  <c r="BB309" i="30"/>
  <c r="BC309" i="30"/>
  <c r="BD309" i="30"/>
  <c r="BE309" i="30"/>
  <c r="BF309" i="30"/>
  <c r="BG309" i="30"/>
  <c r="BH309" i="30"/>
  <c r="BI309" i="30"/>
  <c r="BJ309" i="30"/>
  <c r="BK309" i="30"/>
  <c r="BL309" i="30"/>
  <c r="BM309" i="30"/>
  <c r="BN309" i="30"/>
  <c r="BO309" i="30"/>
  <c r="BP309" i="30"/>
  <c r="BQ309" i="30"/>
  <c r="BR309" i="30"/>
  <c r="BS309" i="30"/>
  <c r="BT309" i="30"/>
  <c r="BU309" i="30"/>
  <c r="BV309" i="30"/>
  <c r="BW309" i="30"/>
  <c r="BX309" i="30"/>
  <c r="BY309" i="30"/>
  <c r="BZ309" i="30"/>
  <c r="CA309" i="30"/>
  <c r="CB309" i="30"/>
  <c r="CC309" i="30"/>
  <c r="AD310" i="30"/>
  <c r="AE310" i="30"/>
  <c r="AF310" i="30"/>
  <c r="AG310" i="30"/>
  <c r="AH310" i="30"/>
  <c r="AI310" i="30"/>
  <c r="AJ310" i="30"/>
  <c r="AK310" i="30"/>
  <c r="AL310" i="30"/>
  <c r="AM310" i="30"/>
  <c r="AN310" i="30"/>
  <c r="AO310" i="30"/>
  <c r="AP310" i="30"/>
  <c r="AQ310" i="30"/>
  <c r="AR310" i="30"/>
  <c r="AS310" i="30"/>
  <c r="AT310" i="30"/>
  <c r="AU310" i="30"/>
  <c r="AV310" i="30"/>
  <c r="AW310" i="30"/>
  <c r="AX310" i="30"/>
  <c r="AY310" i="30"/>
  <c r="AZ310" i="30"/>
  <c r="BA310" i="30"/>
  <c r="BB310" i="30"/>
  <c r="BC310" i="30"/>
  <c r="BD310" i="30"/>
  <c r="BE310" i="30"/>
  <c r="BF310" i="30"/>
  <c r="BG310" i="30"/>
  <c r="BH310" i="30"/>
  <c r="BI310" i="30"/>
  <c r="BJ310" i="30"/>
  <c r="BK310" i="30"/>
  <c r="BL310" i="30"/>
  <c r="BM310" i="30"/>
  <c r="BN310" i="30"/>
  <c r="BO310" i="30"/>
  <c r="BP310" i="30"/>
  <c r="BQ310" i="30"/>
  <c r="BR310" i="30"/>
  <c r="BS310" i="30"/>
  <c r="BT310" i="30"/>
  <c r="BU310" i="30"/>
  <c r="BV310" i="30"/>
  <c r="BW310" i="30"/>
  <c r="BX310" i="30"/>
  <c r="BY310" i="30"/>
  <c r="BZ310" i="30"/>
  <c r="CA310" i="30"/>
  <c r="CB310" i="30"/>
  <c r="CC310" i="30"/>
  <c r="AD311" i="30"/>
  <c r="AE311" i="30"/>
  <c r="AF311" i="30"/>
  <c r="AG311" i="30"/>
  <c r="AH311" i="30"/>
  <c r="AI311" i="30"/>
  <c r="AJ311" i="30"/>
  <c r="AK311" i="30"/>
  <c r="AL311" i="30"/>
  <c r="AM311" i="30"/>
  <c r="AN311" i="30"/>
  <c r="AO311" i="30"/>
  <c r="AP311" i="30"/>
  <c r="AQ311" i="30"/>
  <c r="AR311" i="30"/>
  <c r="AS311" i="30"/>
  <c r="AT311" i="30"/>
  <c r="AU311" i="30"/>
  <c r="AV311" i="30"/>
  <c r="AW311" i="30"/>
  <c r="AX311" i="30"/>
  <c r="AY311" i="30"/>
  <c r="AZ311" i="30"/>
  <c r="BA311" i="30"/>
  <c r="BB311" i="30"/>
  <c r="BC311" i="30"/>
  <c r="BD311" i="30"/>
  <c r="BE311" i="30"/>
  <c r="BF311" i="30"/>
  <c r="BG311" i="30"/>
  <c r="BH311" i="30"/>
  <c r="BI311" i="30"/>
  <c r="BJ311" i="30"/>
  <c r="BK311" i="30"/>
  <c r="BL311" i="30"/>
  <c r="BM311" i="30"/>
  <c r="BN311" i="30"/>
  <c r="BO311" i="30"/>
  <c r="BP311" i="30"/>
  <c r="BQ311" i="30"/>
  <c r="BR311" i="30"/>
  <c r="BS311" i="30"/>
  <c r="BT311" i="30"/>
  <c r="BU311" i="30"/>
  <c r="BV311" i="30"/>
  <c r="BW311" i="30"/>
  <c r="BX311" i="30"/>
  <c r="BY311" i="30"/>
  <c r="BZ311" i="30"/>
  <c r="CA311" i="30"/>
  <c r="CB311" i="30"/>
  <c r="CC311" i="30"/>
  <c r="AD312" i="30"/>
  <c r="AE312" i="30"/>
  <c r="AF312" i="30"/>
  <c r="AG312" i="30"/>
  <c r="AH312" i="30"/>
  <c r="AI312" i="30"/>
  <c r="AJ312" i="30"/>
  <c r="AK312" i="30"/>
  <c r="AL312" i="30"/>
  <c r="AM312" i="30"/>
  <c r="AN312" i="30"/>
  <c r="AO312" i="30"/>
  <c r="AP312" i="30"/>
  <c r="AQ312" i="30"/>
  <c r="AR312" i="30"/>
  <c r="AS312" i="30"/>
  <c r="AT312" i="30"/>
  <c r="AU312" i="30"/>
  <c r="AV312" i="30"/>
  <c r="AW312" i="30"/>
  <c r="AX312" i="30"/>
  <c r="AY312" i="30"/>
  <c r="AZ312" i="30"/>
  <c r="BA312" i="30"/>
  <c r="BB312" i="30"/>
  <c r="BC312" i="30"/>
  <c r="BD312" i="30"/>
  <c r="BE312" i="30"/>
  <c r="BF312" i="30"/>
  <c r="BG312" i="30"/>
  <c r="BH312" i="30"/>
  <c r="BI312" i="30"/>
  <c r="BJ312" i="30"/>
  <c r="BK312" i="30"/>
  <c r="BL312" i="30"/>
  <c r="BM312" i="30"/>
  <c r="BN312" i="30"/>
  <c r="BO312" i="30"/>
  <c r="BP312" i="30"/>
  <c r="BQ312" i="30"/>
  <c r="BR312" i="30"/>
  <c r="BS312" i="30"/>
  <c r="BT312" i="30"/>
  <c r="BU312" i="30"/>
  <c r="BV312" i="30"/>
  <c r="BW312" i="30"/>
  <c r="BX312" i="30"/>
  <c r="BY312" i="30"/>
  <c r="BZ312" i="30"/>
  <c r="CA312" i="30"/>
  <c r="CB312" i="30"/>
  <c r="CC312" i="30"/>
  <c r="AD313" i="30"/>
  <c r="AE313" i="30"/>
  <c r="AF313" i="30"/>
  <c r="AG313" i="30"/>
  <c r="AH313" i="30"/>
  <c r="AI313" i="30"/>
  <c r="AJ313" i="30"/>
  <c r="AK313" i="30"/>
  <c r="AL313" i="30"/>
  <c r="AM313" i="30"/>
  <c r="AN313" i="30"/>
  <c r="AO313" i="30"/>
  <c r="AP313" i="30"/>
  <c r="AQ313" i="30"/>
  <c r="AR313" i="30"/>
  <c r="AS313" i="30"/>
  <c r="AT313" i="30"/>
  <c r="AU313" i="30"/>
  <c r="AV313" i="30"/>
  <c r="AW313" i="30"/>
  <c r="AX313" i="30"/>
  <c r="AY313" i="30"/>
  <c r="AZ313" i="30"/>
  <c r="BA313" i="30"/>
  <c r="BB313" i="30"/>
  <c r="BC313" i="30"/>
  <c r="BD313" i="30"/>
  <c r="BE313" i="30"/>
  <c r="BF313" i="30"/>
  <c r="BG313" i="30"/>
  <c r="BH313" i="30"/>
  <c r="BI313" i="30"/>
  <c r="BJ313" i="30"/>
  <c r="BK313" i="30"/>
  <c r="BL313" i="30"/>
  <c r="BM313" i="30"/>
  <c r="BN313" i="30"/>
  <c r="BO313" i="30"/>
  <c r="BP313" i="30"/>
  <c r="BQ313" i="30"/>
  <c r="BR313" i="30"/>
  <c r="BS313" i="30"/>
  <c r="BT313" i="30"/>
  <c r="BU313" i="30"/>
  <c r="BV313" i="30"/>
  <c r="BW313" i="30"/>
  <c r="BX313" i="30"/>
  <c r="BY313" i="30"/>
  <c r="BZ313" i="30"/>
  <c r="CA313" i="30"/>
  <c r="CB313" i="30"/>
  <c r="CC313" i="30"/>
  <c r="AD314" i="30"/>
  <c r="AE314" i="30"/>
  <c r="AF314" i="30"/>
  <c r="AG314" i="30"/>
  <c r="AH314" i="30"/>
  <c r="AI314" i="30"/>
  <c r="AJ314" i="30"/>
  <c r="AK314" i="30"/>
  <c r="AL314" i="30"/>
  <c r="AM314" i="30"/>
  <c r="AN314" i="30"/>
  <c r="AO314" i="30"/>
  <c r="AP314" i="30"/>
  <c r="AQ314" i="30"/>
  <c r="AR314" i="30"/>
  <c r="AS314" i="30"/>
  <c r="AT314" i="30"/>
  <c r="AU314" i="30"/>
  <c r="AV314" i="30"/>
  <c r="AW314" i="30"/>
  <c r="AX314" i="30"/>
  <c r="AY314" i="30"/>
  <c r="AZ314" i="30"/>
  <c r="BA314" i="30"/>
  <c r="BB314" i="30"/>
  <c r="BC314" i="30"/>
  <c r="BD314" i="30"/>
  <c r="BE314" i="30"/>
  <c r="BF314" i="30"/>
  <c r="BG314" i="30"/>
  <c r="BH314" i="30"/>
  <c r="BI314" i="30"/>
  <c r="BJ314" i="30"/>
  <c r="BK314" i="30"/>
  <c r="BL314" i="30"/>
  <c r="BM314" i="30"/>
  <c r="BN314" i="30"/>
  <c r="BO314" i="30"/>
  <c r="BP314" i="30"/>
  <c r="BQ314" i="30"/>
  <c r="BR314" i="30"/>
  <c r="BS314" i="30"/>
  <c r="BT314" i="30"/>
  <c r="BU314" i="30"/>
  <c r="BV314" i="30"/>
  <c r="BW314" i="30"/>
  <c r="BX314" i="30"/>
  <c r="BY314" i="30"/>
  <c r="BZ314" i="30"/>
  <c r="CA314" i="30"/>
  <c r="CB314" i="30"/>
  <c r="CC314" i="30"/>
  <c r="AD315" i="30"/>
  <c r="AE315" i="30"/>
  <c r="AF315" i="30"/>
  <c r="AG315" i="30"/>
  <c r="AH315" i="30"/>
  <c r="AI315" i="30"/>
  <c r="AJ315" i="30"/>
  <c r="AK315" i="30"/>
  <c r="AL315" i="30"/>
  <c r="AM315" i="30"/>
  <c r="AN315" i="30"/>
  <c r="AO315" i="30"/>
  <c r="AP315" i="30"/>
  <c r="AQ315" i="30"/>
  <c r="AR315" i="30"/>
  <c r="AS315" i="30"/>
  <c r="AT315" i="30"/>
  <c r="AU315" i="30"/>
  <c r="AV315" i="30"/>
  <c r="AW315" i="30"/>
  <c r="AX315" i="30"/>
  <c r="AY315" i="30"/>
  <c r="AZ315" i="30"/>
  <c r="BA315" i="30"/>
  <c r="BB315" i="30"/>
  <c r="BC315" i="30"/>
  <c r="BD315" i="30"/>
  <c r="BE315" i="30"/>
  <c r="BF315" i="30"/>
  <c r="BG315" i="30"/>
  <c r="BH315" i="30"/>
  <c r="BI315" i="30"/>
  <c r="BJ315" i="30"/>
  <c r="BK315" i="30"/>
  <c r="BL315" i="30"/>
  <c r="BM315" i="30"/>
  <c r="BN315" i="30"/>
  <c r="BO315" i="30"/>
  <c r="BP315" i="30"/>
  <c r="BQ315" i="30"/>
  <c r="BR315" i="30"/>
  <c r="BS315" i="30"/>
  <c r="BT315" i="30"/>
  <c r="BU315" i="30"/>
  <c r="BV315" i="30"/>
  <c r="BW315" i="30"/>
  <c r="BX315" i="30"/>
  <c r="BY315" i="30"/>
  <c r="BZ315" i="30"/>
  <c r="CA315" i="30"/>
  <c r="CB315" i="30"/>
  <c r="CC315" i="30"/>
  <c r="AD316" i="30"/>
  <c r="AE316" i="30"/>
  <c r="AF316" i="30"/>
  <c r="AG316" i="30"/>
  <c r="AH316" i="30"/>
  <c r="AI316" i="30"/>
  <c r="AJ316" i="30"/>
  <c r="AK316" i="30"/>
  <c r="AL316" i="30"/>
  <c r="AM316" i="30"/>
  <c r="AN316" i="30"/>
  <c r="AO316" i="30"/>
  <c r="AP316" i="30"/>
  <c r="AQ316" i="30"/>
  <c r="AR316" i="30"/>
  <c r="AS316" i="30"/>
  <c r="AT316" i="30"/>
  <c r="AU316" i="30"/>
  <c r="AV316" i="30"/>
  <c r="AW316" i="30"/>
  <c r="AX316" i="30"/>
  <c r="AY316" i="30"/>
  <c r="AZ316" i="30"/>
  <c r="BA316" i="30"/>
  <c r="BB316" i="30"/>
  <c r="BC316" i="30"/>
  <c r="BD316" i="30"/>
  <c r="BE316" i="30"/>
  <c r="BF316" i="30"/>
  <c r="BG316" i="30"/>
  <c r="BH316" i="30"/>
  <c r="BI316" i="30"/>
  <c r="BJ316" i="30"/>
  <c r="BK316" i="30"/>
  <c r="BL316" i="30"/>
  <c r="BM316" i="30"/>
  <c r="BN316" i="30"/>
  <c r="BO316" i="30"/>
  <c r="BP316" i="30"/>
  <c r="BQ316" i="30"/>
  <c r="BR316" i="30"/>
  <c r="BS316" i="30"/>
  <c r="BT316" i="30"/>
  <c r="BU316" i="30"/>
  <c r="BV316" i="30"/>
  <c r="BW316" i="30"/>
  <c r="BX316" i="30"/>
  <c r="BY316" i="30"/>
  <c r="BZ316" i="30"/>
  <c r="CA316" i="30"/>
  <c r="CB316" i="30"/>
  <c r="CC316" i="30"/>
  <c r="AD317" i="30"/>
  <c r="AE317" i="30"/>
  <c r="AF317" i="30"/>
  <c r="AG317" i="30"/>
  <c r="AH317" i="30"/>
  <c r="AI317" i="30"/>
  <c r="AJ317" i="30"/>
  <c r="AK317" i="30"/>
  <c r="AL317" i="30"/>
  <c r="AM317" i="30"/>
  <c r="AN317" i="30"/>
  <c r="AO317" i="30"/>
  <c r="AP317" i="30"/>
  <c r="AQ317" i="30"/>
  <c r="AR317" i="30"/>
  <c r="AS317" i="30"/>
  <c r="AT317" i="30"/>
  <c r="AU317" i="30"/>
  <c r="AV317" i="30"/>
  <c r="AW317" i="30"/>
  <c r="AX317" i="30"/>
  <c r="AY317" i="30"/>
  <c r="AZ317" i="30"/>
  <c r="BA317" i="30"/>
  <c r="BB317" i="30"/>
  <c r="BC317" i="30"/>
  <c r="BD317" i="30"/>
  <c r="BE317" i="30"/>
  <c r="BF317" i="30"/>
  <c r="BG317" i="30"/>
  <c r="BH317" i="30"/>
  <c r="BI317" i="30"/>
  <c r="BJ317" i="30"/>
  <c r="BK317" i="30"/>
  <c r="BL317" i="30"/>
  <c r="BM317" i="30"/>
  <c r="BN317" i="30"/>
  <c r="BO317" i="30"/>
  <c r="BP317" i="30"/>
  <c r="BQ317" i="30"/>
  <c r="BR317" i="30"/>
  <c r="BS317" i="30"/>
  <c r="BT317" i="30"/>
  <c r="BU317" i="30"/>
  <c r="BV317" i="30"/>
  <c r="BW317" i="30"/>
  <c r="BX317" i="30"/>
  <c r="BY317" i="30"/>
  <c r="BZ317" i="30"/>
  <c r="CA317" i="30"/>
  <c r="CB317" i="30"/>
  <c r="CC317" i="30"/>
  <c r="AD318" i="30"/>
  <c r="AE318" i="30"/>
  <c r="AF318" i="30"/>
  <c r="AG318" i="30"/>
  <c r="AH318" i="30"/>
  <c r="AI318" i="30"/>
  <c r="AJ318" i="30"/>
  <c r="AK318" i="30"/>
  <c r="AL318" i="30"/>
  <c r="AM318" i="30"/>
  <c r="AN318" i="30"/>
  <c r="AO318" i="30"/>
  <c r="AP318" i="30"/>
  <c r="AQ318" i="30"/>
  <c r="AR318" i="30"/>
  <c r="AS318" i="30"/>
  <c r="AT318" i="30"/>
  <c r="AU318" i="30"/>
  <c r="AV318" i="30"/>
  <c r="AW318" i="30"/>
  <c r="AX318" i="30"/>
  <c r="AY318" i="30"/>
  <c r="AZ318" i="30"/>
  <c r="BA318" i="30"/>
  <c r="BB318" i="30"/>
  <c r="BC318" i="30"/>
  <c r="BD318" i="30"/>
  <c r="BE318" i="30"/>
  <c r="BF318" i="30"/>
  <c r="BG318" i="30"/>
  <c r="BH318" i="30"/>
  <c r="BI318" i="30"/>
  <c r="BJ318" i="30"/>
  <c r="BK318" i="30"/>
  <c r="BL318" i="30"/>
  <c r="BM318" i="30"/>
  <c r="BN318" i="30"/>
  <c r="BO318" i="30"/>
  <c r="BP318" i="30"/>
  <c r="BQ318" i="30"/>
  <c r="BR318" i="30"/>
  <c r="BS318" i="30"/>
  <c r="BT318" i="30"/>
  <c r="BU318" i="30"/>
  <c r="BV318" i="30"/>
  <c r="BW318" i="30"/>
  <c r="BX318" i="30"/>
  <c r="BY318" i="30"/>
  <c r="BZ318" i="30"/>
  <c r="CA318" i="30"/>
  <c r="CB318" i="30"/>
  <c r="CC318" i="30"/>
  <c r="AD319" i="30"/>
  <c r="AE319" i="30"/>
  <c r="AF319" i="30"/>
  <c r="AG319" i="30"/>
  <c r="AH319" i="30"/>
  <c r="AI319" i="30"/>
  <c r="AJ319" i="30"/>
  <c r="AK319" i="30"/>
  <c r="AL319" i="30"/>
  <c r="AM319" i="30"/>
  <c r="AN319" i="30"/>
  <c r="AO319" i="30"/>
  <c r="AP319" i="30"/>
  <c r="AQ319" i="30"/>
  <c r="AR319" i="30"/>
  <c r="AS319" i="30"/>
  <c r="AT319" i="30"/>
  <c r="AU319" i="30"/>
  <c r="AV319" i="30"/>
  <c r="AW319" i="30"/>
  <c r="AX319" i="30"/>
  <c r="AY319" i="30"/>
  <c r="AZ319" i="30"/>
  <c r="BA319" i="30"/>
  <c r="BB319" i="30"/>
  <c r="BC319" i="30"/>
  <c r="BD319" i="30"/>
  <c r="BE319" i="30"/>
  <c r="BF319" i="30"/>
  <c r="BG319" i="30"/>
  <c r="BH319" i="30"/>
  <c r="BI319" i="30"/>
  <c r="BJ319" i="30"/>
  <c r="BK319" i="30"/>
  <c r="BL319" i="30"/>
  <c r="BM319" i="30"/>
  <c r="BN319" i="30"/>
  <c r="BO319" i="30"/>
  <c r="BP319" i="30"/>
  <c r="BQ319" i="30"/>
  <c r="BR319" i="30"/>
  <c r="BS319" i="30"/>
  <c r="BT319" i="30"/>
  <c r="BU319" i="30"/>
  <c r="BV319" i="30"/>
  <c r="BW319" i="30"/>
  <c r="BX319" i="30"/>
  <c r="BY319" i="30"/>
  <c r="BZ319" i="30"/>
  <c r="CA319" i="30"/>
  <c r="CB319" i="30"/>
  <c r="CC319" i="30"/>
  <c r="AD320" i="30"/>
  <c r="AE320" i="30"/>
  <c r="AF320" i="30"/>
  <c r="AG320" i="30"/>
  <c r="AH320" i="30"/>
  <c r="AI320" i="30"/>
  <c r="AJ320" i="30"/>
  <c r="AK320" i="30"/>
  <c r="AL320" i="30"/>
  <c r="AM320" i="30"/>
  <c r="AN320" i="30"/>
  <c r="AO320" i="30"/>
  <c r="AP320" i="30"/>
  <c r="AQ320" i="30"/>
  <c r="AR320" i="30"/>
  <c r="AS320" i="30"/>
  <c r="AT320" i="30"/>
  <c r="AU320" i="30"/>
  <c r="AV320" i="30"/>
  <c r="AW320" i="30"/>
  <c r="AX320" i="30"/>
  <c r="AY320" i="30"/>
  <c r="AZ320" i="30"/>
  <c r="BA320" i="30"/>
  <c r="BB320" i="30"/>
  <c r="BC320" i="30"/>
  <c r="BD320" i="30"/>
  <c r="BE320" i="30"/>
  <c r="BF320" i="30"/>
  <c r="BG320" i="30"/>
  <c r="BH320" i="30"/>
  <c r="BI320" i="30"/>
  <c r="BJ320" i="30"/>
  <c r="BK320" i="30"/>
  <c r="BL320" i="30"/>
  <c r="BM320" i="30"/>
  <c r="BN320" i="30"/>
  <c r="BO320" i="30"/>
  <c r="BP320" i="30"/>
  <c r="BQ320" i="30"/>
  <c r="BR320" i="30"/>
  <c r="BS320" i="30"/>
  <c r="BT320" i="30"/>
  <c r="BU320" i="30"/>
  <c r="BV320" i="30"/>
  <c r="BW320" i="30"/>
  <c r="BX320" i="30"/>
  <c r="BY320" i="30"/>
  <c r="BZ320" i="30"/>
  <c r="CA320" i="30"/>
  <c r="CB320" i="30"/>
  <c r="CC320" i="30"/>
  <c r="AD321" i="30"/>
  <c r="AE321" i="30"/>
  <c r="AF321" i="30"/>
  <c r="AG321" i="30"/>
  <c r="AH321" i="30"/>
  <c r="AI321" i="30"/>
  <c r="AJ321" i="30"/>
  <c r="AK321" i="30"/>
  <c r="AL321" i="30"/>
  <c r="AM321" i="30"/>
  <c r="AN321" i="30"/>
  <c r="AO321" i="30"/>
  <c r="AP321" i="30"/>
  <c r="AQ321" i="30"/>
  <c r="AR321" i="30"/>
  <c r="AS321" i="30"/>
  <c r="AT321" i="30"/>
  <c r="AU321" i="30"/>
  <c r="AV321" i="30"/>
  <c r="AW321" i="30"/>
  <c r="AX321" i="30"/>
  <c r="AY321" i="30"/>
  <c r="AZ321" i="30"/>
  <c r="BA321" i="30"/>
  <c r="BB321" i="30"/>
  <c r="BC321" i="30"/>
  <c r="BD321" i="30"/>
  <c r="BE321" i="30"/>
  <c r="BF321" i="30"/>
  <c r="BG321" i="30"/>
  <c r="BH321" i="30"/>
  <c r="BI321" i="30"/>
  <c r="BJ321" i="30"/>
  <c r="BK321" i="30"/>
  <c r="BL321" i="30"/>
  <c r="BM321" i="30"/>
  <c r="BN321" i="30"/>
  <c r="BO321" i="30"/>
  <c r="BP321" i="30"/>
  <c r="BQ321" i="30"/>
  <c r="BR321" i="30"/>
  <c r="BS321" i="30"/>
  <c r="BT321" i="30"/>
  <c r="BU321" i="30"/>
  <c r="BV321" i="30"/>
  <c r="BW321" i="30"/>
  <c r="BX321" i="30"/>
  <c r="BY321" i="30"/>
  <c r="BZ321" i="30"/>
  <c r="CA321" i="30"/>
  <c r="CB321" i="30"/>
  <c r="CC321" i="30"/>
  <c r="AD322" i="30"/>
  <c r="AE322" i="30"/>
  <c r="AF322" i="30"/>
  <c r="AG322" i="30"/>
  <c r="AH322" i="30"/>
  <c r="AI322" i="30"/>
  <c r="AJ322" i="30"/>
  <c r="AK322" i="30"/>
  <c r="AL322" i="30"/>
  <c r="AM322" i="30"/>
  <c r="AN322" i="30"/>
  <c r="AO322" i="30"/>
  <c r="AP322" i="30"/>
  <c r="AQ322" i="30"/>
  <c r="AR322" i="30"/>
  <c r="AS322" i="30"/>
  <c r="AT322" i="30"/>
  <c r="AU322" i="30"/>
  <c r="AV322" i="30"/>
  <c r="AW322" i="30"/>
  <c r="AX322" i="30"/>
  <c r="AY322" i="30"/>
  <c r="AZ322" i="30"/>
  <c r="BA322" i="30"/>
  <c r="BB322" i="30"/>
  <c r="BC322" i="30"/>
  <c r="BD322" i="30"/>
  <c r="BE322" i="30"/>
  <c r="BF322" i="30"/>
  <c r="BG322" i="30"/>
  <c r="BH322" i="30"/>
  <c r="BI322" i="30"/>
  <c r="BJ322" i="30"/>
  <c r="BK322" i="30"/>
  <c r="BL322" i="30"/>
  <c r="BM322" i="30"/>
  <c r="BN322" i="30"/>
  <c r="BO322" i="30"/>
  <c r="BP322" i="30"/>
  <c r="BQ322" i="30"/>
  <c r="BR322" i="30"/>
  <c r="BS322" i="30"/>
  <c r="BT322" i="30"/>
  <c r="BU322" i="30"/>
  <c r="BV322" i="30"/>
  <c r="BW322" i="30"/>
  <c r="BX322" i="30"/>
  <c r="BY322" i="30"/>
  <c r="BZ322" i="30"/>
  <c r="CA322" i="30"/>
  <c r="CB322" i="30"/>
  <c r="CC322" i="30"/>
  <c r="AD323" i="30"/>
  <c r="AE323" i="30"/>
  <c r="AF323" i="30"/>
  <c r="AG323" i="30"/>
  <c r="AH323" i="30"/>
  <c r="AI323" i="30"/>
  <c r="AJ323" i="30"/>
  <c r="AK323" i="30"/>
  <c r="AL323" i="30"/>
  <c r="AM323" i="30"/>
  <c r="AN323" i="30"/>
  <c r="AO323" i="30"/>
  <c r="AP323" i="30"/>
  <c r="AQ323" i="30"/>
  <c r="AR323" i="30"/>
  <c r="AS323" i="30"/>
  <c r="AT323" i="30"/>
  <c r="AU323" i="30"/>
  <c r="AV323" i="30"/>
  <c r="AW323" i="30"/>
  <c r="AX323" i="30"/>
  <c r="AY323" i="30"/>
  <c r="AZ323" i="30"/>
  <c r="BA323" i="30"/>
  <c r="BB323" i="30"/>
  <c r="BC323" i="30"/>
  <c r="BD323" i="30"/>
  <c r="BE323" i="30"/>
  <c r="BF323" i="30"/>
  <c r="BG323" i="30"/>
  <c r="BH323" i="30"/>
  <c r="BI323" i="30"/>
  <c r="BJ323" i="30"/>
  <c r="BK323" i="30"/>
  <c r="BL323" i="30"/>
  <c r="BM323" i="30"/>
  <c r="BN323" i="30"/>
  <c r="BO323" i="30"/>
  <c r="BP323" i="30"/>
  <c r="BQ323" i="30"/>
  <c r="BR323" i="30"/>
  <c r="BS323" i="30"/>
  <c r="BT323" i="30"/>
  <c r="BU323" i="30"/>
  <c r="BV323" i="30"/>
  <c r="BW323" i="30"/>
  <c r="BX323" i="30"/>
  <c r="BY323" i="30"/>
  <c r="BZ323" i="30"/>
  <c r="CA323" i="30"/>
  <c r="CB323" i="30"/>
  <c r="CC323" i="30"/>
  <c r="AD324" i="30"/>
  <c r="AE324" i="30"/>
  <c r="AF324" i="30"/>
  <c r="AG324" i="30"/>
  <c r="AH324" i="30"/>
  <c r="AI324" i="30"/>
  <c r="AJ324" i="30"/>
  <c r="AK324" i="30"/>
  <c r="AL324" i="30"/>
  <c r="AM324" i="30"/>
  <c r="AN324" i="30"/>
  <c r="AO324" i="30"/>
  <c r="AP324" i="30"/>
  <c r="AQ324" i="30"/>
  <c r="AR324" i="30"/>
  <c r="AS324" i="30"/>
  <c r="AT324" i="30"/>
  <c r="AU324" i="30"/>
  <c r="AV324" i="30"/>
  <c r="AW324" i="30"/>
  <c r="AX324" i="30"/>
  <c r="AY324" i="30"/>
  <c r="AZ324" i="30"/>
  <c r="BA324" i="30"/>
  <c r="BB324" i="30"/>
  <c r="BC324" i="30"/>
  <c r="BD324" i="30"/>
  <c r="BE324" i="30"/>
  <c r="BF324" i="30"/>
  <c r="BG324" i="30"/>
  <c r="BH324" i="30"/>
  <c r="BI324" i="30"/>
  <c r="BJ324" i="30"/>
  <c r="BK324" i="30"/>
  <c r="BL324" i="30"/>
  <c r="BM324" i="30"/>
  <c r="BN324" i="30"/>
  <c r="BO324" i="30"/>
  <c r="BP324" i="30"/>
  <c r="BQ324" i="30"/>
  <c r="BR324" i="30"/>
  <c r="BS324" i="30"/>
  <c r="BT324" i="30"/>
  <c r="BU324" i="30"/>
  <c r="BV324" i="30"/>
  <c r="BW324" i="30"/>
  <c r="BX324" i="30"/>
  <c r="BY324" i="30"/>
  <c r="BZ324" i="30"/>
  <c r="CA324" i="30"/>
  <c r="CB324" i="30"/>
  <c r="CC324" i="30"/>
  <c r="AD325" i="30"/>
  <c r="AE325" i="30"/>
  <c r="AF325" i="30"/>
  <c r="AG325" i="30"/>
  <c r="AH325" i="30"/>
  <c r="AI325" i="30"/>
  <c r="AJ325" i="30"/>
  <c r="AK325" i="30"/>
  <c r="AL325" i="30"/>
  <c r="AM325" i="30"/>
  <c r="AN325" i="30"/>
  <c r="AO325" i="30"/>
  <c r="AP325" i="30"/>
  <c r="AQ325" i="30"/>
  <c r="AR325" i="30"/>
  <c r="AS325" i="30"/>
  <c r="AT325" i="30"/>
  <c r="AU325" i="30"/>
  <c r="AV325" i="30"/>
  <c r="AW325" i="30"/>
  <c r="AX325" i="30"/>
  <c r="AY325" i="30"/>
  <c r="AZ325" i="30"/>
  <c r="BA325" i="30"/>
  <c r="BB325" i="30"/>
  <c r="BC325" i="30"/>
  <c r="BD325" i="30"/>
  <c r="BE325" i="30"/>
  <c r="BF325" i="30"/>
  <c r="BG325" i="30"/>
  <c r="BH325" i="30"/>
  <c r="BI325" i="30"/>
  <c r="BJ325" i="30"/>
  <c r="BK325" i="30"/>
  <c r="BL325" i="30"/>
  <c r="BM325" i="30"/>
  <c r="BN325" i="30"/>
  <c r="BO325" i="30"/>
  <c r="BP325" i="30"/>
  <c r="BQ325" i="30"/>
  <c r="BR325" i="30"/>
  <c r="BS325" i="30"/>
  <c r="BT325" i="30"/>
  <c r="BU325" i="30"/>
  <c r="BV325" i="30"/>
  <c r="BW325" i="30"/>
  <c r="BX325" i="30"/>
  <c r="BY325" i="30"/>
  <c r="BZ325" i="30"/>
  <c r="CA325" i="30"/>
  <c r="CB325" i="30"/>
  <c r="CC325" i="30"/>
  <c r="AD326" i="30"/>
  <c r="AE326" i="30"/>
  <c r="AF326" i="30"/>
  <c r="AG326" i="30"/>
  <c r="AH326" i="30"/>
  <c r="AI326" i="30"/>
  <c r="AJ326" i="30"/>
  <c r="AK326" i="30"/>
  <c r="AL326" i="30"/>
  <c r="AM326" i="30"/>
  <c r="AN326" i="30"/>
  <c r="AO326" i="30"/>
  <c r="AP326" i="30"/>
  <c r="AQ326" i="30"/>
  <c r="AR326" i="30"/>
  <c r="AS326" i="30"/>
  <c r="AT326" i="30"/>
  <c r="AU326" i="30"/>
  <c r="AV326" i="30"/>
  <c r="AW326" i="30"/>
  <c r="AX326" i="30"/>
  <c r="AY326" i="30"/>
  <c r="AZ326" i="30"/>
  <c r="BA326" i="30"/>
  <c r="BB326" i="30"/>
  <c r="BC326" i="30"/>
  <c r="BD326" i="30"/>
  <c r="BE326" i="30"/>
  <c r="BF326" i="30"/>
  <c r="BG326" i="30"/>
  <c r="BH326" i="30"/>
  <c r="BI326" i="30"/>
  <c r="BJ326" i="30"/>
  <c r="BK326" i="30"/>
  <c r="BL326" i="30"/>
  <c r="BM326" i="30"/>
  <c r="BN326" i="30"/>
  <c r="BO326" i="30"/>
  <c r="BP326" i="30"/>
  <c r="BQ326" i="30"/>
  <c r="BR326" i="30"/>
  <c r="BS326" i="30"/>
  <c r="BT326" i="30"/>
  <c r="BU326" i="30"/>
  <c r="BV326" i="30"/>
  <c r="BW326" i="30"/>
  <c r="BX326" i="30"/>
  <c r="BY326" i="30"/>
  <c r="BZ326" i="30"/>
  <c r="CA326" i="30"/>
  <c r="CB326" i="30"/>
  <c r="CC326" i="30"/>
  <c r="AD327" i="30"/>
  <c r="AE327" i="30"/>
  <c r="AF327" i="30"/>
  <c r="AG327" i="30"/>
  <c r="AH327" i="30"/>
  <c r="AI327" i="30"/>
  <c r="AJ327" i="30"/>
  <c r="AK327" i="30"/>
  <c r="AL327" i="30"/>
  <c r="AM327" i="30"/>
  <c r="AN327" i="30"/>
  <c r="AO327" i="30"/>
  <c r="AP327" i="30"/>
  <c r="AQ327" i="30"/>
  <c r="AR327" i="30"/>
  <c r="AS327" i="30"/>
  <c r="AT327" i="30"/>
  <c r="AU327" i="30"/>
  <c r="AV327" i="30"/>
  <c r="AW327" i="30"/>
  <c r="AX327" i="30"/>
  <c r="AY327" i="30"/>
  <c r="AZ327" i="30"/>
  <c r="BA327" i="30"/>
  <c r="BB327" i="30"/>
  <c r="BC327" i="30"/>
  <c r="BD327" i="30"/>
  <c r="BE327" i="30"/>
  <c r="BF327" i="30"/>
  <c r="BG327" i="30"/>
  <c r="BH327" i="30"/>
  <c r="BI327" i="30"/>
  <c r="BJ327" i="30"/>
  <c r="BK327" i="30"/>
  <c r="BL327" i="30"/>
  <c r="BM327" i="30"/>
  <c r="BN327" i="30"/>
  <c r="BO327" i="30"/>
  <c r="BP327" i="30"/>
  <c r="BQ327" i="30"/>
  <c r="BR327" i="30"/>
  <c r="BS327" i="30"/>
  <c r="BT327" i="30"/>
  <c r="BU327" i="30"/>
  <c r="BV327" i="30"/>
  <c r="BW327" i="30"/>
  <c r="BX327" i="30"/>
  <c r="BY327" i="30"/>
  <c r="BZ327" i="30"/>
  <c r="CA327" i="30"/>
  <c r="CB327" i="30"/>
  <c r="CC327" i="30"/>
  <c r="AD328" i="30"/>
  <c r="AE328" i="30"/>
  <c r="AF328" i="30"/>
  <c r="AG328" i="30"/>
  <c r="AH328" i="30"/>
  <c r="AI328" i="30"/>
  <c r="AJ328" i="30"/>
  <c r="AK328" i="30"/>
  <c r="AL328" i="30"/>
  <c r="AM328" i="30"/>
  <c r="AN328" i="30"/>
  <c r="AO328" i="30"/>
  <c r="AP328" i="30"/>
  <c r="AQ328" i="30"/>
  <c r="AR328" i="30"/>
  <c r="AS328" i="30"/>
  <c r="AT328" i="30"/>
  <c r="AU328" i="30"/>
  <c r="AV328" i="30"/>
  <c r="AW328" i="30"/>
  <c r="AX328" i="30"/>
  <c r="AY328" i="30"/>
  <c r="AZ328" i="30"/>
  <c r="BA328" i="30"/>
  <c r="BB328" i="30"/>
  <c r="BC328" i="30"/>
  <c r="BD328" i="30"/>
  <c r="BE328" i="30"/>
  <c r="BF328" i="30"/>
  <c r="BG328" i="30"/>
  <c r="BH328" i="30"/>
  <c r="BI328" i="30"/>
  <c r="BJ328" i="30"/>
  <c r="BK328" i="30"/>
  <c r="BL328" i="30"/>
  <c r="BM328" i="30"/>
  <c r="BN328" i="30"/>
  <c r="BO328" i="30"/>
  <c r="BP328" i="30"/>
  <c r="BQ328" i="30"/>
  <c r="BR328" i="30"/>
  <c r="BS328" i="30"/>
  <c r="BT328" i="30"/>
  <c r="BU328" i="30"/>
  <c r="BV328" i="30"/>
  <c r="BW328" i="30"/>
  <c r="BX328" i="30"/>
  <c r="BY328" i="30"/>
  <c r="BZ328" i="30"/>
  <c r="CA328" i="30"/>
  <c r="CB328" i="30"/>
  <c r="CC328" i="30"/>
  <c r="AD329" i="30"/>
  <c r="AE329" i="30"/>
  <c r="AF329" i="30"/>
  <c r="AG329" i="30"/>
  <c r="AH329" i="30"/>
  <c r="AI329" i="30"/>
  <c r="AJ329" i="30"/>
  <c r="AK329" i="30"/>
  <c r="AL329" i="30"/>
  <c r="AM329" i="30"/>
  <c r="AN329" i="30"/>
  <c r="AO329" i="30"/>
  <c r="AP329" i="30"/>
  <c r="AQ329" i="30"/>
  <c r="AR329" i="30"/>
  <c r="AS329" i="30"/>
  <c r="AT329" i="30"/>
  <c r="AU329" i="30"/>
  <c r="AV329" i="30"/>
  <c r="AW329" i="30"/>
  <c r="AX329" i="30"/>
  <c r="AY329" i="30"/>
  <c r="AZ329" i="30"/>
  <c r="BA329" i="30"/>
  <c r="BB329" i="30"/>
  <c r="BC329" i="30"/>
  <c r="BD329" i="30"/>
  <c r="BE329" i="30"/>
  <c r="BF329" i="30"/>
  <c r="BG329" i="30"/>
  <c r="BH329" i="30"/>
  <c r="BI329" i="30"/>
  <c r="BJ329" i="30"/>
  <c r="BK329" i="30"/>
  <c r="BL329" i="30"/>
  <c r="BM329" i="30"/>
  <c r="BN329" i="30"/>
  <c r="BO329" i="30"/>
  <c r="BP329" i="30"/>
  <c r="BQ329" i="30"/>
  <c r="BR329" i="30"/>
  <c r="BS329" i="30"/>
  <c r="BT329" i="30"/>
  <c r="BU329" i="30"/>
  <c r="BV329" i="30"/>
  <c r="BW329" i="30"/>
  <c r="BX329" i="30"/>
  <c r="BY329" i="30"/>
  <c r="BZ329" i="30"/>
  <c r="CA329" i="30"/>
  <c r="CB329" i="30"/>
  <c r="CC329" i="30"/>
  <c r="AD330" i="30"/>
  <c r="AE330" i="30"/>
  <c r="AF330" i="30"/>
  <c r="AG330" i="30"/>
  <c r="AH330" i="30"/>
  <c r="AI330" i="30"/>
  <c r="AJ330" i="30"/>
  <c r="AK330" i="30"/>
  <c r="AL330" i="30"/>
  <c r="AM330" i="30"/>
  <c r="AN330" i="30"/>
  <c r="AO330" i="30"/>
  <c r="AP330" i="30"/>
  <c r="AQ330" i="30"/>
  <c r="AR330" i="30"/>
  <c r="AS330" i="30"/>
  <c r="AT330" i="30"/>
  <c r="AU330" i="30"/>
  <c r="AV330" i="30"/>
  <c r="AW330" i="30"/>
  <c r="AX330" i="30"/>
  <c r="AY330" i="30"/>
  <c r="AZ330" i="30"/>
  <c r="BA330" i="30"/>
  <c r="BB330" i="30"/>
  <c r="BC330" i="30"/>
  <c r="BD330" i="30"/>
  <c r="BE330" i="30"/>
  <c r="BF330" i="30"/>
  <c r="BG330" i="30"/>
  <c r="BH330" i="30"/>
  <c r="BI330" i="30"/>
  <c r="BJ330" i="30"/>
  <c r="BK330" i="30"/>
  <c r="BL330" i="30"/>
  <c r="BM330" i="30"/>
  <c r="BN330" i="30"/>
  <c r="BO330" i="30"/>
  <c r="BP330" i="30"/>
  <c r="BQ330" i="30"/>
  <c r="BR330" i="30"/>
  <c r="BS330" i="30"/>
  <c r="BT330" i="30"/>
  <c r="BU330" i="30"/>
  <c r="BV330" i="30"/>
  <c r="BW330" i="30"/>
  <c r="BX330" i="30"/>
  <c r="BY330" i="30"/>
  <c r="BZ330" i="30"/>
  <c r="CA330" i="30"/>
  <c r="CB330" i="30"/>
  <c r="CC330" i="30"/>
  <c r="AD331" i="30"/>
  <c r="AE331" i="30"/>
  <c r="AF331" i="30"/>
  <c r="AG331" i="30"/>
  <c r="AH331" i="30"/>
  <c r="AI331" i="30"/>
  <c r="AJ331" i="30"/>
  <c r="AK331" i="30"/>
  <c r="AL331" i="30"/>
  <c r="AM331" i="30"/>
  <c r="AN331" i="30"/>
  <c r="AO331" i="30"/>
  <c r="AP331" i="30"/>
  <c r="AQ331" i="30"/>
  <c r="AR331" i="30"/>
  <c r="AS331" i="30"/>
  <c r="AT331" i="30"/>
  <c r="AU331" i="30"/>
  <c r="AV331" i="30"/>
  <c r="AW331" i="30"/>
  <c r="AX331" i="30"/>
  <c r="AY331" i="30"/>
  <c r="AZ331" i="30"/>
  <c r="BA331" i="30"/>
  <c r="BB331" i="30"/>
  <c r="BC331" i="30"/>
  <c r="BD331" i="30"/>
  <c r="BE331" i="30"/>
  <c r="BF331" i="30"/>
  <c r="BG331" i="30"/>
  <c r="BH331" i="30"/>
  <c r="BI331" i="30"/>
  <c r="BJ331" i="30"/>
  <c r="BK331" i="30"/>
  <c r="BL331" i="30"/>
  <c r="BM331" i="30"/>
  <c r="BN331" i="30"/>
  <c r="BO331" i="30"/>
  <c r="BP331" i="30"/>
  <c r="BQ331" i="30"/>
  <c r="BR331" i="30"/>
  <c r="BS331" i="30"/>
  <c r="BT331" i="30"/>
  <c r="BU331" i="30"/>
  <c r="BV331" i="30"/>
  <c r="BW331" i="30"/>
  <c r="BX331" i="30"/>
  <c r="BY331" i="30"/>
  <c r="BZ331" i="30"/>
  <c r="CA331" i="30"/>
  <c r="CB331" i="30"/>
  <c r="CC331" i="30"/>
  <c r="AD332" i="30"/>
  <c r="AE332" i="30"/>
  <c r="AF332" i="30"/>
  <c r="AG332" i="30"/>
  <c r="AH332" i="30"/>
  <c r="AI332" i="30"/>
  <c r="AJ332" i="30"/>
  <c r="AK332" i="30"/>
  <c r="AL332" i="30"/>
  <c r="AM332" i="30"/>
  <c r="AN332" i="30"/>
  <c r="AO332" i="30"/>
  <c r="AP332" i="30"/>
  <c r="AQ332" i="30"/>
  <c r="AR332" i="30"/>
  <c r="AS332" i="30"/>
  <c r="AT332" i="30"/>
  <c r="AU332" i="30"/>
  <c r="AV332" i="30"/>
  <c r="AW332" i="30"/>
  <c r="AX332" i="30"/>
  <c r="AY332" i="30"/>
  <c r="AZ332" i="30"/>
  <c r="BA332" i="30"/>
  <c r="BB332" i="30"/>
  <c r="BC332" i="30"/>
  <c r="BD332" i="30"/>
  <c r="BE332" i="30"/>
  <c r="BF332" i="30"/>
  <c r="BG332" i="30"/>
  <c r="BH332" i="30"/>
  <c r="BI332" i="30"/>
  <c r="BJ332" i="30"/>
  <c r="BK332" i="30"/>
  <c r="BL332" i="30"/>
  <c r="BM332" i="30"/>
  <c r="BN332" i="30"/>
  <c r="BO332" i="30"/>
  <c r="BP332" i="30"/>
  <c r="BQ332" i="30"/>
  <c r="BR332" i="30"/>
  <c r="BS332" i="30"/>
  <c r="BT332" i="30"/>
  <c r="BU332" i="30"/>
  <c r="BV332" i="30"/>
  <c r="BW332" i="30"/>
  <c r="BX332" i="30"/>
  <c r="BY332" i="30"/>
  <c r="BZ332" i="30"/>
  <c r="CA332" i="30"/>
  <c r="CB332" i="30"/>
  <c r="CC332" i="30"/>
  <c r="AD333" i="30"/>
  <c r="AE333" i="30"/>
  <c r="AF333" i="30"/>
  <c r="AG333" i="30"/>
  <c r="AH333" i="30"/>
  <c r="AI333" i="30"/>
  <c r="AJ333" i="30"/>
  <c r="AK333" i="30"/>
  <c r="AL333" i="30"/>
  <c r="AM333" i="30"/>
  <c r="AN333" i="30"/>
  <c r="AO333" i="30"/>
  <c r="AP333" i="30"/>
  <c r="AQ333" i="30"/>
  <c r="AR333" i="30"/>
  <c r="AS333" i="30"/>
  <c r="AT333" i="30"/>
  <c r="AU333" i="30"/>
  <c r="AV333" i="30"/>
  <c r="AW333" i="30"/>
  <c r="AX333" i="30"/>
  <c r="AY333" i="30"/>
  <c r="AZ333" i="30"/>
  <c r="BA333" i="30"/>
  <c r="BB333" i="30"/>
  <c r="BC333" i="30"/>
  <c r="BD333" i="30"/>
  <c r="BE333" i="30"/>
  <c r="BF333" i="30"/>
  <c r="BG333" i="30"/>
  <c r="BH333" i="30"/>
  <c r="BI333" i="30"/>
  <c r="BJ333" i="30"/>
  <c r="BK333" i="30"/>
  <c r="BL333" i="30"/>
  <c r="BM333" i="30"/>
  <c r="BN333" i="30"/>
  <c r="BO333" i="30"/>
  <c r="BP333" i="30"/>
  <c r="BQ333" i="30"/>
  <c r="BR333" i="30"/>
  <c r="BS333" i="30"/>
  <c r="BT333" i="30"/>
  <c r="BU333" i="30"/>
  <c r="BV333" i="30"/>
  <c r="BW333" i="30"/>
  <c r="BX333" i="30"/>
  <c r="BY333" i="30"/>
  <c r="BZ333" i="30"/>
  <c r="CA333" i="30"/>
  <c r="CB333" i="30"/>
  <c r="CC333" i="30"/>
  <c r="AD334" i="30"/>
  <c r="AE334" i="30"/>
  <c r="AF334" i="30"/>
  <c r="AG334" i="30"/>
  <c r="AH334" i="30"/>
  <c r="AI334" i="30"/>
  <c r="AJ334" i="30"/>
  <c r="AK334" i="30"/>
  <c r="AL334" i="30"/>
  <c r="AM334" i="30"/>
  <c r="AN334" i="30"/>
  <c r="AO334" i="30"/>
  <c r="AP334" i="30"/>
  <c r="AQ334" i="30"/>
  <c r="AR334" i="30"/>
  <c r="AS334" i="30"/>
  <c r="AT334" i="30"/>
  <c r="AU334" i="30"/>
  <c r="AV334" i="30"/>
  <c r="AW334" i="30"/>
  <c r="AX334" i="30"/>
  <c r="AY334" i="30"/>
  <c r="AZ334" i="30"/>
  <c r="BA334" i="30"/>
  <c r="BB334" i="30"/>
  <c r="BC334" i="30"/>
  <c r="BD334" i="30"/>
  <c r="BE334" i="30"/>
  <c r="BF334" i="30"/>
  <c r="BG334" i="30"/>
  <c r="BH334" i="30"/>
  <c r="BI334" i="30"/>
  <c r="BJ334" i="30"/>
  <c r="BK334" i="30"/>
  <c r="BL334" i="30"/>
  <c r="BM334" i="30"/>
  <c r="BN334" i="30"/>
  <c r="BO334" i="30"/>
  <c r="BP334" i="30"/>
  <c r="BQ334" i="30"/>
  <c r="BR334" i="30"/>
  <c r="BS334" i="30"/>
  <c r="BT334" i="30"/>
  <c r="BU334" i="30"/>
  <c r="BV334" i="30"/>
  <c r="BW334" i="30"/>
  <c r="BX334" i="30"/>
  <c r="BY334" i="30"/>
  <c r="BZ334" i="30"/>
  <c r="CA334" i="30"/>
  <c r="CB334" i="30"/>
  <c r="CC334" i="30"/>
  <c r="AD335" i="30"/>
  <c r="AE335" i="30"/>
  <c r="AF335" i="30"/>
  <c r="AG335" i="30"/>
  <c r="AH335" i="30"/>
  <c r="AI335" i="30"/>
  <c r="AJ335" i="30"/>
  <c r="AK335" i="30"/>
  <c r="AL335" i="30"/>
  <c r="AM335" i="30"/>
  <c r="AN335" i="30"/>
  <c r="AO335" i="30"/>
  <c r="AP335" i="30"/>
  <c r="AQ335" i="30"/>
  <c r="AR335" i="30"/>
  <c r="AS335" i="30"/>
  <c r="AT335" i="30"/>
  <c r="AU335" i="30"/>
  <c r="AV335" i="30"/>
  <c r="AW335" i="30"/>
  <c r="AX335" i="30"/>
  <c r="AY335" i="30"/>
  <c r="AZ335" i="30"/>
  <c r="BA335" i="30"/>
  <c r="BB335" i="30"/>
  <c r="BC335" i="30"/>
  <c r="BD335" i="30"/>
  <c r="BE335" i="30"/>
  <c r="BF335" i="30"/>
  <c r="BG335" i="30"/>
  <c r="BH335" i="30"/>
  <c r="BI335" i="30"/>
  <c r="BJ335" i="30"/>
  <c r="BK335" i="30"/>
  <c r="BL335" i="30"/>
  <c r="BM335" i="30"/>
  <c r="BN335" i="30"/>
  <c r="BO335" i="30"/>
  <c r="BP335" i="30"/>
  <c r="BQ335" i="30"/>
  <c r="BR335" i="30"/>
  <c r="BS335" i="30"/>
  <c r="BT335" i="30"/>
  <c r="BU335" i="30"/>
  <c r="BV335" i="30"/>
  <c r="BW335" i="30"/>
  <c r="BX335" i="30"/>
  <c r="BY335" i="30"/>
  <c r="BZ335" i="30"/>
  <c r="CA335" i="30"/>
  <c r="CB335" i="30"/>
  <c r="CC335" i="30"/>
  <c r="AD336" i="30"/>
  <c r="AE336" i="30"/>
  <c r="AF336" i="30"/>
  <c r="AG336" i="30"/>
  <c r="AH336" i="30"/>
  <c r="AI336" i="30"/>
  <c r="AJ336" i="30"/>
  <c r="AK336" i="30"/>
  <c r="AL336" i="30"/>
  <c r="AM336" i="30"/>
  <c r="AN336" i="30"/>
  <c r="AO336" i="30"/>
  <c r="AP336" i="30"/>
  <c r="AQ336" i="30"/>
  <c r="AR336" i="30"/>
  <c r="AS336" i="30"/>
  <c r="AT336" i="30"/>
  <c r="AU336" i="30"/>
  <c r="AV336" i="30"/>
  <c r="AW336" i="30"/>
  <c r="AX336" i="30"/>
  <c r="AY336" i="30"/>
  <c r="AZ336" i="30"/>
  <c r="BA336" i="30"/>
  <c r="BB336" i="30"/>
  <c r="BC336" i="30"/>
  <c r="BD336" i="30"/>
  <c r="BE336" i="30"/>
  <c r="BF336" i="30"/>
  <c r="BG336" i="30"/>
  <c r="BH336" i="30"/>
  <c r="BI336" i="30"/>
  <c r="BJ336" i="30"/>
  <c r="BK336" i="30"/>
  <c r="BL336" i="30"/>
  <c r="BM336" i="30"/>
  <c r="BN336" i="30"/>
  <c r="BO336" i="30"/>
  <c r="BP336" i="30"/>
  <c r="BQ336" i="30"/>
  <c r="BR336" i="30"/>
  <c r="BS336" i="30"/>
  <c r="BT336" i="30"/>
  <c r="BU336" i="30"/>
  <c r="BV336" i="30"/>
  <c r="BW336" i="30"/>
  <c r="BX336" i="30"/>
  <c r="BY336" i="30"/>
  <c r="BZ336" i="30"/>
  <c r="CA336" i="30"/>
  <c r="CB336" i="30"/>
  <c r="CC336" i="30"/>
  <c r="AD337" i="30"/>
  <c r="AE337" i="30"/>
  <c r="AF337" i="30"/>
  <c r="AG337" i="30"/>
  <c r="AH337" i="30"/>
  <c r="AI337" i="30"/>
  <c r="AJ337" i="30"/>
  <c r="AK337" i="30"/>
  <c r="AL337" i="30"/>
  <c r="AM337" i="30"/>
  <c r="AN337" i="30"/>
  <c r="AO337" i="30"/>
  <c r="AP337" i="30"/>
  <c r="AQ337" i="30"/>
  <c r="AR337" i="30"/>
  <c r="AS337" i="30"/>
  <c r="AT337" i="30"/>
  <c r="AU337" i="30"/>
  <c r="AV337" i="30"/>
  <c r="AW337" i="30"/>
  <c r="AX337" i="30"/>
  <c r="AY337" i="30"/>
  <c r="AZ337" i="30"/>
  <c r="BA337" i="30"/>
  <c r="BB337" i="30"/>
  <c r="BC337" i="30"/>
  <c r="BD337" i="30"/>
  <c r="BE337" i="30"/>
  <c r="BF337" i="30"/>
  <c r="BG337" i="30"/>
  <c r="BH337" i="30"/>
  <c r="BI337" i="30"/>
  <c r="BJ337" i="30"/>
  <c r="BK337" i="30"/>
  <c r="BL337" i="30"/>
  <c r="BM337" i="30"/>
  <c r="BN337" i="30"/>
  <c r="BO337" i="30"/>
  <c r="BP337" i="30"/>
  <c r="BQ337" i="30"/>
  <c r="BR337" i="30"/>
  <c r="BS337" i="30"/>
  <c r="BT337" i="30"/>
  <c r="BU337" i="30"/>
  <c r="BV337" i="30"/>
  <c r="BW337" i="30"/>
  <c r="BX337" i="30"/>
  <c r="BY337" i="30"/>
  <c r="BZ337" i="30"/>
  <c r="CA337" i="30"/>
  <c r="CB337" i="30"/>
  <c r="CC337" i="30"/>
  <c r="AE2" i="30"/>
  <c r="AF2" i="30"/>
  <c r="AG2" i="30"/>
  <c r="AH2" i="30"/>
  <c r="AI2" i="30"/>
  <c r="AJ2" i="30"/>
  <c r="AK2" i="30"/>
  <c r="AL2" i="30"/>
  <c r="AM2" i="30"/>
  <c r="AN2" i="30"/>
  <c r="AO2" i="30"/>
  <c r="AP2" i="30"/>
  <c r="AQ2" i="30"/>
  <c r="AR2" i="30"/>
  <c r="AS2" i="30"/>
  <c r="AT2" i="30"/>
  <c r="AU2" i="30"/>
  <c r="AV2" i="30"/>
  <c r="AW2" i="30"/>
  <c r="AX2" i="30"/>
  <c r="AY2" i="30"/>
  <c r="AZ2" i="30"/>
  <c r="BA2" i="30"/>
  <c r="BB2" i="30"/>
  <c r="BC2" i="30"/>
  <c r="BD2" i="30"/>
  <c r="BE2" i="30"/>
  <c r="BF2" i="30"/>
  <c r="BG2" i="30"/>
  <c r="BH2" i="30"/>
  <c r="BI2" i="30"/>
  <c r="BJ2" i="30"/>
  <c r="BK2" i="30"/>
  <c r="BL2" i="30"/>
  <c r="BM2" i="30"/>
  <c r="BN2" i="30"/>
  <c r="BO2" i="30"/>
  <c r="BP2" i="30"/>
  <c r="BQ2" i="30"/>
  <c r="BR2" i="30"/>
  <c r="BS2" i="30"/>
  <c r="BT2" i="30"/>
  <c r="BU2" i="30"/>
  <c r="BV2" i="30"/>
  <c r="BW2" i="30"/>
  <c r="BX2" i="30"/>
  <c r="BY2" i="30"/>
  <c r="BZ2" i="30"/>
  <c r="CA2" i="30"/>
  <c r="CB2" i="30"/>
  <c r="CC2" i="30"/>
  <c r="AD2" i="30"/>
  <c r="AC2" i="30"/>
  <c r="GL8" i="17"/>
  <c r="AC130" i="30"/>
  <c r="AC131" i="30"/>
  <c r="AC132" i="30"/>
  <c r="AC133" i="30"/>
  <c r="AC134" i="30"/>
  <c r="AC135" i="30"/>
  <c r="AC136" i="30"/>
  <c r="AC137" i="30"/>
  <c r="AC138" i="30"/>
  <c r="AC139" i="30"/>
  <c r="AC140" i="30"/>
  <c r="AC141" i="30"/>
  <c r="AC142" i="30"/>
  <c r="AC143" i="30"/>
  <c r="AC144" i="30"/>
  <c r="AC145" i="30"/>
  <c r="AC146" i="30"/>
  <c r="AC147" i="30"/>
  <c r="AC148" i="30"/>
  <c r="AC149" i="30"/>
  <c r="AC150" i="30"/>
  <c r="AC151" i="30"/>
  <c r="AC152" i="30"/>
  <c r="AC153" i="30"/>
  <c r="AC154" i="30"/>
  <c r="AC155" i="30"/>
  <c r="AC156" i="30"/>
  <c r="AC157" i="30"/>
  <c r="AC158" i="30"/>
  <c r="AC159" i="30"/>
  <c r="AC160" i="30"/>
  <c r="AC161" i="30"/>
  <c r="AC162" i="30"/>
  <c r="AC163" i="30"/>
  <c r="AC164" i="30"/>
  <c r="AC165" i="30"/>
  <c r="AC166" i="30"/>
  <c r="AC167" i="30"/>
  <c r="AC168" i="30"/>
  <c r="AC169" i="30"/>
  <c r="AC170" i="30"/>
  <c r="AC171" i="30"/>
  <c r="AC172" i="30"/>
  <c r="AC173" i="30"/>
  <c r="AC174" i="30"/>
  <c r="AC175" i="30"/>
  <c r="AC176" i="30"/>
  <c r="AC177" i="30"/>
  <c r="AC178" i="30"/>
  <c r="AC179" i="30"/>
  <c r="AC180" i="30"/>
  <c r="AC181" i="30"/>
  <c r="AC182" i="30"/>
  <c r="AC183" i="30"/>
  <c r="AC184" i="30"/>
  <c r="AC185" i="30"/>
  <c r="AC186" i="30"/>
  <c r="AC187" i="30"/>
  <c r="AC188" i="30"/>
  <c r="AC189" i="30"/>
  <c r="AC190" i="30"/>
  <c r="AC191" i="30"/>
  <c r="AC192" i="30"/>
  <c r="AC193" i="30"/>
  <c r="AC194" i="30"/>
  <c r="AC195" i="30"/>
  <c r="AC196" i="30"/>
  <c r="AC197" i="30"/>
  <c r="AC198" i="30"/>
  <c r="AC199" i="30"/>
  <c r="AC200" i="30"/>
  <c r="AC201" i="30"/>
  <c r="AC202" i="30"/>
  <c r="AC203" i="30"/>
  <c r="AC204" i="30"/>
  <c r="AC205" i="30"/>
  <c r="AC206" i="30"/>
  <c r="AC207" i="30"/>
  <c r="AC208" i="30"/>
  <c r="AC209" i="30"/>
  <c r="AC210" i="30"/>
  <c r="AC211" i="30"/>
  <c r="AC212" i="30"/>
  <c r="AC213" i="30"/>
  <c r="AC214" i="30"/>
  <c r="AC215" i="30"/>
  <c r="AC216" i="30"/>
  <c r="AC217" i="30"/>
  <c r="AC218" i="30"/>
  <c r="AC219" i="30"/>
  <c r="AC220" i="30"/>
  <c r="AC221" i="30"/>
  <c r="AC222" i="30"/>
  <c r="AC223" i="30"/>
  <c r="AC224" i="30"/>
  <c r="AC225" i="30"/>
  <c r="AC226" i="30"/>
  <c r="AC227" i="30"/>
  <c r="AC228" i="30"/>
  <c r="AC229" i="30"/>
  <c r="AC230" i="30"/>
  <c r="AC231" i="30"/>
  <c r="AC232" i="30"/>
  <c r="AC233" i="30"/>
  <c r="AC234" i="30"/>
  <c r="AC235" i="30"/>
  <c r="AC236" i="30"/>
  <c r="AC237" i="30"/>
  <c r="AC238" i="30"/>
  <c r="AC239" i="30"/>
  <c r="AC240" i="30"/>
  <c r="AC241" i="30"/>
  <c r="AC242" i="30"/>
  <c r="AC243" i="30"/>
  <c r="AC244" i="30"/>
  <c r="AC245" i="30"/>
  <c r="AC246" i="30"/>
  <c r="AC247" i="30"/>
  <c r="AC248" i="30"/>
  <c r="AC249" i="30"/>
  <c r="AC250" i="30"/>
  <c r="AC251" i="30"/>
  <c r="AC252" i="30"/>
  <c r="AC253" i="30"/>
  <c r="AC254" i="30"/>
  <c r="AC255" i="30"/>
  <c r="AC256" i="30"/>
  <c r="AC257" i="30"/>
  <c r="AC258" i="30"/>
  <c r="AC259" i="30"/>
  <c r="AC260" i="30"/>
  <c r="AC261" i="30"/>
  <c r="AC262" i="30"/>
  <c r="AC263" i="30"/>
  <c r="AC264" i="30"/>
  <c r="AC265" i="30"/>
  <c r="AC266" i="30"/>
  <c r="AC267" i="30"/>
  <c r="AC268" i="30"/>
  <c r="AC269" i="30"/>
  <c r="AC270" i="30"/>
  <c r="AC271" i="30"/>
  <c r="AC272" i="30"/>
  <c r="AC273" i="30"/>
  <c r="AC274" i="30"/>
  <c r="AC275" i="30"/>
  <c r="AC276" i="30"/>
  <c r="AC277" i="30"/>
  <c r="AC278" i="30"/>
  <c r="AC279" i="30"/>
  <c r="AC280" i="30"/>
  <c r="AC281" i="30"/>
  <c r="AC282" i="30"/>
  <c r="AC283" i="30"/>
  <c r="AC284" i="30"/>
  <c r="AC285" i="30"/>
  <c r="AC286" i="30"/>
  <c r="AC287" i="30"/>
  <c r="AC288" i="30"/>
  <c r="AC289" i="30"/>
  <c r="AC290" i="30"/>
  <c r="AC291" i="30"/>
  <c r="AC292" i="30"/>
  <c r="AC293" i="30"/>
  <c r="AC294" i="30"/>
  <c r="AC295" i="30"/>
  <c r="AC296" i="30"/>
  <c r="AC297" i="30"/>
  <c r="AC298" i="30"/>
  <c r="AC299" i="30"/>
  <c r="AC300" i="30"/>
  <c r="AC301" i="30"/>
  <c r="AC302" i="30"/>
  <c r="AC303" i="30"/>
  <c r="AC304" i="30"/>
  <c r="AC305" i="30"/>
  <c r="AC306" i="30"/>
  <c r="AC307" i="30"/>
  <c r="AC308" i="30"/>
  <c r="AC309" i="30"/>
  <c r="AC310" i="30"/>
  <c r="AC311" i="30"/>
  <c r="AC312" i="30"/>
  <c r="AC313" i="30"/>
  <c r="AC314" i="30"/>
  <c r="AC315" i="30"/>
  <c r="AC316" i="30"/>
  <c r="AC317" i="30"/>
  <c r="AC318" i="30"/>
  <c r="AC319" i="30"/>
  <c r="AC320" i="30"/>
  <c r="AC321" i="30"/>
  <c r="AC322" i="30"/>
  <c r="AC323" i="30"/>
  <c r="AC324" i="30"/>
  <c r="AC325" i="30"/>
  <c r="AC326" i="30"/>
  <c r="AC327" i="30"/>
  <c r="AC328" i="30"/>
  <c r="AC329" i="30"/>
  <c r="AC330" i="30"/>
  <c r="AC331" i="30"/>
  <c r="AC332" i="30"/>
  <c r="AC333" i="30"/>
  <c r="AC334" i="30"/>
  <c r="AC335" i="30"/>
  <c r="AC336" i="30"/>
  <c r="AC337" i="30"/>
  <c r="AC12" i="30"/>
  <c r="AC13" i="30"/>
  <c r="AC14" i="30"/>
  <c r="AC15" i="30"/>
  <c r="AC16" i="30"/>
  <c r="AC17" i="30"/>
  <c r="AC18" i="30"/>
  <c r="AC19" i="30"/>
  <c r="AC20" i="30"/>
  <c r="AC21" i="30"/>
  <c r="AC22" i="30"/>
  <c r="AC23" i="30"/>
  <c r="AC24" i="30"/>
  <c r="AC25" i="30"/>
  <c r="AC26" i="30"/>
  <c r="AC27" i="30"/>
  <c r="AC28" i="30"/>
  <c r="AC29" i="30"/>
  <c r="AC30" i="30"/>
  <c r="AC31" i="30"/>
  <c r="AC32" i="30"/>
  <c r="AC33" i="30"/>
  <c r="AC34" i="30"/>
  <c r="AC35" i="30"/>
  <c r="AC36" i="30"/>
  <c r="AC37" i="30"/>
  <c r="AC38" i="30"/>
  <c r="AC39" i="30"/>
  <c r="AC40" i="30"/>
  <c r="AC41" i="30"/>
  <c r="AC42" i="30"/>
  <c r="AC43" i="30"/>
  <c r="AC44" i="30"/>
  <c r="AC45" i="30"/>
  <c r="AC46" i="30"/>
  <c r="AC47" i="30"/>
  <c r="AC48" i="30"/>
  <c r="AC49" i="30"/>
  <c r="AC50" i="30"/>
  <c r="AC51" i="30"/>
  <c r="AC52" i="30"/>
  <c r="AC53" i="30"/>
  <c r="AC54" i="30"/>
  <c r="AC55" i="30"/>
  <c r="AC56" i="30"/>
  <c r="AC57" i="30"/>
  <c r="AC58" i="30"/>
  <c r="AC59" i="30"/>
  <c r="AC60" i="30"/>
  <c r="AC61" i="30"/>
  <c r="AC62" i="30"/>
  <c r="AC63" i="30"/>
  <c r="AC64" i="30"/>
  <c r="AC65" i="30"/>
  <c r="AC66" i="30"/>
  <c r="AC67" i="30"/>
  <c r="AC68" i="30"/>
  <c r="AC69" i="30"/>
  <c r="AC70" i="30"/>
  <c r="AC71" i="30"/>
  <c r="AC72" i="30"/>
  <c r="AC73" i="30"/>
  <c r="AC74" i="30"/>
  <c r="AC75" i="30"/>
  <c r="AC76" i="30"/>
  <c r="AC77" i="30"/>
  <c r="AC78" i="30"/>
  <c r="AC79" i="30"/>
  <c r="AC80" i="30"/>
  <c r="AC81" i="30"/>
  <c r="AC82" i="30"/>
  <c r="AC83" i="30"/>
  <c r="AC84" i="30"/>
  <c r="AC85" i="30"/>
  <c r="AC86" i="30"/>
  <c r="AC87" i="30"/>
  <c r="AC88" i="30"/>
  <c r="AC89" i="30"/>
  <c r="AC90" i="30"/>
  <c r="AC91" i="30"/>
  <c r="AC92" i="30"/>
  <c r="AC93" i="30"/>
  <c r="AC94" i="30"/>
  <c r="AC95" i="30"/>
  <c r="AC96" i="30"/>
  <c r="AC97" i="30"/>
  <c r="AC98" i="30"/>
  <c r="AC99" i="30"/>
  <c r="AC100" i="30"/>
  <c r="AC101" i="30"/>
  <c r="AC102" i="30"/>
  <c r="AC103" i="30"/>
  <c r="AC104" i="30"/>
  <c r="AC105" i="30"/>
  <c r="AC106" i="30"/>
  <c r="AC107" i="30"/>
  <c r="AC108" i="30"/>
  <c r="AC109" i="30"/>
  <c r="AC110" i="30"/>
  <c r="AC111" i="30"/>
  <c r="AC112" i="30"/>
  <c r="AC113" i="30"/>
  <c r="AC114" i="30"/>
  <c r="AC115" i="30"/>
  <c r="AC116" i="30"/>
  <c r="AC117" i="30"/>
  <c r="AC118" i="30"/>
  <c r="AC119" i="30"/>
  <c r="AC120" i="30"/>
  <c r="AC121" i="30"/>
  <c r="AC122" i="30"/>
  <c r="AC123" i="30"/>
  <c r="AC124" i="30"/>
  <c r="AC125" i="30"/>
  <c r="AC126" i="30"/>
  <c r="AC127" i="30"/>
  <c r="AC128" i="30"/>
  <c r="AC129" i="30"/>
  <c r="AC3" i="30"/>
  <c r="AC4" i="30"/>
  <c r="AC5" i="30"/>
  <c r="AC6" i="30"/>
  <c r="AC7" i="30"/>
  <c r="AC8" i="30"/>
  <c r="AC9" i="30"/>
  <c r="AC10" i="30"/>
  <c r="AC11" i="30"/>
  <c r="GR2" i="17"/>
  <c r="GQ2" i="17"/>
  <c r="E36" i="29"/>
  <c r="E37" i="29"/>
  <c r="E39" i="29"/>
  <c r="G32" i="29"/>
  <c r="H32" i="29"/>
  <c r="I32" i="29"/>
  <c r="J32" i="29"/>
  <c r="K32" i="29"/>
  <c r="G33" i="29"/>
  <c r="H33" i="29"/>
  <c r="I33" i="29"/>
  <c r="J33" i="29"/>
  <c r="K33" i="29"/>
  <c r="G34" i="29"/>
  <c r="H34" i="29"/>
  <c r="I34" i="29"/>
  <c r="J34" i="29"/>
  <c r="K34" i="29"/>
  <c r="G35" i="29"/>
  <c r="H35" i="29"/>
  <c r="I35" i="29"/>
  <c r="J35" i="29"/>
  <c r="K35" i="29"/>
  <c r="G36" i="29"/>
  <c r="H36" i="29"/>
  <c r="I36" i="29"/>
  <c r="J36" i="29"/>
  <c r="K36" i="29"/>
  <c r="G37" i="29"/>
  <c r="H37" i="29"/>
  <c r="I37" i="29"/>
  <c r="J37" i="29"/>
  <c r="K37" i="29"/>
  <c r="G39" i="29"/>
  <c r="H39" i="29"/>
  <c r="I39" i="29"/>
  <c r="J39" i="29"/>
  <c r="K39" i="29"/>
  <c r="F32" i="29"/>
  <c r="F33" i="29"/>
  <c r="F34" i="29"/>
  <c r="F35" i="29"/>
  <c r="F39" i="29"/>
  <c r="F37" i="29"/>
  <c r="F36" i="29"/>
  <c r="DE3" i="28"/>
  <c r="DE4" i="28"/>
  <c r="DE5" i="28"/>
  <c r="DE6" i="28"/>
  <c r="DE7" i="28"/>
  <c r="DE8" i="28"/>
  <c r="DE9" i="28"/>
  <c r="DE10" i="28"/>
  <c r="DE11" i="28"/>
  <c r="DE12" i="28"/>
  <c r="DE13" i="28"/>
  <c r="DE14" i="28"/>
  <c r="DE15" i="28"/>
  <c r="DE16" i="28"/>
  <c r="DE17" i="28"/>
  <c r="DE18" i="28"/>
  <c r="DE19" i="28"/>
  <c r="DE20" i="28"/>
  <c r="DE21" i="28"/>
  <c r="DE22" i="28"/>
  <c r="DE23" i="28"/>
  <c r="DE24" i="28"/>
  <c r="DE25" i="28"/>
  <c r="DE26" i="28"/>
  <c r="DE27" i="28"/>
  <c r="DE28" i="28"/>
  <c r="DE29" i="28"/>
  <c r="DE30" i="28"/>
  <c r="DE31" i="28"/>
  <c r="DE32" i="28"/>
  <c r="DE33" i="28"/>
  <c r="DE34" i="28"/>
  <c r="DE35" i="28"/>
  <c r="DE36" i="28"/>
  <c r="DE37" i="28"/>
  <c r="DE38" i="28"/>
  <c r="DE39" i="28"/>
  <c r="DE40" i="28"/>
  <c r="DE41" i="28"/>
  <c r="DE42" i="28"/>
  <c r="DE43" i="28"/>
  <c r="DE44" i="28"/>
  <c r="DE45" i="28"/>
  <c r="DE46" i="28"/>
  <c r="DE47" i="28"/>
  <c r="DE48" i="28"/>
  <c r="DE49" i="28"/>
  <c r="DE50" i="28"/>
  <c r="DE51" i="28"/>
  <c r="DE52" i="28"/>
  <c r="DE53" i="28"/>
  <c r="DE54" i="28"/>
  <c r="DE55" i="28"/>
  <c r="DE56" i="28"/>
  <c r="DE57" i="28"/>
  <c r="DE58" i="28"/>
  <c r="DE59" i="28"/>
  <c r="DE60" i="28"/>
  <c r="DE61" i="28"/>
  <c r="DE62" i="28"/>
  <c r="DE63" i="28"/>
  <c r="DE64" i="28"/>
  <c r="DE65" i="28"/>
  <c r="DE66" i="28"/>
  <c r="DE67" i="28"/>
  <c r="DE68" i="28"/>
  <c r="DE69" i="28"/>
  <c r="DE70" i="28"/>
  <c r="DE71" i="28"/>
  <c r="DE72" i="28"/>
  <c r="DE73" i="28"/>
  <c r="DE74" i="28"/>
  <c r="DE75" i="28"/>
  <c r="DE76" i="28"/>
  <c r="DE77" i="28"/>
  <c r="DE78" i="28"/>
  <c r="DE79" i="28"/>
  <c r="DE80" i="28"/>
  <c r="DE81" i="28"/>
  <c r="DE82" i="28"/>
  <c r="DE83" i="28"/>
  <c r="DE84" i="28"/>
  <c r="DE85" i="28"/>
  <c r="DE86" i="28"/>
  <c r="DE87" i="28"/>
  <c r="DE88" i="28"/>
  <c r="DE89" i="28"/>
  <c r="DE90" i="28"/>
  <c r="DE91" i="28"/>
  <c r="DE92" i="28"/>
  <c r="DE93" i="28"/>
  <c r="DE94" i="28"/>
  <c r="DE95" i="28"/>
  <c r="DE96" i="28"/>
  <c r="DE97" i="28"/>
  <c r="DE98" i="28"/>
  <c r="DE99" i="28"/>
  <c r="DE100" i="28"/>
  <c r="DE101" i="28"/>
  <c r="DE102" i="28"/>
  <c r="DE103" i="28"/>
  <c r="DE104" i="28"/>
  <c r="DE105" i="28"/>
  <c r="DE106" i="28"/>
  <c r="DE107" i="28"/>
  <c r="DE108" i="28"/>
  <c r="DE109" i="28"/>
  <c r="DE110" i="28"/>
  <c r="DE111" i="28"/>
  <c r="DE112" i="28"/>
  <c r="DE113" i="28"/>
  <c r="DE114" i="28"/>
  <c r="DE115" i="28"/>
  <c r="DE116" i="28"/>
  <c r="DE117" i="28"/>
  <c r="DE118" i="28"/>
  <c r="DE119" i="28"/>
  <c r="DE120" i="28"/>
  <c r="DE121" i="28"/>
  <c r="DE122" i="28"/>
  <c r="DE123" i="28"/>
  <c r="DE124" i="28"/>
  <c r="DE125" i="28"/>
  <c r="DE126" i="28"/>
  <c r="DE127" i="28"/>
  <c r="DE128" i="28"/>
  <c r="DE129" i="28"/>
  <c r="DE130" i="28"/>
  <c r="DE131" i="28"/>
  <c r="DE132" i="28"/>
  <c r="DE133" i="28"/>
  <c r="DE134" i="28"/>
  <c r="DE135" i="28"/>
  <c r="DE136" i="28"/>
  <c r="DE137" i="28"/>
  <c r="DE138" i="28"/>
  <c r="DE139" i="28"/>
  <c r="DE140" i="28"/>
  <c r="DE141" i="28"/>
  <c r="DE142" i="28"/>
  <c r="DE143" i="28"/>
  <c r="DE144" i="28"/>
  <c r="DE145" i="28"/>
  <c r="DE146" i="28"/>
  <c r="DE147" i="28"/>
  <c r="DE148" i="28"/>
  <c r="DE149" i="28"/>
  <c r="DE150" i="28"/>
  <c r="DE151" i="28"/>
  <c r="DE152" i="28"/>
  <c r="DE153" i="28"/>
  <c r="DE154" i="28"/>
  <c r="DE155" i="28"/>
  <c r="DE156" i="28"/>
  <c r="DE157" i="28"/>
  <c r="DE158" i="28"/>
  <c r="DE159" i="28"/>
  <c r="DE160" i="28"/>
  <c r="DE161" i="28"/>
  <c r="DE162" i="28"/>
  <c r="DE163" i="28"/>
  <c r="DE164" i="28"/>
  <c r="DE165" i="28"/>
  <c r="DE166" i="28"/>
  <c r="DE167" i="28"/>
  <c r="DE168" i="28"/>
  <c r="DE169" i="28"/>
  <c r="DE170" i="28"/>
  <c r="DE171" i="28"/>
  <c r="DE172" i="28"/>
  <c r="DE173" i="28"/>
  <c r="DE174" i="28"/>
  <c r="DE175" i="28"/>
  <c r="DE176" i="28"/>
  <c r="DE177" i="28"/>
  <c r="DE178" i="28"/>
  <c r="DE179" i="28"/>
  <c r="DE180" i="28"/>
  <c r="DE181" i="28"/>
  <c r="DE182" i="28"/>
  <c r="DE183" i="28"/>
  <c r="DE184" i="28"/>
  <c r="DE185" i="28"/>
  <c r="DE186" i="28"/>
  <c r="DE187" i="28"/>
  <c r="DE188" i="28"/>
  <c r="DE189" i="28"/>
  <c r="DE190" i="28"/>
  <c r="DE191" i="28"/>
  <c r="DE192" i="28"/>
  <c r="DE193" i="28"/>
  <c r="DE194" i="28"/>
  <c r="DE195" i="28"/>
  <c r="DE196" i="28"/>
  <c r="DE197" i="28"/>
  <c r="DE198" i="28"/>
  <c r="DE199" i="28"/>
  <c r="DE200" i="28"/>
  <c r="DE201" i="28"/>
  <c r="DE202" i="28"/>
  <c r="DE203" i="28"/>
  <c r="DE204" i="28"/>
  <c r="DE205" i="28"/>
  <c r="DE206" i="28"/>
  <c r="DE207" i="28"/>
  <c r="DE208" i="28"/>
  <c r="DE209" i="28"/>
  <c r="DE210" i="28"/>
  <c r="DE211" i="28"/>
  <c r="DE212" i="28"/>
  <c r="DE213" i="28"/>
  <c r="DE214" i="28"/>
  <c r="DE215" i="28"/>
  <c r="DE216" i="28"/>
  <c r="DE217" i="28"/>
  <c r="DE218" i="28"/>
  <c r="DE219" i="28"/>
  <c r="DE220" i="28"/>
  <c r="DE221" i="28"/>
  <c r="DE222" i="28"/>
  <c r="DE223" i="28"/>
  <c r="DE224" i="28"/>
  <c r="DE225" i="28"/>
  <c r="DE226" i="28"/>
  <c r="DE227" i="28"/>
  <c r="DE228" i="28"/>
  <c r="DE229" i="28"/>
  <c r="DE230" i="28"/>
  <c r="DE231" i="28"/>
  <c r="DE232" i="28"/>
  <c r="DE233" i="28"/>
  <c r="DE234" i="28"/>
  <c r="DE235" i="28"/>
  <c r="DE236" i="28"/>
  <c r="DE237" i="28"/>
  <c r="DE238" i="28"/>
  <c r="DE239" i="28"/>
  <c r="DE240" i="28"/>
  <c r="DE241" i="28"/>
  <c r="DE242" i="28"/>
  <c r="DE243" i="28"/>
  <c r="DE244" i="28"/>
  <c r="DE245" i="28"/>
  <c r="DE246" i="28"/>
  <c r="DE247" i="28"/>
  <c r="DE248" i="28"/>
  <c r="DE249" i="28"/>
  <c r="DE250" i="28"/>
  <c r="DE251" i="28"/>
  <c r="DE252" i="28"/>
  <c r="DE253" i="28"/>
  <c r="DE254" i="28"/>
  <c r="DE255" i="28"/>
  <c r="DE256" i="28"/>
  <c r="DE257" i="28"/>
  <c r="DE258" i="28"/>
  <c r="DE259" i="28"/>
  <c r="DE260" i="28"/>
  <c r="DE261" i="28"/>
  <c r="DE262" i="28"/>
  <c r="DE263" i="28"/>
  <c r="DE264" i="28"/>
  <c r="DE265" i="28"/>
  <c r="DE266" i="28"/>
  <c r="DE267" i="28"/>
  <c r="DE268" i="28"/>
  <c r="DE269" i="28"/>
  <c r="DE270" i="28"/>
  <c r="DE271" i="28"/>
  <c r="DE272" i="28"/>
  <c r="DE273" i="28"/>
  <c r="DE274" i="28"/>
  <c r="DE275" i="28"/>
  <c r="DE276" i="28"/>
  <c r="DE277" i="28"/>
  <c r="DE278" i="28"/>
  <c r="DE279" i="28"/>
  <c r="DE280" i="28"/>
  <c r="DE281" i="28"/>
  <c r="DE282" i="28"/>
  <c r="DE283" i="28"/>
  <c r="DE284" i="28"/>
  <c r="DE285" i="28"/>
  <c r="DE286" i="28"/>
  <c r="DE287" i="28"/>
  <c r="DE288" i="28"/>
  <c r="DE289" i="28"/>
  <c r="DE290" i="28"/>
  <c r="DE291" i="28"/>
  <c r="DE292" i="28"/>
  <c r="DE293" i="28"/>
  <c r="DE294" i="28"/>
  <c r="DE295" i="28"/>
  <c r="DE296" i="28"/>
  <c r="DE297" i="28"/>
  <c r="DE298" i="28"/>
  <c r="DE299" i="28"/>
  <c r="DE300" i="28"/>
  <c r="DE301" i="28"/>
  <c r="DE302" i="28"/>
  <c r="DE303" i="28"/>
  <c r="DE304" i="28"/>
  <c r="DE305" i="28"/>
  <c r="DE306" i="28"/>
  <c r="DE307" i="28"/>
  <c r="DE308" i="28"/>
  <c r="DE309" i="28"/>
  <c r="DE310" i="28"/>
  <c r="DE311" i="28"/>
  <c r="DE312" i="28"/>
  <c r="DE313" i="28"/>
  <c r="DE314" i="28"/>
  <c r="DE2" i="28"/>
  <c r="DD3" i="28"/>
  <c r="DD4" i="28"/>
  <c r="DD5" i="28"/>
  <c r="DD6" i="28"/>
  <c r="DD7" i="28"/>
  <c r="DD8" i="28"/>
  <c r="DD9" i="28"/>
  <c r="DD10" i="28"/>
  <c r="DD11" i="28"/>
  <c r="DD12" i="28"/>
  <c r="DD13" i="28"/>
  <c r="DD14" i="28"/>
  <c r="DD15" i="28"/>
  <c r="DD16" i="28"/>
  <c r="DD17" i="28"/>
  <c r="DD18" i="28"/>
  <c r="DD19" i="28"/>
  <c r="DD20" i="28"/>
  <c r="DD21" i="28"/>
  <c r="DD22" i="28"/>
  <c r="DD23" i="28"/>
  <c r="DD24" i="28"/>
  <c r="DD25" i="28"/>
  <c r="DD26" i="28"/>
  <c r="DD27" i="28"/>
  <c r="DD28" i="28"/>
  <c r="DD29" i="28"/>
  <c r="DD30" i="28"/>
  <c r="DD31" i="28"/>
  <c r="DD32" i="28"/>
  <c r="DD33" i="28"/>
  <c r="DD34" i="28"/>
  <c r="DD35" i="28"/>
  <c r="DD36" i="28"/>
  <c r="DD37" i="28"/>
  <c r="DD38" i="28"/>
  <c r="DD39" i="28"/>
  <c r="DD40" i="28"/>
  <c r="DD41" i="28"/>
  <c r="DD42" i="28"/>
  <c r="DD43" i="28"/>
  <c r="DD44" i="28"/>
  <c r="DD45" i="28"/>
  <c r="DD46" i="28"/>
  <c r="DD47" i="28"/>
  <c r="DD48" i="28"/>
  <c r="DD49" i="28"/>
  <c r="DD50" i="28"/>
  <c r="DD51" i="28"/>
  <c r="DD52" i="28"/>
  <c r="DD53" i="28"/>
  <c r="DD54" i="28"/>
  <c r="DD55" i="28"/>
  <c r="DD56" i="28"/>
  <c r="DD57" i="28"/>
  <c r="DD58" i="28"/>
  <c r="DD59" i="28"/>
  <c r="DD60" i="28"/>
  <c r="DD61" i="28"/>
  <c r="DD62" i="28"/>
  <c r="DD63" i="28"/>
  <c r="DD64" i="28"/>
  <c r="DD65" i="28"/>
  <c r="DD66" i="28"/>
  <c r="DD67" i="28"/>
  <c r="DD68" i="28"/>
  <c r="DD69" i="28"/>
  <c r="DD70" i="28"/>
  <c r="DD71" i="28"/>
  <c r="DD72" i="28"/>
  <c r="DD73" i="28"/>
  <c r="DD74" i="28"/>
  <c r="DD75" i="28"/>
  <c r="DD76" i="28"/>
  <c r="DD77" i="28"/>
  <c r="DD78" i="28"/>
  <c r="DD79" i="28"/>
  <c r="DD80" i="28"/>
  <c r="DD81" i="28"/>
  <c r="DD82" i="28"/>
  <c r="DD83" i="28"/>
  <c r="DD84" i="28"/>
  <c r="DD85" i="28"/>
  <c r="DD86" i="28"/>
  <c r="DD87" i="28"/>
  <c r="DD88" i="28"/>
  <c r="DD89" i="28"/>
  <c r="DD90" i="28"/>
  <c r="DD91" i="28"/>
  <c r="DD92" i="28"/>
  <c r="DD93" i="28"/>
  <c r="DD94" i="28"/>
  <c r="DD95" i="28"/>
  <c r="DD96" i="28"/>
  <c r="DD97" i="28"/>
  <c r="DD98" i="28"/>
  <c r="DD99" i="28"/>
  <c r="DD100" i="28"/>
  <c r="DD101" i="28"/>
  <c r="DD102" i="28"/>
  <c r="DD103" i="28"/>
  <c r="DD104" i="28"/>
  <c r="DD105" i="28"/>
  <c r="DD106" i="28"/>
  <c r="DD107" i="28"/>
  <c r="DD108" i="28"/>
  <c r="DD109" i="28"/>
  <c r="DD110" i="28"/>
  <c r="DD111" i="28"/>
  <c r="DD112" i="28"/>
  <c r="DD113" i="28"/>
  <c r="DD114" i="28"/>
  <c r="DD115" i="28"/>
  <c r="DD116" i="28"/>
  <c r="DD117" i="28"/>
  <c r="DD118" i="28"/>
  <c r="DD119" i="28"/>
  <c r="DD120" i="28"/>
  <c r="DD121" i="28"/>
  <c r="DD122" i="28"/>
  <c r="DD123" i="28"/>
  <c r="DD124" i="28"/>
  <c r="DD125" i="28"/>
  <c r="DD126" i="28"/>
  <c r="DD127" i="28"/>
  <c r="DD128" i="28"/>
  <c r="DD129" i="28"/>
  <c r="DD130" i="28"/>
  <c r="DD131" i="28"/>
  <c r="DD132" i="28"/>
  <c r="DD133" i="28"/>
  <c r="DD134" i="28"/>
  <c r="DD135" i="28"/>
  <c r="DD136" i="28"/>
  <c r="DD137" i="28"/>
  <c r="DD138" i="28"/>
  <c r="DD139" i="28"/>
  <c r="DD140" i="28"/>
  <c r="DD141" i="28"/>
  <c r="DD142" i="28"/>
  <c r="DD143" i="28"/>
  <c r="DD144" i="28"/>
  <c r="DD145" i="28"/>
  <c r="DD146" i="28"/>
  <c r="DD147" i="28"/>
  <c r="DD148" i="28"/>
  <c r="DD149" i="28"/>
  <c r="DD150" i="28"/>
  <c r="DD151" i="28"/>
  <c r="DD152" i="28"/>
  <c r="DD153" i="28"/>
  <c r="DD154" i="28"/>
  <c r="DD155" i="28"/>
  <c r="DD156" i="28"/>
  <c r="DD157" i="28"/>
  <c r="DD158" i="28"/>
  <c r="DD159" i="28"/>
  <c r="DD160" i="28"/>
  <c r="DD161" i="28"/>
  <c r="DD162" i="28"/>
  <c r="DD163" i="28"/>
  <c r="DD164" i="28"/>
  <c r="DD165" i="28"/>
  <c r="DD166" i="28"/>
  <c r="DD167" i="28"/>
  <c r="DD168" i="28"/>
  <c r="DD169" i="28"/>
  <c r="DD170" i="28"/>
  <c r="DD171" i="28"/>
  <c r="DD172" i="28"/>
  <c r="DD173" i="28"/>
  <c r="DD174" i="28"/>
  <c r="DD175" i="28"/>
  <c r="DD176" i="28"/>
  <c r="DD177" i="28"/>
  <c r="DD178" i="28"/>
  <c r="DD179" i="28"/>
  <c r="DD180" i="28"/>
  <c r="DD181" i="28"/>
  <c r="DD182" i="28"/>
  <c r="DD183" i="28"/>
  <c r="DD184" i="28"/>
  <c r="DD185" i="28"/>
  <c r="DD186" i="28"/>
  <c r="DD187" i="28"/>
  <c r="DD188" i="28"/>
  <c r="DD189" i="28"/>
  <c r="DD190" i="28"/>
  <c r="DD191" i="28"/>
  <c r="DD192" i="28"/>
  <c r="DD193" i="28"/>
  <c r="DD194" i="28"/>
  <c r="DD195" i="28"/>
  <c r="DD196" i="28"/>
  <c r="DD197" i="28"/>
  <c r="DD198" i="28"/>
  <c r="DD199" i="28"/>
  <c r="DD200" i="28"/>
  <c r="DD201" i="28"/>
  <c r="DD202" i="28"/>
  <c r="DD203" i="28"/>
  <c r="DD204" i="28"/>
  <c r="DD205" i="28"/>
  <c r="DD206" i="28"/>
  <c r="DD207" i="28"/>
  <c r="DD208" i="28"/>
  <c r="DD209" i="28"/>
  <c r="DD210" i="28"/>
  <c r="DD211" i="28"/>
  <c r="DD212" i="28"/>
  <c r="DD213" i="28"/>
  <c r="DD214" i="28"/>
  <c r="DD215" i="28"/>
  <c r="DD216" i="28"/>
  <c r="DD217" i="28"/>
  <c r="DD218" i="28"/>
  <c r="DD219" i="28"/>
  <c r="DD220" i="28"/>
  <c r="DD221" i="28"/>
  <c r="DD222" i="28"/>
  <c r="DD223" i="28"/>
  <c r="DD224" i="28"/>
  <c r="DD225" i="28"/>
  <c r="DD226" i="28"/>
  <c r="DD227" i="28"/>
  <c r="DD228" i="28"/>
  <c r="DD229" i="28"/>
  <c r="DD230" i="28"/>
  <c r="DD231" i="28"/>
  <c r="DD232" i="28"/>
  <c r="DD233" i="28"/>
  <c r="DD234" i="28"/>
  <c r="DD235" i="28"/>
  <c r="DD236" i="28"/>
  <c r="DD237" i="28"/>
  <c r="DD238" i="28"/>
  <c r="DD239" i="28"/>
  <c r="DD240" i="28"/>
  <c r="DD241" i="28"/>
  <c r="DD242" i="28"/>
  <c r="DD243" i="28"/>
  <c r="DD244" i="28"/>
  <c r="DD245" i="28"/>
  <c r="DD246" i="28"/>
  <c r="DD247" i="28"/>
  <c r="DD248" i="28"/>
  <c r="DD249" i="28"/>
  <c r="DD250" i="28"/>
  <c r="DD251" i="28"/>
  <c r="DD252" i="28"/>
  <c r="DD253" i="28"/>
  <c r="DD254" i="28"/>
  <c r="DD255" i="28"/>
  <c r="DD256" i="28"/>
  <c r="DD257" i="28"/>
  <c r="DD258" i="28"/>
  <c r="DD259" i="28"/>
  <c r="DD260" i="28"/>
  <c r="DD261" i="28"/>
  <c r="DD262" i="28"/>
  <c r="DD263" i="28"/>
  <c r="DD264" i="28"/>
  <c r="DD265" i="28"/>
  <c r="DD266" i="28"/>
  <c r="DD267" i="28"/>
  <c r="DD268" i="28"/>
  <c r="DD269" i="28"/>
  <c r="DD270" i="28"/>
  <c r="DD271" i="28"/>
  <c r="DD272" i="28"/>
  <c r="DD273" i="28"/>
  <c r="DD274" i="28"/>
  <c r="DD275" i="28"/>
  <c r="DD276" i="28"/>
  <c r="DD277" i="28"/>
  <c r="DD278" i="28"/>
  <c r="DD279" i="28"/>
  <c r="DD280" i="28"/>
  <c r="DD281" i="28"/>
  <c r="DD282" i="28"/>
  <c r="DD283" i="28"/>
  <c r="DD284" i="28"/>
  <c r="DD285" i="28"/>
  <c r="DD286" i="28"/>
  <c r="DD287" i="28"/>
  <c r="DD288" i="28"/>
  <c r="DD289" i="28"/>
  <c r="DD290" i="28"/>
  <c r="DD291" i="28"/>
  <c r="DD292" i="28"/>
  <c r="DD293" i="28"/>
  <c r="DD294" i="28"/>
  <c r="DD295" i="28"/>
  <c r="DD296" i="28"/>
  <c r="DD297" i="28"/>
  <c r="DD298" i="28"/>
  <c r="DD299" i="28"/>
  <c r="DD300" i="28"/>
  <c r="DD301" i="28"/>
  <c r="DD302" i="28"/>
  <c r="DD303" i="28"/>
  <c r="DD304" i="28"/>
  <c r="DD305" i="28"/>
  <c r="DD306" i="28"/>
  <c r="DD307" i="28"/>
  <c r="DD308" i="28"/>
  <c r="DD309" i="28"/>
  <c r="DD310" i="28"/>
  <c r="DD311" i="28"/>
  <c r="DD312" i="28"/>
  <c r="DD313" i="28"/>
  <c r="DD314" i="28"/>
  <c r="DD2" i="28"/>
  <c r="DA3" i="28"/>
  <c r="DB3" i="28"/>
  <c r="DC3" i="28"/>
  <c r="DA4" i="28"/>
  <c r="DB4" i="28"/>
  <c r="DC4" i="28"/>
  <c r="DA5" i="28"/>
  <c r="DB5" i="28"/>
  <c r="DC5" i="28"/>
  <c r="DA6" i="28"/>
  <c r="DB6" i="28"/>
  <c r="DC6" i="28"/>
  <c r="DA7" i="28"/>
  <c r="DB7" i="28"/>
  <c r="DC7" i="28"/>
  <c r="DA8" i="28"/>
  <c r="DB8" i="28"/>
  <c r="DC8" i="28"/>
  <c r="DA9" i="28"/>
  <c r="DB9" i="28"/>
  <c r="DC9" i="28"/>
  <c r="DA10" i="28"/>
  <c r="DB10" i="28"/>
  <c r="DC10" i="28"/>
  <c r="DA11" i="28"/>
  <c r="DB11" i="28"/>
  <c r="DC11" i="28"/>
  <c r="DA12" i="28"/>
  <c r="DB12" i="28"/>
  <c r="DC12" i="28"/>
  <c r="DA13" i="28"/>
  <c r="DB13" i="28"/>
  <c r="DC13" i="28"/>
  <c r="DA14" i="28"/>
  <c r="DB14" i="28"/>
  <c r="DC14" i="28"/>
  <c r="DA15" i="28"/>
  <c r="DB15" i="28"/>
  <c r="DC15" i="28"/>
  <c r="DA16" i="28"/>
  <c r="DB16" i="28"/>
  <c r="DC16" i="28"/>
  <c r="DA17" i="28"/>
  <c r="DB17" i="28"/>
  <c r="DC17" i="28"/>
  <c r="DA18" i="28"/>
  <c r="DB18" i="28"/>
  <c r="DC18" i="28"/>
  <c r="DA19" i="28"/>
  <c r="DB19" i="28"/>
  <c r="DC19" i="28"/>
  <c r="DA20" i="28"/>
  <c r="DB20" i="28"/>
  <c r="DC20" i="28"/>
  <c r="DA21" i="28"/>
  <c r="DB21" i="28"/>
  <c r="DC21" i="28"/>
  <c r="DA22" i="28"/>
  <c r="DB22" i="28"/>
  <c r="DC22" i="28"/>
  <c r="DA23" i="28"/>
  <c r="DB23" i="28"/>
  <c r="DC23" i="28"/>
  <c r="DA24" i="28"/>
  <c r="DB24" i="28"/>
  <c r="DC24" i="28"/>
  <c r="DA25" i="28"/>
  <c r="DB25" i="28"/>
  <c r="DC25" i="28"/>
  <c r="DA26" i="28"/>
  <c r="DB26" i="28"/>
  <c r="DC26" i="28"/>
  <c r="DA27" i="28"/>
  <c r="DB27" i="28"/>
  <c r="DC27" i="28"/>
  <c r="DA28" i="28"/>
  <c r="DB28" i="28"/>
  <c r="DC28" i="28"/>
  <c r="DA29" i="28"/>
  <c r="DB29" i="28"/>
  <c r="DC29" i="28"/>
  <c r="DA30" i="28"/>
  <c r="DB30" i="28"/>
  <c r="DC30" i="28"/>
  <c r="DA31" i="28"/>
  <c r="DB31" i="28"/>
  <c r="DC31" i="28"/>
  <c r="DA32" i="28"/>
  <c r="DB32" i="28"/>
  <c r="DC32" i="28"/>
  <c r="DA33" i="28"/>
  <c r="DB33" i="28"/>
  <c r="DC33" i="28"/>
  <c r="DA34" i="28"/>
  <c r="DB34" i="28"/>
  <c r="DC34" i="28"/>
  <c r="DA35" i="28"/>
  <c r="DB35" i="28"/>
  <c r="DC35" i="28"/>
  <c r="DA36" i="28"/>
  <c r="DB36" i="28"/>
  <c r="DC36" i="28"/>
  <c r="DA37" i="28"/>
  <c r="DB37" i="28"/>
  <c r="DC37" i="28"/>
  <c r="DA38" i="28"/>
  <c r="DB38" i="28"/>
  <c r="DC38" i="28"/>
  <c r="DA39" i="28"/>
  <c r="DB39" i="28"/>
  <c r="DC39" i="28"/>
  <c r="DA40" i="28"/>
  <c r="DB40" i="28"/>
  <c r="DC40" i="28"/>
  <c r="DA41" i="28"/>
  <c r="DB41" i="28"/>
  <c r="DC41" i="28"/>
  <c r="DA42" i="28"/>
  <c r="DB42" i="28"/>
  <c r="DC42" i="28"/>
  <c r="DA43" i="28"/>
  <c r="DB43" i="28"/>
  <c r="DC43" i="28"/>
  <c r="DA44" i="28"/>
  <c r="DB44" i="28"/>
  <c r="DC44" i="28"/>
  <c r="DA45" i="28"/>
  <c r="DB45" i="28"/>
  <c r="DC45" i="28"/>
  <c r="DA46" i="28"/>
  <c r="DB46" i="28"/>
  <c r="DC46" i="28"/>
  <c r="DA47" i="28"/>
  <c r="DB47" i="28"/>
  <c r="DC47" i="28"/>
  <c r="DA48" i="28"/>
  <c r="DB48" i="28"/>
  <c r="DC48" i="28"/>
  <c r="DA49" i="28"/>
  <c r="DB49" i="28"/>
  <c r="DC49" i="28"/>
  <c r="DA50" i="28"/>
  <c r="DB50" i="28"/>
  <c r="DC50" i="28"/>
  <c r="DA51" i="28"/>
  <c r="DB51" i="28"/>
  <c r="DC51" i="28"/>
  <c r="DA52" i="28"/>
  <c r="DB52" i="28"/>
  <c r="DC52" i="28"/>
  <c r="DA53" i="28"/>
  <c r="DB53" i="28"/>
  <c r="DC53" i="28"/>
  <c r="DA54" i="28"/>
  <c r="DB54" i="28"/>
  <c r="DC54" i="28"/>
  <c r="DA55" i="28"/>
  <c r="DB55" i="28"/>
  <c r="DC55" i="28"/>
  <c r="DA56" i="28"/>
  <c r="DB56" i="28"/>
  <c r="DC56" i="28"/>
  <c r="DA57" i="28"/>
  <c r="DB57" i="28"/>
  <c r="DC57" i="28"/>
  <c r="DA58" i="28"/>
  <c r="DB58" i="28"/>
  <c r="DC58" i="28"/>
  <c r="DA59" i="28"/>
  <c r="DB59" i="28"/>
  <c r="DC59" i="28"/>
  <c r="DA60" i="28"/>
  <c r="DB60" i="28"/>
  <c r="DC60" i="28"/>
  <c r="DA61" i="28"/>
  <c r="DB61" i="28"/>
  <c r="DC61" i="28"/>
  <c r="DA62" i="28"/>
  <c r="DB62" i="28"/>
  <c r="DC62" i="28"/>
  <c r="DA63" i="28"/>
  <c r="DB63" i="28"/>
  <c r="DC63" i="28"/>
  <c r="DA64" i="28"/>
  <c r="DB64" i="28"/>
  <c r="DC64" i="28"/>
  <c r="DA65" i="28"/>
  <c r="DB65" i="28"/>
  <c r="DC65" i="28"/>
  <c r="DA66" i="28"/>
  <c r="DB66" i="28"/>
  <c r="DC66" i="28"/>
  <c r="DA67" i="28"/>
  <c r="DB67" i="28"/>
  <c r="DC67" i="28"/>
  <c r="DA68" i="28"/>
  <c r="DB68" i="28"/>
  <c r="DC68" i="28"/>
  <c r="DA69" i="28"/>
  <c r="DB69" i="28"/>
  <c r="DC69" i="28"/>
  <c r="DA70" i="28"/>
  <c r="DB70" i="28"/>
  <c r="DC70" i="28"/>
  <c r="DA71" i="28"/>
  <c r="DB71" i="28"/>
  <c r="DC71" i="28"/>
  <c r="DA72" i="28"/>
  <c r="DB72" i="28"/>
  <c r="DC72" i="28"/>
  <c r="DA73" i="28"/>
  <c r="DB73" i="28"/>
  <c r="DC73" i="28"/>
  <c r="DA74" i="28"/>
  <c r="DB74" i="28"/>
  <c r="DC74" i="28"/>
  <c r="DA75" i="28"/>
  <c r="DB75" i="28"/>
  <c r="DC75" i="28"/>
  <c r="DA76" i="28"/>
  <c r="DB76" i="28"/>
  <c r="DC76" i="28"/>
  <c r="DA77" i="28"/>
  <c r="DB77" i="28"/>
  <c r="DC77" i="28"/>
  <c r="DA78" i="28"/>
  <c r="DB78" i="28"/>
  <c r="DC78" i="28"/>
  <c r="DA79" i="28"/>
  <c r="DB79" i="28"/>
  <c r="DC79" i="28"/>
  <c r="DA80" i="28"/>
  <c r="DB80" i="28"/>
  <c r="DC80" i="28"/>
  <c r="DA81" i="28"/>
  <c r="DB81" i="28"/>
  <c r="DC81" i="28"/>
  <c r="DA82" i="28"/>
  <c r="DB82" i="28"/>
  <c r="DC82" i="28"/>
  <c r="DA83" i="28"/>
  <c r="DB83" i="28"/>
  <c r="DC83" i="28"/>
  <c r="DA84" i="28"/>
  <c r="DB84" i="28"/>
  <c r="DC84" i="28"/>
  <c r="DA85" i="28"/>
  <c r="DB85" i="28"/>
  <c r="DC85" i="28"/>
  <c r="DA86" i="28"/>
  <c r="DB86" i="28"/>
  <c r="DC86" i="28"/>
  <c r="DA87" i="28"/>
  <c r="DB87" i="28"/>
  <c r="DC87" i="28"/>
  <c r="DA88" i="28"/>
  <c r="DB88" i="28"/>
  <c r="DC88" i="28"/>
  <c r="DA89" i="28"/>
  <c r="DB89" i="28"/>
  <c r="DC89" i="28"/>
  <c r="DA90" i="28"/>
  <c r="DB90" i="28"/>
  <c r="DC90" i="28"/>
  <c r="DA91" i="28"/>
  <c r="DB91" i="28"/>
  <c r="DC91" i="28"/>
  <c r="DA92" i="28"/>
  <c r="DB92" i="28"/>
  <c r="DC92" i="28"/>
  <c r="DA93" i="28"/>
  <c r="DB93" i="28"/>
  <c r="DC93" i="28"/>
  <c r="DA94" i="28"/>
  <c r="DB94" i="28"/>
  <c r="DC94" i="28"/>
  <c r="DA95" i="28"/>
  <c r="DB95" i="28"/>
  <c r="DC95" i="28"/>
  <c r="DA96" i="28"/>
  <c r="DB96" i="28"/>
  <c r="DC96" i="28"/>
  <c r="DA97" i="28"/>
  <c r="DB97" i="28"/>
  <c r="DC97" i="28"/>
  <c r="DA98" i="28"/>
  <c r="DB98" i="28"/>
  <c r="DC98" i="28"/>
  <c r="DA99" i="28"/>
  <c r="DB99" i="28"/>
  <c r="DC99" i="28"/>
  <c r="DA100" i="28"/>
  <c r="DB100" i="28"/>
  <c r="DC100" i="28"/>
  <c r="DA101" i="28"/>
  <c r="DB101" i="28"/>
  <c r="DC101" i="28"/>
  <c r="DA102" i="28"/>
  <c r="DB102" i="28"/>
  <c r="DC102" i="28"/>
  <c r="DA103" i="28"/>
  <c r="DB103" i="28"/>
  <c r="DC103" i="28"/>
  <c r="DA104" i="28"/>
  <c r="DB104" i="28"/>
  <c r="DC104" i="28"/>
  <c r="DA105" i="28"/>
  <c r="DB105" i="28"/>
  <c r="DC105" i="28"/>
  <c r="DA106" i="28"/>
  <c r="DB106" i="28"/>
  <c r="DC106" i="28"/>
  <c r="DA107" i="28"/>
  <c r="DB107" i="28"/>
  <c r="DC107" i="28"/>
  <c r="DA108" i="28"/>
  <c r="DB108" i="28"/>
  <c r="DC108" i="28"/>
  <c r="DA109" i="28"/>
  <c r="DB109" i="28"/>
  <c r="DC109" i="28"/>
  <c r="DA110" i="28"/>
  <c r="DB110" i="28"/>
  <c r="DC110" i="28"/>
  <c r="DA111" i="28"/>
  <c r="DB111" i="28"/>
  <c r="DC111" i="28"/>
  <c r="DA112" i="28"/>
  <c r="DB112" i="28"/>
  <c r="DC112" i="28"/>
  <c r="DA113" i="28"/>
  <c r="DB113" i="28"/>
  <c r="DC113" i="28"/>
  <c r="DA114" i="28"/>
  <c r="DB114" i="28"/>
  <c r="DC114" i="28"/>
  <c r="DA115" i="28"/>
  <c r="DB115" i="28"/>
  <c r="DC115" i="28"/>
  <c r="DA116" i="28"/>
  <c r="DB116" i="28"/>
  <c r="DC116" i="28"/>
  <c r="DA117" i="28"/>
  <c r="DB117" i="28"/>
  <c r="DC117" i="28"/>
  <c r="DA118" i="28"/>
  <c r="DB118" i="28"/>
  <c r="DC118" i="28"/>
  <c r="DA119" i="28"/>
  <c r="DB119" i="28"/>
  <c r="DC119" i="28"/>
  <c r="DA120" i="28"/>
  <c r="DB120" i="28"/>
  <c r="DC120" i="28"/>
  <c r="DA121" i="28"/>
  <c r="DB121" i="28"/>
  <c r="DC121" i="28"/>
  <c r="DA122" i="28"/>
  <c r="DB122" i="28"/>
  <c r="DC122" i="28"/>
  <c r="DA123" i="28"/>
  <c r="DB123" i="28"/>
  <c r="DC123" i="28"/>
  <c r="DA124" i="28"/>
  <c r="DB124" i="28"/>
  <c r="DC124" i="28"/>
  <c r="DA125" i="28"/>
  <c r="DB125" i="28"/>
  <c r="DC125" i="28"/>
  <c r="DA126" i="28"/>
  <c r="DB126" i="28"/>
  <c r="DC126" i="28"/>
  <c r="DA127" i="28"/>
  <c r="DB127" i="28"/>
  <c r="DC127" i="28"/>
  <c r="DA128" i="28"/>
  <c r="DB128" i="28"/>
  <c r="DC128" i="28"/>
  <c r="DA129" i="28"/>
  <c r="DB129" i="28"/>
  <c r="DC129" i="28"/>
  <c r="DA130" i="28"/>
  <c r="DB130" i="28"/>
  <c r="DC130" i="28"/>
  <c r="DA131" i="28"/>
  <c r="DB131" i="28"/>
  <c r="DC131" i="28"/>
  <c r="DA132" i="28"/>
  <c r="DB132" i="28"/>
  <c r="DC132" i="28"/>
  <c r="DA133" i="28"/>
  <c r="DB133" i="28"/>
  <c r="DC133" i="28"/>
  <c r="DA134" i="28"/>
  <c r="DB134" i="28"/>
  <c r="DC134" i="28"/>
  <c r="DA135" i="28"/>
  <c r="DB135" i="28"/>
  <c r="DC135" i="28"/>
  <c r="DA136" i="28"/>
  <c r="DB136" i="28"/>
  <c r="DC136" i="28"/>
  <c r="DA137" i="28"/>
  <c r="DB137" i="28"/>
  <c r="DC137" i="28"/>
  <c r="DA138" i="28"/>
  <c r="DB138" i="28"/>
  <c r="DC138" i="28"/>
  <c r="DA139" i="28"/>
  <c r="DB139" i="28"/>
  <c r="DC139" i="28"/>
  <c r="DA140" i="28"/>
  <c r="DB140" i="28"/>
  <c r="DC140" i="28"/>
  <c r="DA141" i="28"/>
  <c r="DB141" i="28"/>
  <c r="DC141" i="28"/>
  <c r="DA142" i="28"/>
  <c r="DB142" i="28"/>
  <c r="DC142" i="28"/>
  <c r="DA143" i="28"/>
  <c r="DB143" i="28"/>
  <c r="DC143" i="28"/>
  <c r="DA144" i="28"/>
  <c r="DB144" i="28"/>
  <c r="DC144" i="28"/>
  <c r="DA145" i="28"/>
  <c r="DB145" i="28"/>
  <c r="DC145" i="28"/>
  <c r="DA146" i="28"/>
  <c r="DB146" i="28"/>
  <c r="DC146" i="28"/>
  <c r="DA147" i="28"/>
  <c r="DB147" i="28"/>
  <c r="DC147" i="28"/>
  <c r="DA148" i="28"/>
  <c r="DB148" i="28"/>
  <c r="DC148" i="28"/>
  <c r="DA149" i="28"/>
  <c r="DB149" i="28"/>
  <c r="DC149" i="28"/>
  <c r="DA150" i="28"/>
  <c r="DB150" i="28"/>
  <c r="DC150" i="28"/>
  <c r="DA151" i="28"/>
  <c r="DB151" i="28"/>
  <c r="DC151" i="28"/>
  <c r="DA152" i="28"/>
  <c r="DB152" i="28"/>
  <c r="DC152" i="28"/>
  <c r="DA153" i="28"/>
  <c r="DB153" i="28"/>
  <c r="DC153" i="28"/>
  <c r="DA154" i="28"/>
  <c r="DB154" i="28"/>
  <c r="DC154" i="28"/>
  <c r="DA155" i="28"/>
  <c r="DB155" i="28"/>
  <c r="DC155" i="28"/>
  <c r="DA156" i="28"/>
  <c r="DB156" i="28"/>
  <c r="DC156" i="28"/>
  <c r="DA157" i="28"/>
  <c r="DB157" i="28"/>
  <c r="DC157" i="28"/>
  <c r="DA158" i="28"/>
  <c r="DB158" i="28"/>
  <c r="DC158" i="28"/>
  <c r="DA159" i="28"/>
  <c r="DB159" i="28"/>
  <c r="DC159" i="28"/>
  <c r="DA160" i="28"/>
  <c r="DB160" i="28"/>
  <c r="DC160" i="28"/>
  <c r="DA161" i="28"/>
  <c r="DB161" i="28"/>
  <c r="DC161" i="28"/>
  <c r="DA162" i="28"/>
  <c r="DB162" i="28"/>
  <c r="DC162" i="28"/>
  <c r="DA163" i="28"/>
  <c r="DB163" i="28"/>
  <c r="DC163" i="28"/>
  <c r="DA164" i="28"/>
  <c r="DB164" i="28"/>
  <c r="DC164" i="28"/>
  <c r="DA165" i="28"/>
  <c r="DB165" i="28"/>
  <c r="DC165" i="28"/>
  <c r="DA166" i="28"/>
  <c r="DB166" i="28"/>
  <c r="DC166" i="28"/>
  <c r="DA167" i="28"/>
  <c r="DB167" i="28"/>
  <c r="DC167" i="28"/>
  <c r="DA168" i="28"/>
  <c r="DB168" i="28"/>
  <c r="DC168" i="28"/>
  <c r="DA169" i="28"/>
  <c r="DB169" i="28"/>
  <c r="DC169" i="28"/>
  <c r="DA170" i="28"/>
  <c r="DB170" i="28"/>
  <c r="DC170" i="28"/>
  <c r="DA171" i="28"/>
  <c r="DB171" i="28"/>
  <c r="DC171" i="28"/>
  <c r="DA172" i="28"/>
  <c r="DB172" i="28"/>
  <c r="DC172" i="28"/>
  <c r="DA173" i="28"/>
  <c r="DB173" i="28"/>
  <c r="DC173" i="28"/>
  <c r="DA174" i="28"/>
  <c r="DB174" i="28"/>
  <c r="DC174" i="28"/>
  <c r="DA175" i="28"/>
  <c r="DB175" i="28"/>
  <c r="DC175" i="28"/>
  <c r="DA176" i="28"/>
  <c r="DB176" i="28"/>
  <c r="DC176" i="28"/>
  <c r="DA177" i="28"/>
  <c r="DB177" i="28"/>
  <c r="DC177" i="28"/>
  <c r="DA178" i="28"/>
  <c r="DB178" i="28"/>
  <c r="DC178" i="28"/>
  <c r="DA179" i="28"/>
  <c r="DB179" i="28"/>
  <c r="DC179" i="28"/>
  <c r="DA180" i="28"/>
  <c r="DB180" i="28"/>
  <c r="DC180" i="28"/>
  <c r="DA181" i="28"/>
  <c r="DB181" i="28"/>
  <c r="DC181" i="28"/>
  <c r="DA182" i="28"/>
  <c r="DB182" i="28"/>
  <c r="DC182" i="28"/>
  <c r="DA183" i="28"/>
  <c r="DB183" i="28"/>
  <c r="DC183" i="28"/>
  <c r="DA184" i="28"/>
  <c r="DB184" i="28"/>
  <c r="DC184" i="28"/>
  <c r="DA185" i="28"/>
  <c r="DB185" i="28"/>
  <c r="DC185" i="28"/>
  <c r="DA186" i="28"/>
  <c r="DB186" i="28"/>
  <c r="DC186" i="28"/>
  <c r="DA187" i="28"/>
  <c r="DB187" i="28"/>
  <c r="DC187" i="28"/>
  <c r="DA188" i="28"/>
  <c r="DB188" i="28"/>
  <c r="DC188" i="28"/>
  <c r="DA189" i="28"/>
  <c r="DB189" i="28"/>
  <c r="DC189" i="28"/>
  <c r="DA190" i="28"/>
  <c r="DB190" i="28"/>
  <c r="DC190" i="28"/>
  <c r="DA191" i="28"/>
  <c r="DB191" i="28"/>
  <c r="DC191" i="28"/>
  <c r="DA192" i="28"/>
  <c r="DB192" i="28"/>
  <c r="DC192" i="28"/>
  <c r="DA193" i="28"/>
  <c r="DB193" i="28"/>
  <c r="DC193" i="28"/>
  <c r="DA194" i="28"/>
  <c r="DB194" i="28"/>
  <c r="DC194" i="28"/>
  <c r="DA195" i="28"/>
  <c r="DB195" i="28"/>
  <c r="DC195" i="28"/>
  <c r="DA196" i="28"/>
  <c r="DB196" i="28"/>
  <c r="DC196" i="28"/>
  <c r="DA197" i="28"/>
  <c r="DB197" i="28"/>
  <c r="DC197" i="28"/>
  <c r="DA198" i="28"/>
  <c r="DB198" i="28"/>
  <c r="DC198" i="28"/>
  <c r="DA199" i="28"/>
  <c r="DB199" i="28"/>
  <c r="DC199" i="28"/>
  <c r="DA200" i="28"/>
  <c r="DB200" i="28"/>
  <c r="DC200" i="28"/>
  <c r="DA201" i="28"/>
  <c r="DB201" i="28"/>
  <c r="DC201" i="28"/>
  <c r="DA202" i="28"/>
  <c r="DB202" i="28"/>
  <c r="DC202" i="28"/>
  <c r="DA203" i="28"/>
  <c r="DB203" i="28"/>
  <c r="DC203" i="28"/>
  <c r="DA204" i="28"/>
  <c r="DB204" i="28"/>
  <c r="DC204" i="28"/>
  <c r="DA205" i="28"/>
  <c r="DB205" i="28"/>
  <c r="DC205" i="28"/>
  <c r="DA206" i="28"/>
  <c r="DB206" i="28"/>
  <c r="DC206" i="28"/>
  <c r="DA207" i="28"/>
  <c r="DB207" i="28"/>
  <c r="DC207" i="28"/>
  <c r="DA208" i="28"/>
  <c r="DB208" i="28"/>
  <c r="DC208" i="28"/>
  <c r="DA209" i="28"/>
  <c r="DB209" i="28"/>
  <c r="DC209" i="28"/>
  <c r="DA210" i="28"/>
  <c r="DB210" i="28"/>
  <c r="DC210" i="28"/>
  <c r="DA211" i="28"/>
  <c r="DB211" i="28"/>
  <c r="DC211" i="28"/>
  <c r="DA212" i="28"/>
  <c r="DB212" i="28"/>
  <c r="DC212" i="28"/>
  <c r="DA213" i="28"/>
  <c r="DB213" i="28"/>
  <c r="DC213" i="28"/>
  <c r="DA214" i="28"/>
  <c r="DB214" i="28"/>
  <c r="DC214" i="28"/>
  <c r="DA215" i="28"/>
  <c r="DB215" i="28"/>
  <c r="DC215" i="28"/>
  <c r="DA216" i="28"/>
  <c r="DB216" i="28"/>
  <c r="DC216" i="28"/>
  <c r="DA217" i="28"/>
  <c r="DB217" i="28"/>
  <c r="DC217" i="28"/>
  <c r="DA218" i="28"/>
  <c r="DB218" i="28"/>
  <c r="DC218" i="28"/>
  <c r="DA219" i="28"/>
  <c r="DB219" i="28"/>
  <c r="DC219" i="28"/>
  <c r="DA220" i="28"/>
  <c r="DB220" i="28"/>
  <c r="DC220" i="28"/>
  <c r="DA221" i="28"/>
  <c r="DB221" i="28"/>
  <c r="DC221" i="28"/>
  <c r="DA222" i="28"/>
  <c r="DB222" i="28"/>
  <c r="DC222" i="28"/>
  <c r="DA223" i="28"/>
  <c r="DB223" i="28"/>
  <c r="DC223" i="28"/>
  <c r="DA224" i="28"/>
  <c r="DB224" i="28"/>
  <c r="DC224" i="28"/>
  <c r="DA225" i="28"/>
  <c r="DB225" i="28"/>
  <c r="DC225" i="28"/>
  <c r="DA226" i="28"/>
  <c r="DB226" i="28"/>
  <c r="DC226" i="28"/>
  <c r="DA227" i="28"/>
  <c r="DB227" i="28"/>
  <c r="DC227" i="28"/>
  <c r="DA228" i="28"/>
  <c r="DB228" i="28"/>
  <c r="DC228" i="28"/>
  <c r="DA229" i="28"/>
  <c r="DB229" i="28"/>
  <c r="DC229" i="28"/>
  <c r="DA230" i="28"/>
  <c r="DB230" i="28"/>
  <c r="DC230" i="28"/>
  <c r="DA231" i="28"/>
  <c r="DB231" i="28"/>
  <c r="DC231" i="28"/>
  <c r="DA232" i="28"/>
  <c r="DB232" i="28"/>
  <c r="DC232" i="28"/>
  <c r="DA233" i="28"/>
  <c r="DB233" i="28"/>
  <c r="DC233" i="28"/>
  <c r="DA234" i="28"/>
  <c r="DB234" i="28"/>
  <c r="DC234" i="28"/>
  <c r="DA235" i="28"/>
  <c r="DB235" i="28"/>
  <c r="DC235" i="28"/>
  <c r="DA236" i="28"/>
  <c r="DB236" i="28"/>
  <c r="DC236" i="28"/>
  <c r="DA237" i="28"/>
  <c r="DB237" i="28"/>
  <c r="DC237" i="28"/>
  <c r="DA238" i="28"/>
  <c r="DB238" i="28"/>
  <c r="DC238" i="28"/>
  <c r="DA239" i="28"/>
  <c r="DB239" i="28"/>
  <c r="DC239" i="28"/>
  <c r="DA240" i="28"/>
  <c r="DB240" i="28"/>
  <c r="DC240" i="28"/>
  <c r="DA241" i="28"/>
  <c r="DB241" i="28"/>
  <c r="DC241" i="28"/>
  <c r="DA242" i="28"/>
  <c r="DB242" i="28"/>
  <c r="DC242" i="28"/>
  <c r="DA243" i="28"/>
  <c r="DB243" i="28"/>
  <c r="DC243" i="28"/>
  <c r="DA244" i="28"/>
  <c r="DB244" i="28"/>
  <c r="DC244" i="28"/>
  <c r="DA245" i="28"/>
  <c r="DB245" i="28"/>
  <c r="DC245" i="28"/>
  <c r="DA246" i="28"/>
  <c r="DB246" i="28"/>
  <c r="DC246" i="28"/>
  <c r="DA247" i="28"/>
  <c r="DB247" i="28"/>
  <c r="DC247" i="28"/>
  <c r="DA248" i="28"/>
  <c r="DB248" i="28"/>
  <c r="DC248" i="28"/>
  <c r="DA249" i="28"/>
  <c r="DB249" i="28"/>
  <c r="DC249" i="28"/>
  <c r="DA250" i="28"/>
  <c r="DB250" i="28"/>
  <c r="DC250" i="28"/>
  <c r="DA251" i="28"/>
  <c r="DB251" i="28"/>
  <c r="DC251" i="28"/>
  <c r="DA252" i="28"/>
  <c r="DB252" i="28"/>
  <c r="DC252" i="28"/>
  <c r="DA253" i="28"/>
  <c r="DB253" i="28"/>
  <c r="DC253" i="28"/>
  <c r="DA254" i="28"/>
  <c r="DB254" i="28"/>
  <c r="DC254" i="28"/>
  <c r="DA255" i="28"/>
  <c r="DB255" i="28"/>
  <c r="DC255" i="28"/>
  <c r="DA256" i="28"/>
  <c r="DB256" i="28"/>
  <c r="DC256" i="28"/>
  <c r="DA257" i="28"/>
  <c r="DB257" i="28"/>
  <c r="DC257" i="28"/>
  <c r="DA258" i="28"/>
  <c r="DB258" i="28"/>
  <c r="DC258" i="28"/>
  <c r="DA259" i="28"/>
  <c r="DB259" i="28"/>
  <c r="DC259" i="28"/>
  <c r="DA260" i="28"/>
  <c r="DB260" i="28"/>
  <c r="DC260" i="28"/>
  <c r="DA261" i="28"/>
  <c r="DB261" i="28"/>
  <c r="DC261" i="28"/>
  <c r="DA262" i="28"/>
  <c r="DB262" i="28"/>
  <c r="DC262" i="28"/>
  <c r="DA263" i="28"/>
  <c r="DB263" i="28"/>
  <c r="DC263" i="28"/>
  <c r="DA264" i="28"/>
  <c r="DB264" i="28"/>
  <c r="DC264" i="28"/>
  <c r="DA265" i="28"/>
  <c r="DB265" i="28"/>
  <c r="DC265" i="28"/>
  <c r="DA266" i="28"/>
  <c r="DB266" i="28"/>
  <c r="DC266" i="28"/>
  <c r="DA267" i="28"/>
  <c r="DB267" i="28"/>
  <c r="DC267" i="28"/>
  <c r="DA268" i="28"/>
  <c r="DB268" i="28"/>
  <c r="DC268" i="28"/>
  <c r="DA269" i="28"/>
  <c r="DB269" i="28"/>
  <c r="DC269" i="28"/>
  <c r="DA270" i="28"/>
  <c r="DB270" i="28"/>
  <c r="DC270" i="28"/>
  <c r="DA271" i="28"/>
  <c r="DB271" i="28"/>
  <c r="DC271" i="28"/>
  <c r="DA272" i="28"/>
  <c r="DB272" i="28"/>
  <c r="DC272" i="28"/>
  <c r="DA273" i="28"/>
  <c r="DB273" i="28"/>
  <c r="DC273" i="28"/>
  <c r="DA274" i="28"/>
  <c r="DB274" i="28"/>
  <c r="DC274" i="28"/>
  <c r="DA275" i="28"/>
  <c r="DB275" i="28"/>
  <c r="DC275" i="28"/>
  <c r="DA276" i="28"/>
  <c r="DB276" i="28"/>
  <c r="DC276" i="28"/>
  <c r="DA277" i="28"/>
  <c r="DB277" i="28"/>
  <c r="DC277" i="28"/>
  <c r="DA278" i="28"/>
  <c r="DB278" i="28"/>
  <c r="DC278" i="28"/>
  <c r="DA279" i="28"/>
  <c r="DB279" i="28"/>
  <c r="DC279" i="28"/>
  <c r="DA280" i="28"/>
  <c r="DB280" i="28"/>
  <c r="DC280" i="28"/>
  <c r="DA281" i="28"/>
  <c r="DB281" i="28"/>
  <c r="DC281" i="28"/>
  <c r="DA282" i="28"/>
  <c r="DB282" i="28"/>
  <c r="DC282" i="28"/>
  <c r="DA283" i="28"/>
  <c r="DB283" i="28"/>
  <c r="DC283" i="28"/>
  <c r="DA284" i="28"/>
  <c r="DB284" i="28"/>
  <c r="DC284" i="28"/>
  <c r="DA285" i="28"/>
  <c r="DB285" i="28"/>
  <c r="DC285" i="28"/>
  <c r="DA286" i="28"/>
  <c r="DB286" i="28"/>
  <c r="DC286" i="28"/>
  <c r="DA287" i="28"/>
  <c r="DB287" i="28"/>
  <c r="DC287" i="28"/>
  <c r="DA288" i="28"/>
  <c r="DB288" i="28"/>
  <c r="DC288" i="28"/>
  <c r="DA289" i="28"/>
  <c r="DB289" i="28"/>
  <c r="DC289" i="28"/>
  <c r="DA290" i="28"/>
  <c r="DB290" i="28"/>
  <c r="DC290" i="28"/>
  <c r="DA291" i="28"/>
  <c r="DB291" i="28"/>
  <c r="DC291" i="28"/>
  <c r="DA292" i="28"/>
  <c r="DB292" i="28"/>
  <c r="DC292" i="28"/>
  <c r="DA293" i="28"/>
  <c r="DB293" i="28"/>
  <c r="DC293" i="28"/>
  <c r="DA294" i="28"/>
  <c r="DB294" i="28"/>
  <c r="DC294" i="28"/>
  <c r="DA295" i="28"/>
  <c r="DB295" i="28"/>
  <c r="DC295" i="28"/>
  <c r="DA296" i="28"/>
  <c r="DB296" i="28"/>
  <c r="DC296" i="28"/>
  <c r="DA297" i="28"/>
  <c r="DB297" i="28"/>
  <c r="DC297" i="28"/>
  <c r="DA298" i="28"/>
  <c r="DB298" i="28"/>
  <c r="DC298" i="28"/>
  <c r="DA299" i="28"/>
  <c r="DB299" i="28"/>
  <c r="DC299" i="28"/>
  <c r="DA300" i="28"/>
  <c r="DB300" i="28"/>
  <c r="DC300" i="28"/>
  <c r="DA301" i="28"/>
  <c r="DB301" i="28"/>
  <c r="DC301" i="28"/>
  <c r="DA302" i="28"/>
  <c r="DB302" i="28"/>
  <c r="DC302" i="28"/>
  <c r="DA303" i="28"/>
  <c r="DB303" i="28"/>
  <c r="DC303" i="28"/>
  <c r="DA304" i="28"/>
  <c r="DB304" i="28"/>
  <c r="DC304" i="28"/>
  <c r="DA305" i="28"/>
  <c r="DB305" i="28"/>
  <c r="DC305" i="28"/>
  <c r="DA306" i="28"/>
  <c r="DB306" i="28"/>
  <c r="DC306" i="28"/>
  <c r="DA307" i="28"/>
  <c r="DB307" i="28"/>
  <c r="DC307" i="28"/>
  <c r="DA308" i="28"/>
  <c r="DB308" i="28"/>
  <c r="DC308" i="28"/>
  <c r="DA309" i="28"/>
  <c r="DB309" i="28"/>
  <c r="DC309" i="28"/>
  <c r="DA310" i="28"/>
  <c r="DB310" i="28"/>
  <c r="DC310" i="28"/>
  <c r="DA311" i="28"/>
  <c r="DB311" i="28"/>
  <c r="DC311" i="28"/>
  <c r="DA312" i="28"/>
  <c r="DB312" i="28"/>
  <c r="DC312" i="28"/>
  <c r="DA313" i="28"/>
  <c r="DB313" i="28"/>
  <c r="DC313" i="28"/>
  <c r="DA314" i="28"/>
  <c r="DB314" i="28"/>
  <c r="DC314" i="28"/>
  <c r="DC2" i="28"/>
  <c r="DB2" i="28"/>
  <c r="DA2" i="28"/>
  <c r="CZ3" i="28"/>
  <c r="CZ4" i="28"/>
  <c r="CZ5" i="28"/>
  <c r="CZ6" i="28"/>
  <c r="CZ7" i="28"/>
  <c r="CZ8" i="28"/>
  <c r="CZ9" i="28"/>
  <c r="CZ10" i="28"/>
  <c r="CZ11" i="28"/>
  <c r="CZ12" i="28"/>
  <c r="CZ13" i="28"/>
  <c r="CZ14" i="28"/>
  <c r="CZ15" i="28"/>
  <c r="CZ16" i="28"/>
  <c r="CZ17" i="28"/>
  <c r="CZ18" i="28"/>
  <c r="CZ19" i="28"/>
  <c r="CZ20" i="28"/>
  <c r="CZ21" i="28"/>
  <c r="CZ22" i="28"/>
  <c r="CZ23" i="28"/>
  <c r="CZ24" i="28"/>
  <c r="CZ25" i="28"/>
  <c r="CZ26" i="28"/>
  <c r="CZ27" i="28"/>
  <c r="CZ28" i="28"/>
  <c r="CZ29" i="28"/>
  <c r="CZ30" i="28"/>
  <c r="CZ31" i="28"/>
  <c r="CZ32" i="28"/>
  <c r="CZ33" i="28"/>
  <c r="CZ34" i="28"/>
  <c r="CZ35" i="28"/>
  <c r="CZ36" i="28"/>
  <c r="CZ37" i="28"/>
  <c r="CZ38" i="28"/>
  <c r="CZ39" i="28"/>
  <c r="CZ40" i="28"/>
  <c r="CZ41" i="28"/>
  <c r="CZ42" i="28"/>
  <c r="CZ43" i="28"/>
  <c r="CZ44" i="28"/>
  <c r="CZ45" i="28"/>
  <c r="CZ46" i="28"/>
  <c r="CZ47" i="28"/>
  <c r="CZ48" i="28"/>
  <c r="CZ49" i="28"/>
  <c r="CZ50" i="28"/>
  <c r="CZ51" i="28"/>
  <c r="CZ52" i="28"/>
  <c r="CZ53" i="28"/>
  <c r="CZ54" i="28"/>
  <c r="CZ55" i="28"/>
  <c r="CZ56" i="28"/>
  <c r="CZ57" i="28"/>
  <c r="CZ58" i="28"/>
  <c r="CZ59" i="28"/>
  <c r="CZ60" i="28"/>
  <c r="CZ61" i="28"/>
  <c r="CZ62" i="28"/>
  <c r="CZ63" i="28"/>
  <c r="CZ64" i="28"/>
  <c r="CZ65" i="28"/>
  <c r="CZ66" i="28"/>
  <c r="CZ67" i="28"/>
  <c r="CZ68" i="28"/>
  <c r="CZ69" i="28"/>
  <c r="CZ70" i="28"/>
  <c r="CZ71" i="28"/>
  <c r="CZ72" i="28"/>
  <c r="CZ73" i="28"/>
  <c r="CZ74" i="28"/>
  <c r="CZ75" i="28"/>
  <c r="CZ76" i="28"/>
  <c r="CZ77" i="28"/>
  <c r="CZ78" i="28"/>
  <c r="CZ79" i="28"/>
  <c r="CZ80" i="28"/>
  <c r="CZ81" i="28"/>
  <c r="CZ82" i="28"/>
  <c r="CZ83" i="28"/>
  <c r="CZ84" i="28"/>
  <c r="CZ85" i="28"/>
  <c r="CZ86" i="28"/>
  <c r="CZ87" i="28"/>
  <c r="CZ88" i="28"/>
  <c r="CZ89" i="28"/>
  <c r="CZ90" i="28"/>
  <c r="CZ91" i="28"/>
  <c r="CZ92" i="28"/>
  <c r="CZ93" i="28"/>
  <c r="CZ94" i="28"/>
  <c r="CZ95" i="28"/>
  <c r="CZ96" i="28"/>
  <c r="CZ97" i="28"/>
  <c r="CZ98" i="28"/>
  <c r="CZ99" i="28"/>
  <c r="CZ100" i="28"/>
  <c r="CZ101" i="28"/>
  <c r="CZ102" i="28"/>
  <c r="CZ103" i="28"/>
  <c r="CZ104" i="28"/>
  <c r="CZ105" i="28"/>
  <c r="CZ106" i="28"/>
  <c r="CZ107" i="28"/>
  <c r="CZ108" i="28"/>
  <c r="CZ109" i="28"/>
  <c r="CZ110" i="28"/>
  <c r="CZ111" i="28"/>
  <c r="CZ112" i="28"/>
  <c r="CZ113" i="28"/>
  <c r="CZ114" i="28"/>
  <c r="CZ115" i="28"/>
  <c r="CZ116" i="28"/>
  <c r="CZ117" i="28"/>
  <c r="CZ118" i="28"/>
  <c r="CZ119" i="28"/>
  <c r="CZ120" i="28"/>
  <c r="CZ121" i="28"/>
  <c r="CZ122" i="28"/>
  <c r="CZ123" i="28"/>
  <c r="CZ124" i="28"/>
  <c r="CZ125" i="28"/>
  <c r="CZ126" i="28"/>
  <c r="CZ127" i="28"/>
  <c r="CZ128" i="28"/>
  <c r="CZ129" i="28"/>
  <c r="CZ130" i="28"/>
  <c r="CZ131" i="28"/>
  <c r="CZ132" i="28"/>
  <c r="CZ133" i="28"/>
  <c r="CZ134" i="28"/>
  <c r="CZ135" i="28"/>
  <c r="CZ136" i="28"/>
  <c r="CZ137" i="28"/>
  <c r="CZ138" i="28"/>
  <c r="CZ139" i="28"/>
  <c r="CZ140" i="28"/>
  <c r="CZ141" i="28"/>
  <c r="CZ142" i="28"/>
  <c r="CZ143" i="28"/>
  <c r="CZ144" i="28"/>
  <c r="CZ145" i="28"/>
  <c r="CZ146" i="28"/>
  <c r="CZ147" i="28"/>
  <c r="CZ148" i="28"/>
  <c r="CZ149" i="28"/>
  <c r="CZ150" i="28"/>
  <c r="CZ151" i="28"/>
  <c r="CZ152" i="28"/>
  <c r="CZ153" i="28"/>
  <c r="CZ154" i="28"/>
  <c r="CZ155" i="28"/>
  <c r="CZ156" i="28"/>
  <c r="CZ157" i="28"/>
  <c r="CZ158" i="28"/>
  <c r="CZ159" i="28"/>
  <c r="CZ160" i="28"/>
  <c r="CZ161" i="28"/>
  <c r="CZ162" i="28"/>
  <c r="CZ163" i="28"/>
  <c r="CZ164" i="28"/>
  <c r="CZ165" i="28"/>
  <c r="CZ166" i="28"/>
  <c r="CZ167" i="28"/>
  <c r="CZ168" i="28"/>
  <c r="CZ169" i="28"/>
  <c r="CZ170" i="28"/>
  <c r="CZ171" i="28"/>
  <c r="CZ172" i="28"/>
  <c r="CZ173" i="28"/>
  <c r="CZ174" i="28"/>
  <c r="CZ175" i="28"/>
  <c r="CZ176" i="28"/>
  <c r="CZ177" i="28"/>
  <c r="CZ178" i="28"/>
  <c r="CZ179" i="28"/>
  <c r="CZ180" i="28"/>
  <c r="CZ181" i="28"/>
  <c r="CZ182" i="28"/>
  <c r="CZ183" i="28"/>
  <c r="CZ184" i="28"/>
  <c r="CZ185" i="28"/>
  <c r="CZ186" i="28"/>
  <c r="CZ187" i="28"/>
  <c r="CZ188" i="28"/>
  <c r="CZ189" i="28"/>
  <c r="CZ190" i="28"/>
  <c r="CZ191" i="28"/>
  <c r="CZ192" i="28"/>
  <c r="CZ193" i="28"/>
  <c r="CZ194" i="28"/>
  <c r="CZ195" i="28"/>
  <c r="CZ196" i="28"/>
  <c r="CZ197" i="28"/>
  <c r="CZ198" i="28"/>
  <c r="CZ199" i="28"/>
  <c r="CZ200" i="28"/>
  <c r="CZ201" i="28"/>
  <c r="CZ202" i="28"/>
  <c r="CZ203" i="28"/>
  <c r="CZ204" i="28"/>
  <c r="CZ205" i="28"/>
  <c r="CZ206" i="28"/>
  <c r="CZ207" i="28"/>
  <c r="CZ208" i="28"/>
  <c r="CZ209" i="28"/>
  <c r="CZ210" i="28"/>
  <c r="CZ211" i="28"/>
  <c r="CZ212" i="28"/>
  <c r="CZ213" i="28"/>
  <c r="CZ214" i="28"/>
  <c r="CZ215" i="28"/>
  <c r="CZ216" i="28"/>
  <c r="CZ217" i="28"/>
  <c r="CZ218" i="28"/>
  <c r="CZ219" i="28"/>
  <c r="CZ220" i="28"/>
  <c r="CZ221" i="28"/>
  <c r="CZ222" i="28"/>
  <c r="CZ223" i="28"/>
  <c r="CZ224" i="28"/>
  <c r="CZ225" i="28"/>
  <c r="CZ226" i="28"/>
  <c r="CZ227" i="28"/>
  <c r="CZ228" i="28"/>
  <c r="CZ229" i="28"/>
  <c r="CZ230" i="28"/>
  <c r="CZ231" i="28"/>
  <c r="CZ232" i="28"/>
  <c r="CZ233" i="28"/>
  <c r="CZ234" i="28"/>
  <c r="CZ235" i="28"/>
  <c r="CZ236" i="28"/>
  <c r="CZ237" i="28"/>
  <c r="CZ238" i="28"/>
  <c r="CZ239" i="28"/>
  <c r="CZ240" i="28"/>
  <c r="CZ241" i="28"/>
  <c r="CZ242" i="28"/>
  <c r="CZ243" i="28"/>
  <c r="CZ244" i="28"/>
  <c r="CZ245" i="28"/>
  <c r="CZ246" i="28"/>
  <c r="CZ247" i="28"/>
  <c r="CZ248" i="28"/>
  <c r="CZ249" i="28"/>
  <c r="CZ250" i="28"/>
  <c r="CZ251" i="28"/>
  <c r="CZ252" i="28"/>
  <c r="CZ253" i="28"/>
  <c r="CZ254" i="28"/>
  <c r="CZ255" i="28"/>
  <c r="CZ256" i="28"/>
  <c r="CZ257" i="28"/>
  <c r="CZ258" i="28"/>
  <c r="CZ259" i="28"/>
  <c r="CZ260" i="28"/>
  <c r="CZ261" i="28"/>
  <c r="CZ262" i="28"/>
  <c r="CZ263" i="28"/>
  <c r="CZ264" i="28"/>
  <c r="CZ265" i="28"/>
  <c r="CZ266" i="28"/>
  <c r="CZ267" i="28"/>
  <c r="CZ268" i="28"/>
  <c r="CZ269" i="28"/>
  <c r="CZ270" i="28"/>
  <c r="CZ271" i="28"/>
  <c r="CZ272" i="28"/>
  <c r="CZ273" i="28"/>
  <c r="CZ274" i="28"/>
  <c r="CZ275" i="28"/>
  <c r="CZ276" i="28"/>
  <c r="CZ277" i="28"/>
  <c r="CZ278" i="28"/>
  <c r="CZ279" i="28"/>
  <c r="CZ280" i="28"/>
  <c r="CZ281" i="28"/>
  <c r="CZ282" i="28"/>
  <c r="CZ283" i="28"/>
  <c r="CZ284" i="28"/>
  <c r="CZ285" i="28"/>
  <c r="CZ286" i="28"/>
  <c r="CZ287" i="28"/>
  <c r="CZ288" i="28"/>
  <c r="CZ289" i="28"/>
  <c r="CZ290" i="28"/>
  <c r="CZ291" i="28"/>
  <c r="CZ292" i="28"/>
  <c r="CZ293" i="28"/>
  <c r="CZ294" i="28"/>
  <c r="CZ295" i="28"/>
  <c r="CZ296" i="28"/>
  <c r="CZ297" i="28"/>
  <c r="CZ298" i="28"/>
  <c r="CZ299" i="28"/>
  <c r="CZ300" i="28"/>
  <c r="CZ301" i="28"/>
  <c r="CZ302" i="28"/>
  <c r="CZ303" i="28"/>
  <c r="CZ304" i="28"/>
  <c r="CZ305" i="28"/>
  <c r="CZ306" i="28"/>
  <c r="CZ307" i="28"/>
  <c r="CZ308" i="28"/>
  <c r="CZ309" i="28"/>
  <c r="CZ310" i="28"/>
  <c r="CZ311" i="28"/>
  <c r="CZ312" i="28"/>
  <c r="CZ313" i="28"/>
  <c r="CZ314" i="28"/>
  <c r="CZ2" i="28"/>
  <c r="CY3" i="28"/>
  <c r="CY4" i="28"/>
  <c r="CY5" i="28"/>
  <c r="CY6" i="28"/>
  <c r="CY7" i="28"/>
  <c r="CY8" i="28"/>
  <c r="CY9" i="28"/>
  <c r="CY10" i="28"/>
  <c r="CY11" i="28"/>
  <c r="CY12" i="28"/>
  <c r="CY13" i="28"/>
  <c r="CY14" i="28"/>
  <c r="CY15" i="28"/>
  <c r="CY16" i="28"/>
  <c r="CY17" i="28"/>
  <c r="CY18" i="28"/>
  <c r="CY19" i="28"/>
  <c r="CY20" i="28"/>
  <c r="CY21" i="28"/>
  <c r="CY22" i="28"/>
  <c r="CY23" i="28"/>
  <c r="CY24" i="28"/>
  <c r="CY25" i="28"/>
  <c r="CY26" i="28"/>
  <c r="CY27" i="28"/>
  <c r="CY28" i="28"/>
  <c r="CY29" i="28"/>
  <c r="CY30" i="28"/>
  <c r="CY31" i="28"/>
  <c r="CY32" i="28"/>
  <c r="CY33" i="28"/>
  <c r="CY34" i="28"/>
  <c r="CY35" i="28"/>
  <c r="CY36" i="28"/>
  <c r="CY37" i="28"/>
  <c r="CY38" i="28"/>
  <c r="CY39" i="28"/>
  <c r="CY40" i="28"/>
  <c r="CY41" i="28"/>
  <c r="CY42" i="28"/>
  <c r="CY43" i="28"/>
  <c r="CY44" i="28"/>
  <c r="CY45" i="28"/>
  <c r="CY46" i="28"/>
  <c r="CY47" i="28"/>
  <c r="CY48" i="28"/>
  <c r="CY49" i="28"/>
  <c r="CY50" i="28"/>
  <c r="CY51" i="28"/>
  <c r="CY52" i="28"/>
  <c r="CY53" i="28"/>
  <c r="CY54" i="28"/>
  <c r="CY55" i="28"/>
  <c r="CY56" i="28"/>
  <c r="CY57" i="28"/>
  <c r="CY58" i="28"/>
  <c r="CY59" i="28"/>
  <c r="CY60" i="28"/>
  <c r="CY61" i="28"/>
  <c r="CY62" i="28"/>
  <c r="CY63" i="28"/>
  <c r="CY64" i="28"/>
  <c r="CY65" i="28"/>
  <c r="CY66" i="28"/>
  <c r="CY67" i="28"/>
  <c r="CY68" i="28"/>
  <c r="CY69" i="28"/>
  <c r="CY70" i="28"/>
  <c r="CY71" i="28"/>
  <c r="CY72" i="28"/>
  <c r="CY73" i="28"/>
  <c r="CY74" i="28"/>
  <c r="CY75" i="28"/>
  <c r="CY76" i="28"/>
  <c r="CY77" i="28"/>
  <c r="CY78" i="28"/>
  <c r="CY79" i="28"/>
  <c r="CY80" i="28"/>
  <c r="CY81" i="28"/>
  <c r="CY82" i="28"/>
  <c r="CY83" i="28"/>
  <c r="CY84" i="28"/>
  <c r="CY85" i="28"/>
  <c r="CY86" i="28"/>
  <c r="CY87" i="28"/>
  <c r="CY88" i="28"/>
  <c r="CY89" i="28"/>
  <c r="CY90" i="28"/>
  <c r="CY91" i="28"/>
  <c r="CY92" i="28"/>
  <c r="CY93" i="28"/>
  <c r="CY94" i="28"/>
  <c r="CY95" i="28"/>
  <c r="CY96" i="28"/>
  <c r="CY97" i="28"/>
  <c r="CY98" i="28"/>
  <c r="CY99" i="28"/>
  <c r="CY100" i="28"/>
  <c r="CY101" i="28"/>
  <c r="CY102" i="28"/>
  <c r="CY103" i="28"/>
  <c r="CY104" i="28"/>
  <c r="CY105" i="28"/>
  <c r="CY106" i="28"/>
  <c r="CY107" i="28"/>
  <c r="CY108" i="28"/>
  <c r="CY109" i="28"/>
  <c r="CY110" i="28"/>
  <c r="CY111" i="28"/>
  <c r="CY112" i="28"/>
  <c r="CY113" i="28"/>
  <c r="CY114" i="28"/>
  <c r="CY115" i="28"/>
  <c r="CY116" i="28"/>
  <c r="CY117" i="28"/>
  <c r="CY118" i="28"/>
  <c r="CY119" i="28"/>
  <c r="CY120" i="28"/>
  <c r="CY121" i="28"/>
  <c r="CY122" i="28"/>
  <c r="CY123" i="28"/>
  <c r="CY124" i="28"/>
  <c r="CY125" i="28"/>
  <c r="CY126" i="28"/>
  <c r="CY127" i="28"/>
  <c r="CY128" i="28"/>
  <c r="CY129" i="28"/>
  <c r="CY130" i="28"/>
  <c r="CY131" i="28"/>
  <c r="CY132" i="28"/>
  <c r="CY133" i="28"/>
  <c r="CY134" i="28"/>
  <c r="CY135" i="28"/>
  <c r="CY136" i="28"/>
  <c r="CY137" i="28"/>
  <c r="CY138" i="28"/>
  <c r="CY139" i="28"/>
  <c r="CY140" i="28"/>
  <c r="CY141" i="28"/>
  <c r="CY142" i="28"/>
  <c r="CY143" i="28"/>
  <c r="CY144" i="28"/>
  <c r="CY145" i="28"/>
  <c r="CY146" i="28"/>
  <c r="CY147" i="28"/>
  <c r="CY148" i="28"/>
  <c r="CY149" i="28"/>
  <c r="CY150" i="28"/>
  <c r="CY151" i="28"/>
  <c r="CY152" i="28"/>
  <c r="CY153" i="28"/>
  <c r="CY154" i="28"/>
  <c r="CY155" i="28"/>
  <c r="CY156" i="28"/>
  <c r="CY157" i="28"/>
  <c r="CY158" i="28"/>
  <c r="CY159" i="28"/>
  <c r="CY160" i="28"/>
  <c r="CY161" i="28"/>
  <c r="CY162" i="28"/>
  <c r="CY163" i="28"/>
  <c r="CY164" i="28"/>
  <c r="CY165" i="28"/>
  <c r="CY166" i="28"/>
  <c r="CY167" i="28"/>
  <c r="CY168" i="28"/>
  <c r="CY169" i="28"/>
  <c r="CY170" i="28"/>
  <c r="CY171" i="28"/>
  <c r="CY172" i="28"/>
  <c r="CY173" i="28"/>
  <c r="CY174" i="28"/>
  <c r="CY175" i="28"/>
  <c r="CY176" i="28"/>
  <c r="CY177" i="28"/>
  <c r="CY178" i="28"/>
  <c r="CY179" i="28"/>
  <c r="CY180" i="28"/>
  <c r="CY181" i="28"/>
  <c r="CY182" i="28"/>
  <c r="CY183" i="28"/>
  <c r="CY184" i="28"/>
  <c r="CY185" i="28"/>
  <c r="CY186" i="28"/>
  <c r="CY187" i="28"/>
  <c r="CY188" i="28"/>
  <c r="CY189" i="28"/>
  <c r="CY190" i="28"/>
  <c r="CY191" i="28"/>
  <c r="CY192" i="28"/>
  <c r="CY193" i="28"/>
  <c r="CY194" i="28"/>
  <c r="CY195" i="28"/>
  <c r="CY196" i="28"/>
  <c r="CY197" i="28"/>
  <c r="CY198" i="28"/>
  <c r="CY199" i="28"/>
  <c r="CY200" i="28"/>
  <c r="CY201" i="28"/>
  <c r="CY202" i="28"/>
  <c r="CY203" i="28"/>
  <c r="CY204" i="28"/>
  <c r="CY205" i="28"/>
  <c r="CY206" i="28"/>
  <c r="CY207" i="28"/>
  <c r="CY208" i="28"/>
  <c r="CY209" i="28"/>
  <c r="CY210" i="28"/>
  <c r="CY211" i="28"/>
  <c r="CY212" i="28"/>
  <c r="CY213" i="28"/>
  <c r="CY214" i="28"/>
  <c r="CY215" i="28"/>
  <c r="CY216" i="28"/>
  <c r="CY217" i="28"/>
  <c r="CY218" i="28"/>
  <c r="CY219" i="28"/>
  <c r="CY220" i="28"/>
  <c r="CY221" i="28"/>
  <c r="CY222" i="28"/>
  <c r="CY223" i="28"/>
  <c r="CY224" i="28"/>
  <c r="CY225" i="28"/>
  <c r="CY226" i="28"/>
  <c r="CY227" i="28"/>
  <c r="CY228" i="28"/>
  <c r="CY229" i="28"/>
  <c r="CY230" i="28"/>
  <c r="CY231" i="28"/>
  <c r="CY232" i="28"/>
  <c r="CY233" i="28"/>
  <c r="CY234" i="28"/>
  <c r="CY235" i="28"/>
  <c r="CY236" i="28"/>
  <c r="CY237" i="28"/>
  <c r="CY238" i="28"/>
  <c r="CY239" i="28"/>
  <c r="CY240" i="28"/>
  <c r="CY241" i="28"/>
  <c r="CY242" i="28"/>
  <c r="CY243" i="28"/>
  <c r="CY244" i="28"/>
  <c r="CY245" i="28"/>
  <c r="CY246" i="28"/>
  <c r="CY247" i="28"/>
  <c r="CY248" i="28"/>
  <c r="CY249" i="28"/>
  <c r="CY250" i="28"/>
  <c r="CY251" i="28"/>
  <c r="CY252" i="28"/>
  <c r="CY253" i="28"/>
  <c r="CY254" i="28"/>
  <c r="CY255" i="28"/>
  <c r="CY256" i="28"/>
  <c r="CY257" i="28"/>
  <c r="CY258" i="28"/>
  <c r="CY259" i="28"/>
  <c r="CY260" i="28"/>
  <c r="CY261" i="28"/>
  <c r="CY262" i="28"/>
  <c r="CY263" i="28"/>
  <c r="CY264" i="28"/>
  <c r="CY265" i="28"/>
  <c r="CY266" i="28"/>
  <c r="CY267" i="28"/>
  <c r="CY268" i="28"/>
  <c r="CY269" i="28"/>
  <c r="CY270" i="28"/>
  <c r="CY271" i="28"/>
  <c r="CY272" i="28"/>
  <c r="CY273" i="28"/>
  <c r="CY274" i="28"/>
  <c r="CY275" i="28"/>
  <c r="CY276" i="28"/>
  <c r="CY277" i="28"/>
  <c r="CY278" i="28"/>
  <c r="CY279" i="28"/>
  <c r="CY280" i="28"/>
  <c r="CY281" i="28"/>
  <c r="CY282" i="28"/>
  <c r="CY283" i="28"/>
  <c r="CY284" i="28"/>
  <c r="CY285" i="28"/>
  <c r="CY286" i="28"/>
  <c r="CY287" i="28"/>
  <c r="CY288" i="28"/>
  <c r="CY289" i="28"/>
  <c r="CY290" i="28"/>
  <c r="CY291" i="28"/>
  <c r="CY292" i="28"/>
  <c r="CY293" i="28"/>
  <c r="CY294" i="28"/>
  <c r="CY295" i="28"/>
  <c r="CY296" i="28"/>
  <c r="CY297" i="28"/>
  <c r="CY298" i="28"/>
  <c r="CY299" i="28"/>
  <c r="CY300" i="28"/>
  <c r="CY301" i="28"/>
  <c r="CY302" i="28"/>
  <c r="CY303" i="28"/>
  <c r="CY304" i="28"/>
  <c r="CY305" i="28"/>
  <c r="CY306" i="28"/>
  <c r="CY307" i="28"/>
  <c r="CY308" i="28"/>
  <c r="CY309" i="28"/>
  <c r="CY310" i="28"/>
  <c r="CY311" i="28"/>
  <c r="CY312" i="28"/>
  <c r="CY313" i="28"/>
  <c r="CY314" i="28"/>
  <c r="CY2" i="28"/>
  <c r="CX3" i="28"/>
  <c r="CX4" i="28"/>
  <c r="CX5" i="28"/>
  <c r="CX6" i="28"/>
  <c r="CX7" i="28"/>
  <c r="CX8" i="28"/>
  <c r="CX9" i="28"/>
  <c r="CX10" i="28"/>
  <c r="CX11" i="28"/>
  <c r="CX12" i="28"/>
  <c r="CX13" i="28"/>
  <c r="CX14" i="28"/>
  <c r="CX15" i="28"/>
  <c r="CX16" i="28"/>
  <c r="CX17" i="28"/>
  <c r="CX18" i="28"/>
  <c r="CX19" i="28"/>
  <c r="CX20" i="28"/>
  <c r="CX21" i="28"/>
  <c r="CX22" i="28"/>
  <c r="CX23" i="28"/>
  <c r="CX24" i="28"/>
  <c r="CX25" i="28"/>
  <c r="CX26" i="28"/>
  <c r="CX27" i="28"/>
  <c r="CX28" i="28"/>
  <c r="CX29" i="28"/>
  <c r="CX30" i="28"/>
  <c r="CX31" i="28"/>
  <c r="CX32" i="28"/>
  <c r="CX33" i="28"/>
  <c r="CX34" i="28"/>
  <c r="CX35" i="28"/>
  <c r="CX36" i="28"/>
  <c r="CX37" i="28"/>
  <c r="CX38" i="28"/>
  <c r="CX39" i="28"/>
  <c r="CX40" i="28"/>
  <c r="CX41" i="28"/>
  <c r="CX42" i="28"/>
  <c r="CX43" i="28"/>
  <c r="CX44" i="28"/>
  <c r="CX45" i="28"/>
  <c r="CX46" i="28"/>
  <c r="CX47" i="28"/>
  <c r="CX48" i="28"/>
  <c r="CX49" i="28"/>
  <c r="CX50" i="28"/>
  <c r="CX51" i="28"/>
  <c r="CX52" i="28"/>
  <c r="CX53" i="28"/>
  <c r="CX54" i="28"/>
  <c r="CX55" i="28"/>
  <c r="CX56" i="28"/>
  <c r="CX57" i="28"/>
  <c r="CX58" i="28"/>
  <c r="CX59" i="28"/>
  <c r="CX60" i="28"/>
  <c r="CX61" i="28"/>
  <c r="CX62" i="28"/>
  <c r="CX63" i="28"/>
  <c r="CX64" i="28"/>
  <c r="CX65" i="28"/>
  <c r="CX66" i="28"/>
  <c r="CX67" i="28"/>
  <c r="CX68" i="28"/>
  <c r="CX69" i="28"/>
  <c r="CX70" i="28"/>
  <c r="CX71" i="28"/>
  <c r="CX72" i="28"/>
  <c r="CX73" i="28"/>
  <c r="CX74" i="28"/>
  <c r="CX75" i="28"/>
  <c r="CX76" i="28"/>
  <c r="CX77" i="28"/>
  <c r="CX78" i="28"/>
  <c r="CX79" i="28"/>
  <c r="CX80" i="28"/>
  <c r="CX81" i="28"/>
  <c r="CX82" i="28"/>
  <c r="CX83" i="28"/>
  <c r="CX84" i="28"/>
  <c r="CX85" i="28"/>
  <c r="CX86" i="28"/>
  <c r="CX87" i="28"/>
  <c r="CX88" i="28"/>
  <c r="CX89" i="28"/>
  <c r="CX90" i="28"/>
  <c r="CX91" i="28"/>
  <c r="CX92" i="28"/>
  <c r="CX93" i="28"/>
  <c r="CX94" i="28"/>
  <c r="CX95" i="28"/>
  <c r="CX96" i="28"/>
  <c r="CX97" i="28"/>
  <c r="CX98" i="28"/>
  <c r="CX99" i="28"/>
  <c r="CX100" i="28"/>
  <c r="CX101" i="28"/>
  <c r="CX102" i="28"/>
  <c r="CX103" i="28"/>
  <c r="CX104" i="28"/>
  <c r="CX105" i="28"/>
  <c r="CX106" i="28"/>
  <c r="CX107" i="28"/>
  <c r="CX108" i="28"/>
  <c r="CX109" i="28"/>
  <c r="CX110" i="28"/>
  <c r="CX111" i="28"/>
  <c r="CX112" i="28"/>
  <c r="CX113" i="28"/>
  <c r="CX114" i="28"/>
  <c r="CX115" i="28"/>
  <c r="CX116" i="28"/>
  <c r="CX117" i="28"/>
  <c r="CX118" i="28"/>
  <c r="CX119" i="28"/>
  <c r="CX120" i="28"/>
  <c r="CX121" i="28"/>
  <c r="CX122" i="28"/>
  <c r="CX123" i="28"/>
  <c r="CX124" i="28"/>
  <c r="CX125" i="28"/>
  <c r="CX126" i="28"/>
  <c r="CX127" i="28"/>
  <c r="CX128" i="28"/>
  <c r="CX129" i="28"/>
  <c r="CX130" i="28"/>
  <c r="CX131" i="28"/>
  <c r="CX132" i="28"/>
  <c r="CX133" i="28"/>
  <c r="CX134" i="28"/>
  <c r="CX135" i="28"/>
  <c r="CX136" i="28"/>
  <c r="CX137" i="28"/>
  <c r="CX138" i="28"/>
  <c r="CX139" i="28"/>
  <c r="CX140" i="28"/>
  <c r="CX141" i="28"/>
  <c r="CX142" i="28"/>
  <c r="CX143" i="28"/>
  <c r="CX144" i="28"/>
  <c r="CX145" i="28"/>
  <c r="CX146" i="28"/>
  <c r="CX147" i="28"/>
  <c r="CX148" i="28"/>
  <c r="CX149" i="28"/>
  <c r="CX150" i="28"/>
  <c r="CX151" i="28"/>
  <c r="CX152" i="28"/>
  <c r="CX153" i="28"/>
  <c r="CX154" i="28"/>
  <c r="CX155" i="28"/>
  <c r="CX156" i="28"/>
  <c r="CX157" i="28"/>
  <c r="CX158" i="28"/>
  <c r="CX159" i="28"/>
  <c r="CX160" i="28"/>
  <c r="CX161" i="28"/>
  <c r="CX162" i="28"/>
  <c r="CX163" i="28"/>
  <c r="CX164" i="28"/>
  <c r="CX165" i="28"/>
  <c r="CX166" i="28"/>
  <c r="CX167" i="28"/>
  <c r="CX168" i="28"/>
  <c r="CX169" i="28"/>
  <c r="CX170" i="28"/>
  <c r="CX171" i="28"/>
  <c r="CX172" i="28"/>
  <c r="CX173" i="28"/>
  <c r="CX174" i="28"/>
  <c r="CX175" i="28"/>
  <c r="CX176" i="28"/>
  <c r="CX177" i="28"/>
  <c r="CX178" i="28"/>
  <c r="CX179" i="28"/>
  <c r="CX180" i="28"/>
  <c r="CX181" i="28"/>
  <c r="CX182" i="28"/>
  <c r="CX183" i="28"/>
  <c r="CX184" i="28"/>
  <c r="CX185" i="28"/>
  <c r="CX186" i="28"/>
  <c r="CX187" i="28"/>
  <c r="CX188" i="28"/>
  <c r="CX189" i="28"/>
  <c r="CX190" i="28"/>
  <c r="CX191" i="28"/>
  <c r="CX192" i="28"/>
  <c r="CX193" i="28"/>
  <c r="CX194" i="28"/>
  <c r="CX195" i="28"/>
  <c r="CX196" i="28"/>
  <c r="CX197" i="28"/>
  <c r="CX198" i="28"/>
  <c r="CX199" i="28"/>
  <c r="CX200" i="28"/>
  <c r="CX201" i="28"/>
  <c r="CX202" i="28"/>
  <c r="CX203" i="28"/>
  <c r="CX204" i="28"/>
  <c r="CX205" i="28"/>
  <c r="CX206" i="28"/>
  <c r="CX207" i="28"/>
  <c r="CX208" i="28"/>
  <c r="CX209" i="28"/>
  <c r="CX210" i="28"/>
  <c r="CX211" i="28"/>
  <c r="CX212" i="28"/>
  <c r="CX213" i="28"/>
  <c r="CX214" i="28"/>
  <c r="CX215" i="28"/>
  <c r="CX216" i="28"/>
  <c r="CX217" i="28"/>
  <c r="CX218" i="28"/>
  <c r="CX219" i="28"/>
  <c r="CX220" i="28"/>
  <c r="CX221" i="28"/>
  <c r="CX222" i="28"/>
  <c r="CX223" i="28"/>
  <c r="CX224" i="28"/>
  <c r="CX225" i="28"/>
  <c r="CX226" i="28"/>
  <c r="CX227" i="28"/>
  <c r="CX228" i="28"/>
  <c r="CX229" i="28"/>
  <c r="CX230" i="28"/>
  <c r="CX231" i="28"/>
  <c r="CX232" i="28"/>
  <c r="CX233" i="28"/>
  <c r="CX234" i="28"/>
  <c r="CX235" i="28"/>
  <c r="CX236" i="28"/>
  <c r="CX237" i="28"/>
  <c r="CX238" i="28"/>
  <c r="CX239" i="28"/>
  <c r="CX240" i="28"/>
  <c r="CX241" i="28"/>
  <c r="CX242" i="28"/>
  <c r="CX243" i="28"/>
  <c r="CX244" i="28"/>
  <c r="CX245" i="28"/>
  <c r="CX246" i="28"/>
  <c r="CX247" i="28"/>
  <c r="CX248" i="28"/>
  <c r="CX249" i="28"/>
  <c r="CX250" i="28"/>
  <c r="CX251" i="28"/>
  <c r="CX252" i="28"/>
  <c r="CX253" i="28"/>
  <c r="CX254" i="28"/>
  <c r="CX255" i="28"/>
  <c r="CX256" i="28"/>
  <c r="CX257" i="28"/>
  <c r="CX258" i="28"/>
  <c r="CX259" i="28"/>
  <c r="CX260" i="28"/>
  <c r="CX261" i="28"/>
  <c r="CX262" i="28"/>
  <c r="CX263" i="28"/>
  <c r="CX264" i="28"/>
  <c r="CX265" i="28"/>
  <c r="CX266" i="28"/>
  <c r="CX267" i="28"/>
  <c r="CX268" i="28"/>
  <c r="CX269" i="28"/>
  <c r="CX270" i="28"/>
  <c r="CX271" i="28"/>
  <c r="CX272" i="28"/>
  <c r="CX273" i="28"/>
  <c r="CX274" i="28"/>
  <c r="CX275" i="28"/>
  <c r="CX276" i="28"/>
  <c r="CX277" i="28"/>
  <c r="CX278" i="28"/>
  <c r="CX279" i="28"/>
  <c r="CX280" i="28"/>
  <c r="CX281" i="28"/>
  <c r="CX282" i="28"/>
  <c r="CX283" i="28"/>
  <c r="CX284" i="28"/>
  <c r="CX285" i="28"/>
  <c r="CX286" i="28"/>
  <c r="CX287" i="28"/>
  <c r="CX288" i="28"/>
  <c r="CX289" i="28"/>
  <c r="CX290" i="28"/>
  <c r="CX291" i="28"/>
  <c r="CX292" i="28"/>
  <c r="CX293" i="28"/>
  <c r="CX294" i="28"/>
  <c r="CX295" i="28"/>
  <c r="CX296" i="28"/>
  <c r="CX297" i="28"/>
  <c r="CX298" i="28"/>
  <c r="CX299" i="28"/>
  <c r="CX300" i="28"/>
  <c r="CX301" i="28"/>
  <c r="CX302" i="28"/>
  <c r="CX303" i="28"/>
  <c r="CX304" i="28"/>
  <c r="CX305" i="28"/>
  <c r="CX306" i="28"/>
  <c r="CX307" i="28"/>
  <c r="CX308" i="28"/>
  <c r="CX309" i="28"/>
  <c r="CX310" i="28"/>
  <c r="CX311" i="28"/>
  <c r="CX312" i="28"/>
  <c r="CX313" i="28"/>
  <c r="CX314" i="28"/>
  <c r="CX2" i="28"/>
  <c r="CW3" i="28"/>
  <c r="CW4" i="28"/>
  <c r="CW5" i="28"/>
  <c r="CW6" i="28"/>
  <c r="CW7" i="28"/>
  <c r="CW8" i="28"/>
  <c r="CW9" i="28"/>
  <c r="CW10" i="28"/>
  <c r="CW11" i="28"/>
  <c r="CW12" i="28"/>
  <c r="CW13" i="28"/>
  <c r="CW14" i="28"/>
  <c r="CW15" i="28"/>
  <c r="CW16" i="28"/>
  <c r="CW17" i="28"/>
  <c r="CW18" i="28"/>
  <c r="CW19" i="28"/>
  <c r="CW20" i="28"/>
  <c r="CW21" i="28"/>
  <c r="CW22" i="28"/>
  <c r="CW23" i="28"/>
  <c r="CW24" i="28"/>
  <c r="CW25" i="28"/>
  <c r="CW26" i="28"/>
  <c r="CW27" i="28"/>
  <c r="CW28" i="28"/>
  <c r="CW29" i="28"/>
  <c r="CW30" i="28"/>
  <c r="CW31" i="28"/>
  <c r="CW32" i="28"/>
  <c r="CW33" i="28"/>
  <c r="CW34" i="28"/>
  <c r="CW35" i="28"/>
  <c r="CW36" i="28"/>
  <c r="CW37" i="28"/>
  <c r="CW38" i="28"/>
  <c r="CW39" i="28"/>
  <c r="CW40" i="28"/>
  <c r="CW41" i="28"/>
  <c r="CW42" i="28"/>
  <c r="CW43" i="28"/>
  <c r="CW44" i="28"/>
  <c r="CW45" i="28"/>
  <c r="CW46" i="28"/>
  <c r="CW47" i="28"/>
  <c r="CW48" i="28"/>
  <c r="CW49" i="28"/>
  <c r="CW50" i="28"/>
  <c r="CW51" i="28"/>
  <c r="CW52" i="28"/>
  <c r="CW53" i="28"/>
  <c r="CW54" i="28"/>
  <c r="CW55" i="28"/>
  <c r="CW56" i="28"/>
  <c r="CW57" i="28"/>
  <c r="CW58" i="28"/>
  <c r="CW59" i="28"/>
  <c r="CW60" i="28"/>
  <c r="CW61" i="28"/>
  <c r="CW62" i="28"/>
  <c r="CW63" i="28"/>
  <c r="CW64" i="28"/>
  <c r="CW65" i="28"/>
  <c r="CW66" i="28"/>
  <c r="CW67" i="28"/>
  <c r="CW68" i="28"/>
  <c r="CW69" i="28"/>
  <c r="CW70" i="28"/>
  <c r="CW71" i="28"/>
  <c r="CW72" i="28"/>
  <c r="CW73" i="28"/>
  <c r="CW74" i="28"/>
  <c r="CW75" i="28"/>
  <c r="CW76" i="28"/>
  <c r="CW77" i="28"/>
  <c r="CW78" i="28"/>
  <c r="CW79" i="28"/>
  <c r="CW80" i="28"/>
  <c r="CW81" i="28"/>
  <c r="CW82" i="28"/>
  <c r="CW83" i="28"/>
  <c r="CW84" i="28"/>
  <c r="CW85" i="28"/>
  <c r="CW86" i="28"/>
  <c r="CW87" i="28"/>
  <c r="CW88" i="28"/>
  <c r="CW89" i="28"/>
  <c r="CW90" i="28"/>
  <c r="CW91" i="28"/>
  <c r="CW92" i="28"/>
  <c r="CW93" i="28"/>
  <c r="CW94" i="28"/>
  <c r="CW95" i="28"/>
  <c r="CW96" i="28"/>
  <c r="CW97" i="28"/>
  <c r="CW98" i="28"/>
  <c r="CW99" i="28"/>
  <c r="CW100" i="28"/>
  <c r="CW101" i="28"/>
  <c r="CW102" i="28"/>
  <c r="CW103" i="28"/>
  <c r="CW104" i="28"/>
  <c r="CW105" i="28"/>
  <c r="CW106" i="28"/>
  <c r="CW107" i="28"/>
  <c r="CW108" i="28"/>
  <c r="CW109" i="28"/>
  <c r="CW110" i="28"/>
  <c r="CW111" i="28"/>
  <c r="CW112" i="28"/>
  <c r="CW113" i="28"/>
  <c r="CW114" i="28"/>
  <c r="CW115" i="28"/>
  <c r="CW116" i="28"/>
  <c r="CW117" i="28"/>
  <c r="CW118" i="28"/>
  <c r="CW119" i="28"/>
  <c r="CW120" i="28"/>
  <c r="CW121" i="28"/>
  <c r="CW122" i="28"/>
  <c r="CW123" i="28"/>
  <c r="CW124" i="28"/>
  <c r="CW125" i="28"/>
  <c r="CW126" i="28"/>
  <c r="CW127" i="28"/>
  <c r="CW128" i="28"/>
  <c r="CW129" i="28"/>
  <c r="CW130" i="28"/>
  <c r="CW131" i="28"/>
  <c r="CW132" i="28"/>
  <c r="CW133" i="28"/>
  <c r="CW134" i="28"/>
  <c r="CW135" i="28"/>
  <c r="CW136" i="28"/>
  <c r="CW137" i="28"/>
  <c r="CW138" i="28"/>
  <c r="CW139" i="28"/>
  <c r="CW140" i="28"/>
  <c r="CW141" i="28"/>
  <c r="CW142" i="28"/>
  <c r="CW143" i="28"/>
  <c r="CW144" i="28"/>
  <c r="CW145" i="28"/>
  <c r="CW146" i="28"/>
  <c r="CW147" i="28"/>
  <c r="CW148" i="28"/>
  <c r="CW149" i="28"/>
  <c r="CW150" i="28"/>
  <c r="CW151" i="28"/>
  <c r="CW152" i="28"/>
  <c r="CW153" i="28"/>
  <c r="CW154" i="28"/>
  <c r="CW155" i="28"/>
  <c r="CW156" i="28"/>
  <c r="CW157" i="28"/>
  <c r="CW158" i="28"/>
  <c r="CW159" i="28"/>
  <c r="CW160" i="28"/>
  <c r="CW161" i="28"/>
  <c r="CW162" i="28"/>
  <c r="CW163" i="28"/>
  <c r="CW164" i="28"/>
  <c r="CW165" i="28"/>
  <c r="CW166" i="28"/>
  <c r="CW167" i="28"/>
  <c r="CW168" i="28"/>
  <c r="CW169" i="28"/>
  <c r="CW170" i="28"/>
  <c r="CW171" i="28"/>
  <c r="CW172" i="28"/>
  <c r="CW173" i="28"/>
  <c r="CW174" i="28"/>
  <c r="CW175" i="28"/>
  <c r="CW176" i="28"/>
  <c r="CW177" i="28"/>
  <c r="CW178" i="28"/>
  <c r="CW179" i="28"/>
  <c r="CW180" i="28"/>
  <c r="CW181" i="28"/>
  <c r="CW182" i="28"/>
  <c r="CW183" i="28"/>
  <c r="CW184" i="28"/>
  <c r="CW185" i="28"/>
  <c r="CW186" i="28"/>
  <c r="CW187" i="28"/>
  <c r="CW188" i="28"/>
  <c r="CW189" i="28"/>
  <c r="CW190" i="28"/>
  <c r="CW191" i="28"/>
  <c r="CW192" i="28"/>
  <c r="CW193" i="28"/>
  <c r="CW194" i="28"/>
  <c r="CW195" i="28"/>
  <c r="CW196" i="28"/>
  <c r="CW197" i="28"/>
  <c r="CW198" i="28"/>
  <c r="CW199" i="28"/>
  <c r="CW200" i="28"/>
  <c r="CW201" i="28"/>
  <c r="CW202" i="28"/>
  <c r="CW203" i="28"/>
  <c r="CW204" i="28"/>
  <c r="CW205" i="28"/>
  <c r="CW206" i="28"/>
  <c r="CW207" i="28"/>
  <c r="CW208" i="28"/>
  <c r="CW209" i="28"/>
  <c r="CW210" i="28"/>
  <c r="CW211" i="28"/>
  <c r="CW212" i="28"/>
  <c r="CW213" i="28"/>
  <c r="CW214" i="28"/>
  <c r="CW215" i="28"/>
  <c r="CW216" i="28"/>
  <c r="CW217" i="28"/>
  <c r="CW218" i="28"/>
  <c r="CW219" i="28"/>
  <c r="CW220" i="28"/>
  <c r="CW221" i="28"/>
  <c r="CW222" i="28"/>
  <c r="CW223" i="28"/>
  <c r="CW224" i="28"/>
  <c r="CW225" i="28"/>
  <c r="CW226" i="28"/>
  <c r="CW227" i="28"/>
  <c r="CW228" i="28"/>
  <c r="CW229" i="28"/>
  <c r="CW230" i="28"/>
  <c r="CW231" i="28"/>
  <c r="CW232" i="28"/>
  <c r="CW233" i="28"/>
  <c r="CW234" i="28"/>
  <c r="CW235" i="28"/>
  <c r="CW236" i="28"/>
  <c r="CW237" i="28"/>
  <c r="CW238" i="28"/>
  <c r="CW239" i="28"/>
  <c r="CW240" i="28"/>
  <c r="CW241" i="28"/>
  <c r="CW242" i="28"/>
  <c r="CW243" i="28"/>
  <c r="CW244" i="28"/>
  <c r="CW245" i="28"/>
  <c r="CW246" i="28"/>
  <c r="CW247" i="28"/>
  <c r="CW248" i="28"/>
  <c r="CW249" i="28"/>
  <c r="CW250" i="28"/>
  <c r="CW251" i="28"/>
  <c r="CW252" i="28"/>
  <c r="CW253" i="28"/>
  <c r="CW254" i="28"/>
  <c r="CW255" i="28"/>
  <c r="CW256" i="28"/>
  <c r="CW257" i="28"/>
  <c r="CW258" i="28"/>
  <c r="CW259" i="28"/>
  <c r="CW260" i="28"/>
  <c r="CW261" i="28"/>
  <c r="CW262" i="28"/>
  <c r="CW263" i="28"/>
  <c r="CW264" i="28"/>
  <c r="CW265" i="28"/>
  <c r="CW266" i="28"/>
  <c r="CW267" i="28"/>
  <c r="CW268" i="28"/>
  <c r="CW269" i="28"/>
  <c r="CW270" i="28"/>
  <c r="CW271" i="28"/>
  <c r="CW272" i="28"/>
  <c r="CW273" i="28"/>
  <c r="CW274" i="28"/>
  <c r="CW275" i="28"/>
  <c r="CW276" i="28"/>
  <c r="CW277" i="28"/>
  <c r="CW278" i="28"/>
  <c r="CW279" i="28"/>
  <c r="CW280" i="28"/>
  <c r="CW281" i="28"/>
  <c r="CW282" i="28"/>
  <c r="CW283" i="28"/>
  <c r="CW284" i="28"/>
  <c r="CW285" i="28"/>
  <c r="CW286" i="28"/>
  <c r="CW287" i="28"/>
  <c r="CW288" i="28"/>
  <c r="CW289" i="28"/>
  <c r="CW290" i="28"/>
  <c r="CW291" i="28"/>
  <c r="CW292" i="28"/>
  <c r="CW293" i="28"/>
  <c r="CW294" i="28"/>
  <c r="CW295" i="28"/>
  <c r="CW296" i="28"/>
  <c r="CW297" i="28"/>
  <c r="CW298" i="28"/>
  <c r="CW299" i="28"/>
  <c r="CW300" i="28"/>
  <c r="CW301" i="28"/>
  <c r="CW302" i="28"/>
  <c r="CW303" i="28"/>
  <c r="CW304" i="28"/>
  <c r="CW305" i="28"/>
  <c r="CW306" i="28"/>
  <c r="CW307" i="28"/>
  <c r="CW308" i="28"/>
  <c r="CW309" i="28"/>
  <c r="CW310" i="28"/>
  <c r="CW311" i="28"/>
  <c r="CW312" i="28"/>
  <c r="CW313" i="28"/>
  <c r="CW314" i="28"/>
  <c r="CW2" i="28"/>
  <c r="CV3" i="28"/>
  <c r="CV4" i="28"/>
  <c r="CV5" i="28"/>
  <c r="CV6" i="28"/>
  <c r="CV7" i="28"/>
  <c r="CV8" i="28"/>
  <c r="CV9" i="28"/>
  <c r="CV10" i="28"/>
  <c r="CV11" i="28"/>
  <c r="CV12" i="28"/>
  <c r="CV13" i="28"/>
  <c r="CV14" i="28"/>
  <c r="CV15" i="28"/>
  <c r="CV16" i="28"/>
  <c r="CV17" i="28"/>
  <c r="CV18" i="28"/>
  <c r="CV19" i="28"/>
  <c r="CV20" i="28"/>
  <c r="CV21" i="28"/>
  <c r="CV22" i="28"/>
  <c r="CV23" i="28"/>
  <c r="CV24" i="28"/>
  <c r="CV25" i="28"/>
  <c r="CV26" i="28"/>
  <c r="CV27" i="28"/>
  <c r="CV28" i="28"/>
  <c r="CV29" i="28"/>
  <c r="CV30" i="28"/>
  <c r="CV31" i="28"/>
  <c r="CV32" i="28"/>
  <c r="CV33" i="28"/>
  <c r="CV34" i="28"/>
  <c r="CV35" i="28"/>
  <c r="CV36" i="28"/>
  <c r="CV37" i="28"/>
  <c r="CV38" i="28"/>
  <c r="CV39" i="28"/>
  <c r="CV40" i="28"/>
  <c r="CV41" i="28"/>
  <c r="CV42" i="28"/>
  <c r="CV43" i="28"/>
  <c r="CV44" i="28"/>
  <c r="CV45" i="28"/>
  <c r="CV46" i="28"/>
  <c r="CV47" i="28"/>
  <c r="CV48" i="28"/>
  <c r="CV49" i="28"/>
  <c r="CV50" i="28"/>
  <c r="CV51" i="28"/>
  <c r="CV52" i="28"/>
  <c r="CV53" i="28"/>
  <c r="CV54" i="28"/>
  <c r="CV55" i="28"/>
  <c r="CV56" i="28"/>
  <c r="CV57" i="28"/>
  <c r="CV58" i="28"/>
  <c r="CV59" i="28"/>
  <c r="CV60" i="28"/>
  <c r="CV61" i="28"/>
  <c r="CV62" i="28"/>
  <c r="CV63" i="28"/>
  <c r="CV64" i="28"/>
  <c r="CV65" i="28"/>
  <c r="CV66" i="28"/>
  <c r="CV67" i="28"/>
  <c r="CV68" i="28"/>
  <c r="CV69" i="28"/>
  <c r="CV70" i="28"/>
  <c r="CV71" i="28"/>
  <c r="CV72" i="28"/>
  <c r="CV73" i="28"/>
  <c r="CV74" i="28"/>
  <c r="CV75" i="28"/>
  <c r="CV76" i="28"/>
  <c r="CV77" i="28"/>
  <c r="CV78" i="28"/>
  <c r="CV79" i="28"/>
  <c r="CV80" i="28"/>
  <c r="CV81" i="28"/>
  <c r="CV82" i="28"/>
  <c r="CV83" i="28"/>
  <c r="CV84" i="28"/>
  <c r="CV85" i="28"/>
  <c r="CV86" i="28"/>
  <c r="CV87" i="28"/>
  <c r="CV88" i="28"/>
  <c r="CV89" i="28"/>
  <c r="CV90" i="28"/>
  <c r="CV91" i="28"/>
  <c r="CV92" i="28"/>
  <c r="CV93" i="28"/>
  <c r="CV94" i="28"/>
  <c r="CV95" i="28"/>
  <c r="CV96" i="28"/>
  <c r="CV97" i="28"/>
  <c r="CV98" i="28"/>
  <c r="CV99" i="28"/>
  <c r="CV100" i="28"/>
  <c r="CV101" i="28"/>
  <c r="CV102" i="28"/>
  <c r="CV103" i="28"/>
  <c r="CV104" i="28"/>
  <c r="CV105" i="28"/>
  <c r="CV106" i="28"/>
  <c r="CV107" i="28"/>
  <c r="CV108" i="28"/>
  <c r="CV109" i="28"/>
  <c r="CV110" i="28"/>
  <c r="CV111" i="28"/>
  <c r="CV112" i="28"/>
  <c r="CV113" i="28"/>
  <c r="CV114" i="28"/>
  <c r="CV115" i="28"/>
  <c r="CV116" i="28"/>
  <c r="CV117" i="28"/>
  <c r="CV118" i="28"/>
  <c r="CV119" i="28"/>
  <c r="CV120" i="28"/>
  <c r="CV121" i="28"/>
  <c r="CV122" i="28"/>
  <c r="CV123" i="28"/>
  <c r="CV124" i="28"/>
  <c r="CV125" i="28"/>
  <c r="CV126" i="28"/>
  <c r="CV127" i="28"/>
  <c r="CV128" i="28"/>
  <c r="CV129" i="28"/>
  <c r="CV130" i="28"/>
  <c r="CV131" i="28"/>
  <c r="CV132" i="28"/>
  <c r="CV133" i="28"/>
  <c r="CV134" i="28"/>
  <c r="CV135" i="28"/>
  <c r="CV136" i="28"/>
  <c r="CV137" i="28"/>
  <c r="CV138" i="28"/>
  <c r="CV139" i="28"/>
  <c r="CV140" i="28"/>
  <c r="CV141" i="28"/>
  <c r="CV142" i="28"/>
  <c r="CV143" i="28"/>
  <c r="CV144" i="28"/>
  <c r="CV145" i="28"/>
  <c r="CV146" i="28"/>
  <c r="CV147" i="28"/>
  <c r="CV148" i="28"/>
  <c r="CV149" i="28"/>
  <c r="CV150" i="28"/>
  <c r="CV151" i="28"/>
  <c r="CV152" i="28"/>
  <c r="CV153" i="28"/>
  <c r="CV154" i="28"/>
  <c r="CV155" i="28"/>
  <c r="CV156" i="28"/>
  <c r="CV157" i="28"/>
  <c r="CV158" i="28"/>
  <c r="CV159" i="28"/>
  <c r="CV160" i="28"/>
  <c r="CV161" i="28"/>
  <c r="CV162" i="28"/>
  <c r="CV163" i="28"/>
  <c r="CV164" i="28"/>
  <c r="CV165" i="28"/>
  <c r="CV166" i="28"/>
  <c r="CV167" i="28"/>
  <c r="CV168" i="28"/>
  <c r="CV169" i="28"/>
  <c r="CV170" i="28"/>
  <c r="CV171" i="28"/>
  <c r="CV172" i="28"/>
  <c r="CV173" i="28"/>
  <c r="CV174" i="28"/>
  <c r="CV175" i="28"/>
  <c r="CV176" i="28"/>
  <c r="CV177" i="28"/>
  <c r="CV178" i="28"/>
  <c r="CV179" i="28"/>
  <c r="CV180" i="28"/>
  <c r="CV181" i="28"/>
  <c r="CV182" i="28"/>
  <c r="CV183" i="28"/>
  <c r="CV184" i="28"/>
  <c r="CV185" i="28"/>
  <c r="CV186" i="28"/>
  <c r="CV187" i="28"/>
  <c r="CV188" i="28"/>
  <c r="CV189" i="28"/>
  <c r="CV190" i="28"/>
  <c r="CV191" i="28"/>
  <c r="CV192" i="28"/>
  <c r="CV193" i="28"/>
  <c r="CV194" i="28"/>
  <c r="CV195" i="28"/>
  <c r="CV196" i="28"/>
  <c r="CV197" i="28"/>
  <c r="CV198" i="28"/>
  <c r="CV199" i="28"/>
  <c r="CV200" i="28"/>
  <c r="CV201" i="28"/>
  <c r="CV202" i="28"/>
  <c r="CV203" i="28"/>
  <c r="CV204" i="28"/>
  <c r="CV205" i="28"/>
  <c r="CV206" i="28"/>
  <c r="CV207" i="28"/>
  <c r="CV208" i="28"/>
  <c r="CV209" i="28"/>
  <c r="CV210" i="28"/>
  <c r="CV211" i="28"/>
  <c r="CV212" i="28"/>
  <c r="CV213" i="28"/>
  <c r="CV214" i="28"/>
  <c r="CV215" i="28"/>
  <c r="CV216" i="28"/>
  <c r="CV217" i="28"/>
  <c r="CV218" i="28"/>
  <c r="CV219" i="28"/>
  <c r="CV220" i="28"/>
  <c r="CV221" i="28"/>
  <c r="CV222" i="28"/>
  <c r="CV223" i="28"/>
  <c r="CV224" i="28"/>
  <c r="CV225" i="28"/>
  <c r="CV226" i="28"/>
  <c r="CV227" i="28"/>
  <c r="CV228" i="28"/>
  <c r="CV229" i="28"/>
  <c r="CV230" i="28"/>
  <c r="CV231" i="28"/>
  <c r="CV232" i="28"/>
  <c r="CV233" i="28"/>
  <c r="CV234" i="28"/>
  <c r="CV235" i="28"/>
  <c r="CV236" i="28"/>
  <c r="CV237" i="28"/>
  <c r="CV238" i="28"/>
  <c r="CV239" i="28"/>
  <c r="CV240" i="28"/>
  <c r="CV241" i="28"/>
  <c r="CV242" i="28"/>
  <c r="CV243" i="28"/>
  <c r="CV244" i="28"/>
  <c r="CV245" i="28"/>
  <c r="CV246" i="28"/>
  <c r="CV247" i="28"/>
  <c r="CV248" i="28"/>
  <c r="CV249" i="28"/>
  <c r="CV250" i="28"/>
  <c r="CV251" i="28"/>
  <c r="CV252" i="28"/>
  <c r="CV253" i="28"/>
  <c r="CV254" i="28"/>
  <c r="CV255" i="28"/>
  <c r="CV256" i="28"/>
  <c r="CV257" i="28"/>
  <c r="CV258" i="28"/>
  <c r="CV259" i="28"/>
  <c r="CV260" i="28"/>
  <c r="CV261" i="28"/>
  <c r="CV262" i="28"/>
  <c r="CV263" i="28"/>
  <c r="CV264" i="28"/>
  <c r="CV265" i="28"/>
  <c r="CV266" i="28"/>
  <c r="CV267" i="28"/>
  <c r="CV268" i="28"/>
  <c r="CV269" i="28"/>
  <c r="CV270" i="28"/>
  <c r="CV271" i="28"/>
  <c r="CV272" i="28"/>
  <c r="CV273" i="28"/>
  <c r="CV274" i="28"/>
  <c r="CV275" i="28"/>
  <c r="CV276" i="28"/>
  <c r="CV277" i="28"/>
  <c r="CV278" i="28"/>
  <c r="CV279" i="28"/>
  <c r="CV280" i="28"/>
  <c r="CV281" i="28"/>
  <c r="CV282" i="28"/>
  <c r="CV283" i="28"/>
  <c r="CV284" i="28"/>
  <c r="CV285" i="28"/>
  <c r="CV286" i="28"/>
  <c r="CV287" i="28"/>
  <c r="CV288" i="28"/>
  <c r="CV289" i="28"/>
  <c r="CV290" i="28"/>
  <c r="CV291" i="28"/>
  <c r="CV292" i="28"/>
  <c r="CV293" i="28"/>
  <c r="CV294" i="28"/>
  <c r="CV295" i="28"/>
  <c r="CV296" i="28"/>
  <c r="CV297" i="28"/>
  <c r="CV298" i="28"/>
  <c r="CV299" i="28"/>
  <c r="CV300" i="28"/>
  <c r="CV301" i="28"/>
  <c r="CV302" i="28"/>
  <c r="CV303" i="28"/>
  <c r="CV304" i="28"/>
  <c r="CV305" i="28"/>
  <c r="CV306" i="28"/>
  <c r="CV307" i="28"/>
  <c r="CV308" i="28"/>
  <c r="CV309" i="28"/>
  <c r="CV310" i="28"/>
  <c r="CV311" i="28"/>
  <c r="CV312" i="28"/>
  <c r="CV313" i="28"/>
  <c r="CV314" i="28"/>
  <c r="CV2" i="28"/>
  <c r="CJ3" i="28"/>
  <c r="CJ4" i="28"/>
  <c r="CJ5" i="28"/>
  <c r="CJ6" i="28"/>
  <c r="CJ7" i="28"/>
  <c r="CJ8" i="28"/>
  <c r="CJ9" i="28"/>
  <c r="CJ10" i="28"/>
  <c r="CJ11" i="28"/>
  <c r="CJ12" i="28"/>
  <c r="CJ13" i="28"/>
  <c r="CJ14" i="28"/>
  <c r="CJ15" i="28"/>
  <c r="CJ16" i="28"/>
  <c r="CJ17" i="28"/>
  <c r="CJ18" i="28"/>
  <c r="CJ19" i="28"/>
  <c r="CJ20" i="28"/>
  <c r="CJ21" i="28"/>
  <c r="CJ22" i="28"/>
  <c r="CJ23" i="28"/>
  <c r="CJ24" i="28"/>
  <c r="CJ25" i="28"/>
  <c r="CJ26" i="28"/>
  <c r="CJ27" i="28"/>
  <c r="CJ28" i="28"/>
  <c r="CJ29" i="28"/>
  <c r="CJ30" i="28"/>
  <c r="CJ31" i="28"/>
  <c r="CJ32" i="28"/>
  <c r="CJ33" i="28"/>
  <c r="CJ34" i="28"/>
  <c r="CJ35" i="28"/>
  <c r="CJ36" i="28"/>
  <c r="CJ37" i="28"/>
  <c r="CJ38" i="28"/>
  <c r="CJ39" i="28"/>
  <c r="CJ40" i="28"/>
  <c r="CJ41" i="28"/>
  <c r="CJ42" i="28"/>
  <c r="CJ43" i="28"/>
  <c r="CJ44" i="28"/>
  <c r="CJ45" i="28"/>
  <c r="CJ46" i="28"/>
  <c r="CJ47" i="28"/>
  <c r="CJ48" i="28"/>
  <c r="CJ49" i="28"/>
  <c r="CJ50" i="28"/>
  <c r="CJ51" i="28"/>
  <c r="CJ52" i="28"/>
  <c r="CJ53" i="28"/>
  <c r="CJ54" i="28"/>
  <c r="CJ55" i="28"/>
  <c r="CJ56" i="28"/>
  <c r="CJ57" i="28"/>
  <c r="CJ58" i="28"/>
  <c r="CJ59" i="28"/>
  <c r="CJ60" i="28"/>
  <c r="CJ61" i="28"/>
  <c r="CJ62" i="28"/>
  <c r="CJ63" i="28"/>
  <c r="CJ64" i="28"/>
  <c r="CJ65" i="28"/>
  <c r="CJ66" i="28"/>
  <c r="CJ67" i="28"/>
  <c r="CJ68" i="28"/>
  <c r="CJ69" i="28"/>
  <c r="CJ70" i="28"/>
  <c r="CJ71" i="28"/>
  <c r="CJ72" i="28"/>
  <c r="CJ73" i="28"/>
  <c r="CJ74" i="28"/>
  <c r="CJ75" i="28"/>
  <c r="CJ76" i="28"/>
  <c r="CJ77" i="28"/>
  <c r="CJ78" i="28"/>
  <c r="CJ79" i="28"/>
  <c r="CJ80" i="28"/>
  <c r="CJ81" i="28"/>
  <c r="CJ82" i="28"/>
  <c r="CJ83" i="28"/>
  <c r="CJ84" i="28"/>
  <c r="CJ85" i="28"/>
  <c r="CJ86" i="28"/>
  <c r="CJ87" i="28"/>
  <c r="CJ88" i="28"/>
  <c r="CJ89" i="28"/>
  <c r="CJ90" i="28"/>
  <c r="CJ91" i="28"/>
  <c r="CJ92" i="28"/>
  <c r="CJ93" i="28"/>
  <c r="CJ94" i="28"/>
  <c r="CJ95" i="28"/>
  <c r="CJ96" i="28"/>
  <c r="CJ97" i="28"/>
  <c r="CJ98" i="28"/>
  <c r="CJ99" i="28"/>
  <c r="CJ100" i="28"/>
  <c r="CJ101" i="28"/>
  <c r="CJ102" i="28"/>
  <c r="CJ103" i="28"/>
  <c r="CJ104" i="28"/>
  <c r="CJ105" i="28"/>
  <c r="CJ106" i="28"/>
  <c r="CJ107" i="28"/>
  <c r="CJ108" i="28"/>
  <c r="CJ109" i="28"/>
  <c r="CJ110" i="28"/>
  <c r="CJ111" i="28"/>
  <c r="CJ112" i="28"/>
  <c r="CJ113" i="28"/>
  <c r="CJ114" i="28"/>
  <c r="CJ115" i="28"/>
  <c r="CJ116" i="28"/>
  <c r="CJ117" i="28"/>
  <c r="CJ118" i="28"/>
  <c r="CJ119" i="28"/>
  <c r="CJ120" i="28"/>
  <c r="CJ121" i="28"/>
  <c r="CJ122" i="28"/>
  <c r="CJ123" i="28"/>
  <c r="CJ124" i="28"/>
  <c r="CJ125" i="28"/>
  <c r="CJ126" i="28"/>
  <c r="CJ127" i="28"/>
  <c r="CJ128" i="28"/>
  <c r="CJ129" i="28"/>
  <c r="CJ130" i="28"/>
  <c r="CJ131" i="28"/>
  <c r="CJ132" i="28"/>
  <c r="CJ133" i="28"/>
  <c r="CJ134" i="28"/>
  <c r="CJ135" i="28"/>
  <c r="CJ136" i="28"/>
  <c r="CJ137" i="28"/>
  <c r="CJ138" i="28"/>
  <c r="CJ139" i="28"/>
  <c r="CJ140" i="28"/>
  <c r="CJ141" i="28"/>
  <c r="CJ142" i="28"/>
  <c r="CJ143" i="28"/>
  <c r="CJ144" i="28"/>
  <c r="CJ145" i="28"/>
  <c r="CJ146" i="28"/>
  <c r="CJ147" i="28"/>
  <c r="CJ148" i="28"/>
  <c r="CJ149" i="28"/>
  <c r="CJ150" i="28"/>
  <c r="CJ151" i="28"/>
  <c r="CJ152" i="28"/>
  <c r="CJ153" i="28"/>
  <c r="CJ154" i="28"/>
  <c r="CJ155" i="28"/>
  <c r="CJ156" i="28"/>
  <c r="CJ157" i="28"/>
  <c r="CJ158" i="28"/>
  <c r="CJ159" i="28"/>
  <c r="CJ160" i="28"/>
  <c r="CJ161" i="28"/>
  <c r="CJ162" i="28"/>
  <c r="CJ163" i="28"/>
  <c r="CJ164" i="28"/>
  <c r="CJ165" i="28"/>
  <c r="CJ166" i="28"/>
  <c r="CJ167" i="28"/>
  <c r="CJ168" i="28"/>
  <c r="CJ169" i="28"/>
  <c r="CJ170" i="28"/>
  <c r="CJ171" i="28"/>
  <c r="CJ172" i="28"/>
  <c r="CJ173" i="28"/>
  <c r="CJ174" i="28"/>
  <c r="CJ175" i="28"/>
  <c r="CJ176" i="28"/>
  <c r="CJ177" i="28"/>
  <c r="CJ178" i="28"/>
  <c r="CJ179" i="28"/>
  <c r="CJ180" i="28"/>
  <c r="CJ181" i="28"/>
  <c r="CJ182" i="28"/>
  <c r="CJ183" i="28"/>
  <c r="CJ184" i="28"/>
  <c r="CJ185" i="28"/>
  <c r="CJ186" i="28"/>
  <c r="CJ187" i="28"/>
  <c r="CJ188" i="28"/>
  <c r="CJ189" i="28"/>
  <c r="CJ190" i="28"/>
  <c r="CJ191" i="28"/>
  <c r="CJ192" i="28"/>
  <c r="CJ193" i="28"/>
  <c r="CJ194" i="28"/>
  <c r="CJ195" i="28"/>
  <c r="CJ196" i="28"/>
  <c r="CJ197" i="28"/>
  <c r="CJ198" i="28"/>
  <c r="CJ199" i="28"/>
  <c r="CJ200" i="28"/>
  <c r="CJ201" i="28"/>
  <c r="CJ202" i="28"/>
  <c r="CJ203" i="28"/>
  <c r="CJ204" i="28"/>
  <c r="CJ205" i="28"/>
  <c r="CJ206" i="28"/>
  <c r="CJ207" i="28"/>
  <c r="CJ208" i="28"/>
  <c r="CJ209" i="28"/>
  <c r="CJ210" i="28"/>
  <c r="CJ211" i="28"/>
  <c r="CJ212" i="28"/>
  <c r="CJ213" i="28"/>
  <c r="CJ214" i="28"/>
  <c r="CJ215" i="28"/>
  <c r="CJ216" i="28"/>
  <c r="CJ217" i="28"/>
  <c r="CJ218" i="28"/>
  <c r="CJ219" i="28"/>
  <c r="CJ220" i="28"/>
  <c r="CJ221" i="28"/>
  <c r="CJ222" i="28"/>
  <c r="CJ223" i="28"/>
  <c r="CJ224" i="28"/>
  <c r="CJ225" i="28"/>
  <c r="CJ226" i="28"/>
  <c r="CJ227" i="28"/>
  <c r="CJ228" i="28"/>
  <c r="CJ229" i="28"/>
  <c r="CJ230" i="28"/>
  <c r="CJ231" i="28"/>
  <c r="CJ232" i="28"/>
  <c r="CJ233" i="28"/>
  <c r="CJ234" i="28"/>
  <c r="CJ235" i="28"/>
  <c r="CJ236" i="28"/>
  <c r="CJ237" i="28"/>
  <c r="CJ238" i="28"/>
  <c r="CJ239" i="28"/>
  <c r="CJ240" i="28"/>
  <c r="CJ241" i="28"/>
  <c r="CJ242" i="28"/>
  <c r="CJ243" i="28"/>
  <c r="CJ244" i="28"/>
  <c r="CJ245" i="28"/>
  <c r="CJ246" i="28"/>
  <c r="CJ247" i="28"/>
  <c r="CJ248" i="28"/>
  <c r="CJ249" i="28"/>
  <c r="CJ250" i="28"/>
  <c r="CJ251" i="28"/>
  <c r="CJ252" i="28"/>
  <c r="CJ253" i="28"/>
  <c r="CJ254" i="28"/>
  <c r="CJ255" i="28"/>
  <c r="CJ256" i="28"/>
  <c r="CJ257" i="28"/>
  <c r="CJ258" i="28"/>
  <c r="CJ259" i="28"/>
  <c r="CJ260" i="28"/>
  <c r="CJ261" i="28"/>
  <c r="CJ262" i="28"/>
  <c r="CJ263" i="28"/>
  <c r="CJ264" i="28"/>
  <c r="CJ265" i="28"/>
  <c r="CJ266" i="28"/>
  <c r="CJ267" i="28"/>
  <c r="CJ268" i="28"/>
  <c r="CJ269" i="28"/>
  <c r="CJ270" i="28"/>
  <c r="CJ271" i="28"/>
  <c r="CJ272" i="28"/>
  <c r="CJ273" i="28"/>
  <c r="CJ274" i="28"/>
  <c r="CJ275" i="28"/>
  <c r="CJ276" i="28"/>
  <c r="CJ277" i="28"/>
  <c r="CJ278" i="28"/>
  <c r="CJ279" i="28"/>
  <c r="CJ280" i="28"/>
  <c r="CJ281" i="28"/>
  <c r="CJ282" i="28"/>
  <c r="CJ283" i="28"/>
  <c r="CJ284" i="28"/>
  <c r="CJ285" i="28"/>
  <c r="CJ286" i="28"/>
  <c r="CJ287" i="28"/>
  <c r="CJ288" i="28"/>
  <c r="CJ289" i="28"/>
  <c r="CJ290" i="28"/>
  <c r="CJ291" i="28"/>
  <c r="CJ292" i="28"/>
  <c r="CJ293" i="28"/>
  <c r="CJ294" i="28"/>
  <c r="CJ295" i="28"/>
  <c r="CJ296" i="28"/>
  <c r="CJ297" i="28"/>
  <c r="CJ298" i="28"/>
  <c r="CJ299" i="28"/>
  <c r="CJ300" i="28"/>
  <c r="CJ301" i="28"/>
  <c r="CJ302" i="28"/>
  <c r="CJ303" i="28"/>
  <c r="CJ304" i="28"/>
  <c r="CJ305" i="28"/>
  <c r="CJ306" i="28"/>
  <c r="CJ307" i="28"/>
  <c r="CJ308" i="28"/>
  <c r="CJ309" i="28"/>
  <c r="CJ310" i="28"/>
  <c r="CJ311" i="28"/>
  <c r="CJ312" i="28"/>
  <c r="CJ313" i="28"/>
  <c r="CJ314" i="28"/>
  <c r="CJ2" i="28"/>
  <c r="CT2" i="28"/>
  <c r="CT3" i="28"/>
  <c r="CU3" i="28"/>
  <c r="CT4" i="28"/>
  <c r="CU4" i="28"/>
  <c r="CT5" i="28"/>
  <c r="CU5" i="28"/>
  <c r="CT6" i="28"/>
  <c r="CU6" i="28"/>
  <c r="CT7" i="28"/>
  <c r="CU7" i="28"/>
  <c r="CT8" i="28"/>
  <c r="CU8" i="28"/>
  <c r="CT9" i="28"/>
  <c r="CU9" i="28"/>
  <c r="CT10" i="28"/>
  <c r="CU10" i="28"/>
  <c r="CT11" i="28"/>
  <c r="CU11" i="28"/>
  <c r="CT12" i="28"/>
  <c r="CU12" i="28"/>
  <c r="CT13" i="28"/>
  <c r="CU13" i="28"/>
  <c r="CT14" i="28"/>
  <c r="CU14" i="28"/>
  <c r="CT15" i="28"/>
  <c r="CU15" i="28"/>
  <c r="CT16" i="28"/>
  <c r="CU16" i="28"/>
  <c r="CT17" i="28"/>
  <c r="CU17" i="28"/>
  <c r="CT18" i="28"/>
  <c r="CU18" i="28"/>
  <c r="CT19" i="28"/>
  <c r="CU19" i="28"/>
  <c r="CT20" i="28"/>
  <c r="CU20" i="28"/>
  <c r="CT21" i="28"/>
  <c r="CU21" i="28"/>
  <c r="CT22" i="28"/>
  <c r="CU22" i="28"/>
  <c r="CT23" i="28"/>
  <c r="CU23" i="28"/>
  <c r="CT24" i="28"/>
  <c r="CU24" i="28"/>
  <c r="CT25" i="28"/>
  <c r="CU25" i="28"/>
  <c r="CT26" i="28"/>
  <c r="CU26" i="28"/>
  <c r="CT27" i="28"/>
  <c r="CU27" i="28"/>
  <c r="CT28" i="28"/>
  <c r="CU28" i="28"/>
  <c r="CT29" i="28"/>
  <c r="CU29" i="28"/>
  <c r="CT30" i="28"/>
  <c r="CU30" i="28"/>
  <c r="CT31" i="28"/>
  <c r="CU31" i="28"/>
  <c r="CT32" i="28"/>
  <c r="CU32" i="28"/>
  <c r="CT33" i="28"/>
  <c r="CU33" i="28"/>
  <c r="CT34" i="28"/>
  <c r="CU34" i="28"/>
  <c r="CT35" i="28"/>
  <c r="CU35" i="28"/>
  <c r="CT36" i="28"/>
  <c r="CU36" i="28"/>
  <c r="CT37" i="28"/>
  <c r="CU37" i="28"/>
  <c r="CT38" i="28"/>
  <c r="CU38" i="28"/>
  <c r="CT39" i="28"/>
  <c r="CU39" i="28"/>
  <c r="CT40" i="28"/>
  <c r="CU40" i="28"/>
  <c r="CT41" i="28"/>
  <c r="CU41" i="28"/>
  <c r="CT42" i="28"/>
  <c r="CU42" i="28"/>
  <c r="CT43" i="28"/>
  <c r="CU43" i="28"/>
  <c r="CT44" i="28"/>
  <c r="CU44" i="28"/>
  <c r="CT45" i="28"/>
  <c r="CU45" i="28"/>
  <c r="CT46" i="28"/>
  <c r="CU46" i="28"/>
  <c r="CT47" i="28"/>
  <c r="CU47" i="28"/>
  <c r="CT48" i="28"/>
  <c r="CU48" i="28"/>
  <c r="CT49" i="28"/>
  <c r="CU49" i="28"/>
  <c r="CT50" i="28"/>
  <c r="CU50" i="28"/>
  <c r="CT51" i="28"/>
  <c r="CU51" i="28"/>
  <c r="CT52" i="28"/>
  <c r="CU52" i="28"/>
  <c r="CT53" i="28"/>
  <c r="CU53" i="28"/>
  <c r="CT54" i="28"/>
  <c r="CU54" i="28"/>
  <c r="CT55" i="28"/>
  <c r="CU55" i="28"/>
  <c r="CT56" i="28"/>
  <c r="CU56" i="28"/>
  <c r="CT57" i="28"/>
  <c r="CU57" i="28"/>
  <c r="CT58" i="28"/>
  <c r="CU58" i="28"/>
  <c r="CT59" i="28"/>
  <c r="CU59" i="28"/>
  <c r="CT60" i="28"/>
  <c r="CU60" i="28"/>
  <c r="CT61" i="28"/>
  <c r="CU61" i="28"/>
  <c r="CT62" i="28"/>
  <c r="CU62" i="28"/>
  <c r="CT63" i="28"/>
  <c r="CU63" i="28"/>
  <c r="CT64" i="28"/>
  <c r="CU64" i="28"/>
  <c r="CT65" i="28"/>
  <c r="CU65" i="28"/>
  <c r="CT66" i="28"/>
  <c r="CU66" i="28"/>
  <c r="CT67" i="28"/>
  <c r="CU67" i="28"/>
  <c r="CT68" i="28"/>
  <c r="CU68" i="28"/>
  <c r="CT69" i="28"/>
  <c r="CU69" i="28"/>
  <c r="CT70" i="28"/>
  <c r="CU70" i="28"/>
  <c r="CT71" i="28"/>
  <c r="CU71" i="28"/>
  <c r="CT72" i="28"/>
  <c r="CU72" i="28"/>
  <c r="CT73" i="28"/>
  <c r="CU73" i="28"/>
  <c r="CT74" i="28"/>
  <c r="CU74" i="28"/>
  <c r="CT75" i="28"/>
  <c r="CU75" i="28"/>
  <c r="CT76" i="28"/>
  <c r="CU76" i="28"/>
  <c r="CT77" i="28"/>
  <c r="CU77" i="28"/>
  <c r="CT78" i="28"/>
  <c r="CU78" i="28"/>
  <c r="CT79" i="28"/>
  <c r="CU79" i="28"/>
  <c r="CT80" i="28"/>
  <c r="CU80" i="28"/>
  <c r="CT81" i="28"/>
  <c r="CU81" i="28"/>
  <c r="CT82" i="28"/>
  <c r="CU82" i="28"/>
  <c r="CT83" i="28"/>
  <c r="CU83" i="28"/>
  <c r="CT84" i="28"/>
  <c r="CU84" i="28"/>
  <c r="CT85" i="28"/>
  <c r="CU85" i="28"/>
  <c r="CT86" i="28"/>
  <c r="CU86" i="28"/>
  <c r="CT87" i="28"/>
  <c r="CU87" i="28"/>
  <c r="CT88" i="28"/>
  <c r="CU88" i="28"/>
  <c r="CT89" i="28"/>
  <c r="CU89" i="28"/>
  <c r="CT90" i="28"/>
  <c r="CU90" i="28"/>
  <c r="CT91" i="28"/>
  <c r="CU91" i="28"/>
  <c r="CT92" i="28"/>
  <c r="CU92" i="28"/>
  <c r="CT93" i="28"/>
  <c r="CU93" i="28"/>
  <c r="CT94" i="28"/>
  <c r="CU94" i="28"/>
  <c r="CT95" i="28"/>
  <c r="CU95" i="28"/>
  <c r="CT96" i="28"/>
  <c r="CU96" i="28"/>
  <c r="CT97" i="28"/>
  <c r="CU97" i="28"/>
  <c r="CT98" i="28"/>
  <c r="CU98" i="28"/>
  <c r="CT99" i="28"/>
  <c r="CU99" i="28"/>
  <c r="CT100" i="28"/>
  <c r="CU100" i="28"/>
  <c r="CT101" i="28"/>
  <c r="CU101" i="28"/>
  <c r="CT102" i="28"/>
  <c r="CU102" i="28"/>
  <c r="CT103" i="28"/>
  <c r="CU103" i="28"/>
  <c r="CT104" i="28"/>
  <c r="CU104" i="28"/>
  <c r="CT105" i="28"/>
  <c r="CU105" i="28"/>
  <c r="CT106" i="28"/>
  <c r="CU106" i="28"/>
  <c r="CT107" i="28"/>
  <c r="CU107" i="28"/>
  <c r="CT108" i="28"/>
  <c r="CU108" i="28"/>
  <c r="CT109" i="28"/>
  <c r="CU109" i="28"/>
  <c r="CT110" i="28"/>
  <c r="CU110" i="28"/>
  <c r="CT111" i="28"/>
  <c r="CU111" i="28"/>
  <c r="CT112" i="28"/>
  <c r="CU112" i="28"/>
  <c r="CT113" i="28"/>
  <c r="CU113" i="28"/>
  <c r="CT114" i="28"/>
  <c r="CU114" i="28"/>
  <c r="CT115" i="28"/>
  <c r="CU115" i="28"/>
  <c r="CT116" i="28"/>
  <c r="CU116" i="28"/>
  <c r="CT117" i="28"/>
  <c r="CU117" i="28"/>
  <c r="CT118" i="28"/>
  <c r="CU118" i="28"/>
  <c r="CT119" i="28"/>
  <c r="CU119" i="28"/>
  <c r="CT120" i="28"/>
  <c r="CU120" i="28"/>
  <c r="CT121" i="28"/>
  <c r="CU121" i="28"/>
  <c r="CT122" i="28"/>
  <c r="CU122" i="28"/>
  <c r="CT123" i="28"/>
  <c r="CU123" i="28"/>
  <c r="CT124" i="28"/>
  <c r="CU124" i="28"/>
  <c r="CT125" i="28"/>
  <c r="CU125" i="28"/>
  <c r="CT126" i="28"/>
  <c r="CU126" i="28"/>
  <c r="CT127" i="28"/>
  <c r="CU127" i="28"/>
  <c r="CT128" i="28"/>
  <c r="CU128" i="28"/>
  <c r="CT129" i="28"/>
  <c r="CU129" i="28"/>
  <c r="CT130" i="28"/>
  <c r="CU130" i="28"/>
  <c r="CT131" i="28"/>
  <c r="CU131" i="28"/>
  <c r="CT132" i="28"/>
  <c r="CU132" i="28"/>
  <c r="CT133" i="28"/>
  <c r="CU133" i="28"/>
  <c r="CT134" i="28"/>
  <c r="CU134" i="28"/>
  <c r="CT135" i="28"/>
  <c r="CU135" i="28"/>
  <c r="CT136" i="28"/>
  <c r="CU136" i="28"/>
  <c r="CT137" i="28"/>
  <c r="CU137" i="28"/>
  <c r="CT138" i="28"/>
  <c r="CU138" i="28"/>
  <c r="CT139" i="28"/>
  <c r="CU139" i="28"/>
  <c r="CT140" i="28"/>
  <c r="CU140" i="28"/>
  <c r="CT141" i="28"/>
  <c r="CU141" i="28"/>
  <c r="CT142" i="28"/>
  <c r="CU142" i="28"/>
  <c r="CT143" i="28"/>
  <c r="CU143" i="28"/>
  <c r="CT144" i="28"/>
  <c r="CU144" i="28"/>
  <c r="CT145" i="28"/>
  <c r="CU145" i="28"/>
  <c r="CT146" i="28"/>
  <c r="CU146" i="28"/>
  <c r="CT147" i="28"/>
  <c r="CU147" i="28"/>
  <c r="CT148" i="28"/>
  <c r="CU148" i="28"/>
  <c r="CT149" i="28"/>
  <c r="CU149" i="28"/>
  <c r="CT150" i="28"/>
  <c r="CU150" i="28"/>
  <c r="CT151" i="28"/>
  <c r="CU151" i="28"/>
  <c r="CT152" i="28"/>
  <c r="CU152" i="28"/>
  <c r="CT153" i="28"/>
  <c r="CU153" i="28"/>
  <c r="CT154" i="28"/>
  <c r="CU154" i="28"/>
  <c r="CT155" i="28"/>
  <c r="CU155" i="28"/>
  <c r="CT156" i="28"/>
  <c r="CU156" i="28"/>
  <c r="CT157" i="28"/>
  <c r="CU157" i="28"/>
  <c r="CT158" i="28"/>
  <c r="CU158" i="28"/>
  <c r="CT159" i="28"/>
  <c r="CU159" i="28"/>
  <c r="CT160" i="28"/>
  <c r="CU160" i="28"/>
  <c r="CT161" i="28"/>
  <c r="CU161" i="28"/>
  <c r="CT162" i="28"/>
  <c r="CU162" i="28"/>
  <c r="CT163" i="28"/>
  <c r="CU163" i="28"/>
  <c r="CT164" i="28"/>
  <c r="CU164" i="28"/>
  <c r="CT165" i="28"/>
  <c r="CU165" i="28"/>
  <c r="CT166" i="28"/>
  <c r="CU166" i="28"/>
  <c r="CT167" i="28"/>
  <c r="CU167" i="28"/>
  <c r="CT168" i="28"/>
  <c r="CU168" i="28"/>
  <c r="CT169" i="28"/>
  <c r="CU169" i="28"/>
  <c r="CT170" i="28"/>
  <c r="CU170" i="28"/>
  <c r="CT171" i="28"/>
  <c r="CU171" i="28"/>
  <c r="CT172" i="28"/>
  <c r="CU172" i="28"/>
  <c r="CT173" i="28"/>
  <c r="CU173" i="28"/>
  <c r="CT174" i="28"/>
  <c r="CU174" i="28"/>
  <c r="CT175" i="28"/>
  <c r="CU175" i="28"/>
  <c r="CT176" i="28"/>
  <c r="CU176" i="28"/>
  <c r="CT177" i="28"/>
  <c r="CU177" i="28"/>
  <c r="CT178" i="28"/>
  <c r="CU178" i="28"/>
  <c r="CT179" i="28"/>
  <c r="CU179" i="28"/>
  <c r="CT180" i="28"/>
  <c r="CU180" i="28"/>
  <c r="CT181" i="28"/>
  <c r="CU181" i="28"/>
  <c r="CT182" i="28"/>
  <c r="CU182" i="28"/>
  <c r="CT183" i="28"/>
  <c r="CU183" i="28"/>
  <c r="CT184" i="28"/>
  <c r="CU184" i="28"/>
  <c r="CT185" i="28"/>
  <c r="CU185" i="28"/>
  <c r="CT186" i="28"/>
  <c r="CU186" i="28"/>
  <c r="CT187" i="28"/>
  <c r="CU187" i="28"/>
  <c r="CT188" i="28"/>
  <c r="CU188" i="28"/>
  <c r="CT189" i="28"/>
  <c r="CU189" i="28"/>
  <c r="CT190" i="28"/>
  <c r="CU190" i="28"/>
  <c r="CT191" i="28"/>
  <c r="CU191" i="28"/>
  <c r="CT192" i="28"/>
  <c r="CU192" i="28"/>
  <c r="CT193" i="28"/>
  <c r="CU193" i="28"/>
  <c r="CT194" i="28"/>
  <c r="CU194" i="28"/>
  <c r="CT195" i="28"/>
  <c r="CU195" i="28"/>
  <c r="CT196" i="28"/>
  <c r="CU196" i="28"/>
  <c r="CT197" i="28"/>
  <c r="CU197" i="28"/>
  <c r="CT198" i="28"/>
  <c r="CU198" i="28"/>
  <c r="CT199" i="28"/>
  <c r="CU199" i="28"/>
  <c r="CT200" i="28"/>
  <c r="CU200" i="28"/>
  <c r="CT201" i="28"/>
  <c r="CU201" i="28"/>
  <c r="CT202" i="28"/>
  <c r="CU202" i="28"/>
  <c r="CT203" i="28"/>
  <c r="CU203" i="28"/>
  <c r="CT204" i="28"/>
  <c r="CU204" i="28"/>
  <c r="CT205" i="28"/>
  <c r="CU205" i="28"/>
  <c r="CT206" i="28"/>
  <c r="CU206" i="28"/>
  <c r="CT207" i="28"/>
  <c r="CU207" i="28"/>
  <c r="CT208" i="28"/>
  <c r="CU208" i="28"/>
  <c r="CT209" i="28"/>
  <c r="CU209" i="28"/>
  <c r="CT210" i="28"/>
  <c r="CU210" i="28"/>
  <c r="CT211" i="28"/>
  <c r="CU211" i="28"/>
  <c r="CT212" i="28"/>
  <c r="CU212" i="28"/>
  <c r="CT213" i="28"/>
  <c r="CU213" i="28"/>
  <c r="CT214" i="28"/>
  <c r="CU214" i="28"/>
  <c r="CT215" i="28"/>
  <c r="CU215" i="28"/>
  <c r="CT216" i="28"/>
  <c r="CU216" i="28"/>
  <c r="CT217" i="28"/>
  <c r="CU217" i="28"/>
  <c r="CT218" i="28"/>
  <c r="CU218" i="28"/>
  <c r="CT219" i="28"/>
  <c r="CU219" i="28"/>
  <c r="CT220" i="28"/>
  <c r="CU220" i="28"/>
  <c r="CT221" i="28"/>
  <c r="CU221" i="28"/>
  <c r="CT222" i="28"/>
  <c r="CU222" i="28"/>
  <c r="CT223" i="28"/>
  <c r="CU223" i="28"/>
  <c r="CT224" i="28"/>
  <c r="CU224" i="28"/>
  <c r="CT225" i="28"/>
  <c r="CU225" i="28"/>
  <c r="CT226" i="28"/>
  <c r="CU226" i="28"/>
  <c r="CT227" i="28"/>
  <c r="CU227" i="28"/>
  <c r="CT228" i="28"/>
  <c r="CU228" i="28"/>
  <c r="CT229" i="28"/>
  <c r="CU229" i="28"/>
  <c r="CT230" i="28"/>
  <c r="CU230" i="28"/>
  <c r="CT231" i="28"/>
  <c r="CU231" i="28"/>
  <c r="CT232" i="28"/>
  <c r="CU232" i="28"/>
  <c r="CT233" i="28"/>
  <c r="CU233" i="28"/>
  <c r="CT234" i="28"/>
  <c r="CU234" i="28"/>
  <c r="CT235" i="28"/>
  <c r="CU235" i="28"/>
  <c r="CT236" i="28"/>
  <c r="CU236" i="28"/>
  <c r="CT237" i="28"/>
  <c r="CU237" i="28"/>
  <c r="CT238" i="28"/>
  <c r="CU238" i="28"/>
  <c r="CT239" i="28"/>
  <c r="CU239" i="28"/>
  <c r="CT240" i="28"/>
  <c r="CU240" i="28"/>
  <c r="CT241" i="28"/>
  <c r="CU241" i="28"/>
  <c r="CT242" i="28"/>
  <c r="CU242" i="28"/>
  <c r="CT243" i="28"/>
  <c r="CU243" i="28"/>
  <c r="CT244" i="28"/>
  <c r="CU244" i="28"/>
  <c r="CT245" i="28"/>
  <c r="CU245" i="28"/>
  <c r="CT246" i="28"/>
  <c r="CU246" i="28"/>
  <c r="CT247" i="28"/>
  <c r="CU247" i="28"/>
  <c r="CT248" i="28"/>
  <c r="CU248" i="28"/>
  <c r="CT249" i="28"/>
  <c r="CU249" i="28"/>
  <c r="CT250" i="28"/>
  <c r="CU250" i="28"/>
  <c r="CT251" i="28"/>
  <c r="CU251" i="28"/>
  <c r="CT252" i="28"/>
  <c r="CU252" i="28"/>
  <c r="CT253" i="28"/>
  <c r="CU253" i="28"/>
  <c r="CT254" i="28"/>
  <c r="CU254" i="28"/>
  <c r="CT255" i="28"/>
  <c r="CU255" i="28"/>
  <c r="CT256" i="28"/>
  <c r="CU256" i="28"/>
  <c r="CT257" i="28"/>
  <c r="CU257" i="28"/>
  <c r="CT258" i="28"/>
  <c r="CU258" i="28"/>
  <c r="CT259" i="28"/>
  <c r="CU259" i="28"/>
  <c r="CT260" i="28"/>
  <c r="CU260" i="28"/>
  <c r="CT261" i="28"/>
  <c r="CU261" i="28"/>
  <c r="CT262" i="28"/>
  <c r="CU262" i="28"/>
  <c r="CT263" i="28"/>
  <c r="CU263" i="28"/>
  <c r="CT264" i="28"/>
  <c r="CU264" i="28"/>
  <c r="CT265" i="28"/>
  <c r="CU265" i="28"/>
  <c r="CT266" i="28"/>
  <c r="CU266" i="28"/>
  <c r="CT267" i="28"/>
  <c r="CU267" i="28"/>
  <c r="CT268" i="28"/>
  <c r="CU268" i="28"/>
  <c r="CT269" i="28"/>
  <c r="CU269" i="28"/>
  <c r="CT270" i="28"/>
  <c r="CU270" i="28"/>
  <c r="CT271" i="28"/>
  <c r="CU271" i="28"/>
  <c r="CT272" i="28"/>
  <c r="CU272" i="28"/>
  <c r="CT273" i="28"/>
  <c r="CU273" i="28"/>
  <c r="CT274" i="28"/>
  <c r="CU274" i="28"/>
  <c r="CT275" i="28"/>
  <c r="CU275" i="28"/>
  <c r="CT276" i="28"/>
  <c r="CU276" i="28"/>
  <c r="CT277" i="28"/>
  <c r="CU277" i="28"/>
  <c r="CT278" i="28"/>
  <c r="CU278" i="28"/>
  <c r="CT279" i="28"/>
  <c r="CU279" i="28"/>
  <c r="CT280" i="28"/>
  <c r="CU280" i="28"/>
  <c r="CT281" i="28"/>
  <c r="CU281" i="28"/>
  <c r="CT282" i="28"/>
  <c r="CU282" i="28"/>
  <c r="CT283" i="28"/>
  <c r="CU283" i="28"/>
  <c r="CT284" i="28"/>
  <c r="CU284" i="28"/>
  <c r="CT285" i="28"/>
  <c r="CU285" i="28"/>
  <c r="CT286" i="28"/>
  <c r="CU286" i="28"/>
  <c r="CT287" i="28"/>
  <c r="CU287" i="28"/>
  <c r="CT288" i="28"/>
  <c r="CU288" i="28"/>
  <c r="CT289" i="28"/>
  <c r="CU289" i="28"/>
  <c r="CT290" i="28"/>
  <c r="CU290" i="28"/>
  <c r="CT291" i="28"/>
  <c r="CU291" i="28"/>
  <c r="CT292" i="28"/>
  <c r="CU292" i="28"/>
  <c r="CT293" i="28"/>
  <c r="CU293" i="28"/>
  <c r="CT294" i="28"/>
  <c r="CU294" i="28"/>
  <c r="CT295" i="28"/>
  <c r="CU295" i="28"/>
  <c r="CT296" i="28"/>
  <c r="CU296" i="28"/>
  <c r="CT297" i="28"/>
  <c r="CU297" i="28"/>
  <c r="CT298" i="28"/>
  <c r="CU298" i="28"/>
  <c r="CT299" i="28"/>
  <c r="CU299" i="28"/>
  <c r="CT300" i="28"/>
  <c r="CU300" i="28"/>
  <c r="CT301" i="28"/>
  <c r="CU301" i="28"/>
  <c r="CT302" i="28"/>
  <c r="CU302" i="28"/>
  <c r="CT303" i="28"/>
  <c r="CU303" i="28"/>
  <c r="CT304" i="28"/>
  <c r="CU304" i="28"/>
  <c r="CT305" i="28"/>
  <c r="CU305" i="28"/>
  <c r="CT306" i="28"/>
  <c r="CU306" i="28"/>
  <c r="CT307" i="28"/>
  <c r="CU307" i="28"/>
  <c r="CT308" i="28"/>
  <c r="CU308" i="28"/>
  <c r="CT309" i="28"/>
  <c r="CU309" i="28"/>
  <c r="CT310" i="28"/>
  <c r="CU310" i="28"/>
  <c r="CT311" i="28"/>
  <c r="CU311" i="28"/>
  <c r="CT312" i="28"/>
  <c r="CU312" i="28"/>
  <c r="CT313" i="28"/>
  <c r="CU313" i="28"/>
  <c r="CT314" i="28"/>
  <c r="CU314" i="28"/>
  <c r="CU2" i="28"/>
  <c r="CE3" i="28"/>
  <c r="CF3" i="28"/>
  <c r="CG3" i="28"/>
  <c r="CH3" i="28"/>
  <c r="CI3" i="28"/>
  <c r="CK3" i="28"/>
  <c r="CL3" i="28"/>
  <c r="CM3" i="28"/>
  <c r="CN3" i="28"/>
  <c r="CO3" i="28"/>
  <c r="CP3" i="28"/>
  <c r="CQ3" i="28"/>
  <c r="CR3" i="28"/>
  <c r="CS3" i="28"/>
  <c r="CE4" i="28"/>
  <c r="CF4" i="28"/>
  <c r="CG4" i="28"/>
  <c r="CH4" i="28"/>
  <c r="CI4" i="28"/>
  <c r="CK4" i="28"/>
  <c r="CL4" i="28"/>
  <c r="CM4" i="28"/>
  <c r="CN4" i="28"/>
  <c r="CO4" i="28"/>
  <c r="CP4" i="28"/>
  <c r="CQ4" i="28"/>
  <c r="CR4" i="28"/>
  <c r="CS4" i="28"/>
  <c r="CE5" i="28"/>
  <c r="CF5" i="28"/>
  <c r="CG5" i="28"/>
  <c r="CH5" i="28"/>
  <c r="CI5" i="28"/>
  <c r="CK5" i="28"/>
  <c r="CL5" i="28"/>
  <c r="CM5" i="28"/>
  <c r="CN5" i="28"/>
  <c r="CO5" i="28"/>
  <c r="CP5" i="28"/>
  <c r="CQ5" i="28"/>
  <c r="CR5" i="28"/>
  <c r="CS5" i="28"/>
  <c r="CE6" i="28"/>
  <c r="CF6" i="28"/>
  <c r="CG6" i="28"/>
  <c r="CH6" i="28"/>
  <c r="CI6" i="28"/>
  <c r="CK6" i="28"/>
  <c r="CL6" i="28"/>
  <c r="CM6" i="28"/>
  <c r="CN6" i="28"/>
  <c r="CO6" i="28"/>
  <c r="CP6" i="28"/>
  <c r="CQ6" i="28"/>
  <c r="CR6" i="28"/>
  <c r="CS6" i="28"/>
  <c r="CE7" i="28"/>
  <c r="CF7" i="28"/>
  <c r="CG7" i="28"/>
  <c r="CH7" i="28"/>
  <c r="CI7" i="28"/>
  <c r="CK7" i="28"/>
  <c r="CL7" i="28"/>
  <c r="CM7" i="28"/>
  <c r="CN7" i="28"/>
  <c r="CO7" i="28"/>
  <c r="CP7" i="28"/>
  <c r="CQ7" i="28"/>
  <c r="CR7" i="28"/>
  <c r="CS7" i="28"/>
  <c r="CE8" i="28"/>
  <c r="CF8" i="28"/>
  <c r="CG8" i="28"/>
  <c r="CH8" i="28"/>
  <c r="CI8" i="28"/>
  <c r="CK8" i="28"/>
  <c r="CL8" i="28"/>
  <c r="CM8" i="28"/>
  <c r="CN8" i="28"/>
  <c r="CO8" i="28"/>
  <c r="CP8" i="28"/>
  <c r="CQ8" i="28"/>
  <c r="CR8" i="28"/>
  <c r="CS8" i="28"/>
  <c r="CE9" i="28"/>
  <c r="CF9" i="28"/>
  <c r="CG9" i="28"/>
  <c r="CH9" i="28"/>
  <c r="CI9" i="28"/>
  <c r="CK9" i="28"/>
  <c r="CL9" i="28"/>
  <c r="CM9" i="28"/>
  <c r="CN9" i="28"/>
  <c r="CO9" i="28"/>
  <c r="CP9" i="28"/>
  <c r="CQ9" i="28"/>
  <c r="CR9" i="28"/>
  <c r="CS9" i="28"/>
  <c r="CE10" i="28"/>
  <c r="CF10" i="28"/>
  <c r="CG10" i="28"/>
  <c r="CH10" i="28"/>
  <c r="CI10" i="28"/>
  <c r="CK10" i="28"/>
  <c r="CL10" i="28"/>
  <c r="CM10" i="28"/>
  <c r="CN10" i="28"/>
  <c r="CO10" i="28"/>
  <c r="CP10" i="28"/>
  <c r="CQ10" i="28"/>
  <c r="CR10" i="28"/>
  <c r="CS10" i="28"/>
  <c r="CE11" i="28"/>
  <c r="CF11" i="28"/>
  <c r="CG11" i="28"/>
  <c r="CH11" i="28"/>
  <c r="CI11" i="28"/>
  <c r="CK11" i="28"/>
  <c r="CL11" i="28"/>
  <c r="CM11" i="28"/>
  <c r="CN11" i="28"/>
  <c r="CO11" i="28"/>
  <c r="CP11" i="28"/>
  <c r="CQ11" i="28"/>
  <c r="CR11" i="28"/>
  <c r="CS11" i="28"/>
  <c r="CE12" i="28"/>
  <c r="CF12" i="28"/>
  <c r="CG12" i="28"/>
  <c r="CH12" i="28"/>
  <c r="CI12" i="28"/>
  <c r="CK12" i="28"/>
  <c r="CL12" i="28"/>
  <c r="CM12" i="28"/>
  <c r="CN12" i="28"/>
  <c r="CO12" i="28"/>
  <c r="CP12" i="28"/>
  <c r="CQ12" i="28"/>
  <c r="CR12" i="28"/>
  <c r="CS12" i="28"/>
  <c r="CE13" i="28"/>
  <c r="CF13" i="28"/>
  <c r="CG13" i="28"/>
  <c r="CH13" i="28"/>
  <c r="CI13" i="28"/>
  <c r="CK13" i="28"/>
  <c r="CL13" i="28"/>
  <c r="CM13" i="28"/>
  <c r="CN13" i="28"/>
  <c r="CO13" i="28"/>
  <c r="CP13" i="28"/>
  <c r="CQ13" i="28"/>
  <c r="CR13" i="28"/>
  <c r="CS13" i="28"/>
  <c r="CE14" i="28"/>
  <c r="CF14" i="28"/>
  <c r="CG14" i="28"/>
  <c r="CH14" i="28"/>
  <c r="CI14" i="28"/>
  <c r="CK14" i="28"/>
  <c r="CL14" i="28"/>
  <c r="CM14" i="28"/>
  <c r="CN14" i="28"/>
  <c r="CO14" i="28"/>
  <c r="CP14" i="28"/>
  <c r="CQ14" i="28"/>
  <c r="CR14" i="28"/>
  <c r="CS14" i="28"/>
  <c r="CE15" i="28"/>
  <c r="CF15" i="28"/>
  <c r="CG15" i="28"/>
  <c r="CH15" i="28"/>
  <c r="CI15" i="28"/>
  <c r="CK15" i="28"/>
  <c r="CL15" i="28"/>
  <c r="CM15" i="28"/>
  <c r="CN15" i="28"/>
  <c r="CO15" i="28"/>
  <c r="CP15" i="28"/>
  <c r="CQ15" i="28"/>
  <c r="CR15" i="28"/>
  <c r="CS15" i="28"/>
  <c r="CE16" i="28"/>
  <c r="CF16" i="28"/>
  <c r="CG16" i="28"/>
  <c r="CH16" i="28"/>
  <c r="CI16" i="28"/>
  <c r="CK16" i="28"/>
  <c r="CL16" i="28"/>
  <c r="CM16" i="28"/>
  <c r="CN16" i="28"/>
  <c r="CO16" i="28"/>
  <c r="CP16" i="28"/>
  <c r="CQ16" i="28"/>
  <c r="CR16" i="28"/>
  <c r="CS16" i="28"/>
  <c r="CE17" i="28"/>
  <c r="CF17" i="28"/>
  <c r="CG17" i="28"/>
  <c r="CH17" i="28"/>
  <c r="CI17" i="28"/>
  <c r="CK17" i="28"/>
  <c r="CL17" i="28"/>
  <c r="CM17" i="28"/>
  <c r="CN17" i="28"/>
  <c r="CO17" i="28"/>
  <c r="CP17" i="28"/>
  <c r="CQ17" i="28"/>
  <c r="CR17" i="28"/>
  <c r="CS17" i="28"/>
  <c r="CE18" i="28"/>
  <c r="CF18" i="28"/>
  <c r="CG18" i="28"/>
  <c r="CH18" i="28"/>
  <c r="CI18" i="28"/>
  <c r="CK18" i="28"/>
  <c r="CL18" i="28"/>
  <c r="CM18" i="28"/>
  <c r="CN18" i="28"/>
  <c r="CO18" i="28"/>
  <c r="CP18" i="28"/>
  <c r="CQ18" i="28"/>
  <c r="CR18" i="28"/>
  <c r="CS18" i="28"/>
  <c r="CE19" i="28"/>
  <c r="CF19" i="28"/>
  <c r="CG19" i="28"/>
  <c r="CH19" i="28"/>
  <c r="CI19" i="28"/>
  <c r="CK19" i="28"/>
  <c r="CL19" i="28"/>
  <c r="CM19" i="28"/>
  <c r="CN19" i="28"/>
  <c r="CO19" i="28"/>
  <c r="CP19" i="28"/>
  <c r="CQ19" i="28"/>
  <c r="CR19" i="28"/>
  <c r="CS19" i="28"/>
  <c r="CE20" i="28"/>
  <c r="CF20" i="28"/>
  <c r="CG20" i="28"/>
  <c r="CH20" i="28"/>
  <c r="CI20" i="28"/>
  <c r="CK20" i="28"/>
  <c r="CL20" i="28"/>
  <c r="CM20" i="28"/>
  <c r="CN20" i="28"/>
  <c r="CO20" i="28"/>
  <c r="CP20" i="28"/>
  <c r="CQ20" i="28"/>
  <c r="CR20" i="28"/>
  <c r="CS20" i="28"/>
  <c r="CE21" i="28"/>
  <c r="CF21" i="28"/>
  <c r="CG21" i="28"/>
  <c r="CH21" i="28"/>
  <c r="CI21" i="28"/>
  <c r="CK21" i="28"/>
  <c r="CL21" i="28"/>
  <c r="CM21" i="28"/>
  <c r="CN21" i="28"/>
  <c r="CO21" i="28"/>
  <c r="CP21" i="28"/>
  <c r="CQ21" i="28"/>
  <c r="CR21" i="28"/>
  <c r="CS21" i="28"/>
  <c r="CE22" i="28"/>
  <c r="CF22" i="28"/>
  <c r="CG22" i="28"/>
  <c r="CH22" i="28"/>
  <c r="CI22" i="28"/>
  <c r="CK22" i="28"/>
  <c r="CL22" i="28"/>
  <c r="CM22" i="28"/>
  <c r="CN22" i="28"/>
  <c r="CO22" i="28"/>
  <c r="CP22" i="28"/>
  <c r="CQ22" i="28"/>
  <c r="CR22" i="28"/>
  <c r="CS22" i="28"/>
  <c r="CE23" i="28"/>
  <c r="CF23" i="28"/>
  <c r="CG23" i="28"/>
  <c r="CH23" i="28"/>
  <c r="CI23" i="28"/>
  <c r="CK23" i="28"/>
  <c r="CL23" i="28"/>
  <c r="CM23" i="28"/>
  <c r="CN23" i="28"/>
  <c r="CO23" i="28"/>
  <c r="CP23" i="28"/>
  <c r="CQ23" i="28"/>
  <c r="CR23" i="28"/>
  <c r="CS23" i="28"/>
  <c r="CE24" i="28"/>
  <c r="CF24" i="28"/>
  <c r="CG24" i="28"/>
  <c r="CH24" i="28"/>
  <c r="CI24" i="28"/>
  <c r="CK24" i="28"/>
  <c r="CL24" i="28"/>
  <c r="CM24" i="28"/>
  <c r="CN24" i="28"/>
  <c r="CO24" i="28"/>
  <c r="CP24" i="28"/>
  <c r="CQ24" i="28"/>
  <c r="CR24" i="28"/>
  <c r="CS24" i="28"/>
  <c r="CE25" i="28"/>
  <c r="CF25" i="28"/>
  <c r="CG25" i="28"/>
  <c r="CH25" i="28"/>
  <c r="CI25" i="28"/>
  <c r="CK25" i="28"/>
  <c r="CL25" i="28"/>
  <c r="CM25" i="28"/>
  <c r="CN25" i="28"/>
  <c r="CO25" i="28"/>
  <c r="CP25" i="28"/>
  <c r="CQ25" i="28"/>
  <c r="CR25" i="28"/>
  <c r="CS25" i="28"/>
  <c r="CE26" i="28"/>
  <c r="CF26" i="28"/>
  <c r="CG26" i="28"/>
  <c r="CH26" i="28"/>
  <c r="CI26" i="28"/>
  <c r="CK26" i="28"/>
  <c r="CL26" i="28"/>
  <c r="CM26" i="28"/>
  <c r="CN26" i="28"/>
  <c r="CO26" i="28"/>
  <c r="CP26" i="28"/>
  <c r="CQ26" i="28"/>
  <c r="CR26" i="28"/>
  <c r="CS26" i="28"/>
  <c r="CE27" i="28"/>
  <c r="CF27" i="28"/>
  <c r="CG27" i="28"/>
  <c r="CH27" i="28"/>
  <c r="CI27" i="28"/>
  <c r="CK27" i="28"/>
  <c r="CL27" i="28"/>
  <c r="CM27" i="28"/>
  <c r="CN27" i="28"/>
  <c r="CO27" i="28"/>
  <c r="CP27" i="28"/>
  <c r="CQ27" i="28"/>
  <c r="CR27" i="28"/>
  <c r="CS27" i="28"/>
  <c r="CE28" i="28"/>
  <c r="CF28" i="28"/>
  <c r="CG28" i="28"/>
  <c r="CH28" i="28"/>
  <c r="CI28" i="28"/>
  <c r="CK28" i="28"/>
  <c r="CL28" i="28"/>
  <c r="CM28" i="28"/>
  <c r="CN28" i="28"/>
  <c r="CO28" i="28"/>
  <c r="CP28" i="28"/>
  <c r="CQ28" i="28"/>
  <c r="CR28" i="28"/>
  <c r="CS28" i="28"/>
  <c r="CE29" i="28"/>
  <c r="CF29" i="28"/>
  <c r="CG29" i="28"/>
  <c r="CH29" i="28"/>
  <c r="CI29" i="28"/>
  <c r="CK29" i="28"/>
  <c r="CL29" i="28"/>
  <c r="CM29" i="28"/>
  <c r="CN29" i="28"/>
  <c r="CO29" i="28"/>
  <c r="CP29" i="28"/>
  <c r="CQ29" i="28"/>
  <c r="CR29" i="28"/>
  <c r="CS29" i="28"/>
  <c r="CE30" i="28"/>
  <c r="CF30" i="28"/>
  <c r="CG30" i="28"/>
  <c r="CH30" i="28"/>
  <c r="CI30" i="28"/>
  <c r="CK30" i="28"/>
  <c r="CL30" i="28"/>
  <c r="CM30" i="28"/>
  <c r="CN30" i="28"/>
  <c r="CO30" i="28"/>
  <c r="CP30" i="28"/>
  <c r="CQ30" i="28"/>
  <c r="CR30" i="28"/>
  <c r="CS30" i="28"/>
  <c r="CE31" i="28"/>
  <c r="CF31" i="28"/>
  <c r="CG31" i="28"/>
  <c r="CH31" i="28"/>
  <c r="CI31" i="28"/>
  <c r="CK31" i="28"/>
  <c r="CL31" i="28"/>
  <c r="CM31" i="28"/>
  <c r="CN31" i="28"/>
  <c r="CO31" i="28"/>
  <c r="CP31" i="28"/>
  <c r="CQ31" i="28"/>
  <c r="CR31" i="28"/>
  <c r="CS31" i="28"/>
  <c r="CE32" i="28"/>
  <c r="CF32" i="28"/>
  <c r="CG32" i="28"/>
  <c r="CH32" i="28"/>
  <c r="CI32" i="28"/>
  <c r="CK32" i="28"/>
  <c r="CL32" i="28"/>
  <c r="CM32" i="28"/>
  <c r="CN32" i="28"/>
  <c r="CO32" i="28"/>
  <c r="CP32" i="28"/>
  <c r="CQ32" i="28"/>
  <c r="CR32" i="28"/>
  <c r="CS32" i="28"/>
  <c r="CE33" i="28"/>
  <c r="CF33" i="28"/>
  <c r="CG33" i="28"/>
  <c r="CH33" i="28"/>
  <c r="CI33" i="28"/>
  <c r="CK33" i="28"/>
  <c r="CL33" i="28"/>
  <c r="CM33" i="28"/>
  <c r="CN33" i="28"/>
  <c r="CO33" i="28"/>
  <c r="CP33" i="28"/>
  <c r="CQ33" i="28"/>
  <c r="CR33" i="28"/>
  <c r="CS33" i="28"/>
  <c r="CE34" i="28"/>
  <c r="CF34" i="28"/>
  <c r="CG34" i="28"/>
  <c r="CH34" i="28"/>
  <c r="CI34" i="28"/>
  <c r="CK34" i="28"/>
  <c r="CL34" i="28"/>
  <c r="CM34" i="28"/>
  <c r="CN34" i="28"/>
  <c r="CO34" i="28"/>
  <c r="CP34" i="28"/>
  <c r="CQ34" i="28"/>
  <c r="CR34" i="28"/>
  <c r="CS34" i="28"/>
  <c r="CE35" i="28"/>
  <c r="CF35" i="28"/>
  <c r="CG35" i="28"/>
  <c r="CH35" i="28"/>
  <c r="CI35" i="28"/>
  <c r="CK35" i="28"/>
  <c r="CL35" i="28"/>
  <c r="CM35" i="28"/>
  <c r="CN35" i="28"/>
  <c r="CO35" i="28"/>
  <c r="CP35" i="28"/>
  <c r="CQ35" i="28"/>
  <c r="CR35" i="28"/>
  <c r="CS35" i="28"/>
  <c r="CE36" i="28"/>
  <c r="CF36" i="28"/>
  <c r="CG36" i="28"/>
  <c r="CH36" i="28"/>
  <c r="CI36" i="28"/>
  <c r="CK36" i="28"/>
  <c r="CL36" i="28"/>
  <c r="CM36" i="28"/>
  <c r="CN36" i="28"/>
  <c r="CO36" i="28"/>
  <c r="CP36" i="28"/>
  <c r="CQ36" i="28"/>
  <c r="CR36" i="28"/>
  <c r="CS36" i="28"/>
  <c r="CE37" i="28"/>
  <c r="CF37" i="28"/>
  <c r="CG37" i="28"/>
  <c r="CH37" i="28"/>
  <c r="CI37" i="28"/>
  <c r="CK37" i="28"/>
  <c r="CL37" i="28"/>
  <c r="CM37" i="28"/>
  <c r="CN37" i="28"/>
  <c r="CO37" i="28"/>
  <c r="CP37" i="28"/>
  <c r="CQ37" i="28"/>
  <c r="CR37" i="28"/>
  <c r="CS37" i="28"/>
  <c r="CE38" i="28"/>
  <c r="CF38" i="28"/>
  <c r="CG38" i="28"/>
  <c r="CH38" i="28"/>
  <c r="CI38" i="28"/>
  <c r="CK38" i="28"/>
  <c r="CL38" i="28"/>
  <c r="CM38" i="28"/>
  <c r="CN38" i="28"/>
  <c r="CO38" i="28"/>
  <c r="CP38" i="28"/>
  <c r="CQ38" i="28"/>
  <c r="CR38" i="28"/>
  <c r="CS38" i="28"/>
  <c r="CE39" i="28"/>
  <c r="CF39" i="28"/>
  <c r="CG39" i="28"/>
  <c r="CH39" i="28"/>
  <c r="CI39" i="28"/>
  <c r="CK39" i="28"/>
  <c r="CL39" i="28"/>
  <c r="CM39" i="28"/>
  <c r="CN39" i="28"/>
  <c r="CO39" i="28"/>
  <c r="CP39" i="28"/>
  <c r="CQ39" i="28"/>
  <c r="CR39" i="28"/>
  <c r="CS39" i="28"/>
  <c r="CE40" i="28"/>
  <c r="CF40" i="28"/>
  <c r="CG40" i="28"/>
  <c r="CH40" i="28"/>
  <c r="CI40" i="28"/>
  <c r="CK40" i="28"/>
  <c r="CL40" i="28"/>
  <c r="CM40" i="28"/>
  <c r="CN40" i="28"/>
  <c r="CO40" i="28"/>
  <c r="CP40" i="28"/>
  <c r="CQ40" i="28"/>
  <c r="CR40" i="28"/>
  <c r="CS40" i="28"/>
  <c r="CE41" i="28"/>
  <c r="CF41" i="28"/>
  <c r="CG41" i="28"/>
  <c r="CH41" i="28"/>
  <c r="CI41" i="28"/>
  <c r="CK41" i="28"/>
  <c r="CL41" i="28"/>
  <c r="CM41" i="28"/>
  <c r="CN41" i="28"/>
  <c r="CO41" i="28"/>
  <c r="CP41" i="28"/>
  <c r="CQ41" i="28"/>
  <c r="CR41" i="28"/>
  <c r="CS41" i="28"/>
  <c r="CE42" i="28"/>
  <c r="CF42" i="28"/>
  <c r="CG42" i="28"/>
  <c r="CH42" i="28"/>
  <c r="CI42" i="28"/>
  <c r="CK42" i="28"/>
  <c r="CL42" i="28"/>
  <c r="CM42" i="28"/>
  <c r="CN42" i="28"/>
  <c r="CO42" i="28"/>
  <c r="CP42" i="28"/>
  <c r="CQ42" i="28"/>
  <c r="CR42" i="28"/>
  <c r="CS42" i="28"/>
  <c r="CE43" i="28"/>
  <c r="CF43" i="28"/>
  <c r="CG43" i="28"/>
  <c r="CH43" i="28"/>
  <c r="CI43" i="28"/>
  <c r="CK43" i="28"/>
  <c r="CL43" i="28"/>
  <c r="CM43" i="28"/>
  <c r="CN43" i="28"/>
  <c r="CO43" i="28"/>
  <c r="CP43" i="28"/>
  <c r="CQ43" i="28"/>
  <c r="CR43" i="28"/>
  <c r="CS43" i="28"/>
  <c r="CE44" i="28"/>
  <c r="CF44" i="28"/>
  <c r="CG44" i="28"/>
  <c r="CH44" i="28"/>
  <c r="CI44" i="28"/>
  <c r="CK44" i="28"/>
  <c r="CL44" i="28"/>
  <c r="CM44" i="28"/>
  <c r="CN44" i="28"/>
  <c r="CO44" i="28"/>
  <c r="CP44" i="28"/>
  <c r="CQ44" i="28"/>
  <c r="CR44" i="28"/>
  <c r="CS44" i="28"/>
  <c r="CE45" i="28"/>
  <c r="CF45" i="28"/>
  <c r="CG45" i="28"/>
  <c r="CH45" i="28"/>
  <c r="CI45" i="28"/>
  <c r="CK45" i="28"/>
  <c r="CL45" i="28"/>
  <c r="CM45" i="28"/>
  <c r="CN45" i="28"/>
  <c r="CO45" i="28"/>
  <c r="CP45" i="28"/>
  <c r="CQ45" i="28"/>
  <c r="CR45" i="28"/>
  <c r="CS45" i="28"/>
  <c r="CE46" i="28"/>
  <c r="CF46" i="28"/>
  <c r="CG46" i="28"/>
  <c r="CH46" i="28"/>
  <c r="CI46" i="28"/>
  <c r="CK46" i="28"/>
  <c r="CL46" i="28"/>
  <c r="CM46" i="28"/>
  <c r="CN46" i="28"/>
  <c r="CO46" i="28"/>
  <c r="CP46" i="28"/>
  <c r="CQ46" i="28"/>
  <c r="CR46" i="28"/>
  <c r="CS46" i="28"/>
  <c r="CE47" i="28"/>
  <c r="CF47" i="28"/>
  <c r="CG47" i="28"/>
  <c r="CH47" i="28"/>
  <c r="CI47" i="28"/>
  <c r="CK47" i="28"/>
  <c r="CL47" i="28"/>
  <c r="CM47" i="28"/>
  <c r="CN47" i="28"/>
  <c r="CO47" i="28"/>
  <c r="CP47" i="28"/>
  <c r="CQ47" i="28"/>
  <c r="CR47" i="28"/>
  <c r="CS47" i="28"/>
  <c r="CE48" i="28"/>
  <c r="CF48" i="28"/>
  <c r="CG48" i="28"/>
  <c r="CH48" i="28"/>
  <c r="CI48" i="28"/>
  <c r="CK48" i="28"/>
  <c r="CL48" i="28"/>
  <c r="CM48" i="28"/>
  <c r="CN48" i="28"/>
  <c r="CO48" i="28"/>
  <c r="CP48" i="28"/>
  <c r="CQ48" i="28"/>
  <c r="CR48" i="28"/>
  <c r="CS48" i="28"/>
  <c r="CE49" i="28"/>
  <c r="CF49" i="28"/>
  <c r="CG49" i="28"/>
  <c r="CH49" i="28"/>
  <c r="CI49" i="28"/>
  <c r="CK49" i="28"/>
  <c r="CL49" i="28"/>
  <c r="CM49" i="28"/>
  <c r="CN49" i="28"/>
  <c r="CO49" i="28"/>
  <c r="CP49" i="28"/>
  <c r="CQ49" i="28"/>
  <c r="CR49" i="28"/>
  <c r="CS49" i="28"/>
  <c r="CE50" i="28"/>
  <c r="CF50" i="28"/>
  <c r="CG50" i="28"/>
  <c r="CH50" i="28"/>
  <c r="CI50" i="28"/>
  <c r="CK50" i="28"/>
  <c r="CL50" i="28"/>
  <c r="CM50" i="28"/>
  <c r="CN50" i="28"/>
  <c r="CO50" i="28"/>
  <c r="CP50" i="28"/>
  <c r="CQ50" i="28"/>
  <c r="CR50" i="28"/>
  <c r="CS50" i="28"/>
  <c r="CE51" i="28"/>
  <c r="CF51" i="28"/>
  <c r="CG51" i="28"/>
  <c r="CH51" i="28"/>
  <c r="CI51" i="28"/>
  <c r="CK51" i="28"/>
  <c r="CL51" i="28"/>
  <c r="CM51" i="28"/>
  <c r="CN51" i="28"/>
  <c r="CO51" i="28"/>
  <c r="CP51" i="28"/>
  <c r="CQ51" i="28"/>
  <c r="CR51" i="28"/>
  <c r="CS51" i="28"/>
  <c r="CE52" i="28"/>
  <c r="CF52" i="28"/>
  <c r="CG52" i="28"/>
  <c r="CH52" i="28"/>
  <c r="CI52" i="28"/>
  <c r="CK52" i="28"/>
  <c r="CL52" i="28"/>
  <c r="CM52" i="28"/>
  <c r="CN52" i="28"/>
  <c r="CO52" i="28"/>
  <c r="CP52" i="28"/>
  <c r="CQ52" i="28"/>
  <c r="CR52" i="28"/>
  <c r="CS52" i="28"/>
  <c r="CE53" i="28"/>
  <c r="CF53" i="28"/>
  <c r="CG53" i="28"/>
  <c r="CH53" i="28"/>
  <c r="CI53" i="28"/>
  <c r="CK53" i="28"/>
  <c r="CL53" i="28"/>
  <c r="CM53" i="28"/>
  <c r="CN53" i="28"/>
  <c r="CO53" i="28"/>
  <c r="CP53" i="28"/>
  <c r="CQ53" i="28"/>
  <c r="CR53" i="28"/>
  <c r="CS53" i="28"/>
  <c r="CE54" i="28"/>
  <c r="CF54" i="28"/>
  <c r="CG54" i="28"/>
  <c r="CH54" i="28"/>
  <c r="CI54" i="28"/>
  <c r="CK54" i="28"/>
  <c r="CL54" i="28"/>
  <c r="CM54" i="28"/>
  <c r="CN54" i="28"/>
  <c r="CO54" i="28"/>
  <c r="CP54" i="28"/>
  <c r="CQ54" i="28"/>
  <c r="CR54" i="28"/>
  <c r="CS54" i="28"/>
  <c r="CE55" i="28"/>
  <c r="CF55" i="28"/>
  <c r="CG55" i="28"/>
  <c r="CH55" i="28"/>
  <c r="CI55" i="28"/>
  <c r="CK55" i="28"/>
  <c r="CL55" i="28"/>
  <c r="CM55" i="28"/>
  <c r="CN55" i="28"/>
  <c r="CO55" i="28"/>
  <c r="CP55" i="28"/>
  <c r="CQ55" i="28"/>
  <c r="CR55" i="28"/>
  <c r="CS55" i="28"/>
  <c r="CE56" i="28"/>
  <c r="CF56" i="28"/>
  <c r="CG56" i="28"/>
  <c r="CH56" i="28"/>
  <c r="CI56" i="28"/>
  <c r="CK56" i="28"/>
  <c r="CL56" i="28"/>
  <c r="CM56" i="28"/>
  <c r="CN56" i="28"/>
  <c r="CO56" i="28"/>
  <c r="CP56" i="28"/>
  <c r="CQ56" i="28"/>
  <c r="CR56" i="28"/>
  <c r="CS56" i="28"/>
  <c r="CE57" i="28"/>
  <c r="CF57" i="28"/>
  <c r="CG57" i="28"/>
  <c r="CH57" i="28"/>
  <c r="CI57" i="28"/>
  <c r="CK57" i="28"/>
  <c r="CL57" i="28"/>
  <c r="CM57" i="28"/>
  <c r="CN57" i="28"/>
  <c r="CO57" i="28"/>
  <c r="CP57" i="28"/>
  <c r="CQ57" i="28"/>
  <c r="CR57" i="28"/>
  <c r="CS57" i="28"/>
  <c r="CE58" i="28"/>
  <c r="CF58" i="28"/>
  <c r="CG58" i="28"/>
  <c r="CH58" i="28"/>
  <c r="CI58" i="28"/>
  <c r="CK58" i="28"/>
  <c r="CL58" i="28"/>
  <c r="CM58" i="28"/>
  <c r="CN58" i="28"/>
  <c r="CO58" i="28"/>
  <c r="CP58" i="28"/>
  <c r="CQ58" i="28"/>
  <c r="CR58" i="28"/>
  <c r="CS58" i="28"/>
  <c r="CE59" i="28"/>
  <c r="CF59" i="28"/>
  <c r="CG59" i="28"/>
  <c r="CH59" i="28"/>
  <c r="CI59" i="28"/>
  <c r="CK59" i="28"/>
  <c r="CL59" i="28"/>
  <c r="CM59" i="28"/>
  <c r="CN59" i="28"/>
  <c r="CO59" i="28"/>
  <c r="CP59" i="28"/>
  <c r="CQ59" i="28"/>
  <c r="CR59" i="28"/>
  <c r="CS59" i="28"/>
  <c r="CE60" i="28"/>
  <c r="CF60" i="28"/>
  <c r="CG60" i="28"/>
  <c r="CH60" i="28"/>
  <c r="CI60" i="28"/>
  <c r="CK60" i="28"/>
  <c r="CL60" i="28"/>
  <c r="CM60" i="28"/>
  <c r="CN60" i="28"/>
  <c r="CO60" i="28"/>
  <c r="CP60" i="28"/>
  <c r="CQ60" i="28"/>
  <c r="CR60" i="28"/>
  <c r="CS60" i="28"/>
  <c r="CE61" i="28"/>
  <c r="CF61" i="28"/>
  <c r="CG61" i="28"/>
  <c r="CH61" i="28"/>
  <c r="CI61" i="28"/>
  <c r="CK61" i="28"/>
  <c r="CL61" i="28"/>
  <c r="CM61" i="28"/>
  <c r="CN61" i="28"/>
  <c r="CO61" i="28"/>
  <c r="CP61" i="28"/>
  <c r="CQ61" i="28"/>
  <c r="CR61" i="28"/>
  <c r="CS61" i="28"/>
  <c r="CE62" i="28"/>
  <c r="CF62" i="28"/>
  <c r="CG62" i="28"/>
  <c r="CH62" i="28"/>
  <c r="CI62" i="28"/>
  <c r="CK62" i="28"/>
  <c r="CL62" i="28"/>
  <c r="CM62" i="28"/>
  <c r="CN62" i="28"/>
  <c r="CO62" i="28"/>
  <c r="CP62" i="28"/>
  <c r="CQ62" i="28"/>
  <c r="CR62" i="28"/>
  <c r="CS62" i="28"/>
  <c r="CE63" i="28"/>
  <c r="CF63" i="28"/>
  <c r="CG63" i="28"/>
  <c r="CH63" i="28"/>
  <c r="CI63" i="28"/>
  <c r="CK63" i="28"/>
  <c r="CL63" i="28"/>
  <c r="CM63" i="28"/>
  <c r="CN63" i="28"/>
  <c r="CO63" i="28"/>
  <c r="CP63" i="28"/>
  <c r="CQ63" i="28"/>
  <c r="CR63" i="28"/>
  <c r="CS63" i="28"/>
  <c r="CE64" i="28"/>
  <c r="CF64" i="28"/>
  <c r="CG64" i="28"/>
  <c r="CH64" i="28"/>
  <c r="CI64" i="28"/>
  <c r="CK64" i="28"/>
  <c r="CL64" i="28"/>
  <c r="CM64" i="28"/>
  <c r="CN64" i="28"/>
  <c r="CO64" i="28"/>
  <c r="CP64" i="28"/>
  <c r="CQ64" i="28"/>
  <c r="CR64" i="28"/>
  <c r="CS64" i="28"/>
  <c r="CE65" i="28"/>
  <c r="CF65" i="28"/>
  <c r="CG65" i="28"/>
  <c r="CH65" i="28"/>
  <c r="CI65" i="28"/>
  <c r="CK65" i="28"/>
  <c r="CL65" i="28"/>
  <c r="CM65" i="28"/>
  <c r="CN65" i="28"/>
  <c r="CO65" i="28"/>
  <c r="CP65" i="28"/>
  <c r="CQ65" i="28"/>
  <c r="CR65" i="28"/>
  <c r="CS65" i="28"/>
  <c r="CE66" i="28"/>
  <c r="CF66" i="28"/>
  <c r="CG66" i="28"/>
  <c r="CH66" i="28"/>
  <c r="CI66" i="28"/>
  <c r="CK66" i="28"/>
  <c r="CL66" i="28"/>
  <c r="CM66" i="28"/>
  <c r="CN66" i="28"/>
  <c r="CO66" i="28"/>
  <c r="CP66" i="28"/>
  <c r="CQ66" i="28"/>
  <c r="CR66" i="28"/>
  <c r="CS66" i="28"/>
  <c r="CE67" i="28"/>
  <c r="CF67" i="28"/>
  <c r="CG67" i="28"/>
  <c r="CH67" i="28"/>
  <c r="CI67" i="28"/>
  <c r="CK67" i="28"/>
  <c r="CL67" i="28"/>
  <c r="CM67" i="28"/>
  <c r="CN67" i="28"/>
  <c r="CO67" i="28"/>
  <c r="CP67" i="28"/>
  <c r="CQ67" i="28"/>
  <c r="CR67" i="28"/>
  <c r="CS67" i="28"/>
  <c r="CE68" i="28"/>
  <c r="CF68" i="28"/>
  <c r="CG68" i="28"/>
  <c r="CH68" i="28"/>
  <c r="CI68" i="28"/>
  <c r="CK68" i="28"/>
  <c r="CL68" i="28"/>
  <c r="CM68" i="28"/>
  <c r="CN68" i="28"/>
  <c r="CO68" i="28"/>
  <c r="CP68" i="28"/>
  <c r="CQ68" i="28"/>
  <c r="CR68" i="28"/>
  <c r="CS68" i="28"/>
  <c r="CE69" i="28"/>
  <c r="CF69" i="28"/>
  <c r="CG69" i="28"/>
  <c r="CH69" i="28"/>
  <c r="CI69" i="28"/>
  <c r="CK69" i="28"/>
  <c r="CL69" i="28"/>
  <c r="CM69" i="28"/>
  <c r="CN69" i="28"/>
  <c r="CO69" i="28"/>
  <c r="CP69" i="28"/>
  <c r="CQ69" i="28"/>
  <c r="CR69" i="28"/>
  <c r="CS69" i="28"/>
  <c r="CE70" i="28"/>
  <c r="CF70" i="28"/>
  <c r="CG70" i="28"/>
  <c r="CH70" i="28"/>
  <c r="CI70" i="28"/>
  <c r="CK70" i="28"/>
  <c r="CL70" i="28"/>
  <c r="CM70" i="28"/>
  <c r="CN70" i="28"/>
  <c r="CO70" i="28"/>
  <c r="CP70" i="28"/>
  <c r="CQ70" i="28"/>
  <c r="CR70" i="28"/>
  <c r="CS70" i="28"/>
  <c r="CE71" i="28"/>
  <c r="CF71" i="28"/>
  <c r="CG71" i="28"/>
  <c r="CH71" i="28"/>
  <c r="CI71" i="28"/>
  <c r="CK71" i="28"/>
  <c r="CL71" i="28"/>
  <c r="CM71" i="28"/>
  <c r="CN71" i="28"/>
  <c r="CO71" i="28"/>
  <c r="CP71" i="28"/>
  <c r="CQ71" i="28"/>
  <c r="CR71" i="28"/>
  <c r="CS71" i="28"/>
  <c r="CE72" i="28"/>
  <c r="CF72" i="28"/>
  <c r="CG72" i="28"/>
  <c r="CH72" i="28"/>
  <c r="CI72" i="28"/>
  <c r="CK72" i="28"/>
  <c r="CL72" i="28"/>
  <c r="CM72" i="28"/>
  <c r="CN72" i="28"/>
  <c r="CO72" i="28"/>
  <c r="CP72" i="28"/>
  <c r="CQ72" i="28"/>
  <c r="CR72" i="28"/>
  <c r="CS72" i="28"/>
  <c r="CE73" i="28"/>
  <c r="CF73" i="28"/>
  <c r="CG73" i="28"/>
  <c r="CH73" i="28"/>
  <c r="CI73" i="28"/>
  <c r="CK73" i="28"/>
  <c r="CL73" i="28"/>
  <c r="CM73" i="28"/>
  <c r="CN73" i="28"/>
  <c r="CO73" i="28"/>
  <c r="CP73" i="28"/>
  <c r="CQ73" i="28"/>
  <c r="CR73" i="28"/>
  <c r="CS73" i="28"/>
  <c r="CE74" i="28"/>
  <c r="CF74" i="28"/>
  <c r="CG74" i="28"/>
  <c r="CH74" i="28"/>
  <c r="CI74" i="28"/>
  <c r="CK74" i="28"/>
  <c r="CL74" i="28"/>
  <c r="CM74" i="28"/>
  <c r="CN74" i="28"/>
  <c r="CO74" i="28"/>
  <c r="CP74" i="28"/>
  <c r="CQ74" i="28"/>
  <c r="CR74" i="28"/>
  <c r="CS74" i="28"/>
  <c r="CE75" i="28"/>
  <c r="CF75" i="28"/>
  <c r="CG75" i="28"/>
  <c r="CH75" i="28"/>
  <c r="CI75" i="28"/>
  <c r="CK75" i="28"/>
  <c r="CL75" i="28"/>
  <c r="CM75" i="28"/>
  <c r="CN75" i="28"/>
  <c r="CO75" i="28"/>
  <c r="CP75" i="28"/>
  <c r="CQ75" i="28"/>
  <c r="CR75" i="28"/>
  <c r="CS75" i="28"/>
  <c r="CE76" i="28"/>
  <c r="CF76" i="28"/>
  <c r="CG76" i="28"/>
  <c r="CH76" i="28"/>
  <c r="CI76" i="28"/>
  <c r="CK76" i="28"/>
  <c r="CL76" i="28"/>
  <c r="CM76" i="28"/>
  <c r="CN76" i="28"/>
  <c r="CO76" i="28"/>
  <c r="CP76" i="28"/>
  <c r="CQ76" i="28"/>
  <c r="CR76" i="28"/>
  <c r="CS76" i="28"/>
  <c r="CE77" i="28"/>
  <c r="CF77" i="28"/>
  <c r="CG77" i="28"/>
  <c r="CH77" i="28"/>
  <c r="CI77" i="28"/>
  <c r="CK77" i="28"/>
  <c r="CL77" i="28"/>
  <c r="CM77" i="28"/>
  <c r="CN77" i="28"/>
  <c r="CO77" i="28"/>
  <c r="CP77" i="28"/>
  <c r="CQ77" i="28"/>
  <c r="CR77" i="28"/>
  <c r="CS77" i="28"/>
  <c r="CE78" i="28"/>
  <c r="CF78" i="28"/>
  <c r="CG78" i="28"/>
  <c r="CH78" i="28"/>
  <c r="CI78" i="28"/>
  <c r="CK78" i="28"/>
  <c r="CL78" i="28"/>
  <c r="CM78" i="28"/>
  <c r="CN78" i="28"/>
  <c r="CO78" i="28"/>
  <c r="CP78" i="28"/>
  <c r="CQ78" i="28"/>
  <c r="CR78" i="28"/>
  <c r="CS78" i="28"/>
  <c r="CE79" i="28"/>
  <c r="CF79" i="28"/>
  <c r="CG79" i="28"/>
  <c r="CH79" i="28"/>
  <c r="CI79" i="28"/>
  <c r="CK79" i="28"/>
  <c r="CL79" i="28"/>
  <c r="CM79" i="28"/>
  <c r="CN79" i="28"/>
  <c r="CO79" i="28"/>
  <c r="CP79" i="28"/>
  <c r="CQ79" i="28"/>
  <c r="CR79" i="28"/>
  <c r="CS79" i="28"/>
  <c r="CE80" i="28"/>
  <c r="CF80" i="28"/>
  <c r="CG80" i="28"/>
  <c r="CH80" i="28"/>
  <c r="CI80" i="28"/>
  <c r="CK80" i="28"/>
  <c r="CL80" i="28"/>
  <c r="CM80" i="28"/>
  <c r="CN80" i="28"/>
  <c r="CO80" i="28"/>
  <c r="CP80" i="28"/>
  <c r="CQ80" i="28"/>
  <c r="CR80" i="28"/>
  <c r="CS80" i="28"/>
  <c r="CE81" i="28"/>
  <c r="CF81" i="28"/>
  <c r="CG81" i="28"/>
  <c r="CH81" i="28"/>
  <c r="CI81" i="28"/>
  <c r="CK81" i="28"/>
  <c r="CL81" i="28"/>
  <c r="CM81" i="28"/>
  <c r="CN81" i="28"/>
  <c r="CO81" i="28"/>
  <c r="CP81" i="28"/>
  <c r="CQ81" i="28"/>
  <c r="CR81" i="28"/>
  <c r="CS81" i="28"/>
  <c r="CE82" i="28"/>
  <c r="CF82" i="28"/>
  <c r="CG82" i="28"/>
  <c r="CH82" i="28"/>
  <c r="CI82" i="28"/>
  <c r="CK82" i="28"/>
  <c r="CL82" i="28"/>
  <c r="CM82" i="28"/>
  <c r="CN82" i="28"/>
  <c r="CO82" i="28"/>
  <c r="CP82" i="28"/>
  <c r="CQ82" i="28"/>
  <c r="CR82" i="28"/>
  <c r="CS82" i="28"/>
  <c r="CE83" i="28"/>
  <c r="CF83" i="28"/>
  <c r="CG83" i="28"/>
  <c r="CH83" i="28"/>
  <c r="CI83" i="28"/>
  <c r="CK83" i="28"/>
  <c r="CL83" i="28"/>
  <c r="CM83" i="28"/>
  <c r="CN83" i="28"/>
  <c r="CO83" i="28"/>
  <c r="CP83" i="28"/>
  <c r="CQ83" i="28"/>
  <c r="CR83" i="28"/>
  <c r="CS83" i="28"/>
  <c r="CE84" i="28"/>
  <c r="CF84" i="28"/>
  <c r="CG84" i="28"/>
  <c r="CH84" i="28"/>
  <c r="CI84" i="28"/>
  <c r="CK84" i="28"/>
  <c r="CL84" i="28"/>
  <c r="CM84" i="28"/>
  <c r="CN84" i="28"/>
  <c r="CO84" i="28"/>
  <c r="CP84" i="28"/>
  <c r="CQ84" i="28"/>
  <c r="CR84" i="28"/>
  <c r="CS84" i="28"/>
  <c r="CE85" i="28"/>
  <c r="CF85" i="28"/>
  <c r="CG85" i="28"/>
  <c r="CH85" i="28"/>
  <c r="CI85" i="28"/>
  <c r="CK85" i="28"/>
  <c r="CL85" i="28"/>
  <c r="CM85" i="28"/>
  <c r="CN85" i="28"/>
  <c r="CO85" i="28"/>
  <c r="CP85" i="28"/>
  <c r="CQ85" i="28"/>
  <c r="CR85" i="28"/>
  <c r="CS85" i="28"/>
  <c r="CE86" i="28"/>
  <c r="CF86" i="28"/>
  <c r="CG86" i="28"/>
  <c r="CH86" i="28"/>
  <c r="CI86" i="28"/>
  <c r="CK86" i="28"/>
  <c r="CL86" i="28"/>
  <c r="CM86" i="28"/>
  <c r="CN86" i="28"/>
  <c r="CO86" i="28"/>
  <c r="CP86" i="28"/>
  <c r="CQ86" i="28"/>
  <c r="CR86" i="28"/>
  <c r="CS86" i="28"/>
  <c r="CE87" i="28"/>
  <c r="CF87" i="28"/>
  <c r="CG87" i="28"/>
  <c r="CH87" i="28"/>
  <c r="CI87" i="28"/>
  <c r="CK87" i="28"/>
  <c r="CL87" i="28"/>
  <c r="CM87" i="28"/>
  <c r="CN87" i="28"/>
  <c r="CO87" i="28"/>
  <c r="CP87" i="28"/>
  <c r="CQ87" i="28"/>
  <c r="CR87" i="28"/>
  <c r="CS87" i="28"/>
  <c r="CE88" i="28"/>
  <c r="CF88" i="28"/>
  <c r="CG88" i="28"/>
  <c r="CH88" i="28"/>
  <c r="CI88" i="28"/>
  <c r="CK88" i="28"/>
  <c r="CL88" i="28"/>
  <c r="CM88" i="28"/>
  <c r="CN88" i="28"/>
  <c r="CO88" i="28"/>
  <c r="CP88" i="28"/>
  <c r="CQ88" i="28"/>
  <c r="CR88" i="28"/>
  <c r="CS88" i="28"/>
  <c r="CE89" i="28"/>
  <c r="CF89" i="28"/>
  <c r="CG89" i="28"/>
  <c r="CH89" i="28"/>
  <c r="CI89" i="28"/>
  <c r="CK89" i="28"/>
  <c r="CL89" i="28"/>
  <c r="CM89" i="28"/>
  <c r="CN89" i="28"/>
  <c r="CO89" i="28"/>
  <c r="CP89" i="28"/>
  <c r="CQ89" i="28"/>
  <c r="CR89" i="28"/>
  <c r="CS89" i="28"/>
  <c r="CE90" i="28"/>
  <c r="CF90" i="28"/>
  <c r="CG90" i="28"/>
  <c r="CH90" i="28"/>
  <c r="CI90" i="28"/>
  <c r="CK90" i="28"/>
  <c r="CL90" i="28"/>
  <c r="CM90" i="28"/>
  <c r="CN90" i="28"/>
  <c r="CO90" i="28"/>
  <c r="CP90" i="28"/>
  <c r="CQ90" i="28"/>
  <c r="CR90" i="28"/>
  <c r="CS90" i="28"/>
  <c r="CE91" i="28"/>
  <c r="CF91" i="28"/>
  <c r="CG91" i="28"/>
  <c r="CH91" i="28"/>
  <c r="CI91" i="28"/>
  <c r="CK91" i="28"/>
  <c r="CL91" i="28"/>
  <c r="CM91" i="28"/>
  <c r="CN91" i="28"/>
  <c r="CO91" i="28"/>
  <c r="CP91" i="28"/>
  <c r="CQ91" i="28"/>
  <c r="CR91" i="28"/>
  <c r="CS91" i="28"/>
  <c r="CE92" i="28"/>
  <c r="CF92" i="28"/>
  <c r="CG92" i="28"/>
  <c r="CH92" i="28"/>
  <c r="CI92" i="28"/>
  <c r="CK92" i="28"/>
  <c r="CL92" i="28"/>
  <c r="CM92" i="28"/>
  <c r="CN92" i="28"/>
  <c r="CO92" i="28"/>
  <c r="CP92" i="28"/>
  <c r="CQ92" i="28"/>
  <c r="CR92" i="28"/>
  <c r="CS92" i="28"/>
  <c r="CE93" i="28"/>
  <c r="CF93" i="28"/>
  <c r="CG93" i="28"/>
  <c r="CH93" i="28"/>
  <c r="CI93" i="28"/>
  <c r="CK93" i="28"/>
  <c r="CL93" i="28"/>
  <c r="CM93" i="28"/>
  <c r="CN93" i="28"/>
  <c r="CO93" i="28"/>
  <c r="CP93" i="28"/>
  <c r="CQ93" i="28"/>
  <c r="CR93" i="28"/>
  <c r="CS93" i="28"/>
  <c r="CE94" i="28"/>
  <c r="CF94" i="28"/>
  <c r="CG94" i="28"/>
  <c r="CH94" i="28"/>
  <c r="CI94" i="28"/>
  <c r="CK94" i="28"/>
  <c r="CL94" i="28"/>
  <c r="CM94" i="28"/>
  <c r="CN94" i="28"/>
  <c r="CO94" i="28"/>
  <c r="CP94" i="28"/>
  <c r="CQ94" i="28"/>
  <c r="CR94" i="28"/>
  <c r="CS94" i="28"/>
  <c r="CE95" i="28"/>
  <c r="CF95" i="28"/>
  <c r="CG95" i="28"/>
  <c r="CH95" i="28"/>
  <c r="CI95" i="28"/>
  <c r="CK95" i="28"/>
  <c r="CL95" i="28"/>
  <c r="CM95" i="28"/>
  <c r="CN95" i="28"/>
  <c r="CO95" i="28"/>
  <c r="CP95" i="28"/>
  <c r="CQ95" i="28"/>
  <c r="CR95" i="28"/>
  <c r="CS95" i="28"/>
  <c r="CE96" i="28"/>
  <c r="CF96" i="28"/>
  <c r="CG96" i="28"/>
  <c r="CH96" i="28"/>
  <c r="CI96" i="28"/>
  <c r="CK96" i="28"/>
  <c r="CL96" i="28"/>
  <c r="CM96" i="28"/>
  <c r="CN96" i="28"/>
  <c r="CO96" i="28"/>
  <c r="CP96" i="28"/>
  <c r="CQ96" i="28"/>
  <c r="CR96" i="28"/>
  <c r="CS96" i="28"/>
  <c r="CE97" i="28"/>
  <c r="CF97" i="28"/>
  <c r="CG97" i="28"/>
  <c r="CH97" i="28"/>
  <c r="CI97" i="28"/>
  <c r="CK97" i="28"/>
  <c r="CL97" i="28"/>
  <c r="CM97" i="28"/>
  <c r="CN97" i="28"/>
  <c r="CO97" i="28"/>
  <c r="CP97" i="28"/>
  <c r="CQ97" i="28"/>
  <c r="CR97" i="28"/>
  <c r="CS97" i="28"/>
  <c r="CE98" i="28"/>
  <c r="CF98" i="28"/>
  <c r="CG98" i="28"/>
  <c r="CH98" i="28"/>
  <c r="CI98" i="28"/>
  <c r="CK98" i="28"/>
  <c r="CL98" i="28"/>
  <c r="CM98" i="28"/>
  <c r="CN98" i="28"/>
  <c r="CO98" i="28"/>
  <c r="CP98" i="28"/>
  <c r="CQ98" i="28"/>
  <c r="CR98" i="28"/>
  <c r="CS98" i="28"/>
  <c r="CE99" i="28"/>
  <c r="CF99" i="28"/>
  <c r="CG99" i="28"/>
  <c r="CH99" i="28"/>
  <c r="CI99" i="28"/>
  <c r="CK99" i="28"/>
  <c r="CL99" i="28"/>
  <c r="CM99" i="28"/>
  <c r="CN99" i="28"/>
  <c r="CO99" i="28"/>
  <c r="CP99" i="28"/>
  <c r="CQ99" i="28"/>
  <c r="CR99" i="28"/>
  <c r="CS99" i="28"/>
  <c r="CE100" i="28"/>
  <c r="CF100" i="28"/>
  <c r="CG100" i="28"/>
  <c r="CH100" i="28"/>
  <c r="CI100" i="28"/>
  <c r="CK100" i="28"/>
  <c r="CL100" i="28"/>
  <c r="CM100" i="28"/>
  <c r="CN100" i="28"/>
  <c r="CO100" i="28"/>
  <c r="CP100" i="28"/>
  <c r="CQ100" i="28"/>
  <c r="CR100" i="28"/>
  <c r="CS100" i="28"/>
  <c r="CE101" i="28"/>
  <c r="CF101" i="28"/>
  <c r="CG101" i="28"/>
  <c r="CH101" i="28"/>
  <c r="CI101" i="28"/>
  <c r="CK101" i="28"/>
  <c r="CL101" i="28"/>
  <c r="CM101" i="28"/>
  <c r="CN101" i="28"/>
  <c r="CO101" i="28"/>
  <c r="CP101" i="28"/>
  <c r="CQ101" i="28"/>
  <c r="CR101" i="28"/>
  <c r="CS101" i="28"/>
  <c r="CE102" i="28"/>
  <c r="CF102" i="28"/>
  <c r="CG102" i="28"/>
  <c r="CH102" i="28"/>
  <c r="CI102" i="28"/>
  <c r="CK102" i="28"/>
  <c r="CL102" i="28"/>
  <c r="CM102" i="28"/>
  <c r="CN102" i="28"/>
  <c r="CO102" i="28"/>
  <c r="CP102" i="28"/>
  <c r="CQ102" i="28"/>
  <c r="CR102" i="28"/>
  <c r="CS102" i="28"/>
  <c r="CE103" i="28"/>
  <c r="CF103" i="28"/>
  <c r="CG103" i="28"/>
  <c r="CH103" i="28"/>
  <c r="CI103" i="28"/>
  <c r="CK103" i="28"/>
  <c r="CL103" i="28"/>
  <c r="CM103" i="28"/>
  <c r="CN103" i="28"/>
  <c r="CO103" i="28"/>
  <c r="CP103" i="28"/>
  <c r="CQ103" i="28"/>
  <c r="CR103" i="28"/>
  <c r="CS103" i="28"/>
  <c r="CE104" i="28"/>
  <c r="CF104" i="28"/>
  <c r="CG104" i="28"/>
  <c r="CH104" i="28"/>
  <c r="CI104" i="28"/>
  <c r="CK104" i="28"/>
  <c r="CL104" i="28"/>
  <c r="CM104" i="28"/>
  <c r="CN104" i="28"/>
  <c r="CO104" i="28"/>
  <c r="CP104" i="28"/>
  <c r="CQ104" i="28"/>
  <c r="CR104" i="28"/>
  <c r="CS104" i="28"/>
  <c r="CE105" i="28"/>
  <c r="CF105" i="28"/>
  <c r="CG105" i="28"/>
  <c r="CH105" i="28"/>
  <c r="CI105" i="28"/>
  <c r="CK105" i="28"/>
  <c r="CL105" i="28"/>
  <c r="CM105" i="28"/>
  <c r="CN105" i="28"/>
  <c r="CO105" i="28"/>
  <c r="CP105" i="28"/>
  <c r="CQ105" i="28"/>
  <c r="CR105" i="28"/>
  <c r="CS105" i="28"/>
  <c r="CE106" i="28"/>
  <c r="CF106" i="28"/>
  <c r="CG106" i="28"/>
  <c r="CH106" i="28"/>
  <c r="CI106" i="28"/>
  <c r="CK106" i="28"/>
  <c r="CL106" i="28"/>
  <c r="CM106" i="28"/>
  <c r="CN106" i="28"/>
  <c r="CO106" i="28"/>
  <c r="CP106" i="28"/>
  <c r="CQ106" i="28"/>
  <c r="CR106" i="28"/>
  <c r="CS106" i="28"/>
  <c r="CE107" i="28"/>
  <c r="CF107" i="28"/>
  <c r="CG107" i="28"/>
  <c r="CH107" i="28"/>
  <c r="CI107" i="28"/>
  <c r="CK107" i="28"/>
  <c r="CL107" i="28"/>
  <c r="CM107" i="28"/>
  <c r="CN107" i="28"/>
  <c r="CO107" i="28"/>
  <c r="CP107" i="28"/>
  <c r="CQ107" i="28"/>
  <c r="CR107" i="28"/>
  <c r="CS107" i="28"/>
  <c r="CE108" i="28"/>
  <c r="CF108" i="28"/>
  <c r="CG108" i="28"/>
  <c r="CH108" i="28"/>
  <c r="CI108" i="28"/>
  <c r="CK108" i="28"/>
  <c r="CL108" i="28"/>
  <c r="CM108" i="28"/>
  <c r="CN108" i="28"/>
  <c r="CO108" i="28"/>
  <c r="CP108" i="28"/>
  <c r="CQ108" i="28"/>
  <c r="CR108" i="28"/>
  <c r="CS108" i="28"/>
  <c r="CE109" i="28"/>
  <c r="CF109" i="28"/>
  <c r="CG109" i="28"/>
  <c r="CH109" i="28"/>
  <c r="CI109" i="28"/>
  <c r="CK109" i="28"/>
  <c r="CL109" i="28"/>
  <c r="CM109" i="28"/>
  <c r="CN109" i="28"/>
  <c r="CO109" i="28"/>
  <c r="CP109" i="28"/>
  <c r="CQ109" i="28"/>
  <c r="CR109" i="28"/>
  <c r="CS109" i="28"/>
  <c r="CE110" i="28"/>
  <c r="CF110" i="28"/>
  <c r="CG110" i="28"/>
  <c r="CH110" i="28"/>
  <c r="CI110" i="28"/>
  <c r="CK110" i="28"/>
  <c r="CL110" i="28"/>
  <c r="CM110" i="28"/>
  <c r="CN110" i="28"/>
  <c r="CO110" i="28"/>
  <c r="CP110" i="28"/>
  <c r="CQ110" i="28"/>
  <c r="CR110" i="28"/>
  <c r="CS110" i="28"/>
  <c r="CE111" i="28"/>
  <c r="CF111" i="28"/>
  <c r="CG111" i="28"/>
  <c r="CH111" i="28"/>
  <c r="CI111" i="28"/>
  <c r="CK111" i="28"/>
  <c r="CL111" i="28"/>
  <c r="CM111" i="28"/>
  <c r="CN111" i="28"/>
  <c r="CO111" i="28"/>
  <c r="CP111" i="28"/>
  <c r="CQ111" i="28"/>
  <c r="CR111" i="28"/>
  <c r="CS111" i="28"/>
  <c r="CE112" i="28"/>
  <c r="CF112" i="28"/>
  <c r="CG112" i="28"/>
  <c r="CH112" i="28"/>
  <c r="CI112" i="28"/>
  <c r="CK112" i="28"/>
  <c r="CL112" i="28"/>
  <c r="CM112" i="28"/>
  <c r="CN112" i="28"/>
  <c r="CO112" i="28"/>
  <c r="CP112" i="28"/>
  <c r="CQ112" i="28"/>
  <c r="CR112" i="28"/>
  <c r="CS112" i="28"/>
  <c r="CE113" i="28"/>
  <c r="CF113" i="28"/>
  <c r="CG113" i="28"/>
  <c r="CH113" i="28"/>
  <c r="CI113" i="28"/>
  <c r="CK113" i="28"/>
  <c r="CL113" i="28"/>
  <c r="CM113" i="28"/>
  <c r="CN113" i="28"/>
  <c r="CO113" i="28"/>
  <c r="CP113" i="28"/>
  <c r="CQ113" i="28"/>
  <c r="CR113" i="28"/>
  <c r="CS113" i="28"/>
  <c r="CE114" i="28"/>
  <c r="CF114" i="28"/>
  <c r="CG114" i="28"/>
  <c r="CH114" i="28"/>
  <c r="CI114" i="28"/>
  <c r="CK114" i="28"/>
  <c r="CL114" i="28"/>
  <c r="CM114" i="28"/>
  <c r="CN114" i="28"/>
  <c r="CO114" i="28"/>
  <c r="CP114" i="28"/>
  <c r="CQ114" i="28"/>
  <c r="CR114" i="28"/>
  <c r="CS114" i="28"/>
  <c r="CE115" i="28"/>
  <c r="CF115" i="28"/>
  <c r="CG115" i="28"/>
  <c r="CH115" i="28"/>
  <c r="CI115" i="28"/>
  <c r="CK115" i="28"/>
  <c r="CL115" i="28"/>
  <c r="CM115" i="28"/>
  <c r="CN115" i="28"/>
  <c r="CO115" i="28"/>
  <c r="CP115" i="28"/>
  <c r="CQ115" i="28"/>
  <c r="CR115" i="28"/>
  <c r="CS115" i="28"/>
  <c r="CE116" i="28"/>
  <c r="CF116" i="28"/>
  <c r="CG116" i="28"/>
  <c r="CH116" i="28"/>
  <c r="CI116" i="28"/>
  <c r="CK116" i="28"/>
  <c r="CL116" i="28"/>
  <c r="CM116" i="28"/>
  <c r="CN116" i="28"/>
  <c r="CO116" i="28"/>
  <c r="CP116" i="28"/>
  <c r="CQ116" i="28"/>
  <c r="CR116" i="28"/>
  <c r="CS116" i="28"/>
  <c r="CE117" i="28"/>
  <c r="CF117" i="28"/>
  <c r="CG117" i="28"/>
  <c r="CH117" i="28"/>
  <c r="CI117" i="28"/>
  <c r="CK117" i="28"/>
  <c r="CL117" i="28"/>
  <c r="CM117" i="28"/>
  <c r="CN117" i="28"/>
  <c r="CO117" i="28"/>
  <c r="CP117" i="28"/>
  <c r="CQ117" i="28"/>
  <c r="CR117" i="28"/>
  <c r="CS117" i="28"/>
  <c r="CE118" i="28"/>
  <c r="CF118" i="28"/>
  <c r="CG118" i="28"/>
  <c r="CH118" i="28"/>
  <c r="CI118" i="28"/>
  <c r="CK118" i="28"/>
  <c r="CL118" i="28"/>
  <c r="CM118" i="28"/>
  <c r="CN118" i="28"/>
  <c r="CO118" i="28"/>
  <c r="CP118" i="28"/>
  <c r="CQ118" i="28"/>
  <c r="CR118" i="28"/>
  <c r="CS118" i="28"/>
  <c r="CE119" i="28"/>
  <c r="CF119" i="28"/>
  <c r="CG119" i="28"/>
  <c r="CH119" i="28"/>
  <c r="CI119" i="28"/>
  <c r="CK119" i="28"/>
  <c r="CL119" i="28"/>
  <c r="CM119" i="28"/>
  <c r="CN119" i="28"/>
  <c r="CO119" i="28"/>
  <c r="CP119" i="28"/>
  <c r="CQ119" i="28"/>
  <c r="CR119" i="28"/>
  <c r="CS119" i="28"/>
  <c r="CE120" i="28"/>
  <c r="CF120" i="28"/>
  <c r="CG120" i="28"/>
  <c r="CH120" i="28"/>
  <c r="CI120" i="28"/>
  <c r="CK120" i="28"/>
  <c r="CL120" i="28"/>
  <c r="CM120" i="28"/>
  <c r="CN120" i="28"/>
  <c r="CO120" i="28"/>
  <c r="CP120" i="28"/>
  <c r="CQ120" i="28"/>
  <c r="CR120" i="28"/>
  <c r="CS120" i="28"/>
  <c r="CE121" i="28"/>
  <c r="CF121" i="28"/>
  <c r="CG121" i="28"/>
  <c r="CH121" i="28"/>
  <c r="CI121" i="28"/>
  <c r="CK121" i="28"/>
  <c r="CL121" i="28"/>
  <c r="CM121" i="28"/>
  <c r="CN121" i="28"/>
  <c r="CO121" i="28"/>
  <c r="CP121" i="28"/>
  <c r="CQ121" i="28"/>
  <c r="CR121" i="28"/>
  <c r="CS121" i="28"/>
  <c r="CE122" i="28"/>
  <c r="CF122" i="28"/>
  <c r="CG122" i="28"/>
  <c r="CH122" i="28"/>
  <c r="CI122" i="28"/>
  <c r="CK122" i="28"/>
  <c r="CL122" i="28"/>
  <c r="CM122" i="28"/>
  <c r="CN122" i="28"/>
  <c r="CO122" i="28"/>
  <c r="CP122" i="28"/>
  <c r="CQ122" i="28"/>
  <c r="CR122" i="28"/>
  <c r="CS122" i="28"/>
  <c r="CE123" i="28"/>
  <c r="CF123" i="28"/>
  <c r="CG123" i="28"/>
  <c r="CH123" i="28"/>
  <c r="CI123" i="28"/>
  <c r="CK123" i="28"/>
  <c r="CL123" i="28"/>
  <c r="CM123" i="28"/>
  <c r="CN123" i="28"/>
  <c r="CO123" i="28"/>
  <c r="CP123" i="28"/>
  <c r="CQ123" i="28"/>
  <c r="CR123" i="28"/>
  <c r="CS123" i="28"/>
  <c r="CE124" i="28"/>
  <c r="CF124" i="28"/>
  <c r="CG124" i="28"/>
  <c r="CH124" i="28"/>
  <c r="CI124" i="28"/>
  <c r="CK124" i="28"/>
  <c r="CL124" i="28"/>
  <c r="CM124" i="28"/>
  <c r="CN124" i="28"/>
  <c r="CO124" i="28"/>
  <c r="CP124" i="28"/>
  <c r="CQ124" i="28"/>
  <c r="CR124" i="28"/>
  <c r="CS124" i="28"/>
  <c r="CE125" i="28"/>
  <c r="CF125" i="28"/>
  <c r="CG125" i="28"/>
  <c r="CH125" i="28"/>
  <c r="CI125" i="28"/>
  <c r="CK125" i="28"/>
  <c r="CL125" i="28"/>
  <c r="CM125" i="28"/>
  <c r="CN125" i="28"/>
  <c r="CO125" i="28"/>
  <c r="CP125" i="28"/>
  <c r="CQ125" i="28"/>
  <c r="CR125" i="28"/>
  <c r="CS125" i="28"/>
  <c r="CE126" i="28"/>
  <c r="CF126" i="28"/>
  <c r="CG126" i="28"/>
  <c r="CH126" i="28"/>
  <c r="CI126" i="28"/>
  <c r="CK126" i="28"/>
  <c r="CL126" i="28"/>
  <c r="CM126" i="28"/>
  <c r="CN126" i="28"/>
  <c r="CO126" i="28"/>
  <c r="CP126" i="28"/>
  <c r="CQ126" i="28"/>
  <c r="CR126" i="28"/>
  <c r="CS126" i="28"/>
  <c r="CE127" i="28"/>
  <c r="CF127" i="28"/>
  <c r="CG127" i="28"/>
  <c r="CH127" i="28"/>
  <c r="CI127" i="28"/>
  <c r="CK127" i="28"/>
  <c r="CL127" i="28"/>
  <c r="CM127" i="28"/>
  <c r="CN127" i="28"/>
  <c r="CO127" i="28"/>
  <c r="CP127" i="28"/>
  <c r="CQ127" i="28"/>
  <c r="CR127" i="28"/>
  <c r="CS127" i="28"/>
  <c r="CE128" i="28"/>
  <c r="CF128" i="28"/>
  <c r="CG128" i="28"/>
  <c r="CH128" i="28"/>
  <c r="CI128" i="28"/>
  <c r="CK128" i="28"/>
  <c r="CL128" i="28"/>
  <c r="CM128" i="28"/>
  <c r="CN128" i="28"/>
  <c r="CO128" i="28"/>
  <c r="CP128" i="28"/>
  <c r="CQ128" i="28"/>
  <c r="CR128" i="28"/>
  <c r="CS128" i="28"/>
  <c r="CE129" i="28"/>
  <c r="CF129" i="28"/>
  <c r="CG129" i="28"/>
  <c r="CH129" i="28"/>
  <c r="CI129" i="28"/>
  <c r="CK129" i="28"/>
  <c r="CL129" i="28"/>
  <c r="CM129" i="28"/>
  <c r="CN129" i="28"/>
  <c r="CO129" i="28"/>
  <c r="CP129" i="28"/>
  <c r="CQ129" i="28"/>
  <c r="CR129" i="28"/>
  <c r="CS129" i="28"/>
  <c r="CE130" i="28"/>
  <c r="CF130" i="28"/>
  <c r="CG130" i="28"/>
  <c r="CH130" i="28"/>
  <c r="CI130" i="28"/>
  <c r="CK130" i="28"/>
  <c r="CL130" i="28"/>
  <c r="CM130" i="28"/>
  <c r="CN130" i="28"/>
  <c r="CO130" i="28"/>
  <c r="CP130" i="28"/>
  <c r="CQ130" i="28"/>
  <c r="CR130" i="28"/>
  <c r="CS130" i="28"/>
  <c r="CE131" i="28"/>
  <c r="CF131" i="28"/>
  <c r="CG131" i="28"/>
  <c r="CH131" i="28"/>
  <c r="CI131" i="28"/>
  <c r="CK131" i="28"/>
  <c r="CL131" i="28"/>
  <c r="CM131" i="28"/>
  <c r="CN131" i="28"/>
  <c r="CO131" i="28"/>
  <c r="CP131" i="28"/>
  <c r="CQ131" i="28"/>
  <c r="CR131" i="28"/>
  <c r="CS131" i="28"/>
  <c r="CE132" i="28"/>
  <c r="CF132" i="28"/>
  <c r="CG132" i="28"/>
  <c r="CH132" i="28"/>
  <c r="CI132" i="28"/>
  <c r="CK132" i="28"/>
  <c r="CL132" i="28"/>
  <c r="CM132" i="28"/>
  <c r="CN132" i="28"/>
  <c r="CO132" i="28"/>
  <c r="CP132" i="28"/>
  <c r="CQ132" i="28"/>
  <c r="CR132" i="28"/>
  <c r="CS132" i="28"/>
  <c r="CE133" i="28"/>
  <c r="CF133" i="28"/>
  <c r="CG133" i="28"/>
  <c r="CH133" i="28"/>
  <c r="CI133" i="28"/>
  <c r="CK133" i="28"/>
  <c r="CL133" i="28"/>
  <c r="CM133" i="28"/>
  <c r="CN133" i="28"/>
  <c r="CO133" i="28"/>
  <c r="CP133" i="28"/>
  <c r="CQ133" i="28"/>
  <c r="CR133" i="28"/>
  <c r="CS133" i="28"/>
  <c r="CE134" i="28"/>
  <c r="CF134" i="28"/>
  <c r="CG134" i="28"/>
  <c r="CH134" i="28"/>
  <c r="CI134" i="28"/>
  <c r="CK134" i="28"/>
  <c r="CL134" i="28"/>
  <c r="CM134" i="28"/>
  <c r="CN134" i="28"/>
  <c r="CO134" i="28"/>
  <c r="CP134" i="28"/>
  <c r="CQ134" i="28"/>
  <c r="CR134" i="28"/>
  <c r="CS134" i="28"/>
  <c r="CE135" i="28"/>
  <c r="CF135" i="28"/>
  <c r="CG135" i="28"/>
  <c r="CH135" i="28"/>
  <c r="CI135" i="28"/>
  <c r="CK135" i="28"/>
  <c r="CL135" i="28"/>
  <c r="CM135" i="28"/>
  <c r="CN135" i="28"/>
  <c r="CO135" i="28"/>
  <c r="CP135" i="28"/>
  <c r="CQ135" i="28"/>
  <c r="CR135" i="28"/>
  <c r="CS135" i="28"/>
  <c r="CE136" i="28"/>
  <c r="CF136" i="28"/>
  <c r="CG136" i="28"/>
  <c r="CH136" i="28"/>
  <c r="CI136" i="28"/>
  <c r="CK136" i="28"/>
  <c r="CL136" i="28"/>
  <c r="CM136" i="28"/>
  <c r="CN136" i="28"/>
  <c r="CO136" i="28"/>
  <c r="CP136" i="28"/>
  <c r="CQ136" i="28"/>
  <c r="CR136" i="28"/>
  <c r="CS136" i="28"/>
  <c r="CE137" i="28"/>
  <c r="CF137" i="28"/>
  <c r="CG137" i="28"/>
  <c r="CH137" i="28"/>
  <c r="CI137" i="28"/>
  <c r="CK137" i="28"/>
  <c r="CL137" i="28"/>
  <c r="CM137" i="28"/>
  <c r="CN137" i="28"/>
  <c r="CO137" i="28"/>
  <c r="CP137" i="28"/>
  <c r="CQ137" i="28"/>
  <c r="CR137" i="28"/>
  <c r="CS137" i="28"/>
  <c r="CE138" i="28"/>
  <c r="CF138" i="28"/>
  <c r="CG138" i="28"/>
  <c r="CH138" i="28"/>
  <c r="CI138" i="28"/>
  <c r="CK138" i="28"/>
  <c r="CL138" i="28"/>
  <c r="CM138" i="28"/>
  <c r="CN138" i="28"/>
  <c r="CO138" i="28"/>
  <c r="CP138" i="28"/>
  <c r="CQ138" i="28"/>
  <c r="CR138" i="28"/>
  <c r="CS138" i="28"/>
  <c r="CE139" i="28"/>
  <c r="CF139" i="28"/>
  <c r="CG139" i="28"/>
  <c r="CH139" i="28"/>
  <c r="CI139" i="28"/>
  <c r="CK139" i="28"/>
  <c r="CL139" i="28"/>
  <c r="CM139" i="28"/>
  <c r="CN139" i="28"/>
  <c r="CO139" i="28"/>
  <c r="CP139" i="28"/>
  <c r="CQ139" i="28"/>
  <c r="CR139" i="28"/>
  <c r="CS139" i="28"/>
  <c r="CE140" i="28"/>
  <c r="CF140" i="28"/>
  <c r="CG140" i="28"/>
  <c r="CH140" i="28"/>
  <c r="CI140" i="28"/>
  <c r="CK140" i="28"/>
  <c r="CL140" i="28"/>
  <c r="CM140" i="28"/>
  <c r="CN140" i="28"/>
  <c r="CO140" i="28"/>
  <c r="CP140" i="28"/>
  <c r="CQ140" i="28"/>
  <c r="CR140" i="28"/>
  <c r="CS140" i="28"/>
  <c r="CE141" i="28"/>
  <c r="CF141" i="28"/>
  <c r="CG141" i="28"/>
  <c r="CH141" i="28"/>
  <c r="CI141" i="28"/>
  <c r="CK141" i="28"/>
  <c r="CL141" i="28"/>
  <c r="CM141" i="28"/>
  <c r="CN141" i="28"/>
  <c r="CO141" i="28"/>
  <c r="CP141" i="28"/>
  <c r="CQ141" i="28"/>
  <c r="CR141" i="28"/>
  <c r="CS141" i="28"/>
  <c r="CE142" i="28"/>
  <c r="CF142" i="28"/>
  <c r="CG142" i="28"/>
  <c r="CH142" i="28"/>
  <c r="CI142" i="28"/>
  <c r="CK142" i="28"/>
  <c r="CL142" i="28"/>
  <c r="CM142" i="28"/>
  <c r="CN142" i="28"/>
  <c r="CO142" i="28"/>
  <c r="CP142" i="28"/>
  <c r="CQ142" i="28"/>
  <c r="CR142" i="28"/>
  <c r="CS142" i="28"/>
  <c r="CE143" i="28"/>
  <c r="CF143" i="28"/>
  <c r="CG143" i="28"/>
  <c r="CH143" i="28"/>
  <c r="CI143" i="28"/>
  <c r="CK143" i="28"/>
  <c r="CL143" i="28"/>
  <c r="CM143" i="28"/>
  <c r="CN143" i="28"/>
  <c r="CO143" i="28"/>
  <c r="CP143" i="28"/>
  <c r="CQ143" i="28"/>
  <c r="CR143" i="28"/>
  <c r="CS143" i="28"/>
  <c r="CE144" i="28"/>
  <c r="CF144" i="28"/>
  <c r="CG144" i="28"/>
  <c r="CH144" i="28"/>
  <c r="CI144" i="28"/>
  <c r="CK144" i="28"/>
  <c r="CL144" i="28"/>
  <c r="CM144" i="28"/>
  <c r="CN144" i="28"/>
  <c r="CO144" i="28"/>
  <c r="CP144" i="28"/>
  <c r="CQ144" i="28"/>
  <c r="CR144" i="28"/>
  <c r="CS144" i="28"/>
  <c r="CE145" i="28"/>
  <c r="CF145" i="28"/>
  <c r="CG145" i="28"/>
  <c r="CH145" i="28"/>
  <c r="CI145" i="28"/>
  <c r="CK145" i="28"/>
  <c r="CL145" i="28"/>
  <c r="CM145" i="28"/>
  <c r="CN145" i="28"/>
  <c r="CO145" i="28"/>
  <c r="CP145" i="28"/>
  <c r="CQ145" i="28"/>
  <c r="CR145" i="28"/>
  <c r="CS145" i="28"/>
  <c r="CE146" i="28"/>
  <c r="CF146" i="28"/>
  <c r="CG146" i="28"/>
  <c r="CH146" i="28"/>
  <c r="CI146" i="28"/>
  <c r="CK146" i="28"/>
  <c r="CL146" i="28"/>
  <c r="CM146" i="28"/>
  <c r="CN146" i="28"/>
  <c r="CO146" i="28"/>
  <c r="CP146" i="28"/>
  <c r="CQ146" i="28"/>
  <c r="CR146" i="28"/>
  <c r="CS146" i="28"/>
  <c r="CE147" i="28"/>
  <c r="CF147" i="28"/>
  <c r="CG147" i="28"/>
  <c r="CH147" i="28"/>
  <c r="CI147" i="28"/>
  <c r="CK147" i="28"/>
  <c r="CL147" i="28"/>
  <c r="CM147" i="28"/>
  <c r="CN147" i="28"/>
  <c r="CO147" i="28"/>
  <c r="CP147" i="28"/>
  <c r="CQ147" i="28"/>
  <c r="CR147" i="28"/>
  <c r="CS147" i="28"/>
  <c r="CE148" i="28"/>
  <c r="CF148" i="28"/>
  <c r="CG148" i="28"/>
  <c r="CH148" i="28"/>
  <c r="CI148" i="28"/>
  <c r="CK148" i="28"/>
  <c r="CL148" i="28"/>
  <c r="CM148" i="28"/>
  <c r="CN148" i="28"/>
  <c r="CO148" i="28"/>
  <c r="CP148" i="28"/>
  <c r="CQ148" i="28"/>
  <c r="CR148" i="28"/>
  <c r="CS148" i="28"/>
  <c r="CE149" i="28"/>
  <c r="CF149" i="28"/>
  <c r="CG149" i="28"/>
  <c r="CH149" i="28"/>
  <c r="CI149" i="28"/>
  <c r="CK149" i="28"/>
  <c r="CL149" i="28"/>
  <c r="CM149" i="28"/>
  <c r="CN149" i="28"/>
  <c r="CO149" i="28"/>
  <c r="CP149" i="28"/>
  <c r="CQ149" i="28"/>
  <c r="CR149" i="28"/>
  <c r="CS149" i="28"/>
  <c r="CE150" i="28"/>
  <c r="CF150" i="28"/>
  <c r="CG150" i="28"/>
  <c r="CH150" i="28"/>
  <c r="CI150" i="28"/>
  <c r="CK150" i="28"/>
  <c r="CL150" i="28"/>
  <c r="CM150" i="28"/>
  <c r="CN150" i="28"/>
  <c r="CO150" i="28"/>
  <c r="CP150" i="28"/>
  <c r="CQ150" i="28"/>
  <c r="CR150" i="28"/>
  <c r="CS150" i="28"/>
  <c r="CE151" i="28"/>
  <c r="CF151" i="28"/>
  <c r="CG151" i="28"/>
  <c r="CH151" i="28"/>
  <c r="CI151" i="28"/>
  <c r="CK151" i="28"/>
  <c r="CL151" i="28"/>
  <c r="CM151" i="28"/>
  <c r="CN151" i="28"/>
  <c r="CO151" i="28"/>
  <c r="CP151" i="28"/>
  <c r="CQ151" i="28"/>
  <c r="CR151" i="28"/>
  <c r="CS151" i="28"/>
  <c r="CE152" i="28"/>
  <c r="CF152" i="28"/>
  <c r="CG152" i="28"/>
  <c r="CH152" i="28"/>
  <c r="CI152" i="28"/>
  <c r="CK152" i="28"/>
  <c r="CL152" i="28"/>
  <c r="CM152" i="28"/>
  <c r="CN152" i="28"/>
  <c r="CO152" i="28"/>
  <c r="CP152" i="28"/>
  <c r="CQ152" i="28"/>
  <c r="CR152" i="28"/>
  <c r="CS152" i="28"/>
  <c r="CE153" i="28"/>
  <c r="CF153" i="28"/>
  <c r="CG153" i="28"/>
  <c r="CH153" i="28"/>
  <c r="CI153" i="28"/>
  <c r="CK153" i="28"/>
  <c r="CL153" i="28"/>
  <c r="CM153" i="28"/>
  <c r="CN153" i="28"/>
  <c r="CO153" i="28"/>
  <c r="CP153" i="28"/>
  <c r="CQ153" i="28"/>
  <c r="CR153" i="28"/>
  <c r="CS153" i="28"/>
  <c r="CE154" i="28"/>
  <c r="CF154" i="28"/>
  <c r="CG154" i="28"/>
  <c r="CH154" i="28"/>
  <c r="CI154" i="28"/>
  <c r="CK154" i="28"/>
  <c r="CL154" i="28"/>
  <c r="CM154" i="28"/>
  <c r="CN154" i="28"/>
  <c r="CO154" i="28"/>
  <c r="CP154" i="28"/>
  <c r="CQ154" i="28"/>
  <c r="CR154" i="28"/>
  <c r="CS154" i="28"/>
  <c r="CE155" i="28"/>
  <c r="CF155" i="28"/>
  <c r="CG155" i="28"/>
  <c r="CH155" i="28"/>
  <c r="CI155" i="28"/>
  <c r="CK155" i="28"/>
  <c r="CL155" i="28"/>
  <c r="CM155" i="28"/>
  <c r="CN155" i="28"/>
  <c r="CO155" i="28"/>
  <c r="CP155" i="28"/>
  <c r="CQ155" i="28"/>
  <c r="CR155" i="28"/>
  <c r="CS155" i="28"/>
  <c r="CE156" i="28"/>
  <c r="CF156" i="28"/>
  <c r="CG156" i="28"/>
  <c r="CH156" i="28"/>
  <c r="CI156" i="28"/>
  <c r="CK156" i="28"/>
  <c r="CL156" i="28"/>
  <c r="CM156" i="28"/>
  <c r="CN156" i="28"/>
  <c r="CO156" i="28"/>
  <c r="CP156" i="28"/>
  <c r="CQ156" i="28"/>
  <c r="CR156" i="28"/>
  <c r="CS156" i="28"/>
  <c r="CE157" i="28"/>
  <c r="CF157" i="28"/>
  <c r="CG157" i="28"/>
  <c r="CH157" i="28"/>
  <c r="CI157" i="28"/>
  <c r="CK157" i="28"/>
  <c r="CL157" i="28"/>
  <c r="CM157" i="28"/>
  <c r="CN157" i="28"/>
  <c r="CO157" i="28"/>
  <c r="CP157" i="28"/>
  <c r="CQ157" i="28"/>
  <c r="CR157" i="28"/>
  <c r="CS157" i="28"/>
  <c r="CE158" i="28"/>
  <c r="CF158" i="28"/>
  <c r="CG158" i="28"/>
  <c r="CH158" i="28"/>
  <c r="CI158" i="28"/>
  <c r="CK158" i="28"/>
  <c r="CL158" i="28"/>
  <c r="CM158" i="28"/>
  <c r="CN158" i="28"/>
  <c r="CO158" i="28"/>
  <c r="CP158" i="28"/>
  <c r="CQ158" i="28"/>
  <c r="CR158" i="28"/>
  <c r="CS158" i="28"/>
  <c r="CE159" i="28"/>
  <c r="CF159" i="28"/>
  <c r="CG159" i="28"/>
  <c r="CH159" i="28"/>
  <c r="CI159" i="28"/>
  <c r="CK159" i="28"/>
  <c r="CL159" i="28"/>
  <c r="CM159" i="28"/>
  <c r="CN159" i="28"/>
  <c r="CO159" i="28"/>
  <c r="CP159" i="28"/>
  <c r="CQ159" i="28"/>
  <c r="CR159" i="28"/>
  <c r="CS159" i="28"/>
  <c r="CE160" i="28"/>
  <c r="CF160" i="28"/>
  <c r="CG160" i="28"/>
  <c r="CH160" i="28"/>
  <c r="CI160" i="28"/>
  <c r="CK160" i="28"/>
  <c r="CL160" i="28"/>
  <c r="CM160" i="28"/>
  <c r="CN160" i="28"/>
  <c r="CO160" i="28"/>
  <c r="CP160" i="28"/>
  <c r="CQ160" i="28"/>
  <c r="CR160" i="28"/>
  <c r="CS160" i="28"/>
  <c r="CE161" i="28"/>
  <c r="CF161" i="28"/>
  <c r="CG161" i="28"/>
  <c r="CH161" i="28"/>
  <c r="CI161" i="28"/>
  <c r="CK161" i="28"/>
  <c r="CL161" i="28"/>
  <c r="CM161" i="28"/>
  <c r="CN161" i="28"/>
  <c r="CO161" i="28"/>
  <c r="CP161" i="28"/>
  <c r="CQ161" i="28"/>
  <c r="CR161" i="28"/>
  <c r="CS161" i="28"/>
  <c r="CE162" i="28"/>
  <c r="CF162" i="28"/>
  <c r="CG162" i="28"/>
  <c r="CH162" i="28"/>
  <c r="CI162" i="28"/>
  <c r="CK162" i="28"/>
  <c r="CL162" i="28"/>
  <c r="CM162" i="28"/>
  <c r="CN162" i="28"/>
  <c r="CO162" i="28"/>
  <c r="CP162" i="28"/>
  <c r="CQ162" i="28"/>
  <c r="CR162" i="28"/>
  <c r="CS162" i="28"/>
  <c r="CE163" i="28"/>
  <c r="CF163" i="28"/>
  <c r="CG163" i="28"/>
  <c r="CH163" i="28"/>
  <c r="CI163" i="28"/>
  <c r="CK163" i="28"/>
  <c r="CL163" i="28"/>
  <c r="CM163" i="28"/>
  <c r="CN163" i="28"/>
  <c r="CO163" i="28"/>
  <c r="CP163" i="28"/>
  <c r="CQ163" i="28"/>
  <c r="CR163" i="28"/>
  <c r="CS163" i="28"/>
  <c r="CE164" i="28"/>
  <c r="CF164" i="28"/>
  <c r="CG164" i="28"/>
  <c r="CH164" i="28"/>
  <c r="CI164" i="28"/>
  <c r="CK164" i="28"/>
  <c r="CL164" i="28"/>
  <c r="CM164" i="28"/>
  <c r="CN164" i="28"/>
  <c r="CO164" i="28"/>
  <c r="CP164" i="28"/>
  <c r="CQ164" i="28"/>
  <c r="CR164" i="28"/>
  <c r="CS164" i="28"/>
  <c r="CE165" i="28"/>
  <c r="CF165" i="28"/>
  <c r="CG165" i="28"/>
  <c r="CH165" i="28"/>
  <c r="CI165" i="28"/>
  <c r="CK165" i="28"/>
  <c r="CL165" i="28"/>
  <c r="CM165" i="28"/>
  <c r="CN165" i="28"/>
  <c r="CO165" i="28"/>
  <c r="CP165" i="28"/>
  <c r="CQ165" i="28"/>
  <c r="CR165" i="28"/>
  <c r="CS165" i="28"/>
  <c r="CE166" i="28"/>
  <c r="CF166" i="28"/>
  <c r="CG166" i="28"/>
  <c r="CH166" i="28"/>
  <c r="CI166" i="28"/>
  <c r="CK166" i="28"/>
  <c r="CL166" i="28"/>
  <c r="CM166" i="28"/>
  <c r="CN166" i="28"/>
  <c r="CO166" i="28"/>
  <c r="CP166" i="28"/>
  <c r="CQ166" i="28"/>
  <c r="CR166" i="28"/>
  <c r="CS166" i="28"/>
  <c r="CE167" i="28"/>
  <c r="CF167" i="28"/>
  <c r="CG167" i="28"/>
  <c r="CH167" i="28"/>
  <c r="CI167" i="28"/>
  <c r="CK167" i="28"/>
  <c r="CL167" i="28"/>
  <c r="CM167" i="28"/>
  <c r="CN167" i="28"/>
  <c r="CO167" i="28"/>
  <c r="CP167" i="28"/>
  <c r="CQ167" i="28"/>
  <c r="CR167" i="28"/>
  <c r="CS167" i="28"/>
  <c r="CE168" i="28"/>
  <c r="CF168" i="28"/>
  <c r="CG168" i="28"/>
  <c r="CH168" i="28"/>
  <c r="CI168" i="28"/>
  <c r="CK168" i="28"/>
  <c r="CL168" i="28"/>
  <c r="CM168" i="28"/>
  <c r="CN168" i="28"/>
  <c r="CO168" i="28"/>
  <c r="CP168" i="28"/>
  <c r="CQ168" i="28"/>
  <c r="CR168" i="28"/>
  <c r="CS168" i="28"/>
  <c r="CE169" i="28"/>
  <c r="CF169" i="28"/>
  <c r="CG169" i="28"/>
  <c r="CH169" i="28"/>
  <c r="CI169" i="28"/>
  <c r="CK169" i="28"/>
  <c r="CL169" i="28"/>
  <c r="CM169" i="28"/>
  <c r="CN169" i="28"/>
  <c r="CO169" i="28"/>
  <c r="CP169" i="28"/>
  <c r="CQ169" i="28"/>
  <c r="CR169" i="28"/>
  <c r="CS169" i="28"/>
  <c r="CE170" i="28"/>
  <c r="CF170" i="28"/>
  <c r="CG170" i="28"/>
  <c r="CH170" i="28"/>
  <c r="CI170" i="28"/>
  <c r="CK170" i="28"/>
  <c r="CL170" i="28"/>
  <c r="CM170" i="28"/>
  <c r="CN170" i="28"/>
  <c r="CO170" i="28"/>
  <c r="CP170" i="28"/>
  <c r="CQ170" i="28"/>
  <c r="CR170" i="28"/>
  <c r="CS170" i="28"/>
  <c r="CE171" i="28"/>
  <c r="CF171" i="28"/>
  <c r="CG171" i="28"/>
  <c r="CH171" i="28"/>
  <c r="CI171" i="28"/>
  <c r="CK171" i="28"/>
  <c r="CL171" i="28"/>
  <c r="CM171" i="28"/>
  <c r="CN171" i="28"/>
  <c r="CO171" i="28"/>
  <c r="CP171" i="28"/>
  <c r="CQ171" i="28"/>
  <c r="CR171" i="28"/>
  <c r="CS171" i="28"/>
  <c r="CE172" i="28"/>
  <c r="CF172" i="28"/>
  <c r="CG172" i="28"/>
  <c r="CH172" i="28"/>
  <c r="CI172" i="28"/>
  <c r="CK172" i="28"/>
  <c r="CL172" i="28"/>
  <c r="CM172" i="28"/>
  <c r="CN172" i="28"/>
  <c r="CO172" i="28"/>
  <c r="CP172" i="28"/>
  <c r="CQ172" i="28"/>
  <c r="CR172" i="28"/>
  <c r="CS172" i="28"/>
  <c r="CE173" i="28"/>
  <c r="CF173" i="28"/>
  <c r="CG173" i="28"/>
  <c r="CH173" i="28"/>
  <c r="CI173" i="28"/>
  <c r="CK173" i="28"/>
  <c r="CL173" i="28"/>
  <c r="CM173" i="28"/>
  <c r="CN173" i="28"/>
  <c r="CO173" i="28"/>
  <c r="CP173" i="28"/>
  <c r="CQ173" i="28"/>
  <c r="CR173" i="28"/>
  <c r="CS173" i="28"/>
  <c r="CE174" i="28"/>
  <c r="CF174" i="28"/>
  <c r="CG174" i="28"/>
  <c r="CH174" i="28"/>
  <c r="CI174" i="28"/>
  <c r="CK174" i="28"/>
  <c r="CL174" i="28"/>
  <c r="CM174" i="28"/>
  <c r="CN174" i="28"/>
  <c r="CO174" i="28"/>
  <c r="CP174" i="28"/>
  <c r="CQ174" i="28"/>
  <c r="CR174" i="28"/>
  <c r="CS174" i="28"/>
  <c r="CE175" i="28"/>
  <c r="CF175" i="28"/>
  <c r="CG175" i="28"/>
  <c r="CH175" i="28"/>
  <c r="CI175" i="28"/>
  <c r="CK175" i="28"/>
  <c r="CL175" i="28"/>
  <c r="CM175" i="28"/>
  <c r="CN175" i="28"/>
  <c r="CO175" i="28"/>
  <c r="CP175" i="28"/>
  <c r="CQ175" i="28"/>
  <c r="CR175" i="28"/>
  <c r="CS175" i="28"/>
  <c r="CE176" i="28"/>
  <c r="CF176" i="28"/>
  <c r="CG176" i="28"/>
  <c r="CH176" i="28"/>
  <c r="CI176" i="28"/>
  <c r="CK176" i="28"/>
  <c r="CL176" i="28"/>
  <c r="CM176" i="28"/>
  <c r="CN176" i="28"/>
  <c r="CO176" i="28"/>
  <c r="CP176" i="28"/>
  <c r="CQ176" i="28"/>
  <c r="CR176" i="28"/>
  <c r="CS176" i="28"/>
  <c r="CE177" i="28"/>
  <c r="CF177" i="28"/>
  <c r="CG177" i="28"/>
  <c r="CH177" i="28"/>
  <c r="CI177" i="28"/>
  <c r="CK177" i="28"/>
  <c r="CL177" i="28"/>
  <c r="CM177" i="28"/>
  <c r="CN177" i="28"/>
  <c r="CO177" i="28"/>
  <c r="CP177" i="28"/>
  <c r="CQ177" i="28"/>
  <c r="CR177" i="28"/>
  <c r="CS177" i="28"/>
  <c r="CE178" i="28"/>
  <c r="CF178" i="28"/>
  <c r="CG178" i="28"/>
  <c r="CH178" i="28"/>
  <c r="CI178" i="28"/>
  <c r="CK178" i="28"/>
  <c r="CL178" i="28"/>
  <c r="CM178" i="28"/>
  <c r="CN178" i="28"/>
  <c r="CO178" i="28"/>
  <c r="CP178" i="28"/>
  <c r="CQ178" i="28"/>
  <c r="CR178" i="28"/>
  <c r="CS178" i="28"/>
  <c r="CE179" i="28"/>
  <c r="CF179" i="28"/>
  <c r="CG179" i="28"/>
  <c r="CH179" i="28"/>
  <c r="CI179" i="28"/>
  <c r="CK179" i="28"/>
  <c r="CL179" i="28"/>
  <c r="CM179" i="28"/>
  <c r="CN179" i="28"/>
  <c r="CO179" i="28"/>
  <c r="CP179" i="28"/>
  <c r="CQ179" i="28"/>
  <c r="CR179" i="28"/>
  <c r="CS179" i="28"/>
  <c r="CE180" i="28"/>
  <c r="CF180" i="28"/>
  <c r="CG180" i="28"/>
  <c r="CH180" i="28"/>
  <c r="CI180" i="28"/>
  <c r="CK180" i="28"/>
  <c r="CL180" i="28"/>
  <c r="CM180" i="28"/>
  <c r="CN180" i="28"/>
  <c r="CO180" i="28"/>
  <c r="CP180" i="28"/>
  <c r="CQ180" i="28"/>
  <c r="CR180" i="28"/>
  <c r="CS180" i="28"/>
  <c r="CE181" i="28"/>
  <c r="CF181" i="28"/>
  <c r="CG181" i="28"/>
  <c r="CH181" i="28"/>
  <c r="CI181" i="28"/>
  <c r="CK181" i="28"/>
  <c r="CL181" i="28"/>
  <c r="CM181" i="28"/>
  <c r="CN181" i="28"/>
  <c r="CO181" i="28"/>
  <c r="CP181" i="28"/>
  <c r="CQ181" i="28"/>
  <c r="CR181" i="28"/>
  <c r="CS181" i="28"/>
  <c r="CE182" i="28"/>
  <c r="CF182" i="28"/>
  <c r="CG182" i="28"/>
  <c r="CH182" i="28"/>
  <c r="CI182" i="28"/>
  <c r="CK182" i="28"/>
  <c r="CL182" i="28"/>
  <c r="CM182" i="28"/>
  <c r="CN182" i="28"/>
  <c r="CO182" i="28"/>
  <c r="CP182" i="28"/>
  <c r="CQ182" i="28"/>
  <c r="CR182" i="28"/>
  <c r="CS182" i="28"/>
  <c r="CE183" i="28"/>
  <c r="CF183" i="28"/>
  <c r="CG183" i="28"/>
  <c r="CH183" i="28"/>
  <c r="CI183" i="28"/>
  <c r="CK183" i="28"/>
  <c r="CL183" i="28"/>
  <c r="CM183" i="28"/>
  <c r="CN183" i="28"/>
  <c r="CO183" i="28"/>
  <c r="CP183" i="28"/>
  <c r="CQ183" i="28"/>
  <c r="CR183" i="28"/>
  <c r="CS183" i="28"/>
  <c r="CE184" i="28"/>
  <c r="CF184" i="28"/>
  <c r="CG184" i="28"/>
  <c r="CH184" i="28"/>
  <c r="CI184" i="28"/>
  <c r="CK184" i="28"/>
  <c r="CL184" i="28"/>
  <c r="CM184" i="28"/>
  <c r="CN184" i="28"/>
  <c r="CO184" i="28"/>
  <c r="CP184" i="28"/>
  <c r="CQ184" i="28"/>
  <c r="CR184" i="28"/>
  <c r="CS184" i="28"/>
  <c r="CE185" i="28"/>
  <c r="CF185" i="28"/>
  <c r="CG185" i="28"/>
  <c r="CH185" i="28"/>
  <c r="CI185" i="28"/>
  <c r="CK185" i="28"/>
  <c r="CL185" i="28"/>
  <c r="CM185" i="28"/>
  <c r="CN185" i="28"/>
  <c r="CO185" i="28"/>
  <c r="CP185" i="28"/>
  <c r="CQ185" i="28"/>
  <c r="CR185" i="28"/>
  <c r="CS185" i="28"/>
  <c r="CE186" i="28"/>
  <c r="CF186" i="28"/>
  <c r="CG186" i="28"/>
  <c r="CH186" i="28"/>
  <c r="CI186" i="28"/>
  <c r="CK186" i="28"/>
  <c r="CL186" i="28"/>
  <c r="CM186" i="28"/>
  <c r="CN186" i="28"/>
  <c r="CO186" i="28"/>
  <c r="CP186" i="28"/>
  <c r="CQ186" i="28"/>
  <c r="CR186" i="28"/>
  <c r="CS186" i="28"/>
  <c r="CE187" i="28"/>
  <c r="CF187" i="28"/>
  <c r="CG187" i="28"/>
  <c r="CH187" i="28"/>
  <c r="CI187" i="28"/>
  <c r="CK187" i="28"/>
  <c r="CL187" i="28"/>
  <c r="CM187" i="28"/>
  <c r="CN187" i="28"/>
  <c r="CO187" i="28"/>
  <c r="CP187" i="28"/>
  <c r="CQ187" i="28"/>
  <c r="CR187" i="28"/>
  <c r="CS187" i="28"/>
  <c r="CE188" i="28"/>
  <c r="CF188" i="28"/>
  <c r="CG188" i="28"/>
  <c r="CH188" i="28"/>
  <c r="CI188" i="28"/>
  <c r="CK188" i="28"/>
  <c r="CL188" i="28"/>
  <c r="CM188" i="28"/>
  <c r="CN188" i="28"/>
  <c r="CO188" i="28"/>
  <c r="CP188" i="28"/>
  <c r="CQ188" i="28"/>
  <c r="CR188" i="28"/>
  <c r="CS188" i="28"/>
  <c r="CE189" i="28"/>
  <c r="CF189" i="28"/>
  <c r="CG189" i="28"/>
  <c r="CH189" i="28"/>
  <c r="CI189" i="28"/>
  <c r="CK189" i="28"/>
  <c r="CL189" i="28"/>
  <c r="CM189" i="28"/>
  <c r="CN189" i="28"/>
  <c r="CO189" i="28"/>
  <c r="CP189" i="28"/>
  <c r="CQ189" i="28"/>
  <c r="CR189" i="28"/>
  <c r="CS189" i="28"/>
  <c r="CE190" i="28"/>
  <c r="CF190" i="28"/>
  <c r="CG190" i="28"/>
  <c r="CH190" i="28"/>
  <c r="CI190" i="28"/>
  <c r="CK190" i="28"/>
  <c r="CL190" i="28"/>
  <c r="CM190" i="28"/>
  <c r="CN190" i="28"/>
  <c r="CO190" i="28"/>
  <c r="CP190" i="28"/>
  <c r="CQ190" i="28"/>
  <c r="CR190" i="28"/>
  <c r="CS190" i="28"/>
  <c r="CE191" i="28"/>
  <c r="CF191" i="28"/>
  <c r="CG191" i="28"/>
  <c r="CH191" i="28"/>
  <c r="CI191" i="28"/>
  <c r="CK191" i="28"/>
  <c r="CL191" i="28"/>
  <c r="CM191" i="28"/>
  <c r="CN191" i="28"/>
  <c r="CO191" i="28"/>
  <c r="CP191" i="28"/>
  <c r="CQ191" i="28"/>
  <c r="CR191" i="28"/>
  <c r="CS191" i="28"/>
  <c r="CE192" i="28"/>
  <c r="CF192" i="28"/>
  <c r="CG192" i="28"/>
  <c r="CH192" i="28"/>
  <c r="CI192" i="28"/>
  <c r="CK192" i="28"/>
  <c r="CL192" i="28"/>
  <c r="CM192" i="28"/>
  <c r="CN192" i="28"/>
  <c r="CO192" i="28"/>
  <c r="CP192" i="28"/>
  <c r="CQ192" i="28"/>
  <c r="CR192" i="28"/>
  <c r="CS192" i="28"/>
  <c r="CE193" i="28"/>
  <c r="CF193" i="28"/>
  <c r="CG193" i="28"/>
  <c r="CH193" i="28"/>
  <c r="CI193" i="28"/>
  <c r="CK193" i="28"/>
  <c r="CL193" i="28"/>
  <c r="CM193" i="28"/>
  <c r="CN193" i="28"/>
  <c r="CO193" i="28"/>
  <c r="CP193" i="28"/>
  <c r="CQ193" i="28"/>
  <c r="CR193" i="28"/>
  <c r="CS193" i="28"/>
  <c r="CE194" i="28"/>
  <c r="CF194" i="28"/>
  <c r="CG194" i="28"/>
  <c r="CH194" i="28"/>
  <c r="CI194" i="28"/>
  <c r="CK194" i="28"/>
  <c r="CL194" i="28"/>
  <c r="CM194" i="28"/>
  <c r="CN194" i="28"/>
  <c r="CO194" i="28"/>
  <c r="CP194" i="28"/>
  <c r="CQ194" i="28"/>
  <c r="CR194" i="28"/>
  <c r="CS194" i="28"/>
  <c r="CE195" i="28"/>
  <c r="CF195" i="28"/>
  <c r="CG195" i="28"/>
  <c r="CH195" i="28"/>
  <c r="CI195" i="28"/>
  <c r="CK195" i="28"/>
  <c r="CL195" i="28"/>
  <c r="CM195" i="28"/>
  <c r="CN195" i="28"/>
  <c r="CO195" i="28"/>
  <c r="CP195" i="28"/>
  <c r="CQ195" i="28"/>
  <c r="CR195" i="28"/>
  <c r="CS195" i="28"/>
  <c r="CE196" i="28"/>
  <c r="CF196" i="28"/>
  <c r="CG196" i="28"/>
  <c r="CH196" i="28"/>
  <c r="CI196" i="28"/>
  <c r="CK196" i="28"/>
  <c r="CL196" i="28"/>
  <c r="CM196" i="28"/>
  <c r="CN196" i="28"/>
  <c r="CO196" i="28"/>
  <c r="CP196" i="28"/>
  <c r="CQ196" i="28"/>
  <c r="CR196" i="28"/>
  <c r="CS196" i="28"/>
  <c r="CE197" i="28"/>
  <c r="CF197" i="28"/>
  <c r="CG197" i="28"/>
  <c r="CH197" i="28"/>
  <c r="CI197" i="28"/>
  <c r="CK197" i="28"/>
  <c r="CL197" i="28"/>
  <c r="CM197" i="28"/>
  <c r="CN197" i="28"/>
  <c r="CO197" i="28"/>
  <c r="CP197" i="28"/>
  <c r="CQ197" i="28"/>
  <c r="CR197" i="28"/>
  <c r="CS197" i="28"/>
  <c r="CE198" i="28"/>
  <c r="CF198" i="28"/>
  <c r="CG198" i="28"/>
  <c r="CH198" i="28"/>
  <c r="CI198" i="28"/>
  <c r="CK198" i="28"/>
  <c r="CL198" i="28"/>
  <c r="CM198" i="28"/>
  <c r="CN198" i="28"/>
  <c r="CO198" i="28"/>
  <c r="CP198" i="28"/>
  <c r="CQ198" i="28"/>
  <c r="CR198" i="28"/>
  <c r="CS198" i="28"/>
  <c r="CE199" i="28"/>
  <c r="CF199" i="28"/>
  <c r="CG199" i="28"/>
  <c r="CH199" i="28"/>
  <c r="CI199" i="28"/>
  <c r="CK199" i="28"/>
  <c r="CL199" i="28"/>
  <c r="CM199" i="28"/>
  <c r="CN199" i="28"/>
  <c r="CO199" i="28"/>
  <c r="CP199" i="28"/>
  <c r="CQ199" i="28"/>
  <c r="CR199" i="28"/>
  <c r="CS199" i="28"/>
  <c r="CE200" i="28"/>
  <c r="CF200" i="28"/>
  <c r="CG200" i="28"/>
  <c r="CH200" i="28"/>
  <c r="CI200" i="28"/>
  <c r="CK200" i="28"/>
  <c r="CL200" i="28"/>
  <c r="CM200" i="28"/>
  <c r="CN200" i="28"/>
  <c r="CO200" i="28"/>
  <c r="CP200" i="28"/>
  <c r="CQ200" i="28"/>
  <c r="CR200" i="28"/>
  <c r="CS200" i="28"/>
  <c r="CE201" i="28"/>
  <c r="CF201" i="28"/>
  <c r="CG201" i="28"/>
  <c r="CH201" i="28"/>
  <c r="CI201" i="28"/>
  <c r="CK201" i="28"/>
  <c r="CL201" i="28"/>
  <c r="CM201" i="28"/>
  <c r="CN201" i="28"/>
  <c r="CO201" i="28"/>
  <c r="CP201" i="28"/>
  <c r="CQ201" i="28"/>
  <c r="CR201" i="28"/>
  <c r="CS201" i="28"/>
  <c r="CE202" i="28"/>
  <c r="CF202" i="28"/>
  <c r="CG202" i="28"/>
  <c r="CH202" i="28"/>
  <c r="CI202" i="28"/>
  <c r="CK202" i="28"/>
  <c r="CL202" i="28"/>
  <c r="CM202" i="28"/>
  <c r="CN202" i="28"/>
  <c r="CO202" i="28"/>
  <c r="CP202" i="28"/>
  <c r="CQ202" i="28"/>
  <c r="CR202" i="28"/>
  <c r="CS202" i="28"/>
  <c r="CE203" i="28"/>
  <c r="CF203" i="28"/>
  <c r="CG203" i="28"/>
  <c r="CH203" i="28"/>
  <c r="CI203" i="28"/>
  <c r="CK203" i="28"/>
  <c r="CL203" i="28"/>
  <c r="CM203" i="28"/>
  <c r="CN203" i="28"/>
  <c r="CO203" i="28"/>
  <c r="CP203" i="28"/>
  <c r="CQ203" i="28"/>
  <c r="CR203" i="28"/>
  <c r="CS203" i="28"/>
  <c r="CE204" i="28"/>
  <c r="CF204" i="28"/>
  <c r="CG204" i="28"/>
  <c r="CH204" i="28"/>
  <c r="CI204" i="28"/>
  <c r="CK204" i="28"/>
  <c r="CL204" i="28"/>
  <c r="CM204" i="28"/>
  <c r="CN204" i="28"/>
  <c r="CO204" i="28"/>
  <c r="CP204" i="28"/>
  <c r="CQ204" i="28"/>
  <c r="CR204" i="28"/>
  <c r="CS204" i="28"/>
  <c r="CE205" i="28"/>
  <c r="CF205" i="28"/>
  <c r="CG205" i="28"/>
  <c r="CH205" i="28"/>
  <c r="CI205" i="28"/>
  <c r="CK205" i="28"/>
  <c r="CL205" i="28"/>
  <c r="CM205" i="28"/>
  <c r="CN205" i="28"/>
  <c r="CO205" i="28"/>
  <c r="CP205" i="28"/>
  <c r="CQ205" i="28"/>
  <c r="CR205" i="28"/>
  <c r="CS205" i="28"/>
  <c r="CE206" i="28"/>
  <c r="CF206" i="28"/>
  <c r="CG206" i="28"/>
  <c r="CH206" i="28"/>
  <c r="CI206" i="28"/>
  <c r="CK206" i="28"/>
  <c r="CL206" i="28"/>
  <c r="CM206" i="28"/>
  <c r="CN206" i="28"/>
  <c r="CO206" i="28"/>
  <c r="CP206" i="28"/>
  <c r="CQ206" i="28"/>
  <c r="CR206" i="28"/>
  <c r="CS206" i="28"/>
  <c r="CE207" i="28"/>
  <c r="CF207" i="28"/>
  <c r="CG207" i="28"/>
  <c r="CH207" i="28"/>
  <c r="CI207" i="28"/>
  <c r="CK207" i="28"/>
  <c r="CL207" i="28"/>
  <c r="CM207" i="28"/>
  <c r="CN207" i="28"/>
  <c r="CO207" i="28"/>
  <c r="CP207" i="28"/>
  <c r="CQ207" i="28"/>
  <c r="CR207" i="28"/>
  <c r="CS207" i="28"/>
  <c r="CE208" i="28"/>
  <c r="CF208" i="28"/>
  <c r="CG208" i="28"/>
  <c r="CH208" i="28"/>
  <c r="CI208" i="28"/>
  <c r="CK208" i="28"/>
  <c r="CL208" i="28"/>
  <c r="CM208" i="28"/>
  <c r="CN208" i="28"/>
  <c r="CO208" i="28"/>
  <c r="CP208" i="28"/>
  <c r="CQ208" i="28"/>
  <c r="CR208" i="28"/>
  <c r="CS208" i="28"/>
  <c r="CE209" i="28"/>
  <c r="CF209" i="28"/>
  <c r="CG209" i="28"/>
  <c r="CH209" i="28"/>
  <c r="CI209" i="28"/>
  <c r="CK209" i="28"/>
  <c r="CL209" i="28"/>
  <c r="CM209" i="28"/>
  <c r="CN209" i="28"/>
  <c r="CO209" i="28"/>
  <c r="CP209" i="28"/>
  <c r="CQ209" i="28"/>
  <c r="CR209" i="28"/>
  <c r="CS209" i="28"/>
  <c r="CE210" i="28"/>
  <c r="CF210" i="28"/>
  <c r="CG210" i="28"/>
  <c r="CH210" i="28"/>
  <c r="CI210" i="28"/>
  <c r="CK210" i="28"/>
  <c r="CL210" i="28"/>
  <c r="CM210" i="28"/>
  <c r="CN210" i="28"/>
  <c r="CO210" i="28"/>
  <c r="CP210" i="28"/>
  <c r="CQ210" i="28"/>
  <c r="CR210" i="28"/>
  <c r="CS210" i="28"/>
  <c r="CE211" i="28"/>
  <c r="CF211" i="28"/>
  <c r="CG211" i="28"/>
  <c r="CH211" i="28"/>
  <c r="CI211" i="28"/>
  <c r="CK211" i="28"/>
  <c r="CL211" i="28"/>
  <c r="CM211" i="28"/>
  <c r="CN211" i="28"/>
  <c r="CO211" i="28"/>
  <c r="CP211" i="28"/>
  <c r="CQ211" i="28"/>
  <c r="CR211" i="28"/>
  <c r="CS211" i="28"/>
  <c r="CE212" i="28"/>
  <c r="CF212" i="28"/>
  <c r="CG212" i="28"/>
  <c r="CH212" i="28"/>
  <c r="CI212" i="28"/>
  <c r="CK212" i="28"/>
  <c r="CL212" i="28"/>
  <c r="CM212" i="28"/>
  <c r="CN212" i="28"/>
  <c r="CO212" i="28"/>
  <c r="CP212" i="28"/>
  <c r="CQ212" i="28"/>
  <c r="CR212" i="28"/>
  <c r="CS212" i="28"/>
  <c r="CE213" i="28"/>
  <c r="CF213" i="28"/>
  <c r="CG213" i="28"/>
  <c r="CH213" i="28"/>
  <c r="CI213" i="28"/>
  <c r="CK213" i="28"/>
  <c r="CL213" i="28"/>
  <c r="CM213" i="28"/>
  <c r="CN213" i="28"/>
  <c r="CO213" i="28"/>
  <c r="CP213" i="28"/>
  <c r="CQ213" i="28"/>
  <c r="CR213" i="28"/>
  <c r="CS213" i="28"/>
  <c r="CE214" i="28"/>
  <c r="CF214" i="28"/>
  <c r="CG214" i="28"/>
  <c r="CH214" i="28"/>
  <c r="CI214" i="28"/>
  <c r="CK214" i="28"/>
  <c r="CL214" i="28"/>
  <c r="CM214" i="28"/>
  <c r="CN214" i="28"/>
  <c r="CO214" i="28"/>
  <c r="CP214" i="28"/>
  <c r="CQ214" i="28"/>
  <c r="CR214" i="28"/>
  <c r="CS214" i="28"/>
  <c r="CE215" i="28"/>
  <c r="CF215" i="28"/>
  <c r="CG215" i="28"/>
  <c r="CH215" i="28"/>
  <c r="CI215" i="28"/>
  <c r="CK215" i="28"/>
  <c r="CL215" i="28"/>
  <c r="CM215" i="28"/>
  <c r="CN215" i="28"/>
  <c r="CO215" i="28"/>
  <c r="CP215" i="28"/>
  <c r="CQ215" i="28"/>
  <c r="CR215" i="28"/>
  <c r="CS215" i="28"/>
  <c r="CE216" i="28"/>
  <c r="CF216" i="28"/>
  <c r="CG216" i="28"/>
  <c r="CH216" i="28"/>
  <c r="CI216" i="28"/>
  <c r="CK216" i="28"/>
  <c r="CL216" i="28"/>
  <c r="CM216" i="28"/>
  <c r="CN216" i="28"/>
  <c r="CO216" i="28"/>
  <c r="CP216" i="28"/>
  <c r="CQ216" i="28"/>
  <c r="CR216" i="28"/>
  <c r="CS216" i="28"/>
  <c r="CE217" i="28"/>
  <c r="CF217" i="28"/>
  <c r="CG217" i="28"/>
  <c r="CH217" i="28"/>
  <c r="CI217" i="28"/>
  <c r="CK217" i="28"/>
  <c r="CL217" i="28"/>
  <c r="CM217" i="28"/>
  <c r="CN217" i="28"/>
  <c r="CO217" i="28"/>
  <c r="CP217" i="28"/>
  <c r="CQ217" i="28"/>
  <c r="CR217" i="28"/>
  <c r="CS217" i="28"/>
  <c r="CE218" i="28"/>
  <c r="CF218" i="28"/>
  <c r="CG218" i="28"/>
  <c r="CH218" i="28"/>
  <c r="CI218" i="28"/>
  <c r="CK218" i="28"/>
  <c r="CL218" i="28"/>
  <c r="CM218" i="28"/>
  <c r="CN218" i="28"/>
  <c r="CO218" i="28"/>
  <c r="CP218" i="28"/>
  <c r="CQ218" i="28"/>
  <c r="CR218" i="28"/>
  <c r="CS218" i="28"/>
  <c r="CE219" i="28"/>
  <c r="CF219" i="28"/>
  <c r="CG219" i="28"/>
  <c r="CH219" i="28"/>
  <c r="CI219" i="28"/>
  <c r="CK219" i="28"/>
  <c r="CL219" i="28"/>
  <c r="CM219" i="28"/>
  <c r="CN219" i="28"/>
  <c r="CO219" i="28"/>
  <c r="CP219" i="28"/>
  <c r="CQ219" i="28"/>
  <c r="CR219" i="28"/>
  <c r="CS219" i="28"/>
  <c r="CE220" i="28"/>
  <c r="CF220" i="28"/>
  <c r="CG220" i="28"/>
  <c r="CH220" i="28"/>
  <c r="CI220" i="28"/>
  <c r="CK220" i="28"/>
  <c r="CL220" i="28"/>
  <c r="CM220" i="28"/>
  <c r="CN220" i="28"/>
  <c r="CO220" i="28"/>
  <c r="CP220" i="28"/>
  <c r="CQ220" i="28"/>
  <c r="CR220" i="28"/>
  <c r="CS220" i="28"/>
  <c r="CE221" i="28"/>
  <c r="CF221" i="28"/>
  <c r="CG221" i="28"/>
  <c r="CH221" i="28"/>
  <c r="CI221" i="28"/>
  <c r="CK221" i="28"/>
  <c r="CL221" i="28"/>
  <c r="CM221" i="28"/>
  <c r="CN221" i="28"/>
  <c r="CO221" i="28"/>
  <c r="CP221" i="28"/>
  <c r="CQ221" i="28"/>
  <c r="CR221" i="28"/>
  <c r="CS221" i="28"/>
  <c r="CE222" i="28"/>
  <c r="CF222" i="28"/>
  <c r="CG222" i="28"/>
  <c r="CH222" i="28"/>
  <c r="CI222" i="28"/>
  <c r="CK222" i="28"/>
  <c r="CL222" i="28"/>
  <c r="CM222" i="28"/>
  <c r="CN222" i="28"/>
  <c r="CO222" i="28"/>
  <c r="CP222" i="28"/>
  <c r="CQ222" i="28"/>
  <c r="CR222" i="28"/>
  <c r="CS222" i="28"/>
  <c r="CE223" i="28"/>
  <c r="CF223" i="28"/>
  <c r="CG223" i="28"/>
  <c r="CH223" i="28"/>
  <c r="CI223" i="28"/>
  <c r="CK223" i="28"/>
  <c r="CL223" i="28"/>
  <c r="CM223" i="28"/>
  <c r="CN223" i="28"/>
  <c r="CO223" i="28"/>
  <c r="CP223" i="28"/>
  <c r="CQ223" i="28"/>
  <c r="CR223" i="28"/>
  <c r="CS223" i="28"/>
  <c r="CE224" i="28"/>
  <c r="CF224" i="28"/>
  <c r="CG224" i="28"/>
  <c r="CH224" i="28"/>
  <c r="CI224" i="28"/>
  <c r="CK224" i="28"/>
  <c r="CL224" i="28"/>
  <c r="CM224" i="28"/>
  <c r="CN224" i="28"/>
  <c r="CO224" i="28"/>
  <c r="CP224" i="28"/>
  <c r="CQ224" i="28"/>
  <c r="CR224" i="28"/>
  <c r="CS224" i="28"/>
  <c r="CE225" i="28"/>
  <c r="CF225" i="28"/>
  <c r="CG225" i="28"/>
  <c r="CH225" i="28"/>
  <c r="CI225" i="28"/>
  <c r="CK225" i="28"/>
  <c r="CL225" i="28"/>
  <c r="CM225" i="28"/>
  <c r="CN225" i="28"/>
  <c r="CO225" i="28"/>
  <c r="CP225" i="28"/>
  <c r="CQ225" i="28"/>
  <c r="CR225" i="28"/>
  <c r="CS225" i="28"/>
  <c r="CE226" i="28"/>
  <c r="CF226" i="28"/>
  <c r="CG226" i="28"/>
  <c r="CH226" i="28"/>
  <c r="CI226" i="28"/>
  <c r="CK226" i="28"/>
  <c r="CL226" i="28"/>
  <c r="CM226" i="28"/>
  <c r="CN226" i="28"/>
  <c r="CO226" i="28"/>
  <c r="CP226" i="28"/>
  <c r="CQ226" i="28"/>
  <c r="CR226" i="28"/>
  <c r="CS226" i="28"/>
  <c r="CE227" i="28"/>
  <c r="CF227" i="28"/>
  <c r="CG227" i="28"/>
  <c r="CH227" i="28"/>
  <c r="CI227" i="28"/>
  <c r="CK227" i="28"/>
  <c r="CL227" i="28"/>
  <c r="CM227" i="28"/>
  <c r="CN227" i="28"/>
  <c r="CO227" i="28"/>
  <c r="CP227" i="28"/>
  <c r="CQ227" i="28"/>
  <c r="CR227" i="28"/>
  <c r="CS227" i="28"/>
  <c r="CE228" i="28"/>
  <c r="CF228" i="28"/>
  <c r="CG228" i="28"/>
  <c r="CH228" i="28"/>
  <c r="CI228" i="28"/>
  <c r="CK228" i="28"/>
  <c r="CL228" i="28"/>
  <c r="CM228" i="28"/>
  <c r="CN228" i="28"/>
  <c r="CO228" i="28"/>
  <c r="CP228" i="28"/>
  <c r="CQ228" i="28"/>
  <c r="CR228" i="28"/>
  <c r="CS228" i="28"/>
  <c r="CE229" i="28"/>
  <c r="CF229" i="28"/>
  <c r="CG229" i="28"/>
  <c r="CH229" i="28"/>
  <c r="CI229" i="28"/>
  <c r="CK229" i="28"/>
  <c r="CL229" i="28"/>
  <c r="CM229" i="28"/>
  <c r="CN229" i="28"/>
  <c r="CO229" i="28"/>
  <c r="CP229" i="28"/>
  <c r="CQ229" i="28"/>
  <c r="CR229" i="28"/>
  <c r="CS229" i="28"/>
  <c r="CE230" i="28"/>
  <c r="CF230" i="28"/>
  <c r="CG230" i="28"/>
  <c r="CH230" i="28"/>
  <c r="CI230" i="28"/>
  <c r="CK230" i="28"/>
  <c r="CL230" i="28"/>
  <c r="CM230" i="28"/>
  <c r="CN230" i="28"/>
  <c r="CO230" i="28"/>
  <c r="CP230" i="28"/>
  <c r="CQ230" i="28"/>
  <c r="CR230" i="28"/>
  <c r="CS230" i="28"/>
  <c r="CE231" i="28"/>
  <c r="CF231" i="28"/>
  <c r="CG231" i="28"/>
  <c r="CH231" i="28"/>
  <c r="CI231" i="28"/>
  <c r="CK231" i="28"/>
  <c r="CL231" i="28"/>
  <c r="CM231" i="28"/>
  <c r="CN231" i="28"/>
  <c r="CO231" i="28"/>
  <c r="CP231" i="28"/>
  <c r="CQ231" i="28"/>
  <c r="CR231" i="28"/>
  <c r="CS231" i="28"/>
  <c r="CE232" i="28"/>
  <c r="CF232" i="28"/>
  <c r="CG232" i="28"/>
  <c r="CH232" i="28"/>
  <c r="CI232" i="28"/>
  <c r="CK232" i="28"/>
  <c r="CL232" i="28"/>
  <c r="CM232" i="28"/>
  <c r="CN232" i="28"/>
  <c r="CO232" i="28"/>
  <c r="CP232" i="28"/>
  <c r="CQ232" i="28"/>
  <c r="CR232" i="28"/>
  <c r="CS232" i="28"/>
  <c r="CE233" i="28"/>
  <c r="CF233" i="28"/>
  <c r="CG233" i="28"/>
  <c r="CH233" i="28"/>
  <c r="CI233" i="28"/>
  <c r="CK233" i="28"/>
  <c r="CL233" i="28"/>
  <c r="CM233" i="28"/>
  <c r="CN233" i="28"/>
  <c r="CO233" i="28"/>
  <c r="CP233" i="28"/>
  <c r="CQ233" i="28"/>
  <c r="CR233" i="28"/>
  <c r="CS233" i="28"/>
  <c r="CE234" i="28"/>
  <c r="CF234" i="28"/>
  <c r="CG234" i="28"/>
  <c r="CH234" i="28"/>
  <c r="CI234" i="28"/>
  <c r="CK234" i="28"/>
  <c r="CL234" i="28"/>
  <c r="CM234" i="28"/>
  <c r="CN234" i="28"/>
  <c r="CO234" i="28"/>
  <c r="CP234" i="28"/>
  <c r="CQ234" i="28"/>
  <c r="CR234" i="28"/>
  <c r="CS234" i="28"/>
  <c r="CE235" i="28"/>
  <c r="CF235" i="28"/>
  <c r="CG235" i="28"/>
  <c r="CH235" i="28"/>
  <c r="CI235" i="28"/>
  <c r="CK235" i="28"/>
  <c r="CL235" i="28"/>
  <c r="CM235" i="28"/>
  <c r="CN235" i="28"/>
  <c r="CO235" i="28"/>
  <c r="CP235" i="28"/>
  <c r="CQ235" i="28"/>
  <c r="CR235" i="28"/>
  <c r="CS235" i="28"/>
  <c r="CE236" i="28"/>
  <c r="CF236" i="28"/>
  <c r="CG236" i="28"/>
  <c r="CH236" i="28"/>
  <c r="CI236" i="28"/>
  <c r="CK236" i="28"/>
  <c r="CL236" i="28"/>
  <c r="CM236" i="28"/>
  <c r="CN236" i="28"/>
  <c r="CO236" i="28"/>
  <c r="CP236" i="28"/>
  <c r="CQ236" i="28"/>
  <c r="CR236" i="28"/>
  <c r="CS236" i="28"/>
  <c r="CE237" i="28"/>
  <c r="CF237" i="28"/>
  <c r="CG237" i="28"/>
  <c r="CH237" i="28"/>
  <c r="CI237" i="28"/>
  <c r="CK237" i="28"/>
  <c r="CL237" i="28"/>
  <c r="CM237" i="28"/>
  <c r="CN237" i="28"/>
  <c r="CO237" i="28"/>
  <c r="CP237" i="28"/>
  <c r="CQ237" i="28"/>
  <c r="CR237" i="28"/>
  <c r="CS237" i="28"/>
  <c r="CE238" i="28"/>
  <c r="CF238" i="28"/>
  <c r="CG238" i="28"/>
  <c r="CH238" i="28"/>
  <c r="CI238" i="28"/>
  <c r="CK238" i="28"/>
  <c r="CL238" i="28"/>
  <c r="CM238" i="28"/>
  <c r="CN238" i="28"/>
  <c r="CO238" i="28"/>
  <c r="CP238" i="28"/>
  <c r="CQ238" i="28"/>
  <c r="CR238" i="28"/>
  <c r="CS238" i="28"/>
  <c r="CE239" i="28"/>
  <c r="CF239" i="28"/>
  <c r="CG239" i="28"/>
  <c r="CH239" i="28"/>
  <c r="CI239" i="28"/>
  <c r="CK239" i="28"/>
  <c r="CL239" i="28"/>
  <c r="CM239" i="28"/>
  <c r="CN239" i="28"/>
  <c r="CO239" i="28"/>
  <c r="CP239" i="28"/>
  <c r="CQ239" i="28"/>
  <c r="CR239" i="28"/>
  <c r="CS239" i="28"/>
  <c r="CE240" i="28"/>
  <c r="CF240" i="28"/>
  <c r="CG240" i="28"/>
  <c r="CH240" i="28"/>
  <c r="CI240" i="28"/>
  <c r="CK240" i="28"/>
  <c r="CL240" i="28"/>
  <c r="CM240" i="28"/>
  <c r="CN240" i="28"/>
  <c r="CO240" i="28"/>
  <c r="CP240" i="28"/>
  <c r="CQ240" i="28"/>
  <c r="CR240" i="28"/>
  <c r="CS240" i="28"/>
  <c r="CE241" i="28"/>
  <c r="CF241" i="28"/>
  <c r="CG241" i="28"/>
  <c r="CH241" i="28"/>
  <c r="CI241" i="28"/>
  <c r="CK241" i="28"/>
  <c r="CL241" i="28"/>
  <c r="CM241" i="28"/>
  <c r="CN241" i="28"/>
  <c r="CO241" i="28"/>
  <c r="CP241" i="28"/>
  <c r="CQ241" i="28"/>
  <c r="CR241" i="28"/>
  <c r="CS241" i="28"/>
  <c r="CE242" i="28"/>
  <c r="CF242" i="28"/>
  <c r="CG242" i="28"/>
  <c r="CH242" i="28"/>
  <c r="CI242" i="28"/>
  <c r="CK242" i="28"/>
  <c r="CL242" i="28"/>
  <c r="CM242" i="28"/>
  <c r="CN242" i="28"/>
  <c r="CO242" i="28"/>
  <c r="CP242" i="28"/>
  <c r="CQ242" i="28"/>
  <c r="CR242" i="28"/>
  <c r="CS242" i="28"/>
  <c r="CE243" i="28"/>
  <c r="CF243" i="28"/>
  <c r="CG243" i="28"/>
  <c r="CH243" i="28"/>
  <c r="CI243" i="28"/>
  <c r="CK243" i="28"/>
  <c r="CL243" i="28"/>
  <c r="CM243" i="28"/>
  <c r="CN243" i="28"/>
  <c r="CO243" i="28"/>
  <c r="CP243" i="28"/>
  <c r="CQ243" i="28"/>
  <c r="CR243" i="28"/>
  <c r="CS243" i="28"/>
  <c r="CE244" i="28"/>
  <c r="CF244" i="28"/>
  <c r="CG244" i="28"/>
  <c r="CH244" i="28"/>
  <c r="CI244" i="28"/>
  <c r="CK244" i="28"/>
  <c r="CL244" i="28"/>
  <c r="CM244" i="28"/>
  <c r="CN244" i="28"/>
  <c r="CO244" i="28"/>
  <c r="CP244" i="28"/>
  <c r="CQ244" i="28"/>
  <c r="CR244" i="28"/>
  <c r="CS244" i="28"/>
  <c r="CE245" i="28"/>
  <c r="CF245" i="28"/>
  <c r="CG245" i="28"/>
  <c r="CH245" i="28"/>
  <c r="CI245" i="28"/>
  <c r="CK245" i="28"/>
  <c r="CL245" i="28"/>
  <c r="CM245" i="28"/>
  <c r="CN245" i="28"/>
  <c r="CO245" i="28"/>
  <c r="CP245" i="28"/>
  <c r="CQ245" i="28"/>
  <c r="CR245" i="28"/>
  <c r="CS245" i="28"/>
  <c r="CE246" i="28"/>
  <c r="CF246" i="28"/>
  <c r="CG246" i="28"/>
  <c r="CH246" i="28"/>
  <c r="CI246" i="28"/>
  <c r="CK246" i="28"/>
  <c r="CL246" i="28"/>
  <c r="CM246" i="28"/>
  <c r="CN246" i="28"/>
  <c r="CO246" i="28"/>
  <c r="CP246" i="28"/>
  <c r="CQ246" i="28"/>
  <c r="CR246" i="28"/>
  <c r="CS246" i="28"/>
  <c r="CE247" i="28"/>
  <c r="CF247" i="28"/>
  <c r="CG247" i="28"/>
  <c r="CH247" i="28"/>
  <c r="CI247" i="28"/>
  <c r="CK247" i="28"/>
  <c r="CL247" i="28"/>
  <c r="CM247" i="28"/>
  <c r="CN247" i="28"/>
  <c r="CO247" i="28"/>
  <c r="CP247" i="28"/>
  <c r="CQ247" i="28"/>
  <c r="CR247" i="28"/>
  <c r="CS247" i="28"/>
  <c r="CE248" i="28"/>
  <c r="CF248" i="28"/>
  <c r="CG248" i="28"/>
  <c r="CH248" i="28"/>
  <c r="CI248" i="28"/>
  <c r="CK248" i="28"/>
  <c r="CL248" i="28"/>
  <c r="CM248" i="28"/>
  <c r="CN248" i="28"/>
  <c r="CO248" i="28"/>
  <c r="CP248" i="28"/>
  <c r="CQ248" i="28"/>
  <c r="CR248" i="28"/>
  <c r="CS248" i="28"/>
  <c r="CE249" i="28"/>
  <c r="CF249" i="28"/>
  <c r="CG249" i="28"/>
  <c r="CH249" i="28"/>
  <c r="CI249" i="28"/>
  <c r="CK249" i="28"/>
  <c r="CL249" i="28"/>
  <c r="CM249" i="28"/>
  <c r="CN249" i="28"/>
  <c r="CO249" i="28"/>
  <c r="CP249" i="28"/>
  <c r="CQ249" i="28"/>
  <c r="CR249" i="28"/>
  <c r="CS249" i="28"/>
  <c r="CE250" i="28"/>
  <c r="CF250" i="28"/>
  <c r="CG250" i="28"/>
  <c r="CH250" i="28"/>
  <c r="CI250" i="28"/>
  <c r="CK250" i="28"/>
  <c r="CL250" i="28"/>
  <c r="CM250" i="28"/>
  <c r="CN250" i="28"/>
  <c r="CO250" i="28"/>
  <c r="CP250" i="28"/>
  <c r="CQ250" i="28"/>
  <c r="CR250" i="28"/>
  <c r="CS250" i="28"/>
  <c r="CE251" i="28"/>
  <c r="CF251" i="28"/>
  <c r="CG251" i="28"/>
  <c r="CH251" i="28"/>
  <c r="CI251" i="28"/>
  <c r="CK251" i="28"/>
  <c r="CL251" i="28"/>
  <c r="CM251" i="28"/>
  <c r="CN251" i="28"/>
  <c r="CO251" i="28"/>
  <c r="CP251" i="28"/>
  <c r="CQ251" i="28"/>
  <c r="CR251" i="28"/>
  <c r="CS251" i="28"/>
  <c r="CE252" i="28"/>
  <c r="CF252" i="28"/>
  <c r="CG252" i="28"/>
  <c r="CH252" i="28"/>
  <c r="CI252" i="28"/>
  <c r="CK252" i="28"/>
  <c r="CL252" i="28"/>
  <c r="CM252" i="28"/>
  <c r="CN252" i="28"/>
  <c r="CO252" i="28"/>
  <c r="CP252" i="28"/>
  <c r="CQ252" i="28"/>
  <c r="CR252" i="28"/>
  <c r="CS252" i="28"/>
  <c r="CE253" i="28"/>
  <c r="CF253" i="28"/>
  <c r="CG253" i="28"/>
  <c r="CH253" i="28"/>
  <c r="CI253" i="28"/>
  <c r="CK253" i="28"/>
  <c r="CL253" i="28"/>
  <c r="CM253" i="28"/>
  <c r="CN253" i="28"/>
  <c r="CO253" i="28"/>
  <c r="CP253" i="28"/>
  <c r="CQ253" i="28"/>
  <c r="CR253" i="28"/>
  <c r="CS253" i="28"/>
  <c r="CE254" i="28"/>
  <c r="CF254" i="28"/>
  <c r="CG254" i="28"/>
  <c r="CH254" i="28"/>
  <c r="CI254" i="28"/>
  <c r="CK254" i="28"/>
  <c r="CL254" i="28"/>
  <c r="CM254" i="28"/>
  <c r="CN254" i="28"/>
  <c r="CO254" i="28"/>
  <c r="CP254" i="28"/>
  <c r="CQ254" i="28"/>
  <c r="CR254" i="28"/>
  <c r="CS254" i="28"/>
  <c r="CE255" i="28"/>
  <c r="CF255" i="28"/>
  <c r="CG255" i="28"/>
  <c r="CH255" i="28"/>
  <c r="CI255" i="28"/>
  <c r="CK255" i="28"/>
  <c r="CL255" i="28"/>
  <c r="CM255" i="28"/>
  <c r="CN255" i="28"/>
  <c r="CO255" i="28"/>
  <c r="CP255" i="28"/>
  <c r="CQ255" i="28"/>
  <c r="CR255" i="28"/>
  <c r="CS255" i="28"/>
  <c r="CE256" i="28"/>
  <c r="CF256" i="28"/>
  <c r="CG256" i="28"/>
  <c r="CH256" i="28"/>
  <c r="CI256" i="28"/>
  <c r="CK256" i="28"/>
  <c r="CL256" i="28"/>
  <c r="CM256" i="28"/>
  <c r="CN256" i="28"/>
  <c r="CO256" i="28"/>
  <c r="CP256" i="28"/>
  <c r="CQ256" i="28"/>
  <c r="CR256" i="28"/>
  <c r="CS256" i="28"/>
  <c r="CE257" i="28"/>
  <c r="CF257" i="28"/>
  <c r="CG257" i="28"/>
  <c r="CH257" i="28"/>
  <c r="CI257" i="28"/>
  <c r="CK257" i="28"/>
  <c r="CL257" i="28"/>
  <c r="CM257" i="28"/>
  <c r="CN257" i="28"/>
  <c r="CO257" i="28"/>
  <c r="CP257" i="28"/>
  <c r="CQ257" i="28"/>
  <c r="CR257" i="28"/>
  <c r="CS257" i="28"/>
  <c r="CE258" i="28"/>
  <c r="CF258" i="28"/>
  <c r="CG258" i="28"/>
  <c r="CH258" i="28"/>
  <c r="CI258" i="28"/>
  <c r="CK258" i="28"/>
  <c r="CL258" i="28"/>
  <c r="CM258" i="28"/>
  <c r="CN258" i="28"/>
  <c r="CO258" i="28"/>
  <c r="CP258" i="28"/>
  <c r="CQ258" i="28"/>
  <c r="CR258" i="28"/>
  <c r="CS258" i="28"/>
  <c r="CE259" i="28"/>
  <c r="CF259" i="28"/>
  <c r="CG259" i="28"/>
  <c r="CH259" i="28"/>
  <c r="CI259" i="28"/>
  <c r="CK259" i="28"/>
  <c r="CL259" i="28"/>
  <c r="CM259" i="28"/>
  <c r="CN259" i="28"/>
  <c r="CO259" i="28"/>
  <c r="CP259" i="28"/>
  <c r="CQ259" i="28"/>
  <c r="CR259" i="28"/>
  <c r="CS259" i="28"/>
  <c r="CE260" i="28"/>
  <c r="CF260" i="28"/>
  <c r="CG260" i="28"/>
  <c r="CH260" i="28"/>
  <c r="CI260" i="28"/>
  <c r="CK260" i="28"/>
  <c r="CL260" i="28"/>
  <c r="CM260" i="28"/>
  <c r="CN260" i="28"/>
  <c r="CO260" i="28"/>
  <c r="CP260" i="28"/>
  <c r="CQ260" i="28"/>
  <c r="CR260" i="28"/>
  <c r="CS260" i="28"/>
  <c r="CE261" i="28"/>
  <c r="CF261" i="28"/>
  <c r="CG261" i="28"/>
  <c r="CH261" i="28"/>
  <c r="CI261" i="28"/>
  <c r="CK261" i="28"/>
  <c r="CL261" i="28"/>
  <c r="CM261" i="28"/>
  <c r="CN261" i="28"/>
  <c r="CO261" i="28"/>
  <c r="CP261" i="28"/>
  <c r="CQ261" i="28"/>
  <c r="CR261" i="28"/>
  <c r="CS261" i="28"/>
  <c r="CE262" i="28"/>
  <c r="CF262" i="28"/>
  <c r="CG262" i="28"/>
  <c r="CH262" i="28"/>
  <c r="CI262" i="28"/>
  <c r="CK262" i="28"/>
  <c r="CL262" i="28"/>
  <c r="CM262" i="28"/>
  <c r="CN262" i="28"/>
  <c r="CO262" i="28"/>
  <c r="CP262" i="28"/>
  <c r="CQ262" i="28"/>
  <c r="CR262" i="28"/>
  <c r="CS262" i="28"/>
  <c r="CE263" i="28"/>
  <c r="CF263" i="28"/>
  <c r="CG263" i="28"/>
  <c r="CH263" i="28"/>
  <c r="CI263" i="28"/>
  <c r="CK263" i="28"/>
  <c r="CL263" i="28"/>
  <c r="CM263" i="28"/>
  <c r="CN263" i="28"/>
  <c r="CO263" i="28"/>
  <c r="CP263" i="28"/>
  <c r="CQ263" i="28"/>
  <c r="CR263" i="28"/>
  <c r="CS263" i="28"/>
  <c r="CE264" i="28"/>
  <c r="CF264" i="28"/>
  <c r="CG264" i="28"/>
  <c r="CH264" i="28"/>
  <c r="CI264" i="28"/>
  <c r="CK264" i="28"/>
  <c r="CL264" i="28"/>
  <c r="CM264" i="28"/>
  <c r="CN264" i="28"/>
  <c r="CO264" i="28"/>
  <c r="CP264" i="28"/>
  <c r="CQ264" i="28"/>
  <c r="CR264" i="28"/>
  <c r="CS264" i="28"/>
  <c r="CE265" i="28"/>
  <c r="CF265" i="28"/>
  <c r="CG265" i="28"/>
  <c r="CH265" i="28"/>
  <c r="CI265" i="28"/>
  <c r="CK265" i="28"/>
  <c r="CL265" i="28"/>
  <c r="CM265" i="28"/>
  <c r="CN265" i="28"/>
  <c r="CO265" i="28"/>
  <c r="CP265" i="28"/>
  <c r="CQ265" i="28"/>
  <c r="CR265" i="28"/>
  <c r="CS265" i="28"/>
  <c r="CE266" i="28"/>
  <c r="CF266" i="28"/>
  <c r="CG266" i="28"/>
  <c r="CH266" i="28"/>
  <c r="CI266" i="28"/>
  <c r="CK266" i="28"/>
  <c r="CL266" i="28"/>
  <c r="CM266" i="28"/>
  <c r="CN266" i="28"/>
  <c r="CO266" i="28"/>
  <c r="CP266" i="28"/>
  <c r="CQ266" i="28"/>
  <c r="CR266" i="28"/>
  <c r="CS266" i="28"/>
  <c r="CE267" i="28"/>
  <c r="CF267" i="28"/>
  <c r="CG267" i="28"/>
  <c r="CH267" i="28"/>
  <c r="CI267" i="28"/>
  <c r="CK267" i="28"/>
  <c r="CL267" i="28"/>
  <c r="CM267" i="28"/>
  <c r="CN267" i="28"/>
  <c r="CO267" i="28"/>
  <c r="CP267" i="28"/>
  <c r="CQ267" i="28"/>
  <c r="CR267" i="28"/>
  <c r="CS267" i="28"/>
  <c r="CE268" i="28"/>
  <c r="CF268" i="28"/>
  <c r="CG268" i="28"/>
  <c r="CH268" i="28"/>
  <c r="CI268" i="28"/>
  <c r="CK268" i="28"/>
  <c r="CL268" i="28"/>
  <c r="CM268" i="28"/>
  <c r="CN268" i="28"/>
  <c r="CO268" i="28"/>
  <c r="CP268" i="28"/>
  <c r="CQ268" i="28"/>
  <c r="CR268" i="28"/>
  <c r="CS268" i="28"/>
  <c r="CE269" i="28"/>
  <c r="CF269" i="28"/>
  <c r="CG269" i="28"/>
  <c r="CH269" i="28"/>
  <c r="CI269" i="28"/>
  <c r="CK269" i="28"/>
  <c r="CL269" i="28"/>
  <c r="CM269" i="28"/>
  <c r="CN269" i="28"/>
  <c r="CO269" i="28"/>
  <c r="CP269" i="28"/>
  <c r="CQ269" i="28"/>
  <c r="CR269" i="28"/>
  <c r="CS269" i="28"/>
  <c r="CE270" i="28"/>
  <c r="CF270" i="28"/>
  <c r="CG270" i="28"/>
  <c r="CH270" i="28"/>
  <c r="CI270" i="28"/>
  <c r="CK270" i="28"/>
  <c r="CL270" i="28"/>
  <c r="CM270" i="28"/>
  <c r="CN270" i="28"/>
  <c r="CO270" i="28"/>
  <c r="CP270" i="28"/>
  <c r="CQ270" i="28"/>
  <c r="CR270" i="28"/>
  <c r="CS270" i="28"/>
  <c r="CE271" i="28"/>
  <c r="CF271" i="28"/>
  <c r="CG271" i="28"/>
  <c r="CH271" i="28"/>
  <c r="CI271" i="28"/>
  <c r="CK271" i="28"/>
  <c r="CL271" i="28"/>
  <c r="CM271" i="28"/>
  <c r="CN271" i="28"/>
  <c r="CO271" i="28"/>
  <c r="CP271" i="28"/>
  <c r="CQ271" i="28"/>
  <c r="CR271" i="28"/>
  <c r="CS271" i="28"/>
  <c r="CE272" i="28"/>
  <c r="CF272" i="28"/>
  <c r="CG272" i="28"/>
  <c r="CH272" i="28"/>
  <c r="CI272" i="28"/>
  <c r="CK272" i="28"/>
  <c r="CL272" i="28"/>
  <c r="CM272" i="28"/>
  <c r="CN272" i="28"/>
  <c r="CO272" i="28"/>
  <c r="CP272" i="28"/>
  <c r="CQ272" i="28"/>
  <c r="CR272" i="28"/>
  <c r="CS272" i="28"/>
  <c r="CE273" i="28"/>
  <c r="CF273" i="28"/>
  <c r="CG273" i="28"/>
  <c r="CH273" i="28"/>
  <c r="CI273" i="28"/>
  <c r="CK273" i="28"/>
  <c r="CL273" i="28"/>
  <c r="CM273" i="28"/>
  <c r="CN273" i="28"/>
  <c r="CO273" i="28"/>
  <c r="CP273" i="28"/>
  <c r="CQ273" i="28"/>
  <c r="CR273" i="28"/>
  <c r="CS273" i="28"/>
  <c r="CE274" i="28"/>
  <c r="CF274" i="28"/>
  <c r="CG274" i="28"/>
  <c r="CH274" i="28"/>
  <c r="CI274" i="28"/>
  <c r="CK274" i="28"/>
  <c r="CL274" i="28"/>
  <c r="CM274" i="28"/>
  <c r="CN274" i="28"/>
  <c r="CO274" i="28"/>
  <c r="CP274" i="28"/>
  <c r="CQ274" i="28"/>
  <c r="CR274" i="28"/>
  <c r="CS274" i="28"/>
  <c r="CE275" i="28"/>
  <c r="CF275" i="28"/>
  <c r="CG275" i="28"/>
  <c r="CH275" i="28"/>
  <c r="CI275" i="28"/>
  <c r="CK275" i="28"/>
  <c r="CL275" i="28"/>
  <c r="CM275" i="28"/>
  <c r="CN275" i="28"/>
  <c r="CO275" i="28"/>
  <c r="CP275" i="28"/>
  <c r="CQ275" i="28"/>
  <c r="CR275" i="28"/>
  <c r="CS275" i="28"/>
  <c r="CE276" i="28"/>
  <c r="CF276" i="28"/>
  <c r="CG276" i="28"/>
  <c r="CH276" i="28"/>
  <c r="CI276" i="28"/>
  <c r="CK276" i="28"/>
  <c r="CL276" i="28"/>
  <c r="CM276" i="28"/>
  <c r="CN276" i="28"/>
  <c r="CO276" i="28"/>
  <c r="CP276" i="28"/>
  <c r="CQ276" i="28"/>
  <c r="CR276" i="28"/>
  <c r="CS276" i="28"/>
  <c r="CE277" i="28"/>
  <c r="CF277" i="28"/>
  <c r="CG277" i="28"/>
  <c r="CH277" i="28"/>
  <c r="CI277" i="28"/>
  <c r="CK277" i="28"/>
  <c r="CL277" i="28"/>
  <c r="CM277" i="28"/>
  <c r="CN277" i="28"/>
  <c r="CO277" i="28"/>
  <c r="CP277" i="28"/>
  <c r="CQ277" i="28"/>
  <c r="CR277" i="28"/>
  <c r="CS277" i="28"/>
  <c r="CE278" i="28"/>
  <c r="CF278" i="28"/>
  <c r="CG278" i="28"/>
  <c r="CH278" i="28"/>
  <c r="CI278" i="28"/>
  <c r="CK278" i="28"/>
  <c r="CL278" i="28"/>
  <c r="CM278" i="28"/>
  <c r="CN278" i="28"/>
  <c r="CO278" i="28"/>
  <c r="CP278" i="28"/>
  <c r="CQ278" i="28"/>
  <c r="CR278" i="28"/>
  <c r="CS278" i="28"/>
  <c r="CE279" i="28"/>
  <c r="CF279" i="28"/>
  <c r="CG279" i="28"/>
  <c r="CH279" i="28"/>
  <c r="CI279" i="28"/>
  <c r="CK279" i="28"/>
  <c r="CL279" i="28"/>
  <c r="CM279" i="28"/>
  <c r="CN279" i="28"/>
  <c r="CO279" i="28"/>
  <c r="CP279" i="28"/>
  <c r="CQ279" i="28"/>
  <c r="CR279" i="28"/>
  <c r="CS279" i="28"/>
  <c r="CE280" i="28"/>
  <c r="CF280" i="28"/>
  <c r="CG280" i="28"/>
  <c r="CH280" i="28"/>
  <c r="CI280" i="28"/>
  <c r="CK280" i="28"/>
  <c r="CL280" i="28"/>
  <c r="CM280" i="28"/>
  <c r="CN280" i="28"/>
  <c r="CO280" i="28"/>
  <c r="CP280" i="28"/>
  <c r="CQ280" i="28"/>
  <c r="CR280" i="28"/>
  <c r="CS280" i="28"/>
  <c r="CE281" i="28"/>
  <c r="CF281" i="28"/>
  <c r="CG281" i="28"/>
  <c r="CH281" i="28"/>
  <c r="CI281" i="28"/>
  <c r="CK281" i="28"/>
  <c r="CL281" i="28"/>
  <c r="CM281" i="28"/>
  <c r="CN281" i="28"/>
  <c r="CO281" i="28"/>
  <c r="CP281" i="28"/>
  <c r="CQ281" i="28"/>
  <c r="CR281" i="28"/>
  <c r="CS281" i="28"/>
  <c r="CE282" i="28"/>
  <c r="CF282" i="28"/>
  <c r="CG282" i="28"/>
  <c r="CH282" i="28"/>
  <c r="CI282" i="28"/>
  <c r="CK282" i="28"/>
  <c r="CL282" i="28"/>
  <c r="CM282" i="28"/>
  <c r="CN282" i="28"/>
  <c r="CO282" i="28"/>
  <c r="CP282" i="28"/>
  <c r="CQ282" i="28"/>
  <c r="CR282" i="28"/>
  <c r="CS282" i="28"/>
  <c r="CE283" i="28"/>
  <c r="CF283" i="28"/>
  <c r="CG283" i="28"/>
  <c r="CH283" i="28"/>
  <c r="CI283" i="28"/>
  <c r="CK283" i="28"/>
  <c r="CL283" i="28"/>
  <c r="CM283" i="28"/>
  <c r="CN283" i="28"/>
  <c r="CO283" i="28"/>
  <c r="CP283" i="28"/>
  <c r="CQ283" i="28"/>
  <c r="CR283" i="28"/>
  <c r="CS283" i="28"/>
  <c r="CE284" i="28"/>
  <c r="CF284" i="28"/>
  <c r="CG284" i="28"/>
  <c r="CH284" i="28"/>
  <c r="CI284" i="28"/>
  <c r="CK284" i="28"/>
  <c r="CL284" i="28"/>
  <c r="CM284" i="28"/>
  <c r="CN284" i="28"/>
  <c r="CO284" i="28"/>
  <c r="CP284" i="28"/>
  <c r="CQ284" i="28"/>
  <c r="CR284" i="28"/>
  <c r="CS284" i="28"/>
  <c r="CE285" i="28"/>
  <c r="CF285" i="28"/>
  <c r="CG285" i="28"/>
  <c r="CH285" i="28"/>
  <c r="CI285" i="28"/>
  <c r="CK285" i="28"/>
  <c r="CL285" i="28"/>
  <c r="CM285" i="28"/>
  <c r="CN285" i="28"/>
  <c r="CO285" i="28"/>
  <c r="CP285" i="28"/>
  <c r="CQ285" i="28"/>
  <c r="CR285" i="28"/>
  <c r="CS285" i="28"/>
  <c r="CE286" i="28"/>
  <c r="CF286" i="28"/>
  <c r="CG286" i="28"/>
  <c r="CH286" i="28"/>
  <c r="CI286" i="28"/>
  <c r="CK286" i="28"/>
  <c r="CL286" i="28"/>
  <c r="CM286" i="28"/>
  <c r="CN286" i="28"/>
  <c r="CO286" i="28"/>
  <c r="CP286" i="28"/>
  <c r="CQ286" i="28"/>
  <c r="CR286" i="28"/>
  <c r="CS286" i="28"/>
  <c r="CE287" i="28"/>
  <c r="CF287" i="28"/>
  <c r="CG287" i="28"/>
  <c r="CH287" i="28"/>
  <c r="CI287" i="28"/>
  <c r="CK287" i="28"/>
  <c r="CL287" i="28"/>
  <c r="CM287" i="28"/>
  <c r="CN287" i="28"/>
  <c r="CO287" i="28"/>
  <c r="CP287" i="28"/>
  <c r="CQ287" i="28"/>
  <c r="CR287" i="28"/>
  <c r="CS287" i="28"/>
  <c r="CE288" i="28"/>
  <c r="CF288" i="28"/>
  <c r="CG288" i="28"/>
  <c r="CH288" i="28"/>
  <c r="CI288" i="28"/>
  <c r="CK288" i="28"/>
  <c r="CL288" i="28"/>
  <c r="CM288" i="28"/>
  <c r="CN288" i="28"/>
  <c r="CO288" i="28"/>
  <c r="CP288" i="28"/>
  <c r="CQ288" i="28"/>
  <c r="CR288" i="28"/>
  <c r="CS288" i="28"/>
  <c r="CE289" i="28"/>
  <c r="CF289" i="28"/>
  <c r="CG289" i="28"/>
  <c r="CH289" i="28"/>
  <c r="CI289" i="28"/>
  <c r="CK289" i="28"/>
  <c r="CL289" i="28"/>
  <c r="CM289" i="28"/>
  <c r="CN289" i="28"/>
  <c r="CO289" i="28"/>
  <c r="CP289" i="28"/>
  <c r="CQ289" i="28"/>
  <c r="CR289" i="28"/>
  <c r="CS289" i="28"/>
  <c r="CE290" i="28"/>
  <c r="CF290" i="28"/>
  <c r="CG290" i="28"/>
  <c r="CH290" i="28"/>
  <c r="CI290" i="28"/>
  <c r="CK290" i="28"/>
  <c r="CL290" i="28"/>
  <c r="CM290" i="28"/>
  <c r="CN290" i="28"/>
  <c r="CO290" i="28"/>
  <c r="CP290" i="28"/>
  <c r="CQ290" i="28"/>
  <c r="CR290" i="28"/>
  <c r="CS290" i="28"/>
  <c r="CE291" i="28"/>
  <c r="CF291" i="28"/>
  <c r="CG291" i="28"/>
  <c r="CH291" i="28"/>
  <c r="CI291" i="28"/>
  <c r="CK291" i="28"/>
  <c r="CL291" i="28"/>
  <c r="CM291" i="28"/>
  <c r="CN291" i="28"/>
  <c r="CO291" i="28"/>
  <c r="CP291" i="28"/>
  <c r="CQ291" i="28"/>
  <c r="CR291" i="28"/>
  <c r="CS291" i="28"/>
  <c r="CE292" i="28"/>
  <c r="CF292" i="28"/>
  <c r="CG292" i="28"/>
  <c r="CH292" i="28"/>
  <c r="CI292" i="28"/>
  <c r="CK292" i="28"/>
  <c r="CL292" i="28"/>
  <c r="CM292" i="28"/>
  <c r="CN292" i="28"/>
  <c r="CO292" i="28"/>
  <c r="CP292" i="28"/>
  <c r="CQ292" i="28"/>
  <c r="CR292" i="28"/>
  <c r="CS292" i="28"/>
  <c r="CE293" i="28"/>
  <c r="CF293" i="28"/>
  <c r="CG293" i="28"/>
  <c r="CH293" i="28"/>
  <c r="CI293" i="28"/>
  <c r="CK293" i="28"/>
  <c r="CL293" i="28"/>
  <c r="CM293" i="28"/>
  <c r="CN293" i="28"/>
  <c r="CO293" i="28"/>
  <c r="CP293" i="28"/>
  <c r="CQ293" i="28"/>
  <c r="CR293" i="28"/>
  <c r="CS293" i="28"/>
  <c r="CE294" i="28"/>
  <c r="CF294" i="28"/>
  <c r="CG294" i="28"/>
  <c r="CH294" i="28"/>
  <c r="CI294" i="28"/>
  <c r="CK294" i="28"/>
  <c r="CL294" i="28"/>
  <c r="CM294" i="28"/>
  <c r="CN294" i="28"/>
  <c r="CO294" i="28"/>
  <c r="CP294" i="28"/>
  <c r="CQ294" i="28"/>
  <c r="CR294" i="28"/>
  <c r="CS294" i="28"/>
  <c r="CE295" i="28"/>
  <c r="CF295" i="28"/>
  <c r="CG295" i="28"/>
  <c r="CH295" i="28"/>
  <c r="CI295" i="28"/>
  <c r="CK295" i="28"/>
  <c r="CL295" i="28"/>
  <c r="CM295" i="28"/>
  <c r="CN295" i="28"/>
  <c r="CO295" i="28"/>
  <c r="CP295" i="28"/>
  <c r="CQ295" i="28"/>
  <c r="CR295" i="28"/>
  <c r="CS295" i="28"/>
  <c r="CE296" i="28"/>
  <c r="CF296" i="28"/>
  <c r="CG296" i="28"/>
  <c r="CH296" i="28"/>
  <c r="CI296" i="28"/>
  <c r="CK296" i="28"/>
  <c r="CL296" i="28"/>
  <c r="CM296" i="28"/>
  <c r="CN296" i="28"/>
  <c r="CO296" i="28"/>
  <c r="CP296" i="28"/>
  <c r="CQ296" i="28"/>
  <c r="CR296" i="28"/>
  <c r="CS296" i="28"/>
  <c r="CE297" i="28"/>
  <c r="CF297" i="28"/>
  <c r="CG297" i="28"/>
  <c r="CH297" i="28"/>
  <c r="CI297" i="28"/>
  <c r="CK297" i="28"/>
  <c r="CL297" i="28"/>
  <c r="CM297" i="28"/>
  <c r="CN297" i="28"/>
  <c r="CO297" i="28"/>
  <c r="CP297" i="28"/>
  <c r="CQ297" i="28"/>
  <c r="CR297" i="28"/>
  <c r="CS297" i="28"/>
  <c r="CE298" i="28"/>
  <c r="CF298" i="28"/>
  <c r="CG298" i="28"/>
  <c r="CH298" i="28"/>
  <c r="CI298" i="28"/>
  <c r="CK298" i="28"/>
  <c r="CL298" i="28"/>
  <c r="CM298" i="28"/>
  <c r="CN298" i="28"/>
  <c r="CO298" i="28"/>
  <c r="CP298" i="28"/>
  <c r="CQ298" i="28"/>
  <c r="CR298" i="28"/>
  <c r="CS298" i="28"/>
  <c r="CE299" i="28"/>
  <c r="CF299" i="28"/>
  <c r="CG299" i="28"/>
  <c r="CH299" i="28"/>
  <c r="CI299" i="28"/>
  <c r="CK299" i="28"/>
  <c r="CL299" i="28"/>
  <c r="CM299" i="28"/>
  <c r="CN299" i="28"/>
  <c r="CO299" i="28"/>
  <c r="CP299" i="28"/>
  <c r="CQ299" i="28"/>
  <c r="CR299" i="28"/>
  <c r="CS299" i="28"/>
  <c r="CE300" i="28"/>
  <c r="CF300" i="28"/>
  <c r="CG300" i="28"/>
  <c r="CH300" i="28"/>
  <c r="CI300" i="28"/>
  <c r="CK300" i="28"/>
  <c r="CL300" i="28"/>
  <c r="CM300" i="28"/>
  <c r="CN300" i="28"/>
  <c r="CO300" i="28"/>
  <c r="CP300" i="28"/>
  <c r="CQ300" i="28"/>
  <c r="CR300" i="28"/>
  <c r="CS300" i="28"/>
  <c r="CE301" i="28"/>
  <c r="CF301" i="28"/>
  <c r="CG301" i="28"/>
  <c r="CH301" i="28"/>
  <c r="CI301" i="28"/>
  <c r="CK301" i="28"/>
  <c r="CL301" i="28"/>
  <c r="CM301" i="28"/>
  <c r="CN301" i="28"/>
  <c r="CO301" i="28"/>
  <c r="CP301" i="28"/>
  <c r="CQ301" i="28"/>
  <c r="CR301" i="28"/>
  <c r="CS301" i="28"/>
  <c r="CE302" i="28"/>
  <c r="CF302" i="28"/>
  <c r="CG302" i="28"/>
  <c r="CH302" i="28"/>
  <c r="CI302" i="28"/>
  <c r="CK302" i="28"/>
  <c r="CL302" i="28"/>
  <c r="CM302" i="28"/>
  <c r="CN302" i="28"/>
  <c r="CO302" i="28"/>
  <c r="CP302" i="28"/>
  <c r="CQ302" i="28"/>
  <c r="CR302" i="28"/>
  <c r="CS302" i="28"/>
  <c r="CE303" i="28"/>
  <c r="CF303" i="28"/>
  <c r="CG303" i="28"/>
  <c r="CH303" i="28"/>
  <c r="CI303" i="28"/>
  <c r="CK303" i="28"/>
  <c r="CL303" i="28"/>
  <c r="CM303" i="28"/>
  <c r="CN303" i="28"/>
  <c r="CO303" i="28"/>
  <c r="CP303" i="28"/>
  <c r="CQ303" i="28"/>
  <c r="CR303" i="28"/>
  <c r="CS303" i="28"/>
  <c r="CE304" i="28"/>
  <c r="CF304" i="28"/>
  <c r="CG304" i="28"/>
  <c r="CH304" i="28"/>
  <c r="CI304" i="28"/>
  <c r="CK304" i="28"/>
  <c r="CL304" i="28"/>
  <c r="CM304" i="28"/>
  <c r="CN304" i="28"/>
  <c r="CO304" i="28"/>
  <c r="CP304" i="28"/>
  <c r="CQ304" i="28"/>
  <c r="CR304" i="28"/>
  <c r="CS304" i="28"/>
  <c r="CE305" i="28"/>
  <c r="CF305" i="28"/>
  <c r="CG305" i="28"/>
  <c r="CH305" i="28"/>
  <c r="CI305" i="28"/>
  <c r="CK305" i="28"/>
  <c r="CL305" i="28"/>
  <c r="CM305" i="28"/>
  <c r="CN305" i="28"/>
  <c r="CO305" i="28"/>
  <c r="CP305" i="28"/>
  <c r="CQ305" i="28"/>
  <c r="CR305" i="28"/>
  <c r="CS305" i="28"/>
  <c r="CE306" i="28"/>
  <c r="CF306" i="28"/>
  <c r="CG306" i="28"/>
  <c r="CH306" i="28"/>
  <c r="CI306" i="28"/>
  <c r="CK306" i="28"/>
  <c r="CL306" i="28"/>
  <c r="CM306" i="28"/>
  <c r="CN306" i="28"/>
  <c r="CO306" i="28"/>
  <c r="CP306" i="28"/>
  <c r="CQ306" i="28"/>
  <c r="CR306" i="28"/>
  <c r="CS306" i="28"/>
  <c r="CE307" i="28"/>
  <c r="CF307" i="28"/>
  <c r="CG307" i="28"/>
  <c r="CH307" i="28"/>
  <c r="CI307" i="28"/>
  <c r="CK307" i="28"/>
  <c r="CL307" i="28"/>
  <c r="CM307" i="28"/>
  <c r="CN307" i="28"/>
  <c r="CO307" i="28"/>
  <c r="CP307" i="28"/>
  <c r="CQ307" i="28"/>
  <c r="CR307" i="28"/>
  <c r="CS307" i="28"/>
  <c r="CE308" i="28"/>
  <c r="CF308" i="28"/>
  <c r="CG308" i="28"/>
  <c r="CH308" i="28"/>
  <c r="CI308" i="28"/>
  <c r="CK308" i="28"/>
  <c r="CL308" i="28"/>
  <c r="CM308" i="28"/>
  <c r="CN308" i="28"/>
  <c r="CO308" i="28"/>
  <c r="CP308" i="28"/>
  <c r="CQ308" i="28"/>
  <c r="CR308" i="28"/>
  <c r="CS308" i="28"/>
  <c r="CE309" i="28"/>
  <c r="CF309" i="28"/>
  <c r="CG309" i="28"/>
  <c r="CH309" i="28"/>
  <c r="CI309" i="28"/>
  <c r="CK309" i="28"/>
  <c r="CL309" i="28"/>
  <c r="CM309" i="28"/>
  <c r="CN309" i="28"/>
  <c r="CO309" i="28"/>
  <c r="CP309" i="28"/>
  <c r="CQ309" i="28"/>
  <c r="CR309" i="28"/>
  <c r="CS309" i="28"/>
  <c r="CE310" i="28"/>
  <c r="CF310" i="28"/>
  <c r="CG310" i="28"/>
  <c r="CH310" i="28"/>
  <c r="CI310" i="28"/>
  <c r="CK310" i="28"/>
  <c r="CL310" i="28"/>
  <c r="CM310" i="28"/>
  <c r="CN310" i="28"/>
  <c r="CO310" i="28"/>
  <c r="CP310" i="28"/>
  <c r="CQ310" i="28"/>
  <c r="CR310" i="28"/>
  <c r="CS310" i="28"/>
  <c r="CE311" i="28"/>
  <c r="CF311" i="28"/>
  <c r="CG311" i="28"/>
  <c r="CH311" i="28"/>
  <c r="CI311" i="28"/>
  <c r="CK311" i="28"/>
  <c r="CL311" i="28"/>
  <c r="CM311" i="28"/>
  <c r="CN311" i="28"/>
  <c r="CO311" i="28"/>
  <c r="CP311" i="28"/>
  <c r="CQ311" i="28"/>
  <c r="CR311" i="28"/>
  <c r="CS311" i="28"/>
  <c r="CE312" i="28"/>
  <c r="CF312" i="28"/>
  <c r="CG312" i="28"/>
  <c r="CH312" i="28"/>
  <c r="CI312" i="28"/>
  <c r="CK312" i="28"/>
  <c r="CL312" i="28"/>
  <c r="CM312" i="28"/>
  <c r="CN312" i="28"/>
  <c r="CO312" i="28"/>
  <c r="CP312" i="28"/>
  <c r="CQ312" i="28"/>
  <c r="CR312" i="28"/>
  <c r="CS312" i="28"/>
  <c r="CE313" i="28"/>
  <c r="CF313" i="28"/>
  <c r="CG313" i="28"/>
  <c r="CH313" i="28"/>
  <c r="CI313" i="28"/>
  <c r="CK313" i="28"/>
  <c r="CL313" i="28"/>
  <c r="CM313" i="28"/>
  <c r="CN313" i="28"/>
  <c r="CO313" i="28"/>
  <c r="CP313" i="28"/>
  <c r="CQ313" i="28"/>
  <c r="CR313" i="28"/>
  <c r="CS313" i="28"/>
  <c r="CE314" i="28"/>
  <c r="CF314" i="28"/>
  <c r="CG314" i="28"/>
  <c r="CH314" i="28"/>
  <c r="CI314" i="28"/>
  <c r="CK314" i="28"/>
  <c r="CL314" i="28"/>
  <c r="CM314" i="28"/>
  <c r="CN314" i="28"/>
  <c r="CO314" i="28"/>
  <c r="CP314" i="28"/>
  <c r="CQ314" i="28"/>
  <c r="CR314" i="28"/>
  <c r="CS314" i="28"/>
  <c r="CQ2" i="28"/>
  <c r="CO2" i="28"/>
  <c r="CN2" i="28"/>
  <c r="CM2" i="28"/>
  <c r="CL2" i="28"/>
  <c r="CK2" i="28"/>
  <c r="CI2" i="28"/>
  <c r="CH2" i="28"/>
  <c r="CG2" i="28"/>
  <c r="CF2" i="28"/>
  <c r="CE2" i="28"/>
  <c r="CS2" i="28"/>
  <c r="CR2" i="28"/>
  <c r="CP2" i="28"/>
  <c r="GQ4" i="17"/>
  <c r="GR3" i="17"/>
  <c r="GQ3" i="17"/>
  <c r="FN3" i="17"/>
  <c r="EL3" i="17"/>
  <c r="AO2" i="17"/>
  <c r="AU2" i="17"/>
  <c r="AS2" i="17"/>
  <c r="AN2" i="17"/>
  <c r="AK2" i="17"/>
  <c r="AJ2" i="17"/>
  <c r="ES43" i="17"/>
  <c r="EL33" i="17"/>
  <c r="BQ105" i="25" l="1"/>
  <c r="GU112" i="26"/>
  <c r="HQ112" i="26" s="1"/>
  <c r="IS112" i="26" s="1"/>
  <c r="FR112" i="26"/>
  <c r="FQ112" i="26"/>
  <c r="FP112" i="26"/>
  <c r="FO112" i="26"/>
  <c r="FM112" i="26"/>
  <c r="FL112" i="26"/>
  <c r="FK112" i="26"/>
  <c r="FJ112" i="26"/>
  <c r="FI112" i="26"/>
  <c r="FH112" i="26"/>
  <c r="FG112" i="26"/>
  <c r="FF112" i="26"/>
  <c r="FE112" i="26"/>
  <c r="GB112" i="26" s="1"/>
  <c r="FD112" i="26"/>
  <c r="FC112" i="26"/>
  <c r="FB112" i="26"/>
  <c r="FA112" i="26"/>
  <c r="EZ112" i="26"/>
  <c r="EY112" i="26"/>
  <c r="EX112" i="26"/>
  <c r="EW112" i="26"/>
  <c r="GE112" i="26" s="1"/>
  <c r="EV112" i="26"/>
  <c r="EU112" i="26"/>
  <c r="ET112" i="26"/>
  <c r="EQ112" i="26"/>
  <c r="ES112" i="26"/>
  <c r="FY112" i="26" s="1"/>
  <c r="ER112" i="26"/>
  <c r="EP112" i="26"/>
  <c r="EO112" i="26"/>
  <c r="GI112" i="26" s="1"/>
  <c r="EN112" i="26"/>
  <c r="EM112" i="26"/>
  <c r="BD191" i="26"/>
  <c r="BE191" i="26"/>
  <c r="BD192" i="26"/>
  <c r="BE192" i="26"/>
  <c r="BD193" i="26"/>
  <c r="BE193" i="26"/>
  <c r="BD197" i="26"/>
  <c r="BE197" i="26"/>
  <c r="BD198" i="26"/>
  <c r="BE198" i="26"/>
  <c r="BD199" i="26"/>
  <c r="BE199" i="26"/>
  <c r="BD200" i="26"/>
  <c r="BE200" i="26"/>
  <c r="BD201" i="26"/>
  <c r="BE201" i="26"/>
  <c r="BD202" i="26"/>
  <c r="BE202" i="26"/>
  <c r="BD203" i="26"/>
  <c r="BE203" i="26"/>
  <c r="BD204" i="26"/>
  <c r="BE204" i="26"/>
  <c r="BD205" i="26"/>
  <c r="BE205" i="26"/>
  <c r="BD206" i="26"/>
  <c r="BE206" i="26"/>
  <c r="BD207" i="26"/>
  <c r="BE207" i="26"/>
  <c r="BD208" i="26"/>
  <c r="BE208" i="26"/>
  <c r="BD209" i="26"/>
  <c r="BE209" i="26"/>
  <c r="BD210" i="26"/>
  <c r="BE210" i="26"/>
  <c r="BD211" i="26"/>
  <c r="BE211" i="26"/>
  <c r="BD212" i="26"/>
  <c r="BE212" i="26"/>
  <c r="BD213" i="26"/>
  <c r="BE213" i="26"/>
  <c r="BD214" i="26"/>
  <c r="BE214" i="26"/>
  <c r="BD215" i="26"/>
  <c r="BE215" i="26"/>
  <c r="BD233" i="26"/>
  <c r="BE233" i="26"/>
  <c r="BD234" i="26"/>
  <c r="BE234" i="26"/>
  <c r="BD258" i="26"/>
  <c r="BE258" i="26"/>
  <c r="BD259" i="26"/>
  <c r="BE259" i="26"/>
  <c r="BD260" i="26"/>
  <c r="BE260" i="26"/>
  <c r="BE190" i="26"/>
  <c r="BD190" i="26"/>
  <c r="BD165" i="26"/>
  <c r="BE165" i="26"/>
  <c r="BD166" i="26"/>
  <c r="BE166" i="26"/>
  <c r="BD167" i="26"/>
  <c r="BE167" i="26"/>
  <c r="BD178" i="26"/>
  <c r="BE178" i="26"/>
  <c r="BD179" i="26"/>
  <c r="BE179" i="26"/>
  <c r="BD180" i="26"/>
  <c r="BE180" i="26"/>
  <c r="BD181" i="26"/>
  <c r="BE181" i="26"/>
  <c r="BD182" i="26"/>
  <c r="BE182" i="26"/>
  <c r="BD183" i="26"/>
  <c r="BE183" i="26"/>
  <c r="BD184" i="26"/>
  <c r="BE184" i="26"/>
  <c r="BD185" i="26"/>
  <c r="BE185" i="26"/>
  <c r="BD186" i="26"/>
  <c r="BE186" i="26"/>
  <c r="BD187" i="26"/>
  <c r="BE187" i="26"/>
  <c r="BD188" i="26"/>
  <c r="BE188" i="26"/>
  <c r="BD189" i="26"/>
  <c r="BE189" i="26"/>
  <c r="BE164" i="26"/>
  <c r="BD164" i="26"/>
  <c r="BD124" i="26"/>
  <c r="BE124" i="26"/>
  <c r="BE123" i="26"/>
  <c r="BD123" i="26"/>
  <c r="BE114" i="26"/>
  <c r="BD114" i="26"/>
  <c r="BD74" i="26"/>
  <c r="BE74" i="26"/>
  <c r="BD75" i="26"/>
  <c r="BE75" i="26"/>
  <c r="BD76" i="26"/>
  <c r="BE76" i="26"/>
  <c r="BD77" i="26"/>
  <c r="BE77" i="26"/>
  <c r="BD78" i="26"/>
  <c r="BE78" i="26"/>
  <c r="BD79" i="26"/>
  <c r="BE79" i="26"/>
  <c r="BD80" i="26"/>
  <c r="BE80" i="26"/>
  <c r="BD81" i="26"/>
  <c r="BE81" i="26"/>
  <c r="BD82" i="26"/>
  <c r="BE82" i="26"/>
  <c r="BD83" i="26"/>
  <c r="BE83" i="26"/>
  <c r="BD84" i="26"/>
  <c r="BE84" i="26"/>
  <c r="BD85" i="26"/>
  <c r="BE85" i="26"/>
  <c r="BD86" i="26"/>
  <c r="BE86" i="26"/>
  <c r="BD87" i="26"/>
  <c r="BE87" i="26"/>
  <c r="BD88" i="26"/>
  <c r="BE88" i="26"/>
  <c r="BD89" i="26"/>
  <c r="BE89" i="26"/>
  <c r="BD90" i="26"/>
  <c r="BE90" i="26"/>
  <c r="BD91" i="26"/>
  <c r="BE91" i="26"/>
  <c r="BD92" i="26"/>
  <c r="BE92" i="26"/>
  <c r="BD93" i="26"/>
  <c r="BE93" i="26"/>
  <c r="BD94" i="26"/>
  <c r="BE94" i="26"/>
  <c r="BD95" i="26"/>
  <c r="BE95" i="26"/>
  <c r="BD96" i="26"/>
  <c r="BE96" i="26"/>
  <c r="BD97" i="26"/>
  <c r="BE97" i="26"/>
  <c r="BD99" i="26"/>
  <c r="BE99" i="26"/>
  <c r="BD100" i="26"/>
  <c r="BE100" i="26"/>
  <c r="BD101" i="26"/>
  <c r="BE101" i="26"/>
  <c r="BD102" i="26"/>
  <c r="BE102" i="26"/>
  <c r="BC114" i="17"/>
  <c r="BD69" i="26"/>
  <c r="BD70" i="26"/>
  <c r="BE70" i="26"/>
  <c r="BD71" i="26"/>
  <c r="BE71" i="26"/>
  <c r="BD72" i="26"/>
  <c r="BE72" i="26"/>
  <c r="BD73" i="26"/>
  <c r="BE73" i="26"/>
  <c r="BE69" i="26"/>
  <c r="BD40" i="26"/>
  <c r="BE40" i="26"/>
  <c r="BD43" i="26"/>
  <c r="BE43" i="26"/>
  <c r="BE38" i="26"/>
  <c r="BD38" i="26"/>
  <c r="BD18" i="26"/>
  <c r="BE18" i="26"/>
  <c r="BD19" i="26"/>
  <c r="BE19" i="26"/>
  <c r="BD20" i="26"/>
  <c r="BE20" i="26"/>
  <c r="BD22" i="26"/>
  <c r="BE22" i="26"/>
  <c r="BD26" i="26"/>
  <c r="BE26" i="26"/>
  <c r="BE17" i="26"/>
  <c r="BD17" i="26"/>
  <c r="BE16" i="26"/>
  <c r="BD16" i="26" s="1"/>
  <c r="BD13" i="26"/>
  <c r="BE13" i="26"/>
  <c r="BD14" i="26"/>
  <c r="BE14" i="26"/>
  <c r="BD15" i="26"/>
  <c r="BE15" i="26"/>
  <c r="BD10" i="26"/>
  <c r="BE10" i="26"/>
  <c r="BD11" i="26"/>
  <c r="BE11" i="26"/>
  <c r="BD12" i="26"/>
  <c r="BE12" i="26"/>
  <c r="BE9" i="26"/>
  <c r="BD9" i="26"/>
  <c r="BD6" i="26"/>
  <c r="BE6" i="26" s="1"/>
  <c r="BE5" i="26"/>
  <c r="BD5" i="26" s="1"/>
  <c r="BE4" i="26"/>
  <c r="BD4" i="26" s="1"/>
  <c r="BC191" i="26"/>
  <c r="BB191" i="26" s="1"/>
  <c r="BC192" i="26"/>
  <c r="BB192" i="26" s="1"/>
  <c r="BC193" i="26"/>
  <c r="BB193" i="26" s="1"/>
  <c r="BC127" i="17"/>
  <c r="BC190" i="26"/>
  <c r="BB190" i="26" s="1"/>
  <c r="BC126" i="17"/>
  <c r="BD317" i="17"/>
  <c r="BC317" i="17" s="1"/>
  <c r="BD320" i="17"/>
  <c r="BC320" i="17" s="1"/>
  <c r="BD321" i="17"/>
  <c r="BC321" i="17" s="1"/>
  <c r="BD322" i="17"/>
  <c r="BC322" i="17" s="1"/>
  <c r="BD323" i="17"/>
  <c r="BC323" i="17" s="1"/>
  <c r="BD324" i="17"/>
  <c r="BC324" i="17" s="1"/>
  <c r="BD325" i="17"/>
  <c r="BC325" i="17" s="1"/>
  <c r="BD326" i="17"/>
  <c r="BC326" i="17" s="1"/>
  <c r="BD237" i="17"/>
  <c r="BC237" i="17" s="1"/>
  <c r="BD309" i="17"/>
  <c r="BC309" i="17" s="1"/>
  <c r="BD238" i="17"/>
  <c r="BC238" i="17" s="1"/>
  <c r="BD239" i="17"/>
  <c r="BC239" i="17" s="1"/>
  <c r="BD240" i="17"/>
  <c r="BC240" i="17" s="1"/>
  <c r="BD308" i="17"/>
  <c r="BC308" i="17" s="1"/>
  <c r="BD241" i="17"/>
  <c r="BC241" i="17" s="1"/>
  <c r="BD242" i="17"/>
  <c r="BC242" i="17" s="1"/>
  <c r="BD69" i="17"/>
  <c r="BC69" i="17" s="1"/>
  <c r="BD310" i="17"/>
  <c r="BC310" i="17" s="1"/>
  <c r="BD243" i="17"/>
  <c r="BC243" i="17" s="1"/>
  <c r="BD70" i="17"/>
  <c r="BC70" i="17" s="1"/>
  <c r="BD71" i="17"/>
  <c r="BC71" i="17" s="1"/>
  <c r="BD244" i="17"/>
  <c r="BC244" i="17" s="1"/>
  <c r="BD72" i="17"/>
  <c r="BC72" i="17" s="1"/>
  <c r="BD311" i="17"/>
  <c r="BC311" i="17" s="1"/>
  <c r="BD312" i="17"/>
  <c r="BC312" i="17" s="1"/>
  <c r="BD313" i="17"/>
  <c r="BC313" i="17" s="1"/>
  <c r="BD245" i="17"/>
  <c r="BC245" i="17" s="1"/>
  <c r="BD314" i="17"/>
  <c r="BC314" i="17" s="1"/>
  <c r="BD334" i="17"/>
  <c r="BC334" i="17" s="1"/>
  <c r="BD73" i="17"/>
  <c r="BC73" i="17" s="1"/>
  <c r="BD74" i="17"/>
  <c r="BC74" i="17" s="1"/>
  <c r="BD75" i="17"/>
  <c r="BC75" i="17" s="1"/>
  <c r="BD76" i="17"/>
  <c r="BC76" i="17" s="1"/>
  <c r="BD77" i="17"/>
  <c r="BC77" i="17" s="1"/>
  <c r="BD78" i="17"/>
  <c r="BC78" i="17" s="1"/>
  <c r="BD79" i="17"/>
  <c r="BC79" i="17" s="1"/>
  <c r="BD335" i="17"/>
  <c r="BC335" i="17" s="1"/>
  <c r="BD80" i="17"/>
  <c r="BC80" i="17" s="1"/>
  <c r="BD81" i="17"/>
  <c r="BC81" i="17" s="1"/>
  <c r="BD82" i="17"/>
  <c r="BC82" i="17" s="1"/>
  <c r="BD83" i="17"/>
  <c r="BC83" i="17" s="1"/>
  <c r="BD84" i="17"/>
  <c r="BC84" i="17" s="1"/>
  <c r="BD85" i="17"/>
  <c r="BC85" i="17" s="1"/>
  <c r="BD178" i="17"/>
  <c r="BC178" i="17" s="1"/>
  <c r="BD336" i="17"/>
  <c r="BC336" i="17" s="1"/>
  <c r="BD86" i="17"/>
  <c r="BC86" i="17" s="1"/>
  <c r="BD337" i="17"/>
  <c r="BC337" i="17" s="1"/>
  <c r="BD105" i="17"/>
  <c r="BC105" i="17" s="1"/>
  <c r="BD87" i="17"/>
  <c r="BC87" i="17" s="1"/>
  <c r="BD106" i="17"/>
  <c r="BC106" i="17" s="1"/>
  <c r="BD88" i="17"/>
  <c r="BC88" i="17" s="1"/>
  <c r="BD89" i="17"/>
  <c r="BC89" i="17" s="1"/>
  <c r="BD90" i="17"/>
  <c r="BC90" i="17" s="1"/>
  <c r="BD316" i="17"/>
  <c r="BC316" i="17" s="1"/>
  <c r="BC225" i="17"/>
  <c r="BD225" i="17" s="1"/>
  <c r="BD181" i="17"/>
  <c r="BC181" i="17" s="1"/>
  <c r="BD182" i="17"/>
  <c r="BC182" i="17" s="1"/>
  <c r="BD133" i="17"/>
  <c r="BC133" i="17" s="1"/>
  <c r="BD134" i="17"/>
  <c r="BC134" i="17" s="1"/>
  <c r="BD135" i="17"/>
  <c r="BC135" i="17" s="1"/>
  <c r="BD136" i="17"/>
  <c r="BC136" i="17" s="1"/>
  <c r="BD137" i="17"/>
  <c r="BC137" i="17" s="1"/>
  <c r="BD138" i="17"/>
  <c r="BC138" i="17" s="1"/>
  <c r="BD132" i="17"/>
  <c r="BC132" i="17" s="1"/>
  <c r="BD96" i="17"/>
  <c r="BC96" i="17" s="1"/>
  <c r="BD97" i="17"/>
  <c r="BC97" i="17" s="1"/>
  <c r="BD98" i="17"/>
  <c r="BC98" i="17" s="1"/>
  <c r="BD99" i="17"/>
  <c r="BC99" i="17" s="1"/>
  <c r="BD100" i="17"/>
  <c r="BC100" i="17" s="1"/>
  <c r="BD101" i="17"/>
  <c r="BC101" i="17" s="1"/>
  <c r="BD102" i="17"/>
  <c r="BC102" i="17" s="1"/>
  <c r="BD103" i="17"/>
  <c r="BC103" i="17" s="1"/>
  <c r="BD95" i="17"/>
  <c r="BC95" i="17" s="1"/>
  <c r="BD140" i="17"/>
  <c r="BD141" i="17"/>
  <c r="BD142" i="17"/>
  <c r="BD143" i="17"/>
  <c r="BD144" i="17"/>
  <c r="BD145" i="17"/>
  <c r="BD146" i="17"/>
  <c r="BD147" i="17"/>
  <c r="BD148" i="17"/>
  <c r="BD139" i="17"/>
  <c r="BC148" i="17"/>
  <c r="BC147" i="17"/>
  <c r="BC146" i="17"/>
  <c r="BC145" i="17"/>
  <c r="BC144" i="17"/>
  <c r="BC143" i="17"/>
  <c r="BC142" i="17"/>
  <c r="BC141" i="17"/>
  <c r="BC140" i="17"/>
  <c r="BC139" i="17"/>
  <c r="BC291" i="17"/>
  <c r="BD289" i="17"/>
  <c r="BC289" i="17" s="1"/>
  <c r="BD290" i="17"/>
  <c r="BC290" i="17" s="1"/>
  <c r="BD291" i="17"/>
  <c r="BC3" i="17"/>
  <c r="HC112" i="26"/>
  <c r="IE112" i="26" s="1"/>
  <c r="HD112" i="26"/>
  <c r="IF112" i="26" s="1"/>
  <c r="HE112" i="26"/>
  <c r="IG112" i="26" s="1"/>
  <c r="HF112" i="26"/>
  <c r="IH112" i="26" s="1"/>
  <c r="HB112" i="26"/>
  <c r="ID112" i="26" s="1"/>
  <c r="HG112" i="26"/>
  <c r="II112" i="26" s="1"/>
  <c r="HO112" i="26"/>
  <c r="IQ112" i="26" s="1"/>
  <c r="HR112" i="26"/>
  <c r="IT112" i="26" s="1"/>
  <c r="HS112" i="26"/>
  <c r="IU112" i="26" s="1"/>
  <c r="GF112" i="26"/>
  <c r="HT112" i="26"/>
  <c r="IV112" i="26" s="1"/>
  <c r="HU112" i="26"/>
  <c r="IW112" i="26" s="1"/>
  <c r="GL112" i="26"/>
  <c r="HV112" i="26"/>
  <c r="IX112" i="26" s="1"/>
  <c r="GM112" i="26"/>
  <c r="GY112" i="26"/>
  <c r="IA112" i="26" s="1"/>
  <c r="FZ112" i="26"/>
  <c r="GP112" i="26"/>
  <c r="HH112" i="26"/>
  <c r="IJ112" i="26" s="1"/>
  <c r="HI112" i="26"/>
  <c r="IK112" i="26" s="1"/>
  <c r="HJ112" i="26"/>
  <c r="IL112" i="26" s="1"/>
  <c r="HK112" i="26"/>
  <c r="IM112" i="26" s="1"/>
  <c r="GV112" i="26"/>
  <c r="HX112" i="26" s="1"/>
  <c r="HL112" i="26"/>
  <c r="IN112" i="26" s="1"/>
  <c r="GW112" i="26"/>
  <c r="HY112" i="26" s="1"/>
  <c r="HM112" i="26"/>
  <c r="IO112" i="26" s="1"/>
  <c r="GX112" i="26"/>
  <c r="HZ112" i="26" s="1"/>
  <c r="HN112" i="26"/>
  <c r="IP112" i="26" s="1"/>
  <c r="GZ112" i="26"/>
  <c r="IB112" i="26" s="1"/>
  <c r="HP112" i="26"/>
  <c r="IR112" i="26" s="1"/>
  <c r="HA112" i="26"/>
  <c r="IC112" i="26" s="1"/>
  <c r="AK154" i="26"/>
  <c r="AL154" i="26" s="1"/>
  <c r="AK155" i="26"/>
  <c r="AN155" i="26" s="1"/>
  <c r="AK156" i="26"/>
  <c r="AQ156" i="26" s="1"/>
  <c r="AK157" i="26"/>
  <c r="AT157" i="26" s="1"/>
  <c r="AK158" i="26"/>
  <c r="AL158" i="26" s="1"/>
  <c r="AK159" i="26"/>
  <c r="AO159" i="26" s="1"/>
  <c r="AK160" i="26"/>
  <c r="AM160" i="26" s="1"/>
  <c r="AK161" i="26"/>
  <c r="AP161" i="26" s="1"/>
  <c r="AK162" i="26"/>
  <c r="AS162" i="26" s="1"/>
  <c r="AK163" i="26"/>
  <c r="AL163" i="26" s="1"/>
  <c r="AK164" i="26"/>
  <c r="AL164" i="26" s="1"/>
  <c r="AK165" i="26"/>
  <c r="AL165" i="26" s="1"/>
  <c r="AK166" i="26"/>
  <c r="AO166" i="26" s="1"/>
  <c r="AK167" i="26"/>
  <c r="AR167" i="26" s="1"/>
  <c r="AK168" i="26"/>
  <c r="AL168" i="26" s="1"/>
  <c r="AK169" i="26"/>
  <c r="AM169" i="26" s="1"/>
  <c r="AK170" i="26"/>
  <c r="AL170" i="26" s="1"/>
  <c r="AK171" i="26"/>
  <c r="AN171" i="26" s="1"/>
  <c r="AK172" i="26"/>
  <c r="AQ172" i="26" s="1"/>
  <c r="AK173" i="26"/>
  <c r="AP173" i="26" s="1"/>
  <c r="AK174" i="26"/>
  <c r="AV174" i="26" s="1"/>
  <c r="AK175" i="26"/>
  <c r="AO175" i="26" s="1"/>
  <c r="AK176" i="26"/>
  <c r="AM176" i="26" s="1"/>
  <c r="AK177" i="26"/>
  <c r="AP177" i="26" s="1"/>
  <c r="AK178" i="26"/>
  <c r="AS178" i="26" s="1"/>
  <c r="AK179" i="26"/>
  <c r="AL179" i="26" s="1"/>
  <c r="AK180" i="26"/>
  <c r="AL180" i="26" s="1"/>
  <c r="AK181" i="26"/>
  <c r="AL181" i="26" s="1"/>
  <c r="AK182" i="26"/>
  <c r="AN182" i="26" s="1"/>
  <c r="AK183" i="26"/>
  <c r="AT183" i="26" s="1"/>
  <c r="AK184" i="26"/>
  <c r="AL184" i="26" s="1"/>
  <c r="AK185" i="26"/>
  <c r="AM185" i="26" s="1"/>
  <c r="AK186" i="26"/>
  <c r="AL186" i="26" s="1"/>
  <c r="AK187" i="26"/>
  <c r="AN187" i="26" s="1"/>
  <c r="AK188" i="26"/>
  <c r="AQ188" i="26" s="1"/>
  <c r="AK189" i="26"/>
  <c r="AT189" i="26" s="1"/>
  <c r="AK190" i="26"/>
  <c r="AL190" i="26" s="1"/>
  <c r="AK191" i="26"/>
  <c r="AO191" i="26" s="1"/>
  <c r="AK192" i="26"/>
  <c r="AM192" i="26" s="1"/>
  <c r="AK193" i="26"/>
  <c r="AP193" i="26" s="1"/>
  <c r="AK194" i="26"/>
  <c r="AS194" i="26" s="1"/>
  <c r="AK195" i="26"/>
  <c r="AL195" i="26" s="1"/>
  <c r="AK196" i="26"/>
  <c r="AL196" i="26" s="1"/>
  <c r="AK197" i="26"/>
  <c r="AL197" i="26" s="1"/>
  <c r="AK198" i="26"/>
  <c r="AN198" i="26" s="1"/>
  <c r="AK199" i="26"/>
  <c r="AR199" i="26" s="1"/>
  <c r="AK200" i="26"/>
  <c r="AL200" i="26" s="1"/>
  <c r="AK201" i="26"/>
  <c r="AM201" i="26" s="1"/>
  <c r="AK202" i="26"/>
  <c r="AL202" i="26" s="1"/>
  <c r="AK203" i="26"/>
  <c r="AN203" i="26" s="1"/>
  <c r="AK204" i="26"/>
  <c r="AQ204" i="26" s="1"/>
  <c r="AK205" i="26"/>
  <c r="AT205" i="26" s="1"/>
  <c r="AK206" i="26"/>
  <c r="AL206" i="26" s="1"/>
  <c r="AK207" i="26"/>
  <c r="AS207" i="26" s="1"/>
  <c r="AK208" i="26"/>
  <c r="AL208" i="26" s="1"/>
  <c r="AK209" i="26"/>
  <c r="AP209" i="26" s="1"/>
  <c r="AK210" i="26"/>
  <c r="AS210" i="26" s="1"/>
  <c r="AK211" i="26"/>
  <c r="AL211" i="26" s="1"/>
  <c r="AK212" i="26"/>
  <c r="AL212" i="26" s="1"/>
  <c r="AK213" i="26"/>
  <c r="AL213" i="26" s="1"/>
  <c r="AK214" i="26"/>
  <c r="AO214" i="26" s="1"/>
  <c r="AK215" i="26"/>
  <c r="AR215" i="26" s="1"/>
  <c r="AK216" i="26"/>
  <c r="AR216" i="26" s="1"/>
  <c r="AK217" i="26"/>
  <c r="AM217" i="26" s="1"/>
  <c r="AK218" i="26"/>
  <c r="AR218" i="26" s="1"/>
  <c r="AK219" i="26"/>
  <c r="AL219" i="26" s="1"/>
  <c r="AK220" i="26"/>
  <c r="AQ220" i="26" s="1"/>
  <c r="AK221" i="26"/>
  <c r="AT221" i="26" s="1"/>
  <c r="AK222" i="26"/>
  <c r="AU222" i="26" s="1"/>
  <c r="AK223" i="26"/>
  <c r="AT223" i="26" s="1"/>
  <c r="AK224" i="26"/>
  <c r="AM224" i="26" s="1"/>
  <c r="AK225" i="26"/>
  <c r="AT225" i="26" s="1"/>
  <c r="AK226" i="26"/>
  <c r="AR226" i="26" s="1"/>
  <c r="AK227" i="26"/>
  <c r="AL227" i="26" s="1"/>
  <c r="AK228" i="26"/>
  <c r="AL228" i="26" s="1"/>
  <c r="AK229" i="26"/>
  <c r="AL229" i="26" s="1"/>
  <c r="AK230" i="26"/>
  <c r="AO230" i="26" s="1"/>
  <c r="AK231" i="26"/>
  <c r="AR231" i="26" s="1"/>
  <c r="AK232" i="26"/>
  <c r="AM232" i="26" s="1"/>
  <c r="AK233" i="26"/>
  <c r="AM233" i="26" s="1"/>
  <c r="AK234" i="26"/>
  <c r="AL234" i="26" s="1"/>
  <c r="AK235" i="26"/>
  <c r="AR235" i="26" s="1"/>
  <c r="AK236" i="26"/>
  <c r="AQ236" i="26" s="1"/>
  <c r="AK237" i="26"/>
  <c r="AV237" i="26" s="1"/>
  <c r="AK238" i="26"/>
  <c r="AL238" i="26" s="1"/>
  <c r="AK239" i="26"/>
  <c r="AO239" i="26" s="1"/>
  <c r="AK240" i="26"/>
  <c r="AM240" i="26" s="1"/>
  <c r="AK241" i="26"/>
  <c r="AP241" i="26" s="1"/>
  <c r="AK242" i="26"/>
  <c r="AS242" i="26" s="1"/>
  <c r="AK243" i="26"/>
  <c r="AL243" i="26" s="1"/>
  <c r="AK244" i="26"/>
  <c r="AU244" i="26" s="1"/>
  <c r="AK245" i="26"/>
  <c r="AT245" i="26" s="1"/>
  <c r="AK246" i="26"/>
  <c r="AO246" i="26" s="1"/>
  <c r="AK247" i="26"/>
  <c r="AR247" i="26" s="1"/>
  <c r="AK248" i="26"/>
  <c r="AU248" i="26" s="1"/>
  <c r="AK249" i="26"/>
  <c r="AM249" i="26" s="1"/>
  <c r="AK250" i="26"/>
  <c r="AL250" i="26" s="1"/>
  <c r="AK251" i="26"/>
  <c r="AM251" i="26" s="1"/>
  <c r="AK252" i="26"/>
  <c r="AU252" i="26" s="1"/>
  <c r="AK253" i="26"/>
  <c r="AL253" i="26" s="1"/>
  <c r="AK254" i="26"/>
  <c r="AK255" i="26"/>
  <c r="AK256" i="26"/>
  <c r="AU256" i="26" s="1"/>
  <c r="AK257" i="26"/>
  <c r="AP257" i="26" s="1"/>
  <c r="AK258" i="26"/>
  <c r="AN258" i="26" s="1"/>
  <c r="AK259" i="26"/>
  <c r="AR259" i="26" s="1"/>
  <c r="AK260" i="26"/>
  <c r="AM260" i="26" s="1"/>
  <c r="AK261" i="26"/>
  <c r="AL261" i="26" s="1"/>
  <c r="AK150" i="26"/>
  <c r="AL150" i="26" s="1"/>
  <c r="AK151" i="26"/>
  <c r="AN151" i="26" s="1"/>
  <c r="AK153" i="26"/>
  <c r="AU153" i="26" s="1"/>
  <c r="AK149" i="26"/>
  <c r="AV149" i="26" s="1"/>
  <c r="AK128" i="26"/>
  <c r="AV128" i="26" s="1"/>
  <c r="AK125" i="26"/>
  <c r="AK126" i="26"/>
  <c r="AN126" i="26" s="1"/>
  <c r="AK115" i="26"/>
  <c r="AU115" i="26" s="1"/>
  <c r="AK116" i="26"/>
  <c r="AS116" i="26" s="1"/>
  <c r="AK117" i="26"/>
  <c r="AL117" i="26" s="1"/>
  <c r="AK118" i="26"/>
  <c r="AN118" i="26" s="1"/>
  <c r="AK119" i="26"/>
  <c r="AL119" i="26" s="1"/>
  <c r="AK120" i="26"/>
  <c r="AL120" i="26" s="1"/>
  <c r="AK121" i="26"/>
  <c r="AM121" i="26" s="1"/>
  <c r="AK122" i="26"/>
  <c r="AS122" i="26" s="1"/>
  <c r="AK123" i="26"/>
  <c r="AP123" i="26" s="1"/>
  <c r="AK124" i="26"/>
  <c r="AM124" i="26" s="1"/>
  <c r="AK114" i="26"/>
  <c r="AV114" i="26" s="1"/>
  <c r="AK50" i="26"/>
  <c r="AL50" i="26" s="1"/>
  <c r="AK51" i="26"/>
  <c r="AN51" i="26" s="1"/>
  <c r="AK52" i="26"/>
  <c r="AQ52" i="26" s="1"/>
  <c r="AK53" i="26"/>
  <c r="AT53" i="26" s="1"/>
  <c r="AK49" i="26"/>
  <c r="AV49" i="26" s="1"/>
  <c r="AK4" i="26"/>
  <c r="AL4" i="26" s="1"/>
  <c r="AK5" i="26"/>
  <c r="AN5" i="26" s="1"/>
  <c r="AK6" i="26"/>
  <c r="AQ6" i="26" s="1"/>
  <c r="AK7" i="26"/>
  <c r="AO7" i="26" s="1"/>
  <c r="AK8" i="26"/>
  <c r="AM8" i="26" s="1"/>
  <c r="AK9" i="26"/>
  <c r="AL9" i="26" s="1"/>
  <c r="AK10" i="26"/>
  <c r="AM10" i="26" s="1"/>
  <c r="AK11" i="26"/>
  <c r="AP11" i="26" s="1"/>
  <c r="AK12" i="26"/>
  <c r="AS12" i="26" s="1"/>
  <c r="AK13" i="26"/>
  <c r="AV13" i="26" s="1"/>
  <c r="AK14" i="26"/>
  <c r="AM14" i="26" s="1"/>
  <c r="AK15" i="26"/>
  <c r="AN15" i="26" s="1"/>
  <c r="AK16" i="26"/>
  <c r="AO16" i="26" s="1"/>
  <c r="AK17" i="26"/>
  <c r="AR17" i="26" s="1"/>
  <c r="AK18" i="26"/>
  <c r="AP18" i="26" s="1"/>
  <c r="AK19" i="26"/>
  <c r="AN19" i="26" s="1"/>
  <c r="AK20" i="26"/>
  <c r="AL20" i="26" s="1"/>
  <c r="AK21" i="26"/>
  <c r="AN21" i="26" s="1"/>
  <c r="AK22" i="26"/>
  <c r="AQ22" i="26" s="1"/>
  <c r="AK23" i="26"/>
  <c r="AP23" i="26" s="1"/>
  <c r="AK24" i="26"/>
  <c r="AV24" i="26" s="1"/>
  <c r="AK25" i="26"/>
  <c r="AT25" i="26" s="1"/>
  <c r="AK26" i="26"/>
  <c r="AM26" i="26" s="1"/>
  <c r="AK27" i="26"/>
  <c r="AT27" i="26" s="1"/>
  <c r="AK28" i="26"/>
  <c r="AN28" i="26" s="1"/>
  <c r="AK29" i="26"/>
  <c r="AV29" i="26" s="1"/>
  <c r="AK30" i="26"/>
  <c r="AO30" i="26" s="1"/>
  <c r="AK31" i="26"/>
  <c r="AL31" i="26" s="1"/>
  <c r="AK32" i="26"/>
  <c r="AL32" i="26" s="1"/>
  <c r="AK33" i="26"/>
  <c r="AQ33" i="26" s="1"/>
  <c r="AK34" i="26"/>
  <c r="AU34" i="26" s="1"/>
  <c r="AK35" i="26"/>
  <c r="AR35" i="26" s="1"/>
  <c r="AK36" i="26"/>
  <c r="AV36" i="26" s="1"/>
  <c r="AK37" i="26"/>
  <c r="AL37" i="26" s="1"/>
  <c r="AK38" i="26"/>
  <c r="AO38" i="26" s="1"/>
  <c r="AK39" i="26"/>
  <c r="AT39" i="26" s="1"/>
  <c r="AK40" i="26"/>
  <c r="AQ40" i="26" s="1"/>
  <c r="AK41" i="26"/>
  <c r="AL41" i="26" s="1"/>
  <c r="AK42" i="26"/>
  <c r="AM42" i="26" s="1"/>
  <c r="AK43" i="26"/>
  <c r="AP43" i="26" s="1"/>
  <c r="AK44" i="26"/>
  <c r="AS44" i="26" s="1"/>
  <c r="AK45" i="26"/>
  <c r="AV45" i="26" s="1"/>
  <c r="AK46" i="26"/>
  <c r="AU46" i="26" s="1"/>
  <c r="AK47" i="26"/>
  <c r="AL47" i="26" s="1"/>
  <c r="AJ3" i="17"/>
  <c r="AK3" i="17" s="1"/>
  <c r="AJ4" i="17"/>
  <c r="AP4" i="17" s="1"/>
  <c r="AJ5" i="17"/>
  <c r="AO5" i="17" s="1"/>
  <c r="AK3" i="26"/>
  <c r="AV3" i="26" s="1"/>
  <c r="AJ19" i="25"/>
  <c r="AK19" i="25" s="1"/>
  <c r="AJ20" i="25"/>
  <c r="AM20" i="25" s="1"/>
  <c r="AJ7" i="25"/>
  <c r="AK7" i="25" s="1"/>
  <c r="AJ21" i="25"/>
  <c r="AU21" i="25" s="1"/>
  <c r="AJ22" i="25"/>
  <c r="AK22" i="25" s="1"/>
  <c r="AJ23" i="25"/>
  <c r="AT23" i="25" s="1"/>
  <c r="AJ24" i="25"/>
  <c r="AL24" i="25" s="1"/>
  <c r="AJ8" i="25"/>
  <c r="AO8" i="25" s="1"/>
  <c r="AJ13" i="25"/>
  <c r="AJ44" i="25"/>
  <c r="AJ45" i="25"/>
  <c r="AJ46" i="25"/>
  <c r="AJ47" i="25"/>
  <c r="AJ48" i="25"/>
  <c r="AJ49" i="25"/>
  <c r="AJ50" i="25"/>
  <c r="AJ51" i="25"/>
  <c r="AJ52" i="25"/>
  <c r="AJ53" i="25"/>
  <c r="AJ54" i="25"/>
  <c r="AJ55" i="25"/>
  <c r="AJ56" i="25"/>
  <c r="AJ57" i="25"/>
  <c r="AJ58" i="25"/>
  <c r="AJ59" i="25"/>
  <c r="AJ60" i="25"/>
  <c r="AJ18" i="25"/>
  <c r="AK18" i="25" s="1"/>
  <c r="AV175" i="26"/>
  <c r="AT218" i="26"/>
  <c r="AR175" i="26"/>
  <c r="AQ175" i="26"/>
  <c r="AU188" i="26"/>
  <c r="AN159" i="26"/>
  <c r="AL188" i="26"/>
  <c r="AS227" i="26"/>
  <c r="AM252" i="26"/>
  <c r="AV170" i="26"/>
  <c r="AU170" i="26"/>
  <c r="AL252" i="26"/>
  <c r="AT227" i="26"/>
  <c r="AV189" i="26"/>
  <c r="AM159" i="26"/>
  <c r="AT158" i="26"/>
  <c r="AS157" i="26"/>
  <c r="AU156" i="26"/>
  <c r="AP259" i="26"/>
  <c r="AS156" i="26"/>
  <c r="AP156" i="26"/>
  <c r="AO156" i="26"/>
  <c r="AN156" i="26"/>
  <c r="AO252" i="26"/>
  <c r="AL236" i="26"/>
  <c r="AV190" i="26"/>
  <c r="AO53" i="26"/>
  <c r="AO205" i="26"/>
  <c r="AM188" i="26"/>
  <c r="AS159" i="26"/>
  <c r="AL159" i="26"/>
  <c r="AP221" i="26"/>
  <c r="AS189" i="26"/>
  <c r="AN175" i="26"/>
  <c r="AP172" i="26"/>
  <c r="AV158" i="26"/>
  <c r="AM156" i="26"/>
  <c r="AV218" i="26"/>
  <c r="AM202" i="26"/>
  <c r="AR189" i="26"/>
  <c r="AM175" i="26"/>
  <c r="AU158" i="26"/>
  <c r="AL156" i="26"/>
  <c r="AL35" i="26"/>
  <c r="AM227" i="26"/>
  <c r="AP189" i="26"/>
  <c r="AN172" i="26"/>
  <c r="AU220" i="26"/>
  <c r="AV206" i="26"/>
  <c r="AO189" i="26"/>
  <c r="AO163" i="26"/>
  <c r="AS220" i="26"/>
  <c r="AT211" i="26"/>
  <c r="AU206" i="26"/>
  <c r="AV157" i="26"/>
  <c r="AT179" i="26"/>
  <c r="AO220" i="26"/>
  <c r="AV205" i="26"/>
  <c r="AS188" i="26"/>
  <c r="AR157" i="26"/>
  <c r="AN259" i="26"/>
  <c r="AN243" i="26"/>
  <c r="AS205" i="26"/>
  <c r="AP188" i="26"/>
  <c r="AV159" i="26"/>
  <c r="AQ157" i="26"/>
  <c r="AQ53" i="26"/>
  <c r="AM243" i="26"/>
  <c r="AM220" i="26"/>
  <c r="AR205" i="26"/>
  <c r="AQ194" i="26"/>
  <c r="AO188" i="26"/>
  <c r="AU159" i="26"/>
  <c r="AP157" i="26"/>
  <c r="AV20" i="26"/>
  <c r="AL220" i="26"/>
  <c r="AP205" i="26"/>
  <c r="AM191" i="26"/>
  <c r="AN188" i="26"/>
  <c r="AP179" i="26"/>
  <c r="AR173" i="26"/>
  <c r="AT159" i="26"/>
  <c r="AO157" i="26"/>
  <c r="AV4" i="26"/>
  <c r="AM19" i="26"/>
  <c r="AP9" i="26"/>
  <c r="AV8" i="26"/>
  <c r="AL160" i="26"/>
  <c r="AT206" i="26"/>
  <c r="AQ205" i="26"/>
  <c r="AT190" i="26"/>
  <c r="AQ189" i="26"/>
  <c r="AV180" i="26"/>
  <c r="AS206" i="26"/>
  <c r="AS190" i="26"/>
  <c r="AS158" i="26"/>
  <c r="AR222" i="26"/>
  <c r="AR206" i="26"/>
  <c r="AR190" i="26"/>
  <c r="AR158" i="26"/>
  <c r="AS244" i="26"/>
  <c r="AQ206" i="26"/>
  <c r="AN205" i="26"/>
  <c r="AQ190" i="26"/>
  <c r="AN189" i="26"/>
  <c r="AS180" i="26"/>
  <c r="AQ158" i="26"/>
  <c r="AN157" i="26"/>
  <c r="AP206" i="26"/>
  <c r="AM205" i="26"/>
  <c r="AP190" i="26"/>
  <c r="AM189" i="26"/>
  <c r="AR180" i="26"/>
  <c r="AP158" i="26"/>
  <c r="AM157" i="26"/>
  <c r="AL221" i="26"/>
  <c r="AO206" i="26"/>
  <c r="AL205" i="26"/>
  <c r="AO190" i="26"/>
  <c r="AL189" i="26"/>
  <c r="AQ180" i="26"/>
  <c r="AU176" i="26"/>
  <c r="AL173" i="26"/>
  <c r="AR159" i="26"/>
  <c r="AO158" i="26"/>
  <c r="AL157" i="26"/>
  <c r="AN222" i="26"/>
  <c r="AN206" i="26"/>
  <c r="AN190" i="26"/>
  <c r="AT160" i="26"/>
  <c r="AN158" i="26"/>
  <c r="AQ218" i="26"/>
  <c r="AM206" i="26"/>
  <c r="AM190" i="26"/>
  <c r="AO180" i="26"/>
  <c r="AS176" i="26"/>
  <c r="AP175" i="26"/>
  <c r="AP159" i="26"/>
  <c r="AM158" i="26"/>
  <c r="AV252" i="26"/>
  <c r="AV220" i="26"/>
  <c r="AP218" i="26"/>
  <c r="AP202" i="26"/>
  <c r="AV188" i="26"/>
  <c r="AN180" i="26"/>
  <c r="AV172" i="26"/>
  <c r="AV156" i="26"/>
  <c r="AQ176" i="26"/>
  <c r="AT252" i="26"/>
  <c r="AT220" i="26"/>
  <c r="AV194" i="26"/>
  <c r="AT188" i="26"/>
  <c r="AT172" i="26"/>
  <c r="AQ171" i="26"/>
  <c r="AT156" i="26"/>
  <c r="AO160" i="26"/>
  <c r="AR252" i="26"/>
  <c r="AR220" i="26"/>
  <c r="AU205" i="26"/>
  <c r="AN192" i="26"/>
  <c r="AU189" i="26"/>
  <c r="AR188" i="26"/>
  <c r="AU173" i="26"/>
  <c r="AR172" i="26"/>
  <c r="AU157" i="26"/>
  <c r="AR156" i="26"/>
  <c r="AL128" i="26"/>
  <c r="AM128" i="26"/>
  <c r="AV121" i="26"/>
  <c r="AU121" i="26"/>
  <c r="AO119" i="26"/>
  <c r="AV117" i="26"/>
  <c r="AN121" i="26"/>
  <c r="AQ49" i="26"/>
  <c r="AP24" i="26"/>
  <c r="AP8" i="26"/>
  <c r="AU42" i="26"/>
  <c r="AO8" i="26"/>
  <c r="AO35" i="26"/>
  <c r="AO19" i="26"/>
  <c r="AT10" i="26"/>
  <c r="AS42" i="26"/>
  <c r="AQ4" i="26"/>
  <c r="AN4" i="26"/>
  <c r="AO42" i="26"/>
  <c r="AV23" i="26"/>
  <c r="AS3" i="26"/>
  <c r="AU3" i="26"/>
  <c r="AK8" i="25"/>
  <c r="AR23" i="25"/>
  <c r="AL21" i="25"/>
  <c r="AQ23" i="25"/>
  <c r="AN22" i="25"/>
  <c r="AK21" i="25"/>
  <c r="AR19" i="25"/>
  <c r="AO23" i="25"/>
  <c r="AT8" i="25"/>
  <c r="AN23" i="25"/>
  <c r="AS8" i="25"/>
  <c r="BD298" i="17"/>
  <c r="BC298" i="17"/>
  <c r="BD297" i="17"/>
  <c r="BC297" i="17"/>
  <c r="BD296" i="17"/>
  <c r="BC296" i="17"/>
  <c r="BD295" i="17"/>
  <c r="BC295" i="17"/>
  <c r="BD287" i="17"/>
  <c r="BC287" i="17" s="1"/>
  <c r="BD286" i="17"/>
  <c r="BC286" i="17" s="1"/>
  <c r="BD285" i="17"/>
  <c r="BC285" i="17" s="1"/>
  <c r="BD284" i="17"/>
  <c r="BC284" i="17" s="1"/>
  <c r="BD283" i="17"/>
  <c r="BC283" i="17" s="1"/>
  <c r="BD282" i="17"/>
  <c r="BC282" i="17" s="1"/>
  <c r="BD281" i="17"/>
  <c r="BC281" i="17" s="1"/>
  <c r="BD280" i="17"/>
  <c r="BC280" i="17" s="1"/>
  <c r="BD279" i="17"/>
  <c r="BC279" i="17" s="1"/>
  <c r="BD278" i="17"/>
  <c r="BC278" i="17" s="1"/>
  <c r="BD277" i="17"/>
  <c r="BC277" i="17" s="1"/>
  <c r="BD276" i="17"/>
  <c r="BC276" i="17" s="1"/>
  <c r="BD275" i="17"/>
  <c r="BC275" i="17" s="1"/>
  <c r="BD274" i="17"/>
  <c r="BC274" i="17"/>
  <c r="BD273" i="17"/>
  <c r="BC273" i="17"/>
  <c r="BD272" i="17"/>
  <c r="BC272" i="17"/>
  <c r="BD271" i="17"/>
  <c r="BC271" i="17"/>
  <c r="BD270" i="17"/>
  <c r="BC270" i="17"/>
  <c r="BD268" i="17"/>
  <c r="BC268" i="17"/>
  <c r="BD265" i="17"/>
  <c r="BC265" i="17" s="1"/>
  <c r="BD264" i="17"/>
  <c r="BC264" i="17" s="1"/>
  <c r="BD263" i="17"/>
  <c r="BC263" i="17" s="1"/>
  <c r="BD262" i="17"/>
  <c r="BC262" i="17" s="1"/>
  <c r="BD261" i="17"/>
  <c r="BC261" i="17" s="1"/>
  <c r="BD260" i="17"/>
  <c r="BC260" i="17" s="1"/>
  <c r="BD259" i="17"/>
  <c r="BC259" i="17" s="1"/>
  <c r="BD258" i="17"/>
  <c r="BC258" i="17" s="1"/>
  <c r="BD257" i="17"/>
  <c r="BC257" i="17" s="1"/>
  <c r="BD256" i="17"/>
  <c r="BC256" i="17" s="1"/>
  <c r="BD255" i="17"/>
  <c r="BC255" i="17" s="1"/>
  <c r="BD254" i="17"/>
  <c r="BC254" i="17" s="1"/>
  <c r="BD252" i="17"/>
  <c r="BC252" i="17" s="1"/>
  <c r="BD251" i="17"/>
  <c r="BC251" i="17" s="1"/>
  <c r="BD250" i="17"/>
  <c r="BC250" i="17" s="1"/>
  <c r="BD249" i="17"/>
  <c r="BD233" i="17"/>
  <c r="BC233" i="17"/>
  <c r="BD232" i="17"/>
  <c r="BC232" i="17"/>
  <c r="BD229" i="17"/>
  <c r="BC229" i="17"/>
  <c r="BD228" i="17"/>
  <c r="BC228" i="17"/>
  <c r="BD226" i="17"/>
  <c r="BC226" i="17"/>
  <c r="BD223" i="17"/>
  <c r="BC223" i="17" s="1"/>
  <c r="BD222" i="17"/>
  <c r="BC222" i="17" s="1"/>
  <c r="BD221" i="17"/>
  <c r="BC221" i="17" s="1"/>
  <c r="BD220" i="17"/>
  <c r="BC220" i="17" s="1"/>
  <c r="BD219" i="17"/>
  <c r="BC219" i="17" s="1"/>
  <c r="BD218" i="17"/>
  <c r="BC218" i="17" s="1"/>
  <c r="BD217" i="17"/>
  <c r="BC217" i="17" s="1"/>
  <c r="BD216" i="17"/>
  <c r="BC216" i="17" s="1"/>
  <c r="BD215" i="17"/>
  <c r="BC215" i="17" s="1"/>
  <c r="BD214" i="17"/>
  <c r="BC214" i="17" s="1"/>
  <c r="BD213" i="17"/>
  <c r="BC213" i="17" s="1"/>
  <c r="BD212" i="17"/>
  <c r="BC212" i="17" s="1"/>
  <c r="BD211" i="17"/>
  <c r="BC211" i="17" s="1"/>
  <c r="BD210" i="17"/>
  <c r="BC210" i="17" s="1"/>
  <c r="BD209" i="17"/>
  <c r="BC209" i="17" s="1"/>
  <c r="BD208" i="17"/>
  <c r="BC208" i="17" s="1"/>
  <c r="BD207" i="17"/>
  <c r="BC207" i="17" s="1"/>
  <c r="BD206" i="17"/>
  <c r="BC206" i="17" s="1"/>
  <c r="BD204" i="17"/>
  <c r="BC204" i="17" s="1"/>
  <c r="BD203" i="17"/>
  <c r="BC203" i="17" s="1"/>
  <c r="BD199" i="17"/>
  <c r="BC199" i="17"/>
  <c r="BD198" i="17"/>
  <c r="BC198" i="17"/>
  <c r="BD197" i="17"/>
  <c r="BC197" i="17"/>
  <c r="BD196" i="17"/>
  <c r="BC196" i="17"/>
  <c r="BD195" i="17"/>
  <c r="BC195" i="17"/>
  <c r="BD194" i="17"/>
  <c r="BC194" i="17"/>
  <c r="BD193" i="17"/>
  <c r="BC193" i="17"/>
  <c r="BD184" i="17"/>
  <c r="BC184" i="17" s="1"/>
  <c r="BD183" i="17"/>
  <c r="BC183" i="17" s="1"/>
  <c r="BD180" i="17"/>
  <c r="BC180" i="17"/>
  <c r="BD158" i="17"/>
  <c r="BC158" i="17"/>
  <c r="BD157" i="17"/>
  <c r="BC157" i="17"/>
  <c r="BD156" i="17"/>
  <c r="BC156" i="17"/>
  <c r="BD155" i="17"/>
  <c r="BC155" i="17"/>
  <c r="BD154" i="17"/>
  <c r="BC154" i="17"/>
  <c r="BD153" i="17"/>
  <c r="BC153" i="17"/>
  <c r="BD152" i="17"/>
  <c r="BC152" i="17"/>
  <c r="BD151" i="17"/>
  <c r="BC151" i="17"/>
  <c r="BD150" i="17"/>
  <c r="BC150" i="17"/>
  <c r="BD129" i="17"/>
  <c r="BC129" i="17"/>
  <c r="BD128" i="17"/>
  <c r="BC128" i="17"/>
  <c r="BD127" i="17"/>
  <c r="BD126" i="17"/>
  <c r="BD125" i="17"/>
  <c r="BC125" i="17"/>
  <c r="BD124" i="17"/>
  <c r="BC124" i="17"/>
  <c r="BD123" i="17"/>
  <c r="BC123" i="17"/>
  <c r="BD122" i="17"/>
  <c r="BC122" i="17"/>
  <c r="BD121" i="17"/>
  <c r="BC121" i="17"/>
  <c r="BD120" i="17"/>
  <c r="BC120" i="17"/>
  <c r="BD119" i="17"/>
  <c r="BC119" i="17"/>
  <c r="BD118" i="17"/>
  <c r="BC118" i="17"/>
  <c r="BD117" i="17"/>
  <c r="BC117" i="17"/>
  <c r="BD116" i="17"/>
  <c r="BC116" i="17"/>
  <c r="BD115" i="17"/>
  <c r="BC115" i="17"/>
  <c r="BD114" i="17"/>
  <c r="BD104" i="17"/>
  <c r="BC104" i="17"/>
  <c r="BD92" i="17"/>
  <c r="BC92" i="17"/>
  <c r="BD91" i="17"/>
  <c r="BC91" i="17"/>
  <c r="BD67" i="17"/>
  <c r="BC67" i="17"/>
  <c r="BD66" i="17"/>
  <c r="BC66" i="17"/>
  <c r="BD65" i="17"/>
  <c r="BC65" i="17"/>
  <c r="BD64" i="17"/>
  <c r="BC64" i="17"/>
  <c r="BD61" i="17"/>
  <c r="BC61" i="17"/>
  <c r="BD60" i="17"/>
  <c r="BC60" i="17"/>
  <c r="BD59" i="17"/>
  <c r="BC59" i="17"/>
  <c r="BD57" i="17"/>
  <c r="BC57" i="17"/>
  <c r="BD56" i="17"/>
  <c r="BC56" i="17"/>
  <c r="BD55" i="17"/>
  <c r="BC55" i="17"/>
  <c r="BD54" i="17"/>
  <c r="BC54" i="17"/>
  <c r="BD53" i="17"/>
  <c r="BC53" i="17"/>
  <c r="BD52" i="17"/>
  <c r="BC52" i="17"/>
  <c r="BD51" i="17"/>
  <c r="BC51" i="17"/>
  <c r="BD50" i="17"/>
  <c r="BC50" i="17" s="1"/>
  <c r="BD49" i="17"/>
  <c r="BC49" i="17" s="1"/>
  <c r="BD48" i="17"/>
  <c r="BC48" i="17" s="1"/>
  <c r="BD47" i="17"/>
  <c r="BC47" i="17" s="1"/>
  <c r="BD46" i="17"/>
  <c r="BC46" i="17" s="1"/>
  <c r="BD45" i="17"/>
  <c r="BC45" i="17" s="1"/>
  <c r="BD44" i="17"/>
  <c r="BC44" i="17" s="1"/>
  <c r="BD43" i="17"/>
  <c r="BC43" i="17" s="1"/>
  <c r="BD42" i="17"/>
  <c r="BC42" i="17" s="1"/>
  <c r="BD41" i="17"/>
  <c r="BC41" i="17" s="1"/>
  <c r="BD40" i="17"/>
  <c r="BC40" i="17" s="1"/>
  <c r="BD39" i="17"/>
  <c r="BC39" i="17" s="1"/>
  <c r="BD38" i="17"/>
  <c r="BC38" i="17" s="1"/>
  <c r="BD37" i="17"/>
  <c r="BC37" i="17" s="1"/>
  <c r="BD36" i="17"/>
  <c r="BC36" i="17" s="1"/>
  <c r="BD35" i="17"/>
  <c r="BC35" i="17" s="1"/>
  <c r="BD34" i="17"/>
  <c r="BC34" i="17" s="1"/>
  <c r="BD32" i="17"/>
  <c r="BC32" i="17" s="1"/>
  <c r="BD31" i="17"/>
  <c r="BC31" i="17" s="1"/>
  <c r="BD29" i="17"/>
  <c r="BC29" i="17" s="1"/>
  <c r="BD28" i="17"/>
  <c r="BC28" i="17" s="1"/>
  <c r="BD30" i="17"/>
  <c r="BC30" i="17" s="1"/>
  <c r="BD27" i="17"/>
  <c r="BC27" i="17" s="1"/>
  <c r="BD26" i="17"/>
  <c r="BC26" i="17" s="1"/>
  <c r="BD25" i="17"/>
  <c r="BC25" i="17" s="1"/>
  <c r="BD24" i="17"/>
  <c r="BC24" i="17" s="1"/>
  <c r="BD23" i="17"/>
  <c r="BC23" i="17" s="1"/>
  <c r="BD22" i="17"/>
  <c r="BC22" i="17" s="1"/>
  <c r="BD21" i="17"/>
  <c r="BC21" i="17" s="1"/>
  <c r="BD20" i="17"/>
  <c r="BC20" i="17" s="1"/>
  <c r="BD19" i="17"/>
  <c r="BC19" i="17" s="1"/>
  <c r="BD18" i="17"/>
  <c r="BC18" i="17" s="1"/>
  <c r="BD17" i="17"/>
  <c r="BC17" i="17" s="1"/>
  <c r="BD16" i="17"/>
  <c r="BC16" i="17" s="1"/>
  <c r="BD15" i="17"/>
  <c r="BC15" i="17" s="1"/>
  <c r="BD14" i="17"/>
  <c r="BC14" i="17" s="1"/>
  <c r="BD13" i="17"/>
  <c r="BC13" i="17" s="1"/>
  <c r="BD12" i="17"/>
  <c r="BC12" i="17" s="1"/>
  <c r="BD11" i="17"/>
  <c r="BC11" i="17" s="1"/>
  <c r="BD10" i="17"/>
  <c r="BC10" i="17" s="1"/>
  <c r="BD9" i="17"/>
  <c r="BC9" i="17" s="1"/>
  <c r="BD8" i="17"/>
  <c r="BC8" i="17" s="1"/>
  <c r="BD7" i="17"/>
  <c r="BC7" i="17" s="1"/>
  <c r="BD5" i="17"/>
  <c r="BC5" i="17"/>
  <c r="BD4" i="17"/>
  <c r="BC4" i="17"/>
  <c r="BD3" i="17"/>
  <c r="EL2" i="17"/>
  <c r="EM2" i="17"/>
  <c r="EN2" i="17"/>
  <c r="EO2" i="17"/>
  <c r="EP2" i="17"/>
  <c r="EQ2" i="17"/>
  <c r="ER2" i="17"/>
  <c r="ES2" i="17"/>
  <c r="ET2" i="17"/>
  <c r="EU2" i="17"/>
  <c r="EV2" i="17"/>
  <c r="EW2" i="17"/>
  <c r="EX2" i="17"/>
  <c r="EY2" i="17"/>
  <c r="EZ2" i="17"/>
  <c r="FA2" i="17"/>
  <c r="FB2" i="17"/>
  <c r="FC2" i="17"/>
  <c r="FD2" i="17"/>
  <c r="FE2" i="17"/>
  <c r="FF2" i="17"/>
  <c r="FG2" i="17"/>
  <c r="FH2" i="17"/>
  <c r="FI2" i="17"/>
  <c r="FJ2" i="17"/>
  <c r="FK2" i="17"/>
  <c r="FL2" i="17"/>
  <c r="EM3" i="17"/>
  <c r="EN3" i="17"/>
  <c r="EO3" i="17"/>
  <c r="EP3" i="17"/>
  <c r="EQ3" i="17"/>
  <c r="ER3" i="17"/>
  <c r="ES3" i="17"/>
  <c r="ET3" i="17"/>
  <c r="EU3" i="17"/>
  <c r="EV3" i="17"/>
  <c r="EW3" i="17"/>
  <c r="EX3" i="17"/>
  <c r="EY3" i="17"/>
  <c r="EZ3" i="17"/>
  <c r="FA3" i="17"/>
  <c r="FB3" i="17"/>
  <c r="FC3" i="17"/>
  <c r="FD3" i="17"/>
  <c r="FE3" i="17"/>
  <c r="FF3" i="17"/>
  <c r="FG3" i="17"/>
  <c r="FH3" i="17"/>
  <c r="FI3" i="17"/>
  <c r="FJ3" i="17"/>
  <c r="FK3" i="17"/>
  <c r="FL3" i="17"/>
  <c r="AJ238" i="17"/>
  <c r="AJ239" i="17"/>
  <c r="AJ240" i="17"/>
  <c r="AJ308" i="17"/>
  <c r="AJ241" i="17"/>
  <c r="AJ242" i="17"/>
  <c r="AP242" i="17" s="1"/>
  <c r="AJ69" i="17"/>
  <c r="AJ310" i="17"/>
  <c r="AJ243" i="17"/>
  <c r="AP243" i="17" s="1"/>
  <c r="AJ70" i="17"/>
  <c r="AU70" i="17" s="1"/>
  <c r="AJ71" i="17"/>
  <c r="AJ244" i="17"/>
  <c r="AJ72" i="17"/>
  <c r="AM72" i="17" s="1"/>
  <c r="AJ311" i="17"/>
  <c r="AM311" i="17" s="1"/>
  <c r="AJ312" i="17"/>
  <c r="AJ313" i="17"/>
  <c r="AJ245" i="17"/>
  <c r="AR245" i="17" s="1"/>
  <c r="AJ314" i="17"/>
  <c r="AJ334" i="17"/>
  <c r="AJ73" i="17"/>
  <c r="AR73" i="17" s="1"/>
  <c r="AJ74" i="17"/>
  <c r="AN74" i="17" s="1"/>
  <c r="AJ75" i="17"/>
  <c r="AJ76" i="17"/>
  <c r="AL76" i="17" s="1"/>
  <c r="AJ77" i="17"/>
  <c r="AJ78" i="17"/>
  <c r="AR78" i="17" s="1"/>
  <c r="AJ79" i="17"/>
  <c r="AJ335" i="17"/>
  <c r="AJ80" i="17"/>
  <c r="AQ80" i="17" s="1"/>
  <c r="AJ81" i="17"/>
  <c r="AJ82" i="17"/>
  <c r="AJ83" i="17"/>
  <c r="AN83" i="17" s="1"/>
  <c r="AJ84" i="17"/>
  <c r="AJ85" i="17"/>
  <c r="AJ178" i="17"/>
  <c r="AR178" i="17" s="1"/>
  <c r="AJ336" i="17"/>
  <c r="AJ86" i="17"/>
  <c r="AJ337" i="17"/>
  <c r="AR337" i="17" s="1"/>
  <c r="AJ105" i="17"/>
  <c r="AP105" i="17" s="1"/>
  <c r="AJ87" i="17"/>
  <c r="AN87" i="17" s="1"/>
  <c r="AJ106" i="17"/>
  <c r="AJ88" i="17"/>
  <c r="AP88" i="17" s="1"/>
  <c r="AJ89" i="17"/>
  <c r="AJ90" i="17"/>
  <c r="EL309" i="17"/>
  <c r="EM309" i="17"/>
  <c r="EN309" i="17"/>
  <c r="EO309" i="17"/>
  <c r="EP309" i="17"/>
  <c r="EQ309" i="17"/>
  <c r="ER309" i="17"/>
  <c r="ES309" i="17"/>
  <c r="ET309" i="17"/>
  <c r="EU309" i="17"/>
  <c r="EV309" i="17"/>
  <c r="EW309" i="17"/>
  <c r="EX309" i="17"/>
  <c r="EY309" i="17"/>
  <c r="EZ309" i="17"/>
  <c r="FA309" i="17"/>
  <c r="FB309" i="17"/>
  <c r="FC309" i="17"/>
  <c r="FD309" i="17"/>
  <c r="FE309" i="17"/>
  <c r="FF309" i="17"/>
  <c r="FG309" i="17"/>
  <c r="FH309" i="17"/>
  <c r="FI309" i="17"/>
  <c r="FJ309" i="17"/>
  <c r="FK309" i="17"/>
  <c r="FL309" i="17"/>
  <c r="FN309" i="17"/>
  <c r="EL238" i="17"/>
  <c r="EM238" i="17"/>
  <c r="EN238" i="17"/>
  <c r="EO238" i="17"/>
  <c r="EP238" i="17"/>
  <c r="EQ238" i="17"/>
  <c r="ER238" i="17"/>
  <c r="ES238" i="17"/>
  <c r="ET238" i="17"/>
  <c r="EU238" i="17"/>
  <c r="EV238" i="17"/>
  <c r="EW238" i="17"/>
  <c r="EX238" i="17"/>
  <c r="EY238" i="17"/>
  <c r="EZ238" i="17"/>
  <c r="FA238" i="17"/>
  <c r="FB238" i="17"/>
  <c r="FC238" i="17"/>
  <c r="FD238" i="17"/>
  <c r="FE238" i="17"/>
  <c r="FF238" i="17"/>
  <c r="FG238" i="17"/>
  <c r="FH238" i="17"/>
  <c r="FI238" i="17"/>
  <c r="FJ238" i="17"/>
  <c r="FK238" i="17"/>
  <c r="FL238" i="17"/>
  <c r="FN238" i="17"/>
  <c r="EL239" i="17"/>
  <c r="EM239" i="17"/>
  <c r="EN239" i="17"/>
  <c r="EO239" i="17"/>
  <c r="EP239" i="17"/>
  <c r="EQ239" i="17"/>
  <c r="ER239" i="17"/>
  <c r="ES239" i="17"/>
  <c r="ET239" i="17"/>
  <c r="EU239" i="17"/>
  <c r="EV239" i="17"/>
  <c r="EW239" i="17"/>
  <c r="EX239" i="17"/>
  <c r="EY239" i="17"/>
  <c r="EZ239" i="17"/>
  <c r="FA239" i="17"/>
  <c r="FB239" i="17"/>
  <c r="FC239" i="17"/>
  <c r="FD239" i="17"/>
  <c r="FE239" i="17"/>
  <c r="FF239" i="17"/>
  <c r="FG239" i="17"/>
  <c r="FH239" i="17"/>
  <c r="FI239" i="17"/>
  <c r="FJ239" i="17"/>
  <c r="FK239" i="17"/>
  <c r="FL239" i="17"/>
  <c r="FN239" i="17"/>
  <c r="EL240" i="17"/>
  <c r="EM240" i="17"/>
  <c r="EN240" i="17"/>
  <c r="EO240" i="17"/>
  <c r="EP240" i="17"/>
  <c r="EQ240" i="17"/>
  <c r="ER240" i="17"/>
  <c r="ES240" i="17"/>
  <c r="ET240" i="17"/>
  <c r="EU240" i="17"/>
  <c r="EV240" i="17"/>
  <c r="EW240" i="17"/>
  <c r="EX240" i="17"/>
  <c r="EY240" i="17"/>
  <c r="EZ240" i="17"/>
  <c r="FA240" i="17"/>
  <c r="FB240" i="17"/>
  <c r="FC240" i="17"/>
  <c r="FD240" i="17"/>
  <c r="FE240" i="17"/>
  <c r="FF240" i="17"/>
  <c r="FG240" i="17"/>
  <c r="FH240" i="17"/>
  <c r="FI240" i="17"/>
  <c r="FJ240" i="17"/>
  <c r="FK240" i="17"/>
  <c r="FL240" i="17"/>
  <c r="FN240" i="17"/>
  <c r="EL308" i="17"/>
  <c r="EM308" i="17"/>
  <c r="EN308" i="17"/>
  <c r="EO308" i="17"/>
  <c r="EP308" i="17"/>
  <c r="EQ308" i="17"/>
  <c r="ER308" i="17"/>
  <c r="ES308" i="17"/>
  <c r="ET308" i="17"/>
  <c r="EU308" i="17"/>
  <c r="EV308" i="17"/>
  <c r="EW308" i="17"/>
  <c r="EX308" i="17"/>
  <c r="EY308" i="17"/>
  <c r="EZ308" i="17"/>
  <c r="FA308" i="17"/>
  <c r="FB308" i="17"/>
  <c r="FC308" i="17"/>
  <c r="FD308" i="17"/>
  <c r="FE308" i="17"/>
  <c r="FF308" i="17"/>
  <c r="FG308" i="17"/>
  <c r="FH308" i="17"/>
  <c r="FI308" i="17"/>
  <c r="FJ308" i="17"/>
  <c r="FK308" i="17"/>
  <c r="FL308" i="17"/>
  <c r="FN308" i="17"/>
  <c r="EL241" i="17"/>
  <c r="EM241" i="17"/>
  <c r="EN241" i="17"/>
  <c r="EO241" i="17"/>
  <c r="EP241" i="17"/>
  <c r="EQ241" i="17"/>
  <c r="ER241" i="17"/>
  <c r="ES241" i="17"/>
  <c r="ET241" i="17"/>
  <c r="EU241" i="17"/>
  <c r="EV241" i="17"/>
  <c r="EW241" i="17"/>
  <c r="EX241" i="17"/>
  <c r="EY241" i="17"/>
  <c r="EZ241" i="17"/>
  <c r="FA241" i="17"/>
  <c r="FB241" i="17"/>
  <c r="FC241" i="17"/>
  <c r="FD241" i="17"/>
  <c r="FE241" i="17"/>
  <c r="FF241" i="17"/>
  <c r="FG241" i="17"/>
  <c r="FH241" i="17"/>
  <c r="FI241" i="17"/>
  <c r="FJ241" i="17"/>
  <c r="FK241" i="17"/>
  <c r="FL241" i="17"/>
  <c r="FN241" i="17"/>
  <c r="EL242" i="17"/>
  <c r="EM242" i="17"/>
  <c r="EN242" i="17"/>
  <c r="EO242" i="17"/>
  <c r="EP242" i="17"/>
  <c r="EQ242" i="17"/>
  <c r="ER242" i="17"/>
  <c r="ES242" i="17"/>
  <c r="ET242" i="17"/>
  <c r="EU242" i="17"/>
  <c r="EV242" i="17"/>
  <c r="EW242" i="17"/>
  <c r="EX242" i="17"/>
  <c r="EY242" i="17"/>
  <c r="EZ242" i="17"/>
  <c r="FA242" i="17"/>
  <c r="FB242" i="17"/>
  <c r="FC242" i="17"/>
  <c r="FD242" i="17"/>
  <c r="FE242" i="17"/>
  <c r="FF242" i="17"/>
  <c r="FG242" i="17"/>
  <c r="FH242" i="17"/>
  <c r="FI242" i="17"/>
  <c r="FJ242" i="17"/>
  <c r="FK242" i="17"/>
  <c r="FL242" i="17"/>
  <c r="FN242" i="17"/>
  <c r="EL69" i="17"/>
  <c r="EM69" i="17"/>
  <c r="EN69" i="17"/>
  <c r="EO69" i="17"/>
  <c r="EP69" i="17"/>
  <c r="EQ69" i="17"/>
  <c r="ER69" i="17"/>
  <c r="ES69" i="17"/>
  <c r="ET69" i="17"/>
  <c r="EU69" i="17"/>
  <c r="EV69" i="17"/>
  <c r="EW69" i="17"/>
  <c r="EX69" i="17"/>
  <c r="EY69" i="17"/>
  <c r="EZ69" i="17"/>
  <c r="FA69" i="17"/>
  <c r="FB69" i="17"/>
  <c r="FC69" i="17"/>
  <c r="FD69" i="17"/>
  <c r="FE69" i="17"/>
  <c r="FF69" i="17"/>
  <c r="FG69" i="17"/>
  <c r="FH69" i="17"/>
  <c r="FI69" i="17"/>
  <c r="FJ69" i="17"/>
  <c r="FK69" i="17"/>
  <c r="FL69" i="17"/>
  <c r="FN69" i="17"/>
  <c r="EL310" i="17"/>
  <c r="EM310" i="17"/>
  <c r="EN310" i="17"/>
  <c r="EO310" i="17"/>
  <c r="EP310" i="17"/>
  <c r="EQ310" i="17"/>
  <c r="ER310" i="17"/>
  <c r="ES310" i="17"/>
  <c r="ET310" i="17"/>
  <c r="EU310" i="17"/>
  <c r="EV310" i="17"/>
  <c r="EW310" i="17"/>
  <c r="EX310" i="17"/>
  <c r="EY310" i="17"/>
  <c r="EZ310" i="17"/>
  <c r="FA310" i="17"/>
  <c r="FB310" i="17"/>
  <c r="FC310" i="17"/>
  <c r="FD310" i="17"/>
  <c r="FE310" i="17"/>
  <c r="FF310" i="17"/>
  <c r="FG310" i="17"/>
  <c r="FH310" i="17"/>
  <c r="FI310" i="17"/>
  <c r="FJ310" i="17"/>
  <c r="FK310" i="17"/>
  <c r="FL310" i="17"/>
  <c r="FN310" i="17"/>
  <c r="EL243" i="17"/>
  <c r="EM243" i="17"/>
  <c r="EN243" i="17"/>
  <c r="EO243" i="17"/>
  <c r="EP243" i="17"/>
  <c r="EQ243" i="17"/>
  <c r="ER243" i="17"/>
  <c r="ES243" i="17"/>
  <c r="ET243" i="17"/>
  <c r="EU243" i="17"/>
  <c r="EV243" i="17"/>
  <c r="EW243" i="17"/>
  <c r="EX243" i="17"/>
  <c r="EY243" i="17"/>
  <c r="EZ243" i="17"/>
  <c r="FA243" i="17"/>
  <c r="FB243" i="17"/>
  <c r="FC243" i="17"/>
  <c r="FD243" i="17"/>
  <c r="FE243" i="17"/>
  <c r="FF243" i="17"/>
  <c r="FG243" i="17"/>
  <c r="FH243" i="17"/>
  <c r="FI243" i="17"/>
  <c r="FJ243" i="17"/>
  <c r="FK243" i="17"/>
  <c r="FL243" i="17"/>
  <c r="FN243" i="17"/>
  <c r="EL70" i="17"/>
  <c r="EM70" i="17"/>
  <c r="EN70" i="17"/>
  <c r="EO70" i="17"/>
  <c r="EP70" i="17"/>
  <c r="EQ70" i="17"/>
  <c r="ER70" i="17"/>
  <c r="ES70" i="17"/>
  <c r="ET70" i="17"/>
  <c r="EU70" i="17"/>
  <c r="EV70" i="17"/>
  <c r="EW70" i="17"/>
  <c r="EX70" i="17"/>
  <c r="EY70" i="17"/>
  <c r="EZ70" i="17"/>
  <c r="FA70" i="17"/>
  <c r="FB70" i="17"/>
  <c r="FC70" i="17"/>
  <c r="FD70" i="17"/>
  <c r="FE70" i="17"/>
  <c r="FF70" i="17"/>
  <c r="FG70" i="17"/>
  <c r="FH70" i="17"/>
  <c r="FI70" i="17"/>
  <c r="FJ70" i="17"/>
  <c r="FK70" i="17"/>
  <c r="FL70" i="17"/>
  <c r="FN70" i="17"/>
  <c r="EL71" i="17"/>
  <c r="EM71" i="17"/>
  <c r="EN71" i="17"/>
  <c r="EO71" i="17"/>
  <c r="EP71" i="17"/>
  <c r="EQ71" i="17"/>
  <c r="ER71" i="17"/>
  <c r="ES71" i="17"/>
  <c r="ET71" i="17"/>
  <c r="EU71" i="17"/>
  <c r="EV71" i="17"/>
  <c r="EW71" i="17"/>
  <c r="EX71" i="17"/>
  <c r="EY71" i="17"/>
  <c r="EZ71" i="17"/>
  <c r="FA71" i="17"/>
  <c r="FB71" i="17"/>
  <c r="FC71" i="17"/>
  <c r="FD71" i="17"/>
  <c r="FE71" i="17"/>
  <c r="FF71" i="17"/>
  <c r="FG71" i="17"/>
  <c r="FH71" i="17"/>
  <c r="FI71" i="17"/>
  <c r="FJ71" i="17"/>
  <c r="FK71" i="17"/>
  <c r="FL71" i="17"/>
  <c r="FN71" i="17"/>
  <c r="EL244" i="17"/>
  <c r="EM244" i="17"/>
  <c r="EN244" i="17"/>
  <c r="EO244" i="17"/>
  <c r="EP244" i="17"/>
  <c r="EQ244" i="17"/>
  <c r="ER244" i="17"/>
  <c r="ES244" i="17"/>
  <c r="ET244" i="17"/>
  <c r="EU244" i="17"/>
  <c r="EV244" i="17"/>
  <c r="EW244" i="17"/>
  <c r="EX244" i="17"/>
  <c r="EY244" i="17"/>
  <c r="EZ244" i="17"/>
  <c r="FA244" i="17"/>
  <c r="FB244" i="17"/>
  <c r="FC244" i="17"/>
  <c r="FD244" i="17"/>
  <c r="FE244" i="17"/>
  <c r="FF244" i="17"/>
  <c r="FG244" i="17"/>
  <c r="FH244" i="17"/>
  <c r="FI244" i="17"/>
  <c r="FJ244" i="17"/>
  <c r="FK244" i="17"/>
  <c r="FL244" i="17"/>
  <c r="FN244" i="17"/>
  <c r="EL72" i="17"/>
  <c r="EM72" i="17"/>
  <c r="EN72" i="17"/>
  <c r="EO72" i="17"/>
  <c r="EP72" i="17"/>
  <c r="EQ72" i="17"/>
  <c r="ER72" i="17"/>
  <c r="ES72" i="17"/>
  <c r="ET72" i="17"/>
  <c r="EU72" i="17"/>
  <c r="EV72" i="17"/>
  <c r="EW72" i="17"/>
  <c r="EX72" i="17"/>
  <c r="EY72" i="17"/>
  <c r="EZ72" i="17"/>
  <c r="FA72" i="17"/>
  <c r="FB72" i="17"/>
  <c r="FC72" i="17"/>
  <c r="FD72" i="17"/>
  <c r="FE72" i="17"/>
  <c r="FF72" i="17"/>
  <c r="FG72" i="17"/>
  <c r="FH72" i="17"/>
  <c r="FI72" i="17"/>
  <c r="FJ72" i="17"/>
  <c r="FK72" i="17"/>
  <c r="FL72" i="17"/>
  <c r="FN72" i="17"/>
  <c r="EL311" i="17"/>
  <c r="EM311" i="17"/>
  <c r="EN311" i="17"/>
  <c r="EO311" i="17"/>
  <c r="EP311" i="17"/>
  <c r="EQ311" i="17"/>
  <c r="ER311" i="17"/>
  <c r="ES311" i="17"/>
  <c r="ET311" i="17"/>
  <c r="EU311" i="17"/>
  <c r="EV311" i="17"/>
  <c r="EW311" i="17"/>
  <c r="EX311" i="17"/>
  <c r="EY311" i="17"/>
  <c r="EZ311" i="17"/>
  <c r="FA311" i="17"/>
  <c r="FB311" i="17"/>
  <c r="FC311" i="17"/>
  <c r="FD311" i="17"/>
  <c r="FE311" i="17"/>
  <c r="FF311" i="17"/>
  <c r="FG311" i="17"/>
  <c r="FH311" i="17"/>
  <c r="FI311" i="17"/>
  <c r="FJ311" i="17"/>
  <c r="FK311" i="17"/>
  <c r="FL311" i="17"/>
  <c r="FN311" i="17"/>
  <c r="EL312" i="17"/>
  <c r="EM312" i="17"/>
  <c r="EN312" i="17"/>
  <c r="EO312" i="17"/>
  <c r="EP312" i="17"/>
  <c r="EQ312" i="17"/>
  <c r="ER312" i="17"/>
  <c r="ES312" i="17"/>
  <c r="ET312" i="17"/>
  <c r="EU312" i="17"/>
  <c r="EV312" i="17"/>
  <c r="EW312" i="17"/>
  <c r="EX312" i="17"/>
  <c r="EY312" i="17"/>
  <c r="EZ312" i="17"/>
  <c r="FA312" i="17"/>
  <c r="FB312" i="17"/>
  <c r="FC312" i="17"/>
  <c r="FD312" i="17"/>
  <c r="FE312" i="17"/>
  <c r="FF312" i="17"/>
  <c r="FG312" i="17"/>
  <c r="FH312" i="17"/>
  <c r="FI312" i="17"/>
  <c r="FJ312" i="17"/>
  <c r="FK312" i="17"/>
  <c r="FL312" i="17"/>
  <c r="FN312" i="17"/>
  <c r="EL313" i="17"/>
  <c r="EM313" i="17"/>
  <c r="EN313" i="17"/>
  <c r="EO313" i="17"/>
  <c r="EP313" i="17"/>
  <c r="EQ313" i="17"/>
  <c r="ER313" i="17"/>
  <c r="ES313" i="17"/>
  <c r="ET313" i="17"/>
  <c r="EU313" i="17"/>
  <c r="EV313" i="17"/>
  <c r="EW313" i="17"/>
  <c r="EX313" i="17"/>
  <c r="EY313" i="17"/>
  <c r="EZ313" i="17"/>
  <c r="FA313" i="17"/>
  <c r="FB313" i="17"/>
  <c r="FC313" i="17"/>
  <c r="FD313" i="17"/>
  <c r="FE313" i="17"/>
  <c r="FF313" i="17"/>
  <c r="FG313" i="17"/>
  <c r="FH313" i="17"/>
  <c r="FI313" i="17"/>
  <c r="FJ313" i="17"/>
  <c r="FK313" i="17"/>
  <c r="FL313" i="17"/>
  <c r="FN313" i="17"/>
  <c r="EL245" i="17"/>
  <c r="EM245" i="17"/>
  <c r="EN245" i="17"/>
  <c r="EO245" i="17"/>
  <c r="EP245" i="17"/>
  <c r="EQ245" i="17"/>
  <c r="ER245" i="17"/>
  <c r="ES245" i="17"/>
  <c r="ET245" i="17"/>
  <c r="EU245" i="17"/>
  <c r="EV245" i="17"/>
  <c r="EW245" i="17"/>
  <c r="EX245" i="17"/>
  <c r="EY245" i="17"/>
  <c r="EZ245" i="17"/>
  <c r="FA245" i="17"/>
  <c r="FB245" i="17"/>
  <c r="FC245" i="17"/>
  <c r="FD245" i="17"/>
  <c r="FE245" i="17"/>
  <c r="FF245" i="17"/>
  <c r="FG245" i="17"/>
  <c r="FH245" i="17"/>
  <c r="FI245" i="17"/>
  <c r="FJ245" i="17"/>
  <c r="FK245" i="17"/>
  <c r="FL245" i="17"/>
  <c r="FN245" i="17"/>
  <c r="EL314" i="17"/>
  <c r="EM314" i="17"/>
  <c r="EN314" i="17"/>
  <c r="EO314" i="17"/>
  <c r="EP314" i="17"/>
  <c r="EQ314" i="17"/>
  <c r="ER314" i="17"/>
  <c r="ES314" i="17"/>
  <c r="ET314" i="17"/>
  <c r="EU314" i="17"/>
  <c r="EV314" i="17"/>
  <c r="EW314" i="17"/>
  <c r="EX314" i="17"/>
  <c r="EY314" i="17"/>
  <c r="EZ314" i="17"/>
  <c r="FA314" i="17"/>
  <c r="FB314" i="17"/>
  <c r="FC314" i="17"/>
  <c r="FD314" i="17"/>
  <c r="FE314" i="17"/>
  <c r="FF314" i="17"/>
  <c r="FG314" i="17"/>
  <c r="FH314" i="17"/>
  <c r="FI314" i="17"/>
  <c r="FJ314" i="17"/>
  <c r="FK314" i="17"/>
  <c r="FL314" i="17"/>
  <c r="FN314" i="17"/>
  <c r="EL334" i="17"/>
  <c r="EM334" i="17"/>
  <c r="EN334" i="17"/>
  <c r="EO334" i="17"/>
  <c r="EP334" i="17"/>
  <c r="EQ334" i="17"/>
  <c r="ER334" i="17"/>
  <c r="ES334" i="17"/>
  <c r="ET334" i="17"/>
  <c r="EU334" i="17"/>
  <c r="EV334" i="17"/>
  <c r="EW334" i="17"/>
  <c r="EX334" i="17"/>
  <c r="EY334" i="17"/>
  <c r="EZ334" i="17"/>
  <c r="FA334" i="17"/>
  <c r="FB334" i="17"/>
  <c r="FC334" i="17"/>
  <c r="FD334" i="17"/>
  <c r="FE334" i="17"/>
  <c r="FF334" i="17"/>
  <c r="FG334" i="17"/>
  <c r="FH334" i="17"/>
  <c r="FI334" i="17"/>
  <c r="FJ334" i="17"/>
  <c r="FK334" i="17"/>
  <c r="FL334" i="17"/>
  <c r="FN334" i="17"/>
  <c r="EL73" i="17"/>
  <c r="EM73" i="17"/>
  <c r="EN73" i="17"/>
  <c r="EO73" i="17"/>
  <c r="EP73" i="17"/>
  <c r="EQ73" i="17"/>
  <c r="ER73" i="17"/>
  <c r="ES73" i="17"/>
  <c r="ET73" i="17"/>
  <c r="EU73" i="17"/>
  <c r="EV73" i="17"/>
  <c r="EW73" i="17"/>
  <c r="EX73" i="17"/>
  <c r="EY73" i="17"/>
  <c r="EZ73" i="17"/>
  <c r="FA73" i="17"/>
  <c r="FB73" i="17"/>
  <c r="FC73" i="17"/>
  <c r="FD73" i="17"/>
  <c r="FE73" i="17"/>
  <c r="FF73" i="17"/>
  <c r="FG73" i="17"/>
  <c r="FH73" i="17"/>
  <c r="FI73" i="17"/>
  <c r="FJ73" i="17"/>
  <c r="FK73" i="17"/>
  <c r="FL73" i="17"/>
  <c r="FN73" i="17"/>
  <c r="EL74" i="17"/>
  <c r="EM74" i="17"/>
  <c r="EN74" i="17"/>
  <c r="EO74" i="17"/>
  <c r="EP74" i="17"/>
  <c r="EQ74" i="17"/>
  <c r="ER74" i="17"/>
  <c r="ES74" i="17"/>
  <c r="ET74" i="17"/>
  <c r="EU74" i="17"/>
  <c r="EV74" i="17"/>
  <c r="EW74" i="17"/>
  <c r="EX74" i="17"/>
  <c r="EY74" i="17"/>
  <c r="EZ74" i="17"/>
  <c r="FA74" i="17"/>
  <c r="FB74" i="17"/>
  <c r="FC74" i="17"/>
  <c r="FD74" i="17"/>
  <c r="FE74" i="17"/>
  <c r="FF74" i="17"/>
  <c r="FG74" i="17"/>
  <c r="FH74" i="17"/>
  <c r="FI74" i="17"/>
  <c r="FJ74" i="17"/>
  <c r="FK74" i="17"/>
  <c r="FL74" i="17"/>
  <c r="FN74" i="17"/>
  <c r="EL75" i="17"/>
  <c r="EM75" i="17"/>
  <c r="EN75" i="17"/>
  <c r="EO75" i="17"/>
  <c r="EP75" i="17"/>
  <c r="EQ75" i="17"/>
  <c r="ER75" i="17"/>
  <c r="ES75" i="17"/>
  <c r="ET75" i="17"/>
  <c r="EU75" i="17"/>
  <c r="EV75" i="17"/>
  <c r="EW75" i="17"/>
  <c r="EX75" i="17"/>
  <c r="EY75" i="17"/>
  <c r="EZ75" i="17"/>
  <c r="FA75" i="17"/>
  <c r="FB75" i="17"/>
  <c r="FC75" i="17"/>
  <c r="FD75" i="17"/>
  <c r="FE75" i="17"/>
  <c r="FF75" i="17"/>
  <c r="FG75" i="17"/>
  <c r="FH75" i="17"/>
  <c r="FI75" i="17"/>
  <c r="FJ75" i="17"/>
  <c r="FK75" i="17"/>
  <c r="FL75" i="17"/>
  <c r="FN75" i="17"/>
  <c r="EL76" i="17"/>
  <c r="EM76" i="17"/>
  <c r="EN76" i="17"/>
  <c r="EO76" i="17"/>
  <c r="EP76" i="17"/>
  <c r="EQ76" i="17"/>
  <c r="ER76" i="17"/>
  <c r="ES76" i="17"/>
  <c r="ET76" i="17"/>
  <c r="EU76" i="17"/>
  <c r="EV76" i="17"/>
  <c r="EW76" i="17"/>
  <c r="EX76" i="17"/>
  <c r="EY76" i="17"/>
  <c r="EZ76" i="17"/>
  <c r="FA76" i="17"/>
  <c r="FB76" i="17"/>
  <c r="FC76" i="17"/>
  <c r="FD76" i="17"/>
  <c r="FE76" i="17"/>
  <c r="FF76" i="17"/>
  <c r="FG76" i="17"/>
  <c r="FH76" i="17"/>
  <c r="FI76" i="17"/>
  <c r="FJ76" i="17"/>
  <c r="FK76" i="17"/>
  <c r="FL76" i="17"/>
  <c r="FN76" i="17"/>
  <c r="EL77" i="17"/>
  <c r="EM77" i="17"/>
  <c r="EN77" i="17"/>
  <c r="EO77" i="17"/>
  <c r="EP77" i="17"/>
  <c r="EQ77" i="17"/>
  <c r="ER77" i="17"/>
  <c r="ES77" i="17"/>
  <c r="ET77" i="17"/>
  <c r="EU77" i="17"/>
  <c r="EV77" i="17"/>
  <c r="EW77" i="17"/>
  <c r="EX77" i="17"/>
  <c r="EY77" i="17"/>
  <c r="EZ77" i="17"/>
  <c r="FA77" i="17"/>
  <c r="FB77" i="17"/>
  <c r="FC77" i="17"/>
  <c r="FD77" i="17"/>
  <c r="FE77" i="17"/>
  <c r="FF77" i="17"/>
  <c r="FG77" i="17"/>
  <c r="FH77" i="17"/>
  <c r="FI77" i="17"/>
  <c r="FJ77" i="17"/>
  <c r="FK77" i="17"/>
  <c r="FL77" i="17"/>
  <c r="FN77" i="17"/>
  <c r="EL78" i="17"/>
  <c r="EM78" i="17"/>
  <c r="EN78" i="17"/>
  <c r="EO78" i="17"/>
  <c r="EP78" i="17"/>
  <c r="EQ78" i="17"/>
  <c r="ER78" i="17"/>
  <c r="ES78" i="17"/>
  <c r="ET78" i="17"/>
  <c r="EU78" i="17"/>
  <c r="EV78" i="17"/>
  <c r="EW78" i="17"/>
  <c r="EX78" i="17"/>
  <c r="EY78" i="17"/>
  <c r="EZ78" i="17"/>
  <c r="FA78" i="17"/>
  <c r="FB78" i="17"/>
  <c r="FC78" i="17"/>
  <c r="FD78" i="17"/>
  <c r="FE78" i="17"/>
  <c r="FF78" i="17"/>
  <c r="FG78" i="17"/>
  <c r="FH78" i="17"/>
  <c r="FI78" i="17"/>
  <c r="FJ78" i="17"/>
  <c r="FK78" i="17"/>
  <c r="FL78" i="17"/>
  <c r="FN78" i="17"/>
  <c r="EL79" i="17"/>
  <c r="EM79" i="17"/>
  <c r="EN79" i="17"/>
  <c r="EO79" i="17"/>
  <c r="EP79" i="17"/>
  <c r="EQ79" i="17"/>
  <c r="ER79" i="17"/>
  <c r="ES79" i="17"/>
  <c r="ET79" i="17"/>
  <c r="EU79" i="17"/>
  <c r="EV79" i="17"/>
  <c r="EW79" i="17"/>
  <c r="EX79" i="17"/>
  <c r="EY79" i="17"/>
  <c r="EZ79" i="17"/>
  <c r="FA79" i="17"/>
  <c r="FB79" i="17"/>
  <c r="FC79" i="17"/>
  <c r="FD79" i="17"/>
  <c r="FE79" i="17"/>
  <c r="FF79" i="17"/>
  <c r="FG79" i="17"/>
  <c r="FH79" i="17"/>
  <c r="FI79" i="17"/>
  <c r="FJ79" i="17"/>
  <c r="FK79" i="17"/>
  <c r="FL79" i="17"/>
  <c r="FN79" i="17"/>
  <c r="EL335" i="17"/>
  <c r="EM335" i="17"/>
  <c r="EN335" i="17"/>
  <c r="EO335" i="17"/>
  <c r="EP335" i="17"/>
  <c r="EQ335" i="17"/>
  <c r="ER335" i="17"/>
  <c r="ES335" i="17"/>
  <c r="ET335" i="17"/>
  <c r="EU335" i="17"/>
  <c r="EV335" i="17"/>
  <c r="EW335" i="17"/>
  <c r="EX335" i="17"/>
  <c r="EY335" i="17"/>
  <c r="EZ335" i="17"/>
  <c r="FA335" i="17"/>
  <c r="FB335" i="17"/>
  <c r="FC335" i="17"/>
  <c r="FD335" i="17"/>
  <c r="FE335" i="17"/>
  <c r="FF335" i="17"/>
  <c r="FG335" i="17"/>
  <c r="FH335" i="17"/>
  <c r="FI335" i="17"/>
  <c r="FJ335" i="17"/>
  <c r="FK335" i="17"/>
  <c r="FL335" i="17"/>
  <c r="FN335" i="17"/>
  <c r="EL80" i="17"/>
  <c r="EM80" i="17"/>
  <c r="EN80" i="17"/>
  <c r="EO80" i="17"/>
  <c r="EP80" i="17"/>
  <c r="EQ80" i="17"/>
  <c r="ER80" i="17"/>
  <c r="ES80" i="17"/>
  <c r="ET80" i="17"/>
  <c r="EU80" i="17"/>
  <c r="EV80" i="17"/>
  <c r="EW80" i="17"/>
  <c r="EX80" i="17"/>
  <c r="EY80" i="17"/>
  <c r="EZ80" i="17"/>
  <c r="FA80" i="17"/>
  <c r="FB80" i="17"/>
  <c r="FC80" i="17"/>
  <c r="FD80" i="17"/>
  <c r="FE80" i="17"/>
  <c r="FF80" i="17"/>
  <c r="FG80" i="17"/>
  <c r="FH80" i="17"/>
  <c r="FI80" i="17"/>
  <c r="FJ80" i="17"/>
  <c r="FK80" i="17"/>
  <c r="FL80" i="17"/>
  <c r="FN80" i="17"/>
  <c r="EL81" i="17"/>
  <c r="EM81" i="17"/>
  <c r="EN81" i="17"/>
  <c r="EO81" i="17"/>
  <c r="EP81" i="17"/>
  <c r="EQ81" i="17"/>
  <c r="ER81" i="17"/>
  <c r="ES81" i="17"/>
  <c r="ET81" i="17"/>
  <c r="EU81" i="17"/>
  <c r="EV81" i="17"/>
  <c r="EW81" i="17"/>
  <c r="EX81" i="17"/>
  <c r="EY81" i="17"/>
  <c r="EZ81" i="17"/>
  <c r="FA81" i="17"/>
  <c r="FB81" i="17"/>
  <c r="FC81" i="17"/>
  <c r="FD81" i="17"/>
  <c r="FE81" i="17"/>
  <c r="FF81" i="17"/>
  <c r="FG81" i="17"/>
  <c r="FH81" i="17"/>
  <c r="FI81" i="17"/>
  <c r="FJ81" i="17"/>
  <c r="FK81" i="17"/>
  <c r="FL81" i="17"/>
  <c r="FN81" i="17"/>
  <c r="EL82" i="17"/>
  <c r="EM82" i="17"/>
  <c r="EN82" i="17"/>
  <c r="EO82" i="17"/>
  <c r="EP82" i="17"/>
  <c r="EQ82" i="17"/>
  <c r="ER82" i="17"/>
  <c r="ES82" i="17"/>
  <c r="ET82" i="17"/>
  <c r="EU82" i="17"/>
  <c r="EV82" i="17"/>
  <c r="EW82" i="17"/>
  <c r="EX82" i="17"/>
  <c r="EY82" i="17"/>
  <c r="EZ82" i="17"/>
  <c r="FA82" i="17"/>
  <c r="FB82" i="17"/>
  <c r="FC82" i="17"/>
  <c r="FD82" i="17"/>
  <c r="FE82" i="17"/>
  <c r="FF82" i="17"/>
  <c r="FG82" i="17"/>
  <c r="FH82" i="17"/>
  <c r="FI82" i="17"/>
  <c r="FJ82" i="17"/>
  <c r="FK82" i="17"/>
  <c r="FL82" i="17"/>
  <c r="FN82" i="17"/>
  <c r="EL83" i="17"/>
  <c r="EM83" i="17"/>
  <c r="EN83" i="17"/>
  <c r="EO83" i="17"/>
  <c r="EP83" i="17"/>
  <c r="EQ83" i="17"/>
  <c r="ER83" i="17"/>
  <c r="ES83" i="17"/>
  <c r="ET83" i="17"/>
  <c r="EU83" i="17"/>
  <c r="EV83" i="17"/>
  <c r="EW83" i="17"/>
  <c r="EX83" i="17"/>
  <c r="EY83" i="17"/>
  <c r="EZ83" i="17"/>
  <c r="FA83" i="17"/>
  <c r="FB83" i="17"/>
  <c r="FC83" i="17"/>
  <c r="FD83" i="17"/>
  <c r="FE83" i="17"/>
  <c r="FF83" i="17"/>
  <c r="FG83" i="17"/>
  <c r="FH83" i="17"/>
  <c r="FI83" i="17"/>
  <c r="FJ83" i="17"/>
  <c r="FK83" i="17"/>
  <c r="FL83" i="17"/>
  <c r="FN83" i="17"/>
  <c r="EL84" i="17"/>
  <c r="EM84" i="17"/>
  <c r="EN84" i="17"/>
  <c r="EO84" i="17"/>
  <c r="EP84" i="17"/>
  <c r="EQ84" i="17"/>
  <c r="ER84" i="17"/>
  <c r="ES84" i="17"/>
  <c r="ET84" i="17"/>
  <c r="EU84" i="17"/>
  <c r="EV84" i="17"/>
  <c r="EW84" i="17"/>
  <c r="EX84" i="17"/>
  <c r="EY84" i="17"/>
  <c r="EZ84" i="17"/>
  <c r="FA84" i="17"/>
  <c r="FB84" i="17"/>
  <c r="FC84" i="17"/>
  <c r="FD84" i="17"/>
  <c r="FE84" i="17"/>
  <c r="FF84" i="17"/>
  <c r="FG84" i="17"/>
  <c r="FH84" i="17"/>
  <c r="FI84" i="17"/>
  <c r="FJ84" i="17"/>
  <c r="FK84" i="17"/>
  <c r="FL84" i="17"/>
  <c r="FN84" i="17"/>
  <c r="EL85" i="17"/>
  <c r="EM85" i="17"/>
  <c r="EN85" i="17"/>
  <c r="EO85" i="17"/>
  <c r="EP85" i="17"/>
  <c r="EQ85" i="17"/>
  <c r="ER85" i="17"/>
  <c r="ES85" i="17"/>
  <c r="ET85" i="17"/>
  <c r="EU85" i="17"/>
  <c r="EV85" i="17"/>
  <c r="EW85" i="17"/>
  <c r="EX85" i="17"/>
  <c r="EY85" i="17"/>
  <c r="EZ85" i="17"/>
  <c r="FA85" i="17"/>
  <c r="FB85" i="17"/>
  <c r="FC85" i="17"/>
  <c r="FD85" i="17"/>
  <c r="FE85" i="17"/>
  <c r="FF85" i="17"/>
  <c r="FG85" i="17"/>
  <c r="FH85" i="17"/>
  <c r="FI85" i="17"/>
  <c r="FJ85" i="17"/>
  <c r="FK85" i="17"/>
  <c r="FL85" i="17"/>
  <c r="FN85" i="17"/>
  <c r="EL178" i="17"/>
  <c r="EM178" i="17"/>
  <c r="EN178" i="17"/>
  <c r="EO178" i="17"/>
  <c r="EP178" i="17"/>
  <c r="EQ178" i="17"/>
  <c r="ER178" i="17"/>
  <c r="ES178" i="17"/>
  <c r="ET178" i="17"/>
  <c r="EU178" i="17"/>
  <c r="EV178" i="17"/>
  <c r="EW178" i="17"/>
  <c r="EX178" i="17"/>
  <c r="EY178" i="17"/>
  <c r="EZ178" i="17"/>
  <c r="FA178" i="17"/>
  <c r="FB178" i="17"/>
  <c r="FC178" i="17"/>
  <c r="FD178" i="17"/>
  <c r="FE178" i="17"/>
  <c r="FF178" i="17"/>
  <c r="FG178" i="17"/>
  <c r="FH178" i="17"/>
  <c r="FI178" i="17"/>
  <c r="FJ178" i="17"/>
  <c r="FK178" i="17"/>
  <c r="FL178" i="17"/>
  <c r="FN178" i="17"/>
  <c r="EL336" i="17"/>
  <c r="EM336" i="17"/>
  <c r="EN336" i="17"/>
  <c r="EO336" i="17"/>
  <c r="EP336" i="17"/>
  <c r="EQ336" i="17"/>
  <c r="ER336" i="17"/>
  <c r="ES336" i="17"/>
  <c r="ET336" i="17"/>
  <c r="EU336" i="17"/>
  <c r="EV336" i="17"/>
  <c r="EW336" i="17"/>
  <c r="EX336" i="17"/>
  <c r="EY336" i="17"/>
  <c r="EZ336" i="17"/>
  <c r="FA336" i="17"/>
  <c r="FB336" i="17"/>
  <c r="FC336" i="17"/>
  <c r="FD336" i="17"/>
  <c r="FE336" i="17"/>
  <c r="FF336" i="17"/>
  <c r="FG336" i="17"/>
  <c r="FH336" i="17"/>
  <c r="FI336" i="17"/>
  <c r="FJ336" i="17"/>
  <c r="FK336" i="17"/>
  <c r="FL336" i="17"/>
  <c r="FN336" i="17"/>
  <c r="EL86" i="17"/>
  <c r="EM86" i="17"/>
  <c r="EN86" i="17"/>
  <c r="EO86" i="17"/>
  <c r="EP86" i="17"/>
  <c r="EQ86" i="17"/>
  <c r="ER86" i="17"/>
  <c r="ES86" i="17"/>
  <c r="ET86" i="17"/>
  <c r="EU86" i="17"/>
  <c r="EV86" i="17"/>
  <c r="EW86" i="17"/>
  <c r="EX86" i="17"/>
  <c r="EY86" i="17"/>
  <c r="EZ86" i="17"/>
  <c r="FA86" i="17"/>
  <c r="FB86" i="17"/>
  <c r="FC86" i="17"/>
  <c r="FD86" i="17"/>
  <c r="FE86" i="17"/>
  <c r="FF86" i="17"/>
  <c r="FG86" i="17"/>
  <c r="FH86" i="17"/>
  <c r="FI86" i="17"/>
  <c r="FJ86" i="17"/>
  <c r="FK86" i="17"/>
  <c r="FL86" i="17"/>
  <c r="FN86" i="17"/>
  <c r="EL337" i="17"/>
  <c r="EM337" i="17"/>
  <c r="EN337" i="17"/>
  <c r="EO337" i="17"/>
  <c r="EP337" i="17"/>
  <c r="EQ337" i="17"/>
  <c r="ER337" i="17"/>
  <c r="ES337" i="17"/>
  <c r="ET337" i="17"/>
  <c r="EU337" i="17"/>
  <c r="EV337" i="17"/>
  <c r="EW337" i="17"/>
  <c r="EX337" i="17"/>
  <c r="EY337" i="17"/>
  <c r="EZ337" i="17"/>
  <c r="FA337" i="17"/>
  <c r="FB337" i="17"/>
  <c r="FC337" i="17"/>
  <c r="FD337" i="17"/>
  <c r="FE337" i="17"/>
  <c r="FF337" i="17"/>
  <c r="FG337" i="17"/>
  <c r="FH337" i="17"/>
  <c r="FI337" i="17"/>
  <c r="FJ337" i="17"/>
  <c r="FK337" i="17"/>
  <c r="FL337" i="17"/>
  <c r="FN337" i="17"/>
  <c r="EL105" i="17"/>
  <c r="EM105" i="17"/>
  <c r="EN105" i="17"/>
  <c r="EO105" i="17"/>
  <c r="EP105" i="17"/>
  <c r="EQ105" i="17"/>
  <c r="ER105" i="17"/>
  <c r="ES105" i="17"/>
  <c r="ET105" i="17"/>
  <c r="EU105" i="17"/>
  <c r="EV105" i="17"/>
  <c r="EW105" i="17"/>
  <c r="EX105" i="17"/>
  <c r="EY105" i="17"/>
  <c r="EZ105" i="17"/>
  <c r="FA105" i="17"/>
  <c r="FB105" i="17"/>
  <c r="FC105" i="17"/>
  <c r="FD105" i="17"/>
  <c r="FE105" i="17"/>
  <c r="FF105" i="17"/>
  <c r="FG105" i="17"/>
  <c r="FH105" i="17"/>
  <c r="FI105" i="17"/>
  <c r="FJ105" i="17"/>
  <c r="FK105" i="17"/>
  <c r="FL105" i="17"/>
  <c r="FN105" i="17"/>
  <c r="EL87" i="17"/>
  <c r="EM87" i="17"/>
  <c r="EN87" i="17"/>
  <c r="EO87" i="17"/>
  <c r="EP87" i="17"/>
  <c r="EQ87" i="17"/>
  <c r="ER87" i="17"/>
  <c r="ES87" i="17"/>
  <c r="ET87" i="17"/>
  <c r="EU87" i="17"/>
  <c r="EV87" i="17"/>
  <c r="EW87" i="17"/>
  <c r="EX87" i="17"/>
  <c r="EY87" i="17"/>
  <c r="EZ87" i="17"/>
  <c r="FA87" i="17"/>
  <c r="FB87" i="17"/>
  <c r="FC87" i="17"/>
  <c r="FD87" i="17"/>
  <c r="FE87" i="17"/>
  <c r="FF87" i="17"/>
  <c r="FG87" i="17"/>
  <c r="FH87" i="17"/>
  <c r="FI87" i="17"/>
  <c r="FJ87" i="17"/>
  <c r="FK87" i="17"/>
  <c r="FL87" i="17"/>
  <c r="FN87" i="17"/>
  <c r="EL106" i="17"/>
  <c r="EM106" i="17"/>
  <c r="EN106" i="17"/>
  <c r="EO106" i="17"/>
  <c r="EP106" i="17"/>
  <c r="EQ106" i="17"/>
  <c r="ER106" i="17"/>
  <c r="ES106" i="17"/>
  <c r="ET106" i="17"/>
  <c r="EU106" i="17"/>
  <c r="EV106" i="17"/>
  <c r="EW106" i="17"/>
  <c r="EX106" i="17"/>
  <c r="EY106" i="17"/>
  <c r="EZ106" i="17"/>
  <c r="FA106" i="17"/>
  <c r="FB106" i="17"/>
  <c r="FC106" i="17"/>
  <c r="FD106" i="17"/>
  <c r="FE106" i="17"/>
  <c r="FF106" i="17"/>
  <c r="FG106" i="17"/>
  <c r="FH106" i="17"/>
  <c r="FI106" i="17"/>
  <c r="FJ106" i="17"/>
  <c r="FK106" i="17"/>
  <c r="FL106" i="17"/>
  <c r="FN106" i="17"/>
  <c r="EL88" i="17"/>
  <c r="EM88" i="17"/>
  <c r="EN88" i="17"/>
  <c r="EO88" i="17"/>
  <c r="EP88" i="17"/>
  <c r="EQ88" i="17"/>
  <c r="ER88" i="17"/>
  <c r="ES88" i="17"/>
  <c r="ET88" i="17"/>
  <c r="EU88" i="17"/>
  <c r="EV88" i="17"/>
  <c r="EW88" i="17"/>
  <c r="EX88" i="17"/>
  <c r="EY88" i="17"/>
  <c r="EZ88" i="17"/>
  <c r="FA88" i="17"/>
  <c r="FB88" i="17"/>
  <c r="FC88" i="17"/>
  <c r="FD88" i="17"/>
  <c r="FE88" i="17"/>
  <c r="FF88" i="17"/>
  <c r="FG88" i="17"/>
  <c r="FH88" i="17"/>
  <c r="FI88" i="17"/>
  <c r="FJ88" i="17"/>
  <c r="FK88" i="17"/>
  <c r="FL88" i="17"/>
  <c r="FN88" i="17"/>
  <c r="EL89" i="17"/>
  <c r="EM89" i="17"/>
  <c r="EN89" i="17"/>
  <c r="EO89" i="17"/>
  <c r="EP89" i="17"/>
  <c r="EQ89" i="17"/>
  <c r="ER89" i="17"/>
  <c r="ES89" i="17"/>
  <c r="ET89" i="17"/>
  <c r="EU89" i="17"/>
  <c r="EV89" i="17"/>
  <c r="EW89" i="17"/>
  <c r="EX89" i="17"/>
  <c r="EY89" i="17"/>
  <c r="EZ89" i="17"/>
  <c r="FA89" i="17"/>
  <c r="FB89" i="17"/>
  <c r="FC89" i="17"/>
  <c r="FD89" i="17"/>
  <c r="FE89" i="17"/>
  <c r="FF89" i="17"/>
  <c r="FG89" i="17"/>
  <c r="FH89" i="17"/>
  <c r="FI89" i="17"/>
  <c r="FJ89" i="17"/>
  <c r="FK89" i="17"/>
  <c r="FL89" i="17"/>
  <c r="FN89" i="17"/>
  <c r="EL90" i="17"/>
  <c r="EM90" i="17"/>
  <c r="EN90" i="17"/>
  <c r="EO90" i="17"/>
  <c r="EP90" i="17"/>
  <c r="EQ90" i="17"/>
  <c r="ER90" i="17"/>
  <c r="ES90" i="17"/>
  <c r="ET90" i="17"/>
  <c r="EU90" i="17"/>
  <c r="EV90" i="17"/>
  <c r="EW90" i="17"/>
  <c r="EX90" i="17"/>
  <c r="EY90" i="17"/>
  <c r="EZ90" i="17"/>
  <c r="FA90" i="17"/>
  <c r="FB90" i="17"/>
  <c r="FC90" i="17"/>
  <c r="FD90" i="17"/>
  <c r="FE90" i="17"/>
  <c r="FF90" i="17"/>
  <c r="FG90" i="17"/>
  <c r="FH90" i="17"/>
  <c r="FI90" i="17"/>
  <c r="FJ90" i="17"/>
  <c r="FK90" i="17"/>
  <c r="FL90" i="17"/>
  <c r="FN90" i="17"/>
  <c r="FN237" i="17"/>
  <c r="FL237" i="17"/>
  <c r="FK237" i="17"/>
  <c r="FJ237" i="17"/>
  <c r="FI237" i="17"/>
  <c r="FH237" i="17"/>
  <c r="FG237" i="17"/>
  <c r="FF237" i="17"/>
  <c r="FE237" i="17"/>
  <c r="FD237" i="17"/>
  <c r="FC237" i="17"/>
  <c r="FB237" i="17"/>
  <c r="FA237" i="17"/>
  <c r="EZ237" i="17"/>
  <c r="EY237" i="17"/>
  <c r="EX237" i="17"/>
  <c r="EW237" i="17"/>
  <c r="EV237" i="17"/>
  <c r="EU237" i="17"/>
  <c r="ET237" i="17"/>
  <c r="ES237" i="17"/>
  <c r="ER237" i="17"/>
  <c r="EQ237" i="17"/>
  <c r="EP237" i="17"/>
  <c r="EO237" i="17"/>
  <c r="EN237" i="17"/>
  <c r="EM237" i="17"/>
  <c r="EL237" i="17"/>
  <c r="AJ331" i="17"/>
  <c r="AJ332" i="17"/>
  <c r="AJ333" i="17"/>
  <c r="AJ237" i="17"/>
  <c r="AJ309" i="17"/>
  <c r="AK309" i="17" s="1"/>
  <c r="AU245" i="17"/>
  <c r="AU238" i="17"/>
  <c r="AT245" i="17"/>
  <c r="AT238" i="17"/>
  <c r="AS245" i="17"/>
  <c r="GQ245" i="17" s="1"/>
  <c r="GR245" i="17" s="1"/>
  <c r="HT245" i="17" s="1"/>
  <c r="AQ238" i="17"/>
  <c r="AM238" i="17"/>
  <c r="AL238" i="17"/>
  <c r="DW299" i="17"/>
  <c r="DX299" i="17"/>
  <c r="DY299" i="17"/>
  <c r="DZ299" i="17"/>
  <c r="DW300" i="17"/>
  <c r="DX300" i="17"/>
  <c r="DY300" i="17"/>
  <c r="DZ300" i="17"/>
  <c r="DW301" i="17"/>
  <c r="DX301" i="17"/>
  <c r="DY301" i="17"/>
  <c r="DZ301" i="17"/>
  <c r="EA301" i="17"/>
  <c r="EB301" i="17"/>
  <c r="ED301" i="17"/>
  <c r="EE301" i="17"/>
  <c r="EF301" i="17"/>
  <c r="EG301" i="17"/>
  <c r="EH301" i="17"/>
  <c r="DW302" i="17"/>
  <c r="DX302" i="17"/>
  <c r="DY302" i="17"/>
  <c r="DZ302" i="17"/>
  <c r="EA302" i="17"/>
  <c r="EB302" i="17"/>
  <c r="ED302" i="17"/>
  <c r="DW303" i="17"/>
  <c r="DX303" i="17"/>
  <c r="DY303" i="17"/>
  <c r="DZ303" i="17"/>
  <c r="EA303" i="17"/>
  <c r="EB303" i="17"/>
  <c r="DV303" i="17"/>
  <c r="DV302" i="17"/>
  <c r="DV301" i="17"/>
  <c r="DV300" i="17"/>
  <c r="DV299" i="17"/>
  <c r="DW179" i="17"/>
  <c r="DX179" i="17"/>
  <c r="DY179" i="17"/>
  <c r="DZ179" i="17"/>
  <c r="EA179" i="17"/>
  <c r="EB179" i="17"/>
  <c r="ED179" i="17"/>
  <c r="EE179" i="17"/>
  <c r="EF179" i="17"/>
  <c r="EG179" i="17"/>
  <c r="EH179" i="17"/>
  <c r="DV179" i="17"/>
  <c r="DW187" i="17"/>
  <c r="DX187" i="17"/>
  <c r="DY187" i="17"/>
  <c r="DZ187" i="17"/>
  <c r="DV187" i="17"/>
  <c r="AJ306" i="17"/>
  <c r="AQ306" i="17" s="1"/>
  <c r="AJ307" i="17"/>
  <c r="AJ170" i="17"/>
  <c r="AJ171" i="17"/>
  <c r="AJ172" i="17"/>
  <c r="AJ173" i="17"/>
  <c r="AJ174" i="17"/>
  <c r="AJ175" i="17"/>
  <c r="AJ176" i="17"/>
  <c r="AJ177" i="17"/>
  <c r="AQ177" i="17" s="1"/>
  <c r="AJ68" i="17"/>
  <c r="AJ234" i="17"/>
  <c r="AL234" i="17" s="1"/>
  <c r="AJ235" i="17"/>
  <c r="AJ305" i="17"/>
  <c r="AJ236" i="17"/>
  <c r="AS236" i="17" s="1"/>
  <c r="BM226" i="5"/>
  <c r="BM225" i="5"/>
  <c r="BM224" i="5"/>
  <c r="BM223" i="5"/>
  <c r="BM222" i="5"/>
  <c r="BM221" i="5"/>
  <c r="BM220" i="5"/>
  <c r="BM219" i="5"/>
  <c r="BM218" i="5"/>
  <c r="BM217" i="5"/>
  <c r="BM216" i="5"/>
  <c r="BM215" i="5"/>
  <c r="BM214" i="5"/>
  <c r="BM213" i="5"/>
  <c r="BM212" i="5"/>
  <c r="BM211" i="5"/>
  <c r="BM210" i="5"/>
  <c r="BM209" i="5"/>
  <c r="BM208" i="5"/>
  <c r="BM207" i="5"/>
  <c r="BM206" i="5"/>
  <c r="BM205" i="5"/>
  <c r="BM200" i="5"/>
  <c r="BM199" i="5"/>
  <c r="BM198" i="5"/>
  <c r="BM197" i="5"/>
  <c r="BM192" i="5"/>
  <c r="BM191" i="5"/>
  <c r="BM190" i="5"/>
  <c r="BM189" i="5"/>
  <c r="BK189" i="5"/>
  <c r="BK226" i="5"/>
  <c r="BK225" i="5"/>
  <c r="BK224" i="5"/>
  <c r="BK223" i="5"/>
  <c r="BK222" i="5"/>
  <c r="BK221" i="5"/>
  <c r="BK220" i="5"/>
  <c r="BK219" i="5"/>
  <c r="BK218" i="5"/>
  <c r="BK217" i="5"/>
  <c r="BK216" i="5"/>
  <c r="BK215" i="5"/>
  <c r="BK214" i="5"/>
  <c r="BK213" i="5"/>
  <c r="BK212" i="5"/>
  <c r="BK211" i="5"/>
  <c r="BK210" i="5"/>
  <c r="BK209" i="5"/>
  <c r="BK208" i="5"/>
  <c r="BK207" i="5"/>
  <c r="BK206" i="5"/>
  <c r="BK205" i="5"/>
  <c r="BK200" i="5"/>
  <c r="BK199" i="5"/>
  <c r="BK198" i="5"/>
  <c r="BK197" i="5"/>
  <c r="BK192" i="5"/>
  <c r="BK191" i="5"/>
  <c r="BK190" i="5"/>
  <c r="CB188" i="5"/>
  <c r="CB185" i="5"/>
  <c r="CB182" i="5"/>
  <c r="CB181" i="5"/>
  <c r="CB176" i="5"/>
  <c r="CB172" i="5"/>
  <c r="CB171" i="5"/>
  <c r="CB169" i="5"/>
  <c r="CB168" i="5"/>
  <c r="CB167" i="5"/>
  <c r="CA188" i="5"/>
  <c r="CA185" i="5"/>
  <c r="CA182" i="5"/>
  <c r="CA181" i="5"/>
  <c r="CA176" i="5"/>
  <c r="CA172" i="5"/>
  <c r="CA171" i="5"/>
  <c r="CA169" i="5"/>
  <c r="CA168" i="5"/>
  <c r="CA167" i="5"/>
  <c r="BX188" i="5"/>
  <c r="BX185" i="5"/>
  <c r="BX184" i="5"/>
  <c r="BX182" i="5"/>
  <c r="BX181" i="5"/>
  <c r="BX179" i="5"/>
  <c r="BX178" i="5"/>
  <c r="BX176" i="5"/>
  <c r="BX172" i="5"/>
  <c r="BX171" i="5"/>
  <c r="BX169" i="5"/>
  <c r="BX168" i="5"/>
  <c r="BX167" i="5"/>
  <c r="BW188" i="5"/>
  <c r="BW185" i="5"/>
  <c r="BW184" i="5"/>
  <c r="BW182" i="5"/>
  <c r="BW181" i="5"/>
  <c r="BW179" i="5"/>
  <c r="BW178" i="5"/>
  <c r="BW176" i="5"/>
  <c r="BW172" i="5"/>
  <c r="BW171" i="5"/>
  <c r="BW169" i="5"/>
  <c r="BW168" i="5"/>
  <c r="BW167" i="5"/>
  <c r="BN188" i="5"/>
  <c r="BN187" i="5"/>
  <c r="BN186" i="5"/>
  <c r="BN185" i="5"/>
  <c r="BN184" i="5"/>
  <c r="BN183" i="5"/>
  <c r="BN182" i="5"/>
  <c r="BN181" i="5"/>
  <c r="BN179" i="5"/>
  <c r="BN178" i="5"/>
  <c r="BN176" i="5"/>
  <c r="BN175" i="5"/>
  <c r="BN173" i="5"/>
  <c r="BN172" i="5"/>
  <c r="BN171" i="5"/>
  <c r="BN170" i="5"/>
  <c r="BN169" i="5"/>
  <c r="BN168" i="5"/>
  <c r="BN167" i="5"/>
  <c r="BM188" i="5"/>
  <c r="BM187" i="5"/>
  <c r="BM186" i="5"/>
  <c r="BM185" i="5"/>
  <c r="BM184" i="5"/>
  <c r="BM183" i="5"/>
  <c r="BM182" i="5"/>
  <c r="BM181" i="5"/>
  <c r="BM179" i="5"/>
  <c r="BM178" i="5"/>
  <c r="BM176" i="5"/>
  <c r="BM175" i="5"/>
  <c r="BM173" i="5"/>
  <c r="BM172" i="5"/>
  <c r="BM171" i="5"/>
  <c r="BM170" i="5"/>
  <c r="BM169" i="5"/>
  <c r="BM168" i="5"/>
  <c r="BM167" i="5"/>
  <c r="CV183" i="5"/>
  <c r="CV182" i="5"/>
  <c r="CV181" i="5"/>
  <c r="CV178" i="5"/>
  <c r="CV176" i="5"/>
  <c r="CV175" i="5"/>
  <c r="CV173" i="5"/>
  <c r="CV172" i="5"/>
  <c r="CV171" i="5"/>
  <c r="CV170" i="5"/>
  <c r="CV168" i="5"/>
  <c r="CU183" i="5"/>
  <c r="CU182" i="5"/>
  <c r="CU181" i="5"/>
  <c r="CU178" i="5"/>
  <c r="CU176" i="5"/>
  <c r="CU175" i="5"/>
  <c r="CU173" i="5"/>
  <c r="CU172" i="5"/>
  <c r="CU171" i="5"/>
  <c r="CU170" i="5"/>
  <c r="CU168" i="5"/>
  <c r="BE188" i="5"/>
  <c r="BE187" i="5"/>
  <c r="BE186" i="5"/>
  <c r="BE185" i="5"/>
  <c r="BE184" i="5"/>
  <c r="BE183" i="5"/>
  <c r="BE182" i="5"/>
  <c r="BE181" i="5"/>
  <c r="BE180" i="5"/>
  <c r="BE179" i="5"/>
  <c r="BE178" i="5"/>
  <c r="BE177" i="5"/>
  <c r="BE176" i="5"/>
  <c r="BE175" i="5"/>
  <c r="BE174" i="5"/>
  <c r="BE173" i="5"/>
  <c r="BE172" i="5"/>
  <c r="BE171" i="5"/>
  <c r="BE170" i="5"/>
  <c r="BE169" i="5"/>
  <c r="BE168" i="5"/>
  <c r="BE167" i="5"/>
  <c r="BD188" i="5"/>
  <c r="BD187" i="5"/>
  <c r="BD186" i="5"/>
  <c r="BD185" i="5"/>
  <c r="BD184" i="5"/>
  <c r="BD183" i="5"/>
  <c r="BD182" i="5"/>
  <c r="BD181" i="5"/>
  <c r="BD180" i="5"/>
  <c r="BD179" i="5"/>
  <c r="BD178" i="5"/>
  <c r="BD177" i="5"/>
  <c r="BD176" i="5"/>
  <c r="BD175" i="5"/>
  <c r="BD174" i="5"/>
  <c r="BD173" i="5"/>
  <c r="BD172" i="5"/>
  <c r="BD171" i="5"/>
  <c r="BD170" i="5"/>
  <c r="BD167" i="5"/>
  <c r="BD169" i="5"/>
  <c r="BD168" i="5"/>
  <c r="CV166" i="5"/>
  <c r="CV165" i="5"/>
  <c r="CV164" i="5"/>
  <c r="CV163" i="5"/>
  <c r="CV162" i="5"/>
  <c r="CV161" i="5"/>
  <c r="CV160" i="5"/>
  <c r="CV159" i="5"/>
  <c r="CV158" i="5"/>
  <c r="CU166" i="5"/>
  <c r="CU159" i="5"/>
  <c r="CU158" i="5"/>
  <c r="BE166" i="5"/>
  <c r="BE165" i="5"/>
  <c r="BE164" i="5"/>
  <c r="BE163" i="5"/>
  <c r="BE162" i="5"/>
  <c r="BE160" i="5"/>
  <c r="BE159" i="5"/>
  <c r="BE158" i="5"/>
  <c r="BD166" i="5"/>
  <c r="BD164" i="5"/>
  <c r="BD163" i="5"/>
  <c r="BD160" i="5"/>
  <c r="BD159" i="5"/>
  <c r="AR166" i="5"/>
  <c r="AR165" i="5"/>
  <c r="AR164" i="5"/>
  <c r="AR163" i="5"/>
  <c r="AR160" i="5"/>
  <c r="AR159" i="5"/>
  <c r="AR158" i="5"/>
  <c r="BK147" i="5"/>
  <c r="BK146" i="5"/>
  <c r="BK145" i="5"/>
  <c r="BK144" i="5"/>
  <c r="BK143" i="5"/>
  <c r="BK142" i="5"/>
  <c r="BK141" i="5"/>
  <c r="BK140" i="5"/>
  <c r="BK139" i="5"/>
  <c r="BK138" i="5"/>
  <c r="BK137" i="5"/>
  <c r="BK136" i="5"/>
  <c r="BK135" i="5"/>
  <c r="BK134" i="5"/>
  <c r="BK133" i="5"/>
  <c r="BK132" i="5"/>
  <c r="BK131" i="5"/>
  <c r="BK130" i="5"/>
  <c r="BK129" i="5"/>
  <c r="BK128" i="5"/>
  <c r="BK127" i="5"/>
  <c r="BK126" i="5"/>
  <c r="BK125" i="5"/>
  <c r="BK124" i="5"/>
  <c r="BK123" i="5"/>
  <c r="BK122" i="5"/>
  <c r="BK121" i="5"/>
  <c r="BK120" i="5"/>
  <c r="BK119" i="5"/>
  <c r="BK118" i="5"/>
  <c r="BK117" i="5"/>
  <c r="IE150" i="26"/>
  <c r="IM150" i="26"/>
  <c r="IU150" i="26"/>
  <c r="IH150" i="26"/>
  <c r="HV150" i="26"/>
  <c r="IX150" i="26" s="1"/>
  <c r="HX150" i="26"/>
  <c r="IF150" i="26"/>
  <c r="IN150" i="26"/>
  <c r="HT150" i="26"/>
  <c r="IV150" i="26" s="1"/>
  <c r="IP150" i="26"/>
  <c r="IT150" i="26"/>
  <c r="HY150" i="26"/>
  <c r="IG150" i="26"/>
  <c r="IO150" i="26"/>
  <c r="HU150" i="26"/>
  <c r="IW150" i="26" s="1"/>
  <c r="HZ150" i="26"/>
  <c r="ID150" i="26"/>
  <c r="IA150" i="26"/>
  <c r="II150" i="26"/>
  <c r="IQ150" i="26"/>
  <c r="IL150" i="26"/>
  <c r="IB150" i="26"/>
  <c r="IJ150" i="26"/>
  <c r="IR150" i="26"/>
  <c r="IC150" i="26"/>
  <c r="IK150" i="26"/>
  <c r="IS150" i="26"/>
  <c r="AK129" i="26"/>
  <c r="AK130" i="26"/>
  <c r="AK131" i="26"/>
  <c r="AK132" i="26"/>
  <c r="AK133" i="26"/>
  <c r="AK134" i="26"/>
  <c r="AK135" i="26"/>
  <c r="AK136" i="26"/>
  <c r="AK137" i="26"/>
  <c r="AK138" i="26"/>
  <c r="AK139" i="26"/>
  <c r="AK140" i="26"/>
  <c r="AK141" i="26"/>
  <c r="AK142" i="26"/>
  <c r="AK143" i="26"/>
  <c r="AK144" i="26"/>
  <c r="AK145" i="26"/>
  <c r="AK146" i="26"/>
  <c r="AK147" i="26"/>
  <c r="EL4" i="17"/>
  <c r="EM4" i="17"/>
  <c r="EN4" i="17"/>
  <c r="EO4" i="17"/>
  <c r="EP4" i="17"/>
  <c r="EQ4" i="17"/>
  <c r="ER4" i="17"/>
  <c r="ES4" i="17"/>
  <c r="ET4" i="17"/>
  <c r="EU4" i="17"/>
  <c r="EV4" i="17"/>
  <c r="EW4" i="17"/>
  <c r="EX4" i="17"/>
  <c r="EY4" i="17"/>
  <c r="EZ4" i="17"/>
  <c r="FA4" i="17"/>
  <c r="FB4" i="17"/>
  <c r="FC4" i="17"/>
  <c r="FD4" i="17"/>
  <c r="FE4" i="17"/>
  <c r="FF4" i="17"/>
  <c r="FG4" i="17"/>
  <c r="FH4" i="17"/>
  <c r="FI4" i="17"/>
  <c r="FJ4" i="17"/>
  <c r="FK4" i="17"/>
  <c r="FL4" i="17"/>
  <c r="EL5" i="17"/>
  <c r="EM5" i="17"/>
  <c r="EN5" i="17"/>
  <c r="EO5" i="17"/>
  <c r="EP5" i="17"/>
  <c r="EQ5" i="17"/>
  <c r="ER5" i="17"/>
  <c r="ES5" i="17"/>
  <c r="ET5" i="17"/>
  <c r="EU5" i="17"/>
  <c r="EV5" i="17"/>
  <c r="EW5" i="17"/>
  <c r="EX5" i="17"/>
  <c r="EY5" i="17"/>
  <c r="EZ5" i="17"/>
  <c r="FA5" i="17"/>
  <c r="FB5" i="17"/>
  <c r="FC5" i="17"/>
  <c r="FD5" i="17"/>
  <c r="FE5" i="17"/>
  <c r="FF5" i="17"/>
  <c r="FG5" i="17"/>
  <c r="FH5" i="17"/>
  <c r="FI5" i="17"/>
  <c r="FJ5" i="17"/>
  <c r="FK5" i="17"/>
  <c r="FL5" i="17"/>
  <c r="EL6" i="17"/>
  <c r="EM6" i="17"/>
  <c r="EN6" i="17"/>
  <c r="EO6" i="17"/>
  <c r="EP6" i="17"/>
  <c r="EQ6" i="17"/>
  <c r="ER6" i="17"/>
  <c r="ES6" i="17"/>
  <c r="ET6" i="17"/>
  <c r="EU6" i="17"/>
  <c r="EV6" i="17"/>
  <c r="EW6" i="17"/>
  <c r="EX6" i="17"/>
  <c r="EY6" i="17"/>
  <c r="EZ6" i="17"/>
  <c r="FA6" i="17"/>
  <c r="FB6" i="17"/>
  <c r="FC6" i="17"/>
  <c r="FD6" i="17"/>
  <c r="FE6" i="17"/>
  <c r="FF6" i="17"/>
  <c r="FG6" i="17"/>
  <c r="FH6" i="17"/>
  <c r="FI6" i="17"/>
  <c r="FJ6" i="17"/>
  <c r="FK6" i="17"/>
  <c r="FL6" i="17"/>
  <c r="EL7" i="17"/>
  <c r="EM7" i="17"/>
  <c r="EN7" i="17"/>
  <c r="EO7" i="17"/>
  <c r="EP7" i="17"/>
  <c r="EQ7" i="17"/>
  <c r="ER7" i="17"/>
  <c r="ES7" i="17"/>
  <c r="ET7" i="17"/>
  <c r="EU7" i="17"/>
  <c r="EV7" i="17"/>
  <c r="EW7" i="17"/>
  <c r="EX7" i="17"/>
  <c r="EY7" i="17"/>
  <c r="EZ7" i="17"/>
  <c r="FA7" i="17"/>
  <c r="FB7" i="17"/>
  <c r="FC7" i="17"/>
  <c r="FD7" i="17"/>
  <c r="FE7" i="17"/>
  <c r="FF7" i="17"/>
  <c r="FG7" i="17"/>
  <c r="FH7" i="17"/>
  <c r="FI7" i="17"/>
  <c r="FJ7" i="17"/>
  <c r="FK7" i="17"/>
  <c r="FL7" i="17"/>
  <c r="EL8" i="17"/>
  <c r="EM8" i="17"/>
  <c r="EN8" i="17"/>
  <c r="EO8" i="17"/>
  <c r="EP8" i="17"/>
  <c r="EQ8" i="17"/>
  <c r="ER8" i="17"/>
  <c r="ES8" i="17"/>
  <c r="ET8" i="17"/>
  <c r="EU8" i="17"/>
  <c r="EV8" i="17"/>
  <c r="EW8" i="17"/>
  <c r="EX8" i="17"/>
  <c r="EY8" i="17"/>
  <c r="EZ8" i="17"/>
  <c r="FA8" i="17"/>
  <c r="FB8" i="17"/>
  <c r="FC8" i="17"/>
  <c r="FD8" i="17"/>
  <c r="FE8" i="17"/>
  <c r="FF8" i="17"/>
  <c r="FG8" i="17"/>
  <c r="FH8" i="17"/>
  <c r="FI8" i="17"/>
  <c r="FJ8" i="17"/>
  <c r="FK8" i="17"/>
  <c r="FL8" i="17"/>
  <c r="EL9" i="17"/>
  <c r="EM9" i="17"/>
  <c r="EN9" i="17"/>
  <c r="EO9" i="17"/>
  <c r="EP9" i="17"/>
  <c r="EQ9" i="17"/>
  <c r="GF9" i="17" s="1"/>
  <c r="ER9" i="17"/>
  <c r="ES9" i="17"/>
  <c r="ET9" i="17"/>
  <c r="EU9" i="17"/>
  <c r="EV9" i="17"/>
  <c r="EW9" i="17"/>
  <c r="EX9" i="17"/>
  <c r="EY9" i="17"/>
  <c r="EZ9" i="17"/>
  <c r="FA9" i="17"/>
  <c r="FB9" i="17"/>
  <c r="FC9" i="17"/>
  <c r="FD9" i="17"/>
  <c r="FE9" i="17"/>
  <c r="FF9" i="17"/>
  <c r="FG9" i="17"/>
  <c r="FH9" i="17"/>
  <c r="FI9" i="17"/>
  <c r="FJ9" i="17"/>
  <c r="FK9" i="17"/>
  <c r="FL9" i="17"/>
  <c r="EL10" i="17"/>
  <c r="EM10" i="17"/>
  <c r="EN10" i="17"/>
  <c r="EO10" i="17"/>
  <c r="EP10" i="17"/>
  <c r="EQ10" i="17"/>
  <c r="ER10" i="17"/>
  <c r="ES10" i="17"/>
  <c r="ET10" i="17"/>
  <c r="EU10" i="17"/>
  <c r="EV10" i="17"/>
  <c r="EW10" i="17"/>
  <c r="EX10" i="17"/>
  <c r="EY10" i="17"/>
  <c r="EZ10" i="17"/>
  <c r="FA10" i="17"/>
  <c r="FB10" i="17"/>
  <c r="FC10" i="17"/>
  <c r="FD10" i="17"/>
  <c r="FE10" i="17"/>
  <c r="FF10" i="17"/>
  <c r="FG10" i="17"/>
  <c r="FH10" i="17"/>
  <c r="FI10" i="17"/>
  <c r="FJ10" i="17"/>
  <c r="FK10" i="17"/>
  <c r="FL10" i="17"/>
  <c r="EL11" i="17"/>
  <c r="EM11" i="17"/>
  <c r="EN11" i="17"/>
  <c r="EO11" i="17"/>
  <c r="EP11" i="17"/>
  <c r="EQ11" i="17"/>
  <c r="ER11" i="17"/>
  <c r="ES11" i="17"/>
  <c r="ET11" i="17"/>
  <c r="EU11" i="17"/>
  <c r="EV11" i="17"/>
  <c r="EW11" i="17"/>
  <c r="EX11" i="17"/>
  <c r="EY11" i="17"/>
  <c r="EZ11" i="17"/>
  <c r="FA11" i="17"/>
  <c r="FB11" i="17"/>
  <c r="FC11" i="17"/>
  <c r="FD11" i="17"/>
  <c r="FE11" i="17"/>
  <c r="FF11" i="17"/>
  <c r="FG11" i="17"/>
  <c r="FH11" i="17"/>
  <c r="FI11" i="17"/>
  <c r="FJ11" i="17"/>
  <c r="FK11" i="17"/>
  <c r="FL11" i="17"/>
  <c r="EL12" i="17"/>
  <c r="EM12" i="17"/>
  <c r="EN12" i="17"/>
  <c r="EO12" i="17"/>
  <c r="EP12" i="17"/>
  <c r="EQ12" i="17"/>
  <c r="ER12" i="17"/>
  <c r="ES12" i="17"/>
  <c r="ET12" i="17"/>
  <c r="EU12" i="17"/>
  <c r="EV12" i="17"/>
  <c r="EW12" i="17"/>
  <c r="EX12" i="17"/>
  <c r="EY12" i="17"/>
  <c r="EZ12" i="17"/>
  <c r="FA12" i="17"/>
  <c r="FB12" i="17"/>
  <c r="FC12" i="17"/>
  <c r="FD12" i="17"/>
  <c r="FE12" i="17"/>
  <c r="FF12" i="17"/>
  <c r="FG12" i="17"/>
  <c r="FH12" i="17"/>
  <c r="FI12" i="17"/>
  <c r="FJ12" i="17"/>
  <c r="FK12" i="17"/>
  <c r="FL12" i="17"/>
  <c r="EL13" i="17"/>
  <c r="EM13" i="17"/>
  <c r="EN13" i="17"/>
  <c r="EO13" i="17"/>
  <c r="EP13" i="17"/>
  <c r="EQ13" i="17"/>
  <c r="ER13" i="17"/>
  <c r="ES13" i="17"/>
  <c r="ET13" i="17"/>
  <c r="EU13" i="17"/>
  <c r="EV13" i="17"/>
  <c r="EW13" i="17"/>
  <c r="EX13" i="17"/>
  <c r="EY13" i="17"/>
  <c r="EZ13" i="17"/>
  <c r="FA13" i="17"/>
  <c r="FB13" i="17"/>
  <c r="FC13" i="17"/>
  <c r="FD13" i="17"/>
  <c r="FE13" i="17"/>
  <c r="FF13" i="17"/>
  <c r="FG13" i="17"/>
  <c r="FH13" i="17"/>
  <c r="FI13" i="17"/>
  <c r="FJ13" i="17"/>
  <c r="FK13" i="17"/>
  <c r="FL13" i="17"/>
  <c r="EL14" i="17"/>
  <c r="EM14" i="17"/>
  <c r="EN14" i="17"/>
  <c r="EO14" i="17"/>
  <c r="EP14" i="17"/>
  <c r="EQ14" i="17"/>
  <c r="ER14" i="17"/>
  <c r="ES14" i="17"/>
  <c r="ET14" i="17"/>
  <c r="EU14" i="17"/>
  <c r="EV14" i="17"/>
  <c r="EW14" i="17"/>
  <c r="EX14" i="17"/>
  <c r="EY14" i="17"/>
  <c r="EZ14" i="17"/>
  <c r="FA14" i="17"/>
  <c r="FB14" i="17"/>
  <c r="FC14" i="17"/>
  <c r="FD14" i="17"/>
  <c r="FE14" i="17"/>
  <c r="FF14" i="17"/>
  <c r="FG14" i="17"/>
  <c r="FH14" i="17"/>
  <c r="FI14" i="17"/>
  <c r="FJ14" i="17"/>
  <c r="FK14" i="17"/>
  <c r="FL14" i="17"/>
  <c r="EL15" i="17"/>
  <c r="EM15" i="17"/>
  <c r="EN15" i="17"/>
  <c r="EO15" i="17"/>
  <c r="EP15" i="17"/>
  <c r="EQ15" i="17"/>
  <c r="ER15" i="17"/>
  <c r="ES15" i="17"/>
  <c r="ET15" i="17"/>
  <c r="EU15" i="17"/>
  <c r="EV15" i="17"/>
  <c r="EW15" i="17"/>
  <c r="EX15" i="17"/>
  <c r="EY15" i="17"/>
  <c r="EZ15" i="17"/>
  <c r="FA15" i="17"/>
  <c r="FB15" i="17"/>
  <c r="FC15" i="17"/>
  <c r="FD15" i="17"/>
  <c r="FE15" i="17"/>
  <c r="FF15" i="17"/>
  <c r="FG15" i="17"/>
  <c r="FH15" i="17"/>
  <c r="FI15" i="17"/>
  <c r="FJ15" i="17"/>
  <c r="FK15" i="17"/>
  <c r="FL15" i="17"/>
  <c r="EL16" i="17"/>
  <c r="EM16" i="17"/>
  <c r="EN16" i="17"/>
  <c r="EO16" i="17"/>
  <c r="EP16" i="17"/>
  <c r="EQ16" i="17"/>
  <c r="ER16" i="17"/>
  <c r="ES16" i="17"/>
  <c r="ET16" i="17"/>
  <c r="EU16" i="17"/>
  <c r="EV16" i="17"/>
  <c r="EW16" i="17"/>
  <c r="EX16" i="17"/>
  <c r="EY16" i="17"/>
  <c r="EZ16" i="17"/>
  <c r="FA16" i="17"/>
  <c r="FB16" i="17"/>
  <c r="FC16" i="17"/>
  <c r="FD16" i="17"/>
  <c r="FE16" i="17"/>
  <c r="FF16" i="17"/>
  <c r="FG16" i="17"/>
  <c r="FH16" i="17"/>
  <c r="FI16" i="17"/>
  <c r="FJ16" i="17"/>
  <c r="FK16" i="17"/>
  <c r="FL16" i="17"/>
  <c r="EL17" i="17"/>
  <c r="EM17" i="17"/>
  <c r="EN17" i="17"/>
  <c r="EO17" i="17"/>
  <c r="EP17" i="17"/>
  <c r="EQ17" i="17"/>
  <c r="ER17" i="17"/>
  <c r="ES17" i="17"/>
  <c r="ET17" i="17"/>
  <c r="EU17" i="17"/>
  <c r="EV17" i="17"/>
  <c r="EW17" i="17"/>
  <c r="EX17" i="17"/>
  <c r="EY17" i="17"/>
  <c r="EZ17" i="17"/>
  <c r="FA17" i="17"/>
  <c r="FB17" i="17"/>
  <c r="FC17" i="17"/>
  <c r="FD17" i="17"/>
  <c r="FE17" i="17"/>
  <c r="FF17" i="17"/>
  <c r="FG17" i="17"/>
  <c r="FH17" i="17"/>
  <c r="FI17" i="17"/>
  <c r="FJ17" i="17"/>
  <c r="FK17" i="17"/>
  <c r="FL17" i="17"/>
  <c r="EL18" i="17"/>
  <c r="EM18" i="17"/>
  <c r="EN18" i="17"/>
  <c r="EO18" i="17"/>
  <c r="EP18" i="17"/>
  <c r="EQ18" i="17"/>
  <c r="ER18" i="17"/>
  <c r="ES18" i="17"/>
  <c r="ET18" i="17"/>
  <c r="EU18" i="17"/>
  <c r="EV18" i="17"/>
  <c r="EW18" i="17"/>
  <c r="EX18" i="17"/>
  <c r="EY18" i="17"/>
  <c r="EZ18" i="17"/>
  <c r="FA18" i="17"/>
  <c r="FB18" i="17"/>
  <c r="FC18" i="17"/>
  <c r="FD18" i="17"/>
  <c r="FE18" i="17"/>
  <c r="FF18" i="17"/>
  <c r="FG18" i="17"/>
  <c r="FH18" i="17"/>
  <c r="FI18" i="17"/>
  <c r="FJ18" i="17"/>
  <c r="FK18" i="17"/>
  <c r="FL18" i="17"/>
  <c r="EL19" i="17"/>
  <c r="EM19" i="17"/>
  <c r="EN19" i="17"/>
  <c r="EO19" i="17"/>
  <c r="EP19" i="17"/>
  <c r="EQ19" i="17"/>
  <c r="ER19" i="17"/>
  <c r="ES19" i="17"/>
  <c r="ET19" i="17"/>
  <c r="EU19" i="17"/>
  <c r="EV19" i="17"/>
  <c r="EW19" i="17"/>
  <c r="EX19" i="17"/>
  <c r="EY19" i="17"/>
  <c r="EZ19" i="17"/>
  <c r="FA19" i="17"/>
  <c r="FB19" i="17"/>
  <c r="FC19" i="17"/>
  <c r="FD19" i="17"/>
  <c r="FE19" i="17"/>
  <c r="FF19" i="17"/>
  <c r="FG19" i="17"/>
  <c r="FH19" i="17"/>
  <c r="FI19" i="17"/>
  <c r="FJ19" i="17"/>
  <c r="FK19" i="17"/>
  <c r="FL19" i="17"/>
  <c r="EL20" i="17"/>
  <c r="EM20" i="17"/>
  <c r="EN20" i="17"/>
  <c r="EO20" i="17"/>
  <c r="EP20" i="17"/>
  <c r="EQ20" i="17"/>
  <c r="ER20" i="17"/>
  <c r="ES20" i="17"/>
  <c r="ET20" i="17"/>
  <c r="EU20" i="17"/>
  <c r="EV20" i="17"/>
  <c r="EW20" i="17"/>
  <c r="EX20" i="17"/>
  <c r="EY20" i="17"/>
  <c r="EZ20" i="17"/>
  <c r="FA20" i="17"/>
  <c r="FB20" i="17"/>
  <c r="FC20" i="17"/>
  <c r="FD20" i="17"/>
  <c r="FE20" i="17"/>
  <c r="FF20" i="17"/>
  <c r="FG20" i="17"/>
  <c r="FH20" i="17"/>
  <c r="FI20" i="17"/>
  <c r="FJ20" i="17"/>
  <c r="FK20" i="17"/>
  <c r="FL20" i="17"/>
  <c r="EL21" i="17"/>
  <c r="EM21" i="17"/>
  <c r="EN21" i="17"/>
  <c r="EO21" i="17"/>
  <c r="EP21" i="17"/>
  <c r="EQ21" i="17"/>
  <c r="ER21" i="17"/>
  <c r="ES21" i="17"/>
  <c r="ET21" i="17"/>
  <c r="EU21" i="17"/>
  <c r="EV21" i="17"/>
  <c r="EW21" i="17"/>
  <c r="EX21" i="17"/>
  <c r="EY21" i="17"/>
  <c r="EZ21" i="17"/>
  <c r="FA21" i="17"/>
  <c r="FB21" i="17"/>
  <c r="FC21" i="17"/>
  <c r="FD21" i="17"/>
  <c r="FE21" i="17"/>
  <c r="FF21" i="17"/>
  <c r="FG21" i="17"/>
  <c r="FH21" i="17"/>
  <c r="FI21" i="17"/>
  <c r="FJ21" i="17"/>
  <c r="FK21" i="17"/>
  <c r="FL21" i="17"/>
  <c r="EL22" i="17"/>
  <c r="EM22" i="17"/>
  <c r="EN22" i="17"/>
  <c r="EO22" i="17"/>
  <c r="EP22" i="17"/>
  <c r="EQ22" i="17"/>
  <c r="ER22" i="17"/>
  <c r="ES22" i="17"/>
  <c r="ET22" i="17"/>
  <c r="EU22" i="17"/>
  <c r="EV22" i="17"/>
  <c r="EW22" i="17"/>
  <c r="EX22" i="17"/>
  <c r="EY22" i="17"/>
  <c r="EZ22" i="17"/>
  <c r="FA22" i="17"/>
  <c r="FB22" i="17"/>
  <c r="FC22" i="17"/>
  <c r="FD22" i="17"/>
  <c r="FE22" i="17"/>
  <c r="FF22" i="17"/>
  <c r="FG22" i="17"/>
  <c r="FH22" i="17"/>
  <c r="FI22" i="17"/>
  <c r="FJ22" i="17"/>
  <c r="FK22" i="17"/>
  <c r="FL22" i="17"/>
  <c r="EL23" i="17"/>
  <c r="EM23" i="17"/>
  <c r="EN23" i="17"/>
  <c r="EO23" i="17"/>
  <c r="EP23" i="17"/>
  <c r="EQ23" i="17"/>
  <c r="ER23" i="17"/>
  <c r="ES23" i="17"/>
  <c r="ET23" i="17"/>
  <c r="EU23" i="17"/>
  <c r="EV23" i="17"/>
  <c r="EW23" i="17"/>
  <c r="EX23" i="17"/>
  <c r="EY23" i="17"/>
  <c r="EZ23" i="17"/>
  <c r="FA23" i="17"/>
  <c r="FB23" i="17"/>
  <c r="FC23" i="17"/>
  <c r="FD23" i="17"/>
  <c r="FE23" i="17"/>
  <c r="FF23" i="17"/>
  <c r="FG23" i="17"/>
  <c r="FH23" i="17"/>
  <c r="FI23" i="17"/>
  <c r="FJ23" i="17"/>
  <c r="FK23" i="17"/>
  <c r="FL23" i="17"/>
  <c r="EL24" i="17"/>
  <c r="EM24" i="17"/>
  <c r="EN24" i="17"/>
  <c r="EO24" i="17"/>
  <c r="EP24" i="17"/>
  <c r="EQ24" i="17"/>
  <c r="ER24" i="17"/>
  <c r="ES24" i="17"/>
  <c r="ET24" i="17"/>
  <c r="EU24" i="17"/>
  <c r="EV24" i="17"/>
  <c r="EW24" i="17"/>
  <c r="EX24" i="17"/>
  <c r="EY24" i="17"/>
  <c r="EZ24" i="17"/>
  <c r="FA24" i="17"/>
  <c r="FB24" i="17"/>
  <c r="FC24" i="17"/>
  <c r="FD24" i="17"/>
  <c r="FE24" i="17"/>
  <c r="FF24" i="17"/>
  <c r="FG24" i="17"/>
  <c r="FH24" i="17"/>
  <c r="FI24" i="17"/>
  <c r="FJ24" i="17"/>
  <c r="FK24" i="17"/>
  <c r="FL24" i="17"/>
  <c r="EL25" i="17"/>
  <c r="EM25" i="17"/>
  <c r="EN25" i="17"/>
  <c r="EO25" i="17"/>
  <c r="EP25" i="17"/>
  <c r="EQ25" i="17"/>
  <c r="ER25" i="17"/>
  <c r="ES25" i="17"/>
  <c r="ET25" i="17"/>
  <c r="EU25" i="17"/>
  <c r="EV25" i="17"/>
  <c r="EW25" i="17"/>
  <c r="EX25" i="17"/>
  <c r="EY25" i="17"/>
  <c r="EZ25" i="17"/>
  <c r="FA25" i="17"/>
  <c r="FB25" i="17"/>
  <c r="FC25" i="17"/>
  <c r="FD25" i="17"/>
  <c r="FE25" i="17"/>
  <c r="FF25" i="17"/>
  <c r="FG25" i="17"/>
  <c r="FH25" i="17"/>
  <c r="FI25" i="17"/>
  <c r="FJ25" i="17"/>
  <c r="FK25" i="17"/>
  <c r="FL25" i="17"/>
  <c r="EL26" i="17"/>
  <c r="EM26" i="17"/>
  <c r="EN26" i="17"/>
  <c r="EO26" i="17"/>
  <c r="EP26" i="17"/>
  <c r="EQ26" i="17"/>
  <c r="ER26" i="17"/>
  <c r="ES26" i="17"/>
  <c r="ET26" i="17"/>
  <c r="EU26" i="17"/>
  <c r="EV26" i="17"/>
  <c r="EW26" i="17"/>
  <c r="EX26" i="17"/>
  <c r="EY26" i="17"/>
  <c r="EZ26" i="17"/>
  <c r="FA26" i="17"/>
  <c r="FB26" i="17"/>
  <c r="FC26" i="17"/>
  <c r="FD26" i="17"/>
  <c r="FE26" i="17"/>
  <c r="FF26" i="17"/>
  <c r="FG26" i="17"/>
  <c r="FH26" i="17"/>
  <c r="FI26" i="17"/>
  <c r="FJ26" i="17"/>
  <c r="FK26" i="17"/>
  <c r="FL26" i="17"/>
  <c r="EL27" i="17"/>
  <c r="EM27" i="17"/>
  <c r="EN27" i="17"/>
  <c r="EO27" i="17"/>
  <c r="EP27" i="17"/>
  <c r="EQ27" i="17"/>
  <c r="ER27" i="17"/>
  <c r="ES27" i="17"/>
  <c r="ET27" i="17"/>
  <c r="EU27" i="17"/>
  <c r="EV27" i="17"/>
  <c r="EW27" i="17"/>
  <c r="EX27" i="17"/>
  <c r="EY27" i="17"/>
  <c r="EZ27" i="17"/>
  <c r="FA27" i="17"/>
  <c r="FB27" i="17"/>
  <c r="FC27" i="17"/>
  <c r="FD27" i="17"/>
  <c r="FE27" i="17"/>
  <c r="FF27" i="17"/>
  <c r="FG27" i="17"/>
  <c r="FH27" i="17"/>
  <c r="FI27" i="17"/>
  <c r="FJ27" i="17"/>
  <c r="FK27" i="17"/>
  <c r="FL27" i="17"/>
  <c r="EL30" i="17"/>
  <c r="EM30" i="17"/>
  <c r="EN30" i="17"/>
  <c r="EO30" i="17"/>
  <c r="EP30" i="17"/>
  <c r="EQ30" i="17"/>
  <c r="ER30" i="17"/>
  <c r="ES30" i="17"/>
  <c r="ET30" i="17"/>
  <c r="EU30" i="17"/>
  <c r="EV30" i="17"/>
  <c r="EW30" i="17"/>
  <c r="EX30" i="17"/>
  <c r="EY30" i="17"/>
  <c r="EZ30" i="17"/>
  <c r="FA30" i="17"/>
  <c r="FB30" i="17"/>
  <c r="FC30" i="17"/>
  <c r="FD30" i="17"/>
  <c r="FE30" i="17"/>
  <c r="FF30" i="17"/>
  <c r="FG30" i="17"/>
  <c r="FH30" i="17"/>
  <c r="FI30" i="17"/>
  <c r="FJ30" i="17"/>
  <c r="FK30" i="17"/>
  <c r="FL30" i="17"/>
  <c r="EL28" i="17"/>
  <c r="EM28" i="17"/>
  <c r="EN28" i="17"/>
  <c r="EO28" i="17"/>
  <c r="EP28" i="17"/>
  <c r="EQ28" i="17"/>
  <c r="ER28" i="17"/>
  <c r="ES28" i="17"/>
  <c r="ET28" i="17"/>
  <c r="EU28" i="17"/>
  <c r="EV28" i="17"/>
  <c r="EW28" i="17"/>
  <c r="EX28" i="17"/>
  <c r="EY28" i="17"/>
  <c r="EZ28" i="17"/>
  <c r="FA28" i="17"/>
  <c r="FB28" i="17"/>
  <c r="FC28" i="17"/>
  <c r="FD28" i="17"/>
  <c r="FE28" i="17"/>
  <c r="FF28" i="17"/>
  <c r="FG28" i="17"/>
  <c r="FH28" i="17"/>
  <c r="FI28" i="17"/>
  <c r="FJ28" i="17"/>
  <c r="FK28" i="17"/>
  <c r="FL28" i="17"/>
  <c r="EL29" i="17"/>
  <c r="EM29" i="17"/>
  <c r="EN29" i="17"/>
  <c r="EO29" i="17"/>
  <c r="EP29" i="17"/>
  <c r="EQ29" i="17"/>
  <c r="ER29" i="17"/>
  <c r="ES29" i="17"/>
  <c r="ET29" i="17"/>
  <c r="EU29" i="17"/>
  <c r="EV29" i="17"/>
  <c r="EW29" i="17"/>
  <c r="EX29" i="17"/>
  <c r="EY29" i="17"/>
  <c r="EZ29" i="17"/>
  <c r="FA29" i="17"/>
  <c r="FB29" i="17"/>
  <c r="FC29" i="17"/>
  <c r="FD29" i="17"/>
  <c r="FE29" i="17"/>
  <c r="FF29" i="17"/>
  <c r="FG29" i="17"/>
  <c r="FH29" i="17"/>
  <c r="FI29" i="17"/>
  <c r="FJ29" i="17"/>
  <c r="FK29" i="17"/>
  <c r="FL29" i="17"/>
  <c r="EL31" i="17"/>
  <c r="EM31" i="17"/>
  <c r="EN31" i="17"/>
  <c r="EO31" i="17"/>
  <c r="EP31" i="17"/>
  <c r="EQ31" i="17"/>
  <c r="ER31" i="17"/>
  <c r="ES31" i="17"/>
  <c r="ET31" i="17"/>
  <c r="EU31" i="17"/>
  <c r="EV31" i="17"/>
  <c r="EW31" i="17"/>
  <c r="EX31" i="17"/>
  <c r="EY31" i="17"/>
  <c r="EZ31" i="17"/>
  <c r="FA31" i="17"/>
  <c r="FB31" i="17"/>
  <c r="FC31" i="17"/>
  <c r="FD31" i="17"/>
  <c r="FE31" i="17"/>
  <c r="FF31" i="17"/>
  <c r="FG31" i="17"/>
  <c r="FH31" i="17"/>
  <c r="FI31" i="17"/>
  <c r="FJ31" i="17"/>
  <c r="FK31" i="17"/>
  <c r="FL31" i="17"/>
  <c r="EL32" i="17"/>
  <c r="EM32" i="17"/>
  <c r="EN32" i="17"/>
  <c r="EO32" i="17"/>
  <c r="EP32" i="17"/>
  <c r="EQ32" i="17"/>
  <c r="ER32" i="17"/>
  <c r="ES32" i="17"/>
  <c r="ET32" i="17"/>
  <c r="EU32" i="17"/>
  <c r="EV32" i="17"/>
  <c r="EW32" i="17"/>
  <c r="EX32" i="17"/>
  <c r="EY32" i="17"/>
  <c r="EZ32" i="17"/>
  <c r="FA32" i="17"/>
  <c r="FB32" i="17"/>
  <c r="FC32" i="17"/>
  <c r="FD32" i="17"/>
  <c r="FE32" i="17"/>
  <c r="FF32" i="17"/>
  <c r="FG32" i="17"/>
  <c r="FH32" i="17"/>
  <c r="FI32" i="17"/>
  <c r="FJ32" i="17"/>
  <c r="FK32" i="17"/>
  <c r="FL32" i="17"/>
  <c r="EM33" i="17"/>
  <c r="EN33" i="17"/>
  <c r="EO33" i="17"/>
  <c r="EP33" i="17"/>
  <c r="EQ33" i="17"/>
  <c r="ER33" i="17"/>
  <c r="ES33" i="17"/>
  <c r="ET33" i="17"/>
  <c r="EU33" i="17"/>
  <c r="EV33" i="17"/>
  <c r="EW33" i="17"/>
  <c r="EX33" i="17"/>
  <c r="EY33" i="17"/>
  <c r="EZ33" i="17"/>
  <c r="FA33" i="17"/>
  <c r="FB33" i="17"/>
  <c r="FC33" i="17"/>
  <c r="FD33" i="17"/>
  <c r="FE33" i="17"/>
  <c r="FF33" i="17"/>
  <c r="FG33" i="17"/>
  <c r="FH33" i="17"/>
  <c r="FI33" i="17"/>
  <c r="FJ33" i="17"/>
  <c r="FK33" i="17"/>
  <c r="FL33" i="17"/>
  <c r="EL34" i="17"/>
  <c r="EM34" i="17"/>
  <c r="EN34" i="17"/>
  <c r="EO34" i="17"/>
  <c r="EP34" i="17"/>
  <c r="EQ34" i="17"/>
  <c r="ER34" i="17"/>
  <c r="ES34" i="17"/>
  <c r="ET34" i="17"/>
  <c r="EU34" i="17"/>
  <c r="EV34" i="17"/>
  <c r="EW34" i="17"/>
  <c r="EX34" i="17"/>
  <c r="EY34" i="17"/>
  <c r="EZ34" i="17"/>
  <c r="FA34" i="17"/>
  <c r="FB34" i="17"/>
  <c r="FC34" i="17"/>
  <c r="FD34" i="17"/>
  <c r="FE34" i="17"/>
  <c r="FF34" i="17"/>
  <c r="FG34" i="17"/>
  <c r="FH34" i="17"/>
  <c r="FI34" i="17"/>
  <c r="FJ34" i="17"/>
  <c r="FK34" i="17"/>
  <c r="FL34" i="17"/>
  <c r="EL35" i="17"/>
  <c r="EM35" i="17"/>
  <c r="EN35" i="17"/>
  <c r="EO35" i="17"/>
  <c r="EP35" i="17"/>
  <c r="EQ35" i="17"/>
  <c r="ER35" i="17"/>
  <c r="ES35" i="17"/>
  <c r="ET35" i="17"/>
  <c r="EU35" i="17"/>
  <c r="EV35" i="17"/>
  <c r="EW35" i="17"/>
  <c r="EX35" i="17"/>
  <c r="EY35" i="17"/>
  <c r="EZ35" i="17"/>
  <c r="FA35" i="17"/>
  <c r="FB35" i="17"/>
  <c r="FC35" i="17"/>
  <c r="FD35" i="17"/>
  <c r="FE35" i="17"/>
  <c r="FF35" i="17"/>
  <c r="FG35" i="17"/>
  <c r="FH35" i="17"/>
  <c r="FI35" i="17"/>
  <c r="FJ35" i="17"/>
  <c r="FK35" i="17"/>
  <c r="FL35" i="17"/>
  <c r="EL36" i="17"/>
  <c r="EM36" i="17"/>
  <c r="EN36" i="17"/>
  <c r="EO36" i="17"/>
  <c r="EP36" i="17"/>
  <c r="EQ36" i="17"/>
  <c r="ER36" i="17"/>
  <c r="ES36" i="17"/>
  <c r="ET36" i="17"/>
  <c r="EU36" i="17"/>
  <c r="EV36" i="17"/>
  <c r="EW36" i="17"/>
  <c r="EX36" i="17"/>
  <c r="EY36" i="17"/>
  <c r="EZ36" i="17"/>
  <c r="FA36" i="17"/>
  <c r="FB36" i="17"/>
  <c r="FC36" i="17"/>
  <c r="FD36" i="17"/>
  <c r="FE36" i="17"/>
  <c r="FF36" i="17"/>
  <c r="FG36" i="17"/>
  <c r="FH36" i="17"/>
  <c r="FI36" i="17"/>
  <c r="FJ36" i="17"/>
  <c r="FK36" i="17"/>
  <c r="FL36" i="17"/>
  <c r="EL37" i="17"/>
  <c r="EM37" i="17"/>
  <c r="EN37" i="17"/>
  <c r="EO37" i="17"/>
  <c r="EP37" i="17"/>
  <c r="EQ37" i="17"/>
  <c r="ER37" i="17"/>
  <c r="ES37" i="17"/>
  <c r="ET37" i="17"/>
  <c r="EU37" i="17"/>
  <c r="EV37" i="17"/>
  <c r="EW37" i="17"/>
  <c r="EX37" i="17"/>
  <c r="EY37" i="17"/>
  <c r="EZ37" i="17"/>
  <c r="FA37" i="17"/>
  <c r="FB37" i="17"/>
  <c r="FC37" i="17"/>
  <c r="FD37" i="17"/>
  <c r="FE37" i="17"/>
  <c r="FF37" i="17"/>
  <c r="FG37" i="17"/>
  <c r="FH37" i="17"/>
  <c r="FI37" i="17"/>
  <c r="FJ37" i="17"/>
  <c r="FK37" i="17"/>
  <c r="FL37" i="17"/>
  <c r="EL38" i="17"/>
  <c r="EM38" i="17"/>
  <c r="EN38" i="17"/>
  <c r="EO38" i="17"/>
  <c r="EP38" i="17"/>
  <c r="EQ38" i="17"/>
  <c r="ER38" i="17"/>
  <c r="ES38" i="17"/>
  <c r="ET38" i="17"/>
  <c r="EU38" i="17"/>
  <c r="EV38" i="17"/>
  <c r="EW38" i="17"/>
  <c r="EX38" i="17"/>
  <c r="EY38" i="17"/>
  <c r="EZ38" i="17"/>
  <c r="FA38" i="17"/>
  <c r="FB38" i="17"/>
  <c r="FC38" i="17"/>
  <c r="FD38" i="17"/>
  <c r="FE38" i="17"/>
  <c r="FF38" i="17"/>
  <c r="FG38" i="17"/>
  <c r="FH38" i="17"/>
  <c r="FI38" i="17"/>
  <c r="FJ38" i="17"/>
  <c r="FK38" i="17"/>
  <c r="FL38" i="17"/>
  <c r="EL39" i="17"/>
  <c r="EM39" i="17"/>
  <c r="EN39" i="17"/>
  <c r="EO39" i="17"/>
  <c r="EP39" i="17"/>
  <c r="EQ39" i="17"/>
  <c r="ER39" i="17"/>
  <c r="ES39" i="17"/>
  <c r="ET39" i="17"/>
  <c r="EU39" i="17"/>
  <c r="EV39" i="17"/>
  <c r="EW39" i="17"/>
  <c r="EX39" i="17"/>
  <c r="EY39" i="17"/>
  <c r="EZ39" i="17"/>
  <c r="FA39" i="17"/>
  <c r="FB39" i="17"/>
  <c r="FC39" i="17"/>
  <c r="FD39" i="17"/>
  <c r="FE39" i="17"/>
  <c r="FF39" i="17"/>
  <c r="FG39" i="17"/>
  <c r="FH39" i="17"/>
  <c r="FI39" i="17"/>
  <c r="FJ39" i="17"/>
  <c r="FK39" i="17"/>
  <c r="FL39" i="17"/>
  <c r="EL40" i="17"/>
  <c r="EM40" i="17"/>
  <c r="EN40" i="17"/>
  <c r="EO40" i="17"/>
  <c r="EP40" i="17"/>
  <c r="EQ40" i="17"/>
  <c r="ER40" i="17"/>
  <c r="ES40" i="17"/>
  <c r="ET40" i="17"/>
  <c r="EU40" i="17"/>
  <c r="EV40" i="17"/>
  <c r="EW40" i="17"/>
  <c r="EX40" i="17"/>
  <c r="EY40" i="17"/>
  <c r="EZ40" i="17"/>
  <c r="FA40" i="17"/>
  <c r="FB40" i="17"/>
  <c r="FC40" i="17"/>
  <c r="FD40" i="17"/>
  <c r="FE40" i="17"/>
  <c r="FF40" i="17"/>
  <c r="FG40" i="17"/>
  <c r="FH40" i="17"/>
  <c r="FI40" i="17"/>
  <c r="FJ40" i="17"/>
  <c r="FK40" i="17"/>
  <c r="FL40" i="17"/>
  <c r="EL41" i="17"/>
  <c r="EM41" i="17"/>
  <c r="EN41" i="17"/>
  <c r="EO41" i="17"/>
  <c r="EP41" i="17"/>
  <c r="EQ41" i="17"/>
  <c r="ER41" i="17"/>
  <c r="ES41" i="17"/>
  <c r="ET41" i="17"/>
  <c r="EU41" i="17"/>
  <c r="EV41" i="17"/>
  <c r="EW41" i="17"/>
  <c r="EX41" i="17"/>
  <c r="EY41" i="17"/>
  <c r="EZ41" i="17"/>
  <c r="FA41" i="17"/>
  <c r="FB41" i="17"/>
  <c r="FC41" i="17"/>
  <c r="FD41" i="17"/>
  <c r="FE41" i="17"/>
  <c r="FF41" i="17"/>
  <c r="FG41" i="17"/>
  <c r="FH41" i="17"/>
  <c r="FI41" i="17"/>
  <c r="FJ41" i="17"/>
  <c r="FK41" i="17"/>
  <c r="FL41" i="17"/>
  <c r="EL42" i="17"/>
  <c r="EM42" i="17"/>
  <c r="EN42" i="17"/>
  <c r="EO42" i="17"/>
  <c r="EP42" i="17"/>
  <c r="EQ42" i="17"/>
  <c r="ER42" i="17"/>
  <c r="ES42" i="17"/>
  <c r="ET42" i="17"/>
  <c r="EU42" i="17"/>
  <c r="EV42" i="17"/>
  <c r="EW42" i="17"/>
  <c r="EX42" i="17"/>
  <c r="EY42" i="17"/>
  <c r="EZ42" i="17"/>
  <c r="FA42" i="17"/>
  <c r="FB42" i="17"/>
  <c r="FC42" i="17"/>
  <c r="FD42" i="17"/>
  <c r="FE42" i="17"/>
  <c r="FF42" i="17"/>
  <c r="FG42" i="17"/>
  <c r="FH42" i="17"/>
  <c r="FI42" i="17"/>
  <c r="FJ42" i="17"/>
  <c r="FK42" i="17"/>
  <c r="FL42" i="17"/>
  <c r="EL43" i="17"/>
  <c r="EM43" i="17"/>
  <c r="EN43" i="17"/>
  <c r="EO43" i="17"/>
  <c r="EP43" i="17"/>
  <c r="EQ43" i="17"/>
  <c r="ER43" i="17"/>
  <c r="FU43" i="17" s="1"/>
  <c r="ET43" i="17"/>
  <c r="EU43" i="17"/>
  <c r="EV43" i="17"/>
  <c r="EW43" i="17"/>
  <c r="EX43" i="17"/>
  <c r="EY43" i="17"/>
  <c r="EZ43" i="17"/>
  <c r="FA43" i="17"/>
  <c r="FB43" i="17"/>
  <c r="FC43" i="17"/>
  <c r="FD43" i="17"/>
  <c r="FE43" i="17"/>
  <c r="FF43" i="17"/>
  <c r="FG43" i="17"/>
  <c r="FH43" i="17"/>
  <c r="FI43" i="17"/>
  <c r="FJ43" i="17"/>
  <c r="FK43" i="17"/>
  <c r="FL43" i="17"/>
  <c r="EL44" i="17"/>
  <c r="EM44" i="17"/>
  <c r="EN44" i="17"/>
  <c r="EO44" i="17"/>
  <c r="EP44" i="17"/>
  <c r="EQ44" i="17"/>
  <c r="ER44" i="17"/>
  <c r="ES44" i="17"/>
  <c r="ET44" i="17"/>
  <c r="EU44" i="17"/>
  <c r="EV44" i="17"/>
  <c r="EW44" i="17"/>
  <c r="EX44" i="17"/>
  <c r="EY44" i="17"/>
  <c r="EZ44" i="17"/>
  <c r="FA44" i="17"/>
  <c r="FB44" i="17"/>
  <c r="FC44" i="17"/>
  <c r="FD44" i="17"/>
  <c r="FE44" i="17"/>
  <c r="FF44" i="17"/>
  <c r="FG44" i="17"/>
  <c r="FH44" i="17"/>
  <c r="FI44" i="17"/>
  <c r="FJ44" i="17"/>
  <c r="FK44" i="17"/>
  <c r="FL44" i="17"/>
  <c r="EL45" i="17"/>
  <c r="EM45" i="17"/>
  <c r="EN45" i="17"/>
  <c r="EO45" i="17"/>
  <c r="EP45" i="17"/>
  <c r="EQ45" i="17"/>
  <c r="ER45" i="17"/>
  <c r="ES45" i="17"/>
  <c r="ET45" i="17"/>
  <c r="EU45" i="17"/>
  <c r="EV45" i="17"/>
  <c r="EW45" i="17"/>
  <c r="EX45" i="17"/>
  <c r="EY45" i="17"/>
  <c r="EZ45" i="17"/>
  <c r="FA45" i="17"/>
  <c r="FB45" i="17"/>
  <c r="FC45" i="17"/>
  <c r="FD45" i="17"/>
  <c r="FE45" i="17"/>
  <c r="FF45" i="17"/>
  <c r="FG45" i="17"/>
  <c r="FH45" i="17"/>
  <c r="FI45" i="17"/>
  <c r="FJ45" i="17"/>
  <c r="FK45" i="17"/>
  <c r="FL45" i="17"/>
  <c r="EL46" i="17"/>
  <c r="EM46" i="17"/>
  <c r="EN46" i="17"/>
  <c r="EO46" i="17"/>
  <c r="EP46" i="17"/>
  <c r="EQ46" i="17"/>
  <c r="ER46" i="17"/>
  <c r="ES46" i="17"/>
  <c r="ET46" i="17"/>
  <c r="EU46" i="17"/>
  <c r="EV46" i="17"/>
  <c r="EW46" i="17"/>
  <c r="EX46" i="17"/>
  <c r="EY46" i="17"/>
  <c r="EZ46" i="17"/>
  <c r="FA46" i="17"/>
  <c r="FB46" i="17"/>
  <c r="FC46" i="17"/>
  <c r="FD46" i="17"/>
  <c r="FE46" i="17"/>
  <c r="FF46" i="17"/>
  <c r="FG46" i="17"/>
  <c r="FH46" i="17"/>
  <c r="FI46" i="17"/>
  <c r="FJ46" i="17"/>
  <c r="FK46" i="17"/>
  <c r="FL46" i="17"/>
  <c r="EL47" i="17"/>
  <c r="EM47" i="17"/>
  <c r="EN47" i="17"/>
  <c r="EO47" i="17"/>
  <c r="EP47" i="17"/>
  <c r="EQ47" i="17"/>
  <c r="ER47" i="17"/>
  <c r="ES47" i="17"/>
  <c r="ET47" i="17"/>
  <c r="EU47" i="17"/>
  <c r="EV47" i="17"/>
  <c r="EW47" i="17"/>
  <c r="EX47" i="17"/>
  <c r="EY47" i="17"/>
  <c r="EZ47" i="17"/>
  <c r="FA47" i="17"/>
  <c r="FB47" i="17"/>
  <c r="FC47" i="17"/>
  <c r="FD47" i="17"/>
  <c r="FE47" i="17"/>
  <c r="FF47" i="17"/>
  <c r="FG47" i="17"/>
  <c r="FH47" i="17"/>
  <c r="FI47" i="17"/>
  <c r="FJ47" i="17"/>
  <c r="FK47" i="17"/>
  <c r="FL47" i="17"/>
  <c r="EL48" i="17"/>
  <c r="EM48" i="17"/>
  <c r="EN48" i="17"/>
  <c r="EO48" i="17"/>
  <c r="EP48" i="17"/>
  <c r="EQ48" i="17"/>
  <c r="ER48" i="17"/>
  <c r="ES48" i="17"/>
  <c r="ET48" i="17"/>
  <c r="EU48" i="17"/>
  <c r="EV48" i="17"/>
  <c r="EW48" i="17"/>
  <c r="EX48" i="17"/>
  <c r="EY48" i="17"/>
  <c r="EZ48" i="17"/>
  <c r="FA48" i="17"/>
  <c r="FB48" i="17"/>
  <c r="FC48" i="17"/>
  <c r="FD48" i="17"/>
  <c r="FE48" i="17"/>
  <c r="FF48" i="17"/>
  <c r="FG48" i="17"/>
  <c r="FH48" i="17"/>
  <c r="FI48" i="17"/>
  <c r="FJ48" i="17"/>
  <c r="FK48" i="17"/>
  <c r="FL48" i="17"/>
  <c r="EL49" i="17"/>
  <c r="EM49" i="17"/>
  <c r="EN49" i="17"/>
  <c r="EO49" i="17"/>
  <c r="EP49" i="17"/>
  <c r="EQ49" i="17"/>
  <c r="ER49" i="17"/>
  <c r="ES49" i="17"/>
  <c r="ET49" i="17"/>
  <c r="EU49" i="17"/>
  <c r="EV49" i="17"/>
  <c r="EW49" i="17"/>
  <c r="EX49" i="17"/>
  <c r="EY49" i="17"/>
  <c r="EZ49" i="17"/>
  <c r="FA49" i="17"/>
  <c r="FB49" i="17"/>
  <c r="FC49" i="17"/>
  <c r="FD49" i="17"/>
  <c r="FE49" i="17"/>
  <c r="FF49" i="17"/>
  <c r="FG49" i="17"/>
  <c r="FH49" i="17"/>
  <c r="FI49" i="17"/>
  <c r="FJ49" i="17"/>
  <c r="FK49" i="17"/>
  <c r="FL49" i="17"/>
  <c r="EL50" i="17"/>
  <c r="EM50" i="17"/>
  <c r="EN50" i="17"/>
  <c r="EO50" i="17"/>
  <c r="EP50" i="17"/>
  <c r="EQ50" i="17"/>
  <c r="ER50" i="17"/>
  <c r="ES50" i="17"/>
  <c r="ET50" i="17"/>
  <c r="EU50" i="17"/>
  <c r="EV50" i="17"/>
  <c r="EW50" i="17"/>
  <c r="EX50" i="17"/>
  <c r="EY50" i="17"/>
  <c r="EZ50" i="17"/>
  <c r="FA50" i="17"/>
  <c r="FB50" i="17"/>
  <c r="FC50" i="17"/>
  <c r="FD50" i="17"/>
  <c r="FE50" i="17"/>
  <c r="FF50" i="17"/>
  <c r="FG50" i="17"/>
  <c r="FH50" i="17"/>
  <c r="FI50" i="17"/>
  <c r="FJ50" i="17"/>
  <c r="FK50" i="17"/>
  <c r="FL50" i="17"/>
  <c r="EL51" i="17"/>
  <c r="EM51" i="17"/>
  <c r="EN51" i="17"/>
  <c r="EO51" i="17"/>
  <c r="EP51" i="17"/>
  <c r="EQ51" i="17"/>
  <c r="ER51" i="17"/>
  <c r="ES51" i="17"/>
  <c r="ET51" i="17"/>
  <c r="EU51" i="17"/>
  <c r="EV51" i="17"/>
  <c r="EW51" i="17"/>
  <c r="EX51" i="17"/>
  <c r="EY51" i="17"/>
  <c r="EZ51" i="17"/>
  <c r="FA51" i="17"/>
  <c r="FB51" i="17"/>
  <c r="FC51" i="17"/>
  <c r="FD51" i="17"/>
  <c r="FE51" i="17"/>
  <c r="FF51" i="17"/>
  <c r="FG51" i="17"/>
  <c r="FH51" i="17"/>
  <c r="FI51" i="17"/>
  <c r="FJ51" i="17"/>
  <c r="FK51" i="17"/>
  <c r="FL51" i="17"/>
  <c r="EL52" i="17"/>
  <c r="EM52" i="17"/>
  <c r="EN52" i="17"/>
  <c r="EO52" i="17"/>
  <c r="EP52" i="17"/>
  <c r="EQ52" i="17"/>
  <c r="ER52" i="17"/>
  <c r="ES52" i="17"/>
  <c r="ET52" i="17"/>
  <c r="EU52" i="17"/>
  <c r="EV52" i="17"/>
  <c r="EW52" i="17"/>
  <c r="EX52" i="17"/>
  <c r="EY52" i="17"/>
  <c r="EZ52" i="17"/>
  <c r="FA52" i="17"/>
  <c r="FB52" i="17"/>
  <c r="FC52" i="17"/>
  <c r="FD52" i="17"/>
  <c r="FE52" i="17"/>
  <c r="FF52" i="17"/>
  <c r="FG52" i="17"/>
  <c r="FH52" i="17"/>
  <c r="FI52" i="17"/>
  <c r="FJ52" i="17"/>
  <c r="FK52" i="17"/>
  <c r="FL52" i="17"/>
  <c r="EL53" i="17"/>
  <c r="EM53" i="17"/>
  <c r="EN53" i="17"/>
  <c r="EO53" i="17"/>
  <c r="EP53" i="17"/>
  <c r="EQ53" i="17"/>
  <c r="ER53" i="17"/>
  <c r="ES53" i="17"/>
  <c r="ET53" i="17"/>
  <c r="EU53" i="17"/>
  <c r="EV53" i="17"/>
  <c r="EW53" i="17"/>
  <c r="EX53" i="17"/>
  <c r="EY53" i="17"/>
  <c r="EZ53" i="17"/>
  <c r="FA53" i="17"/>
  <c r="FB53" i="17"/>
  <c r="FC53" i="17"/>
  <c r="FD53" i="17"/>
  <c r="FE53" i="17"/>
  <c r="FF53" i="17"/>
  <c r="FG53" i="17"/>
  <c r="FH53" i="17"/>
  <c r="FI53" i="17"/>
  <c r="FJ53" i="17"/>
  <c r="FK53" i="17"/>
  <c r="FL53" i="17"/>
  <c r="EL54" i="17"/>
  <c r="EM54" i="17"/>
  <c r="EN54" i="17"/>
  <c r="EO54" i="17"/>
  <c r="EP54" i="17"/>
  <c r="EQ54" i="17"/>
  <c r="ER54" i="17"/>
  <c r="ES54" i="17"/>
  <c r="ET54" i="17"/>
  <c r="EU54" i="17"/>
  <c r="EV54" i="17"/>
  <c r="EW54" i="17"/>
  <c r="EX54" i="17"/>
  <c r="EY54" i="17"/>
  <c r="EZ54" i="17"/>
  <c r="FA54" i="17"/>
  <c r="FB54" i="17"/>
  <c r="FC54" i="17"/>
  <c r="FD54" i="17"/>
  <c r="FE54" i="17"/>
  <c r="FF54" i="17"/>
  <c r="FG54" i="17"/>
  <c r="FH54" i="17"/>
  <c r="FI54" i="17"/>
  <c r="FJ54" i="17"/>
  <c r="FK54" i="17"/>
  <c r="FL54" i="17"/>
  <c r="EL55" i="17"/>
  <c r="EM55" i="17"/>
  <c r="EN55" i="17"/>
  <c r="EO55" i="17"/>
  <c r="EP55" i="17"/>
  <c r="EQ55" i="17"/>
  <c r="ER55" i="17"/>
  <c r="ES55" i="17"/>
  <c r="ET55" i="17"/>
  <c r="EU55" i="17"/>
  <c r="EV55" i="17"/>
  <c r="EW55" i="17"/>
  <c r="EX55" i="17"/>
  <c r="EY55" i="17"/>
  <c r="EZ55" i="17"/>
  <c r="FA55" i="17"/>
  <c r="FB55" i="17"/>
  <c r="FC55" i="17"/>
  <c r="FD55" i="17"/>
  <c r="FE55" i="17"/>
  <c r="FF55" i="17"/>
  <c r="FG55" i="17"/>
  <c r="FH55" i="17"/>
  <c r="FI55" i="17"/>
  <c r="FJ55" i="17"/>
  <c r="FK55" i="17"/>
  <c r="FL55" i="17"/>
  <c r="EL56" i="17"/>
  <c r="EM56" i="17"/>
  <c r="EN56" i="17"/>
  <c r="EO56" i="17"/>
  <c r="EP56" i="17"/>
  <c r="EQ56" i="17"/>
  <c r="ER56" i="17"/>
  <c r="ES56" i="17"/>
  <c r="ET56" i="17"/>
  <c r="EU56" i="17"/>
  <c r="EV56" i="17"/>
  <c r="EW56" i="17"/>
  <c r="EX56" i="17"/>
  <c r="EY56" i="17"/>
  <c r="EZ56" i="17"/>
  <c r="FA56" i="17"/>
  <c r="FB56" i="17"/>
  <c r="FC56" i="17"/>
  <c r="FD56" i="17"/>
  <c r="FE56" i="17"/>
  <c r="FF56" i="17"/>
  <c r="FG56" i="17"/>
  <c r="FH56" i="17"/>
  <c r="FI56" i="17"/>
  <c r="FJ56" i="17"/>
  <c r="FK56" i="17"/>
  <c r="FL56" i="17"/>
  <c r="EL57" i="17"/>
  <c r="EM57" i="17"/>
  <c r="EN57" i="17"/>
  <c r="EO57" i="17"/>
  <c r="EP57" i="17"/>
  <c r="EQ57" i="17"/>
  <c r="ER57" i="17"/>
  <c r="ES57" i="17"/>
  <c r="ET57" i="17"/>
  <c r="EU57" i="17"/>
  <c r="EV57" i="17"/>
  <c r="EW57" i="17"/>
  <c r="EX57" i="17"/>
  <c r="EY57" i="17"/>
  <c r="EZ57" i="17"/>
  <c r="FA57" i="17"/>
  <c r="FB57" i="17"/>
  <c r="FC57" i="17"/>
  <c r="FD57" i="17"/>
  <c r="FE57" i="17"/>
  <c r="FF57" i="17"/>
  <c r="FG57" i="17"/>
  <c r="FH57" i="17"/>
  <c r="FI57" i="17"/>
  <c r="FJ57" i="17"/>
  <c r="FK57" i="17"/>
  <c r="FL57" i="17"/>
  <c r="EL58" i="17"/>
  <c r="EM58" i="17"/>
  <c r="EN58" i="17"/>
  <c r="EO58" i="17"/>
  <c r="EP58" i="17"/>
  <c r="EQ58" i="17"/>
  <c r="ER58" i="17"/>
  <c r="ES58" i="17"/>
  <c r="ET58" i="17"/>
  <c r="EU58" i="17"/>
  <c r="EV58" i="17"/>
  <c r="EW58" i="17"/>
  <c r="EX58" i="17"/>
  <c r="EY58" i="17"/>
  <c r="EZ58" i="17"/>
  <c r="FA58" i="17"/>
  <c r="FB58" i="17"/>
  <c r="FC58" i="17"/>
  <c r="FD58" i="17"/>
  <c r="FE58" i="17"/>
  <c r="FF58" i="17"/>
  <c r="FG58" i="17"/>
  <c r="FH58" i="17"/>
  <c r="FI58" i="17"/>
  <c r="FJ58" i="17"/>
  <c r="FK58" i="17"/>
  <c r="FL58" i="17"/>
  <c r="EL59" i="17"/>
  <c r="EM59" i="17"/>
  <c r="EN59" i="17"/>
  <c r="EO59" i="17"/>
  <c r="EP59" i="17"/>
  <c r="EQ59" i="17"/>
  <c r="ER59" i="17"/>
  <c r="ES59" i="17"/>
  <c r="ET59" i="17"/>
  <c r="EU59" i="17"/>
  <c r="EV59" i="17"/>
  <c r="EW59" i="17"/>
  <c r="EX59" i="17"/>
  <c r="EY59" i="17"/>
  <c r="EZ59" i="17"/>
  <c r="FA59" i="17"/>
  <c r="FB59" i="17"/>
  <c r="FC59" i="17"/>
  <c r="FD59" i="17"/>
  <c r="FE59" i="17"/>
  <c r="FF59" i="17"/>
  <c r="FG59" i="17"/>
  <c r="FH59" i="17"/>
  <c r="FI59" i="17"/>
  <c r="FJ59" i="17"/>
  <c r="FK59" i="17"/>
  <c r="FL59" i="17"/>
  <c r="EL60" i="17"/>
  <c r="EM60" i="17"/>
  <c r="EN60" i="17"/>
  <c r="EO60" i="17"/>
  <c r="EP60" i="17"/>
  <c r="EQ60" i="17"/>
  <c r="ER60" i="17"/>
  <c r="ES60" i="17"/>
  <c r="ET60" i="17"/>
  <c r="EU60" i="17"/>
  <c r="EV60" i="17"/>
  <c r="EW60" i="17"/>
  <c r="EX60" i="17"/>
  <c r="EY60" i="17"/>
  <c r="EZ60" i="17"/>
  <c r="FA60" i="17"/>
  <c r="FB60" i="17"/>
  <c r="FC60" i="17"/>
  <c r="FD60" i="17"/>
  <c r="FE60" i="17"/>
  <c r="FF60" i="17"/>
  <c r="FG60" i="17"/>
  <c r="FH60" i="17"/>
  <c r="FI60" i="17"/>
  <c r="FJ60" i="17"/>
  <c r="FK60" i="17"/>
  <c r="FL60" i="17"/>
  <c r="EL61" i="17"/>
  <c r="EM61" i="17"/>
  <c r="EN61" i="17"/>
  <c r="EO61" i="17"/>
  <c r="EP61" i="17"/>
  <c r="EQ61" i="17"/>
  <c r="ER61" i="17"/>
  <c r="ES61" i="17"/>
  <c r="ET61" i="17"/>
  <c r="EU61" i="17"/>
  <c r="EV61" i="17"/>
  <c r="EW61" i="17"/>
  <c r="EX61" i="17"/>
  <c r="EY61" i="17"/>
  <c r="EZ61" i="17"/>
  <c r="FA61" i="17"/>
  <c r="FB61" i="17"/>
  <c r="FC61" i="17"/>
  <c r="FD61" i="17"/>
  <c r="FE61" i="17"/>
  <c r="FF61" i="17"/>
  <c r="FG61" i="17"/>
  <c r="FH61" i="17"/>
  <c r="FI61" i="17"/>
  <c r="FJ61" i="17"/>
  <c r="FK61" i="17"/>
  <c r="FL61" i="17"/>
  <c r="EL62" i="17"/>
  <c r="EM62" i="17"/>
  <c r="EN62" i="17"/>
  <c r="EO62" i="17"/>
  <c r="EP62" i="17"/>
  <c r="EQ62" i="17"/>
  <c r="ER62" i="17"/>
  <c r="ES62" i="17"/>
  <c r="ET62" i="17"/>
  <c r="EU62" i="17"/>
  <c r="EV62" i="17"/>
  <c r="EW62" i="17"/>
  <c r="EX62" i="17"/>
  <c r="EY62" i="17"/>
  <c r="EZ62" i="17"/>
  <c r="FA62" i="17"/>
  <c r="FB62" i="17"/>
  <c r="FC62" i="17"/>
  <c r="FD62" i="17"/>
  <c r="FE62" i="17"/>
  <c r="FF62" i="17"/>
  <c r="FG62" i="17"/>
  <c r="FH62" i="17"/>
  <c r="FI62" i="17"/>
  <c r="FJ62" i="17"/>
  <c r="FK62" i="17"/>
  <c r="FL62" i="17"/>
  <c r="EL63" i="17"/>
  <c r="EM63" i="17"/>
  <c r="EN63" i="17"/>
  <c r="EO63" i="17"/>
  <c r="EP63" i="17"/>
  <c r="EQ63" i="17"/>
  <c r="ER63" i="17"/>
  <c r="ES63" i="17"/>
  <c r="ET63" i="17"/>
  <c r="EU63" i="17"/>
  <c r="EV63" i="17"/>
  <c r="EW63" i="17"/>
  <c r="EX63" i="17"/>
  <c r="EY63" i="17"/>
  <c r="EZ63" i="17"/>
  <c r="FA63" i="17"/>
  <c r="FB63" i="17"/>
  <c r="FC63" i="17"/>
  <c r="FD63" i="17"/>
  <c r="FE63" i="17"/>
  <c r="FF63" i="17"/>
  <c r="FG63" i="17"/>
  <c r="FH63" i="17"/>
  <c r="FI63" i="17"/>
  <c r="FJ63" i="17"/>
  <c r="FK63" i="17"/>
  <c r="FL63" i="17"/>
  <c r="EL64" i="17"/>
  <c r="EM64" i="17"/>
  <c r="EN64" i="17"/>
  <c r="EO64" i="17"/>
  <c r="EP64" i="17"/>
  <c r="EQ64" i="17"/>
  <c r="ER64" i="17"/>
  <c r="ES64" i="17"/>
  <c r="ET64" i="17"/>
  <c r="EU64" i="17"/>
  <c r="EV64" i="17"/>
  <c r="EW64" i="17"/>
  <c r="EX64" i="17"/>
  <c r="EY64" i="17"/>
  <c r="EZ64" i="17"/>
  <c r="FA64" i="17"/>
  <c r="FB64" i="17"/>
  <c r="FC64" i="17"/>
  <c r="FD64" i="17"/>
  <c r="FE64" i="17"/>
  <c r="FF64" i="17"/>
  <c r="FG64" i="17"/>
  <c r="FH64" i="17"/>
  <c r="FI64" i="17"/>
  <c r="FJ64" i="17"/>
  <c r="FK64" i="17"/>
  <c r="FL64" i="17"/>
  <c r="EL65" i="17"/>
  <c r="EM65" i="17"/>
  <c r="EN65" i="17"/>
  <c r="EO65" i="17"/>
  <c r="EP65" i="17"/>
  <c r="EQ65" i="17"/>
  <c r="ER65" i="17"/>
  <c r="ES65" i="17"/>
  <c r="ET65" i="17"/>
  <c r="EU65" i="17"/>
  <c r="EV65" i="17"/>
  <c r="EW65" i="17"/>
  <c r="EX65" i="17"/>
  <c r="EY65" i="17"/>
  <c r="EZ65" i="17"/>
  <c r="FA65" i="17"/>
  <c r="FB65" i="17"/>
  <c r="FC65" i="17"/>
  <c r="FD65" i="17"/>
  <c r="FE65" i="17"/>
  <c r="FF65" i="17"/>
  <c r="FG65" i="17"/>
  <c r="FH65" i="17"/>
  <c r="FI65" i="17"/>
  <c r="FJ65" i="17"/>
  <c r="FK65" i="17"/>
  <c r="FL65" i="17"/>
  <c r="EL66" i="17"/>
  <c r="EM66" i="17"/>
  <c r="EN66" i="17"/>
  <c r="EO66" i="17"/>
  <c r="EP66" i="17"/>
  <c r="EQ66" i="17"/>
  <c r="ER66" i="17"/>
  <c r="ES66" i="17"/>
  <c r="ET66" i="17"/>
  <c r="EU66" i="17"/>
  <c r="EV66" i="17"/>
  <c r="EW66" i="17"/>
  <c r="EX66" i="17"/>
  <c r="EY66" i="17"/>
  <c r="EZ66" i="17"/>
  <c r="FA66" i="17"/>
  <c r="FB66" i="17"/>
  <c r="FC66" i="17"/>
  <c r="FD66" i="17"/>
  <c r="FE66" i="17"/>
  <c r="FF66" i="17"/>
  <c r="FG66" i="17"/>
  <c r="FH66" i="17"/>
  <c r="FI66" i="17"/>
  <c r="FJ66" i="17"/>
  <c r="FK66" i="17"/>
  <c r="FL66" i="17"/>
  <c r="EL67" i="17"/>
  <c r="EM67" i="17"/>
  <c r="EN67" i="17"/>
  <c r="EO67" i="17"/>
  <c r="EP67" i="17"/>
  <c r="EQ67" i="17"/>
  <c r="ER67" i="17"/>
  <c r="ES67" i="17"/>
  <c r="ET67" i="17"/>
  <c r="EU67" i="17"/>
  <c r="EV67" i="17"/>
  <c r="EW67" i="17"/>
  <c r="EX67" i="17"/>
  <c r="EY67" i="17"/>
  <c r="EZ67" i="17"/>
  <c r="FA67" i="17"/>
  <c r="FB67" i="17"/>
  <c r="FC67" i="17"/>
  <c r="FD67" i="17"/>
  <c r="FE67" i="17"/>
  <c r="FF67" i="17"/>
  <c r="FG67" i="17"/>
  <c r="FH67" i="17"/>
  <c r="FI67" i="17"/>
  <c r="FJ67" i="17"/>
  <c r="FK67" i="17"/>
  <c r="FL67" i="17"/>
  <c r="EL91" i="17"/>
  <c r="EM91" i="17"/>
  <c r="EN91" i="17"/>
  <c r="EO91" i="17"/>
  <c r="EP91" i="17"/>
  <c r="EQ91" i="17"/>
  <c r="ER91" i="17"/>
  <c r="ES91" i="17"/>
  <c r="ET91" i="17"/>
  <c r="EU91" i="17"/>
  <c r="EV91" i="17"/>
  <c r="EW91" i="17"/>
  <c r="EX91" i="17"/>
  <c r="EY91" i="17"/>
  <c r="EZ91" i="17"/>
  <c r="FA91" i="17"/>
  <c r="FB91" i="17"/>
  <c r="FC91" i="17"/>
  <c r="FD91" i="17"/>
  <c r="FE91" i="17"/>
  <c r="FF91" i="17"/>
  <c r="FG91" i="17"/>
  <c r="FH91" i="17"/>
  <c r="FI91" i="17"/>
  <c r="FJ91" i="17"/>
  <c r="FK91" i="17"/>
  <c r="FL91" i="17"/>
  <c r="EL92" i="17"/>
  <c r="EM92" i="17"/>
  <c r="EN92" i="17"/>
  <c r="EO92" i="17"/>
  <c r="EP92" i="17"/>
  <c r="EQ92" i="17"/>
  <c r="ER92" i="17"/>
  <c r="ES92" i="17"/>
  <c r="ET92" i="17"/>
  <c r="EU92" i="17"/>
  <c r="EV92" i="17"/>
  <c r="EW92" i="17"/>
  <c r="EX92" i="17"/>
  <c r="EY92" i="17"/>
  <c r="EZ92" i="17"/>
  <c r="FA92" i="17"/>
  <c r="FB92" i="17"/>
  <c r="FC92" i="17"/>
  <c r="FD92" i="17"/>
  <c r="FE92" i="17"/>
  <c r="FF92" i="17"/>
  <c r="FG92" i="17"/>
  <c r="FH92" i="17"/>
  <c r="FI92" i="17"/>
  <c r="FJ92" i="17"/>
  <c r="FK92" i="17"/>
  <c r="FL92" i="17"/>
  <c r="EL93" i="17"/>
  <c r="EM93" i="17"/>
  <c r="EN93" i="17"/>
  <c r="EO93" i="17"/>
  <c r="EP93" i="17"/>
  <c r="EQ93" i="17"/>
  <c r="ER93" i="17"/>
  <c r="ES93" i="17"/>
  <c r="ET93" i="17"/>
  <c r="EU93" i="17"/>
  <c r="EV93" i="17"/>
  <c r="EW93" i="17"/>
  <c r="EX93" i="17"/>
  <c r="EY93" i="17"/>
  <c r="EZ93" i="17"/>
  <c r="FA93" i="17"/>
  <c r="FB93" i="17"/>
  <c r="FC93" i="17"/>
  <c r="FD93" i="17"/>
  <c r="FE93" i="17"/>
  <c r="FF93" i="17"/>
  <c r="FG93" i="17"/>
  <c r="FH93" i="17"/>
  <c r="FI93" i="17"/>
  <c r="FJ93" i="17"/>
  <c r="FK93" i="17"/>
  <c r="FL93" i="17"/>
  <c r="EL94" i="17"/>
  <c r="EM94" i="17"/>
  <c r="EN94" i="17"/>
  <c r="EO94" i="17"/>
  <c r="EP94" i="17"/>
  <c r="EQ94" i="17"/>
  <c r="ER94" i="17"/>
  <c r="ES94" i="17"/>
  <c r="ET94" i="17"/>
  <c r="EU94" i="17"/>
  <c r="EV94" i="17"/>
  <c r="EW94" i="17"/>
  <c r="EX94" i="17"/>
  <c r="EY94" i="17"/>
  <c r="EZ94" i="17"/>
  <c r="FA94" i="17"/>
  <c r="FB94" i="17"/>
  <c r="FC94" i="17"/>
  <c r="FD94" i="17"/>
  <c r="FE94" i="17"/>
  <c r="FF94" i="17"/>
  <c r="FG94" i="17"/>
  <c r="FH94" i="17"/>
  <c r="FI94" i="17"/>
  <c r="FJ94" i="17"/>
  <c r="FK94" i="17"/>
  <c r="FL94" i="17"/>
  <c r="EL95" i="17"/>
  <c r="EM95" i="17"/>
  <c r="EN95" i="17"/>
  <c r="EO95" i="17"/>
  <c r="EP95" i="17"/>
  <c r="EQ95" i="17"/>
  <c r="ER95" i="17"/>
  <c r="ES95" i="17"/>
  <c r="ET95" i="17"/>
  <c r="EU95" i="17"/>
  <c r="EV95" i="17"/>
  <c r="EW95" i="17"/>
  <c r="EX95" i="17"/>
  <c r="EY95" i="17"/>
  <c r="EZ95" i="17"/>
  <c r="FA95" i="17"/>
  <c r="FB95" i="17"/>
  <c r="FC95" i="17"/>
  <c r="FD95" i="17"/>
  <c r="FE95" i="17"/>
  <c r="FF95" i="17"/>
  <c r="FG95" i="17"/>
  <c r="FH95" i="17"/>
  <c r="FI95" i="17"/>
  <c r="FJ95" i="17"/>
  <c r="FK95" i="17"/>
  <c r="FL95" i="17"/>
  <c r="EL96" i="17"/>
  <c r="EM96" i="17"/>
  <c r="EN96" i="17"/>
  <c r="EO96" i="17"/>
  <c r="EP96" i="17"/>
  <c r="EQ96" i="17"/>
  <c r="ER96" i="17"/>
  <c r="ES96" i="17"/>
  <c r="ET96" i="17"/>
  <c r="EU96" i="17"/>
  <c r="EV96" i="17"/>
  <c r="EW96" i="17"/>
  <c r="EX96" i="17"/>
  <c r="EY96" i="17"/>
  <c r="EZ96" i="17"/>
  <c r="FA96" i="17"/>
  <c r="FB96" i="17"/>
  <c r="FC96" i="17"/>
  <c r="FD96" i="17"/>
  <c r="FE96" i="17"/>
  <c r="FF96" i="17"/>
  <c r="FG96" i="17"/>
  <c r="FH96" i="17"/>
  <c r="FI96" i="17"/>
  <c r="FJ96" i="17"/>
  <c r="FK96" i="17"/>
  <c r="FL96" i="17"/>
  <c r="EL97" i="17"/>
  <c r="EM97" i="17"/>
  <c r="EN97" i="17"/>
  <c r="EO97" i="17"/>
  <c r="EP97" i="17"/>
  <c r="EQ97" i="17"/>
  <c r="ER97" i="17"/>
  <c r="ES97" i="17"/>
  <c r="ET97" i="17"/>
  <c r="EU97" i="17"/>
  <c r="EV97" i="17"/>
  <c r="EW97" i="17"/>
  <c r="EX97" i="17"/>
  <c r="EY97" i="17"/>
  <c r="EZ97" i="17"/>
  <c r="FA97" i="17"/>
  <c r="FB97" i="17"/>
  <c r="FC97" i="17"/>
  <c r="FD97" i="17"/>
  <c r="FE97" i="17"/>
  <c r="FF97" i="17"/>
  <c r="FG97" i="17"/>
  <c r="FH97" i="17"/>
  <c r="FI97" i="17"/>
  <c r="FJ97" i="17"/>
  <c r="FK97" i="17"/>
  <c r="FL97" i="17"/>
  <c r="EL98" i="17"/>
  <c r="EM98" i="17"/>
  <c r="EN98" i="17"/>
  <c r="EO98" i="17"/>
  <c r="EP98" i="17"/>
  <c r="EQ98" i="17"/>
  <c r="ER98" i="17"/>
  <c r="ES98" i="17"/>
  <c r="ET98" i="17"/>
  <c r="EU98" i="17"/>
  <c r="EV98" i="17"/>
  <c r="EW98" i="17"/>
  <c r="EX98" i="17"/>
  <c r="EY98" i="17"/>
  <c r="EZ98" i="17"/>
  <c r="FA98" i="17"/>
  <c r="FB98" i="17"/>
  <c r="FC98" i="17"/>
  <c r="FD98" i="17"/>
  <c r="FE98" i="17"/>
  <c r="FF98" i="17"/>
  <c r="FG98" i="17"/>
  <c r="FH98" i="17"/>
  <c r="FI98" i="17"/>
  <c r="FJ98" i="17"/>
  <c r="FK98" i="17"/>
  <c r="FL98" i="17"/>
  <c r="EL99" i="17"/>
  <c r="EM99" i="17"/>
  <c r="EN99" i="17"/>
  <c r="EO99" i="17"/>
  <c r="EP99" i="17"/>
  <c r="EQ99" i="17"/>
  <c r="ER99" i="17"/>
  <c r="ES99" i="17"/>
  <c r="ET99" i="17"/>
  <c r="EU99" i="17"/>
  <c r="EV99" i="17"/>
  <c r="EW99" i="17"/>
  <c r="EX99" i="17"/>
  <c r="EY99" i="17"/>
  <c r="EZ99" i="17"/>
  <c r="FA99" i="17"/>
  <c r="FB99" i="17"/>
  <c r="FC99" i="17"/>
  <c r="FD99" i="17"/>
  <c r="FE99" i="17"/>
  <c r="FF99" i="17"/>
  <c r="FG99" i="17"/>
  <c r="FH99" i="17"/>
  <c r="FI99" i="17"/>
  <c r="FJ99" i="17"/>
  <c r="FK99" i="17"/>
  <c r="FL99" i="17"/>
  <c r="EL100" i="17"/>
  <c r="EM100" i="17"/>
  <c r="EN100" i="17"/>
  <c r="EO100" i="17"/>
  <c r="EP100" i="17"/>
  <c r="EQ100" i="17"/>
  <c r="ER100" i="17"/>
  <c r="ES100" i="17"/>
  <c r="ET100" i="17"/>
  <c r="EU100" i="17"/>
  <c r="EV100" i="17"/>
  <c r="EW100" i="17"/>
  <c r="EX100" i="17"/>
  <c r="EY100" i="17"/>
  <c r="EZ100" i="17"/>
  <c r="FA100" i="17"/>
  <c r="FB100" i="17"/>
  <c r="FC100" i="17"/>
  <c r="FD100" i="17"/>
  <c r="FE100" i="17"/>
  <c r="FF100" i="17"/>
  <c r="FG100" i="17"/>
  <c r="FH100" i="17"/>
  <c r="FI100" i="17"/>
  <c r="FJ100" i="17"/>
  <c r="FK100" i="17"/>
  <c r="FL100" i="17"/>
  <c r="EL101" i="17"/>
  <c r="EM101" i="17"/>
  <c r="EN101" i="17"/>
  <c r="EO101" i="17"/>
  <c r="EP101" i="17"/>
  <c r="EQ101" i="17"/>
  <c r="ER101" i="17"/>
  <c r="ES101" i="17"/>
  <c r="ET101" i="17"/>
  <c r="EU101" i="17"/>
  <c r="EV101" i="17"/>
  <c r="EW101" i="17"/>
  <c r="EX101" i="17"/>
  <c r="EY101" i="17"/>
  <c r="EZ101" i="17"/>
  <c r="FA101" i="17"/>
  <c r="FB101" i="17"/>
  <c r="FC101" i="17"/>
  <c r="FD101" i="17"/>
  <c r="FE101" i="17"/>
  <c r="FF101" i="17"/>
  <c r="FG101" i="17"/>
  <c r="FH101" i="17"/>
  <c r="FI101" i="17"/>
  <c r="FJ101" i="17"/>
  <c r="FK101" i="17"/>
  <c r="FL101" i="17"/>
  <c r="EL102" i="17"/>
  <c r="EM102" i="17"/>
  <c r="EN102" i="17"/>
  <c r="EO102" i="17"/>
  <c r="EP102" i="17"/>
  <c r="EQ102" i="17"/>
  <c r="ER102" i="17"/>
  <c r="ES102" i="17"/>
  <c r="ET102" i="17"/>
  <c r="EU102" i="17"/>
  <c r="EV102" i="17"/>
  <c r="EW102" i="17"/>
  <c r="EX102" i="17"/>
  <c r="EY102" i="17"/>
  <c r="EZ102" i="17"/>
  <c r="FA102" i="17"/>
  <c r="FB102" i="17"/>
  <c r="FC102" i="17"/>
  <c r="FD102" i="17"/>
  <c r="FE102" i="17"/>
  <c r="FF102" i="17"/>
  <c r="FG102" i="17"/>
  <c r="FH102" i="17"/>
  <c r="FI102" i="17"/>
  <c r="FJ102" i="17"/>
  <c r="FK102" i="17"/>
  <c r="FL102" i="17"/>
  <c r="EL103" i="17"/>
  <c r="EM103" i="17"/>
  <c r="EN103" i="17"/>
  <c r="EO103" i="17"/>
  <c r="EP103" i="17"/>
  <c r="EQ103" i="17"/>
  <c r="ER103" i="17"/>
  <c r="ES103" i="17"/>
  <c r="ET103" i="17"/>
  <c r="EU103" i="17"/>
  <c r="EV103" i="17"/>
  <c r="EW103" i="17"/>
  <c r="EX103" i="17"/>
  <c r="EY103" i="17"/>
  <c r="EZ103" i="17"/>
  <c r="FA103" i="17"/>
  <c r="FB103" i="17"/>
  <c r="FC103" i="17"/>
  <c r="FD103" i="17"/>
  <c r="FE103" i="17"/>
  <c r="FF103" i="17"/>
  <c r="FG103" i="17"/>
  <c r="FH103" i="17"/>
  <c r="FI103" i="17"/>
  <c r="FJ103" i="17"/>
  <c r="FK103" i="17"/>
  <c r="FL103" i="17"/>
  <c r="EL104" i="17"/>
  <c r="EM104" i="17"/>
  <c r="EN104" i="17"/>
  <c r="EO104" i="17"/>
  <c r="EP104" i="17"/>
  <c r="EQ104" i="17"/>
  <c r="ER104" i="17"/>
  <c r="ES104" i="17"/>
  <c r="ET104" i="17"/>
  <c r="EU104" i="17"/>
  <c r="EV104" i="17"/>
  <c r="EW104" i="17"/>
  <c r="EX104" i="17"/>
  <c r="EY104" i="17"/>
  <c r="EZ104" i="17"/>
  <c r="FA104" i="17"/>
  <c r="FB104" i="17"/>
  <c r="FC104" i="17"/>
  <c r="FD104" i="17"/>
  <c r="FE104" i="17"/>
  <c r="FF104" i="17"/>
  <c r="FG104" i="17"/>
  <c r="FH104" i="17"/>
  <c r="FI104" i="17"/>
  <c r="FJ104" i="17"/>
  <c r="FK104" i="17"/>
  <c r="FL104" i="17"/>
  <c r="EL107" i="17"/>
  <c r="EM107" i="17"/>
  <c r="EN107" i="17"/>
  <c r="EO107" i="17"/>
  <c r="EP107" i="17"/>
  <c r="EQ107" i="17"/>
  <c r="ER107" i="17"/>
  <c r="ES107" i="17"/>
  <c r="ET107" i="17"/>
  <c r="EU107" i="17"/>
  <c r="EV107" i="17"/>
  <c r="EW107" i="17"/>
  <c r="EX107" i="17"/>
  <c r="EY107" i="17"/>
  <c r="EZ107" i="17"/>
  <c r="FA107" i="17"/>
  <c r="FB107" i="17"/>
  <c r="FC107" i="17"/>
  <c r="FD107" i="17"/>
  <c r="FE107" i="17"/>
  <c r="FF107" i="17"/>
  <c r="FG107" i="17"/>
  <c r="FH107" i="17"/>
  <c r="FI107" i="17"/>
  <c r="FJ107" i="17"/>
  <c r="FK107" i="17"/>
  <c r="FL107" i="17"/>
  <c r="EL108" i="17"/>
  <c r="EM108" i="17"/>
  <c r="EN108" i="17"/>
  <c r="EO108" i="17"/>
  <c r="EP108" i="17"/>
  <c r="EQ108" i="17"/>
  <c r="ER108" i="17"/>
  <c r="ES108" i="17"/>
  <c r="ET108" i="17"/>
  <c r="EU108" i="17"/>
  <c r="EV108" i="17"/>
  <c r="EW108" i="17"/>
  <c r="EX108" i="17"/>
  <c r="EY108" i="17"/>
  <c r="EZ108" i="17"/>
  <c r="FA108" i="17"/>
  <c r="FB108" i="17"/>
  <c r="FC108" i="17"/>
  <c r="FD108" i="17"/>
  <c r="FE108" i="17"/>
  <c r="FF108" i="17"/>
  <c r="FG108" i="17"/>
  <c r="FH108" i="17"/>
  <c r="FI108" i="17"/>
  <c r="FJ108" i="17"/>
  <c r="FK108" i="17"/>
  <c r="FL108" i="17"/>
  <c r="EL109" i="17"/>
  <c r="EM109" i="17"/>
  <c r="EN109" i="17"/>
  <c r="EO109" i="17"/>
  <c r="EP109" i="17"/>
  <c r="EQ109" i="17"/>
  <c r="ER109" i="17"/>
  <c r="ES109" i="17"/>
  <c r="ET109" i="17"/>
  <c r="EU109" i="17"/>
  <c r="EV109" i="17"/>
  <c r="EW109" i="17"/>
  <c r="EX109" i="17"/>
  <c r="EY109" i="17"/>
  <c r="EZ109" i="17"/>
  <c r="FA109" i="17"/>
  <c r="FB109" i="17"/>
  <c r="FC109" i="17"/>
  <c r="FD109" i="17"/>
  <c r="FE109" i="17"/>
  <c r="FF109" i="17"/>
  <c r="FG109" i="17"/>
  <c r="FH109" i="17"/>
  <c r="FI109" i="17"/>
  <c r="FJ109" i="17"/>
  <c r="FK109" i="17"/>
  <c r="FL109" i="17"/>
  <c r="EL110" i="17"/>
  <c r="EM110" i="17"/>
  <c r="EN110" i="17"/>
  <c r="EO110" i="17"/>
  <c r="EP110" i="17"/>
  <c r="EQ110" i="17"/>
  <c r="ER110" i="17"/>
  <c r="ES110" i="17"/>
  <c r="ET110" i="17"/>
  <c r="EU110" i="17"/>
  <c r="EV110" i="17"/>
  <c r="EW110" i="17"/>
  <c r="EX110" i="17"/>
  <c r="EY110" i="17"/>
  <c r="EZ110" i="17"/>
  <c r="FA110" i="17"/>
  <c r="FB110" i="17"/>
  <c r="FC110" i="17"/>
  <c r="FD110" i="17"/>
  <c r="FE110" i="17"/>
  <c r="FF110" i="17"/>
  <c r="FG110" i="17"/>
  <c r="FH110" i="17"/>
  <c r="FI110" i="17"/>
  <c r="FJ110" i="17"/>
  <c r="FK110" i="17"/>
  <c r="FL110" i="17"/>
  <c r="EL111" i="17"/>
  <c r="EM111" i="17"/>
  <c r="EN111" i="17"/>
  <c r="EO111" i="17"/>
  <c r="EP111" i="17"/>
  <c r="EQ111" i="17"/>
  <c r="ER111" i="17"/>
  <c r="ES111" i="17"/>
  <c r="ET111" i="17"/>
  <c r="EU111" i="17"/>
  <c r="EV111" i="17"/>
  <c r="EW111" i="17"/>
  <c r="EX111" i="17"/>
  <c r="EY111" i="17"/>
  <c r="EZ111" i="17"/>
  <c r="FA111" i="17"/>
  <c r="FB111" i="17"/>
  <c r="FC111" i="17"/>
  <c r="FD111" i="17"/>
  <c r="FE111" i="17"/>
  <c r="FF111" i="17"/>
  <c r="FG111" i="17"/>
  <c r="FH111" i="17"/>
  <c r="FI111" i="17"/>
  <c r="FJ111" i="17"/>
  <c r="FK111" i="17"/>
  <c r="FL111" i="17"/>
  <c r="EL112" i="17"/>
  <c r="EM112" i="17"/>
  <c r="EN112" i="17"/>
  <c r="EO112" i="17"/>
  <c r="EP112" i="17"/>
  <c r="EQ112" i="17"/>
  <c r="ER112" i="17"/>
  <c r="ES112" i="17"/>
  <c r="ET112" i="17"/>
  <c r="EU112" i="17"/>
  <c r="EV112" i="17"/>
  <c r="EW112" i="17"/>
  <c r="EX112" i="17"/>
  <c r="EY112" i="17"/>
  <c r="EZ112" i="17"/>
  <c r="FA112" i="17"/>
  <c r="FB112" i="17"/>
  <c r="FC112" i="17"/>
  <c r="FD112" i="17"/>
  <c r="FE112" i="17"/>
  <c r="FF112" i="17"/>
  <c r="FG112" i="17"/>
  <c r="FH112" i="17"/>
  <c r="FI112" i="17"/>
  <c r="FJ112" i="17"/>
  <c r="FK112" i="17"/>
  <c r="FL112" i="17"/>
  <c r="EL113" i="17"/>
  <c r="EM113" i="17"/>
  <c r="EN113" i="17"/>
  <c r="EO113" i="17"/>
  <c r="EP113" i="17"/>
  <c r="EQ113" i="17"/>
  <c r="ER113" i="17"/>
  <c r="ES113" i="17"/>
  <c r="ET113" i="17"/>
  <c r="EU113" i="17"/>
  <c r="EV113" i="17"/>
  <c r="EW113" i="17"/>
  <c r="EX113" i="17"/>
  <c r="EY113" i="17"/>
  <c r="EZ113" i="17"/>
  <c r="FA113" i="17"/>
  <c r="FB113" i="17"/>
  <c r="FC113" i="17"/>
  <c r="FD113" i="17"/>
  <c r="FE113" i="17"/>
  <c r="FF113" i="17"/>
  <c r="FG113" i="17"/>
  <c r="FH113" i="17"/>
  <c r="FI113" i="17"/>
  <c r="FJ113" i="17"/>
  <c r="FK113" i="17"/>
  <c r="FL113" i="17"/>
  <c r="EL114" i="17"/>
  <c r="EM114" i="17"/>
  <c r="EN114" i="17"/>
  <c r="EO114" i="17"/>
  <c r="EP114" i="17"/>
  <c r="EQ114" i="17"/>
  <c r="ER114" i="17"/>
  <c r="ES114" i="17"/>
  <c r="ET114" i="17"/>
  <c r="EU114" i="17"/>
  <c r="EV114" i="17"/>
  <c r="EW114" i="17"/>
  <c r="EX114" i="17"/>
  <c r="EY114" i="17"/>
  <c r="EZ114" i="17"/>
  <c r="FA114" i="17"/>
  <c r="FB114" i="17"/>
  <c r="FC114" i="17"/>
  <c r="FD114" i="17"/>
  <c r="FE114" i="17"/>
  <c r="FF114" i="17"/>
  <c r="FG114" i="17"/>
  <c r="FH114" i="17"/>
  <c r="FI114" i="17"/>
  <c r="FJ114" i="17"/>
  <c r="FK114" i="17"/>
  <c r="FL114" i="17"/>
  <c r="EL115" i="17"/>
  <c r="EM115" i="17"/>
  <c r="EN115" i="17"/>
  <c r="EO115" i="17"/>
  <c r="EP115" i="17"/>
  <c r="EQ115" i="17"/>
  <c r="ER115" i="17"/>
  <c r="ES115" i="17"/>
  <c r="ET115" i="17"/>
  <c r="EU115" i="17"/>
  <c r="EV115" i="17"/>
  <c r="EW115" i="17"/>
  <c r="EX115" i="17"/>
  <c r="EY115" i="17"/>
  <c r="EZ115" i="17"/>
  <c r="FA115" i="17"/>
  <c r="FB115" i="17"/>
  <c r="FC115" i="17"/>
  <c r="FD115" i="17"/>
  <c r="FE115" i="17"/>
  <c r="FF115" i="17"/>
  <c r="FG115" i="17"/>
  <c r="FH115" i="17"/>
  <c r="FI115" i="17"/>
  <c r="FJ115" i="17"/>
  <c r="FK115" i="17"/>
  <c r="FL115" i="17"/>
  <c r="EL116" i="17"/>
  <c r="EM116" i="17"/>
  <c r="EN116" i="17"/>
  <c r="EO116" i="17"/>
  <c r="EP116" i="17"/>
  <c r="EQ116" i="17"/>
  <c r="ER116" i="17"/>
  <c r="ES116" i="17"/>
  <c r="ET116" i="17"/>
  <c r="EU116" i="17"/>
  <c r="EV116" i="17"/>
  <c r="EW116" i="17"/>
  <c r="EX116" i="17"/>
  <c r="EY116" i="17"/>
  <c r="EZ116" i="17"/>
  <c r="FA116" i="17"/>
  <c r="FB116" i="17"/>
  <c r="FC116" i="17"/>
  <c r="FD116" i="17"/>
  <c r="FE116" i="17"/>
  <c r="FF116" i="17"/>
  <c r="FG116" i="17"/>
  <c r="FH116" i="17"/>
  <c r="FI116" i="17"/>
  <c r="FJ116" i="17"/>
  <c r="FK116" i="17"/>
  <c r="FL116" i="17"/>
  <c r="EL117" i="17"/>
  <c r="EM117" i="17"/>
  <c r="EN117" i="17"/>
  <c r="EO117" i="17"/>
  <c r="EP117" i="17"/>
  <c r="EQ117" i="17"/>
  <c r="ER117" i="17"/>
  <c r="ES117" i="17"/>
  <c r="ET117" i="17"/>
  <c r="EU117" i="17"/>
  <c r="EV117" i="17"/>
  <c r="EW117" i="17"/>
  <c r="EX117" i="17"/>
  <c r="EY117" i="17"/>
  <c r="EZ117" i="17"/>
  <c r="FA117" i="17"/>
  <c r="FB117" i="17"/>
  <c r="FC117" i="17"/>
  <c r="FD117" i="17"/>
  <c r="FE117" i="17"/>
  <c r="FF117" i="17"/>
  <c r="FG117" i="17"/>
  <c r="FH117" i="17"/>
  <c r="FI117" i="17"/>
  <c r="FJ117" i="17"/>
  <c r="FK117" i="17"/>
  <c r="FL117" i="17"/>
  <c r="EL118" i="17"/>
  <c r="EM118" i="17"/>
  <c r="EN118" i="17"/>
  <c r="EO118" i="17"/>
  <c r="EP118" i="17"/>
  <c r="EQ118" i="17"/>
  <c r="ER118" i="17"/>
  <c r="ES118" i="17"/>
  <c r="ET118" i="17"/>
  <c r="EU118" i="17"/>
  <c r="EV118" i="17"/>
  <c r="EW118" i="17"/>
  <c r="EX118" i="17"/>
  <c r="EY118" i="17"/>
  <c r="EZ118" i="17"/>
  <c r="FA118" i="17"/>
  <c r="FB118" i="17"/>
  <c r="FC118" i="17"/>
  <c r="FD118" i="17"/>
  <c r="FE118" i="17"/>
  <c r="FF118" i="17"/>
  <c r="FG118" i="17"/>
  <c r="FH118" i="17"/>
  <c r="FI118" i="17"/>
  <c r="FJ118" i="17"/>
  <c r="FK118" i="17"/>
  <c r="FL118" i="17"/>
  <c r="EL119" i="17"/>
  <c r="EM119" i="17"/>
  <c r="EN119" i="17"/>
  <c r="EO119" i="17"/>
  <c r="EP119" i="17"/>
  <c r="EQ119" i="17"/>
  <c r="ER119" i="17"/>
  <c r="ES119" i="17"/>
  <c r="ET119" i="17"/>
  <c r="EU119" i="17"/>
  <c r="EV119" i="17"/>
  <c r="EW119" i="17"/>
  <c r="EX119" i="17"/>
  <c r="EY119" i="17"/>
  <c r="EZ119" i="17"/>
  <c r="FA119" i="17"/>
  <c r="FB119" i="17"/>
  <c r="FC119" i="17"/>
  <c r="FD119" i="17"/>
  <c r="FE119" i="17"/>
  <c r="FF119" i="17"/>
  <c r="FG119" i="17"/>
  <c r="FH119" i="17"/>
  <c r="FI119" i="17"/>
  <c r="FJ119" i="17"/>
  <c r="FK119" i="17"/>
  <c r="FL119" i="17"/>
  <c r="EL120" i="17"/>
  <c r="EM120" i="17"/>
  <c r="EN120" i="17"/>
  <c r="EO120" i="17"/>
  <c r="EP120" i="17"/>
  <c r="EQ120" i="17"/>
  <c r="ER120" i="17"/>
  <c r="ES120" i="17"/>
  <c r="ET120" i="17"/>
  <c r="EU120" i="17"/>
  <c r="EV120" i="17"/>
  <c r="EW120" i="17"/>
  <c r="EX120" i="17"/>
  <c r="EY120" i="17"/>
  <c r="EZ120" i="17"/>
  <c r="FA120" i="17"/>
  <c r="FB120" i="17"/>
  <c r="FC120" i="17"/>
  <c r="FD120" i="17"/>
  <c r="FE120" i="17"/>
  <c r="FF120" i="17"/>
  <c r="FG120" i="17"/>
  <c r="FH120" i="17"/>
  <c r="FI120" i="17"/>
  <c r="FJ120" i="17"/>
  <c r="FK120" i="17"/>
  <c r="FL120" i="17"/>
  <c r="EL121" i="17"/>
  <c r="EM121" i="17"/>
  <c r="EN121" i="17"/>
  <c r="EO121" i="17"/>
  <c r="EP121" i="17"/>
  <c r="EQ121" i="17"/>
  <c r="ER121" i="17"/>
  <c r="ES121" i="17"/>
  <c r="ET121" i="17"/>
  <c r="EU121" i="17"/>
  <c r="EV121" i="17"/>
  <c r="EW121" i="17"/>
  <c r="EX121" i="17"/>
  <c r="EY121" i="17"/>
  <c r="EZ121" i="17"/>
  <c r="FA121" i="17"/>
  <c r="FB121" i="17"/>
  <c r="FC121" i="17"/>
  <c r="FD121" i="17"/>
  <c r="FE121" i="17"/>
  <c r="FF121" i="17"/>
  <c r="FG121" i="17"/>
  <c r="FH121" i="17"/>
  <c r="FI121" i="17"/>
  <c r="FJ121" i="17"/>
  <c r="FK121" i="17"/>
  <c r="FL121" i="17"/>
  <c r="EL122" i="17"/>
  <c r="EM122" i="17"/>
  <c r="EN122" i="17"/>
  <c r="EO122" i="17"/>
  <c r="EP122" i="17"/>
  <c r="EQ122" i="17"/>
  <c r="ER122" i="17"/>
  <c r="ES122" i="17"/>
  <c r="ET122" i="17"/>
  <c r="EU122" i="17"/>
  <c r="EV122" i="17"/>
  <c r="EW122" i="17"/>
  <c r="EX122" i="17"/>
  <c r="EY122" i="17"/>
  <c r="EZ122" i="17"/>
  <c r="FA122" i="17"/>
  <c r="FB122" i="17"/>
  <c r="FC122" i="17"/>
  <c r="FD122" i="17"/>
  <c r="FE122" i="17"/>
  <c r="FF122" i="17"/>
  <c r="FG122" i="17"/>
  <c r="FH122" i="17"/>
  <c r="FI122" i="17"/>
  <c r="FJ122" i="17"/>
  <c r="FK122" i="17"/>
  <c r="FL122" i="17"/>
  <c r="EL123" i="17"/>
  <c r="EM123" i="17"/>
  <c r="EN123" i="17"/>
  <c r="EO123" i="17"/>
  <c r="EP123" i="17"/>
  <c r="EQ123" i="17"/>
  <c r="ER123" i="17"/>
  <c r="ES123" i="17"/>
  <c r="ET123" i="17"/>
  <c r="EU123" i="17"/>
  <c r="EV123" i="17"/>
  <c r="EW123" i="17"/>
  <c r="EX123" i="17"/>
  <c r="EY123" i="17"/>
  <c r="EZ123" i="17"/>
  <c r="FA123" i="17"/>
  <c r="FB123" i="17"/>
  <c r="FC123" i="17"/>
  <c r="FD123" i="17"/>
  <c r="FE123" i="17"/>
  <c r="FF123" i="17"/>
  <c r="FG123" i="17"/>
  <c r="FH123" i="17"/>
  <c r="FI123" i="17"/>
  <c r="FJ123" i="17"/>
  <c r="FK123" i="17"/>
  <c r="FL123" i="17"/>
  <c r="EL124" i="17"/>
  <c r="EM124" i="17"/>
  <c r="EN124" i="17"/>
  <c r="EO124" i="17"/>
  <c r="EP124" i="17"/>
  <c r="EQ124" i="17"/>
  <c r="ER124" i="17"/>
  <c r="ES124" i="17"/>
  <c r="ET124" i="17"/>
  <c r="EU124" i="17"/>
  <c r="EV124" i="17"/>
  <c r="EW124" i="17"/>
  <c r="EX124" i="17"/>
  <c r="EY124" i="17"/>
  <c r="EZ124" i="17"/>
  <c r="FA124" i="17"/>
  <c r="FB124" i="17"/>
  <c r="FC124" i="17"/>
  <c r="FD124" i="17"/>
  <c r="FE124" i="17"/>
  <c r="FF124" i="17"/>
  <c r="FG124" i="17"/>
  <c r="FH124" i="17"/>
  <c r="FI124" i="17"/>
  <c r="FJ124" i="17"/>
  <c r="FK124" i="17"/>
  <c r="FL124" i="17"/>
  <c r="EL125" i="17"/>
  <c r="EM125" i="17"/>
  <c r="EN125" i="17"/>
  <c r="EO125" i="17"/>
  <c r="EP125" i="17"/>
  <c r="EQ125" i="17"/>
  <c r="ER125" i="17"/>
  <c r="ES125" i="17"/>
  <c r="ET125" i="17"/>
  <c r="EU125" i="17"/>
  <c r="EV125" i="17"/>
  <c r="EW125" i="17"/>
  <c r="EX125" i="17"/>
  <c r="EY125" i="17"/>
  <c r="EZ125" i="17"/>
  <c r="FA125" i="17"/>
  <c r="FB125" i="17"/>
  <c r="FC125" i="17"/>
  <c r="FD125" i="17"/>
  <c r="FE125" i="17"/>
  <c r="FF125" i="17"/>
  <c r="FG125" i="17"/>
  <c r="FH125" i="17"/>
  <c r="FI125" i="17"/>
  <c r="FJ125" i="17"/>
  <c r="FK125" i="17"/>
  <c r="FL125" i="17"/>
  <c r="EL126" i="17"/>
  <c r="EM126" i="17"/>
  <c r="EN126" i="17"/>
  <c r="EO126" i="17"/>
  <c r="EP126" i="17"/>
  <c r="EQ126" i="17"/>
  <c r="ER126" i="17"/>
  <c r="ES126" i="17"/>
  <c r="ET126" i="17"/>
  <c r="EU126" i="17"/>
  <c r="EV126" i="17"/>
  <c r="EW126" i="17"/>
  <c r="EX126" i="17"/>
  <c r="EY126" i="17"/>
  <c r="EZ126" i="17"/>
  <c r="FA126" i="17"/>
  <c r="FB126" i="17"/>
  <c r="FC126" i="17"/>
  <c r="FD126" i="17"/>
  <c r="FE126" i="17"/>
  <c r="FF126" i="17"/>
  <c r="FG126" i="17"/>
  <c r="FH126" i="17"/>
  <c r="FI126" i="17"/>
  <c r="FJ126" i="17"/>
  <c r="FK126" i="17"/>
  <c r="FL126" i="17"/>
  <c r="EL127" i="17"/>
  <c r="EM127" i="17"/>
  <c r="EN127" i="17"/>
  <c r="EO127" i="17"/>
  <c r="EP127" i="17"/>
  <c r="EQ127" i="17"/>
  <c r="ER127" i="17"/>
  <c r="ES127" i="17"/>
  <c r="ET127" i="17"/>
  <c r="EU127" i="17"/>
  <c r="EV127" i="17"/>
  <c r="EW127" i="17"/>
  <c r="EX127" i="17"/>
  <c r="EY127" i="17"/>
  <c r="EZ127" i="17"/>
  <c r="FA127" i="17"/>
  <c r="FB127" i="17"/>
  <c r="FC127" i="17"/>
  <c r="FD127" i="17"/>
  <c r="FE127" i="17"/>
  <c r="FF127" i="17"/>
  <c r="FG127" i="17"/>
  <c r="FH127" i="17"/>
  <c r="FI127" i="17"/>
  <c r="FJ127" i="17"/>
  <c r="FK127" i="17"/>
  <c r="FL127" i="17"/>
  <c r="EL128" i="17"/>
  <c r="EM128" i="17"/>
  <c r="EN128" i="17"/>
  <c r="EO128" i="17"/>
  <c r="EP128" i="17"/>
  <c r="EQ128" i="17"/>
  <c r="ER128" i="17"/>
  <c r="ES128" i="17"/>
  <c r="ET128" i="17"/>
  <c r="EU128" i="17"/>
  <c r="EV128" i="17"/>
  <c r="EW128" i="17"/>
  <c r="EX128" i="17"/>
  <c r="EY128" i="17"/>
  <c r="EZ128" i="17"/>
  <c r="FA128" i="17"/>
  <c r="FB128" i="17"/>
  <c r="FC128" i="17"/>
  <c r="FD128" i="17"/>
  <c r="FE128" i="17"/>
  <c r="FF128" i="17"/>
  <c r="FG128" i="17"/>
  <c r="FH128" i="17"/>
  <c r="FI128" i="17"/>
  <c r="FJ128" i="17"/>
  <c r="FK128" i="17"/>
  <c r="FL128" i="17"/>
  <c r="EL129" i="17"/>
  <c r="EM129" i="17"/>
  <c r="EN129" i="17"/>
  <c r="EO129" i="17"/>
  <c r="EP129" i="17"/>
  <c r="EQ129" i="17"/>
  <c r="ER129" i="17"/>
  <c r="ES129" i="17"/>
  <c r="ET129" i="17"/>
  <c r="EU129" i="17"/>
  <c r="EV129" i="17"/>
  <c r="EW129" i="17"/>
  <c r="EX129" i="17"/>
  <c r="EY129" i="17"/>
  <c r="EZ129" i="17"/>
  <c r="FA129" i="17"/>
  <c r="FB129" i="17"/>
  <c r="FC129" i="17"/>
  <c r="FD129" i="17"/>
  <c r="FE129" i="17"/>
  <c r="FF129" i="17"/>
  <c r="FG129" i="17"/>
  <c r="FH129" i="17"/>
  <c r="FI129" i="17"/>
  <c r="FJ129" i="17"/>
  <c r="FK129" i="17"/>
  <c r="FL129" i="17"/>
  <c r="EL130" i="17"/>
  <c r="EM130" i="17"/>
  <c r="EN130" i="17"/>
  <c r="EO130" i="17"/>
  <c r="EP130" i="17"/>
  <c r="EQ130" i="17"/>
  <c r="ER130" i="17"/>
  <c r="ES130" i="17"/>
  <c r="ET130" i="17"/>
  <c r="EU130" i="17"/>
  <c r="EV130" i="17"/>
  <c r="EW130" i="17"/>
  <c r="EX130" i="17"/>
  <c r="EY130" i="17"/>
  <c r="EZ130" i="17"/>
  <c r="FA130" i="17"/>
  <c r="FB130" i="17"/>
  <c r="FC130" i="17"/>
  <c r="FD130" i="17"/>
  <c r="FE130" i="17"/>
  <c r="FF130" i="17"/>
  <c r="FG130" i="17"/>
  <c r="FH130" i="17"/>
  <c r="FI130" i="17"/>
  <c r="FJ130" i="17"/>
  <c r="FK130" i="17"/>
  <c r="FL130" i="17"/>
  <c r="EL131" i="17"/>
  <c r="EM131" i="17"/>
  <c r="EN131" i="17"/>
  <c r="EO131" i="17"/>
  <c r="EP131" i="17"/>
  <c r="EQ131" i="17"/>
  <c r="ER131" i="17"/>
  <c r="ES131" i="17"/>
  <c r="ET131" i="17"/>
  <c r="EU131" i="17"/>
  <c r="EV131" i="17"/>
  <c r="EW131" i="17"/>
  <c r="EX131" i="17"/>
  <c r="EY131" i="17"/>
  <c r="EZ131" i="17"/>
  <c r="FA131" i="17"/>
  <c r="FB131" i="17"/>
  <c r="FC131" i="17"/>
  <c r="FD131" i="17"/>
  <c r="FE131" i="17"/>
  <c r="FF131" i="17"/>
  <c r="FG131" i="17"/>
  <c r="FH131" i="17"/>
  <c r="FI131" i="17"/>
  <c r="FJ131" i="17"/>
  <c r="FK131" i="17"/>
  <c r="FL131" i="17"/>
  <c r="EL132" i="17"/>
  <c r="EM132" i="17"/>
  <c r="EN132" i="17"/>
  <c r="EO132" i="17"/>
  <c r="EP132" i="17"/>
  <c r="EQ132" i="17"/>
  <c r="ER132" i="17"/>
  <c r="ES132" i="17"/>
  <c r="ET132" i="17"/>
  <c r="EU132" i="17"/>
  <c r="EV132" i="17"/>
  <c r="EW132" i="17"/>
  <c r="EX132" i="17"/>
  <c r="EY132" i="17"/>
  <c r="EZ132" i="17"/>
  <c r="FA132" i="17"/>
  <c r="FB132" i="17"/>
  <c r="FC132" i="17"/>
  <c r="FD132" i="17"/>
  <c r="FE132" i="17"/>
  <c r="FF132" i="17"/>
  <c r="FG132" i="17"/>
  <c r="FH132" i="17"/>
  <c r="FI132" i="17"/>
  <c r="FJ132" i="17"/>
  <c r="FK132" i="17"/>
  <c r="FL132" i="17"/>
  <c r="EL133" i="17"/>
  <c r="EM133" i="17"/>
  <c r="EN133" i="17"/>
  <c r="EO133" i="17"/>
  <c r="EP133" i="17"/>
  <c r="EQ133" i="17"/>
  <c r="ER133" i="17"/>
  <c r="ES133" i="17"/>
  <c r="ET133" i="17"/>
  <c r="EU133" i="17"/>
  <c r="EV133" i="17"/>
  <c r="EW133" i="17"/>
  <c r="EX133" i="17"/>
  <c r="EY133" i="17"/>
  <c r="EZ133" i="17"/>
  <c r="FA133" i="17"/>
  <c r="FB133" i="17"/>
  <c r="FC133" i="17"/>
  <c r="FD133" i="17"/>
  <c r="FE133" i="17"/>
  <c r="FF133" i="17"/>
  <c r="FG133" i="17"/>
  <c r="FH133" i="17"/>
  <c r="FI133" i="17"/>
  <c r="FJ133" i="17"/>
  <c r="FK133" i="17"/>
  <c r="FL133" i="17"/>
  <c r="EL134" i="17"/>
  <c r="EM134" i="17"/>
  <c r="EN134" i="17"/>
  <c r="EO134" i="17"/>
  <c r="EP134" i="17"/>
  <c r="EQ134" i="17"/>
  <c r="ER134" i="17"/>
  <c r="ES134" i="17"/>
  <c r="ET134" i="17"/>
  <c r="EU134" i="17"/>
  <c r="EV134" i="17"/>
  <c r="EW134" i="17"/>
  <c r="EX134" i="17"/>
  <c r="EY134" i="17"/>
  <c r="EZ134" i="17"/>
  <c r="FA134" i="17"/>
  <c r="FB134" i="17"/>
  <c r="FC134" i="17"/>
  <c r="FD134" i="17"/>
  <c r="FE134" i="17"/>
  <c r="FF134" i="17"/>
  <c r="FG134" i="17"/>
  <c r="FH134" i="17"/>
  <c r="FI134" i="17"/>
  <c r="FJ134" i="17"/>
  <c r="FK134" i="17"/>
  <c r="FL134" i="17"/>
  <c r="EL135" i="17"/>
  <c r="EM135" i="17"/>
  <c r="EN135" i="17"/>
  <c r="EO135" i="17"/>
  <c r="EP135" i="17"/>
  <c r="EQ135" i="17"/>
  <c r="ER135" i="17"/>
  <c r="ES135" i="17"/>
  <c r="ET135" i="17"/>
  <c r="EU135" i="17"/>
  <c r="EV135" i="17"/>
  <c r="EW135" i="17"/>
  <c r="EX135" i="17"/>
  <c r="EY135" i="17"/>
  <c r="EZ135" i="17"/>
  <c r="FA135" i="17"/>
  <c r="FB135" i="17"/>
  <c r="FC135" i="17"/>
  <c r="FD135" i="17"/>
  <c r="FE135" i="17"/>
  <c r="FF135" i="17"/>
  <c r="FG135" i="17"/>
  <c r="FH135" i="17"/>
  <c r="FI135" i="17"/>
  <c r="FJ135" i="17"/>
  <c r="FK135" i="17"/>
  <c r="FL135" i="17"/>
  <c r="EL136" i="17"/>
  <c r="EM136" i="17"/>
  <c r="EN136" i="17"/>
  <c r="EO136" i="17"/>
  <c r="EP136" i="17"/>
  <c r="EQ136" i="17"/>
  <c r="ER136" i="17"/>
  <c r="ES136" i="17"/>
  <c r="ET136" i="17"/>
  <c r="EU136" i="17"/>
  <c r="EV136" i="17"/>
  <c r="EW136" i="17"/>
  <c r="EX136" i="17"/>
  <c r="EY136" i="17"/>
  <c r="EZ136" i="17"/>
  <c r="FA136" i="17"/>
  <c r="FB136" i="17"/>
  <c r="FC136" i="17"/>
  <c r="FD136" i="17"/>
  <c r="FE136" i="17"/>
  <c r="FF136" i="17"/>
  <c r="FG136" i="17"/>
  <c r="FH136" i="17"/>
  <c r="FI136" i="17"/>
  <c r="FJ136" i="17"/>
  <c r="FK136" i="17"/>
  <c r="FL136" i="17"/>
  <c r="EL137" i="17"/>
  <c r="EM137" i="17"/>
  <c r="EN137" i="17"/>
  <c r="EO137" i="17"/>
  <c r="EP137" i="17"/>
  <c r="EQ137" i="17"/>
  <c r="ER137" i="17"/>
  <c r="ES137" i="17"/>
  <c r="ET137" i="17"/>
  <c r="EU137" i="17"/>
  <c r="EV137" i="17"/>
  <c r="EW137" i="17"/>
  <c r="EX137" i="17"/>
  <c r="EY137" i="17"/>
  <c r="EZ137" i="17"/>
  <c r="FA137" i="17"/>
  <c r="FB137" i="17"/>
  <c r="FC137" i="17"/>
  <c r="FD137" i="17"/>
  <c r="FE137" i="17"/>
  <c r="FF137" i="17"/>
  <c r="FG137" i="17"/>
  <c r="FH137" i="17"/>
  <c r="FI137" i="17"/>
  <c r="FJ137" i="17"/>
  <c r="FK137" i="17"/>
  <c r="FL137" i="17"/>
  <c r="EL138" i="17"/>
  <c r="EM138" i="17"/>
  <c r="EN138" i="17"/>
  <c r="EO138" i="17"/>
  <c r="EP138" i="17"/>
  <c r="EQ138" i="17"/>
  <c r="ER138" i="17"/>
  <c r="ES138" i="17"/>
  <c r="ET138" i="17"/>
  <c r="EU138" i="17"/>
  <c r="EV138" i="17"/>
  <c r="EW138" i="17"/>
  <c r="EX138" i="17"/>
  <c r="EY138" i="17"/>
  <c r="EZ138" i="17"/>
  <c r="FA138" i="17"/>
  <c r="FB138" i="17"/>
  <c r="FC138" i="17"/>
  <c r="FD138" i="17"/>
  <c r="FE138" i="17"/>
  <c r="FF138" i="17"/>
  <c r="FG138" i="17"/>
  <c r="FH138" i="17"/>
  <c r="FI138" i="17"/>
  <c r="FJ138" i="17"/>
  <c r="FK138" i="17"/>
  <c r="FL138" i="17"/>
  <c r="EL139" i="17"/>
  <c r="EM139" i="17"/>
  <c r="EN139" i="17"/>
  <c r="EO139" i="17"/>
  <c r="EP139" i="17"/>
  <c r="EQ139" i="17"/>
  <c r="ER139" i="17"/>
  <c r="ES139" i="17"/>
  <c r="ET139" i="17"/>
  <c r="EU139" i="17"/>
  <c r="EV139" i="17"/>
  <c r="EW139" i="17"/>
  <c r="EX139" i="17"/>
  <c r="EY139" i="17"/>
  <c r="EZ139" i="17"/>
  <c r="FA139" i="17"/>
  <c r="FB139" i="17"/>
  <c r="FC139" i="17"/>
  <c r="FD139" i="17"/>
  <c r="FE139" i="17"/>
  <c r="FF139" i="17"/>
  <c r="FG139" i="17"/>
  <c r="FH139" i="17"/>
  <c r="FI139" i="17"/>
  <c r="FJ139" i="17"/>
  <c r="FK139" i="17"/>
  <c r="FL139" i="17"/>
  <c r="EL140" i="17"/>
  <c r="EM140" i="17"/>
  <c r="EN140" i="17"/>
  <c r="EO140" i="17"/>
  <c r="EP140" i="17"/>
  <c r="EQ140" i="17"/>
  <c r="ER140" i="17"/>
  <c r="ES140" i="17"/>
  <c r="ET140" i="17"/>
  <c r="EU140" i="17"/>
  <c r="EV140" i="17"/>
  <c r="EW140" i="17"/>
  <c r="EX140" i="17"/>
  <c r="EY140" i="17"/>
  <c r="EZ140" i="17"/>
  <c r="FA140" i="17"/>
  <c r="FB140" i="17"/>
  <c r="FC140" i="17"/>
  <c r="FD140" i="17"/>
  <c r="FE140" i="17"/>
  <c r="FF140" i="17"/>
  <c r="FG140" i="17"/>
  <c r="FH140" i="17"/>
  <c r="FI140" i="17"/>
  <c r="FJ140" i="17"/>
  <c r="FK140" i="17"/>
  <c r="FL140" i="17"/>
  <c r="EL141" i="17"/>
  <c r="EM141" i="17"/>
  <c r="EN141" i="17"/>
  <c r="EO141" i="17"/>
  <c r="EP141" i="17"/>
  <c r="EQ141" i="17"/>
  <c r="ER141" i="17"/>
  <c r="ES141" i="17"/>
  <c r="ET141" i="17"/>
  <c r="EU141" i="17"/>
  <c r="EV141" i="17"/>
  <c r="EW141" i="17"/>
  <c r="EX141" i="17"/>
  <c r="EY141" i="17"/>
  <c r="EZ141" i="17"/>
  <c r="FA141" i="17"/>
  <c r="FB141" i="17"/>
  <c r="FC141" i="17"/>
  <c r="FD141" i="17"/>
  <c r="FE141" i="17"/>
  <c r="FF141" i="17"/>
  <c r="FG141" i="17"/>
  <c r="FH141" i="17"/>
  <c r="FI141" i="17"/>
  <c r="FJ141" i="17"/>
  <c r="FK141" i="17"/>
  <c r="FL141" i="17"/>
  <c r="EL142" i="17"/>
  <c r="EM142" i="17"/>
  <c r="EN142" i="17"/>
  <c r="EO142" i="17"/>
  <c r="EP142" i="17"/>
  <c r="EQ142" i="17"/>
  <c r="ER142" i="17"/>
  <c r="ES142" i="17"/>
  <c r="ET142" i="17"/>
  <c r="EU142" i="17"/>
  <c r="EV142" i="17"/>
  <c r="EW142" i="17"/>
  <c r="EX142" i="17"/>
  <c r="EY142" i="17"/>
  <c r="EZ142" i="17"/>
  <c r="FA142" i="17"/>
  <c r="FB142" i="17"/>
  <c r="FC142" i="17"/>
  <c r="FD142" i="17"/>
  <c r="FE142" i="17"/>
  <c r="FF142" i="17"/>
  <c r="FG142" i="17"/>
  <c r="FH142" i="17"/>
  <c r="FI142" i="17"/>
  <c r="FJ142" i="17"/>
  <c r="FK142" i="17"/>
  <c r="FL142" i="17"/>
  <c r="EL143" i="17"/>
  <c r="EM143" i="17"/>
  <c r="EN143" i="17"/>
  <c r="EO143" i="17"/>
  <c r="EP143" i="17"/>
  <c r="EQ143" i="17"/>
  <c r="ER143" i="17"/>
  <c r="ES143" i="17"/>
  <c r="ET143" i="17"/>
  <c r="EU143" i="17"/>
  <c r="EV143" i="17"/>
  <c r="EW143" i="17"/>
  <c r="EX143" i="17"/>
  <c r="EY143" i="17"/>
  <c r="EZ143" i="17"/>
  <c r="FA143" i="17"/>
  <c r="FB143" i="17"/>
  <c r="FC143" i="17"/>
  <c r="FD143" i="17"/>
  <c r="FE143" i="17"/>
  <c r="FF143" i="17"/>
  <c r="FG143" i="17"/>
  <c r="FH143" i="17"/>
  <c r="FI143" i="17"/>
  <c r="FJ143" i="17"/>
  <c r="FK143" i="17"/>
  <c r="FL143" i="17"/>
  <c r="EL144" i="17"/>
  <c r="EM144" i="17"/>
  <c r="EN144" i="17"/>
  <c r="EO144" i="17"/>
  <c r="EP144" i="17"/>
  <c r="EQ144" i="17"/>
  <c r="ER144" i="17"/>
  <c r="ES144" i="17"/>
  <c r="ET144" i="17"/>
  <c r="EU144" i="17"/>
  <c r="EV144" i="17"/>
  <c r="EW144" i="17"/>
  <c r="EX144" i="17"/>
  <c r="EY144" i="17"/>
  <c r="EZ144" i="17"/>
  <c r="FA144" i="17"/>
  <c r="FB144" i="17"/>
  <c r="FC144" i="17"/>
  <c r="FD144" i="17"/>
  <c r="FE144" i="17"/>
  <c r="FF144" i="17"/>
  <c r="FG144" i="17"/>
  <c r="FH144" i="17"/>
  <c r="FI144" i="17"/>
  <c r="FJ144" i="17"/>
  <c r="FK144" i="17"/>
  <c r="FL144" i="17"/>
  <c r="EL145" i="17"/>
  <c r="EM145" i="17"/>
  <c r="EN145" i="17"/>
  <c r="EO145" i="17"/>
  <c r="EP145" i="17"/>
  <c r="EQ145" i="17"/>
  <c r="ER145" i="17"/>
  <c r="ES145" i="17"/>
  <c r="ET145" i="17"/>
  <c r="EU145" i="17"/>
  <c r="EV145" i="17"/>
  <c r="EW145" i="17"/>
  <c r="EX145" i="17"/>
  <c r="EY145" i="17"/>
  <c r="EZ145" i="17"/>
  <c r="FA145" i="17"/>
  <c r="FB145" i="17"/>
  <c r="FC145" i="17"/>
  <c r="FD145" i="17"/>
  <c r="FE145" i="17"/>
  <c r="FF145" i="17"/>
  <c r="FG145" i="17"/>
  <c r="FH145" i="17"/>
  <c r="FI145" i="17"/>
  <c r="FJ145" i="17"/>
  <c r="FK145" i="17"/>
  <c r="FL145" i="17"/>
  <c r="EL146" i="17"/>
  <c r="EM146" i="17"/>
  <c r="EN146" i="17"/>
  <c r="EO146" i="17"/>
  <c r="EP146" i="17"/>
  <c r="EQ146" i="17"/>
  <c r="ER146" i="17"/>
  <c r="ES146" i="17"/>
  <c r="ET146" i="17"/>
  <c r="EU146" i="17"/>
  <c r="EV146" i="17"/>
  <c r="EW146" i="17"/>
  <c r="EX146" i="17"/>
  <c r="EY146" i="17"/>
  <c r="EZ146" i="17"/>
  <c r="FA146" i="17"/>
  <c r="FB146" i="17"/>
  <c r="FC146" i="17"/>
  <c r="FD146" i="17"/>
  <c r="FE146" i="17"/>
  <c r="FF146" i="17"/>
  <c r="FG146" i="17"/>
  <c r="FH146" i="17"/>
  <c r="FI146" i="17"/>
  <c r="FJ146" i="17"/>
  <c r="FK146" i="17"/>
  <c r="FL146" i="17"/>
  <c r="EL147" i="17"/>
  <c r="EM147" i="17"/>
  <c r="EN147" i="17"/>
  <c r="EO147" i="17"/>
  <c r="EP147" i="17"/>
  <c r="EQ147" i="17"/>
  <c r="ER147" i="17"/>
  <c r="ES147" i="17"/>
  <c r="ET147" i="17"/>
  <c r="EU147" i="17"/>
  <c r="EV147" i="17"/>
  <c r="EW147" i="17"/>
  <c r="EX147" i="17"/>
  <c r="EY147" i="17"/>
  <c r="EZ147" i="17"/>
  <c r="FA147" i="17"/>
  <c r="FB147" i="17"/>
  <c r="FC147" i="17"/>
  <c r="FD147" i="17"/>
  <c r="FE147" i="17"/>
  <c r="FF147" i="17"/>
  <c r="FG147" i="17"/>
  <c r="FH147" i="17"/>
  <c r="FI147" i="17"/>
  <c r="FJ147" i="17"/>
  <c r="FK147" i="17"/>
  <c r="FL147" i="17"/>
  <c r="EL148" i="17"/>
  <c r="EM148" i="17"/>
  <c r="EN148" i="17"/>
  <c r="EO148" i="17"/>
  <c r="EP148" i="17"/>
  <c r="EQ148" i="17"/>
  <c r="ER148" i="17"/>
  <c r="ES148" i="17"/>
  <c r="ET148" i="17"/>
  <c r="EU148" i="17"/>
  <c r="EV148" i="17"/>
  <c r="EW148" i="17"/>
  <c r="EX148" i="17"/>
  <c r="EY148" i="17"/>
  <c r="EZ148" i="17"/>
  <c r="FA148" i="17"/>
  <c r="FB148" i="17"/>
  <c r="FC148" i="17"/>
  <c r="FD148" i="17"/>
  <c r="FE148" i="17"/>
  <c r="FF148" i="17"/>
  <c r="FG148" i="17"/>
  <c r="FH148" i="17"/>
  <c r="FI148" i="17"/>
  <c r="FJ148" i="17"/>
  <c r="FK148" i="17"/>
  <c r="FL148" i="17"/>
  <c r="EL149" i="17"/>
  <c r="EM149" i="17"/>
  <c r="EN149" i="17"/>
  <c r="EO149" i="17"/>
  <c r="EP149" i="17"/>
  <c r="EQ149" i="17"/>
  <c r="ER149" i="17"/>
  <c r="ES149" i="17"/>
  <c r="ET149" i="17"/>
  <c r="EU149" i="17"/>
  <c r="EV149" i="17"/>
  <c r="EW149" i="17"/>
  <c r="EX149" i="17"/>
  <c r="EY149" i="17"/>
  <c r="EZ149" i="17"/>
  <c r="FA149" i="17"/>
  <c r="FB149" i="17"/>
  <c r="FC149" i="17"/>
  <c r="FD149" i="17"/>
  <c r="FE149" i="17"/>
  <c r="FF149" i="17"/>
  <c r="FG149" i="17"/>
  <c r="FH149" i="17"/>
  <c r="FI149" i="17"/>
  <c r="FJ149" i="17"/>
  <c r="FK149" i="17"/>
  <c r="FL149" i="17"/>
  <c r="EL150" i="17"/>
  <c r="EM150" i="17"/>
  <c r="EN150" i="17"/>
  <c r="EO150" i="17"/>
  <c r="EP150" i="17"/>
  <c r="EQ150" i="17"/>
  <c r="ER150" i="17"/>
  <c r="ES150" i="17"/>
  <c r="ET150" i="17"/>
  <c r="EU150" i="17"/>
  <c r="EV150" i="17"/>
  <c r="EW150" i="17"/>
  <c r="EX150" i="17"/>
  <c r="EY150" i="17"/>
  <c r="EZ150" i="17"/>
  <c r="FA150" i="17"/>
  <c r="FB150" i="17"/>
  <c r="FC150" i="17"/>
  <c r="FD150" i="17"/>
  <c r="FE150" i="17"/>
  <c r="FF150" i="17"/>
  <c r="FG150" i="17"/>
  <c r="FH150" i="17"/>
  <c r="FI150" i="17"/>
  <c r="FJ150" i="17"/>
  <c r="FK150" i="17"/>
  <c r="FL150" i="17"/>
  <c r="EL151" i="17"/>
  <c r="EM151" i="17"/>
  <c r="EN151" i="17"/>
  <c r="EO151" i="17"/>
  <c r="EP151" i="17"/>
  <c r="EQ151" i="17"/>
  <c r="ER151" i="17"/>
  <c r="ES151" i="17"/>
  <c r="ET151" i="17"/>
  <c r="EU151" i="17"/>
  <c r="EV151" i="17"/>
  <c r="EW151" i="17"/>
  <c r="EX151" i="17"/>
  <c r="EY151" i="17"/>
  <c r="EZ151" i="17"/>
  <c r="FA151" i="17"/>
  <c r="FB151" i="17"/>
  <c r="FC151" i="17"/>
  <c r="FD151" i="17"/>
  <c r="FE151" i="17"/>
  <c r="FF151" i="17"/>
  <c r="FG151" i="17"/>
  <c r="FH151" i="17"/>
  <c r="FI151" i="17"/>
  <c r="FJ151" i="17"/>
  <c r="FK151" i="17"/>
  <c r="FL151" i="17"/>
  <c r="EL152" i="17"/>
  <c r="EM152" i="17"/>
  <c r="EN152" i="17"/>
  <c r="EO152" i="17"/>
  <c r="EP152" i="17"/>
  <c r="EQ152" i="17"/>
  <c r="ER152" i="17"/>
  <c r="ES152" i="17"/>
  <c r="ET152" i="17"/>
  <c r="EU152" i="17"/>
  <c r="EV152" i="17"/>
  <c r="EW152" i="17"/>
  <c r="EX152" i="17"/>
  <c r="EY152" i="17"/>
  <c r="EZ152" i="17"/>
  <c r="FA152" i="17"/>
  <c r="FB152" i="17"/>
  <c r="FC152" i="17"/>
  <c r="FD152" i="17"/>
  <c r="FE152" i="17"/>
  <c r="FF152" i="17"/>
  <c r="FG152" i="17"/>
  <c r="FH152" i="17"/>
  <c r="FI152" i="17"/>
  <c r="FJ152" i="17"/>
  <c r="FK152" i="17"/>
  <c r="FL152" i="17"/>
  <c r="EL153" i="17"/>
  <c r="EM153" i="17"/>
  <c r="EN153" i="17"/>
  <c r="EO153" i="17"/>
  <c r="EP153" i="17"/>
  <c r="EQ153" i="17"/>
  <c r="ER153" i="17"/>
  <c r="ES153" i="17"/>
  <c r="ET153" i="17"/>
  <c r="EU153" i="17"/>
  <c r="EV153" i="17"/>
  <c r="EW153" i="17"/>
  <c r="EX153" i="17"/>
  <c r="EY153" i="17"/>
  <c r="EZ153" i="17"/>
  <c r="FA153" i="17"/>
  <c r="FB153" i="17"/>
  <c r="FC153" i="17"/>
  <c r="FD153" i="17"/>
  <c r="FE153" i="17"/>
  <c r="FF153" i="17"/>
  <c r="FG153" i="17"/>
  <c r="FH153" i="17"/>
  <c r="FI153" i="17"/>
  <c r="FJ153" i="17"/>
  <c r="FK153" i="17"/>
  <c r="FL153" i="17"/>
  <c r="EL154" i="17"/>
  <c r="EM154" i="17"/>
  <c r="EN154" i="17"/>
  <c r="EO154" i="17"/>
  <c r="EP154" i="17"/>
  <c r="EQ154" i="17"/>
  <c r="ER154" i="17"/>
  <c r="ES154" i="17"/>
  <c r="ET154" i="17"/>
  <c r="EU154" i="17"/>
  <c r="EV154" i="17"/>
  <c r="EW154" i="17"/>
  <c r="EX154" i="17"/>
  <c r="EY154" i="17"/>
  <c r="EZ154" i="17"/>
  <c r="FA154" i="17"/>
  <c r="FB154" i="17"/>
  <c r="FC154" i="17"/>
  <c r="FD154" i="17"/>
  <c r="FE154" i="17"/>
  <c r="FF154" i="17"/>
  <c r="FG154" i="17"/>
  <c r="FH154" i="17"/>
  <c r="FI154" i="17"/>
  <c r="FJ154" i="17"/>
  <c r="FK154" i="17"/>
  <c r="FL154" i="17"/>
  <c r="EL155" i="17"/>
  <c r="EM155" i="17"/>
  <c r="EN155" i="17"/>
  <c r="EO155" i="17"/>
  <c r="EP155" i="17"/>
  <c r="EQ155" i="17"/>
  <c r="ER155" i="17"/>
  <c r="ES155" i="17"/>
  <c r="ET155" i="17"/>
  <c r="EU155" i="17"/>
  <c r="EV155" i="17"/>
  <c r="EW155" i="17"/>
  <c r="EX155" i="17"/>
  <c r="EY155" i="17"/>
  <c r="EZ155" i="17"/>
  <c r="FA155" i="17"/>
  <c r="FB155" i="17"/>
  <c r="FC155" i="17"/>
  <c r="FD155" i="17"/>
  <c r="FE155" i="17"/>
  <c r="FF155" i="17"/>
  <c r="FG155" i="17"/>
  <c r="FH155" i="17"/>
  <c r="FI155" i="17"/>
  <c r="FJ155" i="17"/>
  <c r="FK155" i="17"/>
  <c r="FL155" i="17"/>
  <c r="EL156" i="17"/>
  <c r="EM156" i="17"/>
  <c r="EN156" i="17"/>
  <c r="EO156" i="17"/>
  <c r="EP156" i="17"/>
  <c r="EQ156" i="17"/>
  <c r="ER156" i="17"/>
  <c r="ES156" i="17"/>
  <c r="ET156" i="17"/>
  <c r="EU156" i="17"/>
  <c r="EV156" i="17"/>
  <c r="EW156" i="17"/>
  <c r="EX156" i="17"/>
  <c r="EY156" i="17"/>
  <c r="EZ156" i="17"/>
  <c r="FA156" i="17"/>
  <c r="FB156" i="17"/>
  <c r="FC156" i="17"/>
  <c r="FD156" i="17"/>
  <c r="FE156" i="17"/>
  <c r="FF156" i="17"/>
  <c r="FG156" i="17"/>
  <c r="FH156" i="17"/>
  <c r="FI156" i="17"/>
  <c r="FJ156" i="17"/>
  <c r="FK156" i="17"/>
  <c r="FL156" i="17"/>
  <c r="EL157" i="17"/>
  <c r="EM157" i="17"/>
  <c r="EN157" i="17"/>
  <c r="EO157" i="17"/>
  <c r="EP157" i="17"/>
  <c r="EQ157" i="17"/>
  <c r="ER157" i="17"/>
  <c r="ES157" i="17"/>
  <c r="ET157" i="17"/>
  <c r="EU157" i="17"/>
  <c r="EV157" i="17"/>
  <c r="EW157" i="17"/>
  <c r="EX157" i="17"/>
  <c r="EY157" i="17"/>
  <c r="EZ157" i="17"/>
  <c r="FA157" i="17"/>
  <c r="FB157" i="17"/>
  <c r="FC157" i="17"/>
  <c r="FD157" i="17"/>
  <c r="FE157" i="17"/>
  <c r="FF157" i="17"/>
  <c r="FG157" i="17"/>
  <c r="FH157" i="17"/>
  <c r="FI157" i="17"/>
  <c r="FJ157" i="17"/>
  <c r="FK157" i="17"/>
  <c r="FL157" i="17"/>
  <c r="EL158" i="17"/>
  <c r="EM158" i="17"/>
  <c r="EN158" i="17"/>
  <c r="EO158" i="17"/>
  <c r="EP158" i="17"/>
  <c r="EQ158" i="17"/>
  <c r="ER158" i="17"/>
  <c r="ES158" i="17"/>
  <c r="ET158" i="17"/>
  <c r="EU158" i="17"/>
  <c r="EV158" i="17"/>
  <c r="EW158" i="17"/>
  <c r="EX158" i="17"/>
  <c r="EY158" i="17"/>
  <c r="EZ158" i="17"/>
  <c r="FA158" i="17"/>
  <c r="FB158" i="17"/>
  <c r="FC158" i="17"/>
  <c r="FD158" i="17"/>
  <c r="FE158" i="17"/>
  <c r="FF158" i="17"/>
  <c r="FG158" i="17"/>
  <c r="FH158" i="17"/>
  <c r="FI158" i="17"/>
  <c r="FJ158" i="17"/>
  <c r="FK158" i="17"/>
  <c r="FL158" i="17"/>
  <c r="EL159" i="17"/>
  <c r="EM159" i="17"/>
  <c r="EN159" i="17"/>
  <c r="EO159" i="17"/>
  <c r="EP159" i="17"/>
  <c r="EQ159" i="17"/>
  <c r="ER159" i="17"/>
  <c r="ES159" i="17"/>
  <c r="ET159" i="17"/>
  <c r="EU159" i="17"/>
  <c r="EV159" i="17"/>
  <c r="EW159" i="17"/>
  <c r="EX159" i="17"/>
  <c r="EY159" i="17"/>
  <c r="EZ159" i="17"/>
  <c r="FA159" i="17"/>
  <c r="FB159" i="17"/>
  <c r="FC159" i="17"/>
  <c r="FD159" i="17"/>
  <c r="FE159" i="17"/>
  <c r="FF159" i="17"/>
  <c r="FG159" i="17"/>
  <c r="FH159" i="17"/>
  <c r="FI159" i="17"/>
  <c r="FJ159" i="17"/>
  <c r="FK159" i="17"/>
  <c r="FL159" i="17"/>
  <c r="EL160" i="17"/>
  <c r="EM160" i="17"/>
  <c r="EN160" i="17"/>
  <c r="EO160" i="17"/>
  <c r="EP160" i="17"/>
  <c r="EQ160" i="17"/>
  <c r="ER160" i="17"/>
  <c r="ES160" i="17"/>
  <c r="ET160" i="17"/>
  <c r="EU160" i="17"/>
  <c r="EV160" i="17"/>
  <c r="EW160" i="17"/>
  <c r="EX160" i="17"/>
  <c r="EY160" i="17"/>
  <c r="EZ160" i="17"/>
  <c r="FA160" i="17"/>
  <c r="FB160" i="17"/>
  <c r="FC160" i="17"/>
  <c r="FD160" i="17"/>
  <c r="FE160" i="17"/>
  <c r="FF160" i="17"/>
  <c r="FG160" i="17"/>
  <c r="FH160" i="17"/>
  <c r="FI160" i="17"/>
  <c r="FJ160" i="17"/>
  <c r="FK160" i="17"/>
  <c r="FL160" i="17"/>
  <c r="EL161" i="17"/>
  <c r="EM161" i="17"/>
  <c r="EN161" i="17"/>
  <c r="EO161" i="17"/>
  <c r="EP161" i="17"/>
  <c r="EQ161" i="17"/>
  <c r="ER161" i="17"/>
  <c r="ES161" i="17"/>
  <c r="ET161" i="17"/>
  <c r="EU161" i="17"/>
  <c r="EV161" i="17"/>
  <c r="EW161" i="17"/>
  <c r="EX161" i="17"/>
  <c r="EY161" i="17"/>
  <c r="EZ161" i="17"/>
  <c r="FA161" i="17"/>
  <c r="FB161" i="17"/>
  <c r="FC161" i="17"/>
  <c r="FD161" i="17"/>
  <c r="FE161" i="17"/>
  <c r="FF161" i="17"/>
  <c r="FG161" i="17"/>
  <c r="FH161" i="17"/>
  <c r="FI161" i="17"/>
  <c r="FJ161" i="17"/>
  <c r="FK161" i="17"/>
  <c r="FL161" i="17"/>
  <c r="EL162" i="17"/>
  <c r="EM162" i="17"/>
  <c r="EN162" i="17"/>
  <c r="EO162" i="17"/>
  <c r="EP162" i="17"/>
  <c r="EQ162" i="17"/>
  <c r="ER162" i="17"/>
  <c r="ES162" i="17"/>
  <c r="ET162" i="17"/>
  <c r="EU162" i="17"/>
  <c r="EV162" i="17"/>
  <c r="EW162" i="17"/>
  <c r="EX162" i="17"/>
  <c r="EY162" i="17"/>
  <c r="EZ162" i="17"/>
  <c r="FA162" i="17"/>
  <c r="FB162" i="17"/>
  <c r="FC162" i="17"/>
  <c r="FD162" i="17"/>
  <c r="FE162" i="17"/>
  <c r="FF162" i="17"/>
  <c r="FG162" i="17"/>
  <c r="FH162" i="17"/>
  <c r="FI162" i="17"/>
  <c r="FJ162" i="17"/>
  <c r="FK162" i="17"/>
  <c r="FL162" i="17"/>
  <c r="EL163" i="17"/>
  <c r="EM163" i="17"/>
  <c r="EN163" i="17"/>
  <c r="EO163" i="17"/>
  <c r="EP163" i="17"/>
  <c r="EQ163" i="17"/>
  <c r="ER163" i="17"/>
  <c r="ES163" i="17"/>
  <c r="ET163" i="17"/>
  <c r="EU163" i="17"/>
  <c r="EV163" i="17"/>
  <c r="EW163" i="17"/>
  <c r="EX163" i="17"/>
  <c r="EY163" i="17"/>
  <c r="EZ163" i="17"/>
  <c r="FA163" i="17"/>
  <c r="FB163" i="17"/>
  <c r="FC163" i="17"/>
  <c r="FD163" i="17"/>
  <c r="FE163" i="17"/>
  <c r="FF163" i="17"/>
  <c r="FG163" i="17"/>
  <c r="FH163" i="17"/>
  <c r="FI163" i="17"/>
  <c r="FJ163" i="17"/>
  <c r="FK163" i="17"/>
  <c r="FL163" i="17"/>
  <c r="EL164" i="17"/>
  <c r="EM164" i="17"/>
  <c r="EN164" i="17"/>
  <c r="EO164" i="17"/>
  <c r="EP164" i="17"/>
  <c r="EQ164" i="17"/>
  <c r="ER164" i="17"/>
  <c r="ES164" i="17"/>
  <c r="ET164" i="17"/>
  <c r="EU164" i="17"/>
  <c r="EV164" i="17"/>
  <c r="EW164" i="17"/>
  <c r="EX164" i="17"/>
  <c r="EY164" i="17"/>
  <c r="EZ164" i="17"/>
  <c r="FA164" i="17"/>
  <c r="FB164" i="17"/>
  <c r="FC164" i="17"/>
  <c r="FD164" i="17"/>
  <c r="FE164" i="17"/>
  <c r="FF164" i="17"/>
  <c r="FG164" i="17"/>
  <c r="FH164" i="17"/>
  <c r="FI164" i="17"/>
  <c r="FJ164" i="17"/>
  <c r="FK164" i="17"/>
  <c r="FL164" i="17"/>
  <c r="EL165" i="17"/>
  <c r="EM165" i="17"/>
  <c r="EN165" i="17"/>
  <c r="EO165" i="17"/>
  <c r="EP165" i="17"/>
  <c r="EQ165" i="17"/>
  <c r="ER165" i="17"/>
  <c r="ES165" i="17"/>
  <c r="ET165" i="17"/>
  <c r="EU165" i="17"/>
  <c r="EV165" i="17"/>
  <c r="EW165" i="17"/>
  <c r="EX165" i="17"/>
  <c r="EY165" i="17"/>
  <c r="EZ165" i="17"/>
  <c r="FA165" i="17"/>
  <c r="FB165" i="17"/>
  <c r="FC165" i="17"/>
  <c r="FD165" i="17"/>
  <c r="FE165" i="17"/>
  <c r="FF165" i="17"/>
  <c r="FG165" i="17"/>
  <c r="FH165" i="17"/>
  <c r="FI165" i="17"/>
  <c r="FJ165" i="17"/>
  <c r="FK165" i="17"/>
  <c r="FL165" i="17"/>
  <c r="EL166" i="17"/>
  <c r="EM166" i="17"/>
  <c r="EN166" i="17"/>
  <c r="EO166" i="17"/>
  <c r="EP166" i="17"/>
  <c r="EQ166" i="17"/>
  <c r="ER166" i="17"/>
  <c r="ES166" i="17"/>
  <c r="ET166" i="17"/>
  <c r="EU166" i="17"/>
  <c r="EV166" i="17"/>
  <c r="EW166" i="17"/>
  <c r="EX166" i="17"/>
  <c r="EY166" i="17"/>
  <c r="EZ166" i="17"/>
  <c r="FA166" i="17"/>
  <c r="FB166" i="17"/>
  <c r="FC166" i="17"/>
  <c r="FD166" i="17"/>
  <c r="FE166" i="17"/>
  <c r="FF166" i="17"/>
  <c r="FG166" i="17"/>
  <c r="FH166" i="17"/>
  <c r="FI166" i="17"/>
  <c r="FJ166" i="17"/>
  <c r="FK166" i="17"/>
  <c r="FL166" i="17"/>
  <c r="EL167" i="17"/>
  <c r="EM167" i="17"/>
  <c r="EN167" i="17"/>
  <c r="EO167" i="17"/>
  <c r="EP167" i="17"/>
  <c r="EQ167" i="17"/>
  <c r="ER167" i="17"/>
  <c r="ES167" i="17"/>
  <c r="ET167" i="17"/>
  <c r="EU167" i="17"/>
  <c r="EV167" i="17"/>
  <c r="EW167" i="17"/>
  <c r="EX167" i="17"/>
  <c r="EY167" i="17"/>
  <c r="EZ167" i="17"/>
  <c r="FA167" i="17"/>
  <c r="FB167" i="17"/>
  <c r="FC167" i="17"/>
  <c r="FD167" i="17"/>
  <c r="FE167" i="17"/>
  <c r="FF167" i="17"/>
  <c r="FG167" i="17"/>
  <c r="FH167" i="17"/>
  <c r="FI167" i="17"/>
  <c r="FJ167" i="17"/>
  <c r="FK167" i="17"/>
  <c r="FL167" i="17"/>
  <c r="EL168" i="17"/>
  <c r="EM168" i="17"/>
  <c r="EN168" i="17"/>
  <c r="EO168" i="17"/>
  <c r="EP168" i="17"/>
  <c r="EQ168" i="17"/>
  <c r="ER168" i="17"/>
  <c r="ES168" i="17"/>
  <c r="ET168" i="17"/>
  <c r="EU168" i="17"/>
  <c r="EV168" i="17"/>
  <c r="EW168" i="17"/>
  <c r="EX168" i="17"/>
  <c r="EY168" i="17"/>
  <c r="EZ168" i="17"/>
  <c r="FA168" i="17"/>
  <c r="FB168" i="17"/>
  <c r="FC168" i="17"/>
  <c r="FD168" i="17"/>
  <c r="FE168" i="17"/>
  <c r="FF168" i="17"/>
  <c r="FG168" i="17"/>
  <c r="FH168" i="17"/>
  <c r="FI168" i="17"/>
  <c r="FJ168" i="17"/>
  <c r="FK168" i="17"/>
  <c r="FL168" i="17"/>
  <c r="EL169" i="17"/>
  <c r="EM169" i="17"/>
  <c r="EN169" i="17"/>
  <c r="EO169" i="17"/>
  <c r="EP169" i="17"/>
  <c r="EQ169" i="17"/>
  <c r="ER169" i="17"/>
  <c r="ES169" i="17"/>
  <c r="ET169" i="17"/>
  <c r="EU169" i="17"/>
  <c r="EV169" i="17"/>
  <c r="EW169" i="17"/>
  <c r="EX169" i="17"/>
  <c r="EY169" i="17"/>
  <c r="EZ169" i="17"/>
  <c r="FA169" i="17"/>
  <c r="FB169" i="17"/>
  <c r="FC169" i="17"/>
  <c r="FD169" i="17"/>
  <c r="FE169" i="17"/>
  <c r="FF169" i="17"/>
  <c r="FG169" i="17"/>
  <c r="FH169" i="17"/>
  <c r="FI169" i="17"/>
  <c r="FJ169" i="17"/>
  <c r="FK169" i="17"/>
  <c r="FL169" i="17"/>
  <c r="EL180" i="17"/>
  <c r="EM180" i="17"/>
  <c r="EN180" i="17"/>
  <c r="EO180" i="17"/>
  <c r="EP180" i="17"/>
  <c r="EQ180" i="17"/>
  <c r="ER180" i="17"/>
  <c r="ES180" i="17"/>
  <c r="ET180" i="17"/>
  <c r="EU180" i="17"/>
  <c r="EV180" i="17"/>
  <c r="EW180" i="17"/>
  <c r="EX180" i="17"/>
  <c r="EY180" i="17"/>
  <c r="EZ180" i="17"/>
  <c r="FA180" i="17"/>
  <c r="FB180" i="17"/>
  <c r="FC180" i="17"/>
  <c r="FD180" i="17"/>
  <c r="FE180" i="17"/>
  <c r="FF180" i="17"/>
  <c r="FG180" i="17"/>
  <c r="FH180" i="17"/>
  <c r="FI180" i="17"/>
  <c r="FJ180" i="17"/>
  <c r="FK180" i="17"/>
  <c r="FL180" i="17"/>
  <c r="EL181" i="17"/>
  <c r="EM181" i="17"/>
  <c r="EN181" i="17"/>
  <c r="EO181" i="17"/>
  <c r="EP181" i="17"/>
  <c r="EQ181" i="17"/>
  <c r="ER181" i="17"/>
  <c r="ES181" i="17"/>
  <c r="ET181" i="17"/>
  <c r="EU181" i="17"/>
  <c r="EV181" i="17"/>
  <c r="EW181" i="17"/>
  <c r="EX181" i="17"/>
  <c r="EY181" i="17"/>
  <c r="EZ181" i="17"/>
  <c r="FA181" i="17"/>
  <c r="FB181" i="17"/>
  <c r="FC181" i="17"/>
  <c r="FD181" i="17"/>
  <c r="FE181" i="17"/>
  <c r="FF181" i="17"/>
  <c r="FG181" i="17"/>
  <c r="FH181" i="17"/>
  <c r="FI181" i="17"/>
  <c r="FJ181" i="17"/>
  <c r="FK181" i="17"/>
  <c r="FL181" i="17"/>
  <c r="EL182" i="17"/>
  <c r="EM182" i="17"/>
  <c r="EN182" i="17"/>
  <c r="EO182" i="17"/>
  <c r="EP182" i="17"/>
  <c r="EQ182" i="17"/>
  <c r="ER182" i="17"/>
  <c r="ES182" i="17"/>
  <c r="ET182" i="17"/>
  <c r="EU182" i="17"/>
  <c r="EV182" i="17"/>
  <c r="EW182" i="17"/>
  <c r="EX182" i="17"/>
  <c r="EY182" i="17"/>
  <c r="EZ182" i="17"/>
  <c r="FA182" i="17"/>
  <c r="FB182" i="17"/>
  <c r="FC182" i="17"/>
  <c r="FD182" i="17"/>
  <c r="FE182" i="17"/>
  <c r="FF182" i="17"/>
  <c r="FG182" i="17"/>
  <c r="FH182" i="17"/>
  <c r="FI182" i="17"/>
  <c r="FJ182" i="17"/>
  <c r="FK182" i="17"/>
  <c r="FL182" i="17"/>
  <c r="EL183" i="17"/>
  <c r="EM183" i="17"/>
  <c r="EN183" i="17"/>
  <c r="EO183" i="17"/>
  <c r="EP183" i="17"/>
  <c r="EQ183" i="17"/>
  <c r="ER183" i="17"/>
  <c r="ES183" i="17"/>
  <c r="ET183" i="17"/>
  <c r="EU183" i="17"/>
  <c r="EV183" i="17"/>
  <c r="EW183" i="17"/>
  <c r="EX183" i="17"/>
  <c r="EY183" i="17"/>
  <c r="EZ183" i="17"/>
  <c r="FA183" i="17"/>
  <c r="FB183" i="17"/>
  <c r="FC183" i="17"/>
  <c r="FD183" i="17"/>
  <c r="FE183" i="17"/>
  <c r="FF183" i="17"/>
  <c r="FG183" i="17"/>
  <c r="FH183" i="17"/>
  <c r="FI183" i="17"/>
  <c r="FJ183" i="17"/>
  <c r="FK183" i="17"/>
  <c r="FL183" i="17"/>
  <c r="EL184" i="17"/>
  <c r="EM184" i="17"/>
  <c r="EN184" i="17"/>
  <c r="EO184" i="17"/>
  <c r="EP184" i="17"/>
  <c r="EQ184" i="17"/>
  <c r="ER184" i="17"/>
  <c r="ES184" i="17"/>
  <c r="ET184" i="17"/>
  <c r="EU184" i="17"/>
  <c r="EV184" i="17"/>
  <c r="EW184" i="17"/>
  <c r="EX184" i="17"/>
  <c r="EY184" i="17"/>
  <c r="EZ184" i="17"/>
  <c r="FA184" i="17"/>
  <c r="FB184" i="17"/>
  <c r="FC184" i="17"/>
  <c r="FD184" i="17"/>
  <c r="FE184" i="17"/>
  <c r="FF184" i="17"/>
  <c r="FG184" i="17"/>
  <c r="FH184" i="17"/>
  <c r="FI184" i="17"/>
  <c r="FJ184" i="17"/>
  <c r="FK184" i="17"/>
  <c r="FL184" i="17"/>
  <c r="EL185" i="17"/>
  <c r="EM185" i="17"/>
  <c r="EN185" i="17"/>
  <c r="EO185" i="17"/>
  <c r="EP185" i="17"/>
  <c r="EQ185" i="17"/>
  <c r="ER185" i="17"/>
  <c r="ES185" i="17"/>
  <c r="ET185" i="17"/>
  <c r="EU185" i="17"/>
  <c r="EV185" i="17"/>
  <c r="EW185" i="17"/>
  <c r="EX185" i="17"/>
  <c r="EY185" i="17"/>
  <c r="EZ185" i="17"/>
  <c r="FA185" i="17"/>
  <c r="FB185" i="17"/>
  <c r="FC185" i="17"/>
  <c r="FD185" i="17"/>
  <c r="FE185" i="17"/>
  <c r="FF185" i="17"/>
  <c r="FG185" i="17"/>
  <c r="FH185" i="17"/>
  <c r="FI185" i="17"/>
  <c r="FJ185" i="17"/>
  <c r="FK185" i="17"/>
  <c r="FL185" i="17"/>
  <c r="EL186" i="17"/>
  <c r="EM186" i="17"/>
  <c r="EN186" i="17"/>
  <c r="EO186" i="17"/>
  <c r="EP186" i="17"/>
  <c r="EQ186" i="17"/>
  <c r="ER186" i="17"/>
  <c r="ES186" i="17"/>
  <c r="ET186" i="17"/>
  <c r="EU186" i="17"/>
  <c r="EV186" i="17"/>
  <c r="EW186" i="17"/>
  <c r="EX186" i="17"/>
  <c r="EY186" i="17"/>
  <c r="EZ186" i="17"/>
  <c r="FA186" i="17"/>
  <c r="FB186" i="17"/>
  <c r="FC186" i="17"/>
  <c r="FD186" i="17"/>
  <c r="FE186" i="17"/>
  <c r="FF186" i="17"/>
  <c r="FG186" i="17"/>
  <c r="FH186" i="17"/>
  <c r="FI186" i="17"/>
  <c r="FJ186" i="17"/>
  <c r="FK186" i="17"/>
  <c r="FL186" i="17"/>
  <c r="EL187" i="17"/>
  <c r="EM187" i="17"/>
  <c r="EN187" i="17"/>
  <c r="EO187" i="17"/>
  <c r="EP187" i="17"/>
  <c r="EQ187" i="17"/>
  <c r="ER187" i="17"/>
  <c r="ES187" i="17"/>
  <c r="ET187" i="17"/>
  <c r="EU187" i="17"/>
  <c r="EV187" i="17"/>
  <c r="EW187" i="17"/>
  <c r="EX187" i="17"/>
  <c r="EY187" i="17"/>
  <c r="EZ187" i="17"/>
  <c r="FA187" i="17"/>
  <c r="FB187" i="17"/>
  <c r="FC187" i="17"/>
  <c r="FD187" i="17"/>
  <c r="FE187" i="17"/>
  <c r="FF187" i="17"/>
  <c r="FG187" i="17"/>
  <c r="FH187" i="17"/>
  <c r="FI187" i="17"/>
  <c r="FJ187" i="17"/>
  <c r="FK187" i="17"/>
  <c r="FL187" i="17"/>
  <c r="EL188" i="17"/>
  <c r="EM188" i="17"/>
  <c r="EN188" i="17"/>
  <c r="EO188" i="17"/>
  <c r="EP188" i="17"/>
  <c r="EQ188" i="17"/>
  <c r="ER188" i="17"/>
  <c r="ES188" i="17"/>
  <c r="ET188" i="17"/>
  <c r="EU188" i="17"/>
  <c r="EV188" i="17"/>
  <c r="EW188" i="17"/>
  <c r="EX188" i="17"/>
  <c r="EY188" i="17"/>
  <c r="EZ188" i="17"/>
  <c r="FA188" i="17"/>
  <c r="FB188" i="17"/>
  <c r="FC188" i="17"/>
  <c r="FD188" i="17"/>
  <c r="FE188" i="17"/>
  <c r="FF188" i="17"/>
  <c r="FG188" i="17"/>
  <c r="FH188" i="17"/>
  <c r="FI188" i="17"/>
  <c r="FJ188" i="17"/>
  <c r="FK188" i="17"/>
  <c r="FL188" i="17"/>
  <c r="EL190" i="17"/>
  <c r="EM190" i="17"/>
  <c r="EN190" i="17"/>
  <c r="EO190" i="17"/>
  <c r="EP190" i="17"/>
  <c r="EQ190" i="17"/>
  <c r="ER190" i="17"/>
  <c r="ES190" i="17"/>
  <c r="ET190" i="17"/>
  <c r="EU190" i="17"/>
  <c r="EV190" i="17"/>
  <c r="EW190" i="17"/>
  <c r="EX190" i="17"/>
  <c r="EY190" i="17"/>
  <c r="EZ190" i="17"/>
  <c r="FA190" i="17"/>
  <c r="FB190" i="17"/>
  <c r="FC190" i="17"/>
  <c r="FD190" i="17"/>
  <c r="FE190" i="17"/>
  <c r="FF190" i="17"/>
  <c r="FG190" i="17"/>
  <c r="FH190" i="17"/>
  <c r="FI190" i="17"/>
  <c r="FJ190" i="17"/>
  <c r="FK190" i="17"/>
  <c r="FL190" i="17"/>
  <c r="EL191" i="17"/>
  <c r="EM191" i="17"/>
  <c r="EN191" i="17"/>
  <c r="EO191" i="17"/>
  <c r="EP191" i="17"/>
  <c r="EQ191" i="17"/>
  <c r="ER191" i="17"/>
  <c r="ES191" i="17"/>
  <c r="ET191" i="17"/>
  <c r="EU191" i="17"/>
  <c r="EV191" i="17"/>
  <c r="EW191" i="17"/>
  <c r="EX191" i="17"/>
  <c r="EY191" i="17"/>
  <c r="EZ191" i="17"/>
  <c r="FA191" i="17"/>
  <c r="FB191" i="17"/>
  <c r="FC191" i="17"/>
  <c r="FD191" i="17"/>
  <c r="FE191" i="17"/>
  <c r="FF191" i="17"/>
  <c r="FG191" i="17"/>
  <c r="FH191" i="17"/>
  <c r="FI191" i="17"/>
  <c r="FJ191" i="17"/>
  <c r="FK191" i="17"/>
  <c r="FL191" i="17"/>
  <c r="EL192" i="17"/>
  <c r="EM192" i="17"/>
  <c r="EN192" i="17"/>
  <c r="EO192" i="17"/>
  <c r="EP192" i="17"/>
  <c r="EQ192" i="17"/>
  <c r="ER192" i="17"/>
  <c r="ES192" i="17"/>
  <c r="ET192" i="17"/>
  <c r="EU192" i="17"/>
  <c r="EV192" i="17"/>
  <c r="EW192" i="17"/>
  <c r="EX192" i="17"/>
  <c r="EY192" i="17"/>
  <c r="EZ192" i="17"/>
  <c r="FA192" i="17"/>
  <c r="FB192" i="17"/>
  <c r="FC192" i="17"/>
  <c r="FD192" i="17"/>
  <c r="FE192" i="17"/>
  <c r="FF192" i="17"/>
  <c r="FG192" i="17"/>
  <c r="FH192" i="17"/>
  <c r="FI192" i="17"/>
  <c r="FJ192" i="17"/>
  <c r="FK192" i="17"/>
  <c r="FL192" i="17"/>
  <c r="EL193" i="17"/>
  <c r="EM193" i="17"/>
  <c r="EN193" i="17"/>
  <c r="EO193" i="17"/>
  <c r="EP193" i="17"/>
  <c r="EQ193" i="17"/>
  <c r="ER193" i="17"/>
  <c r="ES193" i="17"/>
  <c r="ET193" i="17"/>
  <c r="EU193" i="17"/>
  <c r="EV193" i="17"/>
  <c r="EW193" i="17"/>
  <c r="EX193" i="17"/>
  <c r="EY193" i="17"/>
  <c r="EZ193" i="17"/>
  <c r="FA193" i="17"/>
  <c r="FB193" i="17"/>
  <c r="FC193" i="17"/>
  <c r="FD193" i="17"/>
  <c r="FE193" i="17"/>
  <c r="FF193" i="17"/>
  <c r="FG193" i="17"/>
  <c r="FH193" i="17"/>
  <c r="FI193" i="17"/>
  <c r="FJ193" i="17"/>
  <c r="FK193" i="17"/>
  <c r="FL193" i="17"/>
  <c r="EL194" i="17"/>
  <c r="EM194" i="17"/>
  <c r="EN194" i="17"/>
  <c r="EO194" i="17"/>
  <c r="EP194" i="17"/>
  <c r="EQ194" i="17"/>
  <c r="ER194" i="17"/>
  <c r="ES194" i="17"/>
  <c r="ET194" i="17"/>
  <c r="EU194" i="17"/>
  <c r="EV194" i="17"/>
  <c r="EW194" i="17"/>
  <c r="EX194" i="17"/>
  <c r="EY194" i="17"/>
  <c r="EZ194" i="17"/>
  <c r="FA194" i="17"/>
  <c r="FB194" i="17"/>
  <c r="FC194" i="17"/>
  <c r="FD194" i="17"/>
  <c r="FE194" i="17"/>
  <c r="FF194" i="17"/>
  <c r="FG194" i="17"/>
  <c r="FH194" i="17"/>
  <c r="FI194" i="17"/>
  <c r="FJ194" i="17"/>
  <c r="FK194" i="17"/>
  <c r="FL194" i="17"/>
  <c r="EL195" i="17"/>
  <c r="EM195" i="17"/>
  <c r="EN195" i="17"/>
  <c r="EO195" i="17"/>
  <c r="EP195" i="17"/>
  <c r="EQ195" i="17"/>
  <c r="ER195" i="17"/>
  <c r="ES195" i="17"/>
  <c r="ET195" i="17"/>
  <c r="EU195" i="17"/>
  <c r="EV195" i="17"/>
  <c r="EW195" i="17"/>
  <c r="EX195" i="17"/>
  <c r="EY195" i="17"/>
  <c r="EZ195" i="17"/>
  <c r="FA195" i="17"/>
  <c r="FB195" i="17"/>
  <c r="FC195" i="17"/>
  <c r="FD195" i="17"/>
  <c r="FE195" i="17"/>
  <c r="FF195" i="17"/>
  <c r="FG195" i="17"/>
  <c r="FH195" i="17"/>
  <c r="FI195" i="17"/>
  <c r="FJ195" i="17"/>
  <c r="FK195" i="17"/>
  <c r="FL195" i="17"/>
  <c r="EL196" i="17"/>
  <c r="EM196" i="17"/>
  <c r="EN196" i="17"/>
  <c r="EO196" i="17"/>
  <c r="EP196" i="17"/>
  <c r="EQ196" i="17"/>
  <c r="ER196" i="17"/>
  <c r="ES196" i="17"/>
  <c r="ET196" i="17"/>
  <c r="EU196" i="17"/>
  <c r="EV196" i="17"/>
  <c r="EW196" i="17"/>
  <c r="EX196" i="17"/>
  <c r="EY196" i="17"/>
  <c r="EZ196" i="17"/>
  <c r="FA196" i="17"/>
  <c r="FB196" i="17"/>
  <c r="FC196" i="17"/>
  <c r="FD196" i="17"/>
  <c r="FE196" i="17"/>
  <c r="FF196" i="17"/>
  <c r="FG196" i="17"/>
  <c r="FH196" i="17"/>
  <c r="FI196" i="17"/>
  <c r="FJ196" i="17"/>
  <c r="FK196" i="17"/>
  <c r="FL196" i="17"/>
  <c r="EL197" i="17"/>
  <c r="EM197" i="17"/>
  <c r="EN197" i="17"/>
  <c r="EO197" i="17"/>
  <c r="EP197" i="17"/>
  <c r="EQ197" i="17"/>
  <c r="ER197" i="17"/>
  <c r="ES197" i="17"/>
  <c r="ET197" i="17"/>
  <c r="EU197" i="17"/>
  <c r="EV197" i="17"/>
  <c r="EW197" i="17"/>
  <c r="EX197" i="17"/>
  <c r="EY197" i="17"/>
  <c r="EZ197" i="17"/>
  <c r="FA197" i="17"/>
  <c r="FB197" i="17"/>
  <c r="FC197" i="17"/>
  <c r="FD197" i="17"/>
  <c r="FE197" i="17"/>
  <c r="FF197" i="17"/>
  <c r="FG197" i="17"/>
  <c r="FH197" i="17"/>
  <c r="FI197" i="17"/>
  <c r="FJ197" i="17"/>
  <c r="FK197" i="17"/>
  <c r="FL197" i="17"/>
  <c r="EL198" i="17"/>
  <c r="EM198" i="17"/>
  <c r="EN198" i="17"/>
  <c r="EO198" i="17"/>
  <c r="EP198" i="17"/>
  <c r="EQ198" i="17"/>
  <c r="ER198" i="17"/>
  <c r="ES198" i="17"/>
  <c r="ET198" i="17"/>
  <c r="EU198" i="17"/>
  <c r="EV198" i="17"/>
  <c r="EW198" i="17"/>
  <c r="EX198" i="17"/>
  <c r="EY198" i="17"/>
  <c r="EZ198" i="17"/>
  <c r="FA198" i="17"/>
  <c r="FB198" i="17"/>
  <c r="FC198" i="17"/>
  <c r="FD198" i="17"/>
  <c r="FE198" i="17"/>
  <c r="FF198" i="17"/>
  <c r="FG198" i="17"/>
  <c r="FH198" i="17"/>
  <c r="FI198" i="17"/>
  <c r="FJ198" i="17"/>
  <c r="FK198" i="17"/>
  <c r="FL198" i="17"/>
  <c r="EL199" i="17"/>
  <c r="EM199" i="17"/>
  <c r="EN199" i="17"/>
  <c r="EO199" i="17"/>
  <c r="EP199" i="17"/>
  <c r="EQ199" i="17"/>
  <c r="ER199" i="17"/>
  <c r="ES199" i="17"/>
  <c r="ET199" i="17"/>
  <c r="EU199" i="17"/>
  <c r="EV199" i="17"/>
  <c r="EW199" i="17"/>
  <c r="EX199" i="17"/>
  <c r="EY199" i="17"/>
  <c r="EZ199" i="17"/>
  <c r="FA199" i="17"/>
  <c r="FB199" i="17"/>
  <c r="FC199" i="17"/>
  <c r="FD199" i="17"/>
  <c r="FE199" i="17"/>
  <c r="FF199" i="17"/>
  <c r="FG199" i="17"/>
  <c r="FH199" i="17"/>
  <c r="FI199" i="17"/>
  <c r="FJ199" i="17"/>
  <c r="FK199" i="17"/>
  <c r="FL199" i="17"/>
  <c r="EL200" i="17"/>
  <c r="EM200" i="17"/>
  <c r="EN200" i="17"/>
  <c r="EO200" i="17"/>
  <c r="EP200" i="17"/>
  <c r="EQ200" i="17"/>
  <c r="ER200" i="17"/>
  <c r="ES200" i="17"/>
  <c r="ET200" i="17"/>
  <c r="EU200" i="17"/>
  <c r="EV200" i="17"/>
  <c r="EW200" i="17"/>
  <c r="EX200" i="17"/>
  <c r="EY200" i="17"/>
  <c r="EZ200" i="17"/>
  <c r="FA200" i="17"/>
  <c r="FB200" i="17"/>
  <c r="FC200" i="17"/>
  <c r="FD200" i="17"/>
  <c r="FE200" i="17"/>
  <c r="FF200" i="17"/>
  <c r="FG200" i="17"/>
  <c r="FH200" i="17"/>
  <c r="FI200" i="17"/>
  <c r="FJ200" i="17"/>
  <c r="FK200" i="17"/>
  <c r="FL200" i="17"/>
  <c r="EL201" i="17"/>
  <c r="EM201" i="17"/>
  <c r="EN201" i="17"/>
  <c r="EO201" i="17"/>
  <c r="EP201" i="17"/>
  <c r="EQ201" i="17"/>
  <c r="ER201" i="17"/>
  <c r="ES201" i="17"/>
  <c r="ET201" i="17"/>
  <c r="EU201" i="17"/>
  <c r="EV201" i="17"/>
  <c r="EW201" i="17"/>
  <c r="EX201" i="17"/>
  <c r="EY201" i="17"/>
  <c r="EZ201" i="17"/>
  <c r="FA201" i="17"/>
  <c r="FB201" i="17"/>
  <c r="FC201" i="17"/>
  <c r="FD201" i="17"/>
  <c r="FE201" i="17"/>
  <c r="FF201" i="17"/>
  <c r="FG201" i="17"/>
  <c r="FH201" i="17"/>
  <c r="FI201" i="17"/>
  <c r="FJ201" i="17"/>
  <c r="FK201" i="17"/>
  <c r="FL201" i="17"/>
  <c r="EL202" i="17"/>
  <c r="EM202" i="17"/>
  <c r="EN202" i="17"/>
  <c r="EO202" i="17"/>
  <c r="EP202" i="17"/>
  <c r="EQ202" i="17"/>
  <c r="ER202" i="17"/>
  <c r="ES202" i="17"/>
  <c r="ET202" i="17"/>
  <c r="EU202" i="17"/>
  <c r="EV202" i="17"/>
  <c r="EW202" i="17"/>
  <c r="EX202" i="17"/>
  <c r="EY202" i="17"/>
  <c r="EZ202" i="17"/>
  <c r="FA202" i="17"/>
  <c r="FB202" i="17"/>
  <c r="FC202" i="17"/>
  <c r="FD202" i="17"/>
  <c r="FE202" i="17"/>
  <c r="FF202" i="17"/>
  <c r="FG202" i="17"/>
  <c r="FH202" i="17"/>
  <c r="FI202" i="17"/>
  <c r="FJ202" i="17"/>
  <c r="FK202" i="17"/>
  <c r="FL202" i="17"/>
  <c r="EL203" i="17"/>
  <c r="EM203" i="17"/>
  <c r="EN203" i="17"/>
  <c r="EO203" i="17"/>
  <c r="EP203" i="17"/>
  <c r="EQ203" i="17"/>
  <c r="ER203" i="17"/>
  <c r="ES203" i="17"/>
  <c r="ET203" i="17"/>
  <c r="EU203" i="17"/>
  <c r="EV203" i="17"/>
  <c r="EW203" i="17"/>
  <c r="EX203" i="17"/>
  <c r="EY203" i="17"/>
  <c r="EZ203" i="17"/>
  <c r="FA203" i="17"/>
  <c r="FB203" i="17"/>
  <c r="FC203" i="17"/>
  <c r="FD203" i="17"/>
  <c r="FE203" i="17"/>
  <c r="FF203" i="17"/>
  <c r="FG203" i="17"/>
  <c r="FH203" i="17"/>
  <c r="FI203" i="17"/>
  <c r="FJ203" i="17"/>
  <c r="FK203" i="17"/>
  <c r="FL203" i="17"/>
  <c r="EL204" i="17"/>
  <c r="EM204" i="17"/>
  <c r="EN204" i="17"/>
  <c r="EO204" i="17"/>
  <c r="EP204" i="17"/>
  <c r="EQ204" i="17"/>
  <c r="ER204" i="17"/>
  <c r="ES204" i="17"/>
  <c r="ET204" i="17"/>
  <c r="EU204" i="17"/>
  <c r="EV204" i="17"/>
  <c r="EW204" i="17"/>
  <c r="EX204" i="17"/>
  <c r="EY204" i="17"/>
  <c r="EZ204" i="17"/>
  <c r="FA204" i="17"/>
  <c r="FB204" i="17"/>
  <c r="FC204" i="17"/>
  <c r="FD204" i="17"/>
  <c r="FE204" i="17"/>
  <c r="FF204" i="17"/>
  <c r="FG204" i="17"/>
  <c r="FH204" i="17"/>
  <c r="FI204" i="17"/>
  <c r="FJ204" i="17"/>
  <c r="FK204" i="17"/>
  <c r="FL204" i="17"/>
  <c r="EL205" i="17"/>
  <c r="EM205" i="17"/>
  <c r="EN205" i="17"/>
  <c r="EO205" i="17"/>
  <c r="EP205" i="17"/>
  <c r="EQ205" i="17"/>
  <c r="ER205" i="17"/>
  <c r="ES205" i="17"/>
  <c r="ET205" i="17"/>
  <c r="EU205" i="17"/>
  <c r="EV205" i="17"/>
  <c r="EW205" i="17"/>
  <c r="EX205" i="17"/>
  <c r="EY205" i="17"/>
  <c r="EZ205" i="17"/>
  <c r="FA205" i="17"/>
  <c r="FB205" i="17"/>
  <c r="FC205" i="17"/>
  <c r="FD205" i="17"/>
  <c r="FE205" i="17"/>
  <c r="FF205" i="17"/>
  <c r="FG205" i="17"/>
  <c r="FH205" i="17"/>
  <c r="FI205" i="17"/>
  <c r="FJ205" i="17"/>
  <c r="FK205" i="17"/>
  <c r="FL205" i="17"/>
  <c r="EL206" i="17"/>
  <c r="EM206" i="17"/>
  <c r="EN206" i="17"/>
  <c r="EO206" i="17"/>
  <c r="EP206" i="17"/>
  <c r="EQ206" i="17"/>
  <c r="ER206" i="17"/>
  <c r="ES206" i="17"/>
  <c r="ET206" i="17"/>
  <c r="EU206" i="17"/>
  <c r="EV206" i="17"/>
  <c r="EW206" i="17"/>
  <c r="EX206" i="17"/>
  <c r="EY206" i="17"/>
  <c r="EZ206" i="17"/>
  <c r="FA206" i="17"/>
  <c r="FB206" i="17"/>
  <c r="FC206" i="17"/>
  <c r="FD206" i="17"/>
  <c r="FE206" i="17"/>
  <c r="FF206" i="17"/>
  <c r="FG206" i="17"/>
  <c r="FH206" i="17"/>
  <c r="FI206" i="17"/>
  <c r="FJ206" i="17"/>
  <c r="FK206" i="17"/>
  <c r="FL206" i="17"/>
  <c r="EL207" i="17"/>
  <c r="EM207" i="17"/>
  <c r="EN207" i="17"/>
  <c r="EO207" i="17"/>
  <c r="EP207" i="17"/>
  <c r="EQ207" i="17"/>
  <c r="ER207" i="17"/>
  <c r="ES207" i="17"/>
  <c r="ET207" i="17"/>
  <c r="EU207" i="17"/>
  <c r="EV207" i="17"/>
  <c r="EW207" i="17"/>
  <c r="EX207" i="17"/>
  <c r="EY207" i="17"/>
  <c r="EZ207" i="17"/>
  <c r="FA207" i="17"/>
  <c r="FB207" i="17"/>
  <c r="FC207" i="17"/>
  <c r="FD207" i="17"/>
  <c r="FE207" i="17"/>
  <c r="FF207" i="17"/>
  <c r="FG207" i="17"/>
  <c r="FH207" i="17"/>
  <c r="FI207" i="17"/>
  <c r="FJ207" i="17"/>
  <c r="FK207" i="17"/>
  <c r="FL207" i="17"/>
  <c r="EL208" i="17"/>
  <c r="EM208" i="17"/>
  <c r="EN208" i="17"/>
  <c r="EO208" i="17"/>
  <c r="EP208" i="17"/>
  <c r="EQ208" i="17"/>
  <c r="ER208" i="17"/>
  <c r="ES208" i="17"/>
  <c r="ET208" i="17"/>
  <c r="EU208" i="17"/>
  <c r="EV208" i="17"/>
  <c r="EW208" i="17"/>
  <c r="EX208" i="17"/>
  <c r="EY208" i="17"/>
  <c r="EZ208" i="17"/>
  <c r="FA208" i="17"/>
  <c r="FB208" i="17"/>
  <c r="FC208" i="17"/>
  <c r="FD208" i="17"/>
  <c r="FE208" i="17"/>
  <c r="FF208" i="17"/>
  <c r="FG208" i="17"/>
  <c r="FH208" i="17"/>
  <c r="FI208" i="17"/>
  <c r="FJ208" i="17"/>
  <c r="FK208" i="17"/>
  <c r="FL208" i="17"/>
  <c r="EL209" i="17"/>
  <c r="EM209" i="17"/>
  <c r="EN209" i="17"/>
  <c r="EO209" i="17"/>
  <c r="EP209" i="17"/>
  <c r="EQ209" i="17"/>
  <c r="ER209" i="17"/>
  <c r="ES209" i="17"/>
  <c r="ET209" i="17"/>
  <c r="EU209" i="17"/>
  <c r="EV209" i="17"/>
  <c r="EW209" i="17"/>
  <c r="EX209" i="17"/>
  <c r="EY209" i="17"/>
  <c r="EZ209" i="17"/>
  <c r="FA209" i="17"/>
  <c r="FB209" i="17"/>
  <c r="FC209" i="17"/>
  <c r="FD209" i="17"/>
  <c r="FE209" i="17"/>
  <c r="FF209" i="17"/>
  <c r="FG209" i="17"/>
  <c r="FH209" i="17"/>
  <c r="FI209" i="17"/>
  <c r="FJ209" i="17"/>
  <c r="FK209" i="17"/>
  <c r="FL209" i="17"/>
  <c r="EL210" i="17"/>
  <c r="EM210" i="17"/>
  <c r="EN210" i="17"/>
  <c r="EO210" i="17"/>
  <c r="EP210" i="17"/>
  <c r="EQ210" i="17"/>
  <c r="ER210" i="17"/>
  <c r="ES210" i="17"/>
  <c r="ET210" i="17"/>
  <c r="EU210" i="17"/>
  <c r="EV210" i="17"/>
  <c r="EW210" i="17"/>
  <c r="EX210" i="17"/>
  <c r="EY210" i="17"/>
  <c r="EZ210" i="17"/>
  <c r="FA210" i="17"/>
  <c r="FB210" i="17"/>
  <c r="FC210" i="17"/>
  <c r="FD210" i="17"/>
  <c r="FE210" i="17"/>
  <c r="FF210" i="17"/>
  <c r="FG210" i="17"/>
  <c r="FH210" i="17"/>
  <c r="FI210" i="17"/>
  <c r="FJ210" i="17"/>
  <c r="FK210" i="17"/>
  <c r="FL210" i="17"/>
  <c r="EL211" i="17"/>
  <c r="EM211" i="17"/>
  <c r="EN211" i="17"/>
  <c r="EO211" i="17"/>
  <c r="EP211" i="17"/>
  <c r="EQ211" i="17"/>
  <c r="ER211" i="17"/>
  <c r="ES211" i="17"/>
  <c r="ET211" i="17"/>
  <c r="EU211" i="17"/>
  <c r="EV211" i="17"/>
  <c r="EW211" i="17"/>
  <c r="EX211" i="17"/>
  <c r="EY211" i="17"/>
  <c r="EZ211" i="17"/>
  <c r="FA211" i="17"/>
  <c r="FB211" i="17"/>
  <c r="FC211" i="17"/>
  <c r="FD211" i="17"/>
  <c r="FE211" i="17"/>
  <c r="FF211" i="17"/>
  <c r="FG211" i="17"/>
  <c r="FH211" i="17"/>
  <c r="FI211" i="17"/>
  <c r="FJ211" i="17"/>
  <c r="FK211" i="17"/>
  <c r="FL211" i="17"/>
  <c r="EL212" i="17"/>
  <c r="EM212" i="17"/>
  <c r="EN212" i="17"/>
  <c r="EO212" i="17"/>
  <c r="EP212" i="17"/>
  <c r="EQ212" i="17"/>
  <c r="ER212" i="17"/>
  <c r="ES212" i="17"/>
  <c r="ET212" i="17"/>
  <c r="EU212" i="17"/>
  <c r="EV212" i="17"/>
  <c r="EW212" i="17"/>
  <c r="EX212" i="17"/>
  <c r="EY212" i="17"/>
  <c r="EZ212" i="17"/>
  <c r="FA212" i="17"/>
  <c r="FB212" i="17"/>
  <c r="FC212" i="17"/>
  <c r="FD212" i="17"/>
  <c r="FE212" i="17"/>
  <c r="FF212" i="17"/>
  <c r="FG212" i="17"/>
  <c r="FH212" i="17"/>
  <c r="FI212" i="17"/>
  <c r="FJ212" i="17"/>
  <c r="FK212" i="17"/>
  <c r="FL212" i="17"/>
  <c r="EL213" i="17"/>
  <c r="EM213" i="17"/>
  <c r="EN213" i="17"/>
  <c r="EO213" i="17"/>
  <c r="EP213" i="17"/>
  <c r="EQ213" i="17"/>
  <c r="ER213" i="17"/>
  <c r="ES213" i="17"/>
  <c r="ET213" i="17"/>
  <c r="EU213" i="17"/>
  <c r="EV213" i="17"/>
  <c r="EW213" i="17"/>
  <c r="EX213" i="17"/>
  <c r="EY213" i="17"/>
  <c r="EZ213" i="17"/>
  <c r="FA213" i="17"/>
  <c r="FB213" i="17"/>
  <c r="FC213" i="17"/>
  <c r="FD213" i="17"/>
  <c r="FE213" i="17"/>
  <c r="FF213" i="17"/>
  <c r="FG213" i="17"/>
  <c r="FH213" i="17"/>
  <c r="FI213" i="17"/>
  <c r="FJ213" i="17"/>
  <c r="FK213" i="17"/>
  <c r="FL213" i="17"/>
  <c r="EL214" i="17"/>
  <c r="EM214" i="17"/>
  <c r="EN214" i="17"/>
  <c r="EO214" i="17"/>
  <c r="EP214" i="17"/>
  <c r="EQ214" i="17"/>
  <c r="ER214" i="17"/>
  <c r="ES214" i="17"/>
  <c r="ET214" i="17"/>
  <c r="EU214" i="17"/>
  <c r="EV214" i="17"/>
  <c r="EW214" i="17"/>
  <c r="EX214" i="17"/>
  <c r="EY214" i="17"/>
  <c r="EZ214" i="17"/>
  <c r="FA214" i="17"/>
  <c r="FB214" i="17"/>
  <c r="FC214" i="17"/>
  <c r="FD214" i="17"/>
  <c r="FE214" i="17"/>
  <c r="FF214" i="17"/>
  <c r="FG214" i="17"/>
  <c r="FH214" i="17"/>
  <c r="FI214" i="17"/>
  <c r="FJ214" i="17"/>
  <c r="FK214" i="17"/>
  <c r="FL214" i="17"/>
  <c r="EL215" i="17"/>
  <c r="EM215" i="17"/>
  <c r="EN215" i="17"/>
  <c r="EO215" i="17"/>
  <c r="EP215" i="17"/>
  <c r="EQ215" i="17"/>
  <c r="ER215" i="17"/>
  <c r="ES215" i="17"/>
  <c r="ET215" i="17"/>
  <c r="EU215" i="17"/>
  <c r="EV215" i="17"/>
  <c r="EW215" i="17"/>
  <c r="EX215" i="17"/>
  <c r="EY215" i="17"/>
  <c r="EZ215" i="17"/>
  <c r="FA215" i="17"/>
  <c r="FB215" i="17"/>
  <c r="FC215" i="17"/>
  <c r="FD215" i="17"/>
  <c r="FE215" i="17"/>
  <c r="FF215" i="17"/>
  <c r="FG215" i="17"/>
  <c r="FH215" i="17"/>
  <c r="FI215" i="17"/>
  <c r="FJ215" i="17"/>
  <c r="FK215" i="17"/>
  <c r="FL215" i="17"/>
  <c r="EL216" i="17"/>
  <c r="EM216" i="17"/>
  <c r="EN216" i="17"/>
  <c r="EO216" i="17"/>
  <c r="EP216" i="17"/>
  <c r="EQ216" i="17"/>
  <c r="ER216" i="17"/>
  <c r="ES216" i="17"/>
  <c r="ET216" i="17"/>
  <c r="EU216" i="17"/>
  <c r="EV216" i="17"/>
  <c r="EW216" i="17"/>
  <c r="EX216" i="17"/>
  <c r="EY216" i="17"/>
  <c r="EZ216" i="17"/>
  <c r="FA216" i="17"/>
  <c r="FB216" i="17"/>
  <c r="FC216" i="17"/>
  <c r="FD216" i="17"/>
  <c r="FE216" i="17"/>
  <c r="FF216" i="17"/>
  <c r="FG216" i="17"/>
  <c r="FH216" i="17"/>
  <c r="FI216" i="17"/>
  <c r="FJ216" i="17"/>
  <c r="FK216" i="17"/>
  <c r="FL216" i="17"/>
  <c r="EL217" i="17"/>
  <c r="EM217" i="17"/>
  <c r="EN217" i="17"/>
  <c r="EO217" i="17"/>
  <c r="EP217" i="17"/>
  <c r="EQ217" i="17"/>
  <c r="ER217" i="17"/>
  <c r="ES217" i="17"/>
  <c r="ET217" i="17"/>
  <c r="EU217" i="17"/>
  <c r="EV217" i="17"/>
  <c r="EW217" i="17"/>
  <c r="EX217" i="17"/>
  <c r="EY217" i="17"/>
  <c r="EZ217" i="17"/>
  <c r="FA217" i="17"/>
  <c r="FB217" i="17"/>
  <c r="FC217" i="17"/>
  <c r="FD217" i="17"/>
  <c r="FE217" i="17"/>
  <c r="FF217" i="17"/>
  <c r="FG217" i="17"/>
  <c r="FH217" i="17"/>
  <c r="FI217" i="17"/>
  <c r="FJ217" i="17"/>
  <c r="FK217" i="17"/>
  <c r="FL217" i="17"/>
  <c r="EL218" i="17"/>
  <c r="EM218" i="17"/>
  <c r="EN218" i="17"/>
  <c r="EO218" i="17"/>
  <c r="EP218" i="17"/>
  <c r="EQ218" i="17"/>
  <c r="ER218" i="17"/>
  <c r="ES218" i="17"/>
  <c r="ET218" i="17"/>
  <c r="EU218" i="17"/>
  <c r="EV218" i="17"/>
  <c r="EW218" i="17"/>
  <c r="EX218" i="17"/>
  <c r="EY218" i="17"/>
  <c r="EZ218" i="17"/>
  <c r="FA218" i="17"/>
  <c r="FB218" i="17"/>
  <c r="FC218" i="17"/>
  <c r="FD218" i="17"/>
  <c r="FE218" i="17"/>
  <c r="FF218" i="17"/>
  <c r="FG218" i="17"/>
  <c r="FH218" i="17"/>
  <c r="FI218" i="17"/>
  <c r="FJ218" i="17"/>
  <c r="FK218" i="17"/>
  <c r="FL218" i="17"/>
  <c r="EL219" i="17"/>
  <c r="EM219" i="17"/>
  <c r="EN219" i="17"/>
  <c r="EO219" i="17"/>
  <c r="EP219" i="17"/>
  <c r="EQ219" i="17"/>
  <c r="ER219" i="17"/>
  <c r="ES219" i="17"/>
  <c r="ET219" i="17"/>
  <c r="EU219" i="17"/>
  <c r="EV219" i="17"/>
  <c r="EW219" i="17"/>
  <c r="EX219" i="17"/>
  <c r="EY219" i="17"/>
  <c r="EZ219" i="17"/>
  <c r="FA219" i="17"/>
  <c r="FB219" i="17"/>
  <c r="FC219" i="17"/>
  <c r="FD219" i="17"/>
  <c r="FE219" i="17"/>
  <c r="FF219" i="17"/>
  <c r="FG219" i="17"/>
  <c r="FH219" i="17"/>
  <c r="FI219" i="17"/>
  <c r="FJ219" i="17"/>
  <c r="FK219" i="17"/>
  <c r="FL219" i="17"/>
  <c r="EL220" i="17"/>
  <c r="EM220" i="17"/>
  <c r="EN220" i="17"/>
  <c r="EO220" i="17"/>
  <c r="EP220" i="17"/>
  <c r="EQ220" i="17"/>
  <c r="ER220" i="17"/>
  <c r="ES220" i="17"/>
  <c r="ET220" i="17"/>
  <c r="EU220" i="17"/>
  <c r="EV220" i="17"/>
  <c r="EW220" i="17"/>
  <c r="EX220" i="17"/>
  <c r="EY220" i="17"/>
  <c r="EZ220" i="17"/>
  <c r="FA220" i="17"/>
  <c r="FB220" i="17"/>
  <c r="FC220" i="17"/>
  <c r="FD220" i="17"/>
  <c r="FE220" i="17"/>
  <c r="FF220" i="17"/>
  <c r="FG220" i="17"/>
  <c r="FH220" i="17"/>
  <c r="FI220" i="17"/>
  <c r="FJ220" i="17"/>
  <c r="FK220" i="17"/>
  <c r="FL220" i="17"/>
  <c r="EL221" i="17"/>
  <c r="EM221" i="17"/>
  <c r="EN221" i="17"/>
  <c r="EO221" i="17"/>
  <c r="EP221" i="17"/>
  <c r="EQ221" i="17"/>
  <c r="ER221" i="17"/>
  <c r="ES221" i="17"/>
  <c r="ET221" i="17"/>
  <c r="EU221" i="17"/>
  <c r="EV221" i="17"/>
  <c r="EW221" i="17"/>
  <c r="EX221" i="17"/>
  <c r="EY221" i="17"/>
  <c r="EZ221" i="17"/>
  <c r="FA221" i="17"/>
  <c r="FB221" i="17"/>
  <c r="FC221" i="17"/>
  <c r="FD221" i="17"/>
  <c r="FE221" i="17"/>
  <c r="FF221" i="17"/>
  <c r="FG221" i="17"/>
  <c r="FH221" i="17"/>
  <c r="FI221" i="17"/>
  <c r="FJ221" i="17"/>
  <c r="FK221" i="17"/>
  <c r="FL221" i="17"/>
  <c r="EL222" i="17"/>
  <c r="EM222" i="17"/>
  <c r="EN222" i="17"/>
  <c r="EO222" i="17"/>
  <c r="EP222" i="17"/>
  <c r="EQ222" i="17"/>
  <c r="ER222" i="17"/>
  <c r="ES222" i="17"/>
  <c r="ET222" i="17"/>
  <c r="EU222" i="17"/>
  <c r="EV222" i="17"/>
  <c r="EW222" i="17"/>
  <c r="EX222" i="17"/>
  <c r="EY222" i="17"/>
  <c r="EZ222" i="17"/>
  <c r="FA222" i="17"/>
  <c r="FB222" i="17"/>
  <c r="FC222" i="17"/>
  <c r="FD222" i="17"/>
  <c r="FE222" i="17"/>
  <c r="FF222" i="17"/>
  <c r="FG222" i="17"/>
  <c r="FH222" i="17"/>
  <c r="FI222" i="17"/>
  <c r="FJ222" i="17"/>
  <c r="FK222" i="17"/>
  <c r="FL222" i="17"/>
  <c r="EL223" i="17"/>
  <c r="EM223" i="17"/>
  <c r="EN223" i="17"/>
  <c r="EO223" i="17"/>
  <c r="EP223" i="17"/>
  <c r="EQ223" i="17"/>
  <c r="ER223" i="17"/>
  <c r="ES223" i="17"/>
  <c r="ET223" i="17"/>
  <c r="EU223" i="17"/>
  <c r="EV223" i="17"/>
  <c r="EW223" i="17"/>
  <c r="EX223" i="17"/>
  <c r="EY223" i="17"/>
  <c r="EZ223" i="17"/>
  <c r="FA223" i="17"/>
  <c r="FB223" i="17"/>
  <c r="FC223" i="17"/>
  <c r="FD223" i="17"/>
  <c r="FE223" i="17"/>
  <c r="FF223" i="17"/>
  <c r="FG223" i="17"/>
  <c r="FH223" i="17"/>
  <c r="FI223" i="17"/>
  <c r="FJ223" i="17"/>
  <c r="FK223" i="17"/>
  <c r="FL223" i="17"/>
  <c r="EL224" i="17"/>
  <c r="EM224" i="17"/>
  <c r="EN224" i="17"/>
  <c r="EO224" i="17"/>
  <c r="EP224" i="17"/>
  <c r="EQ224" i="17"/>
  <c r="ER224" i="17"/>
  <c r="ES224" i="17"/>
  <c r="ET224" i="17"/>
  <c r="EU224" i="17"/>
  <c r="EV224" i="17"/>
  <c r="EW224" i="17"/>
  <c r="EX224" i="17"/>
  <c r="EY224" i="17"/>
  <c r="EZ224" i="17"/>
  <c r="FA224" i="17"/>
  <c r="FB224" i="17"/>
  <c r="FC224" i="17"/>
  <c r="FD224" i="17"/>
  <c r="FE224" i="17"/>
  <c r="FF224" i="17"/>
  <c r="FG224" i="17"/>
  <c r="FH224" i="17"/>
  <c r="FI224" i="17"/>
  <c r="FJ224" i="17"/>
  <c r="FK224" i="17"/>
  <c r="FL224" i="17"/>
  <c r="EL225" i="17"/>
  <c r="EM225" i="17"/>
  <c r="EN225" i="17"/>
  <c r="EO225" i="17"/>
  <c r="EP225" i="17"/>
  <c r="EQ225" i="17"/>
  <c r="ER225" i="17"/>
  <c r="ES225" i="17"/>
  <c r="ET225" i="17"/>
  <c r="EU225" i="17"/>
  <c r="EV225" i="17"/>
  <c r="EW225" i="17"/>
  <c r="EX225" i="17"/>
  <c r="EY225" i="17"/>
  <c r="EZ225" i="17"/>
  <c r="FA225" i="17"/>
  <c r="FB225" i="17"/>
  <c r="FC225" i="17"/>
  <c r="FD225" i="17"/>
  <c r="FE225" i="17"/>
  <c r="FF225" i="17"/>
  <c r="FG225" i="17"/>
  <c r="FH225" i="17"/>
  <c r="FI225" i="17"/>
  <c r="FJ225" i="17"/>
  <c r="FK225" i="17"/>
  <c r="FL225" i="17"/>
  <c r="EL226" i="17"/>
  <c r="EM226" i="17"/>
  <c r="EN226" i="17"/>
  <c r="EO226" i="17"/>
  <c r="EP226" i="17"/>
  <c r="EQ226" i="17"/>
  <c r="ER226" i="17"/>
  <c r="ES226" i="17"/>
  <c r="ET226" i="17"/>
  <c r="EU226" i="17"/>
  <c r="EV226" i="17"/>
  <c r="EW226" i="17"/>
  <c r="EX226" i="17"/>
  <c r="EY226" i="17"/>
  <c r="EZ226" i="17"/>
  <c r="FA226" i="17"/>
  <c r="FB226" i="17"/>
  <c r="FC226" i="17"/>
  <c r="FD226" i="17"/>
  <c r="FE226" i="17"/>
  <c r="FF226" i="17"/>
  <c r="FG226" i="17"/>
  <c r="FH226" i="17"/>
  <c r="FI226" i="17"/>
  <c r="FJ226" i="17"/>
  <c r="FK226" i="17"/>
  <c r="FL226" i="17"/>
  <c r="EL227" i="17"/>
  <c r="EM227" i="17"/>
  <c r="EN227" i="17"/>
  <c r="EO227" i="17"/>
  <c r="EP227" i="17"/>
  <c r="EQ227" i="17"/>
  <c r="ER227" i="17"/>
  <c r="ES227" i="17"/>
  <c r="ET227" i="17"/>
  <c r="EU227" i="17"/>
  <c r="EV227" i="17"/>
  <c r="EW227" i="17"/>
  <c r="EX227" i="17"/>
  <c r="EY227" i="17"/>
  <c r="EZ227" i="17"/>
  <c r="FA227" i="17"/>
  <c r="FB227" i="17"/>
  <c r="FC227" i="17"/>
  <c r="FD227" i="17"/>
  <c r="FE227" i="17"/>
  <c r="FF227" i="17"/>
  <c r="FG227" i="17"/>
  <c r="FH227" i="17"/>
  <c r="FI227" i="17"/>
  <c r="FJ227" i="17"/>
  <c r="FK227" i="17"/>
  <c r="FL227" i="17"/>
  <c r="EL228" i="17"/>
  <c r="EM228" i="17"/>
  <c r="EN228" i="17"/>
  <c r="EO228" i="17"/>
  <c r="EP228" i="17"/>
  <c r="EQ228" i="17"/>
  <c r="ER228" i="17"/>
  <c r="ES228" i="17"/>
  <c r="ET228" i="17"/>
  <c r="EU228" i="17"/>
  <c r="EV228" i="17"/>
  <c r="EW228" i="17"/>
  <c r="EX228" i="17"/>
  <c r="EY228" i="17"/>
  <c r="EZ228" i="17"/>
  <c r="FA228" i="17"/>
  <c r="FB228" i="17"/>
  <c r="FC228" i="17"/>
  <c r="FD228" i="17"/>
  <c r="FE228" i="17"/>
  <c r="FF228" i="17"/>
  <c r="FG228" i="17"/>
  <c r="FH228" i="17"/>
  <c r="FI228" i="17"/>
  <c r="FJ228" i="17"/>
  <c r="FK228" i="17"/>
  <c r="FL228" i="17"/>
  <c r="EL229" i="17"/>
  <c r="EM229" i="17"/>
  <c r="EN229" i="17"/>
  <c r="EO229" i="17"/>
  <c r="EP229" i="17"/>
  <c r="EQ229" i="17"/>
  <c r="ER229" i="17"/>
  <c r="ES229" i="17"/>
  <c r="ET229" i="17"/>
  <c r="EU229" i="17"/>
  <c r="EV229" i="17"/>
  <c r="EW229" i="17"/>
  <c r="EX229" i="17"/>
  <c r="EY229" i="17"/>
  <c r="EZ229" i="17"/>
  <c r="FA229" i="17"/>
  <c r="FB229" i="17"/>
  <c r="FC229" i="17"/>
  <c r="FD229" i="17"/>
  <c r="FE229" i="17"/>
  <c r="FF229" i="17"/>
  <c r="FG229" i="17"/>
  <c r="FH229" i="17"/>
  <c r="FI229" i="17"/>
  <c r="FJ229" i="17"/>
  <c r="FK229" i="17"/>
  <c r="FL229" i="17"/>
  <c r="EL230" i="17"/>
  <c r="EM230" i="17"/>
  <c r="EN230" i="17"/>
  <c r="EO230" i="17"/>
  <c r="EP230" i="17"/>
  <c r="EQ230" i="17"/>
  <c r="ER230" i="17"/>
  <c r="ES230" i="17"/>
  <c r="ET230" i="17"/>
  <c r="EU230" i="17"/>
  <c r="EV230" i="17"/>
  <c r="EW230" i="17"/>
  <c r="EX230" i="17"/>
  <c r="EY230" i="17"/>
  <c r="EZ230" i="17"/>
  <c r="FA230" i="17"/>
  <c r="FB230" i="17"/>
  <c r="FC230" i="17"/>
  <c r="FD230" i="17"/>
  <c r="FE230" i="17"/>
  <c r="FF230" i="17"/>
  <c r="FG230" i="17"/>
  <c r="FH230" i="17"/>
  <c r="FI230" i="17"/>
  <c r="FJ230" i="17"/>
  <c r="FK230" i="17"/>
  <c r="FL230" i="17"/>
  <c r="EL231" i="17"/>
  <c r="EM231" i="17"/>
  <c r="EN231" i="17"/>
  <c r="EO231" i="17"/>
  <c r="EP231" i="17"/>
  <c r="EQ231" i="17"/>
  <c r="ER231" i="17"/>
  <c r="ES231" i="17"/>
  <c r="ET231" i="17"/>
  <c r="EU231" i="17"/>
  <c r="EV231" i="17"/>
  <c r="EW231" i="17"/>
  <c r="EX231" i="17"/>
  <c r="EY231" i="17"/>
  <c r="EZ231" i="17"/>
  <c r="FA231" i="17"/>
  <c r="FB231" i="17"/>
  <c r="FC231" i="17"/>
  <c r="FD231" i="17"/>
  <c r="FE231" i="17"/>
  <c r="FF231" i="17"/>
  <c r="FG231" i="17"/>
  <c r="FH231" i="17"/>
  <c r="FI231" i="17"/>
  <c r="FJ231" i="17"/>
  <c r="FK231" i="17"/>
  <c r="FL231" i="17"/>
  <c r="EL232" i="17"/>
  <c r="EM232" i="17"/>
  <c r="EN232" i="17"/>
  <c r="EO232" i="17"/>
  <c r="EP232" i="17"/>
  <c r="EQ232" i="17"/>
  <c r="ER232" i="17"/>
  <c r="ES232" i="17"/>
  <c r="ET232" i="17"/>
  <c r="EU232" i="17"/>
  <c r="EV232" i="17"/>
  <c r="EW232" i="17"/>
  <c r="EX232" i="17"/>
  <c r="EY232" i="17"/>
  <c r="EZ232" i="17"/>
  <c r="FA232" i="17"/>
  <c r="FB232" i="17"/>
  <c r="FC232" i="17"/>
  <c r="FD232" i="17"/>
  <c r="FE232" i="17"/>
  <c r="FF232" i="17"/>
  <c r="FG232" i="17"/>
  <c r="FH232" i="17"/>
  <c r="FI232" i="17"/>
  <c r="FJ232" i="17"/>
  <c r="FK232" i="17"/>
  <c r="FL232" i="17"/>
  <c r="EL233" i="17"/>
  <c r="EM233" i="17"/>
  <c r="EN233" i="17"/>
  <c r="EO233" i="17"/>
  <c r="EP233" i="17"/>
  <c r="EQ233" i="17"/>
  <c r="ER233" i="17"/>
  <c r="ES233" i="17"/>
  <c r="ET233" i="17"/>
  <c r="EU233" i="17"/>
  <c r="EV233" i="17"/>
  <c r="EW233" i="17"/>
  <c r="EX233" i="17"/>
  <c r="EY233" i="17"/>
  <c r="EZ233" i="17"/>
  <c r="FA233" i="17"/>
  <c r="FB233" i="17"/>
  <c r="FC233" i="17"/>
  <c r="FD233" i="17"/>
  <c r="FE233" i="17"/>
  <c r="FF233" i="17"/>
  <c r="FG233" i="17"/>
  <c r="FH233" i="17"/>
  <c r="FI233" i="17"/>
  <c r="FJ233" i="17"/>
  <c r="FK233" i="17"/>
  <c r="FL233" i="17"/>
  <c r="EL246" i="17"/>
  <c r="EM246" i="17"/>
  <c r="EN246" i="17"/>
  <c r="EO246" i="17"/>
  <c r="EP246" i="17"/>
  <c r="EQ246" i="17"/>
  <c r="ER246" i="17"/>
  <c r="ES246" i="17"/>
  <c r="ET246" i="17"/>
  <c r="EU246" i="17"/>
  <c r="EV246" i="17"/>
  <c r="EW246" i="17"/>
  <c r="EX246" i="17"/>
  <c r="EY246" i="17"/>
  <c r="EZ246" i="17"/>
  <c r="FA246" i="17"/>
  <c r="FB246" i="17"/>
  <c r="FC246" i="17"/>
  <c r="FD246" i="17"/>
  <c r="FE246" i="17"/>
  <c r="FF246" i="17"/>
  <c r="FG246" i="17"/>
  <c r="FH246" i="17"/>
  <c r="FI246" i="17"/>
  <c r="FJ246" i="17"/>
  <c r="FK246" i="17"/>
  <c r="FL246" i="17"/>
  <c r="EL247" i="17"/>
  <c r="EM247" i="17"/>
  <c r="EN247" i="17"/>
  <c r="EO247" i="17"/>
  <c r="EP247" i="17"/>
  <c r="EQ247" i="17"/>
  <c r="ER247" i="17"/>
  <c r="ES247" i="17"/>
  <c r="ET247" i="17"/>
  <c r="EU247" i="17"/>
  <c r="EV247" i="17"/>
  <c r="EW247" i="17"/>
  <c r="EX247" i="17"/>
  <c r="EY247" i="17"/>
  <c r="EZ247" i="17"/>
  <c r="FA247" i="17"/>
  <c r="FB247" i="17"/>
  <c r="FC247" i="17"/>
  <c r="FD247" i="17"/>
  <c r="FE247" i="17"/>
  <c r="FF247" i="17"/>
  <c r="FG247" i="17"/>
  <c r="FH247" i="17"/>
  <c r="FI247" i="17"/>
  <c r="FJ247" i="17"/>
  <c r="FK247" i="17"/>
  <c r="FL247" i="17"/>
  <c r="EL248" i="17"/>
  <c r="EM248" i="17"/>
  <c r="EN248" i="17"/>
  <c r="EO248" i="17"/>
  <c r="EP248" i="17"/>
  <c r="EQ248" i="17"/>
  <c r="ER248" i="17"/>
  <c r="ES248" i="17"/>
  <c r="ET248" i="17"/>
  <c r="EU248" i="17"/>
  <c r="EV248" i="17"/>
  <c r="EW248" i="17"/>
  <c r="EX248" i="17"/>
  <c r="EY248" i="17"/>
  <c r="EZ248" i="17"/>
  <c r="FA248" i="17"/>
  <c r="FB248" i="17"/>
  <c r="FC248" i="17"/>
  <c r="FD248" i="17"/>
  <c r="FE248" i="17"/>
  <c r="FF248" i="17"/>
  <c r="FG248" i="17"/>
  <c r="FH248" i="17"/>
  <c r="FI248" i="17"/>
  <c r="FJ248" i="17"/>
  <c r="FK248" i="17"/>
  <c r="FL248" i="17"/>
  <c r="EL249" i="17"/>
  <c r="EM249" i="17"/>
  <c r="EN249" i="17"/>
  <c r="EO249" i="17"/>
  <c r="EP249" i="17"/>
  <c r="EQ249" i="17"/>
  <c r="ER249" i="17"/>
  <c r="ES249" i="17"/>
  <c r="ET249" i="17"/>
  <c r="EU249" i="17"/>
  <c r="EV249" i="17"/>
  <c r="EW249" i="17"/>
  <c r="EX249" i="17"/>
  <c r="EY249" i="17"/>
  <c r="EZ249" i="17"/>
  <c r="FA249" i="17"/>
  <c r="FB249" i="17"/>
  <c r="FC249" i="17"/>
  <c r="FD249" i="17"/>
  <c r="FE249" i="17"/>
  <c r="FF249" i="17"/>
  <c r="FG249" i="17"/>
  <c r="FH249" i="17"/>
  <c r="FI249" i="17"/>
  <c r="FJ249" i="17"/>
  <c r="FK249" i="17"/>
  <c r="FL249" i="17"/>
  <c r="EL250" i="17"/>
  <c r="EM250" i="17"/>
  <c r="EN250" i="17"/>
  <c r="EO250" i="17"/>
  <c r="EP250" i="17"/>
  <c r="EQ250" i="17"/>
  <c r="ER250" i="17"/>
  <c r="ES250" i="17"/>
  <c r="ET250" i="17"/>
  <c r="EU250" i="17"/>
  <c r="EV250" i="17"/>
  <c r="EW250" i="17"/>
  <c r="EX250" i="17"/>
  <c r="EY250" i="17"/>
  <c r="EZ250" i="17"/>
  <c r="FA250" i="17"/>
  <c r="FB250" i="17"/>
  <c r="FC250" i="17"/>
  <c r="FD250" i="17"/>
  <c r="FE250" i="17"/>
  <c r="FF250" i="17"/>
  <c r="FG250" i="17"/>
  <c r="FH250" i="17"/>
  <c r="FI250" i="17"/>
  <c r="FJ250" i="17"/>
  <c r="FK250" i="17"/>
  <c r="FL250" i="17"/>
  <c r="EL251" i="17"/>
  <c r="EM251" i="17"/>
  <c r="EN251" i="17"/>
  <c r="EO251" i="17"/>
  <c r="EP251" i="17"/>
  <c r="EQ251" i="17"/>
  <c r="ER251" i="17"/>
  <c r="ES251" i="17"/>
  <c r="ET251" i="17"/>
  <c r="EU251" i="17"/>
  <c r="EV251" i="17"/>
  <c r="EW251" i="17"/>
  <c r="EX251" i="17"/>
  <c r="EY251" i="17"/>
  <c r="EZ251" i="17"/>
  <c r="FA251" i="17"/>
  <c r="FB251" i="17"/>
  <c r="FC251" i="17"/>
  <c r="FD251" i="17"/>
  <c r="FE251" i="17"/>
  <c r="FF251" i="17"/>
  <c r="FG251" i="17"/>
  <c r="FH251" i="17"/>
  <c r="FI251" i="17"/>
  <c r="FJ251" i="17"/>
  <c r="FK251" i="17"/>
  <c r="FL251" i="17"/>
  <c r="EL252" i="17"/>
  <c r="EM252" i="17"/>
  <c r="EN252" i="17"/>
  <c r="EO252" i="17"/>
  <c r="EP252" i="17"/>
  <c r="EQ252" i="17"/>
  <c r="ER252" i="17"/>
  <c r="ES252" i="17"/>
  <c r="ET252" i="17"/>
  <c r="EU252" i="17"/>
  <c r="EV252" i="17"/>
  <c r="EW252" i="17"/>
  <c r="EX252" i="17"/>
  <c r="EY252" i="17"/>
  <c r="EZ252" i="17"/>
  <c r="FA252" i="17"/>
  <c r="FB252" i="17"/>
  <c r="FC252" i="17"/>
  <c r="FD252" i="17"/>
  <c r="FE252" i="17"/>
  <c r="FF252" i="17"/>
  <c r="FG252" i="17"/>
  <c r="FH252" i="17"/>
  <c r="FI252" i="17"/>
  <c r="FJ252" i="17"/>
  <c r="FK252" i="17"/>
  <c r="FL252" i="17"/>
  <c r="EL253" i="17"/>
  <c r="EM253" i="17"/>
  <c r="EN253" i="17"/>
  <c r="EO253" i="17"/>
  <c r="EP253" i="17"/>
  <c r="EQ253" i="17"/>
  <c r="ER253" i="17"/>
  <c r="ES253" i="17"/>
  <c r="ET253" i="17"/>
  <c r="EU253" i="17"/>
  <c r="EV253" i="17"/>
  <c r="EW253" i="17"/>
  <c r="EX253" i="17"/>
  <c r="EY253" i="17"/>
  <c r="EZ253" i="17"/>
  <c r="FA253" i="17"/>
  <c r="FB253" i="17"/>
  <c r="FC253" i="17"/>
  <c r="FD253" i="17"/>
  <c r="FE253" i="17"/>
  <c r="FF253" i="17"/>
  <c r="FG253" i="17"/>
  <c r="FH253" i="17"/>
  <c r="FI253" i="17"/>
  <c r="FJ253" i="17"/>
  <c r="FK253" i="17"/>
  <c r="FL253" i="17"/>
  <c r="EL254" i="17"/>
  <c r="EM254" i="17"/>
  <c r="EN254" i="17"/>
  <c r="EO254" i="17"/>
  <c r="EP254" i="17"/>
  <c r="EQ254" i="17"/>
  <c r="ER254" i="17"/>
  <c r="ES254" i="17"/>
  <c r="ET254" i="17"/>
  <c r="EU254" i="17"/>
  <c r="EV254" i="17"/>
  <c r="EW254" i="17"/>
  <c r="EX254" i="17"/>
  <c r="EY254" i="17"/>
  <c r="EZ254" i="17"/>
  <c r="FA254" i="17"/>
  <c r="FB254" i="17"/>
  <c r="FC254" i="17"/>
  <c r="FD254" i="17"/>
  <c r="FE254" i="17"/>
  <c r="FF254" i="17"/>
  <c r="FG254" i="17"/>
  <c r="FH254" i="17"/>
  <c r="FI254" i="17"/>
  <c r="FJ254" i="17"/>
  <c r="FK254" i="17"/>
  <c r="FL254" i="17"/>
  <c r="EL255" i="17"/>
  <c r="EM255" i="17"/>
  <c r="EN255" i="17"/>
  <c r="EO255" i="17"/>
  <c r="EP255" i="17"/>
  <c r="EQ255" i="17"/>
  <c r="ER255" i="17"/>
  <c r="ES255" i="17"/>
  <c r="ET255" i="17"/>
  <c r="EU255" i="17"/>
  <c r="EV255" i="17"/>
  <c r="EW255" i="17"/>
  <c r="EX255" i="17"/>
  <c r="EY255" i="17"/>
  <c r="EZ255" i="17"/>
  <c r="FA255" i="17"/>
  <c r="FB255" i="17"/>
  <c r="FC255" i="17"/>
  <c r="FD255" i="17"/>
  <c r="FE255" i="17"/>
  <c r="FF255" i="17"/>
  <c r="FG255" i="17"/>
  <c r="FH255" i="17"/>
  <c r="FI255" i="17"/>
  <c r="FJ255" i="17"/>
  <c r="FK255" i="17"/>
  <c r="FL255" i="17"/>
  <c r="EL256" i="17"/>
  <c r="EM256" i="17"/>
  <c r="EN256" i="17"/>
  <c r="EO256" i="17"/>
  <c r="EP256" i="17"/>
  <c r="EQ256" i="17"/>
  <c r="ER256" i="17"/>
  <c r="ES256" i="17"/>
  <c r="ET256" i="17"/>
  <c r="EU256" i="17"/>
  <c r="EV256" i="17"/>
  <c r="EW256" i="17"/>
  <c r="EX256" i="17"/>
  <c r="EY256" i="17"/>
  <c r="EZ256" i="17"/>
  <c r="FA256" i="17"/>
  <c r="FB256" i="17"/>
  <c r="FC256" i="17"/>
  <c r="FD256" i="17"/>
  <c r="FE256" i="17"/>
  <c r="FF256" i="17"/>
  <c r="FG256" i="17"/>
  <c r="FH256" i="17"/>
  <c r="FI256" i="17"/>
  <c r="FJ256" i="17"/>
  <c r="FK256" i="17"/>
  <c r="FL256" i="17"/>
  <c r="EL257" i="17"/>
  <c r="EM257" i="17"/>
  <c r="EN257" i="17"/>
  <c r="EO257" i="17"/>
  <c r="EP257" i="17"/>
  <c r="EQ257" i="17"/>
  <c r="ER257" i="17"/>
  <c r="ES257" i="17"/>
  <c r="ET257" i="17"/>
  <c r="EU257" i="17"/>
  <c r="EV257" i="17"/>
  <c r="EW257" i="17"/>
  <c r="EX257" i="17"/>
  <c r="EY257" i="17"/>
  <c r="EZ257" i="17"/>
  <c r="FA257" i="17"/>
  <c r="FB257" i="17"/>
  <c r="FC257" i="17"/>
  <c r="FD257" i="17"/>
  <c r="FE257" i="17"/>
  <c r="FF257" i="17"/>
  <c r="FG257" i="17"/>
  <c r="FH257" i="17"/>
  <c r="FI257" i="17"/>
  <c r="FJ257" i="17"/>
  <c r="FK257" i="17"/>
  <c r="FL257" i="17"/>
  <c r="EL258" i="17"/>
  <c r="EM258" i="17"/>
  <c r="EN258" i="17"/>
  <c r="EO258" i="17"/>
  <c r="EP258" i="17"/>
  <c r="EQ258" i="17"/>
  <c r="ER258" i="17"/>
  <c r="ES258" i="17"/>
  <c r="ET258" i="17"/>
  <c r="EU258" i="17"/>
  <c r="EV258" i="17"/>
  <c r="EW258" i="17"/>
  <c r="EX258" i="17"/>
  <c r="EY258" i="17"/>
  <c r="EZ258" i="17"/>
  <c r="FA258" i="17"/>
  <c r="FB258" i="17"/>
  <c r="FC258" i="17"/>
  <c r="FD258" i="17"/>
  <c r="FE258" i="17"/>
  <c r="FF258" i="17"/>
  <c r="FG258" i="17"/>
  <c r="FH258" i="17"/>
  <c r="FI258" i="17"/>
  <c r="FJ258" i="17"/>
  <c r="FK258" i="17"/>
  <c r="FL258" i="17"/>
  <c r="EL259" i="17"/>
  <c r="EM259" i="17"/>
  <c r="EN259" i="17"/>
  <c r="EO259" i="17"/>
  <c r="EP259" i="17"/>
  <c r="EQ259" i="17"/>
  <c r="ER259" i="17"/>
  <c r="ES259" i="17"/>
  <c r="ET259" i="17"/>
  <c r="EU259" i="17"/>
  <c r="EV259" i="17"/>
  <c r="EW259" i="17"/>
  <c r="EX259" i="17"/>
  <c r="EY259" i="17"/>
  <c r="EZ259" i="17"/>
  <c r="FA259" i="17"/>
  <c r="FB259" i="17"/>
  <c r="FC259" i="17"/>
  <c r="FD259" i="17"/>
  <c r="FE259" i="17"/>
  <c r="FF259" i="17"/>
  <c r="FG259" i="17"/>
  <c r="FH259" i="17"/>
  <c r="FI259" i="17"/>
  <c r="FJ259" i="17"/>
  <c r="FK259" i="17"/>
  <c r="FL259" i="17"/>
  <c r="EL260" i="17"/>
  <c r="EM260" i="17"/>
  <c r="EN260" i="17"/>
  <c r="EO260" i="17"/>
  <c r="EP260" i="17"/>
  <c r="EQ260" i="17"/>
  <c r="ER260" i="17"/>
  <c r="ES260" i="17"/>
  <c r="ET260" i="17"/>
  <c r="EU260" i="17"/>
  <c r="EV260" i="17"/>
  <c r="EW260" i="17"/>
  <c r="EX260" i="17"/>
  <c r="EY260" i="17"/>
  <c r="EZ260" i="17"/>
  <c r="FA260" i="17"/>
  <c r="FB260" i="17"/>
  <c r="FC260" i="17"/>
  <c r="FD260" i="17"/>
  <c r="FE260" i="17"/>
  <c r="FF260" i="17"/>
  <c r="FG260" i="17"/>
  <c r="FH260" i="17"/>
  <c r="FI260" i="17"/>
  <c r="FJ260" i="17"/>
  <c r="FK260" i="17"/>
  <c r="FL260" i="17"/>
  <c r="EL261" i="17"/>
  <c r="EM261" i="17"/>
  <c r="EN261" i="17"/>
  <c r="EO261" i="17"/>
  <c r="EP261" i="17"/>
  <c r="EQ261" i="17"/>
  <c r="ER261" i="17"/>
  <c r="ES261" i="17"/>
  <c r="ET261" i="17"/>
  <c r="EU261" i="17"/>
  <c r="EV261" i="17"/>
  <c r="EW261" i="17"/>
  <c r="EX261" i="17"/>
  <c r="EY261" i="17"/>
  <c r="EZ261" i="17"/>
  <c r="FA261" i="17"/>
  <c r="FB261" i="17"/>
  <c r="FC261" i="17"/>
  <c r="FD261" i="17"/>
  <c r="FE261" i="17"/>
  <c r="FF261" i="17"/>
  <c r="FG261" i="17"/>
  <c r="FH261" i="17"/>
  <c r="FI261" i="17"/>
  <c r="FJ261" i="17"/>
  <c r="FK261" i="17"/>
  <c r="FL261" i="17"/>
  <c r="EL262" i="17"/>
  <c r="EM262" i="17"/>
  <c r="EN262" i="17"/>
  <c r="EO262" i="17"/>
  <c r="EP262" i="17"/>
  <c r="EQ262" i="17"/>
  <c r="ER262" i="17"/>
  <c r="ES262" i="17"/>
  <c r="ET262" i="17"/>
  <c r="EU262" i="17"/>
  <c r="EV262" i="17"/>
  <c r="EW262" i="17"/>
  <c r="EX262" i="17"/>
  <c r="EY262" i="17"/>
  <c r="EZ262" i="17"/>
  <c r="FA262" i="17"/>
  <c r="FB262" i="17"/>
  <c r="FC262" i="17"/>
  <c r="FD262" i="17"/>
  <c r="FE262" i="17"/>
  <c r="FF262" i="17"/>
  <c r="FG262" i="17"/>
  <c r="FH262" i="17"/>
  <c r="FI262" i="17"/>
  <c r="FJ262" i="17"/>
  <c r="FK262" i="17"/>
  <c r="FL262" i="17"/>
  <c r="EL263" i="17"/>
  <c r="EM263" i="17"/>
  <c r="EN263" i="17"/>
  <c r="EO263" i="17"/>
  <c r="EP263" i="17"/>
  <c r="EQ263" i="17"/>
  <c r="ER263" i="17"/>
  <c r="ES263" i="17"/>
  <c r="ET263" i="17"/>
  <c r="EU263" i="17"/>
  <c r="EV263" i="17"/>
  <c r="EW263" i="17"/>
  <c r="EX263" i="17"/>
  <c r="EY263" i="17"/>
  <c r="EZ263" i="17"/>
  <c r="FA263" i="17"/>
  <c r="FB263" i="17"/>
  <c r="FC263" i="17"/>
  <c r="FD263" i="17"/>
  <c r="FE263" i="17"/>
  <c r="FF263" i="17"/>
  <c r="FG263" i="17"/>
  <c r="FH263" i="17"/>
  <c r="FI263" i="17"/>
  <c r="FJ263" i="17"/>
  <c r="FK263" i="17"/>
  <c r="FL263" i="17"/>
  <c r="EL264" i="17"/>
  <c r="EM264" i="17"/>
  <c r="EN264" i="17"/>
  <c r="EO264" i="17"/>
  <c r="EP264" i="17"/>
  <c r="EQ264" i="17"/>
  <c r="ER264" i="17"/>
  <c r="ES264" i="17"/>
  <c r="ET264" i="17"/>
  <c r="EU264" i="17"/>
  <c r="EV264" i="17"/>
  <c r="EW264" i="17"/>
  <c r="EX264" i="17"/>
  <c r="EY264" i="17"/>
  <c r="EZ264" i="17"/>
  <c r="FA264" i="17"/>
  <c r="FB264" i="17"/>
  <c r="FC264" i="17"/>
  <c r="FD264" i="17"/>
  <c r="FE264" i="17"/>
  <c r="FF264" i="17"/>
  <c r="FG264" i="17"/>
  <c r="FH264" i="17"/>
  <c r="FI264" i="17"/>
  <c r="FJ264" i="17"/>
  <c r="FK264" i="17"/>
  <c r="FL264" i="17"/>
  <c r="EL265" i="17"/>
  <c r="EM265" i="17"/>
  <c r="EN265" i="17"/>
  <c r="EO265" i="17"/>
  <c r="EP265" i="17"/>
  <c r="EQ265" i="17"/>
  <c r="ER265" i="17"/>
  <c r="ES265" i="17"/>
  <c r="ET265" i="17"/>
  <c r="EU265" i="17"/>
  <c r="EV265" i="17"/>
  <c r="EW265" i="17"/>
  <c r="EX265" i="17"/>
  <c r="EY265" i="17"/>
  <c r="EZ265" i="17"/>
  <c r="FA265" i="17"/>
  <c r="FB265" i="17"/>
  <c r="FC265" i="17"/>
  <c r="FD265" i="17"/>
  <c r="FE265" i="17"/>
  <c r="FF265" i="17"/>
  <c r="FG265" i="17"/>
  <c r="FH265" i="17"/>
  <c r="FI265" i="17"/>
  <c r="FJ265" i="17"/>
  <c r="FK265" i="17"/>
  <c r="FL265" i="17"/>
  <c r="EL266" i="17"/>
  <c r="EM266" i="17"/>
  <c r="EN266" i="17"/>
  <c r="EO266" i="17"/>
  <c r="EP266" i="17"/>
  <c r="EQ266" i="17"/>
  <c r="ER266" i="17"/>
  <c r="ES266" i="17"/>
  <c r="ET266" i="17"/>
  <c r="EU266" i="17"/>
  <c r="EV266" i="17"/>
  <c r="EW266" i="17"/>
  <c r="EX266" i="17"/>
  <c r="EY266" i="17"/>
  <c r="EZ266" i="17"/>
  <c r="FA266" i="17"/>
  <c r="FB266" i="17"/>
  <c r="FC266" i="17"/>
  <c r="FD266" i="17"/>
  <c r="FE266" i="17"/>
  <c r="FF266" i="17"/>
  <c r="FG266" i="17"/>
  <c r="FH266" i="17"/>
  <c r="FI266" i="17"/>
  <c r="FJ266" i="17"/>
  <c r="FK266" i="17"/>
  <c r="FL266" i="17"/>
  <c r="EL267" i="17"/>
  <c r="EM267" i="17"/>
  <c r="EN267" i="17"/>
  <c r="EO267" i="17"/>
  <c r="EP267" i="17"/>
  <c r="EQ267" i="17"/>
  <c r="ER267" i="17"/>
  <c r="ES267" i="17"/>
  <c r="ET267" i="17"/>
  <c r="EU267" i="17"/>
  <c r="EV267" i="17"/>
  <c r="EW267" i="17"/>
  <c r="EX267" i="17"/>
  <c r="EY267" i="17"/>
  <c r="EZ267" i="17"/>
  <c r="FA267" i="17"/>
  <c r="FB267" i="17"/>
  <c r="FC267" i="17"/>
  <c r="FD267" i="17"/>
  <c r="FE267" i="17"/>
  <c r="FF267" i="17"/>
  <c r="FG267" i="17"/>
  <c r="FH267" i="17"/>
  <c r="FI267" i="17"/>
  <c r="FJ267" i="17"/>
  <c r="FK267" i="17"/>
  <c r="FL267" i="17"/>
  <c r="EL189" i="17"/>
  <c r="EM189" i="17"/>
  <c r="EN189" i="17"/>
  <c r="EO189" i="17"/>
  <c r="EP189" i="17"/>
  <c r="EQ189" i="17"/>
  <c r="ER189" i="17"/>
  <c r="ES189" i="17"/>
  <c r="ET189" i="17"/>
  <c r="EU189" i="17"/>
  <c r="EV189" i="17"/>
  <c r="EW189" i="17"/>
  <c r="EX189" i="17"/>
  <c r="EY189" i="17"/>
  <c r="EZ189" i="17"/>
  <c r="FA189" i="17"/>
  <c r="FB189" i="17"/>
  <c r="FC189" i="17"/>
  <c r="FD189" i="17"/>
  <c r="FE189" i="17"/>
  <c r="FF189" i="17"/>
  <c r="FG189" i="17"/>
  <c r="FH189" i="17"/>
  <c r="FI189" i="17"/>
  <c r="FJ189" i="17"/>
  <c r="FK189" i="17"/>
  <c r="FL189" i="17"/>
  <c r="EL268" i="17"/>
  <c r="EM268" i="17"/>
  <c r="EN268" i="17"/>
  <c r="EO268" i="17"/>
  <c r="EP268" i="17"/>
  <c r="EQ268" i="17"/>
  <c r="ER268" i="17"/>
  <c r="ES268" i="17"/>
  <c r="ET268" i="17"/>
  <c r="EU268" i="17"/>
  <c r="EV268" i="17"/>
  <c r="EW268" i="17"/>
  <c r="EX268" i="17"/>
  <c r="EY268" i="17"/>
  <c r="EZ268" i="17"/>
  <c r="FA268" i="17"/>
  <c r="FB268" i="17"/>
  <c r="FC268" i="17"/>
  <c r="FD268" i="17"/>
  <c r="FE268" i="17"/>
  <c r="FF268" i="17"/>
  <c r="FG268" i="17"/>
  <c r="FH268" i="17"/>
  <c r="FI268" i="17"/>
  <c r="FJ268" i="17"/>
  <c r="FK268" i="17"/>
  <c r="FL268" i="17"/>
  <c r="EL269" i="17"/>
  <c r="EM269" i="17"/>
  <c r="EN269" i="17"/>
  <c r="EO269" i="17"/>
  <c r="EP269" i="17"/>
  <c r="EQ269" i="17"/>
  <c r="ER269" i="17"/>
  <c r="ES269" i="17"/>
  <c r="ET269" i="17"/>
  <c r="EU269" i="17"/>
  <c r="EV269" i="17"/>
  <c r="EW269" i="17"/>
  <c r="EX269" i="17"/>
  <c r="EY269" i="17"/>
  <c r="EZ269" i="17"/>
  <c r="FA269" i="17"/>
  <c r="FB269" i="17"/>
  <c r="FC269" i="17"/>
  <c r="FD269" i="17"/>
  <c r="FE269" i="17"/>
  <c r="FF269" i="17"/>
  <c r="FG269" i="17"/>
  <c r="FH269" i="17"/>
  <c r="FI269" i="17"/>
  <c r="FJ269" i="17"/>
  <c r="FK269" i="17"/>
  <c r="FL269" i="17"/>
  <c r="EL270" i="17"/>
  <c r="EM270" i="17"/>
  <c r="EN270" i="17"/>
  <c r="EO270" i="17"/>
  <c r="EP270" i="17"/>
  <c r="EQ270" i="17"/>
  <c r="ER270" i="17"/>
  <c r="ES270" i="17"/>
  <c r="ET270" i="17"/>
  <c r="EU270" i="17"/>
  <c r="EV270" i="17"/>
  <c r="EW270" i="17"/>
  <c r="EX270" i="17"/>
  <c r="EY270" i="17"/>
  <c r="EZ270" i="17"/>
  <c r="FA270" i="17"/>
  <c r="FB270" i="17"/>
  <c r="FC270" i="17"/>
  <c r="FD270" i="17"/>
  <c r="FE270" i="17"/>
  <c r="FF270" i="17"/>
  <c r="FG270" i="17"/>
  <c r="FH270" i="17"/>
  <c r="FI270" i="17"/>
  <c r="FJ270" i="17"/>
  <c r="FK270" i="17"/>
  <c r="FL270" i="17"/>
  <c r="EL271" i="17"/>
  <c r="EM271" i="17"/>
  <c r="EN271" i="17"/>
  <c r="EO271" i="17"/>
  <c r="EP271" i="17"/>
  <c r="EQ271" i="17"/>
  <c r="ER271" i="17"/>
  <c r="ES271" i="17"/>
  <c r="ET271" i="17"/>
  <c r="EU271" i="17"/>
  <c r="EV271" i="17"/>
  <c r="EW271" i="17"/>
  <c r="EX271" i="17"/>
  <c r="EY271" i="17"/>
  <c r="EZ271" i="17"/>
  <c r="FA271" i="17"/>
  <c r="FB271" i="17"/>
  <c r="FC271" i="17"/>
  <c r="FD271" i="17"/>
  <c r="FE271" i="17"/>
  <c r="FF271" i="17"/>
  <c r="FG271" i="17"/>
  <c r="FH271" i="17"/>
  <c r="FI271" i="17"/>
  <c r="FJ271" i="17"/>
  <c r="FK271" i="17"/>
  <c r="FL271" i="17"/>
  <c r="EL272" i="17"/>
  <c r="EM272" i="17"/>
  <c r="EN272" i="17"/>
  <c r="EO272" i="17"/>
  <c r="EP272" i="17"/>
  <c r="EQ272" i="17"/>
  <c r="ER272" i="17"/>
  <c r="ES272" i="17"/>
  <c r="ET272" i="17"/>
  <c r="EU272" i="17"/>
  <c r="EV272" i="17"/>
  <c r="EW272" i="17"/>
  <c r="EX272" i="17"/>
  <c r="EY272" i="17"/>
  <c r="EZ272" i="17"/>
  <c r="FA272" i="17"/>
  <c r="FB272" i="17"/>
  <c r="FC272" i="17"/>
  <c r="FD272" i="17"/>
  <c r="FE272" i="17"/>
  <c r="FF272" i="17"/>
  <c r="FG272" i="17"/>
  <c r="FH272" i="17"/>
  <c r="FI272" i="17"/>
  <c r="FJ272" i="17"/>
  <c r="FK272" i="17"/>
  <c r="FL272" i="17"/>
  <c r="EL273" i="17"/>
  <c r="EM273" i="17"/>
  <c r="EN273" i="17"/>
  <c r="EO273" i="17"/>
  <c r="EP273" i="17"/>
  <c r="EQ273" i="17"/>
  <c r="ER273" i="17"/>
  <c r="ES273" i="17"/>
  <c r="ET273" i="17"/>
  <c r="EU273" i="17"/>
  <c r="EV273" i="17"/>
  <c r="EW273" i="17"/>
  <c r="EX273" i="17"/>
  <c r="EY273" i="17"/>
  <c r="EZ273" i="17"/>
  <c r="FA273" i="17"/>
  <c r="FB273" i="17"/>
  <c r="FC273" i="17"/>
  <c r="FD273" i="17"/>
  <c r="FE273" i="17"/>
  <c r="FF273" i="17"/>
  <c r="FG273" i="17"/>
  <c r="FH273" i="17"/>
  <c r="FI273" i="17"/>
  <c r="FJ273" i="17"/>
  <c r="FK273" i="17"/>
  <c r="FL273" i="17"/>
  <c r="EL274" i="17"/>
  <c r="EM274" i="17"/>
  <c r="EN274" i="17"/>
  <c r="EO274" i="17"/>
  <c r="EP274" i="17"/>
  <c r="EQ274" i="17"/>
  <c r="ER274" i="17"/>
  <c r="ES274" i="17"/>
  <c r="ET274" i="17"/>
  <c r="EU274" i="17"/>
  <c r="EV274" i="17"/>
  <c r="EW274" i="17"/>
  <c r="EX274" i="17"/>
  <c r="EY274" i="17"/>
  <c r="EZ274" i="17"/>
  <c r="FA274" i="17"/>
  <c r="FB274" i="17"/>
  <c r="FC274" i="17"/>
  <c r="FD274" i="17"/>
  <c r="FE274" i="17"/>
  <c r="FF274" i="17"/>
  <c r="FG274" i="17"/>
  <c r="FH274" i="17"/>
  <c r="FI274" i="17"/>
  <c r="FJ274" i="17"/>
  <c r="FK274" i="17"/>
  <c r="FL274" i="17"/>
  <c r="EL275" i="17"/>
  <c r="EM275" i="17"/>
  <c r="EN275" i="17"/>
  <c r="EO275" i="17"/>
  <c r="EP275" i="17"/>
  <c r="EQ275" i="17"/>
  <c r="ER275" i="17"/>
  <c r="ES275" i="17"/>
  <c r="ET275" i="17"/>
  <c r="EU275" i="17"/>
  <c r="EV275" i="17"/>
  <c r="EW275" i="17"/>
  <c r="EX275" i="17"/>
  <c r="EY275" i="17"/>
  <c r="EZ275" i="17"/>
  <c r="FA275" i="17"/>
  <c r="FB275" i="17"/>
  <c r="FC275" i="17"/>
  <c r="FD275" i="17"/>
  <c r="FE275" i="17"/>
  <c r="FF275" i="17"/>
  <c r="FG275" i="17"/>
  <c r="FH275" i="17"/>
  <c r="FI275" i="17"/>
  <c r="FJ275" i="17"/>
  <c r="FK275" i="17"/>
  <c r="FL275" i="17"/>
  <c r="EL276" i="17"/>
  <c r="EM276" i="17"/>
  <c r="EN276" i="17"/>
  <c r="EO276" i="17"/>
  <c r="EP276" i="17"/>
  <c r="EQ276" i="17"/>
  <c r="ER276" i="17"/>
  <c r="ES276" i="17"/>
  <c r="ET276" i="17"/>
  <c r="EU276" i="17"/>
  <c r="EV276" i="17"/>
  <c r="EW276" i="17"/>
  <c r="EX276" i="17"/>
  <c r="EY276" i="17"/>
  <c r="EZ276" i="17"/>
  <c r="FA276" i="17"/>
  <c r="FB276" i="17"/>
  <c r="FC276" i="17"/>
  <c r="FD276" i="17"/>
  <c r="FE276" i="17"/>
  <c r="FF276" i="17"/>
  <c r="FG276" i="17"/>
  <c r="FH276" i="17"/>
  <c r="FI276" i="17"/>
  <c r="FJ276" i="17"/>
  <c r="FK276" i="17"/>
  <c r="FL276" i="17"/>
  <c r="EL277" i="17"/>
  <c r="EM277" i="17"/>
  <c r="EN277" i="17"/>
  <c r="EO277" i="17"/>
  <c r="EP277" i="17"/>
  <c r="EQ277" i="17"/>
  <c r="ER277" i="17"/>
  <c r="ES277" i="17"/>
  <c r="ET277" i="17"/>
  <c r="EU277" i="17"/>
  <c r="EV277" i="17"/>
  <c r="EW277" i="17"/>
  <c r="EX277" i="17"/>
  <c r="EY277" i="17"/>
  <c r="EZ277" i="17"/>
  <c r="FA277" i="17"/>
  <c r="FB277" i="17"/>
  <c r="FC277" i="17"/>
  <c r="FD277" i="17"/>
  <c r="FE277" i="17"/>
  <c r="FF277" i="17"/>
  <c r="FG277" i="17"/>
  <c r="FH277" i="17"/>
  <c r="FI277" i="17"/>
  <c r="FJ277" i="17"/>
  <c r="FK277" i="17"/>
  <c r="FL277" i="17"/>
  <c r="EL278" i="17"/>
  <c r="EM278" i="17"/>
  <c r="EN278" i="17"/>
  <c r="EO278" i="17"/>
  <c r="EP278" i="17"/>
  <c r="EQ278" i="17"/>
  <c r="ER278" i="17"/>
  <c r="ES278" i="17"/>
  <c r="ET278" i="17"/>
  <c r="EU278" i="17"/>
  <c r="EV278" i="17"/>
  <c r="EW278" i="17"/>
  <c r="EX278" i="17"/>
  <c r="EY278" i="17"/>
  <c r="EZ278" i="17"/>
  <c r="FA278" i="17"/>
  <c r="FB278" i="17"/>
  <c r="FC278" i="17"/>
  <c r="FD278" i="17"/>
  <c r="FE278" i="17"/>
  <c r="FF278" i="17"/>
  <c r="FG278" i="17"/>
  <c r="FH278" i="17"/>
  <c r="FI278" i="17"/>
  <c r="FJ278" i="17"/>
  <c r="FK278" i="17"/>
  <c r="FL278" i="17"/>
  <c r="EL279" i="17"/>
  <c r="EM279" i="17"/>
  <c r="EN279" i="17"/>
  <c r="EO279" i="17"/>
  <c r="EP279" i="17"/>
  <c r="EQ279" i="17"/>
  <c r="ER279" i="17"/>
  <c r="ES279" i="17"/>
  <c r="ET279" i="17"/>
  <c r="EU279" i="17"/>
  <c r="EV279" i="17"/>
  <c r="EW279" i="17"/>
  <c r="EX279" i="17"/>
  <c r="EY279" i="17"/>
  <c r="EZ279" i="17"/>
  <c r="FA279" i="17"/>
  <c r="FB279" i="17"/>
  <c r="FC279" i="17"/>
  <c r="FD279" i="17"/>
  <c r="FE279" i="17"/>
  <c r="FF279" i="17"/>
  <c r="FG279" i="17"/>
  <c r="FH279" i="17"/>
  <c r="FI279" i="17"/>
  <c r="FJ279" i="17"/>
  <c r="FK279" i="17"/>
  <c r="FL279" i="17"/>
  <c r="EL280" i="17"/>
  <c r="EM280" i="17"/>
  <c r="EN280" i="17"/>
  <c r="EO280" i="17"/>
  <c r="EP280" i="17"/>
  <c r="EQ280" i="17"/>
  <c r="ER280" i="17"/>
  <c r="ES280" i="17"/>
  <c r="ET280" i="17"/>
  <c r="EU280" i="17"/>
  <c r="EV280" i="17"/>
  <c r="EW280" i="17"/>
  <c r="EX280" i="17"/>
  <c r="EY280" i="17"/>
  <c r="EZ280" i="17"/>
  <c r="FA280" i="17"/>
  <c r="FB280" i="17"/>
  <c r="FC280" i="17"/>
  <c r="FD280" i="17"/>
  <c r="FE280" i="17"/>
  <c r="FF280" i="17"/>
  <c r="FG280" i="17"/>
  <c r="FH280" i="17"/>
  <c r="FI280" i="17"/>
  <c r="FJ280" i="17"/>
  <c r="FK280" i="17"/>
  <c r="FL280" i="17"/>
  <c r="EL281" i="17"/>
  <c r="EM281" i="17"/>
  <c r="EN281" i="17"/>
  <c r="EO281" i="17"/>
  <c r="EP281" i="17"/>
  <c r="EQ281" i="17"/>
  <c r="ER281" i="17"/>
  <c r="ES281" i="17"/>
  <c r="ET281" i="17"/>
  <c r="EU281" i="17"/>
  <c r="EV281" i="17"/>
  <c r="EW281" i="17"/>
  <c r="EX281" i="17"/>
  <c r="EY281" i="17"/>
  <c r="EZ281" i="17"/>
  <c r="FA281" i="17"/>
  <c r="FB281" i="17"/>
  <c r="FC281" i="17"/>
  <c r="FD281" i="17"/>
  <c r="FE281" i="17"/>
  <c r="FF281" i="17"/>
  <c r="FG281" i="17"/>
  <c r="FH281" i="17"/>
  <c r="FI281" i="17"/>
  <c r="FJ281" i="17"/>
  <c r="FK281" i="17"/>
  <c r="FL281" i="17"/>
  <c r="EL282" i="17"/>
  <c r="EM282" i="17"/>
  <c r="EN282" i="17"/>
  <c r="EO282" i="17"/>
  <c r="EP282" i="17"/>
  <c r="EQ282" i="17"/>
  <c r="ER282" i="17"/>
  <c r="ES282" i="17"/>
  <c r="ET282" i="17"/>
  <c r="EU282" i="17"/>
  <c r="EV282" i="17"/>
  <c r="EW282" i="17"/>
  <c r="EX282" i="17"/>
  <c r="EY282" i="17"/>
  <c r="EZ282" i="17"/>
  <c r="FA282" i="17"/>
  <c r="FB282" i="17"/>
  <c r="FC282" i="17"/>
  <c r="FD282" i="17"/>
  <c r="FE282" i="17"/>
  <c r="FF282" i="17"/>
  <c r="FG282" i="17"/>
  <c r="FH282" i="17"/>
  <c r="FI282" i="17"/>
  <c r="FJ282" i="17"/>
  <c r="FK282" i="17"/>
  <c r="FL282" i="17"/>
  <c r="EL283" i="17"/>
  <c r="EM283" i="17"/>
  <c r="EN283" i="17"/>
  <c r="EO283" i="17"/>
  <c r="EP283" i="17"/>
  <c r="EQ283" i="17"/>
  <c r="ER283" i="17"/>
  <c r="ES283" i="17"/>
  <c r="ET283" i="17"/>
  <c r="EU283" i="17"/>
  <c r="EV283" i="17"/>
  <c r="EW283" i="17"/>
  <c r="EX283" i="17"/>
  <c r="EY283" i="17"/>
  <c r="EZ283" i="17"/>
  <c r="FA283" i="17"/>
  <c r="FB283" i="17"/>
  <c r="FC283" i="17"/>
  <c r="FD283" i="17"/>
  <c r="FE283" i="17"/>
  <c r="FF283" i="17"/>
  <c r="FG283" i="17"/>
  <c r="FH283" i="17"/>
  <c r="FI283" i="17"/>
  <c r="FJ283" i="17"/>
  <c r="FK283" i="17"/>
  <c r="FL283" i="17"/>
  <c r="EL284" i="17"/>
  <c r="EM284" i="17"/>
  <c r="EN284" i="17"/>
  <c r="EO284" i="17"/>
  <c r="EP284" i="17"/>
  <c r="EQ284" i="17"/>
  <c r="ER284" i="17"/>
  <c r="ES284" i="17"/>
  <c r="ET284" i="17"/>
  <c r="EU284" i="17"/>
  <c r="EV284" i="17"/>
  <c r="EW284" i="17"/>
  <c r="EX284" i="17"/>
  <c r="EY284" i="17"/>
  <c r="EZ284" i="17"/>
  <c r="FA284" i="17"/>
  <c r="FB284" i="17"/>
  <c r="FC284" i="17"/>
  <c r="FD284" i="17"/>
  <c r="FE284" i="17"/>
  <c r="FF284" i="17"/>
  <c r="FG284" i="17"/>
  <c r="FH284" i="17"/>
  <c r="FI284" i="17"/>
  <c r="FJ284" i="17"/>
  <c r="FK284" i="17"/>
  <c r="FL284" i="17"/>
  <c r="EL285" i="17"/>
  <c r="EM285" i="17"/>
  <c r="EN285" i="17"/>
  <c r="EO285" i="17"/>
  <c r="EP285" i="17"/>
  <c r="EQ285" i="17"/>
  <c r="ER285" i="17"/>
  <c r="ES285" i="17"/>
  <c r="ET285" i="17"/>
  <c r="EU285" i="17"/>
  <c r="EV285" i="17"/>
  <c r="EW285" i="17"/>
  <c r="EX285" i="17"/>
  <c r="EY285" i="17"/>
  <c r="EZ285" i="17"/>
  <c r="FA285" i="17"/>
  <c r="FB285" i="17"/>
  <c r="FC285" i="17"/>
  <c r="FD285" i="17"/>
  <c r="FE285" i="17"/>
  <c r="FF285" i="17"/>
  <c r="FG285" i="17"/>
  <c r="FH285" i="17"/>
  <c r="FI285" i="17"/>
  <c r="FJ285" i="17"/>
  <c r="FK285" i="17"/>
  <c r="FL285" i="17"/>
  <c r="EL286" i="17"/>
  <c r="EM286" i="17"/>
  <c r="EN286" i="17"/>
  <c r="EO286" i="17"/>
  <c r="EP286" i="17"/>
  <c r="EQ286" i="17"/>
  <c r="ER286" i="17"/>
  <c r="ES286" i="17"/>
  <c r="ET286" i="17"/>
  <c r="EU286" i="17"/>
  <c r="EV286" i="17"/>
  <c r="EW286" i="17"/>
  <c r="EX286" i="17"/>
  <c r="EY286" i="17"/>
  <c r="EZ286" i="17"/>
  <c r="FA286" i="17"/>
  <c r="FB286" i="17"/>
  <c r="FC286" i="17"/>
  <c r="FD286" i="17"/>
  <c r="FE286" i="17"/>
  <c r="FF286" i="17"/>
  <c r="FG286" i="17"/>
  <c r="FH286" i="17"/>
  <c r="FI286" i="17"/>
  <c r="FJ286" i="17"/>
  <c r="FK286" i="17"/>
  <c r="FL286" i="17"/>
  <c r="EL287" i="17"/>
  <c r="EM287" i="17"/>
  <c r="EN287" i="17"/>
  <c r="EO287" i="17"/>
  <c r="EP287" i="17"/>
  <c r="EQ287" i="17"/>
  <c r="ER287" i="17"/>
  <c r="ES287" i="17"/>
  <c r="ET287" i="17"/>
  <c r="EU287" i="17"/>
  <c r="EV287" i="17"/>
  <c r="EW287" i="17"/>
  <c r="EX287" i="17"/>
  <c r="EY287" i="17"/>
  <c r="EZ287" i="17"/>
  <c r="FA287" i="17"/>
  <c r="FB287" i="17"/>
  <c r="FC287" i="17"/>
  <c r="FD287" i="17"/>
  <c r="FE287" i="17"/>
  <c r="FF287" i="17"/>
  <c r="FG287" i="17"/>
  <c r="FH287" i="17"/>
  <c r="FI287" i="17"/>
  <c r="FJ287" i="17"/>
  <c r="FK287" i="17"/>
  <c r="FL287" i="17"/>
  <c r="EL288" i="17"/>
  <c r="EM288" i="17"/>
  <c r="EN288" i="17"/>
  <c r="EO288" i="17"/>
  <c r="EP288" i="17"/>
  <c r="EQ288" i="17"/>
  <c r="ER288" i="17"/>
  <c r="ES288" i="17"/>
  <c r="ET288" i="17"/>
  <c r="EU288" i="17"/>
  <c r="EV288" i="17"/>
  <c r="EW288" i="17"/>
  <c r="EX288" i="17"/>
  <c r="EY288" i="17"/>
  <c r="EZ288" i="17"/>
  <c r="FA288" i="17"/>
  <c r="FB288" i="17"/>
  <c r="FC288" i="17"/>
  <c r="FD288" i="17"/>
  <c r="FE288" i="17"/>
  <c r="FF288" i="17"/>
  <c r="FG288" i="17"/>
  <c r="FH288" i="17"/>
  <c r="FI288" i="17"/>
  <c r="FJ288" i="17"/>
  <c r="FK288" i="17"/>
  <c r="FL288" i="17"/>
  <c r="EL289" i="17"/>
  <c r="EM289" i="17"/>
  <c r="EN289" i="17"/>
  <c r="EO289" i="17"/>
  <c r="EP289" i="17"/>
  <c r="EQ289" i="17"/>
  <c r="ER289" i="17"/>
  <c r="ES289" i="17"/>
  <c r="ET289" i="17"/>
  <c r="EU289" i="17"/>
  <c r="EV289" i="17"/>
  <c r="EW289" i="17"/>
  <c r="EX289" i="17"/>
  <c r="EY289" i="17"/>
  <c r="EZ289" i="17"/>
  <c r="FA289" i="17"/>
  <c r="FB289" i="17"/>
  <c r="FC289" i="17"/>
  <c r="FD289" i="17"/>
  <c r="FE289" i="17"/>
  <c r="FF289" i="17"/>
  <c r="FG289" i="17"/>
  <c r="FH289" i="17"/>
  <c r="FI289" i="17"/>
  <c r="FJ289" i="17"/>
  <c r="FK289" i="17"/>
  <c r="FL289" i="17"/>
  <c r="EL290" i="17"/>
  <c r="EM290" i="17"/>
  <c r="EN290" i="17"/>
  <c r="EO290" i="17"/>
  <c r="EP290" i="17"/>
  <c r="EQ290" i="17"/>
  <c r="ER290" i="17"/>
  <c r="ES290" i="17"/>
  <c r="ET290" i="17"/>
  <c r="EU290" i="17"/>
  <c r="EV290" i="17"/>
  <c r="EW290" i="17"/>
  <c r="EX290" i="17"/>
  <c r="EY290" i="17"/>
  <c r="EZ290" i="17"/>
  <c r="FA290" i="17"/>
  <c r="FB290" i="17"/>
  <c r="FC290" i="17"/>
  <c r="FD290" i="17"/>
  <c r="FE290" i="17"/>
  <c r="FF290" i="17"/>
  <c r="FG290" i="17"/>
  <c r="FH290" i="17"/>
  <c r="FI290" i="17"/>
  <c r="FJ290" i="17"/>
  <c r="FK290" i="17"/>
  <c r="FL290" i="17"/>
  <c r="EL291" i="17"/>
  <c r="EM291" i="17"/>
  <c r="EN291" i="17"/>
  <c r="EO291" i="17"/>
  <c r="EP291" i="17"/>
  <c r="EQ291" i="17"/>
  <c r="ER291" i="17"/>
  <c r="ES291" i="17"/>
  <c r="ET291" i="17"/>
  <c r="EU291" i="17"/>
  <c r="EV291" i="17"/>
  <c r="EW291" i="17"/>
  <c r="EX291" i="17"/>
  <c r="EY291" i="17"/>
  <c r="EZ291" i="17"/>
  <c r="FA291" i="17"/>
  <c r="FB291" i="17"/>
  <c r="FC291" i="17"/>
  <c r="FD291" i="17"/>
  <c r="FE291" i="17"/>
  <c r="FF291" i="17"/>
  <c r="FG291" i="17"/>
  <c r="FH291" i="17"/>
  <c r="FI291" i="17"/>
  <c r="FJ291" i="17"/>
  <c r="FK291" i="17"/>
  <c r="FL291" i="17"/>
  <c r="EL292" i="17"/>
  <c r="EM292" i="17"/>
  <c r="EN292" i="17"/>
  <c r="EO292" i="17"/>
  <c r="EP292" i="17"/>
  <c r="EQ292" i="17"/>
  <c r="ER292" i="17"/>
  <c r="ES292" i="17"/>
  <c r="ET292" i="17"/>
  <c r="EU292" i="17"/>
  <c r="EV292" i="17"/>
  <c r="EW292" i="17"/>
  <c r="EX292" i="17"/>
  <c r="EY292" i="17"/>
  <c r="EZ292" i="17"/>
  <c r="FA292" i="17"/>
  <c r="FB292" i="17"/>
  <c r="FC292" i="17"/>
  <c r="FD292" i="17"/>
  <c r="FE292" i="17"/>
  <c r="FF292" i="17"/>
  <c r="FG292" i="17"/>
  <c r="FH292" i="17"/>
  <c r="FI292" i="17"/>
  <c r="FJ292" i="17"/>
  <c r="FK292" i="17"/>
  <c r="FL292" i="17"/>
  <c r="EL295" i="17"/>
  <c r="EM295" i="17"/>
  <c r="EN295" i="17"/>
  <c r="EO295" i="17"/>
  <c r="EP295" i="17"/>
  <c r="EQ295" i="17"/>
  <c r="ER295" i="17"/>
  <c r="ES295" i="17"/>
  <c r="ET295" i="17"/>
  <c r="EU295" i="17"/>
  <c r="EV295" i="17"/>
  <c r="EW295" i="17"/>
  <c r="EX295" i="17"/>
  <c r="EY295" i="17"/>
  <c r="EZ295" i="17"/>
  <c r="FA295" i="17"/>
  <c r="FB295" i="17"/>
  <c r="FC295" i="17"/>
  <c r="FD295" i="17"/>
  <c r="FE295" i="17"/>
  <c r="FF295" i="17"/>
  <c r="FG295" i="17"/>
  <c r="FH295" i="17"/>
  <c r="FI295" i="17"/>
  <c r="FJ295" i="17"/>
  <c r="FK295" i="17"/>
  <c r="FL295" i="17"/>
  <c r="EL296" i="17"/>
  <c r="EM296" i="17"/>
  <c r="EN296" i="17"/>
  <c r="EO296" i="17"/>
  <c r="EP296" i="17"/>
  <c r="EQ296" i="17"/>
  <c r="ER296" i="17"/>
  <c r="ES296" i="17"/>
  <c r="ET296" i="17"/>
  <c r="EU296" i="17"/>
  <c r="EV296" i="17"/>
  <c r="EW296" i="17"/>
  <c r="EX296" i="17"/>
  <c r="EY296" i="17"/>
  <c r="EZ296" i="17"/>
  <c r="FA296" i="17"/>
  <c r="FB296" i="17"/>
  <c r="FC296" i="17"/>
  <c r="FD296" i="17"/>
  <c r="FE296" i="17"/>
  <c r="FF296" i="17"/>
  <c r="FG296" i="17"/>
  <c r="FH296" i="17"/>
  <c r="FI296" i="17"/>
  <c r="FJ296" i="17"/>
  <c r="FK296" i="17"/>
  <c r="FL296" i="17"/>
  <c r="EL297" i="17"/>
  <c r="EM297" i="17"/>
  <c r="EN297" i="17"/>
  <c r="EO297" i="17"/>
  <c r="EP297" i="17"/>
  <c r="EQ297" i="17"/>
  <c r="ER297" i="17"/>
  <c r="ES297" i="17"/>
  <c r="ET297" i="17"/>
  <c r="EU297" i="17"/>
  <c r="EV297" i="17"/>
  <c r="EW297" i="17"/>
  <c r="EX297" i="17"/>
  <c r="EY297" i="17"/>
  <c r="EZ297" i="17"/>
  <c r="FA297" i="17"/>
  <c r="FB297" i="17"/>
  <c r="FC297" i="17"/>
  <c r="FD297" i="17"/>
  <c r="FE297" i="17"/>
  <c r="FF297" i="17"/>
  <c r="FG297" i="17"/>
  <c r="FH297" i="17"/>
  <c r="FI297" i="17"/>
  <c r="FJ297" i="17"/>
  <c r="FK297" i="17"/>
  <c r="FL297" i="17"/>
  <c r="EL298" i="17"/>
  <c r="EM298" i="17"/>
  <c r="EN298" i="17"/>
  <c r="EO298" i="17"/>
  <c r="EP298" i="17"/>
  <c r="EQ298" i="17"/>
  <c r="ER298" i="17"/>
  <c r="ES298" i="17"/>
  <c r="ET298" i="17"/>
  <c r="EU298" i="17"/>
  <c r="EV298" i="17"/>
  <c r="EW298" i="17"/>
  <c r="EX298" i="17"/>
  <c r="EY298" i="17"/>
  <c r="EZ298" i="17"/>
  <c r="FA298" i="17"/>
  <c r="FB298" i="17"/>
  <c r="FC298" i="17"/>
  <c r="FD298" i="17"/>
  <c r="FE298" i="17"/>
  <c r="FF298" i="17"/>
  <c r="FG298" i="17"/>
  <c r="FH298" i="17"/>
  <c r="FI298" i="17"/>
  <c r="FJ298" i="17"/>
  <c r="FK298" i="17"/>
  <c r="FL298" i="17"/>
  <c r="EL179" i="17"/>
  <c r="EM179" i="17"/>
  <c r="EN179" i="17"/>
  <c r="EO179" i="17"/>
  <c r="EP179" i="17"/>
  <c r="EQ179" i="17"/>
  <c r="ER179" i="17"/>
  <c r="ES179" i="17"/>
  <c r="ET179" i="17"/>
  <c r="EU179" i="17"/>
  <c r="EV179" i="17"/>
  <c r="EW179" i="17"/>
  <c r="EX179" i="17"/>
  <c r="EY179" i="17"/>
  <c r="EZ179" i="17"/>
  <c r="FA179" i="17"/>
  <c r="FB179" i="17"/>
  <c r="FC179" i="17"/>
  <c r="FD179" i="17"/>
  <c r="FE179" i="17"/>
  <c r="FF179" i="17"/>
  <c r="FG179" i="17"/>
  <c r="FH179" i="17"/>
  <c r="FI179" i="17"/>
  <c r="FJ179" i="17"/>
  <c r="FK179" i="17"/>
  <c r="FL179" i="17"/>
  <c r="EL299" i="17"/>
  <c r="EM299" i="17"/>
  <c r="EN299" i="17"/>
  <c r="EO299" i="17"/>
  <c r="EP299" i="17"/>
  <c r="EQ299" i="17"/>
  <c r="ER299" i="17"/>
  <c r="ES299" i="17"/>
  <c r="ET299" i="17"/>
  <c r="EU299" i="17"/>
  <c r="EV299" i="17"/>
  <c r="EW299" i="17"/>
  <c r="EX299" i="17"/>
  <c r="EY299" i="17"/>
  <c r="EZ299" i="17"/>
  <c r="FA299" i="17"/>
  <c r="FB299" i="17"/>
  <c r="FC299" i="17"/>
  <c r="FD299" i="17"/>
  <c r="FE299" i="17"/>
  <c r="FF299" i="17"/>
  <c r="FG299" i="17"/>
  <c r="FH299" i="17"/>
  <c r="FI299" i="17"/>
  <c r="FJ299" i="17"/>
  <c r="FK299" i="17"/>
  <c r="FL299" i="17"/>
  <c r="EL300" i="17"/>
  <c r="EM300" i="17"/>
  <c r="EN300" i="17"/>
  <c r="EO300" i="17"/>
  <c r="EP300" i="17"/>
  <c r="EQ300" i="17"/>
  <c r="ER300" i="17"/>
  <c r="ES300" i="17"/>
  <c r="ET300" i="17"/>
  <c r="EU300" i="17"/>
  <c r="EV300" i="17"/>
  <c r="EW300" i="17"/>
  <c r="EX300" i="17"/>
  <c r="EY300" i="17"/>
  <c r="EZ300" i="17"/>
  <c r="FA300" i="17"/>
  <c r="FB300" i="17"/>
  <c r="FC300" i="17"/>
  <c r="FD300" i="17"/>
  <c r="FE300" i="17"/>
  <c r="FF300" i="17"/>
  <c r="FG300" i="17"/>
  <c r="FH300" i="17"/>
  <c r="FI300" i="17"/>
  <c r="FJ300" i="17"/>
  <c r="FK300" i="17"/>
  <c r="FL300" i="17"/>
  <c r="EL301" i="17"/>
  <c r="EM301" i="17"/>
  <c r="EN301" i="17"/>
  <c r="EO301" i="17"/>
  <c r="EP301" i="17"/>
  <c r="EQ301" i="17"/>
  <c r="ER301" i="17"/>
  <c r="ES301" i="17"/>
  <c r="ET301" i="17"/>
  <c r="EU301" i="17"/>
  <c r="EV301" i="17"/>
  <c r="EW301" i="17"/>
  <c r="EX301" i="17"/>
  <c r="EY301" i="17"/>
  <c r="EZ301" i="17"/>
  <c r="FA301" i="17"/>
  <c r="FB301" i="17"/>
  <c r="FC301" i="17"/>
  <c r="FD301" i="17"/>
  <c r="FE301" i="17"/>
  <c r="FF301" i="17"/>
  <c r="FG301" i="17"/>
  <c r="FH301" i="17"/>
  <c r="FI301" i="17"/>
  <c r="FJ301" i="17"/>
  <c r="FK301" i="17"/>
  <c r="FL301" i="17"/>
  <c r="EL302" i="17"/>
  <c r="EM302" i="17"/>
  <c r="EN302" i="17"/>
  <c r="EO302" i="17"/>
  <c r="EP302" i="17"/>
  <c r="EQ302" i="17"/>
  <c r="ER302" i="17"/>
  <c r="ES302" i="17"/>
  <c r="ET302" i="17"/>
  <c r="EU302" i="17"/>
  <c r="EV302" i="17"/>
  <c r="EW302" i="17"/>
  <c r="EX302" i="17"/>
  <c r="EY302" i="17"/>
  <c r="EZ302" i="17"/>
  <c r="FA302" i="17"/>
  <c r="FB302" i="17"/>
  <c r="FC302" i="17"/>
  <c r="FD302" i="17"/>
  <c r="FE302" i="17"/>
  <c r="FF302" i="17"/>
  <c r="FG302" i="17"/>
  <c r="FH302" i="17"/>
  <c r="FI302" i="17"/>
  <c r="FJ302" i="17"/>
  <c r="FK302" i="17"/>
  <c r="FL302" i="17"/>
  <c r="EL303" i="17"/>
  <c r="EM303" i="17"/>
  <c r="EN303" i="17"/>
  <c r="EO303" i="17"/>
  <c r="EP303" i="17"/>
  <c r="EQ303" i="17"/>
  <c r="ER303" i="17"/>
  <c r="ES303" i="17"/>
  <c r="ET303" i="17"/>
  <c r="EU303" i="17"/>
  <c r="EV303" i="17"/>
  <c r="EW303" i="17"/>
  <c r="EX303" i="17"/>
  <c r="EY303" i="17"/>
  <c r="EZ303" i="17"/>
  <c r="FA303" i="17"/>
  <c r="FB303" i="17"/>
  <c r="FC303" i="17"/>
  <c r="FD303" i="17"/>
  <c r="FE303" i="17"/>
  <c r="FF303" i="17"/>
  <c r="FG303" i="17"/>
  <c r="FH303" i="17"/>
  <c r="FI303" i="17"/>
  <c r="FJ303" i="17"/>
  <c r="FK303" i="17"/>
  <c r="FL303" i="17"/>
  <c r="EL315" i="17"/>
  <c r="EM315" i="17"/>
  <c r="EN315" i="17"/>
  <c r="EO315" i="17"/>
  <c r="EP315" i="17"/>
  <c r="EQ315" i="17"/>
  <c r="ER315" i="17"/>
  <c r="ES315" i="17"/>
  <c r="ET315" i="17"/>
  <c r="EU315" i="17"/>
  <c r="EV315" i="17"/>
  <c r="EW315" i="17"/>
  <c r="EX315" i="17"/>
  <c r="EY315" i="17"/>
  <c r="EZ315" i="17"/>
  <c r="FA315" i="17"/>
  <c r="FB315" i="17"/>
  <c r="FC315" i="17"/>
  <c r="FD315" i="17"/>
  <c r="FE315" i="17"/>
  <c r="FF315" i="17"/>
  <c r="FG315" i="17"/>
  <c r="FH315" i="17"/>
  <c r="FI315" i="17"/>
  <c r="FJ315" i="17"/>
  <c r="FK315" i="17"/>
  <c r="FL315" i="17"/>
  <c r="EL316" i="17"/>
  <c r="EM316" i="17"/>
  <c r="EN316" i="17"/>
  <c r="EO316" i="17"/>
  <c r="EP316" i="17"/>
  <c r="EQ316" i="17"/>
  <c r="ER316" i="17"/>
  <c r="ES316" i="17"/>
  <c r="ET316" i="17"/>
  <c r="EU316" i="17"/>
  <c r="EV316" i="17"/>
  <c r="EW316" i="17"/>
  <c r="EX316" i="17"/>
  <c r="EY316" i="17"/>
  <c r="EZ316" i="17"/>
  <c r="FA316" i="17"/>
  <c r="FB316" i="17"/>
  <c r="FC316" i="17"/>
  <c r="FD316" i="17"/>
  <c r="FE316" i="17"/>
  <c r="FF316" i="17"/>
  <c r="FG316" i="17"/>
  <c r="FH316" i="17"/>
  <c r="FI316" i="17"/>
  <c r="FJ316" i="17"/>
  <c r="FK316" i="17"/>
  <c r="FL316" i="17"/>
  <c r="EL317" i="17"/>
  <c r="EM317" i="17"/>
  <c r="EN317" i="17"/>
  <c r="EO317" i="17"/>
  <c r="EP317" i="17"/>
  <c r="EQ317" i="17"/>
  <c r="ER317" i="17"/>
  <c r="ES317" i="17"/>
  <c r="ET317" i="17"/>
  <c r="EU317" i="17"/>
  <c r="EV317" i="17"/>
  <c r="EW317" i="17"/>
  <c r="EX317" i="17"/>
  <c r="EY317" i="17"/>
  <c r="EZ317" i="17"/>
  <c r="FA317" i="17"/>
  <c r="FB317" i="17"/>
  <c r="FC317" i="17"/>
  <c r="FD317" i="17"/>
  <c r="FE317" i="17"/>
  <c r="FF317" i="17"/>
  <c r="FG317" i="17"/>
  <c r="FH317" i="17"/>
  <c r="FI317" i="17"/>
  <c r="FJ317" i="17"/>
  <c r="FK317" i="17"/>
  <c r="FL317" i="17"/>
  <c r="EL318" i="17"/>
  <c r="EM318" i="17"/>
  <c r="EN318" i="17"/>
  <c r="EO318" i="17"/>
  <c r="EP318" i="17"/>
  <c r="EQ318" i="17"/>
  <c r="ER318" i="17"/>
  <c r="ES318" i="17"/>
  <c r="ET318" i="17"/>
  <c r="EU318" i="17"/>
  <c r="EV318" i="17"/>
  <c r="EW318" i="17"/>
  <c r="EX318" i="17"/>
  <c r="EY318" i="17"/>
  <c r="EZ318" i="17"/>
  <c r="FA318" i="17"/>
  <c r="FB318" i="17"/>
  <c r="FC318" i="17"/>
  <c r="FD318" i="17"/>
  <c r="FE318" i="17"/>
  <c r="FF318" i="17"/>
  <c r="FG318" i="17"/>
  <c r="FH318" i="17"/>
  <c r="FI318" i="17"/>
  <c r="FJ318" i="17"/>
  <c r="FK318" i="17"/>
  <c r="FL318" i="17"/>
  <c r="EL319" i="17"/>
  <c r="EM319" i="17"/>
  <c r="EN319" i="17"/>
  <c r="EO319" i="17"/>
  <c r="EP319" i="17"/>
  <c r="EQ319" i="17"/>
  <c r="ER319" i="17"/>
  <c r="ES319" i="17"/>
  <c r="ET319" i="17"/>
  <c r="EU319" i="17"/>
  <c r="EV319" i="17"/>
  <c r="EW319" i="17"/>
  <c r="EX319" i="17"/>
  <c r="EY319" i="17"/>
  <c r="EZ319" i="17"/>
  <c r="FA319" i="17"/>
  <c r="FB319" i="17"/>
  <c r="FC319" i="17"/>
  <c r="FD319" i="17"/>
  <c r="FE319" i="17"/>
  <c r="FF319" i="17"/>
  <c r="FG319" i="17"/>
  <c r="FH319" i="17"/>
  <c r="FI319" i="17"/>
  <c r="FJ319" i="17"/>
  <c r="FK319" i="17"/>
  <c r="FL319" i="17"/>
  <c r="EL320" i="17"/>
  <c r="EM320" i="17"/>
  <c r="EN320" i="17"/>
  <c r="EO320" i="17"/>
  <c r="EP320" i="17"/>
  <c r="EQ320" i="17"/>
  <c r="ER320" i="17"/>
  <c r="ES320" i="17"/>
  <c r="ET320" i="17"/>
  <c r="EU320" i="17"/>
  <c r="EV320" i="17"/>
  <c r="EW320" i="17"/>
  <c r="EX320" i="17"/>
  <c r="EY320" i="17"/>
  <c r="EZ320" i="17"/>
  <c r="FA320" i="17"/>
  <c r="FB320" i="17"/>
  <c r="FC320" i="17"/>
  <c r="FD320" i="17"/>
  <c r="FE320" i="17"/>
  <c r="FF320" i="17"/>
  <c r="FG320" i="17"/>
  <c r="FH320" i="17"/>
  <c r="FI320" i="17"/>
  <c r="FJ320" i="17"/>
  <c r="FK320" i="17"/>
  <c r="FL320" i="17"/>
  <c r="EL321" i="17"/>
  <c r="EM321" i="17"/>
  <c r="EN321" i="17"/>
  <c r="EO321" i="17"/>
  <c r="EP321" i="17"/>
  <c r="EQ321" i="17"/>
  <c r="ER321" i="17"/>
  <c r="ES321" i="17"/>
  <c r="ET321" i="17"/>
  <c r="EU321" i="17"/>
  <c r="EV321" i="17"/>
  <c r="EW321" i="17"/>
  <c r="EX321" i="17"/>
  <c r="EY321" i="17"/>
  <c r="EZ321" i="17"/>
  <c r="FA321" i="17"/>
  <c r="FB321" i="17"/>
  <c r="FC321" i="17"/>
  <c r="FD321" i="17"/>
  <c r="FE321" i="17"/>
  <c r="FF321" i="17"/>
  <c r="FG321" i="17"/>
  <c r="FH321" i="17"/>
  <c r="FI321" i="17"/>
  <c r="FJ321" i="17"/>
  <c r="FK321" i="17"/>
  <c r="FL321" i="17"/>
  <c r="EL322" i="17"/>
  <c r="EM322" i="17"/>
  <c r="EN322" i="17"/>
  <c r="EO322" i="17"/>
  <c r="EP322" i="17"/>
  <c r="EQ322" i="17"/>
  <c r="ER322" i="17"/>
  <c r="ES322" i="17"/>
  <c r="ET322" i="17"/>
  <c r="EU322" i="17"/>
  <c r="EV322" i="17"/>
  <c r="EW322" i="17"/>
  <c r="EX322" i="17"/>
  <c r="EY322" i="17"/>
  <c r="EZ322" i="17"/>
  <c r="FA322" i="17"/>
  <c r="FB322" i="17"/>
  <c r="FC322" i="17"/>
  <c r="FD322" i="17"/>
  <c r="FE322" i="17"/>
  <c r="FF322" i="17"/>
  <c r="FG322" i="17"/>
  <c r="FH322" i="17"/>
  <c r="FI322" i="17"/>
  <c r="FJ322" i="17"/>
  <c r="FK322" i="17"/>
  <c r="FL322" i="17"/>
  <c r="EL323" i="17"/>
  <c r="EM323" i="17"/>
  <c r="EN323" i="17"/>
  <c r="EO323" i="17"/>
  <c r="EP323" i="17"/>
  <c r="EQ323" i="17"/>
  <c r="ER323" i="17"/>
  <c r="ES323" i="17"/>
  <c r="ET323" i="17"/>
  <c r="EU323" i="17"/>
  <c r="EV323" i="17"/>
  <c r="EW323" i="17"/>
  <c r="EX323" i="17"/>
  <c r="EY323" i="17"/>
  <c r="EZ323" i="17"/>
  <c r="FA323" i="17"/>
  <c r="FB323" i="17"/>
  <c r="FC323" i="17"/>
  <c r="FD323" i="17"/>
  <c r="FE323" i="17"/>
  <c r="FF323" i="17"/>
  <c r="FG323" i="17"/>
  <c r="FH323" i="17"/>
  <c r="FI323" i="17"/>
  <c r="FJ323" i="17"/>
  <c r="FK323" i="17"/>
  <c r="FL323" i="17"/>
  <c r="EL324" i="17"/>
  <c r="EM324" i="17"/>
  <c r="EN324" i="17"/>
  <c r="EO324" i="17"/>
  <c r="EP324" i="17"/>
  <c r="EQ324" i="17"/>
  <c r="ER324" i="17"/>
  <c r="ES324" i="17"/>
  <c r="ET324" i="17"/>
  <c r="EU324" i="17"/>
  <c r="EV324" i="17"/>
  <c r="EW324" i="17"/>
  <c r="EX324" i="17"/>
  <c r="EY324" i="17"/>
  <c r="EZ324" i="17"/>
  <c r="FA324" i="17"/>
  <c r="FB324" i="17"/>
  <c r="FC324" i="17"/>
  <c r="FD324" i="17"/>
  <c r="FE324" i="17"/>
  <c r="FF324" i="17"/>
  <c r="FG324" i="17"/>
  <c r="FH324" i="17"/>
  <c r="FI324" i="17"/>
  <c r="FJ324" i="17"/>
  <c r="FK324" i="17"/>
  <c r="FL324" i="17"/>
  <c r="EL325" i="17"/>
  <c r="EM325" i="17"/>
  <c r="EN325" i="17"/>
  <c r="EO325" i="17"/>
  <c r="EP325" i="17"/>
  <c r="EQ325" i="17"/>
  <c r="ER325" i="17"/>
  <c r="ES325" i="17"/>
  <c r="ET325" i="17"/>
  <c r="EU325" i="17"/>
  <c r="EV325" i="17"/>
  <c r="EW325" i="17"/>
  <c r="EX325" i="17"/>
  <c r="EY325" i="17"/>
  <c r="EZ325" i="17"/>
  <c r="FA325" i="17"/>
  <c r="FB325" i="17"/>
  <c r="FC325" i="17"/>
  <c r="FD325" i="17"/>
  <c r="FE325" i="17"/>
  <c r="FF325" i="17"/>
  <c r="FG325" i="17"/>
  <c r="FH325" i="17"/>
  <c r="FI325" i="17"/>
  <c r="FJ325" i="17"/>
  <c r="FK325" i="17"/>
  <c r="FL325" i="17"/>
  <c r="EL326" i="17"/>
  <c r="EM326" i="17"/>
  <c r="EN326" i="17"/>
  <c r="EO326" i="17"/>
  <c r="EP326" i="17"/>
  <c r="EQ326" i="17"/>
  <c r="ER326" i="17"/>
  <c r="ES326" i="17"/>
  <c r="ET326" i="17"/>
  <c r="EU326" i="17"/>
  <c r="EV326" i="17"/>
  <c r="EW326" i="17"/>
  <c r="EX326" i="17"/>
  <c r="EY326" i="17"/>
  <c r="EZ326" i="17"/>
  <c r="FA326" i="17"/>
  <c r="FB326" i="17"/>
  <c r="FC326" i="17"/>
  <c r="FD326" i="17"/>
  <c r="FE326" i="17"/>
  <c r="FF326" i="17"/>
  <c r="FG326" i="17"/>
  <c r="FH326" i="17"/>
  <c r="FI326" i="17"/>
  <c r="FJ326" i="17"/>
  <c r="FK326" i="17"/>
  <c r="FL326" i="17"/>
  <c r="EL327" i="17"/>
  <c r="EM327" i="17"/>
  <c r="EN327" i="17"/>
  <c r="EO327" i="17"/>
  <c r="EP327" i="17"/>
  <c r="EQ327" i="17"/>
  <c r="ER327" i="17"/>
  <c r="ES327" i="17"/>
  <c r="ET327" i="17"/>
  <c r="EU327" i="17"/>
  <c r="EV327" i="17"/>
  <c r="EW327" i="17"/>
  <c r="EX327" i="17"/>
  <c r="EY327" i="17"/>
  <c r="EZ327" i="17"/>
  <c r="FA327" i="17"/>
  <c r="FB327" i="17"/>
  <c r="FC327" i="17"/>
  <c r="FD327" i="17"/>
  <c r="FE327" i="17"/>
  <c r="FF327" i="17"/>
  <c r="FG327" i="17"/>
  <c r="FH327" i="17"/>
  <c r="FI327" i="17"/>
  <c r="FJ327" i="17"/>
  <c r="FK327" i="17"/>
  <c r="FL327" i="17"/>
  <c r="EL328" i="17"/>
  <c r="EM328" i="17"/>
  <c r="EN328" i="17"/>
  <c r="EO328" i="17"/>
  <c r="EP328" i="17"/>
  <c r="EQ328" i="17"/>
  <c r="ER328" i="17"/>
  <c r="ES328" i="17"/>
  <c r="ET328" i="17"/>
  <c r="EU328" i="17"/>
  <c r="EV328" i="17"/>
  <c r="EW328" i="17"/>
  <c r="EX328" i="17"/>
  <c r="EY328" i="17"/>
  <c r="EZ328" i="17"/>
  <c r="FA328" i="17"/>
  <c r="FB328" i="17"/>
  <c r="FC328" i="17"/>
  <c r="FD328" i="17"/>
  <c r="FE328" i="17"/>
  <c r="FF328" i="17"/>
  <c r="FG328" i="17"/>
  <c r="FH328" i="17"/>
  <c r="FI328" i="17"/>
  <c r="FJ328" i="17"/>
  <c r="FK328" i="17"/>
  <c r="FL328" i="17"/>
  <c r="EL329" i="17"/>
  <c r="EM329" i="17"/>
  <c r="EN329" i="17"/>
  <c r="EO329" i="17"/>
  <c r="EP329" i="17"/>
  <c r="EQ329" i="17"/>
  <c r="ER329" i="17"/>
  <c r="ES329" i="17"/>
  <c r="ET329" i="17"/>
  <c r="EU329" i="17"/>
  <c r="EV329" i="17"/>
  <c r="EW329" i="17"/>
  <c r="EX329" i="17"/>
  <c r="EY329" i="17"/>
  <c r="EZ329" i="17"/>
  <c r="FA329" i="17"/>
  <c r="FB329" i="17"/>
  <c r="FC329" i="17"/>
  <c r="FD329" i="17"/>
  <c r="FE329" i="17"/>
  <c r="FF329" i="17"/>
  <c r="FG329" i="17"/>
  <c r="FH329" i="17"/>
  <c r="FI329" i="17"/>
  <c r="FJ329" i="17"/>
  <c r="FK329" i="17"/>
  <c r="FL329" i="17"/>
  <c r="EL330" i="17"/>
  <c r="EM330" i="17"/>
  <c r="EN330" i="17"/>
  <c r="EO330" i="17"/>
  <c r="EP330" i="17"/>
  <c r="EQ330" i="17"/>
  <c r="ER330" i="17"/>
  <c r="ES330" i="17"/>
  <c r="ET330" i="17"/>
  <c r="EU330" i="17"/>
  <c r="EV330" i="17"/>
  <c r="EW330" i="17"/>
  <c r="EX330" i="17"/>
  <c r="EY330" i="17"/>
  <c r="EZ330" i="17"/>
  <c r="FA330" i="17"/>
  <c r="FB330" i="17"/>
  <c r="FC330" i="17"/>
  <c r="FD330" i="17"/>
  <c r="FE330" i="17"/>
  <c r="FF330" i="17"/>
  <c r="FG330" i="17"/>
  <c r="FH330" i="17"/>
  <c r="FI330" i="17"/>
  <c r="FJ330" i="17"/>
  <c r="FK330" i="17"/>
  <c r="FL330" i="17"/>
  <c r="EL293" i="17"/>
  <c r="EM293" i="17"/>
  <c r="EN293" i="17"/>
  <c r="EO293" i="17"/>
  <c r="EP293" i="17"/>
  <c r="EQ293" i="17"/>
  <c r="ER293" i="17"/>
  <c r="ES293" i="17"/>
  <c r="ET293" i="17"/>
  <c r="EU293" i="17"/>
  <c r="EV293" i="17"/>
  <c r="EW293" i="17"/>
  <c r="EX293" i="17"/>
  <c r="EY293" i="17"/>
  <c r="EZ293" i="17"/>
  <c r="FA293" i="17"/>
  <c r="FB293" i="17"/>
  <c r="FC293" i="17"/>
  <c r="FD293" i="17"/>
  <c r="FE293" i="17"/>
  <c r="FF293" i="17"/>
  <c r="FG293" i="17"/>
  <c r="FH293" i="17"/>
  <c r="FI293" i="17"/>
  <c r="FJ293" i="17"/>
  <c r="FK293" i="17"/>
  <c r="FL293" i="17"/>
  <c r="EL294" i="17"/>
  <c r="EM294" i="17"/>
  <c r="EN294" i="17"/>
  <c r="EO294" i="17"/>
  <c r="EP294" i="17"/>
  <c r="EQ294" i="17"/>
  <c r="ER294" i="17"/>
  <c r="ES294" i="17"/>
  <c r="ET294" i="17"/>
  <c r="EU294" i="17"/>
  <c r="EV294" i="17"/>
  <c r="EW294" i="17"/>
  <c r="EX294" i="17"/>
  <c r="EY294" i="17"/>
  <c r="EZ294" i="17"/>
  <c r="FA294" i="17"/>
  <c r="FB294" i="17"/>
  <c r="FC294" i="17"/>
  <c r="FD294" i="17"/>
  <c r="FE294" i="17"/>
  <c r="FF294" i="17"/>
  <c r="FG294" i="17"/>
  <c r="FH294" i="17"/>
  <c r="FI294" i="17"/>
  <c r="FJ294" i="17"/>
  <c r="FK294" i="17"/>
  <c r="FL294" i="17"/>
  <c r="EL331" i="17"/>
  <c r="EM331" i="17"/>
  <c r="EN331" i="17"/>
  <c r="EO331" i="17"/>
  <c r="EP331" i="17"/>
  <c r="EQ331" i="17"/>
  <c r="ER331" i="17"/>
  <c r="ES331" i="17"/>
  <c r="ET331" i="17"/>
  <c r="EU331" i="17"/>
  <c r="EV331" i="17"/>
  <c r="EW331" i="17"/>
  <c r="EX331" i="17"/>
  <c r="EY331" i="17"/>
  <c r="EZ331" i="17"/>
  <c r="FA331" i="17"/>
  <c r="FB331" i="17"/>
  <c r="FC331" i="17"/>
  <c r="FD331" i="17"/>
  <c r="FE331" i="17"/>
  <c r="FF331" i="17"/>
  <c r="FG331" i="17"/>
  <c r="FH331" i="17"/>
  <c r="FI331" i="17"/>
  <c r="FJ331" i="17"/>
  <c r="FK331" i="17"/>
  <c r="FL331" i="17"/>
  <c r="EL332" i="17"/>
  <c r="EM332" i="17"/>
  <c r="EN332" i="17"/>
  <c r="EO332" i="17"/>
  <c r="EP332" i="17"/>
  <c r="EQ332" i="17"/>
  <c r="ER332" i="17"/>
  <c r="ES332" i="17"/>
  <c r="ET332" i="17"/>
  <c r="EU332" i="17"/>
  <c r="EV332" i="17"/>
  <c r="EW332" i="17"/>
  <c r="EX332" i="17"/>
  <c r="EY332" i="17"/>
  <c r="EZ332" i="17"/>
  <c r="FA332" i="17"/>
  <c r="FB332" i="17"/>
  <c r="FC332" i="17"/>
  <c r="FD332" i="17"/>
  <c r="FE332" i="17"/>
  <c r="FF332" i="17"/>
  <c r="FG332" i="17"/>
  <c r="FH332" i="17"/>
  <c r="FI332" i="17"/>
  <c r="FJ332" i="17"/>
  <c r="FK332" i="17"/>
  <c r="FL332" i="17"/>
  <c r="EL333" i="17"/>
  <c r="EM333" i="17"/>
  <c r="EN333" i="17"/>
  <c r="EO333" i="17"/>
  <c r="EP333" i="17"/>
  <c r="EQ333" i="17"/>
  <c r="ER333" i="17"/>
  <c r="ES333" i="17"/>
  <c r="ET333" i="17"/>
  <c r="EU333" i="17"/>
  <c r="EV333" i="17"/>
  <c r="EW333" i="17"/>
  <c r="EX333" i="17"/>
  <c r="EY333" i="17"/>
  <c r="EZ333" i="17"/>
  <c r="FA333" i="17"/>
  <c r="FB333" i="17"/>
  <c r="FC333" i="17"/>
  <c r="FD333" i="17"/>
  <c r="FE333" i="17"/>
  <c r="FF333" i="17"/>
  <c r="FG333" i="17"/>
  <c r="FH333" i="17"/>
  <c r="FI333" i="17"/>
  <c r="FJ333" i="17"/>
  <c r="FK333" i="17"/>
  <c r="FL333" i="17"/>
  <c r="EL304" i="17"/>
  <c r="EM304" i="17"/>
  <c r="EN304" i="17"/>
  <c r="EO304" i="17"/>
  <c r="EP304" i="17"/>
  <c r="EQ304" i="17"/>
  <c r="ER304" i="17"/>
  <c r="ES304" i="17"/>
  <c r="ET304" i="17"/>
  <c r="EU304" i="17"/>
  <c r="EV304" i="17"/>
  <c r="EW304" i="17"/>
  <c r="EX304" i="17"/>
  <c r="EY304" i="17"/>
  <c r="EZ304" i="17"/>
  <c r="FA304" i="17"/>
  <c r="FB304" i="17"/>
  <c r="FC304" i="17"/>
  <c r="FD304" i="17"/>
  <c r="FE304" i="17"/>
  <c r="FF304" i="17"/>
  <c r="FG304" i="17"/>
  <c r="FH304" i="17"/>
  <c r="FI304" i="17"/>
  <c r="FJ304" i="17"/>
  <c r="FK304" i="17"/>
  <c r="FL304" i="17"/>
  <c r="AJ6" i="17"/>
  <c r="AM6" i="17" s="1"/>
  <c r="AJ7" i="17"/>
  <c r="AJ8" i="17"/>
  <c r="AO8" i="17" s="1"/>
  <c r="AJ9" i="17"/>
  <c r="AM9" i="17" s="1"/>
  <c r="AJ10" i="17"/>
  <c r="AR10" i="17" s="1"/>
  <c r="AJ11" i="17"/>
  <c r="AJ12" i="17"/>
  <c r="AS12" i="17" s="1"/>
  <c r="GQ12" i="17" s="1"/>
  <c r="AJ13" i="17"/>
  <c r="AQ13" i="17" s="1"/>
  <c r="AJ14" i="17"/>
  <c r="AJ15" i="17"/>
  <c r="AP15" i="17" s="1"/>
  <c r="AJ16" i="17"/>
  <c r="AJ17" i="17"/>
  <c r="AJ18" i="17"/>
  <c r="AJ19" i="17"/>
  <c r="AJ20" i="17"/>
  <c r="AP20" i="17" s="1"/>
  <c r="AJ21" i="17"/>
  <c r="AJ22" i="17"/>
  <c r="AJ23" i="17"/>
  <c r="AT23" i="17" s="1"/>
  <c r="AJ24" i="17"/>
  <c r="AJ25" i="17"/>
  <c r="AJ26" i="17"/>
  <c r="AK26" i="17" s="1"/>
  <c r="AJ27" i="17"/>
  <c r="AU27" i="17" s="1"/>
  <c r="AJ30" i="17"/>
  <c r="AJ28" i="17"/>
  <c r="AJ29" i="17"/>
  <c r="AL29" i="17" s="1"/>
  <c r="AJ31" i="17"/>
  <c r="AR31" i="17" s="1"/>
  <c r="AJ32" i="17"/>
  <c r="AJ33" i="17"/>
  <c r="AJ34" i="17"/>
  <c r="AO34" i="17" s="1"/>
  <c r="AJ35" i="17"/>
  <c r="AJ36" i="17"/>
  <c r="AS36" i="17" s="1"/>
  <c r="GQ36" i="17" s="1"/>
  <c r="AJ37" i="17"/>
  <c r="AJ38" i="17"/>
  <c r="AJ39" i="17"/>
  <c r="AJ40" i="17"/>
  <c r="AO40" i="17" s="1"/>
  <c r="AJ41" i="17"/>
  <c r="AJ42" i="17"/>
  <c r="AS42" i="17" s="1"/>
  <c r="GQ42" i="17" s="1"/>
  <c r="HH42" i="17" s="1"/>
  <c r="IJ42" i="17" s="1"/>
  <c r="AJ43" i="17"/>
  <c r="AM43" i="17" s="1"/>
  <c r="AJ44" i="17"/>
  <c r="AQ44" i="17" s="1"/>
  <c r="AJ45" i="17"/>
  <c r="AJ46" i="17"/>
  <c r="AJ47" i="17"/>
  <c r="AJ48" i="17"/>
  <c r="AR48" i="17" s="1"/>
  <c r="AJ49" i="17"/>
  <c r="AJ50" i="17"/>
  <c r="AJ51" i="17"/>
  <c r="AT51" i="17" s="1"/>
  <c r="AJ52" i="17"/>
  <c r="AJ53" i="17"/>
  <c r="AJ54" i="17"/>
  <c r="AJ55" i="17"/>
  <c r="AJ56" i="17"/>
  <c r="AJ57" i="17"/>
  <c r="AJ58" i="17"/>
  <c r="AU58" i="17" s="1"/>
  <c r="AJ59" i="17"/>
  <c r="AJ60" i="17"/>
  <c r="AL60" i="17" s="1"/>
  <c r="AJ61" i="17"/>
  <c r="AJ62" i="17"/>
  <c r="AJ63" i="17"/>
  <c r="AJ64" i="17"/>
  <c r="AJ65" i="17"/>
  <c r="AJ66" i="17"/>
  <c r="AJ67" i="17"/>
  <c r="AJ91" i="17"/>
  <c r="AJ92" i="17"/>
  <c r="AS92" i="17" s="1"/>
  <c r="GQ92" i="17" s="1"/>
  <c r="AJ93" i="17"/>
  <c r="AK93" i="17" s="1"/>
  <c r="AJ94" i="17"/>
  <c r="AM94" i="17" s="1"/>
  <c r="AJ95" i="17"/>
  <c r="AP95" i="17" s="1"/>
  <c r="AJ96" i="17"/>
  <c r="AJ97" i="17"/>
  <c r="AO97" i="17" s="1"/>
  <c r="AJ98" i="17"/>
  <c r="AN98" i="17" s="1"/>
  <c r="AJ99" i="17"/>
  <c r="AJ100" i="17"/>
  <c r="AJ101" i="17"/>
  <c r="AJ102" i="17"/>
  <c r="AJ103" i="17"/>
  <c r="AJ104" i="17"/>
  <c r="AJ107" i="17"/>
  <c r="AT107" i="17" s="1"/>
  <c r="AJ108" i="17"/>
  <c r="AJ109" i="17"/>
  <c r="AM109" i="17" s="1"/>
  <c r="AJ110" i="17"/>
  <c r="AJ111" i="17"/>
  <c r="AP111" i="17" s="1"/>
  <c r="AJ112" i="17"/>
  <c r="AJ113" i="17"/>
  <c r="AJ114" i="17"/>
  <c r="AJ115" i="17"/>
  <c r="AP115" i="17" s="1"/>
  <c r="AJ116" i="17"/>
  <c r="AU116" i="17" s="1"/>
  <c r="AJ117" i="17"/>
  <c r="AO117" i="17" s="1"/>
  <c r="AJ118" i="17"/>
  <c r="AN118" i="17" s="1"/>
  <c r="AJ119" i="17"/>
  <c r="AS119" i="17" s="1"/>
  <c r="GQ119" i="17" s="1"/>
  <c r="AJ120" i="17"/>
  <c r="AJ121" i="17"/>
  <c r="AQ121" i="17" s="1"/>
  <c r="AJ122" i="17"/>
  <c r="AJ123" i="17"/>
  <c r="AJ124" i="17"/>
  <c r="AL124" i="17" s="1"/>
  <c r="AJ125" i="17"/>
  <c r="AQ125" i="17" s="1"/>
  <c r="AJ126" i="17"/>
  <c r="AJ127" i="17"/>
  <c r="AK127" i="17" s="1"/>
  <c r="AJ128" i="17"/>
  <c r="AJ129" i="17"/>
  <c r="AJ130" i="17"/>
  <c r="AS130" i="17" s="1"/>
  <c r="GQ130" i="17" s="1"/>
  <c r="HI130" i="17" s="1"/>
  <c r="IK130" i="17" s="1"/>
  <c r="AJ131" i="17"/>
  <c r="AJ132" i="17"/>
  <c r="AQ132" i="17" s="1"/>
  <c r="AJ133" i="17"/>
  <c r="AT133" i="17" s="1"/>
  <c r="AJ134" i="17"/>
  <c r="AJ135" i="17"/>
  <c r="AJ136" i="17"/>
  <c r="AJ137" i="17"/>
  <c r="AJ138" i="17"/>
  <c r="AJ139" i="17"/>
  <c r="AO139" i="17" s="1"/>
  <c r="AJ140" i="17"/>
  <c r="AJ141" i="17"/>
  <c r="AU141" i="17" s="1"/>
  <c r="AJ142" i="17"/>
  <c r="AJ143" i="17"/>
  <c r="AU143" i="17" s="1"/>
  <c r="AJ144" i="17"/>
  <c r="AJ145" i="17"/>
  <c r="AJ146" i="17"/>
  <c r="AP146" i="17" s="1"/>
  <c r="AJ147" i="17"/>
  <c r="AM147" i="17" s="1"/>
  <c r="AJ148" i="17"/>
  <c r="AJ149" i="17"/>
  <c r="AP149" i="17" s="1"/>
  <c r="AJ150" i="17"/>
  <c r="AN150" i="17" s="1"/>
  <c r="AJ151" i="17"/>
  <c r="AJ152" i="17"/>
  <c r="AK152" i="17" s="1"/>
  <c r="AJ153" i="17"/>
  <c r="AR153" i="17" s="1"/>
  <c r="AJ154" i="17"/>
  <c r="AJ155" i="17"/>
  <c r="AJ156" i="17"/>
  <c r="AJ157" i="17"/>
  <c r="AJ158" i="17"/>
  <c r="AJ159" i="17"/>
  <c r="AR159" i="17" s="1"/>
  <c r="AJ160" i="17"/>
  <c r="AJ161" i="17"/>
  <c r="AJ162" i="17"/>
  <c r="AJ163" i="17"/>
  <c r="AQ163" i="17" s="1"/>
  <c r="AJ164" i="17"/>
  <c r="AM164" i="17" s="1"/>
  <c r="AJ165" i="17"/>
  <c r="AS165" i="17" s="1"/>
  <c r="GQ165" i="17" s="1"/>
  <c r="HF165" i="17" s="1"/>
  <c r="IH165" i="17" s="1"/>
  <c r="AJ166" i="17"/>
  <c r="AP166" i="17" s="1"/>
  <c r="AJ167" i="17"/>
  <c r="AJ168" i="17"/>
  <c r="AJ169" i="17"/>
  <c r="AJ180" i="17"/>
  <c r="AJ181" i="17"/>
  <c r="AJ182" i="17"/>
  <c r="AJ183" i="17"/>
  <c r="AO183" i="17" s="1"/>
  <c r="AJ184" i="17"/>
  <c r="AJ185" i="17"/>
  <c r="AJ186" i="17"/>
  <c r="AJ187" i="17"/>
  <c r="AJ188" i="17"/>
  <c r="AJ190" i="17"/>
  <c r="AP190" i="17" s="1"/>
  <c r="AJ191" i="17"/>
  <c r="AR191" i="17" s="1"/>
  <c r="AJ192" i="17"/>
  <c r="AN192" i="17" s="1"/>
  <c r="AJ193" i="17"/>
  <c r="AJ194" i="17"/>
  <c r="AJ195" i="17"/>
  <c r="AJ196" i="17"/>
  <c r="AJ197" i="17"/>
  <c r="AJ198" i="17"/>
  <c r="AJ199" i="17"/>
  <c r="AJ200" i="17"/>
  <c r="AU200" i="17" s="1"/>
  <c r="AJ201" i="17"/>
  <c r="AJ202" i="17"/>
  <c r="AJ203" i="17"/>
  <c r="AJ204" i="17"/>
  <c r="AT204" i="17" s="1"/>
  <c r="AJ205" i="17"/>
  <c r="AR205" i="17" s="1"/>
  <c r="AJ206" i="17"/>
  <c r="AN206" i="17" s="1"/>
  <c r="AJ207" i="17"/>
  <c r="AL207" i="17" s="1"/>
  <c r="AJ208" i="17"/>
  <c r="AU208" i="17" s="1"/>
  <c r="AJ209" i="17"/>
  <c r="AO209" i="17" s="1"/>
  <c r="AJ210" i="17"/>
  <c r="AN210" i="17" s="1"/>
  <c r="AJ211" i="17"/>
  <c r="AJ212" i="17"/>
  <c r="AJ213" i="17"/>
  <c r="AJ214" i="17"/>
  <c r="AJ215" i="17"/>
  <c r="AJ216" i="17"/>
  <c r="AJ217" i="17"/>
  <c r="AJ218" i="17"/>
  <c r="AR218" i="17" s="1"/>
  <c r="AJ219" i="17"/>
  <c r="AJ220" i="17"/>
  <c r="AJ221" i="17"/>
  <c r="AJ222" i="17"/>
  <c r="AT222" i="17" s="1"/>
  <c r="AJ223" i="17"/>
  <c r="AJ224" i="17"/>
  <c r="AQ224" i="17" s="1"/>
  <c r="AJ225" i="17"/>
  <c r="AJ226" i="17"/>
  <c r="AJ227" i="17"/>
  <c r="AJ228" i="17"/>
  <c r="AN228" i="17" s="1"/>
  <c r="AJ229" i="17"/>
  <c r="AJ230" i="17"/>
  <c r="AJ231" i="17"/>
  <c r="AJ232" i="17"/>
  <c r="AT232" i="17" s="1"/>
  <c r="AJ233" i="17"/>
  <c r="AJ246" i="17"/>
  <c r="AJ247" i="17"/>
  <c r="AJ248" i="17"/>
  <c r="AT248" i="17" s="1"/>
  <c r="AJ249" i="17"/>
  <c r="AO249" i="17" s="1"/>
  <c r="AJ250" i="17"/>
  <c r="AU250" i="17" s="1"/>
  <c r="AJ251" i="17"/>
  <c r="AM251" i="17" s="1"/>
  <c r="AJ252" i="17"/>
  <c r="AM252" i="17" s="1"/>
  <c r="AJ253" i="17"/>
  <c r="AJ254" i="17"/>
  <c r="AJ255" i="17"/>
  <c r="AJ256" i="17"/>
  <c r="AJ257" i="17"/>
  <c r="AJ258" i="17"/>
  <c r="AJ259" i="17"/>
  <c r="AJ260" i="17"/>
  <c r="AR260" i="17" s="1"/>
  <c r="AJ261" i="17"/>
  <c r="AJ262" i="17"/>
  <c r="AO262" i="17" s="1"/>
  <c r="AJ263" i="17"/>
  <c r="AJ264" i="17"/>
  <c r="AJ265" i="17"/>
  <c r="AO265" i="17" s="1"/>
  <c r="AJ266" i="17"/>
  <c r="AU266" i="17" s="1"/>
  <c r="AJ267" i="17"/>
  <c r="AP267" i="17" s="1"/>
  <c r="AJ189" i="17"/>
  <c r="AQ189" i="17" s="1"/>
  <c r="AJ268" i="17"/>
  <c r="AJ269" i="17"/>
  <c r="AJ270" i="17"/>
  <c r="AJ271" i="17"/>
  <c r="AJ272" i="17"/>
  <c r="AJ273" i="17"/>
  <c r="AJ274" i="17"/>
  <c r="AJ275" i="17"/>
  <c r="AJ276" i="17"/>
  <c r="AJ277" i="17"/>
  <c r="AJ278" i="17"/>
  <c r="AR278" i="17" s="1"/>
  <c r="AJ279" i="17"/>
  <c r="AJ280" i="17"/>
  <c r="AJ281" i="17"/>
  <c r="AS281" i="17" s="1"/>
  <c r="GQ281" i="17" s="1"/>
  <c r="GX281" i="17" s="1"/>
  <c r="HZ281" i="17" s="1"/>
  <c r="AJ282" i="17"/>
  <c r="AJ283" i="17"/>
  <c r="AJ284" i="17"/>
  <c r="AJ285" i="17"/>
  <c r="AR285" i="17" s="1"/>
  <c r="AJ286" i="17"/>
  <c r="AJ287" i="17"/>
  <c r="AJ288" i="17"/>
  <c r="AJ289" i="17"/>
  <c r="AQ289" i="17" s="1"/>
  <c r="AJ290" i="17"/>
  <c r="AJ291" i="17"/>
  <c r="AM291" i="17" s="1"/>
  <c r="AJ292" i="17"/>
  <c r="AJ295" i="17"/>
  <c r="AJ296" i="17"/>
  <c r="AQ296" i="17" s="1"/>
  <c r="AJ297" i="17"/>
  <c r="AJ298" i="17"/>
  <c r="AS298" i="17" s="1"/>
  <c r="GQ298" i="17" s="1"/>
  <c r="HL298" i="17" s="1"/>
  <c r="IN298" i="17" s="1"/>
  <c r="AJ179" i="17"/>
  <c r="AU179" i="17" s="1"/>
  <c r="AJ299" i="17"/>
  <c r="AL299" i="17" s="1"/>
  <c r="AJ300" i="17"/>
  <c r="AJ301" i="17"/>
  <c r="AM301" i="17" s="1"/>
  <c r="AJ302" i="17"/>
  <c r="AR302" i="17" s="1"/>
  <c r="AJ303" i="17"/>
  <c r="AL303" i="17" s="1"/>
  <c r="AJ315" i="17"/>
  <c r="AL315" i="17" s="1"/>
  <c r="AJ316" i="17"/>
  <c r="AJ317" i="17"/>
  <c r="AJ318" i="17"/>
  <c r="AJ319" i="17"/>
  <c r="AJ320" i="17"/>
  <c r="AJ321" i="17"/>
  <c r="AJ322" i="17"/>
  <c r="AQ322" i="17" s="1"/>
  <c r="AJ323" i="17"/>
  <c r="AJ324" i="17"/>
  <c r="AJ325" i="17"/>
  <c r="AK325" i="17" s="1"/>
  <c r="AJ326" i="17"/>
  <c r="AO326" i="17" s="1"/>
  <c r="AJ327" i="17"/>
  <c r="AJ328" i="17"/>
  <c r="AJ329" i="17"/>
  <c r="AJ330" i="17"/>
  <c r="AJ293" i="17"/>
  <c r="AJ294" i="17"/>
  <c r="AJ304" i="17"/>
  <c r="AM304" i="17" s="1"/>
  <c r="GB95" i="17"/>
  <c r="GQ318" i="17"/>
  <c r="HC318" i="17" s="1"/>
  <c r="IE318" i="17" s="1"/>
  <c r="GQ331" i="17"/>
  <c r="GQ327" i="17"/>
  <c r="GN97" i="17"/>
  <c r="FO38" i="17"/>
  <c r="GO28" i="17"/>
  <c r="GB18" i="17"/>
  <c r="GO13" i="17"/>
  <c r="GF12" i="17"/>
  <c r="GQ333" i="17"/>
  <c r="HI333" i="17" s="1"/>
  <c r="IK333" i="17" s="1"/>
  <c r="GQ329" i="17"/>
  <c r="GR329" i="17" s="1"/>
  <c r="HT329" i="17" s="1"/>
  <c r="GQ328" i="17"/>
  <c r="HM328" i="17" s="1"/>
  <c r="IO328" i="17" s="1"/>
  <c r="GQ332" i="17"/>
  <c r="GT332" i="17" s="1"/>
  <c r="HV332" i="17" s="1"/>
  <c r="GQ319" i="17"/>
  <c r="BD226" i="5"/>
  <c r="BD225" i="5"/>
  <c r="BD224" i="5"/>
  <c r="BD223" i="5"/>
  <c r="BD222" i="5"/>
  <c r="BD221" i="5"/>
  <c r="BD220" i="5"/>
  <c r="BD219" i="5"/>
  <c r="BD218" i="5"/>
  <c r="BD217" i="5"/>
  <c r="BD216" i="5"/>
  <c r="BD215" i="5"/>
  <c r="BD214" i="5"/>
  <c r="BD213" i="5"/>
  <c r="BD212" i="5"/>
  <c r="BD211" i="5"/>
  <c r="BD210" i="5"/>
  <c r="BD209" i="5"/>
  <c r="BD208" i="5"/>
  <c r="BD207" i="5"/>
  <c r="BD206" i="5"/>
  <c r="BD205" i="5"/>
  <c r="BD204" i="5"/>
  <c r="BD203" i="5"/>
  <c r="BD202" i="5"/>
  <c r="BD201" i="5"/>
  <c r="BD200" i="5"/>
  <c r="BD199" i="5"/>
  <c r="BD198" i="5"/>
  <c r="BD197" i="5"/>
  <c r="BD196" i="5"/>
  <c r="BD195" i="5"/>
  <c r="BD194" i="5"/>
  <c r="BD193" i="5"/>
  <c r="BD192" i="5"/>
  <c r="BD191" i="5"/>
  <c r="BD190" i="5"/>
  <c r="BE226" i="5"/>
  <c r="BE225" i="5"/>
  <c r="BE224" i="5"/>
  <c r="BE223" i="5"/>
  <c r="BE222" i="5"/>
  <c r="BE221" i="5"/>
  <c r="BE220" i="5"/>
  <c r="BE219" i="5"/>
  <c r="BE218" i="5"/>
  <c r="BE217" i="5"/>
  <c r="BE216" i="5"/>
  <c r="BE215" i="5"/>
  <c r="BE214" i="5"/>
  <c r="BE213" i="5"/>
  <c r="BE212" i="5"/>
  <c r="BE211" i="5"/>
  <c r="BE210" i="5"/>
  <c r="BE209" i="5"/>
  <c r="BE208" i="5"/>
  <c r="BE207" i="5"/>
  <c r="BE206" i="5"/>
  <c r="BE205" i="5"/>
  <c r="BE204" i="5"/>
  <c r="BE203" i="5"/>
  <c r="BE202" i="5"/>
  <c r="BE201" i="5"/>
  <c r="BE200" i="5"/>
  <c r="BE199" i="5"/>
  <c r="BE198" i="5"/>
  <c r="BE197" i="5"/>
  <c r="BE196" i="5"/>
  <c r="BE195" i="5"/>
  <c r="BE194" i="5"/>
  <c r="BE193" i="5"/>
  <c r="BE192" i="5"/>
  <c r="BE191" i="5"/>
  <c r="BE190" i="5"/>
  <c r="BE189" i="5"/>
  <c r="BD189" i="5"/>
  <c r="GL276" i="17" l="1"/>
  <c r="GM152" i="17"/>
  <c r="GJ112" i="17"/>
  <c r="AS19" i="25"/>
  <c r="AM19" i="25"/>
  <c r="AO22" i="25"/>
  <c r="AN19" i="25"/>
  <c r="AT19" i="25"/>
  <c r="AO19" i="25"/>
  <c r="AP19" i="25"/>
  <c r="AL22" i="25"/>
  <c r="AQ19" i="25"/>
  <c r="GB180" i="17"/>
  <c r="GB104" i="17"/>
  <c r="GC242" i="17"/>
  <c r="GI55" i="17"/>
  <c r="GJ67" i="17"/>
  <c r="FV18" i="17"/>
  <c r="AU53" i="26"/>
  <c r="AT219" i="26"/>
  <c r="AM53" i="26"/>
  <c r="AQ187" i="26"/>
  <c r="AQ234" i="26"/>
  <c r="AV187" i="26"/>
  <c r="AN250" i="26"/>
  <c r="AP203" i="26"/>
  <c r="AR202" i="26"/>
  <c r="AU203" i="26"/>
  <c r="AT33" i="26"/>
  <c r="AP250" i="26"/>
  <c r="AQ250" i="26"/>
  <c r="AN170" i="26"/>
  <c r="AP234" i="26"/>
  <c r="AQ203" i="26"/>
  <c r="AS251" i="26"/>
  <c r="AT251" i="26"/>
  <c r="AR18" i="26"/>
  <c r="AN218" i="26"/>
  <c r="AT235" i="26"/>
  <c r="AN17" i="26"/>
  <c r="AU128" i="26"/>
  <c r="AO34" i="26"/>
  <c r="AN202" i="26"/>
  <c r="AU202" i="26"/>
  <c r="AT128" i="26"/>
  <c r="AO203" i="26"/>
  <c r="AQ170" i="26"/>
  <c r="AS35" i="26"/>
  <c r="AV202" i="26"/>
  <c r="D202" i="26" s="1"/>
  <c r="AS128" i="26"/>
  <c r="AW128" i="26" s="1"/>
  <c r="AP170" i="26"/>
  <c r="AT250" i="26"/>
  <c r="AO170" i="26"/>
  <c r="AR128" i="26"/>
  <c r="AS171" i="26"/>
  <c r="AS154" i="26"/>
  <c r="AU33" i="26"/>
  <c r="AU250" i="26"/>
  <c r="AR170" i="26"/>
  <c r="AQ128" i="26"/>
  <c r="AV33" i="26"/>
  <c r="AU218" i="26"/>
  <c r="AP128" i="26"/>
  <c r="AN34" i="26"/>
  <c r="AM218" i="26"/>
  <c r="AM170" i="26"/>
  <c r="AT170" i="26"/>
  <c r="AO128" i="26"/>
  <c r="AN154" i="26"/>
  <c r="AS187" i="26"/>
  <c r="AQ202" i="26"/>
  <c r="AO33" i="26"/>
  <c r="AN128" i="26"/>
  <c r="AM120" i="26"/>
  <c r="AR257" i="26"/>
  <c r="AR165" i="26"/>
  <c r="AU8" i="26"/>
  <c r="AN24" i="26"/>
  <c r="AV228" i="26"/>
  <c r="AV120" i="26"/>
  <c r="AO120" i="26"/>
  <c r="AM242" i="26"/>
  <c r="AM241" i="26"/>
  <c r="AN9" i="26"/>
  <c r="AR119" i="26"/>
  <c r="AR9" i="26"/>
  <c r="AO24" i="26"/>
  <c r="AL8" i="26"/>
  <c r="D8" i="26" s="1"/>
  <c r="AU194" i="26"/>
  <c r="AR120" i="26"/>
  <c r="AL194" i="26"/>
  <c r="AN242" i="26"/>
  <c r="AT194" i="26"/>
  <c r="AQ8" i="26"/>
  <c r="AL242" i="26"/>
  <c r="AN194" i="26"/>
  <c r="AR8" i="26"/>
  <c r="AV226" i="26"/>
  <c r="AU241" i="26"/>
  <c r="AR41" i="26"/>
  <c r="AR24" i="26"/>
  <c r="AS241" i="26"/>
  <c r="AL241" i="26"/>
  <c r="AS9" i="26"/>
  <c r="AT242" i="26"/>
  <c r="AV242" i="26"/>
  <c r="AV241" i="26"/>
  <c r="AT41" i="26"/>
  <c r="AP194" i="26"/>
  <c r="AR194" i="26"/>
  <c r="GC112" i="26"/>
  <c r="AN8" i="26"/>
  <c r="AU9" i="26"/>
  <c r="AR241" i="26"/>
  <c r="AM194" i="26"/>
  <c r="AL18" i="26"/>
  <c r="AV53" i="26"/>
  <c r="AO219" i="26"/>
  <c r="AS34" i="26"/>
  <c r="AM34" i="26"/>
  <c r="AU251" i="26"/>
  <c r="AN117" i="26"/>
  <c r="AP235" i="26"/>
  <c r="AO235" i="26"/>
  <c r="AQ219" i="26"/>
  <c r="AT171" i="26"/>
  <c r="AM17" i="26"/>
  <c r="AL34" i="26"/>
  <c r="AR34" i="26"/>
  <c r="AR251" i="26"/>
  <c r="AP219" i="26"/>
  <c r="AV18" i="26"/>
  <c r="D18" i="26" s="1"/>
  <c r="AO251" i="26"/>
  <c r="AS203" i="26"/>
  <c r="AU171" i="26"/>
  <c r="AV203" i="26"/>
  <c r="AO18" i="26"/>
  <c r="AP53" i="26"/>
  <c r="AM171" i="26"/>
  <c r="AS53" i="26"/>
  <c r="AT34" i="26"/>
  <c r="AS33" i="26"/>
  <c r="AQ235" i="26"/>
  <c r="AU187" i="26"/>
  <c r="AM33" i="26"/>
  <c r="AP34" i="26"/>
  <c r="AR250" i="26"/>
  <c r="AL187" i="26"/>
  <c r="D187" i="26" s="1"/>
  <c r="AV34" i="26"/>
  <c r="AO171" i="26"/>
  <c r="AS219" i="26"/>
  <c r="AT187" i="26"/>
  <c r="AQ18" i="26"/>
  <c r="AO117" i="26"/>
  <c r="AR171" i="26"/>
  <c r="AP171" i="26"/>
  <c r="AV219" i="26"/>
  <c r="AN33" i="26"/>
  <c r="AM203" i="26"/>
  <c r="AM187" i="26"/>
  <c r="AR187" i="26"/>
  <c r="AR203" i="26"/>
  <c r="AQ251" i="26"/>
  <c r="AL171" i="26"/>
  <c r="AS38" i="26"/>
  <c r="AO187" i="26"/>
  <c r="AS235" i="26"/>
  <c r="AT203" i="26"/>
  <c r="AV235" i="26"/>
  <c r="AV251" i="26"/>
  <c r="AM18" i="26"/>
  <c r="AV250" i="26"/>
  <c r="AP187" i="26"/>
  <c r="AN53" i="26"/>
  <c r="AS155" i="26"/>
  <c r="AN18" i="26"/>
  <c r="AL203" i="26"/>
  <c r="AU219" i="26"/>
  <c r="AV171" i="26"/>
  <c r="AR53" i="26"/>
  <c r="AL53" i="26"/>
  <c r="GA325" i="17"/>
  <c r="GK64" i="17"/>
  <c r="GN51" i="17"/>
  <c r="FU199" i="17"/>
  <c r="GA94" i="17"/>
  <c r="FR48" i="17"/>
  <c r="GP38" i="17"/>
  <c r="FR26" i="17"/>
  <c r="GM25" i="17"/>
  <c r="GW165" i="17"/>
  <c r="HY165" i="17" s="1"/>
  <c r="HN165" i="17"/>
  <c r="IP165" i="17" s="1"/>
  <c r="AR44" i="17"/>
  <c r="HD165" i="17"/>
  <c r="IF165" i="17" s="1"/>
  <c r="FO189" i="17"/>
  <c r="GL233" i="17"/>
  <c r="FO60" i="17"/>
  <c r="AS24" i="26"/>
  <c r="AT180" i="26"/>
  <c r="AS165" i="26"/>
  <c r="AM180" i="26"/>
  <c r="AM122" i="26"/>
  <c r="AM181" i="26"/>
  <c r="AP180" i="26"/>
  <c r="AN41" i="26"/>
  <c r="AU180" i="26"/>
  <c r="AU242" i="26"/>
  <c r="AV27" i="26"/>
  <c r="AS181" i="26"/>
  <c r="AP41" i="26"/>
  <c r="AR244" i="26"/>
  <c r="AO165" i="26"/>
  <c r="AP181" i="26"/>
  <c r="AR213" i="26"/>
  <c r="AQ212" i="26"/>
  <c r="AU212" i="26"/>
  <c r="FU16" i="17"/>
  <c r="FU215" i="17"/>
  <c r="GK193" i="17"/>
  <c r="GD117" i="17"/>
  <c r="GD57" i="17"/>
  <c r="GN7" i="17"/>
  <c r="GH160" i="17"/>
  <c r="GV165" i="17"/>
  <c r="HX165" i="17" s="1"/>
  <c r="GN64" i="17"/>
  <c r="GA55" i="17"/>
  <c r="GC53" i="17"/>
  <c r="FU51" i="17"/>
  <c r="GE50" i="17"/>
  <c r="GD47" i="17"/>
  <c r="FW40" i="17"/>
  <c r="FT34" i="17"/>
  <c r="FT31" i="17"/>
  <c r="FU28" i="17"/>
  <c r="GE30" i="17"/>
  <c r="GN26" i="17"/>
  <c r="GD25" i="17"/>
  <c r="GP19" i="17"/>
  <c r="FT15" i="17"/>
  <c r="GA14" i="17"/>
  <c r="FU13" i="17"/>
  <c r="GE12" i="17"/>
  <c r="GN10" i="17"/>
  <c r="GD9" i="17"/>
  <c r="AS178" i="17"/>
  <c r="GQ178" i="17" s="1"/>
  <c r="HQ178" i="17" s="1"/>
  <c r="IS178" i="17" s="1"/>
  <c r="AR133" i="17"/>
  <c r="GO133" i="17"/>
  <c r="GO71" i="17"/>
  <c r="HP165" i="17"/>
  <c r="IR165" i="17" s="1"/>
  <c r="HG165" i="17"/>
  <c r="II165" i="17" s="1"/>
  <c r="GL326" i="17"/>
  <c r="GL164" i="17"/>
  <c r="GL122" i="17"/>
  <c r="GL98" i="17"/>
  <c r="FX95" i="17"/>
  <c r="FV49" i="17"/>
  <c r="GL43" i="17"/>
  <c r="FS35" i="17"/>
  <c r="GM31" i="17"/>
  <c r="GH26" i="17"/>
  <c r="FS16" i="17"/>
  <c r="FO12" i="17"/>
  <c r="FV11" i="17"/>
  <c r="GH10" i="17"/>
  <c r="GL5" i="17"/>
  <c r="AU39" i="26"/>
  <c r="AL7" i="26"/>
  <c r="AM166" i="26"/>
  <c r="AS23" i="26"/>
  <c r="AU23" i="26"/>
  <c r="FT160" i="17"/>
  <c r="GF258" i="17"/>
  <c r="GO208" i="17"/>
  <c r="GO22" i="17"/>
  <c r="FO258" i="17"/>
  <c r="GH228" i="17"/>
  <c r="FO214" i="17"/>
  <c r="FV213" i="17"/>
  <c r="GL191" i="17"/>
  <c r="GE31" i="17"/>
  <c r="FQ22" i="17"/>
  <c r="AO24" i="25"/>
  <c r="AU24" i="25"/>
  <c r="GO262" i="17"/>
  <c r="GO218" i="17"/>
  <c r="GB116" i="17"/>
  <c r="GO93" i="17"/>
  <c r="GB59" i="17"/>
  <c r="GO54" i="17"/>
  <c r="GB43" i="17"/>
  <c r="GB40" i="17"/>
  <c r="GO35" i="17"/>
  <c r="FT107" i="17"/>
  <c r="FR61" i="17"/>
  <c r="FY52" i="17"/>
  <c r="FR45" i="17"/>
  <c r="GD44" i="17"/>
  <c r="FQ38" i="17"/>
  <c r="FW37" i="17"/>
  <c r="GC255" i="17"/>
  <c r="GN131" i="17"/>
  <c r="GE117" i="17"/>
  <c r="AL230" i="26"/>
  <c r="AQ230" i="26"/>
  <c r="AM214" i="26"/>
  <c r="AR149" i="26"/>
  <c r="GN265" i="17"/>
  <c r="GD331" i="17"/>
  <c r="GK293" i="17"/>
  <c r="GK315" i="17"/>
  <c r="GC297" i="17"/>
  <c r="FV291" i="17"/>
  <c r="GA281" i="17"/>
  <c r="FU277" i="17"/>
  <c r="GC264" i="17"/>
  <c r="GN259" i="17"/>
  <c r="GD258" i="17"/>
  <c r="GP252" i="17"/>
  <c r="FU246" i="17"/>
  <c r="GN231" i="17"/>
  <c r="GD230" i="17"/>
  <c r="GK228" i="17"/>
  <c r="FQ227" i="17"/>
  <c r="FX223" i="17"/>
  <c r="GM220" i="17"/>
  <c r="GE217" i="17"/>
  <c r="GN215" i="17"/>
  <c r="GK212" i="17"/>
  <c r="FQ211" i="17"/>
  <c r="GP208" i="17"/>
  <c r="GA206" i="17"/>
  <c r="FU202" i="17"/>
  <c r="GD123" i="17"/>
  <c r="GO16" i="17"/>
  <c r="GB5" i="17"/>
  <c r="FU312" i="17"/>
  <c r="GE164" i="17"/>
  <c r="GK32" i="17"/>
  <c r="GK301" i="17"/>
  <c r="FU290" i="17"/>
  <c r="GE273" i="17"/>
  <c r="GA263" i="17"/>
  <c r="FT233" i="17"/>
  <c r="GN228" i="17"/>
  <c r="GD227" i="17"/>
  <c r="GD211" i="17"/>
  <c r="FW207" i="17"/>
  <c r="FR196" i="17"/>
  <c r="FT184" i="17"/>
  <c r="GD168" i="17"/>
  <c r="FQ165" i="17"/>
  <c r="FV161" i="17"/>
  <c r="FU156" i="17"/>
  <c r="FR153" i="17"/>
  <c r="GP146" i="17"/>
  <c r="GN137" i="17"/>
  <c r="FT126" i="17"/>
  <c r="GC110" i="17"/>
  <c r="FU108" i="17"/>
  <c r="GD102" i="17"/>
  <c r="FW98" i="17"/>
  <c r="GM60" i="17"/>
  <c r="GJ57" i="17"/>
  <c r="GK42" i="17"/>
  <c r="FP41" i="17"/>
  <c r="GH36" i="17"/>
  <c r="GK23" i="17"/>
  <c r="FW21" i="17"/>
  <c r="GA17" i="17"/>
  <c r="GK7" i="17"/>
  <c r="FQ6" i="17"/>
  <c r="FW5" i="17"/>
  <c r="GK4" i="17"/>
  <c r="GE282" i="17"/>
  <c r="GA293" i="17"/>
  <c r="FR249" i="17"/>
  <c r="GE132" i="17"/>
  <c r="FT194" i="17"/>
  <c r="GD187" i="17"/>
  <c r="GE98" i="17"/>
  <c r="GN188" i="17"/>
  <c r="FT151" i="17"/>
  <c r="FW125" i="17"/>
  <c r="GA48" i="17"/>
  <c r="AN208" i="17"/>
  <c r="FQ292" i="17"/>
  <c r="FQ201" i="17"/>
  <c r="FU149" i="17"/>
  <c r="AN252" i="17"/>
  <c r="FU189" i="17"/>
  <c r="GE191" i="17"/>
  <c r="GK159" i="17"/>
  <c r="FR114" i="17"/>
  <c r="GP107" i="17"/>
  <c r="FS321" i="17"/>
  <c r="FR280" i="17"/>
  <c r="GK262" i="17"/>
  <c r="GL223" i="17"/>
  <c r="GM217" i="17"/>
  <c r="GL207" i="17"/>
  <c r="GP139" i="17"/>
  <c r="GB46" i="17"/>
  <c r="GN38" i="17"/>
  <c r="GL21" i="17"/>
  <c r="AQ133" i="17"/>
  <c r="AT208" i="17"/>
  <c r="AL8" i="25"/>
  <c r="AM8" i="25"/>
  <c r="AP23" i="25"/>
  <c r="AM23" i="25"/>
  <c r="AU8" i="25"/>
  <c r="AT18" i="25"/>
  <c r="AS18" i="25"/>
  <c r="AP8" i="25"/>
  <c r="AR8" i="25"/>
  <c r="AT3" i="26"/>
  <c r="AM50" i="26"/>
  <c r="AP149" i="26"/>
  <c r="AL249" i="26"/>
  <c r="AU249" i="26"/>
  <c r="AO149" i="26"/>
  <c r="AP217" i="26"/>
  <c r="AR3" i="26"/>
  <c r="AP19" i="26"/>
  <c r="AQ51" i="26"/>
  <c r="AN149" i="26"/>
  <c r="AU19" i="26"/>
  <c r="AO249" i="26"/>
  <c r="AQ149" i="26"/>
  <c r="AV217" i="26"/>
  <c r="AQ3" i="26"/>
  <c r="AO50" i="26"/>
  <c r="AM149" i="26"/>
  <c r="AV19" i="26"/>
  <c r="AS201" i="26"/>
  <c r="AV201" i="26"/>
  <c r="AP3" i="26"/>
  <c r="AO47" i="26"/>
  <c r="AT31" i="26"/>
  <c r="AQ50" i="26"/>
  <c r="AL149" i="26"/>
  <c r="AU214" i="26"/>
  <c r="AS217" i="26"/>
  <c r="AO3" i="26"/>
  <c r="AP35" i="26"/>
  <c r="AR50" i="26"/>
  <c r="AN217" i="26"/>
  <c r="AL19" i="26"/>
  <c r="AN3" i="26"/>
  <c r="AT50" i="26"/>
  <c r="AR201" i="26"/>
  <c r="AQ233" i="26"/>
  <c r="AL201" i="26"/>
  <c r="AN201" i="26"/>
  <c r="AM3" i="26"/>
  <c r="AP166" i="26"/>
  <c r="AR214" i="26"/>
  <c r="AO217" i="26"/>
  <c r="AT217" i="26"/>
  <c r="AQ217" i="26"/>
  <c r="AL3" i="26"/>
  <c r="AQ19" i="26"/>
  <c r="AV230" i="26"/>
  <c r="AQ201" i="26"/>
  <c r="AS182" i="26"/>
  <c r="AP220" i="26"/>
  <c r="D220" i="26" s="1"/>
  <c r="AR249" i="26"/>
  <c r="AT249" i="26"/>
  <c r="AQ35" i="26"/>
  <c r="AR19" i="26"/>
  <c r="AN220" i="26"/>
  <c r="AL217" i="26"/>
  <c r="AO201" i="26"/>
  <c r="AM31" i="26"/>
  <c r="AU149" i="26"/>
  <c r="AN249" i="26"/>
  <c r="AR217" i="26"/>
  <c r="AT149" i="26"/>
  <c r="AP201" i="26"/>
  <c r="AU201" i="26"/>
  <c r="AT201" i="26"/>
  <c r="AS149" i="26"/>
  <c r="AO233" i="26"/>
  <c r="AP252" i="26"/>
  <c r="GM204" i="17"/>
  <c r="FT303" i="17"/>
  <c r="GP290" i="17"/>
  <c r="AO114" i="26"/>
  <c r="AS232" i="26"/>
  <c r="AN114" i="26"/>
  <c r="AR166" i="26"/>
  <c r="AV166" i="26"/>
  <c r="AT213" i="26"/>
  <c r="AV229" i="26"/>
  <c r="AL232" i="26"/>
  <c r="AU232" i="26"/>
  <c r="AV43" i="26"/>
  <c r="AM114" i="26"/>
  <c r="AL122" i="26"/>
  <c r="AN212" i="26"/>
  <c r="AU166" i="26"/>
  <c r="AU229" i="26"/>
  <c r="AV212" i="26"/>
  <c r="AS25" i="26"/>
  <c r="AT9" i="26"/>
  <c r="AR30" i="26"/>
  <c r="AT120" i="26"/>
  <c r="AM119" i="26"/>
  <c r="AS166" i="26"/>
  <c r="AS8" i="26"/>
  <c r="AQ200" i="26"/>
  <c r="AN200" i="26"/>
  <c r="AO182" i="26"/>
  <c r="GN112" i="26"/>
  <c r="AN10" i="26"/>
  <c r="AP10" i="26"/>
  <c r="AQ122" i="26"/>
  <c r="AN165" i="26"/>
  <c r="AP245" i="26"/>
  <c r="AO228" i="26"/>
  <c r="AR260" i="26"/>
  <c r="AR169" i="26"/>
  <c r="AR232" i="26"/>
  <c r="AO200" i="26"/>
  <c r="GR112" i="26"/>
  <c r="AQ11" i="26"/>
  <c r="AS11" i="26"/>
  <c r="AQ166" i="26"/>
  <c r="AN228" i="26"/>
  <c r="AR229" i="26"/>
  <c r="AV244" i="26"/>
  <c r="AL121" i="26"/>
  <c r="AP200" i="26"/>
  <c r="AP42" i="26"/>
  <c r="AT122" i="26"/>
  <c r="AQ229" i="26"/>
  <c r="AQ260" i="26"/>
  <c r="AT30" i="26"/>
  <c r="AO232" i="26"/>
  <c r="AV200" i="26"/>
  <c r="AP25" i="26"/>
  <c r="AS43" i="26"/>
  <c r="AV42" i="26"/>
  <c r="AT153" i="26"/>
  <c r="AN213" i="26"/>
  <c r="AQ165" i="26"/>
  <c r="AR181" i="26"/>
  <c r="AS213" i="26"/>
  <c r="AT181" i="26"/>
  <c r="AV165" i="26"/>
  <c r="AQ41" i="26"/>
  <c r="AU41" i="26"/>
  <c r="AN11" i="26"/>
  <c r="AS243" i="26"/>
  <c r="AM259" i="26"/>
  <c r="AM200" i="26"/>
  <c r="AQ117" i="26"/>
  <c r="AS30" i="26"/>
  <c r="AP229" i="26"/>
  <c r="AR46" i="26"/>
  <c r="AS153" i="26"/>
  <c r="AN229" i="26"/>
  <c r="AT166" i="26"/>
  <c r="AO11" i="26"/>
  <c r="AS41" i="26"/>
  <c r="AV41" i="26"/>
  <c r="AU196" i="26"/>
  <c r="AN227" i="26"/>
  <c r="AO227" i="26"/>
  <c r="AP227" i="26"/>
  <c r="AV232" i="26"/>
  <c r="AR200" i="26"/>
  <c r="AL169" i="26"/>
  <c r="AQ10" i="26"/>
  <c r="AP46" i="26"/>
  <c r="AU114" i="26"/>
  <c r="AR121" i="26"/>
  <c r="AQ153" i="26"/>
  <c r="AR245" i="26"/>
  <c r="AP228" i="26"/>
  <c r="AU165" i="26"/>
  <c r="AV181" i="26"/>
  <c r="AQ9" i="26"/>
  <c r="AV9" i="26"/>
  <c r="AN166" i="26"/>
  <c r="AP232" i="26"/>
  <c r="AQ232" i="26"/>
  <c r="AT228" i="26"/>
  <c r="AP242" i="26"/>
  <c r="AV243" i="26"/>
  <c r="AO242" i="26"/>
  <c r="AU227" i="26"/>
  <c r="AL114" i="26"/>
  <c r="AQ42" i="26"/>
  <c r="AS46" i="26"/>
  <c r="AT114" i="26"/>
  <c r="AS121" i="26"/>
  <c r="AO153" i="26"/>
  <c r="AS229" i="26"/>
  <c r="AS14" i="26"/>
  <c r="AR43" i="26"/>
  <c r="AR211" i="26"/>
  <c r="AS259" i="26"/>
  <c r="AT243" i="26"/>
  <c r="AP119" i="26"/>
  <c r="AU260" i="26"/>
  <c r="AO41" i="26"/>
  <c r="AU200" i="26"/>
  <c r="AT229" i="26"/>
  <c r="AT43" i="26"/>
  <c r="AS114" i="26"/>
  <c r="AV122" i="26"/>
  <c r="AM153" i="26"/>
  <c r="AM213" i="26"/>
  <c r="AN245" i="26"/>
  <c r="AO229" i="26"/>
  <c r="AT197" i="26"/>
  <c r="AU181" i="26"/>
  <c r="AL166" i="26"/>
  <c r="AM41" i="26"/>
  <c r="AT11" i="26"/>
  <c r="AT259" i="26"/>
  <c r="AU119" i="26"/>
  <c r="AO259" i="26"/>
  <c r="AQ227" i="26"/>
  <c r="AT212" i="26"/>
  <c r="AS200" i="26"/>
  <c r="AN42" i="26"/>
  <c r="AM46" i="26"/>
  <c r="AR114" i="26"/>
  <c r="AT121" i="26"/>
  <c r="AP244" i="26"/>
  <c r="AM9" i="26"/>
  <c r="AL24" i="26"/>
  <c r="AU43" i="26"/>
  <c r="AS119" i="26"/>
  <c r="AT119" i="26"/>
  <c r="AQ119" i="26"/>
  <c r="AQ43" i="26"/>
  <c r="AU10" i="26"/>
  <c r="AL10" i="26"/>
  <c r="AQ114" i="26"/>
  <c r="AN260" i="26"/>
  <c r="AS245" i="26"/>
  <c r="AV197" i="26"/>
  <c r="AO9" i="26"/>
  <c r="AU30" i="26"/>
  <c r="AT8" i="26"/>
  <c r="AU11" i="26"/>
  <c r="AN119" i="26"/>
  <c r="AU24" i="26"/>
  <c r="AM43" i="26"/>
  <c r="AV119" i="26"/>
  <c r="AU120" i="26"/>
  <c r="AQ242" i="26"/>
  <c r="AR11" i="26"/>
  <c r="AV11" i="26"/>
  <c r="AL42" i="26"/>
  <c r="AP114" i="26"/>
  <c r="AM165" i="26"/>
  <c r="AM229" i="26"/>
  <c r="AO212" i="26"/>
  <c r="AP260" i="26"/>
  <c r="AQ30" i="26"/>
  <c r="AV227" i="26"/>
  <c r="AM228" i="26"/>
  <c r="AN232" i="26"/>
  <c r="AU228" i="26"/>
  <c r="AR227" i="26"/>
  <c r="AR242" i="26"/>
  <c r="AT232" i="26"/>
  <c r="FT59" i="17"/>
  <c r="FT21" i="17"/>
  <c r="GE70" i="17"/>
  <c r="GM224" i="17"/>
  <c r="FY112" i="17"/>
  <c r="GL12" i="17"/>
  <c r="GK326" i="17"/>
  <c r="GO38" i="17"/>
  <c r="GK16" i="17"/>
  <c r="FY247" i="17"/>
  <c r="GP195" i="17"/>
  <c r="FQ181" i="17"/>
  <c r="GC164" i="17"/>
  <c r="FU162" i="17"/>
  <c r="FQ139" i="17"/>
  <c r="GA134" i="17"/>
  <c r="GD126" i="17"/>
  <c r="GD110" i="17"/>
  <c r="GC59" i="17"/>
  <c r="FU57" i="17"/>
  <c r="FR54" i="17"/>
  <c r="FU38" i="17"/>
  <c r="FQ12" i="17"/>
  <c r="FW11" i="17"/>
  <c r="GN23" i="17"/>
  <c r="GH293" i="17"/>
  <c r="FQ41" i="17"/>
  <c r="FQ324" i="17"/>
  <c r="FR301" i="17"/>
  <c r="FY291" i="17"/>
  <c r="GM286" i="17"/>
  <c r="GN268" i="17"/>
  <c r="GG189" i="17"/>
  <c r="GA229" i="17"/>
  <c r="GP215" i="17"/>
  <c r="GN190" i="17"/>
  <c r="GN163" i="17"/>
  <c r="FP162" i="17"/>
  <c r="GJ159" i="17"/>
  <c r="GA154" i="17"/>
  <c r="FP146" i="17"/>
  <c r="FU134" i="17"/>
  <c r="GE133" i="17"/>
  <c r="GK128" i="17"/>
  <c r="GJ127" i="17"/>
  <c r="FW126" i="17"/>
  <c r="GP124" i="17"/>
  <c r="GD96" i="17"/>
  <c r="GP67" i="17"/>
  <c r="FT63" i="17"/>
  <c r="FU61" i="17"/>
  <c r="FQ54" i="17"/>
  <c r="FW53" i="17"/>
  <c r="GP51" i="17"/>
  <c r="FU45" i="17"/>
  <c r="FP19" i="17"/>
  <c r="GK17" i="17"/>
  <c r="GJ16" i="17"/>
  <c r="GC15" i="17"/>
  <c r="FS42" i="17"/>
  <c r="FR228" i="17"/>
  <c r="FQ44" i="17"/>
  <c r="GE187" i="17"/>
  <c r="GB210" i="17"/>
  <c r="GC31" i="17"/>
  <c r="GC184" i="17"/>
  <c r="GO96" i="17"/>
  <c r="GC34" i="17"/>
  <c r="FR10" i="17"/>
  <c r="GA36" i="17"/>
  <c r="FQ96" i="17"/>
  <c r="GC151" i="17"/>
  <c r="GF195" i="17"/>
  <c r="FU318" i="17"/>
  <c r="GE317" i="17"/>
  <c r="FW299" i="17"/>
  <c r="GP298" i="17"/>
  <c r="GC292" i="17"/>
  <c r="GC276" i="17"/>
  <c r="FU274" i="17"/>
  <c r="GN271" i="17"/>
  <c r="GP265" i="17"/>
  <c r="FU259" i="17"/>
  <c r="GD255" i="17"/>
  <c r="GK253" i="17"/>
  <c r="FQ252" i="17"/>
  <c r="FW251" i="17"/>
  <c r="GP249" i="17"/>
  <c r="GA247" i="17"/>
  <c r="FU231" i="17"/>
  <c r="FR212" i="17"/>
  <c r="FT201" i="17"/>
  <c r="GN196" i="17"/>
  <c r="FQ192" i="17"/>
  <c r="FW191" i="17"/>
  <c r="GP188" i="17"/>
  <c r="FU182" i="17"/>
  <c r="GE181" i="17"/>
  <c r="GN169" i="17"/>
  <c r="FT158" i="17"/>
  <c r="GN153" i="17"/>
  <c r="GD152" i="17"/>
  <c r="FQ149" i="17"/>
  <c r="GA144" i="17"/>
  <c r="FT142" i="17"/>
  <c r="FU140" i="17"/>
  <c r="FR137" i="17"/>
  <c r="GC126" i="17"/>
  <c r="FU124" i="17"/>
  <c r="GE123" i="17"/>
  <c r="FW116" i="17"/>
  <c r="GP114" i="17"/>
  <c r="GA112" i="17"/>
  <c r="FT110" i="17"/>
  <c r="GE107" i="17"/>
  <c r="GK100" i="17"/>
  <c r="FQ99" i="17"/>
  <c r="FT92" i="17"/>
  <c r="GE66" i="17"/>
  <c r="FW59" i="17"/>
  <c r="FN57" i="17"/>
  <c r="FT53" i="17"/>
  <c r="GJ321" i="17"/>
  <c r="FP298" i="17"/>
  <c r="FO283" i="17"/>
  <c r="GM270" i="17"/>
  <c r="FV267" i="17"/>
  <c r="GL261" i="17"/>
  <c r="FU256" i="17"/>
  <c r="FO252" i="17"/>
  <c r="GH250" i="17"/>
  <c r="FP249" i="17"/>
  <c r="GC230" i="17"/>
  <c r="FS228" i="17"/>
  <c r="GM227" i="17"/>
  <c r="FR225" i="17"/>
  <c r="FO224" i="17"/>
  <c r="FV223" i="17"/>
  <c r="GK222" i="17"/>
  <c r="FW220" i="17"/>
  <c r="GL217" i="17"/>
  <c r="FS212" i="17"/>
  <c r="GM211" i="17"/>
  <c r="FR209" i="17"/>
  <c r="FO208" i="17"/>
  <c r="FV207" i="17"/>
  <c r="GH206" i="17"/>
  <c r="FW204" i="17"/>
  <c r="GL201" i="17"/>
  <c r="FY200" i="17"/>
  <c r="FS196" i="17"/>
  <c r="GE195" i="17"/>
  <c r="GG280" i="17"/>
  <c r="GO274" i="17"/>
  <c r="GO259" i="17"/>
  <c r="GJ196" i="17"/>
  <c r="GJ169" i="17"/>
  <c r="FP140" i="17"/>
  <c r="AM189" i="17"/>
  <c r="AN189" i="17"/>
  <c r="AM119" i="17"/>
  <c r="GA233" i="17"/>
  <c r="GA225" i="17"/>
  <c r="HL165" i="17"/>
  <c r="IN165" i="17" s="1"/>
  <c r="HC165" i="17"/>
  <c r="IE165" i="17" s="1"/>
  <c r="AP210" i="17"/>
  <c r="FY250" i="17"/>
  <c r="FT223" i="17"/>
  <c r="GT165" i="17"/>
  <c r="HV165" i="17" s="1"/>
  <c r="AM12" i="17"/>
  <c r="FT251" i="17"/>
  <c r="HK165" i="17"/>
  <c r="IM165" i="17" s="1"/>
  <c r="HO165" i="17"/>
  <c r="IQ165" i="17" s="1"/>
  <c r="FP152" i="17"/>
  <c r="GJ149" i="17"/>
  <c r="GC204" i="17"/>
  <c r="FS262" i="17"/>
  <c r="AS133" i="17"/>
  <c r="GQ133" i="17" s="1"/>
  <c r="HL133" i="17" s="1"/>
  <c r="IN133" i="17" s="1"/>
  <c r="FO192" i="17"/>
  <c r="FV191" i="17"/>
  <c r="FQ188" i="17"/>
  <c r="GL184" i="17"/>
  <c r="FY183" i="17"/>
  <c r="GC181" i="17"/>
  <c r="FS169" i="17"/>
  <c r="GM168" i="17"/>
  <c r="GN166" i="17"/>
  <c r="FO165" i="17"/>
  <c r="FW161" i="17"/>
  <c r="GP159" i="17"/>
  <c r="GL158" i="17"/>
  <c r="FT155" i="17"/>
  <c r="FS153" i="17"/>
  <c r="GE152" i="17"/>
  <c r="GD149" i="17"/>
  <c r="GH147" i="17"/>
  <c r="GL142" i="17"/>
  <c r="FT139" i="17"/>
  <c r="FY138" i="17"/>
  <c r="FS137" i="17"/>
  <c r="GE136" i="17"/>
  <c r="FV132" i="17"/>
  <c r="GH131" i="17"/>
  <c r="FQ130" i="17"/>
  <c r="FS121" i="17"/>
  <c r="GE120" i="17"/>
  <c r="GN118" i="17"/>
  <c r="FO117" i="17"/>
  <c r="FV116" i="17"/>
  <c r="GH115" i="17"/>
  <c r="GP111" i="17"/>
  <c r="GL110" i="17"/>
  <c r="GC107" i="17"/>
  <c r="FS103" i="17"/>
  <c r="GE102" i="17"/>
  <c r="FR100" i="17"/>
  <c r="FO99" i="17"/>
  <c r="FV98" i="17"/>
  <c r="GK97" i="17"/>
  <c r="GP93" i="17"/>
  <c r="GL92" i="17"/>
  <c r="FY91" i="17"/>
  <c r="FT66" i="17"/>
  <c r="FU64" i="17"/>
  <c r="GD60" i="17"/>
  <c r="FV59" i="17"/>
  <c r="GH58" i="17"/>
  <c r="FQ57" i="17"/>
  <c r="FW56" i="17"/>
  <c r="GA52" i="17"/>
  <c r="FT50" i="17"/>
  <c r="FY49" i="17"/>
  <c r="FU48" i="17"/>
  <c r="GE47" i="17"/>
  <c r="FO44" i="17"/>
  <c r="FV43" i="17"/>
  <c r="GN42" i="17"/>
  <c r="GD41" i="17"/>
  <c r="FV40" i="17"/>
  <c r="GH39" i="17"/>
  <c r="GD38" i="17"/>
  <c r="GK36" i="17"/>
  <c r="GP35" i="17"/>
  <c r="FY33" i="17"/>
  <c r="GP32" i="17"/>
  <c r="GL31" i="17"/>
  <c r="FY29" i="17"/>
  <c r="GE25" i="17"/>
  <c r="FR23" i="17"/>
  <c r="GD22" i="17"/>
  <c r="FV21" i="17"/>
  <c r="GH20" i="17"/>
  <c r="FW18" i="17"/>
  <c r="GP16" i="17"/>
  <c r="GL15" i="17"/>
  <c r="FY14" i="17"/>
  <c r="GC12" i="17"/>
  <c r="FU10" i="17"/>
  <c r="GE9" i="17"/>
  <c r="FR7" i="17"/>
  <c r="GD6" i="17"/>
  <c r="FV5" i="17"/>
  <c r="FR4" i="17"/>
  <c r="GO199" i="17"/>
  <c r="GL75" i="17"/>
  <c r="GJ137" i="17"/>
  <c r="FP124" i="17"/>
  <c r="GJ121" i="17"/>
  <c r="GJ103" i="17"/>
  <c r="FP67" i="17"/>
  <c r="GJ64" i="17"/>
  <c r="FP51" i="17"/>
  <c r="FP28" i="17"/>
  <c r="GJ26" i="17"/>
  <c r="GJ10" i="17"/>
  <c r="GG13" i="17"/>
  <c r="FP9" i="17"/>
  <c r="GH199" i="17"/>
  <c r="GD198" i="17"/>
  <c r="GK196" i="17"/>
  <c r="FW194" i="17"/>
  <c r="GP192" i="17"/>
  <c r="GM187" i="17"/>
  <c r="GE184" i="17"/>
  <c r="GN182" i="17"/>
  <c r="FU159" i="17"/>
  <c r="GE158" i="17"/>
  <c r="FV157" i="17"/>
  <c r="FS156" i="17"/>
  <c r="GK153" i="17"/>
  <c r="FQ152" i="17"/>
  <c r="FW151" i="17"/>
  <c r="GL145" i="17"/>
  <c r="FT145" i="17"/>
  <c r="GH140" i="17"/>
  <c r="GK137" i="17"/>
  <c r="FQ136" i="17"/>
  <c r="FW135" i="17"/>
  <c r="GH124" i="17"/>
  <c r="FO120" i="17"/>
  <c r="FU111" i="17"/>
  <c r="GH108" i="17"/>
  <c r="GP99" i="17"/>
  <c r="GB98" i="17"/>
  <c r="GC95" i="17"/>
  <c r="FV91" i="17"/>
  <c r="GN67" i="17"/>
  <c r="GD66" i="17"/>
  <c r="FQ63" i="17"/>
  <c r="FW62" i="17"/>
  <c r="GH61" i="17"/>
  <c r="FY58" i="17"/>
  <c r="GL56" i="17"/>
  <c r="GC56" i="17"/>
  <c r="GE53" i="17"/>
  <c r="GM50" i="17"/>
  <c r="FO47" i="17"/>
  <c r="FW46" i="17"/>
  <c r="GH45" i="17"/>
  <c r="GP44" i="17"/>
  <c r="GH42" i="17"/>
  <c r="GP41" i="17"/>
  <c r="GA39" i="17"/>
  <c r="GL37" i="17"/>
  <c r="FT37" i="17"/>
  <c r="FY36" i="17"/>
  <c r="GE34" i="17"/>
  <c r="FU32" i="17"/>
  <c r="FR28" i="17"/>
  <c r="GD30" i="17"/>
  <c r="GK26" i="17"/>
  <c r="FO25" i="17"/>
  <c r="FV24" i="17"/>
  <c r="GH23" i="17"/>
  <c r="GP22" i="17"/>
  <c r="FZ21" i="17"/>
  <c r="GA20" i="17"/>
  <c r="GL18" i="17"/>
  <c r="FT18" i="17"/>
  <c r="FY17" i="17"/>
  <c r="GE15" i="17"/>
  <c r="FR13" i="17"/>
  <c r="GK10" i="17"/>
  <c r="FQ9" i="17"/>
  <c r="GP6" i="17"/>
  <c r="FY4" i="17"/>
  <c r="GA330" i="17"/>
  <c r="FT315" i="17"/>
  <c r="GN299" i="17"/>
  <c r="GK297" i="17"/>
  <c r="GC287" i="17"/>
  <c r="FQ278" i="17"/>
  <c r="GP275" i="17"/>
  <c r="GP257" i="17"/>
  <c r="GA255" i="17"/>
  <c r="FT253" i="17"/>
  <c r="GD250" i="17"/>
  <c r="GC228" i="17"/>
  <c r="FQ219" i="17"/>
  <c r="FT212" i="17"/>
  <c r="GE209" i="17"/>
  <c r="GE190" i="17"/>
  <c r="GK187" i="17"/>
  <c r="GC169" i="17"/>
  <c r="GE163" i="17"/>
  <c r="FW159" i="17"/>
  <c r="GE150" i="17"/>
  <c r="FR132" i="17"/>
  <c r="GA123" i="17"/>
  <c r="GD115" i="17"/>
  <c r="GP109" i="17"/>
  <c r="GD97" i="17"/>
  <c r="GK37" i="17"/>
  <c r="GA30" i="17"/>
  <c r="FR21" i="17"/>
  <c r="FQ336" i="17"/>
  <c r="GO143" i="17"/>
  <c r="GB132" i="17"/>
  <c r="AM105" i="17"/>
  <c r="GP280" i="17"/>
  <c r="FW223" i="17"/>
  <c r="GP221" i="17"/>
  <c r="FT217" i="17"/>
  <c r="GK61" i="17"/>
  <c r="GG150" i="17"/>
  <c r="GI148" i="17"/>
  <c r="FT30" i="17"/>
  <c r="FY27" i="17"/>
  <c r="FU26" i="17"/>
  <c r="GK278" i="17"/>
  <c r="GF42" i="17"/>
  <c r="FO82" i="17"/>
  <c r="FO311" i="17"/>
  <c r="FO239" i="17"/>
  <c r="GC237" i="17"/>
  <c r="AL45" i="26"/>
  <c r="AO45" i="26"/>
  <c r="AT124" i="26"/>
  <c r="AU45" i="26"/>
  <c r="AO151" i="26"/>
  <c r="AP230" i="26"/>
  <c r="AM230" i="26"/>
  <c r="AV183" i="26"/>
  <c r="AN29" i="26"/>
  <c r="AP151" i="26"/>
  <c r="AV260" i="26"/>
  <c r="AQ12" i="26"/>
  <c r="AS214" i="26"/>
  <c r="AM151" i="26"/>
  <c r="AP29" i="26"/>
  <c r="AQ151" i="26"/>
  <c r="AS183" i="26"/>
  <c r="AT230" i="26"/>
  <c r="AT29" i="26"/>
  <c r="AP167" i="26"/>
  <c r="AN199" i="26"/>
  <c r="AP45" i="26"/>
  <c r="AR151" i="26"/>
  <c r="AR230" i="26"/>
  <c r="AU230" i="26"/>
  <c r="AP150" i="26"/>
  <c r="AQ199" i="26"/>
  <c r="AO10" i="26"/>
  <c r="AM29" i="26"/>
  <c r="AN45" i="26"/>
  <c r="AO121" i="26"/>
  <c r="AS151" i="26"/>
  <c r="AT165" i="26"/>
  <c r="AL199" i="26"/>
  <c r="AP249" i="26"/>
  <c r="AV199" i="26"/>
  <c r="AT244" i="26"/>
  <c r="AR10" i="26"/>
  <c r="AT151" i="26"/>
  <c r="AQ181" i="26"/>
  <c r="AN244" i="26"/>
  <c r="AQ228" i="26"/>
  <c r="AR212" i="26"/>
  <c r="AV249" i="26"/>
  <c r="AN230" i="26"/>
  <c r="AU217" i="26"/>
  <c r="AO202" i="26"/>
  <c r="AS202" i="26"/>
  <c r="AN120" i="26"/>
  <c r="AU12" i="26"/>
  <c r="AR42" i="26"/>
  <c r="AV10" i="26"/>
  <c r="AQ29" i="26"/>
  <c r="AP121" i="26"/>
  <c r="AU151" i="26"/>
  <c r="AO181" i="26"/>
  <c r="AO244" i="26"/>
  <c r="AP212" i="26"/>
  <c r="AR228" i="26"/>
  <c r="AS212" i="26"/>
  <c r="AN43" i="26"/>
  <c r="AL11" i="26"/>
  <c r="AM212" i="26"/>
  <c r="AO199" i="26"/>
  <c r="AM244" i="26"/>
  <c r="AT260" i="26"/>
  <c r="AM199" i="26"/>
  <c r="AT42" i="26"/>
  <c r="AL12" i="26"/>
  <c r="AQ45" i="26"/>
  <c r="AV123" i="26"/>
  <c r="AV151" i="26"/>
  <c r="AS199" i="26"/>
  <c r="AU183" i="26"/>
  <c r="AS228" i="26"/>
  <c r="AO12" i="26"/>
  <c r="AM11" i="26"/>
  <c r="AU150" i="26"/>
  <c r="AO250" i="26"/>
  <c r="AS249" i="26"/>
  <c r="AP120" i="26"/>
  <c r="AS10" i="26"/>
  <c r="AM45" i="26"/>
  <c r="AR29" i="26"/>
  <c r="AQ121" i="26"/>
  <c r="AL151" i="26"/>
  <c r="AN181" i="26"/>
  <c r="AP165" i="26"/>
  <c r="AV214" i="26"/>
  <c r="AQ244" i="26"/>
  <c r="AO43" i="26"/>
  <c r="AS250" i="26"/>
  <c r="AQ249" i="26"/>
  <c r="AT202" i="26"/>
  <c r="AM250" i="26"/>
  <c r="AQ120" i="26"/>
  <c r="AR45" i="26"/>
  <c r="AL43" i="26"/>
  <c r="AN214" i="26"/>
  <c r="AL28" i="26"/>
  <c r="AQ214" i="26"/>
  <c r="AM12" i="26"/>
  <c r="AP183" i="26"/>
  <c r="AS230" i="26"/>
  <c r="AP199" i="26"/>
  <c r="AT12" i="26"/>
  <c r="AL29" i="26"/>
  <c r="AO29" i="26"/>
  <c r="AU29" i="26"/>
  <c r="AP214" i="26"/>
  <c r="AU199" i="26"/>
  <c r="AT214" i="26"/>
  <c r="AO260" i="26"/>
  <c r="AS260" i="26"/>
  <c r="AL214" i="26"/>
  <c r="AL183" i="26"/>
  <c r="AS124" i="26"/>
  <c r="AT199" i="26"/>
  <c r="AS120" i="26"/>
  <c r="FS10" i="17"/>
  <c r="GN45" i="17"/>
  <c r="FQ111" i="17"/>
  <c r="GG117" i="17"/>
  <c r="GN61" i="17"/>
  <c r="FV148" i="17"/>
  <c r="GK58" i="17"/>
  <c r="GH222" i="17"/>
  <c r="GE224" i="17"/>
  <c r="FP93" i="17"/>
  <c r="GN124" i="17"/>
  <c r="GM12" i="17"/>
  <c r="GC37" i="17"/>
  <c r="GC223" i="17"/>
  <c r="FT12" i="17"/>
  <c r="FO22" i="17"/>
  <c r="GP54" i="17"/>
  <c r="GF117" i="17"/>
  <c r="GK156" i="17"/>
  <c r="GK124" i="17"/>
  <c r="GE18" i="17"/>
  <c r="GB21" i="17"/>
  <c r="GK20" i="17"/>
  <c r="GC331" i="17"/>
  <c r="FU293" i="17"/>
  <c r="GE330" i="17"/>
  <c r="FR328" i="17"/>
  <c r="GF63" i="17"/>
  <c r="GF327" i="17"/>
  <c r="FV304" i="17"/>
  <c r="GM63" i="17"/>
  <c r="GD139" i="17"/>
  <c r="GC30" i="17"/>
  <c r="AU10" i="17"/>
  <c r="GL126" i="17"/>
  <c r="GE63" i="17"/>
  <c r="GE145" i="17"/>
  <c r="FO41" i="17"/>
  <c r="GA29" i="17"/>
  <c r="AK10" i="17"/>
  <c r="GH4" i="17"/>
  <c r="GC18" i="17"/>
  <c r="GA33" i="17"/>
  <c r="FS48" i="17"/>
  <c r="GC66" i="17"/>
  <c r="FQ146" i="17"/>
  <c r="GH97" i="17"/>
  <c r="FS64" i="17"/>
  <c r="GN115" i="17"/>
  <c r="GC63" i="17"/>
  <c r="GN20" i="17"/>
  <c r="GP152" i="17"/>
  <c r="GE56" i="17"/>
  <c r="GC145" i="17"/>
  <c r="FS13" i="17"/>
  <c r="AQ206" i="17"/>
  <c r="FO79" i="17"/>
  <c r="FO70" i="17"/>
  <c r="GO202" i="17"/>
  <c r="FQ25" i="17"/>
  <c r="GA4" i="17"/>
  <c r="GA91" i="17"/>
  <c r="FR97" i="17"/>
  <c r="GK115" i="17"/>
  <c r="FU23" i="17"/>
  <c r="FW24" i="17"/>
  <c r="GD15" i="17"/>
  <c r="AM222" i="17"/>
  <c r="GA86" i="17"/>
  <c r="FW74" i="17"/>
  <c r="GM70" i="17"/>
  <c r="FR124" i="17"/>
  <c r="GM47" i="17"/>
  <c r="GI97" i="17"/>
  <c r="GF60" i="17"/>
  <c r="GD19" i="17"/>
  <c r="FU54" i="17"/>
  <c r="FQ50" i="17"/>
  <c r="FR42" i="17"/>
  <c r="FU169" i="17"/>
  <c r="GI115" i="17"/>
  <c r="GM102" i="17"/>
  <c r="FU100" i="17"/>
  <c r="FT181" i="17"/>
  <c r="GA27" i="17"/>
  <c r="GJ156" i="17"/>
  <c r="FV46" i="17"/>
  <c r="AO281" i="17"/>
  <c r="GE239" i="17"/>
  <c r="GC50" i="17"/>
  <c r="FS26" i="17"/>
  <c r="FP209" i="17"/>
  <c r="GD12" i="17"/>
  <c r="FX43" i="17"/>
  <c r="FZ98" i="17"/>
  <c r="GC187" i="17"/>
  <c r="GG118" i="17"/>
  <c r="FR115" i="17"/>
  <c r="GN100" i="17"/>
  <c r="GK39" i="17"/>
  <c r="FR67" i="17"/>
  <c r="GK13" i="17"/>
  <c r="GM30" i="17"/>
  <c r="GP90" i="17"/>
  <c r="GP87" i="17"/>
  <c r="GC82" i="17"/>
  <c r="GK80" i="17"/>
  <c r="GK73" i="17"/>
  <c r="GP334" i="17"/>
  <c r="FT314" i="17"/>
  <c r="GK313" i="17"/>
  <c r="GP312" i="17"/>
  <c r="FT311" i="17"/>
  <c r="GH310" i="17"/>
  <c r="FS308" i="17"/>
  <c r="FR215" i="17"/>
  <c r="GN156" i="17"/>
  <c r="FX98" i="17"/>
  <c r="FT187" i="17"/>
  <c r="FR163" i="17"/>
  <c r="FW142" i="17"/>
  <c r="GN199" i="17"/>
  <c r="GE110" i="17"/>
  <c r="GO32" i="17"/>
  <c r="GF6" i="17"/>
  <c r="FQ19" i="17"/>
  <c r="GF334" i="17"/>
  <c r="GF240" i="17"/>
  <c r="FX164" i="17"/>
  <c r="GO159" i="17"/>
  <c r="FO6" i="17"/>
  <c r="GN28" i="17"/>
  <c r="GG44" i="17"/>
  <c r="GF99" i="17"/>
  <c r="FU103" i="17"/>
  <c r="FT120" i="17"/>
  <c r="GL53" i="17"/>
  <c r="FO149" i="17"/>
  <c r="GM136" i="17"/>
  <c r="GG6" i="17"/>
  <c r="GL229" i="17"/>
  <c r="GH218" i="17"/>
  <c r="GH202" i="17"/>
  <c r="GL197" i="17"/>
  <c r="FV186" i="17"/>
  <c r="GL180" i="17"/>
  <c r="GM132" i="17"/>
  <c r="FS117" i="17"/>
  <c r="GL65" i="17"/>
  <c r="GL49" i="17"/>
  <c r="GL11" i="17"/>
  <c r="GO185" i="17"/>
  <c r="GK28" i="17"/>
  <c r="FT164" i="17"/>
  <c r="GN13" i="17"/>
  <c r="GM9" i="17"/>
  <c r="GF44" i="17"/>
  <c r="GD99" i="17"/>
  <c r="GM120" i="17"/>
  <c r="FP57" i="17"/>
  <c r="GC220" i="17"/>
  <c r="GF149" i="17"/>
  <c r="FT211" i="17"/>
  <c r="FQ120" i="17"/>
  <c r="GE326" i="17"/>
  <c r="GK321" i="17"/>
  <c r="GP317" i="17"/>
  <c r="GA315" i="17"/>
  <c r="GD279" i="17"/>
  <c r="GK277" i="17"/>
  <c r="FW275" i="17"/>
  <c r="GA271" i="17"/>
  <c r="GE267" i="17"/>
  <c r="GD248" i="17"/>
  <c r="GA137" i="17"/>
  <c r="GE116" i="17"/>
  <c r="FW109" i="17"/>
  <c r="GA103" i="17"/>
  <c r="FT101" i="17"/>
  <c r="GA64" i="17"/>
  <c r="GE59" i="17"/>
  <c r="FT43" i="17"/>
  <c r="FT24" i="17"/>
  <c r="GE5" i="17"/>
  <c r="GC120" i="17"/>
  <c r="FO133" i="17"/>
  <c r="FT220" i="17"/>
  <c r="FT204" i="17"/>
  <c r="FV164" i="17"/>
  <c r="AT4" i="26"/>
  <c r="AN160" i="26"/>
  <c r="AP160" i="26"/>
  <c r="AQ192" i="26"/>
  <c r="AL176" i="26"/>
  <c r="AO20" i="26"/>
  <c r="AT207" i="26"/>
  <c r="GJ112" i="26"/>
  <c r="AR38" i="26"/>
  <c r="AL22" i="26"/>
  <c r="AR117" i="26"/>
  <c r="AR192" i="26"/>
  <c r="AT240" i="26"/>
  <c r="AL192" i="26"/>
  <c r="AM35" i="26"/>
  <c r="AP4" i="26"/>
  <c r="D4" i="26" s="1"/>
  <c r="AO22" i="26"/>
  <c r="AQ179" i="26"/>
  <c r="AL175" i="26"/>
  <c r="D175" i="26" s="1"/>
  <c r="AT241" i="26"/>
  <c r="AQ20" i="26"/>
  <c r="AM235" i="26"/>
  <c r="AT22" i="26"/>
  <c r="AV35" i="26"/>
  <c r="AM22" i="26"/>
  <c r="AN179" i="26"/>
  <c r="AS175" i="26"/>
  <c r="AT38" i="26"/>
  <c r="AO176" i="26"/>
  <c r="AQ256" i="26"/>
  <c r="AP191" i="26"/>
  <c r="AT176" i="26"/>
  <c r="AU192" i="26"/>
  <c r="D158" i="26"/>
  <c r="AS19" i="26"/>
  <c r="AN38" i="26"/>
  <c r="AV207" i="26"/>
  <c r="AV191" i="26"/>
  <c r="AM179" i="26"/>
  <c r="AU178" i="26"/>
  <c r="AU20" i="26"/>
  <c r="AL239" i="26"/>
  <c r="AT175" i="26"/>
  <c r="FV112" i="26"/>
  <c r="GK112" i="26"/>
  <c r="GH112" i="26"/>
  <c r="AV239" i="26"/>
  <c r="AQ178" i="26"/>
  <c r="AS4" i="26"/>
  <c r="AL38" i="26"/>
  <c r="AS117" i="26"/>
  <c r="AR256" i="26"/>
  <c r="AS192" i="26"/>
  <c r="AV160" i="26"/>
  <c r="AT35" i="26"/>
  <c r="AN191" i="26"/>
  <c r="AR179" i="26"/>
  <c r="AL116" i="26"/>
  <c r="AV179" i="26"/>
  <c r="AM207" i="26"/>
  <c r="AQ159" i="26"/>
  <c r="AU175" i="26"/>
  <c r="AM4" i="26"/>
  <c r="AO192" i="26"/>
  <c r="AP176" i="26"/>
  <c r="AP239" i="26"/>
  <c r="AV256" i="26"/>
  <c r="AS20" i="26"/>
  <c r="AU4" i="26"/>
  <c r="AP117" i="26"/>
  <c r="AO179" i="26"/>
  <c r="AQ116" i="26"/>
  <c r="AN176" i="26"/>
  <c r="AV178" i="26"/>
  <c r="AP240" i="26"/>
  <c r="AR160" i="26"/>
  <c r="AV176" i="26"/>
  <c r="AV22" i="26"/>
  <c r="AQ191" i="26"/>
  <c r="AU191" i="26"/>
  <c r="AP178" i="26"/>
  <c r="AR239" i="26"/>
  <c r="AR4" i="26"/>
  <c r="AT117" i="26"/>
  <c r="AT178" i="26"/>
  <c r="AL178" i="26"/>
  <c r="AM209" i="26"/>
  <c r="AT239" i="26"/>
  <c r="AS191" i="26"/>
  <c r="AP20" i="26"/>
  <c r="AU190" i="26"/>
  <c r="AW190" i="26" s="1"/>
  <c r="AU22" i="26"/>
  <c r="AM5" i="26"/>
  <c r="AM117" i="26"/>
  <c r="AS160" i="26"/>
  <c r="AT192" i="26"/>
  <c r="AO4" i="26"/>
  <c r="AT19" i="26"/>
  <c r="AO241" i="26"/>
  <c r="AL191" i="26"/>
  <c r="AU207" i="26"/>
  <c r="AR240" i="26"/>
  <c r="AO178" i="26"/>
  <c r="AM20" i="26"/>
  <c r="AU38" i="26"/>
  <c r="AN240" i="26"/>
  <c r="AP207" i="26"/>
  <c r="AU160" i="26"/>
  <c r="AN22" i="26"/>
  <c r="AO194" i="26"/>
  <c r="AR178" i="26"/>
  <c r="AV30" i="26"/>
  <c r="AS22" i="26"/>
  <c r="AQ241" i="26"/>
  <c r="AO240" i="26"/>
  <c r="AM178" i="26"/>
  <c r="AN20" i="26"/>
  <c r="AV115" i="26"/>
  <c r="AS179" i="26"/>
  <c r="AU179" i="26"/>
  <c r="AN178" i="26"/>
  <c r="AT20" i="26"/>
  <c r="AU235" i="26"/>
  <c r="AN256" i="26"/>
  <c r="AU117" i="26"/>
  <c r="AP192" i="26"/>
  <c r="AP256" i="26"/>
  <c r="AU35" i="26"/>
  <c r="AV38" i="26"/>
  <c r="AN241" i="26"/>
  <c r="AL207" i="26"/>
  <c r="AR163" i="26"/>
  <c r="AS45" i="26"/>
  <c r="GG112" i="26"/>
  <c r="AR22" i="26"/>
  <c r="AR20" i="26"/>
  <c r="AQ160" i="26"/>
  <c r="AR176" i="26"/>
  <c r="AS256" i="26"/>
  <c r="AV192" i="26"/>
  <c r="AM38" i="26"/>
  <c r="AU239" i="26"/>
  <c r="AR191" i="26"/>
  <c r="AT191" i="26"/>
  <c r="AM239" i="26"/>
  <c r="AT10" i="17"/>
  <c r="AK222" i="17"/>
  <c r="FW34" i="17"/>
  <c r="FZ164" i="17"/>
  <c r="FS256" i="17"/>
  <c r="AU26" i="17"/>
  <c r="AM281" i="17"/>
  <c r="AL106" i="17"/>
  <c r="AQ106" i="17"/>
  <c r="AM106" i="17"/>
  <c r="AP77" i="17"/>
  <c r="AR77" i="17"/>
  <c r="GI206" i="17"/>
  <c r="AS26" i="17"/>
  <c r="GQ26" i="17" s="1"/>
  <c r="GV26" i="17" s="1"/>
  <c r="HX26" i="17" s="1"/>
  <c r="GH190" i="17"/>
  <c r="GB223" i="17"/>
  <c r="GC227" i="17"/>
  <c r="GG209" i="17"/>
  <c r="AP26" i="17"/>
  <c r="GU281" i="17"/>
  <c r="HW281" i="17" s="1"/>
  <c r="AO26" i="17"/>
  <c r="AQ15" i="17"/>
  <c r="GT281" i="17"/>
  <c r="HV281" i="17" s="1"/>
  <c r="FR259" i="17"/>
  <c r="FU137" i="17"/>
  <c r="HF281" i="17"/>
  <c r="IH281" i="17" s="1"/>
  <c r="AN26" i="17"/>
  <c r="FU166" i="17"/>
  <c r="FZ148" i="17"/>
  <c r="FS199" i="17"/>
  <c r="AK58" i="17"/>
  <c r="GM195" i="17"/>
  <c r="AL115" i="17"/>
  <c r="AK115" i="17"/>
  <c r="GH163" i="17"/>
  <c r="FU218" i="17"/>
  <c r="FU209" i="17"/>
  <c r="AP147" i="17"/>
  <c r="AR163" i="17"/>
  <c r="AP206" i="17"/>
  <c r="GD327" i="17"/>
  <c r="FW323" i="17"/>
  <c r="GP321" i="17"/>
  <c r="FY319" i="17"/>
  <c r="FU315" i="17"/>
  <c r="GN301" i="17"/>
  <c r="GD300" i="17"/>
  <c r="GK179" i="17"/>
  <c r="GJ298" i="17"/>
  <c r="FW297" i="17"/>
  <c r="GP295" i="17"/>
  <c r="GC289" i="17"/>
  <c r="GE286" i="17"/>
  <c r="GN284" i="17"/>
  <c r="GP277" i="17"/>
  <c r="GC273" i="17"/>
  <c r="GE270" i="17"/>
  <c r="FR268" i="17"/>
  <c r="GD189" i="17"/>
  <c r="FT258" i="17"/>
  <c r="GK250" i="17"/>
  <c r="FW248" i="17"/>
  <c r="GA232" i="17"/>
  <c r="FT230" i="17"/>
  <c r="FY229" i="17"/>
  <c r="GN225" i="17"/>
  <c r="GD224" i="17"/>
  <c r="FY219" i="17"/>
  <c r="GA216" i="17"/>
  <c r="GC214" i="17"/>
  <c r="GE211" i="17"/>
  <c r="GK209" i="17"/>
  <c r="GD208" i="17"/>
  <c r="GP205" i="17"/>
  <c r="FV204" i="17"/>
  <c r="FY203" i="17"/>
  <c r="GP202" i="17"/>
  <c r="GA200" i="17"/>
  <c r="GM198" i="17"/>
  <c r="FY197" i="17"/>
  <c r="FR193" i="17"/>
  <c r="GK190" i="17"/>
  <c r="FW187" i="17"/>
  <c r="FY186" i="17"/>
  <c r="GA183" i="17"/>
  <c r="GE168" i="17"/>
  <c r="FR166" i="17"/>
  <c r="GD165" i="17"/>
  <c r="GK163" i="17"/>
  <c r="FQ162" i="17"/>
  <c r="FY157" i="17"/>
  <c r="GC155" i="17"/>
  <c r="FY154" i="17"/>
  <c r="FV151" i="17"/>
  <c r="FR150" i="17"/>
  <c r="GK147" i="17"/>
  <c r="FW145" i="17"/>
  <c r="GP143" i="17"/>
  <c r="GA141" i="17"/>
  <c r="GC139" i="17"/>
  <c r="FO136" i="17"/>
  <c r="GN134" i="17"/>
  <c r="FP133" i="17"/>
  <c r="GK131" i="17"/>
  <c r="FW129" i="17"/>
  <c r="GP127" i="17"/>
  <c r="GA125" i="17"/>
  <c r="FY122" i="17"/>
  <c r="FU121" i="17"/>
  <c r="FR118" i="17"/>
  <c r="GJ114" i="17"/>
  <c r="FW113" i="17"/>
  <c r="GA109" i="17"/>
  <c r="FS108" i="17"/>
  <c r="FO102" i="17"/>
  <c r="FW95" i="17"/>
  <c r="FY94" i="17"/>
  <c r="FX92" i="17"/>
  <c r="FS67" i="17"/>
  <c r="FV62" i="17"/>
  <c r="FP60" i="17"/>
  <c r="FY55" i="17"/>
  <c r="FS51" i="17"/>
  <c r="GL50" i="17"/>
  <c r="GM324" i="17"/>
  <c r="GJ315" i="17"/>
  <c r="GO315" i="17"/>
  <c r="GM298" i="17"/>
  <c r="GJ287" i="17"/>
  <c r="FV276" i="17"/>
  <c r="GJ271" i="17"/>
  <c r="GJ256" i="17"/>
  <c r="GO256" i="17"/>
  <c r="GM249" i="17"/>
  <c r="FP231" i="17"/>
  <c r="GJ228" i="17"/>
  <c r="GF218" i="17"/>
  <c r="GJ212" i="17"/>
  <c r="GM205" i="17"/>
  <c r="GH200" i="17"/>
  <c r="GL195" i="17"/>
  <c r="FS163" i="17"/>
  <c r="GD159" i="17"/>
  <c r="GH141" i="17"/>
  <c r="FS131" i="17"/>
  <c r="GM130" i="17"/>
  <c r="GH125" i="17"/>
  <c r="GM114" i="17"/>
  <c r="FO111" i="17"/>
  <c r="GL102" i="17"/>
  <c r="FO93" i="17"/>
  <c r="GK91" i="17"/>
  <c r="FS4" i="17"/>
  <c r="FV74" i="17"/>
  <c r="GK329" i="17"/>
  <c r="GA323" i="17"/>
  <c r="GL133" i="17"/>
  <c r="GH122" i="17"/>
  <c r="FV30" i="17"/>
  <c r="GF228" i="17"/>
  <c r="GB227" i="17"/>
  <c r="GF137" i="17"/>
  <c r="GF64" i="17"/>
  <c r="GI98" i="17"/>
  <c r="FO325" i="17"/>
  <c r="FX266" i="17"/>
  <c r="GC10" i="17"/>
  <c r="GH308" i="17"/>
  <c r="AK236" i="17"/>
  <c r="AR87" i="17"/>
  <c r="GM326" i="17"/>
  <c r="GL316" i="17"/>
  <c r="FX302" i="17"/>
  <c r="GI301" i="17"/>
  <c r="FS300" i="17"/>
  <c r="GL288" i="17"/>
  <c r="GL272" i="17"/>
  <c r="GN270" i="17"/>
  <c r="FP255" i="17"/>
  <c r="GF233" i="17"/>
  <c r="FP227" i="17"/>
  <c r="FX226" i="17"/>
  <c r="GB183" i="17"/>
  <c r="GF142" i="17"/>
  <c r="GB125" i="17"/>
  <c r="GO102" i="17"/>
  <c r="GO47" i="17"/>
  <c r="GB14" i="17"/>
  <c r="GI266" i="17"/>
  <c r="GI222" i="17"/>
  <c r="GG208" i="17"/>
  <c r="GI131" i="17"/>
  <c r="GI58" i="17"/>
  <c r="AT20" i="25"/>
  <c r="AK20" i="25"/>
  <c r="AK23" i="25"/>
  <c r="AQ20" i="25"/>
  <c r="AS24" i="25"/>
  <c r="AP24" i="25"/>
  <c r="AS22" i="25"/>
  <c r="AU20" i="25"/>
  <c r="AR22" i="25"/>
  <c r="AR20" i="25"/>
  <c r="AS21" i="25"/>
  <c r="AR21" i="25"/>
  <c r="AQ24" i="25"/>
  <c r="AT24" i="25"/>
  <c r="AU18" i="25"/>
  <c r="AQ21" i="25"/>
  <c r="AP21" i="25"/>
  <c r="AN20" i="25"/>
  <c r="AM24" i="25"/>
  <c r="AS20" i="25"/>
  <c r="AQ7" i="25"/>
  <c r="AO20" i="25"/>
  <c r="AP20" i="25"/>
  <c r="AR24" i="25"/>
  <c r="AS23" i="25"/>
  <c r="AL20" i="25"/>
  <c r="AP32" i="26"/>
  <c r="AN31" i="26"/>
  <c r="AS31" i="26"/>
  <c r="AP182" i="26"/>
  <c r="AN224" i="26"/>
  <c r="AQ155" i="26"/>
  <c r="AS197" i="26"/>
  <c r="AL225" i="26"/>
  <c r="AM16" i="26"/>
  <c r="AU259" i="26"/>
  <c r="AS168" i="26"/>
  <c r="GD112" i="26"/>
  <c r="AP15" i="26"/>
  <c r="AU47" i="26"/>
  <c r="AR51" i="26"/>
  <c r="AQ225" i="26"/>
  <c r="AO197" i="26"/>
  <c r="AU182" i="26"/>
  <c r="AM155" i="26"/>
  <c r="AQ168" i="26"/>
  <c r="AS16" i="26"/>
  <c r="AR31" i="26"/>
  <c r="AN16" i="26"/>
  <c r="AU52" i="26"/>
  <c r="AS224" i="26"/>
  <c r="AR154" i="26"/>
  <c r="AM210" i="26"/>
  <c r="AO210" i="26"/>
  <c r="AV51" i="26"/>
  <c r="AM168" i="26"/>
  <c r="AT47" i="26"/>
  <c r="AS51" i="26"/>
  <c r="AO155" i="26"/>
  <c r="AQ182" i="26"/>
  <c r="AR155" i="26"/>
  <c r="AV225" i="26"/>
  <c r="AU155" i="26"/>
  <c r="AT32" i="26"/>
  <c r="AP211" i="26"/>
  <c r="AV167" i="26"/>
  <c r="AN47" i="26"/>
  <c r="AP31" i="26"/>
  <c r="AV31" i="26"/>
  <c r="AV52" i="26"/>
  <c r="AV210" i="26"/>
  <c r="AQ154" i="26"/>
  <c r="AL182" i="26"/>
  <c r="AL52" i="26"/>
  <c r="AL167" i="26"/>
  <c r="AO167" i="26"/>
  <c r="AU210" i="26"/>
  <c r="AS211" i="26"/>
  <c r="AO243" i="26"/>
  <c r="FT112" i="26"/>
  <c r="AN197" i="26"/>
  <c r="AU167" i="26"/>
  <c r="AR224" i="26"/>
  <c r="AT155" i="26"/>
  <c r="AU154" i="26"/>
  <c r="AL224" i="26"/>
  <c r="AN211" i="26"/>
  <c r="AT168" i="26"/>
  <c r="AP243" i="26"/>
  <c r="AR243" i="26"/>
  <c r="AV155" i="26"/>
  <c r="AN32" i="26"/>
  <c r="AR47" i="26"/>
  <c r="AS47" i="26"/>
  <c r="AT51" i="26"/>
  <c r="AU225" i="26"/>
  <c r="AR197" i="26"/>
  <c r="AT224" i="26"/>
  <c r="AU224" i="26"/>
  <c r="AV154" i="26"/>
  <c r="AL155" i="26"/>
  <c r="AS198" i="26"/>
  <c r="AQ259" i="26"/>
  <c r="AV259" i="26"/>
  <c r="AQ31" i="26"/>
  <c r="AL260" i="26"/>
  <c r="AT52" i="26"/>
  <c r="AM47" i="26"/>
  <c r="AV47" i="26"/>
  <c r="AO51" i="26"/>
  <c r="AM197" i="26"/>
  <c r="AM154" i="26"/>
  <c r="AN210" i="26"/>
  <c r="AN167" i="26"/>
  <c r="AL51" i="26"/>
  <c r="AM215" i="26"/>
  <c r="AU243" i="26"/>
  <c r="AL174" i="26"/>
  <c r="AV126" i="26"/>
  <c r="AR16" i="26"/>
  <c r="AR52" i="26"/>
  <c r="AU51" i="26"/>
  <c r="AR225" i="26"/>
  <c r="AP224" i="26"/>
  <c r="AT16" i="26"/>
  <c r="AQ47" i="26"/>
  <c r="AQ211" i="26"/>
  <c r="AV211" i="26"/>
  <c r="AV168" i="26"/>
  <c r="AL16" i="26"/>
  <c r="AL259" i="26"/>
  <c r="AP47" i="26"/>
  <c r="AS167" i="26"/>
  <c r="AP197" i="26"/>
  <c r="AT182" i="26"/>
  <c r="AU211" i="26"/>
  <c r="AQ167" i="26"/>
  <c r="AO168" i="26"/>
  <c r="AO31" i="26"/>
  <c r="AV16" i="26"/>
  <c r="AU253" i="26"/>
  <c r="AU197" i="26"/>
  <c r="AR168" i="26"/>
  <c r="AT200" i="26"/>
  <c r="AP16" i="26"/>
  <c r="AR32" i="26"/>
  <c r="AP51" i="26"/>
  <c r="AT210" i="26"/>
  <c r="AR182" i="26"/>
  <c r="AO154" i="26"/>
  <c r="AM167" i="26"/>
  <c r="AT167" i="26"/>
  <c r="AN168" i="26"/>
  <c r="AP168" i="26"/>
  <c r="AQ243" i="26"/>
  <c r="AN116" i="26"/>
  <c r="AQ16" i="26"/>
  <c r="AU31" i="26"/>
  <c r="AS52" i="26"/>
  <c r="AP155" i="26"/>
  <c r="AV182" i="26"/>
  <c r="AM225" i="26"/>
  <c r="AO211" i="26"/>
  <c r="AP210" i="26"/>
  <c r="AM182" i="26"/>
  <c r="AU168" i="26"/>
  <c r="AR210" i="26"/>
  <c r="AS226" i="26"/>
  <c r="AU16" i="26"/>
  <c r="AP154" i="26"/>
  <c r="AQ197" i="26"/>
  <c r="AT154" i="26"/>
  <c r="AL210" i="26"/>
  <c r="AQ210" i="26"/>
  <c r="AM211" i="26"/>
  <c r="AO198" i="26"/>
  <c r="GD286" i="17"/>
  <c r="AM26" i="17"/>
  <c r="FP261" i="17"/>
  <c r="FT292" i="17"/>
  <c r="AL26" i="17"/>
  <c r="AQ222" i="17"/>
  <c r="FZ151" i="17"/>
  <c r="GI150" i="17"/>
  <c r="FZ135" i="17"/>
  <c r="FZ119" i="17"/>
  <c r="FZ46" i="17"/>
  <c r="GI23" i="17"/>
  <c r="HG281" i="17"/>
  <c r="II281" i="17" s="1"/>
  <c r="FQ327" i="17"/>
  <c r="AQ10" i="17"/>
  <c r="AM97" i="17"/>
  <c r="AT281" i="17"/>
  <c r="FP265" i="17"/>
  <c r="FP205" i="17"/>
  <c r="GA73" i="17"/>
  <c r="AP10" i="17"/>
  <c r="AK97" i="17"/>
  <c r="AP281" i="17"/>
  <c r="GF41" i="17"/>
  <c r="GF22" i="17"/>
  <c r="HR281" i="17"/>
  <c r="IT281" i="17" s="1"/>
  <c r="HQ281" i="17"/>
  <c r="IS281" i="17" s="1"/>
  <c r="AL10" i="17"/>
  <c r="AN281" i="17"/>
  <c r="GJ280" i="17"/>
  <c r="GB311" i="17"/>
  <c r="AT236" i="17"/>
  <c r="GF255" i="17"/>
  <c r="AT26" i="17"/>
  <c r="AT147" i="17"/>
  <c r="AT27" i="17"/>
  <c r="FW320" i="17"/>
  <c r="GA288" i="17"/>
  <c r="FT286" i="17"/>
  <c r="GA272" i="17"/>
  <c r="GD265" i="17"/>
  <c r="GI263" i="17"/>
  <c r="FW261" i="17"/>
  <c r="FR250" i="17"/>
  <c r="FU225" i="17"/>
  <c r="GA213" i="17"/>
  <c r="GC211" i="17"/>
  <c r="AR236" i="17"/>
  <c r="FS309" i="17"/>
  <c r="GO137" i="17"/>
  <c r="GF127" i="17"/>
  <c r="FX126" i="17"/>
  <c r="GF35" i="17"/>
  <c r="AR26" i="17"/>
  <c r="AN147" i="17"/>
  <c r="AT207" i="17"/>
  <c r="FZ331" i="17"/>
  <c r="FV327" i="17"/>
  <c r="GL321" i="17"/>
  <c r="GH299" i="17"/>
  <c r="GL295" i="17"/>
  <c r="GB289" i="17"/>
  <c r="GO253" i="17"/>
  <c r="FV224" i="17"/>
  <c r="GH223" i="17"/>
  <c r="GL218" i="17"/>
  <c r="FP212" i="17"/>
  <c r="GH207" i="17"/>
  <c r="FV192" i="17"/>
  <c r="GH191" i="17"/>
  <c r="GL185" i="17"/>
  <c r="GH164" i="17"/>
  <c r="FS154" i="17"/>
  <c r="GM153" i="17"/>
  <c r="GO150" i="17"/>
  <c r="GH148" i="17"/>
  <c r="GL143" i="17"/>
  <c r="FO134" i="17"/>
  <c r="GH132" i="17"/>
  <c r="GL127" i="17"/>
  <c r="FP121" i="17"/>
  <c r="GH116" i="17"/>
  <c r="FV99" i="17"/>
  <c r="GH98" i="17"/>
  <c r="GL93" i="17"/>
  <c r="GM64" i="17"/>
  <c r="GH59" i="17"/>
  <c r="GJ42" i="17"/>
  <c r="GJ23" i="17"/>
  <c r="GJ7" i="17"/>
  <c r="AK177" i="17"/>
  <c r="AQ26" i="17"/>
  <c r="AT163" i="17"/>
  <c r="GJ325" i="17"/>
  <c r="GJ179" i="17"/>
  <c r="FP284" i="17"/>
  <c r="GJ281" i="17"/>
  <c r="GA276" i="17"/>
  <c r="GC274" i="17"/>
  <c r="GE271" i="17"/>
  <c r="GJ266" i="17"/>
  <c r="GJ250" i="17"/>
  <c r="GJ222" i="17"/>
  <c r="GJ206" i="17"/>
  <c r="GJ190" i="17"/>
  <c r="GK164" i="17"/>
  <c r="GJ163" i="17"/>
  <c r="GJ147" i="17"/>
  <c r="GK132" i="17"/>
  <c r="GJ131" i="17"/>
  <c r="GK116" i="17"/>
  <c r="GJ115" i="17"/>
  <c r="GJ97" i="17"/>
  <c r="GJ58" i="17"/>
  <c r="FP45" i="17"/>
  <c r="GJ39" i="17"/>
  <c r="FU27" i="17"/>
  <c r="FU11" i="17"/>
  <c r="HN42" i="17"/>
  <c r="IP42" i="17" s="1"/>
  <c r="GA319" i="17"/>
  <c r="GC324" i="17"/>
  <c r="GE198" i="17"/>
  <c r="GC123" i="17"/>
  <c r="GD133" i="17"/>
  <c r="GN253" i="17"/>
  <c r="GC258" i="17"/>
  <c r="FT273" i="17"/>
  <c r="FO168" i="17"/>
  <c r="FO211" i="17"/>
  <c r="AN251" i="17"/>
  <c r="GG169" i="17"/>
  <c r="FS157" i="17"/>
  <c r="GM156" i="17"/>
  <c r="FO121" i="17"/>
  <c r="GI24" i="17"/>
  <c r="GB74" i="17"/>
  <c r="FT123" i="17"/>
  <c r="FU153" i="17"/>
  <c r="GO169" i="17"/>
  <c r="GC317" i="17"/>
  <c r="GD136" i="17"/>
  <c r="GP57" i="17"/>
  <c r="GM82" i="17"/>
  <c r="FV245" i="17"/>
  <c r="GD242" i="17"/>
  <c r="GE237" i="17"/>
  <c r="GE89" i="17"/>
  <c r="GE79" i="17"/>
  <c r="GE311" i="17"/>
  <c r="FU196" i="17"/>
  <c r="FQ208" i="17"/>
  <c r="GA219" i="17"/>
  <c r="GA186" i="17"/>
  <c r="FQ249" i="17"/>
  <c r="FO188" i="17"/>
  <c r="GO280" i="17"/>
  <c r="FT317" i="17"/>
  <c r="GM123" i="17"/>
  <c r="FT198" i="17"/>
  <c r="GP162" i="17"/>
  <c r="GK118" i="17"/>
  <c r="FO195" i="17"/>
  <c r="AS326" i="17"/>
  <c r="GQ326" i="17" s="1"/>
  <c r="HC326" i="17" s="1"/>
  <c r="IE326" i="17" s="1"/>
  <c r="GI126" i="17"/>
  <c r="AU88" i="17"/>
  <c r="FQ224" i="17"/>
  <c r="GO221" i="17"/>
  <c r="FR134" i="17"/>
  <c r="FY141" i="17"/>
  <c r="FY216" i="17"/>
  <c r="GO249" i="17"/>
  <c r="FR284" i="17"/>
  <c r="FO63" i="17"/>
  <c r="GK134" i="17"/>
  <c r="GD63" i="17"/>
  <c r="AR326" i="17"/>
  <c r="AM27" i="17"/>
  <c r="FS77" i="17"/>
  <c r="AU326" i="17"/>
  <c r="AQ326" i="17"/>
  <c r="AL27" i="17"/>
  <c r="GI293" i="17"/>
  <c r="GG30" i="17"/>
  <c r="GA81" i="17"/>
  <c r="GD335" i="17"/>
  <c r="GA78" i="17"/>
  <c r="GA245" i="17"/>
  <c r="GL311" i="17"/>
  <c r="GD71" i="17"/>
  <c r="GL70" i="17"/>
  <c r="GA241" i="17"/>
  <c r="GD240" i="17"/>
  <c r="GC201" i="17"/>
  <c r="GD195" i="17"/>
  <c r="GK328" i="17"/>
  <c r="GO162" i="17"/>
  <c r="GM66" i="17"/>
  <c r="GL95" i="17"/>
  <c r="AL43" i="17"/>
  <c r="FW319" i="17"/>
  <c r="AO88" i="17"/>
  <c r="FQ114" i="17"/>
  <c r="GA203" i="17"/>
  <c r="FY109" i="17"/>
  <c r="FT289" i="17"/>
  <c r="GC158" i="17"/>
  <c r="GD192" i="17"/>
  <c r="AK43" i="17"/>
  <c r="GB8" i="17"/>
  <c r="GI337" i="17"/>
  <c r="FR245" i="17"/>
  <c r="GN150" i="17"/>
  <c r="GE258" i="17"/>
  <c r="GE230" i="17"/>
  <c r="GN212" i="17"/>
  <c r="FT214" i="17"/>
  <c r="FY232" i="17"/>
  <c r="GM139" i="17"/>
  <c r="GC92" i="17"/>
  <c r="AT98" i="17"/>
  <c r="FS332" i="17"/>
  <c r="GH328" i="17"/>
  <c r="GL323" i="17"/>
  <c r="GM317" i="17"/>
  <c r="GL297" i="17"/>
  <c r="FY296" i="17"/>
  <c r="GH284" i="17"/>
  <c r="GL279" i="17"/>
  <c r="FY278" i="17"/>
  <c r="GD93" i="17"/>
  <c r="AM248" i="17"/>
  <c r="AQ88" i="17"/>
  <c r="GA157" i="17"/>
  <c r="FY125" i="17"/>
  <c r="GP96" i="17"/>
  <c r="AK164" i="17"/>
  <c r="GE214" i="17"/>
  <c r="AQ191" i="17"/>
  <c r="FV323" i="17"/>
  <c r="GK322" i="17"/>
  <c r="GF280" i="17"/>
  <c r="GB270" i="17"/>
  <c r="FO249" i="17"/>
  <c r="GB220" i="17"/>
  <c r="GH203" i="17"/>
  <c r="GM192" i="17"/>
  <c r="FV187" i="17"/>
  <c r="FW31" i="17"/>
  <c r="GJ28" i="17"/>
  <c r="AR18" i="25"/>
  <c r="AS7" i="25"/>
  <c r="AL23" i="25"/>
  <c r="AO21" i="25"/>
  <c r="AQ18" i="25"/>
  <c r="AN21" i="25"/>
  <c r="AP18" i="25"/>
  <c r="AQ8" i="25"/>
  <c r="AU22" i="25"/>
  <c r="AM21" i="25"/>
  <c r="AU19" i="25"/>
  <c r="C19" i="25" s="1"/>
  <c r="AO18" i="25"/>
  <c r="C18" i="25" s="1"/>
  <c r="AN8" i="25"/>
  <c r="AT22" i="25"/>
  <c r="AT21" i="25"/>
  <c r="AL19" i="25"/>
  <c r="AN18" i="25"/>
  <c r="AM18" i="25"/>
  <c r="AT7" i="25"/>
  <c r="AR7" i="25"/>
  <c r="AL18" i="25"/>
  <c r="AN24" i="25"/>
  <c r="AQ22" i="25"/>
  <c r="AP7" i="25"/>
  <c r="AK24" i="25"/>
  <c r="AP22" i="25"/>
  <c r="AO7" i="25"/>
  <c r="AM22" i="25"/>
  <c r="AN7" i="25"/>
  <c r="AM7" i="25"/>
  <c r="AU7" i="25"/>
  <c r="AU23" i="25"/>
  <c r="AL7" i="25"/>
  <c r="AP40" i="26"/>
  <c r="AO49" i="26"/>
  <c r="AM261" i="26"/>
  <c r="AN174" i="26"/>
  <c r="AO222" i="26"/>
  <c r="AP14" i="26"/>
  <c r="AL30" i="26"/>
  <c r="AU162" i="26"/>
  <c r="AO221" i="26"/>
  <c r="AM184" i="26"/>
  <c r="AP162" i="26"/>
  <c r="AO118" i="26"/>
  <c r="AO209" i="26"/>
  <c r="AQ38" i="26"/>
  <c r="AR25" i="26"/>
  <c r="AS184" i="26"/>
  <c r="FW112" i="26"/>
  <c r="AQ26" i="26"/>
  <c r="AO40" i="26"/>
  <c r="AN49" i="26"/>
  <c r="AQ221" i="26"/>
  <c r="AM39" i="26"/>
  <c r="AL14" i="26"/>
  <c r="AS233" i="26"/>
  <c r="AS186" i="26"/>
  <c r="GT112" i="26"/>
  <c r="AP49" i="26"/>
  <c r="AU209" i="26"/>
  <c r="AN40" i="26"/>
  <c r="AM49" i="26"/>
  <c r="AL209" i="26"/>
  <c r="AT222" i="26"/>
  <c r="AU27" i="26"/>
  <c r="AR39" i="26"/>
  <c r="AV50" i="26"/>
  <c r="AN27" i="26"/>
  <c r="AT233" i="26"/>
  <c r="AR233" i="26"/>
  <c r="AS221" i="26"/>
  <c r="AN37" i="26"/>
  <c r="AM24" i="26"/>
  <c r="AL244" i="26"/>
  <c r="GS112" i="26"/>
  <c r="AL49" i="26"/>
  <c r="AU118" i="26"/>
  <c r="AU221" i="26"/>
  <c r="AQ186" i="26"/>
  <c r="AU261" i="26"/>
  <c r="AN221" i="26"/>
  <c r="AS222" i="26"/>
  <c r="AT209" i="26"/>
  <c r="AP118" i="26"/>
  <c r="AL248" i="26"/>
  <c r="AM15" i="26"/>
  <c r="AQ261" i="26"/>
  <c r="AQ222" i="26"/>
  <c r="AN39" i="26"/>
  <c r="AV39" i="26"/>
  <c r="AL40" i="26"/>
  <c r="AL27" i="26"/>
  <c r="AO39" i="26"/>
  <c r="AT18" i="26"/>
  <c r="AN186" i="26"/>
  <c r="AV233" i="26"/>
  <c r="AO162" i="26"/>
  <c r="D128" i="26"/>
  <c r="AQ208" i="26"/>
  <c r="AP38" i="26"/>
  <c r="AN30" i="26"/>
  <c r="AL233" i="26"/>
  <c r="AO172" i="26"/>
  <c r="AN52" i="26"/>
  <c r="AP30" i="26"/>
  <c r="AO52" i="26"/>
  <c r="AS27" i="26"/>
  <c r="AV15" i="26"/>
  <c r="AN261" i="26"/>
  <c r="AM222" i="26"/>
  <c r="AN14" i="26"/>
  <c r="AN12" i="26"/>
  <c r="AV12" i="26"/>
  <c r="AS40" i="26"/>
  <c r="AM172" i="26"/>
  <c r="AU233" i="26"/>
  <c r="AS18" i="26"/>
  <c r="AN162" i="26"/>
  <c r="AP52" i="26"/>
  <c r="AT123" i="26"/>
  <c r="AV118" i="26"/>
  <c r="AL118" i="26"/>
  <c r="AT162" i="26"/>
  <c r="AP186" i="26"/>
  <c r="AW158" i="26"/>
  <c r="AS261" i="26"/>
  <c r="AV162" i="26"/>
  <c r="AP233" i="26"/>
  <c r="AL172" i="26"/>
  <c r="D172" i="26" s="1"/>
  <c r="AM30" i="26"/>
  <c r="AM162" i="26"/>
  <c r="AR185" i="26"/>
  <c r="AL251" i="26"/>
  <c r="AQ118" i="26"/>
  <c r="AR162" i="26"/>
  <c r="AS15" i="26"/>
  <c r="AR261" i="26"/>
  <c r="AT261" i="26"/>
  <c r="AP12" i="26"/>
  <c r="AL185" i="26"/>
  <c r="AQ24" i="26"/>
  <c r="D24" i="26" s="1"/>
  <c r="AS172" i="26"/>
  <c r="AR219" i="26"/>
  <c r="AN209" i="26"/>
  <c r="AQ27" i="26"/>
  <c r="AU15" i="26"/>
  <c r="AP198" i="26"/>
  <c r="AP261" i="26"/>
  <c r="AU198" i="26"/>
  <c r="AV198" i="26"/>
  <c r="AS39" i="26"/>
  <c r="AT14" i="26"/>
  <c r="AR12" i="26"/>
  <c r="AM27" i="26"/>
  <c r="AU186" i="26"/>
  <c r="AR118" i="26"/>
  <c r="AU18" i="26"/>
  <c r="AU49" i="26"/>
  <c r="AR198" i="26"/>
  <c r="AW205" i="26"/>
  <c r="AV261" i="26"/>
  <c r="AP39" i="26"/>
  <c r="AM186" i="26"/>
  <c r="AT186" i="26"/>
  <c r="AR221" i="26"/>
  <c r="GA112" i="26"/>
  <c r="AR27" i="26"/>
  <c r="AT49" i="26"/>
  <c r="AQ198" i="26"/>
  <c r="AM221" i="26"/>
  <c r="AW189" i="26"/>
  <c r="AL198" i="26"/>
  <c r="AQ14" i="26"/>
  <c r="AL39" i="26"/>
  <c r="AW188" i="26"/>
  <c r="AO186" i="26"/>
  <c r="D159" i="26"/>
  <c r="AV222" i="26"/>
  <c r="AN184" i="26"/>
  <c r="AV221" i="26"/>
  <c r="AM219" i="26"/>
  <c r="GQ112" i="26"/>
  <c r="AS49" i="26"/>
  <c r="AR209" i="26"/>
  <c r="AT198" i="26"/>
  <c r="AN233" i="26"/>
  <c r="AP222" i="26"/>
  <c r="D190" i="26"/>
  <c r="AT24" i="26"/>
  <c r="AO14" i="26"/>
  <c r="AM198" i="26"/>
  <c r="AV186" i="26"/>
  <c r="AM52" i="26"/>
  <c r="AU172" i="26"/>
  <c r="AP251" i="26"/>
  <c r="AL162" i="26"/>
  <c r="AQ162" i="26"/>
  <c r="AS28" i="26"/>
  <c r="AO223" i="26"/>
  <c r="AV209" i="26"/>
  <c r="AR49" i="26"/>
  <c r="AQ209" i="26"/>
  <c r="AS209" i="26"/>
  <c r="AO261" i="26"/>
  <c r="AQ39" i="26"/>
  <c r="D189" i="26"/>
  <c r="AS50" i="26"/>
  <c r="AT115" i="26"/>
  <c r="AR186" i="26"/>
  <c r="AT118" i="26"/>
  <c r="GO333" i="17"/>
  <c r="GL332" i="17"/>
  <c r="GH323" i="17"/>
  <c r="FV280" i="17"/>
  <c r="GL274" i="17"/>
  <c r="FY273" i="17"/>
  <c r="FS269" i="17"/>
  <c r="GL231" i="17"/>
  <c r="FS226" i="17"/>
  <c r="FV221" i="17"/>
  <c r="GM209" i="17"/>
  <c r="GH187" i="17"/>
  <c r="GM166" i="17"/>
  <c r="FV162" i="17"/>
  <c r="GH161" i="17"/>
  <c r="FZ159" i="17"/>
  <c r="GH145" i="17"/>
  <c r="FY126" i="17"/>
  <c r="GL124" i="17"/>
  <c r="FS119" i="17"/>
  <c r="FY66" i="17"/>
  <c r="FZ47" i="17"/>
  <c r="FY30" i="17"/>
  <c r="GP14" i="17"/>
  <c r="FT10" i="17"/>
  <c r="AR36" i="17"/>
  <c r="GD257" i="17"/>
  <c r="GJ227" i="17"/>
  <c r="GF187" i="17"/>
  <c r="GC160" i="17"/>
  <c r="GF113" i="17"/>
  <c r="GD49" i="17"/>
  <c r="AP141" i="17"/>
  <c r="GI122" i="17"/>
  <c r="FS122" i="17"/>
  <c r="AR249" i="17"/>
  <c r="GE323" i="17"/>
  <c r="GA301" i="17"/>
  <c r="GC299" i="17"/>
  <c r="FU298" i="17"/>
  <c r="GK290" i="17"/>
  <c r="FQ289" i="17"/>
  <c r="FW288" i="17"/>
  <c r="GP286" i="17"/>
  <c r="FZ282" i="17"/>
  <c r="FT282" i="17"/>
  <c r="FS280" i="17"/>
  <c r="GM279" i="17"/>
  <c r="GD276" i="17"/>
  <c r="FU265" i="17"/>
  <c r="GD261" i="17"/>
  <c r="FW229" i="17"/>
  <c r="GC207" i="17"/>
  <c r="FU19" i="17"/>
  <c r="FO9" i="17"/>
  <c r="FV8" i="17"/>
  <c r="GH7" i="17"/>
  <c r="FX286" i="17"/>
  <c r="GP2" i="17"/>
  <c r="GG247" i="17"/>
  <c r="FV217" i="17"/>
  <c r="GM188" i="17"/>
  <c r="GJ183" i="17"/>
  <c r="FX15" i="17"/>
  <c r="AW159" i="26"/>
  <c r="AP26" i="26"/>
  <c r="AR37" i="26"/>
  <c r="AM245" i="26"/>
  <c r="AR196" i="26"/>
  <c r="AU245" i="26"/>
  <c r="AV245" i="26"/>
  <c r="AO257" i="26"/>
  <c r="AT163" i="26"/>
  <c r="AU174" i="26"/>
  <c r="AS237" i="26"/>
  <c r="AM51" i="26"/>
  <c r="AL36" i="26"/>
  <c r="AO25" i="26"/>
  <c r="AP122" i="26"/>
  <c r="AM256" i="26"/>
  <c r="AL245" i="26"/>
  <c r="AR183" i="26"/>
  <c r="AT173" i="26"/>
  <c r="AN196" i="26"/>
  <c r="AR6" i="26"/>
  <c r="AO37" i="26"/>
  <c r="AO26" i="26"/>
  <c r="AL26" i="26"/>
  <c r="AS215" i="26"/>
  <c r="AS247" i="26"/>
  <c r="AN164" i="26"/>
  <c r="AS196" i="26"/>
  <c r="AT174" i="26"/>
  <c r="AQ17" i="26"/>
  <c r="AM196" i="26"/>
  <c r="AQ226" i="26"/>
  <c r="AM247" i="26"/>
  <c r="AO195" i="26"/>
  <c r="AO247" i="26"/>
  <c r="AU216" i="26"/>
  <c r="AS123" i="26"/>
  <c r="AT26" i="26"/>
  <c r="AM115" i="26"/>
  <c r="AQ237" i="26"/>
  <c r="AM195" i="26"/>
  <c r="AP247" i="26"/>
  <c r="AS195" i="26"/>
  <c r="AP204" i="26"/>
  <c r="AS204" i="26"/>
  <c r="AO184" i="26"/>
  <c r="AL25" i="26"/>
  <c r="AT37" i="26"/>
  <c r="AM37" i="26"/>
  <c r="AP115" i="26"/>
  <c r="AT236" i="26"/>
  <c r="AV236" i="26"/>
  <c r="AO174" i="26"/>
  <c r="AV17" i="26"/>
  <c r="AV164" i="26"/>
  <c r="AL215" i="26"/>
  <c r="AQ183" i="26"/>
  <c r="AN257" i="26"/>
  <c r="AL204" i="26"/>
  <c r="AP195" i="26"/>
  <c r="AT257" i="26"/>
  <c r="AO215" i="26"/>
  <c r="AR184" i="26"/>
  <c r="AN123" i="26"/>
  <c r="AM234" i="26"/>
  <c r="AN25" i="26"/>
  <c r="AQ37" i="26"/>
  <c r="AU26" i="26"/>
  <c r="AV26" i="26"/>
  <c r="AV204" i="26"/>
  <c r="AO164" i="26"/>
  <c r="AO196" i="26"/>
  <c r="AV257" i="26"/>
  <c r="AR164" i="26"/>
  <c r="AR174" i="26"/>
  <c r="AP17" i="26"/>
  <c r="AN36" i="26"/>
  <c r="AS216" i="26"/>
  <c r="AT247" i="26"/>
  <c r="AM236" i="26"/>
  <c r="AN215" i="26"/>
  <c r="AP184" i="26"/>
  <c r="AQ184" i="26"/>
  <c r="AU234" i="26"/>
  <c r="AQ34" i="26"/>
  <c r="AT253" i="26"/>
  <c r="GO112" i="26"/>
  <c r="AP37" i="26"/>
  <c r="AL6" i="26"/>
  <c r="AW157" i="26"/>
  <c r="AM257" i="26"/>
  <c r="AM204" i="26"/>
  <c r="AQ195" i="26"/>
  <c r="AM123" i="26"/>
  <c r="D250" i="26"/>
  <c r="AV25" i="26"/>
  <c r="AQ123" i="26"/>
  <c r="AV163" i="26"/>
  <c r="AR122" i="26"/>
  <c r="AN122" i="26"/>
  <c r="AQ257" i="26"/>
  <c r="AO224" i="26"/>
  <c r="AT204" i="26"/>
  <c r="AT256" i="26"/>
  <c r="AM173" i="26"/>
  <c r="AU213" i="26"/>
  <c r="AV196" i="26"/>
  <c r="AM6" i="26"/>
  <c r="AV46" i="26"/>
  <c r="AU164" i="26"/>
  <c r="AO226" i="26"/>
  <c r="AV173" i="26"/>
  <c r="AO122" i="26"/>
  <c r="AS29" i="26"/>
  <c r="AL126" i="26"/>
  <c r="AN234" i="26"/>
  <c r="AO234" i="26"/>
  <c r="AU204" i="26"/>
  <c r="AL256" i="26"/>
  <c r="AS26" i="26"/>
  <c r="AS17" i="26"/>
  <c r="AR26" i="26"/>
  <c r="AO46" i="26"/>
  <c r="AU37" i="26"/>
  <c r="AU123" i="26"/>
  <c r="AU122" i="26"/>
  <c r="AO126" i="26"/>
  <c r="AT226" i="26"/>
  <c r="AO245" i="26"/>
  <c r="AP213" i="26"/>
  <c r="AQ213" i="26"/>
  <c r="AQ245" i="26"/>
  <c r="AP196" i="26"/>
  <c r="AP174" i="26"/>
  <c r="AS164" i="26"/>
  <c r="AV213" i="26"/>
  <c r="AV6" i="26"/>
  <c r="AU25" i="26"/>
  <c r="AU17" i="26"/>
  <c r="AN6" i="26"/>
  <c r="AP226" i="26"/>
  <c r="AV216" i="26"/>
  <c r="AL123" i="26"/>
  <c r="AO173" i="26"/>
  <c r="AR258" i="26"/>
  <c r="AO236" i="26"/>
  <c r="AP236" i="26"/>
  <c r="AQ215" i="26"/>
  <c r="AM163" i="26"/>
  <c r="AN183" i="26"/>
  <c r="AV195" i="26"/>
  <c r="AN251" i="26"/>
  <c r="AN219" i="26"/>
  <c r="D205" i="26"/>
  <c r="AT7" i="26"/>
  <c r="AS6" i="26"/>
  <c r="AS37" i="26"/>
  <c r="AV37" i="26"/>
  <c r="AN115" i="26"/>
  <c r="AQ115" i="26"/>
  <c r="AP126" i="26"/>
  <c r="AU247" i="26"/>
  <c r="AQ224" i="26"/>
  <c r="AL17" i="26"/>
  <c r="AN226" i="26"/>
  <c r="AS173" i="26"/>
  <c r="AV234" i="26"/>
  <c r="AM183" i="26"/>
  <c r="AN195" i="26"/>
  <c r="AN204" i="26"/>
  <c r="AN236" i="26"/>
  <c r="AP215" i="26"/>
  <c r="AU184" i="26"/>
  <c r="AQ164" i="26"/>
  <c r="AT196" i="26"/>
  <c r="AU6" i="26"/>
  <c r="AQ126" i="26"/>
  <c r="AO213" i="26"/>
  <c r="AM174" i="26"/>
  <c r="AL237" i="26"/>
  <c r="AV224" i="26"/>
  <c r="AN173" i="26"/>
  <c r="AS174" i="26"/>
  <c r="AM7" i="26"/>
  <c r="AO17" i="26"/>
  <c r="AM25" i="26"/>
  <c r="AO237" i="26"/>
  <c r="AT184" i="26"/>
  <c r="D157" i="26"/>
  <c r="AU226" i="26"/>
  <c r="AP163" i="26"/>
  <c r="AS234" i="26"/>
  <c r="AT215" i="26"/>
  <c r="AR123" i="26"/>
  <c r="AO218" i="26"/>
  <c r="AM126" i="26"/>
  <c r="AL218" i="26"/>
  <c r="D218" i="26" s="1"/>
  <c r="AM208" i="26"/>
  <c r="FX112" i="26"/>
  <c r="AT6" i="26"/>
  <c r="AR126" i="26"/>
  <c r="AL226" i="26"/>
  <c r="AQ174" i="26"/>
  <c r="AM226" i="26"/>
  <c r="AN7" i="26"/>
  <c r="AT164" i="26"/>
  <c r="AP237" i="26"/>
  <c r="AN163" i="26"/>
  <c r="AO183" i="26"/>
  <c r="AR234" i="26"/>
  <c r="AU236" i="26"/>
  <c r="AU163" i="26"/>
  <c r="AO123" i="26"/>
  <c r="AO204" i="26"/>
  <c r="AQ25" i="26"/>
  <c r="D188" i="26"/>
  <c r="AN26" i="26"/>
  <c r="AR115" i="26"/>
  <c r="AS126" i="26"/>
  <c r="AR204" i="26"/>
  <c r="AR236" i="26"/>
  <c r="AU215" i="26"/>
  <c r="AP164" i="26"/>
  <c r="AQ196" i="26"/>
  <c r="AP6" i="26"/>
  <c r="AL247" i="26"/>
  <c r="AQ163" i="26"/>
  <c r="AR195" i="26"/>
  <c r="AM164" i="26"/>
  <c r="AS236" i="26"/>
  <c r="AT234" i="26"/>
  <c r="AT195" i="26"/>
  <c r="AV184" i="26"/>
  <c r="AT126" i="26"/>
  <c r="AU237" i="26"/>
  <c r="AS257" i="26"/>
  <c r="AU257" i="26"/>
  <c r="AO6" i="26"/>
  <c r="AV215" i="26"/>
  <c r="AQ247" i="26"/>
  <c r="AQ173" i="26"/>
  <c r="AU195" i="26"/>
  <c r="AS218" i="26"/>
  <c r="FU112" i="26"/>
  <c r="AO115" i="26"/>
  <c r="AT17" i="26"/>
  <c r="AO15" i="26"/>
  <c r="AR15" i="26"/>
  <c r="AS115" i="26"/>
  <c r="AU126" i="26"/>
  <c r="AO256" i="26"/>
  <c r="AV258" i="26"/>
  <c r="AM237" i="26"/>
  <c r="AN237" i="26"/>
  <c r="AL257" i="26"/>
  <c r="AN247" i="26"/>
  <c r="D156" i="26"/>
  <c r="AS163" i="26"/>
  <c r="AR237" i="26"/>
  <c r="AQ216" i="26"/>
  <c r="AK281" i="17"/>
  <c r="GP333" i="17"/>
  <c r="FT293" i="17"/>
  <c r="GG328" i="17"/>
  <c r="GJ322" i="17"/>
  <c r="FW321" i="17"/>
  <c r="AS200" i="17"/>
  <c r="GQ200" i="17" s="1"/>
  <c r="HL200" i="17" s="1"/>
  <c r="IN200" i="17" s="1"/>
  <c r="GI269" i="17"/>
  <c r="FV220" i="17"/>
  <c r="AQ200" i="17"/>
  <c r="FX323" i="17"/>
  <c r="AQ232" i="17"/>
  <c r="AP232" i="17"/>
  <c r="GC286" i="17"/>
  <c r="FT156" i="17"/>
  <c r="AU232" i="17"/>
  <c r="AO79" i="17"/>
  <c r="AS79" i="17"/>
  <c r="GQ79" i="17" s="1"/>
  <c r="GW79" i="17" s="1"/>
  <c r="HY79" i="17" s="1"/>
  <c r="FP166" i="17"/>
  <c r="HQ130" i="17"/>
  <c r="IS130" i="17" s="1"/>
  <c r="FR119" i="17"/>
  <c r="AT115" i="17"/>
  <c r="FP324" i="17"/>
  <c r="AO305" i="17"/>
  <c r="AP305" i="17"/>
  <c r="AU305" i="17"/>
  <c r="HO130" i="17"/>
  <c r="IQ130" i="17" s="1"/>
  <c r="AS260" i="17"/>
  <c r="GQ260" i="17" s="1"/>
  <c r="HM260" i="17" s="1"/>
  <c r="IO260" i="17" s="1"/>
  <c r="AS115" i="17"/>
  <c r="GQ115" i="17" s="1"/>
  <c r="GZ115" i="17" s="1"/>
  <c r="IB115" i="17" s="1"/>
  <c r="FO304" i="17"/>
  <c r="GB326" i="17"/>
  <c r="AS235" i="17"/>
  <c r="AQ235" i="17"/>
  <c r="HH130" i="17"/>
  <c r="IJ130" i="17" s="1"/>
  <c r="FW280" i="17"/>
  <c r="AQ147" i="17"/>
  <c r="AK266" i="17"/>
  <c r="GS130" i="17"/>
  <c r="HU130" i="17" s="1"/>
  <c r="AO20" i="17"/>
  <c r="AN20" i="17"/>
  <c r="AM20" i="17"/>
  <c r="AS249" i="17"/>
  <c r="GQ249" i="17" s="1"/>
  <c r="HA249" i="17" s="1"/>
  <c r="IC249" i="17" s="1"/>
  <c r="GH329" i="17"/>
  <c r="FT327" i="17"/>
  <c r="GL324" i="17"/>
  <c r="GC300" i="17"/>
  <c r="FU179" i="17"/>
  <c r="GL298" i="17"/>
  <c r="GH285" i="17"/>
  <c r="GC283" i="17"/>
  <c r="GL280" i="17"/>
  <c r="GM274" i="17"/>
  <c r="FW273" i="17"/>
  <c r="GH269" i="17"/>
  <c r="GC189" i="17"/>
  <c r="GK260" i="17"/>
  <c r="GH254" i="17"/>
  <c r="GC252" i="17"/>
  <c r="GL249" i="17"/>
  <c r="GH226" i="17"/>
  <c r="GL221" i="17"/>
  <c r="GM215" i="17"/>
  <c r="GL205" i="17"/>
  <c r="GH194" i="17"/>
  <c r="GL162" i="17"/>
  <c r="GL146" i="17"/>
  <c r="FV136" i="17"/>
  <c r="GH135" i="17"/>
  <c r="GL130" i="17"/>
  <c r="FS109" i="17"/>
  <c r="GL96" i="17"/>
  <c r="GH62" i="17"/>
  <c r="GL57" i="17"/>
  <c r="GH46" i="17"/>
  <c r="FV25" i="17"/>
  <c r="GO319" i="17"/>
  <c r="FV317" i="17"/>
  <c r="GK302" i="17"/>
  <c r="GL300" i="17"/>
  <c r="FZ298" i="17"/>
  <c r="GM295" i="17"/>
  <c r="FY292" i="17"/>
  <c r="GO291" i="17"/>
  <c r="FO290" i="17"/>
  <c r="FP287" i="17"/>
  <c r="GJ284" i="17"/>
  <c r="FQ284" i="17"/>
  <c r="FU275" i="17"/>
  <c r="FZ274" i="17"/>
  <c r="GE274" i="17"/>
  <c r="GM271" i="17"/>
  <c r="GK269" i="17"/>
  <c r="GJ268" i="17"/>
  <c r="GA264" i="17"/>
  <c r="FX258" i="17"/>
  <c r="GK254" i="17"/>
  <c r="GJ253" i="17"/>
  <c r="GF250" i="17"/>
  <c r="FX249" i="17"/>
  <c r="GG232" i="17"/>
  <c r="FO231" i="17"/>
  <c r="FZ230" i="17"/>
  <c r="GF222" i="17"/>
  <c r="FX221" i="17"/>
  <c r="FY217" i="17"/>
  <c r="FZ214" i="17"/>
  <c r="GD212" i="17"/>
  <c r="GP206" i="17"/>
  <c r="FY201" i="17"/>
  <c r="GK194" i="17"/>
  <c r="GJ193" i="17"/>
  <c r="GF190" i="17"/>
  <c r="GB188" i="17"/>
  <c r="FT185" i="17"/>
  <c r="FY184" i="17"/>
  <c r="GO183" i="17"/>
  <c r="GJ166" i="17"/>
  <c r="GL159" i="17"/>
  <c r="FY158" i="17"/>
  <c r="GG156" i="17"/>
  <c r="FV155" i="17"/>
  <c r="GJ150" i="17"/>
  <c r="GC146" i="17"/>
  <c r="FY142" i="17"/>
  <c r="FO140" i="17"/>
  <c r="GI138" i="17"/>
  <c r="GK135" i="17"/>
  <c r="GJ134" i="17"/>
  <c r="FX130" i="17"/>
  <c r="FR122" i="17"/>
  <c r="GK119" i="17"/>
  <c r="GJ118" i="17"/>
  <c r="FV117" i="17"/>
  <c r="GP115" i="17"/>
  <c r="FU112" i="17"/>
  <c r="FY110" i="17"/>
  <c r="GE108" i="17"/>
  <c r="FZ107" i="17"/>
  <c r="GK104" i="17"/>
  <c r="GK101" i="17"/>
  <c r="GJ100" i="17"/>
  <c r="GP97" i="17"/>
  <c r="FY92" i="17"/>
  <c r="FO67" i="17"/>
  <c r="GK62" i="17"/>
  <c r="GJ61" i="17"/>
  <c r="GP58" i="17"/>
  <c r="FZ57" i="17"/>
  <c r="GL54" i="17"/>
  <c r="FY53" i="17"/>
  <c r="FZ50" i="17"/>
  <c r="GJ45" i="17"/>
  <c r="FQ42" i="17"/>
  <c r="FW41" i="17"/>
  <c r="GG28" i="17"/>
  <c r="GP20" i="17"/>
  <c r="GK8" i="17"/>
  <c r="GP4" i="17"/>
  <c r="FW84" i="17"/>
  <c r="GA69" i="17"/>
  <c r="GP319" i="17"/>
  <c r="GB318" i="17"/>
  <c r="GE301" i="17"/>
  <c r="FW295" i="17"/>
  <c r="GP291" i="17"/>
  <c r="GA289" i="17"/>
  <c r="FT287" i="17"/>
  <c r="GA273" i="17"/>
  <c r="FT271" i="17"/>
  <c r="FW262" i="17"/>
  <c r="GP260" i="17"/>
  <c r="FT256" i="17"/>
  <c r="GP232" i="17"/>
  <c r="FT228" i="17"/>
  <c r="FW218" i="17"/>
  <c r="GP216" i="17"/>
  <c r="FR207" i="17"/>
  <c r="FW202" i="17"/>
  <c r="GP200" i="17"/>
  <c r="FT196" i="17"/>
  <c r="FW185" i="17"/>
  <c r="GP183" i="17"/>
  <c r="GA181" i="17"/>
  <c r="FT169" i="17"/>
  <c r="GK161" i="17"/>
  <c r="GP157" i="17"/>
  <c r="FT153" i="17"/>
  <c r="FW143" i="17"/>
  <c r="GP141" i="17"/>
  <c r="FT137" i="17"/>
  <c r="FW127" i="17"/>
  <c r="GP125" i="17"/>
  <c r="FT121" i="17"/>
  <c r="FR116" i="17"/>
  <c r="FT103" i="17"/>
  <c r="GJ94" i="17"/>
  <c r="FW93" i="17"/>
  <c r="GP91" i="17"/>
  <c r="GA66" i="17"/>
  <c r="FT64" i="17"/>
  <c r="FW54" i="17"/>
  <c r="GP52" i="17"/>
  <c r="GA50" i="17"/>
  <c r="FT48" i="17"/>
  <c r="FS43" i="17"/>
  <c r="FW35" i="17"/>
  <c r="GP33" i="17"/>
  <c r="FW32" i="17"/>
  <c r="GP29" i="17"/>
  <c r="FT26" i="17"/>
  <c r="GN73" i="17"/>
  <c r="GK270" i="17"/>
  <c r="GK189" i="17"/>
  <c r="GG258" i="17"/>
  <c r="GI256" i="17"/>
  <c r="FW222" i="17"/>
  <c r="GI64" i="17"/>
  <c r="GC302" i="17"/>
  <c r="GF230" i="17"/>
  <c r="GB229" i="17"/>
  <c r="GO165" i="17"/>
  <c r="GF139" i="17"/>
  <c r="GB138" i="17"/>
  <c r="GF107" i="17"/>
  <c r="GB65" i="17"/>
  <c r="GO44" i="17"/>
  <c r="GO41" i="17"/>
  <c r="GB27" i="17"/>
  <c r="GP12" i="17"/>
  <c r="GN106" i="17"/>
  <c r="FV288" i="17"/>
  <c r="GH287" i="17"/>
  <c r="GL282" i="17"/>
  <c r="GH271" i="17"/>
  <c r="GM261" i="17"/>
  <c r="GH256" i="17"/>
  <c r="GL251" i="17"/>
  <c r="FV229" i="17"/>
  <c r="GH212" i="17"/>
  <c r="GH196" i="17"/>
  <c r="GB194" i="17"/>
  <c r="GM184" i="17"/>
  <c r="GB167" i="17"/>
  <c r="GH153" i="17"/>
  <c r="GF152" i="17"/>
  <c r="GB151" i="17"/>
  <c r="FV138" i="17"/>
  <c r="GL132" i="17"/>
  <c r="GL116" i="17"/>
  <c r="GH103" i="17"/>
  <c r="GH64" i="17"/>
  <c r="AS177" i="17"/>
  <c r="GF237" i="17"/>
  <c r="FO90" i="17"/>
  <c r="GH85" i="17"/>
  <c r="GN274" i="17"/>
  <c r="GM273" i="17"/>
  <c r="GK271" i="17"/>
  <c r="FQ270" i="17"/>
  <c r="GH268" i="17"/>
  <c r="FT264" i="17"/>
  <c r="FY263" i="17"/>
  <c r="GK259" i="17"/>
  <c r="GK256" i="17"/>
  <c r="FQ255" i="17"/>
  <c r="FW254" i="17"/>
  <c r="GA250" i="17"/>
  <c r="FT248" i="17"/>
  <c r="FW210" i="17"/>
  <c r="GE201" i="17"/>
  <c r="FV194" i="17"/>
  <c r="GH193" i="17"/>
  <c r="GK169" i="17"/>
  <c r="GH166" i="17"/>
  <c r="GL161" i="17"/>
  <c r="FT161" i="17"/>
  <c r="GH150" i="17"/>
  <c r="GP149" i="17"/>
  <c r="FY144" i="17"/>
  <c r="FV135" i="17"/>
  <c r="GH134" i="17"/>
  <c r="GL129" i="17"/>
  <c r="FY128" i="17"/>
  <c r="GK121" i="17"/>
  <c r="GP117" i="17"/>
  <c r="GK103" i="17"/>
  <c r="GE92" i="17"/>
  <c r="AP177" i="17"/>
  <c r="GE84" i="17"/>
  <c r="GE77" i="17"/>
  <c r="GE310" i="17"/>
  <c r="GE308" i="17"/>
  <c r="D170" i="26"/>
  <c r="D180" i="26"/>
  <c r="D206" i="26"/>
  <c r="AW206" i="26"/>
  <c r="AM161" i="26"/>
  <c r="AR5" i="26"/>
  <c r="AS5" i="26"/>
  <c r="AU13" i="26"/>
  <c r="AT116" i="26"/>
  <c r="AR153" i="26"/>
  <c r="AQ150" i="26"/>
  <c r="AN185" i="26"/>
  <c r="AS208" i="26"/>
  <c r="AV240" i="26"/>
  <c r="AR238" i="26"/>
  <c r="AR14" i="26"/>
  <c r="AP44" i="26"/>
  <c r="AT40" i="26"/>
  <c r="AT36" i="26"/>
  <c r="AO253" i="26"/>
  <c r="AN225" i="26"/>
  <c r="AQ207" i="26"/>
  <c r="AL235" i="26"/>
  <c r="AQ44" i="26"/>
  <c r="AP124" i="26"/>
  <c r="AS170" i="26"/>
  <c r="AN252" i="26"/>
  <c r="AN35" i="26"/>
  <c r="AP27" i="26"/>
  <c r="AL115" i="26"/>
  <c r="AQ252" i="26"/>
  <c r="AT237" i="26"/>
  <c r="AL222" i="26"/>
  <c r="AO207" i="26"/>
  <c r="AW156" i="26"/>
  <c r="AP21" i="26"/>
  <c r="AO116" i="26"/>
  <c r="AR208" i="26"/>
  <c r="AV246" i="26"/>
  <c r="AN177" i="26"/>
  <c r="AS185" i="26"/>
  <c r="AM246" i="26"/>
  <c r="AT169" i="26"/>
  <c r="AS21" i="26"/>
  <c r="AU32" i="26"/>
  <c r="AV5" i="26"/>
  <c r="AM21" i="26"/>
  <c r="AP153" i="26"/>
  <c r="AR150" i="26"/>
  <c r="AT258" i="26"/>
  <c r="AO208" i="26"/>
  <c r="AQ240" i="26"/>
  <c r="AU177" i="26"/>
  <c r="AV161" i="26"/>
  <c r="AM238" i="26"/>
  <c r="AL161" i="26"/>
  <c r="AT238" i="26"/>
  <c r="AL5" i="26"/>
  <c r="AQ23" i="26"/>
  <c r="AL33" i="26"/>
  <c r="AL23" i="26"/>
  <c r="AU50" i="26"/>
  <c r="AM223" i="26"/>
  <c r="AU169" i="26"/>
  <c r="AV238" i="26"/>
  <c r="AO36" i="26"/>
  <c r="AV247" i="26"/>
  <c r="AQ239" i="26"/>
  <c r="AU258" i="26"/>
  <c r="AS253" i="26"/>
  <c r="AM216" i="26"/>
  <c r="AO216" i="26"/>
  <c r="AT150" i="26"/>
  <c r="AS223" i="26"/>
  <c r="AT185" i="26"/>
  <c r="AU21" i="26"/>
  <c r="AQ13" i="26"/>
  <c r="AS231" i="26"/>
  <c r="AQ238" i="26"/>
  <c r="AQ28" i="26"/>
  <c r="AR7" i="26"/>
  <c r="AS7" i="26"/>
  <c r="AS248" i="26"/>
  <c r="AR124" i="26"/>
  <c r="AP185" i="26"/>
  <c r="AO44" i="26"/>
  <c r="AO225" i="26"/>
  <c r="AT44" i="26"/>
  <c r="AQ46" i="26"/>
  <c r="AU116" i="26"/>
  <c r="AN153" i="26"/>
  <c r="AS150" i="26"/>
  <c r="AQ177" i="26"/>
  <c r="AS193" i="26"/>
  <c r="AS225" i="26"/>
  <c r="AS240" i="26"/>
  <c r="AT208" i="26"/>
  <c r="AV208" i="26"/>
  <c r="AM253" i="26"/>
  <c r="AL177" i="26"/>
  <c r="AM193" i="26"/>
  <c r="AO23" i="26"/>
  <c r="AP28" i="26"/>
  <c r="AR23" i="26"/>
  <c r="AL21" i="26"/>
  <c r="AQ7" i="26"/>
  <c r="AP33" i="26"/>
  <c r="AT13" i="26"/>
  <c r="AQ248" i="26"/>
  <c r="AO161" i="26"/>
  <c r="AM248" i="26"/>
  <c r="AP253" i="26"/>
  <c r="AP50" i="26"/>
  <c r="AV253" i="26"/>
  <c r="AN239" i="26"/>
  <c r="AT216" i="26"/>
  <c r="AP258" i="26"/>
  <c r="AR33" i="26"/>
  <c r="AN235" i="26"/>
  <c r="AP238" i="26"/>
  <c r="D194" i="26"/>
  <c r="AO21" i="26"/>
  <c r="AQ21" i="26"/>
  <c r="AR21" i="26"/>
  <c r="AL44" i="26"/>
  <c r="AR116" i="26"/>
  <c r="AN208" i="26"/>
  <c r="AS161" i="26"/>
  <c r="AT246" i="26"/>
  <c r="AL246" i="26"/>
  <c r="AM36" i="26"/>
  <c r="AN23" i="26"/>
  <c r="AP36" i="26"/>
  <c r="AO248" i="26"/>
  <c r="AV231" i="26"/>
  <c r="AM116" i="26"/>
  <c r="AQ258" i="26"/>
  <c r="AO193" i="26"/>
  <c r="AR223" i="26"/>
  <c r="AN223" i="26"/>
  <c r="AU185" i="26"/>
  <c r="AR40" i="26"/>
  <c r="AO258" i="26"/>
  <c r="AR193" i="26"/>
  <c r="AU28" i="26"/>
  <c r="AL153" i="26"/>
  <c r="AR161" i="26"/>
  <c r="AN169" i="26"/>
  <c r="AV193" i="26"/>
  <c r="AL258" i="26"/>
  <c r="AL193" i="26"/>
  <c r="AQ253" i="26"/>
  <c r="AU14" i="26"/>
  <c r="AV14" i="26"/>
  <c r="AP22" i="26"/>
  <c r="AU40" i="26"/>
  <c r="AV40" i="26"/>
  <c r="AV248" i="26"/>
  <c r="AV223" i="26"/>
  <c r="AL240" i="26"/>
  <c r="AQ36" i="26"/>
  <c r="AO231" i="26"/>
  <c r="AN207" i="26"/>
  <c r="AP216" i="26"/>
  <c r="AM118" i="26"/>
  <c r="AV150" i="26"/>
  <c r="AM40" i="26"/>
  <c r="AO32" i="26"/>
  <c r="AS258" i="26"/>
  <c r="FS112" i="26"/>
  <c r="AN124" i="26"/>
  <c r="AP5" i="26"/>
  <c r="AT5" i="26"/>
  <c r="AN13" i="26"/>
  <c r="AP116" i="26"/>
  <c r="AV116" i="26"/>
  <c r="AO238" i="26"/>
  <c r="AN253" i="26"/>
  <c r="AR36" i="26"/>
  <c r="AO28" i="26"/>
  <c r="AR44" i="26"/>
  <c r="AN161" i="26"/>
  <c r="AQ124" i="26"/>
  <c r="AQ223" i="26"/>
  <c r="AR246" i="26"/>
  <c r="AM177" i="26"/>
  <c r="AU124" i="26"/>
  <c r="AQ32" i="26"/>
  <c r="AV32" i="26"/>
  <c r="AT15" i="26"/>
  <c r="AM150" i="26"/>
  <c r="AU231" i="26"/>
  <c r="AU246" i="26"/>
  <c r="AU240" i="26"/>
  <c r="AM258" i="26"/>
  <c r="AS13" i="26"/>
  <c r="AS36" i="26"/>
  <c r="AM28" i="26"/>
  <c r="AO27" i="26"/>
  <c r="AU238" i="26"/>
  <c r="AS252" i="26"/>
  <c r="AO169" i="26"/>
  <c r="AT177" i="26"/>
  <c r="AR253" i="26"/>
  <c r="AL216" i="26"/>
  <c r="AR207" i="26"/>
  <c r="AS239" i="26"/>
  <c r="AS118" i="26"/>
  <c r="AV7" i="26"/>
  <c r="AS32" i="26"/>
  <c r="AT46" i="26"/>
  <c r="AN50" i="26"/>
  <c r="AP223" i="26"/>
  <c r="AN44" i="26"/>
  <c r="AQ15" i="26"/>
  <c r="AV44" i="26"/>
  <c r="AM32" i="26"/>
  <c r="AM44" i="26"/>
  <c r="AS169" i="26"/>
  <c r="AT45" i="26"/>
  <c r="AU36" i="26"/>
  <c r="AN216" i="26"/>
  <c r="AP231" i="26"/>
  <c r="AL46" i="26"/>
  <c r="AT23" i="26"/>
  <c r="AL15" i="26"/>
  <c r="AU7" i="26"/>
  <c r="AV153" i="26"/>
  <c r="AN248" i="26"/>
  <c r="AP225" i="26"/>
  <c r="AT28" i="26"/>
  <c r="AL13" i="26"/>
  <c r="AU5" i="26"/>
  <c r="AV21" i="26"/>
  <c r="AO13" i="26"/>
  <c r="AP13" i="26"/>
  <c r="AR13" i="26"/>
  <c r="AN150" i="26"/>
  <c r="AU161" i="26"/>
  <c r="AU193" i="26"/>
  <c r="AR28" i="26"/>
  <c r="AN246" i="26"/>
  <c r="AV169" i="26"/>
  <c r="AO185" i="26"/>
  <c r="AQ185" i="26"/>
  <c r="AO177" i="26"/>
  <c r="AO124" i="26"/>
  <c r="AQ161" i="26"/>
  <c r="AP246" i="26"/>
  <c r="AR177" i="26"/>
  <c r="AP208" i="26"/>
  <c r="AS238" i="26"/>
  <c r="AP7" i="26"/>
  <c r="AV28" i="26"/>
  <c r="AP169" i="26"/>
  <c r="AQ231" i="26"/>
  <c r="AP248" i="26"/>
  <c r="AT161" i="26"/>
  <c r="AM23" i="26"/>
  <c r="AV124" i="26"/>
  <c r="AQ5" i="26"/>
  <c r="AT231" i="26"/>
  <c r="AO5" i="26"/>
  <c r="AO150" i="26"/>
  <c r="AS177" i="26"/>
  <c r="AV177" i="26"/>
  <c r="AU208" i="26"/>
  <c r="AQ169" i="26"/>
  <c r="AR248" i="26"/>
  <c r="AT248" i="26"/>
  <c r="AL231" i="26"/>
  <c r="AV185" i="26"/>
  <c r="AN193" i="26"/>
  <c r="AL124" i="26"/>
  <c r="AN46" i="26"/>
  <c r="AN231" i="26"/>
  <c r="AT21" i="26"/>
  <c r="AM13" i="26"/>
  <c r="AQ193" i="26"/>
  <c r="AQ246" i="26"/>
  <c r="AN238" i="26"/>
  <c r="AL223" i="26"/>
  <c r="AU223" i="26"/>
  <c r="AU44" i="26"/>
  <c r="AM231" i="26"/>
  <c r="AT193" i="26"/>
  <c r="AS246" i="26"/>
  <c r="FT279" i="17"/>
  <c r="GM289" i="17"/>
  <c r="HN333" i="17"/>
  <c r="IP333" i="17" s="1"/>
  <c r="FX326" i="17"/>
  <c r="GM323" i="17"/>
  <c r="AO164" i="17"/>
  <c r="GB301" i="17"/>
  <c r="GO277" i="17"/>
  <c r="FO261" i="17"/>
  <c r="FR277" i="17"/>
  <c r="FR274" i="17"/>
  <c r="AM118" i="17"/>
  <c r="AN207" i="17"/>
  <c r="AM207" i="17"/>
  <c r="AP207" i="17"/>
  <c r="AU207" i="17"/>
  <c r="AO132" i="17"/>
  <c r="AP132" i="17"/>
  <c r="AS116" i="17"/>
  <c r="GQ116" i="17" s="1"/>
  <c r="HK116" i="17" s="1"/>
  <c r="IM116" i="17" s="1"/>
  <c r="AT116" i="17"/>
  <c r="AO116" i="17"/>
  <c r="AP116" i="17"/>
  <c r="AT326" i="17"/>
  <c r="AQ267" i="17"/>
  <c r="AM209" i="17"/>
  <c r="HE333" i="17"/>
  <c r="IG333" i="17" s="1"/>
  <c r="GJ274" i="17"/>
  <c r="AP188" i="17"/>
  <c r="AU188" i="17"/>
  <c r="HM333" i="17"/>
  <c r="IO333" i="17" s="1"/>
  <c r="GB214" i="17"/>
  <c r="GF328" i="17"/>
  <c r="GB327" i="17"/>
  <c r="AQ257" i="17"/>
  <c r="AT257" i="17"/>
  <c r="HG333" i="17"/>
  <c r="II333" i="17" s="1"/>
  <c r="FP277" i="17"/>
  <c r="HF333" i="17"/>
  <c r="IH333" i="17" s="1"/>
  <c r="GE321" i="17"/>
  <c r="GF301" i="17"/>
  <c r="FX300" i="17"/>
  <c r="GF284" i="17"/>
  <c r="FX283" i="17"/>
  <c r="FX189" i="17"/>
  <c r="FZ261" i="17"/>
  <c r="FX252" i="17"/>
  <c r="GD246" i="17"/>
  <c r="GP228" i="17"/>
  <c r="GF225" i="17"/>
  <c r="FW214" i="17"/>
  <c r="GF209" i="17"/>
  <c r="FZ208" i="17"/>
  <c r="FT208" i="17"/>
  <c r="FT192" i="17"/>
  <c r="GA191" i="17"/>
  <c r="GE185" i="17"/>
  <c r="GP169" i="17"/>
  <c r="FW168" i="17"/>
  <c r="GA167" i="17"/>
  <c r="GB165" i="17"/>
  <c r="GC165" i="17"/>
  <c r="GK157" i="17"/>
  <c r="GP153" i="17"/>
  <c r="FZ149" i="17"/>
  <c r="GB133" i="17"/>
  <c r="GC133" i="17"/>
  <c r="FR128" i="17"/>
  <c r="GC117" i="17"/>
  <c r="FU115" i="17"/>
  <c r="FW107" i="17"/>
  <c r="GB99" i="17"/>
  <c r="GC99" i="17"/>
  <c r="GC60" i="17"/>
  <c r="GK52" i="17"/>
  <c r="GB44" i="17"/>
  <c r="GC44" i="17"/>
  <c r="GN36" i="17"/>
  <c r="GD32" i="17"/>
  <c r="GI29" i="17"/>
  <c r="FZ22" i="17"/>
  <c r="GC22" i="17"/>
  <c r="FW12" i="17"/>
  <c r="GC6" i="17"/>
  <c r="GM48" i="17"/>
  <c r="GH43" i="17"/>
  <c r="GH40" i="17"/>
  <c r="GP39" i="17"/>
  <c r="GA37" i="17"/>
  <c r="GL35" i="17"/>
  <c r="GL32" i="17"/>
  <c r="GC32" i="17"/>
  <c r="FY31" i="17"/>
  <c r="GO23" i="17"/>
  <c r="FX19" i="17"/>
  <c r="GC19" i="17"/>
  <c r="FY15" i="17"/>
  <c r="FX12" i="17"/>
  <c r="GH5" i="17"/>
  <c r="AU177" i="17"/>
  <c r="FT87" i="17"/>
  <c r="FT334" i="17"/>
  <c r="GA304" i="17"/>
  <c r="GP322" i="17"/>
  <c r="GA320" i="17"/>
  <c r="FT318" i="17"/>
  <c r="GN302" i="17"/>
  <c r="GD301" i="17"/>
  <c r="FQ179" i="17"/>
  <c r="GP296" i="17"/>
  <c r="GA292" i="17"/>
  <c r="FT290" i="17"/>
  <c r="FZ286" i="17"/>
  <c r="GP278" i="17"/>
  <c r="FT274" i="17"/>
  <c r="FR269" i="17"/>
  <c r="FW265" i="17"/>
  <c r="GP263" i="17"/>
  <c r="GA261" i="17"/>
  <c r="FT259" i="17"/>
  <c r="FU257" i="17"/>
  <c r="GB255" i="17"/>
  <c r="GP247" i="17"/>
  <c r="FT231" i="17"/>
  <c r="GE228" i="17"/>
  <c r="FZ227" i="17"/>
  <c r="GP219" i="17"/>
  <c r="GA217" i="17"/>
  <c r="FT215" i="17"/>
  <c r="GE212" i="17"/>
  <c r="GI210" i="17"/>
  <c r="GO206" i="17"/>
  <c r="GP203" i="17"/>
  <c r="GA201" i="17"/>
  <c r="FT199" i="17"/>
  <c r="GE196" i="17"/>
  <c r="FX195" i="17"/>
  <c r="GP186" i="17"/>
  <c r="GA184" i="17"/>
  <c r="FT182" i="17"/>
  <c r="GP160" i="17"/>
  <c r="GA158" i="17"/>
  <c r="FU154" i="17"/>
  <c r="GP144" i="17"/>
  <c r="GA142" i="17"/>
  <c r="FT140" i="17"/>
  <c r="GE137" i="17"/>
  <c r="FZ136" i="17"/>
  <c r="GP128" i="17"/>
  <c r="GA126" i="17"/>
  <c r="FT124" i="17"/>
  <c r="GE121" i="17"/>
  <c r="FW114" i="17"/>
  <c r="GP112" i="17"/>
  <c r="GA110" i="17"/>
  <c r="FT108" i="17"/>
  <c r="GB102" i="17"/>
  <c r="FR101" i="17"/>
  <c r="GO97" i="17"/>
  <c r="GP94" i="17"/>
  <c r="GA92" i="17"/>
  <c r="FT67" i="17"/>
  <c r="FQ58" i="17"/>
  <c r="FW57" i="17"/>
  <c r="GP55" i="17"/>
  <c r="GA53" i="17"/>
  <c r="FT51" i="17"/>
  <c r="GB47" i="17"/>
  <c r="GK43" i="17"/>
  <c r="GP36" i="17"/>
  <c r="GA34" i="17"/>
  <c r="GA31" i="17"/>
  <c r="FT28" i="17"/>
  <c r="GF26" i="17"/>
  <c r="FX25" i="17"/>
  <c r="GJ20" i="17"/>
  <c r="GO20" i="17"/>
  <c r="GP17" i="17"/>
  <c r="GA15" i="17"/>
  <c r="FT13" i="17"/>
  <c r="GE10" i="17"/>
  <c r="FP7" i="17"/>
  <c r="GJ4" i="17"/>
  <c r="AT177" i="17"/>
  <c r="FO253" i="17"/>
  <c r="GJ132" i="17"/>
  <c r="FX293" i="17"/>
  <c r="GI280" i="17"/>
  <c r="FW274" i="17"/>
  <c r="FT268" i="17"/>
  <c r="FS161" i="17"/>
  <c r="FV156" i="17"/>
  <c r="GO132" i="17"/>
  <c r="GG131" i="17"/>
  <c r="GI114" i="17"/>
  <c r="GI19" i="17"/>
  <c r="GD17" i="17"/>
  <c r="AR177" i="17"/>
  <c r="GG86" i="17"/>
  <c r="FS85" i="17"/>
  <c r="FO80" i="17"/>
  <c r="FQ2" i="17"/>
  <c r="GP329" i="17"/>
  <c r="GL325" i="17"/>
  <c r="GP302" i="17"/>
  <c r="GM291" i="17"/>
  <c r="GP285" i="17"/>
  <c r="GB268" i="17"/>
  <c r="GK258" i="17"/>
  <c r="GP254" i="17"/>
  <c r="FV228" i="17"/>
  <c r="GP226" i="17"/>
  <c r="FZ219" i="17"/>
  <c r="GP210" i="17"/>
  <c r="FV196" i="17"/>
  <c r="GP194" i="17"/>
  <c r="FR184" i="17"/>
  <c r="GP167" i="17"/>
  <c r="GP151" i="17"/>
  <c r="FT147" i="17"/>
  <c r="GP135" i="17"/>
  <c r="GP119" i="17"/>
  <c r="GB118" i="17"/>
  <c r="GL115" i="17"/>
  <c r="GP101" i="17"/>
  <c r="FT97" i="17"/>
  <c r="FW64" i="17"/>
  <c r="GP62" i="17"/>
  <c r="FT58" i="17"/>
  <c r="GP46" i="17"/>
  <c r="GP43" i="17"/>
  <c r="FW26" i="17"/>
  <c r="GP24" i="17"/>
  <c r="GB7" i="17"/>
  <c r="GM309" i="17"/>
  <c r="FR331" i="17"/>
  <c r="GD294" i="17"/>
  <c r="GP326" i="17"/>
  <c r="FW301" i="17"/>
  <c r="GP282" i="17"/>
  <c r="GP267" i="17"/>
  <c r="GP223" i="17"/>
  <c r="GP207" i="17"/>
  <c r="FW193" i="17"/>
  <c r="GP191" i="17"/>
  <c r="GP164" i="17"/>
  <c r="GP116" i="17"/>
  <c r="GP98" i="17"/>
  <c r="GG34" i="17"/>
  <c r="GG31" i="17"/>
  <c r="GI28" i="17"/>
  <c r="FR12" i="17"/>
  <c r="GK9" i="17"/>
  <c r="FQ335" i="17"/>
  <c r="FO81" i="17"/>
  <c r="FO72" i="17"/>
  <c r="FS239" i="17"/>
  <c r="GP3" i="17"/>
  <c r="GB33" i="17"/>
  <c r="FP327" i="17"/>
  <c r="GP289" i="17"/>
  <c r="FV260" i="17"/>
  <c r="GH259" i="17"/>
  <c r="GP258" i="17"/>
  <c r="GA256" i="17"/>
  <c r="FY253" i="17"/>
  <c r="FP252" i="17"/>
  <c r="FX251" i="17"/>
  <c r="GH231" i="17"/>
  <c r="GA228" i="17"/>
  <c r="GL226" i="17"/>
  <c r="GK218" i="17"/>
  <c r="GH215" i="17"/>
  <c r="GA212" i="17"/>
  <c r="GL210" i="17"/>
  <c r="FZ207" i="17"/>
  <c r="FO201" i="17"/>
  <c r="GL194" i="17"/>
  <c r="GC194" i="17"/>
  <c r="FY193" i="17"/>
  <c r="GA169" i="17"/>
  <c r="GL167" i="17"/>
  <c r="GM161" i="17"/>
  <c r="FW157" i="17"/>
  <c r="GH156" i="17"/>
  <c r="GA153" i="17"/>
  <c r="GL135" i="17"/>
  <c r="FV125" i="17"/>
  <c r="FZ116" i="17"/>
  <c r="GM95" i="17"/>
  <c r="GH67" i="17"/>
  <c r="GL62" i="17"/>
  <c r="GH51" i="17"/>
  <c r="GL46" i="17"/>
  <c r="FZ43" i="17"/>
  <c r="FZ40" i="17"/>
  <c r="GH28" i="17"/>
  <c r="GL24" i="17"/>
  <c r="FX21" i="17"/>
  <c r="GI20" i="17"/>
  <c r="GM18" i="17"/>
  <c r="FV14" i="17"/>
  <c r="GH13" i="17"/>
  <c r="FY7" i="17"/>
  <c r="GI77" i="17"/>
  <c r="GI244" i="17"/>
  <c r="GF242" i="17"/>
  <c r="GB329" i="17"/>
  <c r="GF286" i="17"/>
  <c r="GB285" i="17"/>
  <c r="GJ277" i="17"/>
  <c r="GP255" i="17"/>
  <c r="GB254" i="17"/>
  <c r="GA253" i="17"/>
  <c r="GE248" i="17"/>
  <c r="GP227" i="17"/>
  <c r="GB226" i="17"/>
  <c r="FU221" i="17"/>
  <c r="GD217" i="17"/>
  <c r="FT207" i="17"/>
  <c r="FY206" i="17"/>
  <c r="GA193" i="17"/>
  <c r="FT191" i="17"/>
  <c r="GD158" i="17"/>
  <c r="FT148" i="17"/>
  <c r="GO146" i="17"/>
  <c r="GJ143" i="17"/>
  <c r="GP120" i="17"/>
  <c r="FT116" i="17"/>
  <c r="FU114" i="17"/>
  <c r="GB101" i="17"/>
  <c r="FT98" i="17"/>
  <c r="FU96" i="17"/>
  <c r="GK67" i="17"/>
  <c r="GP63" i="17"/>
  <c r="GB62" i="17"/>
  <c r="GO57" i="17"/>
  <c r="GK51" i="17"/>
  <c r="FW49" i="17"/>
  <c r="GH48" i="17"/>
  <c r="FY39" i="17"/>
  <c r="FR32" i="17"/>
  <c r="GC21" i="17"/>
  <c r="GP9" i="17"/>
  <c r="GA7" i="17"/>
  <c r="FP69" i="17"/>
  <c r="GL34" i="17"/>
  <c r="GH86" i="17"/>
  <c r="FN19" i="17"/>
  <c r="FN321" i="17"/>
  <c r="FO335" i="17"/>
  <c r="FS244" i="17"/>
  <c r="GK2" i="17"/>
  <c r="AK301" i="17"/>
  <c r="AN301" i="17"/>
  <c r="AO301" i="17"/>
  <c r="FS298" i="17"/>
  <c r="FS232" i="17"/>
  <c r="FR232" i="17"/>
  <c r="GG202" i="17"/>
  <c r="FO202" i="17"/>
  <c r="FY148" i="17"/>
  <c r="GA132" i="17"/>
  <c r="GA116" i="17"/>
  <c r="GH101" i="17"/>
  <c r="FY101" i="17"/>
  <c r="GA98" i="17"/>
  <c r="GB92" i="17"/>
  <c r="FZ92" i="17"/>
  <c r="FV63" i="17"/>
  <c r="GL63" i="17"/>
  <c r="FY59" i="17"/>
  <c r="GH24" i="17"/>
  <c r="FY21" i="17"/>
  <c r="FS20" i="17"/>
  <c r="FU20" i="17"/>
  <c r="GL19" i="17"/>
  <c r="FQ10" i="17"/>
  <c r="GL74" i="17"/>
  <c r="GE72" i="17"/>
  <c r="GM238" i="17"/>
  <c r="AK88" i="17"/>
  <c r="AP70" i="17"/>
  <c r="AO70" i="17"/>
  <c r="AT70" i="17"/>
  <c r="AQ70" i="17"/>
  <c r="AQ253" i="17"/>
  <c r="AM253" i="17"/>
  <c r="AL222" i="17"/>
  <c r="AS222" i="17"/>
  <c r="GQ222" i="17" s="1"/>
  <c r="GZ222" i="17" s="1"/>
  <c r="IB222" i="17" s="1"/>
  <c r="AN222" i="17"/>
  <c r="AR222" i="17"/>
  <c r="HF42" i="17"/>
  <c r="IH42" i="17" s="1"/>
  <c r="HE328" i="17"/>
  <c r="IG328" i="17" s="1"/>
  <c r="GM287" i="17"/>
  <c r="FQ287" i="17"/>
  <c r="GC262" i="17"/>
  <c r="FT262" i="17"/>
  <c r="GJ180" i="17"/>
  <c r="FR180" i="17"/>
  <c r="FZ123" i="17"/>
  <c r="GB123" i="17"/>
  <c r="FX123" i="17"/>
  <c r="FZ81" i="17"/>
  <c r="GH71" i="17"/>
  <c r="AL78" i="17"/>
  <c r="AT78" i="17"/>
  <c r="AQ243" i="17"/>
  <c r="AU243" i="17"/>
  <c r="AM243" i="17"/>
  <c r="HL318" i="17"/>
  <c r="IN318" i="17" s="1"/>
  <c r="HK318" i="17"/>
  <c r="IM318" i="17" s="1"/>
  <c r="GT318" i="17"/>
  <c r="HV318" i="17" s="1"/>
  <c r="AT42" i="17"/>
  <c r="AQ42" i="17"/>
  <c r="AU42" i="17"/>
  <c r="AM42" i="17"/>
  <c r="AN42" i="17"/>
  <c r="AO42" i="17"/>
  <c r="AP42" i="17"/>
  <c r="AR42" i="17"/>
  <c r="GG256" i="17"/>
  <c r="GE256" i="17"/>
  <c r="FS254" i="17"/>
  <c r="FR254" i="17"/>
  <c r="FX246" i="17"/>
  <c r="GN229" i="17"/>
  <c r="GC218" i="17"/>
  <c r="FW205" i="17"/>
  <c r="FV205" i="17"/>
  <c r="GM193" i="17"/>
  <c r="FP193" i="17"/>
  <c r="GM150" i="17"/>
  <c r="FP150" i="17"/>
  <c r="FV146" i="17"/>
  <c r="FW146" i="17"/>
  <c r="FU125" i="17"/>
  <c r="GM118" i="17"/>
  <c r="FP118" i="17"/>
  <c r="GM61" i="17"/>
  <c r="FP61" i="17"/>
  <c r="GD23" i="17"/>
  <c r="GM23" i="17"/>
  <c r="FR8" i="17"/>
  <c r="GI8" i="17"/>
  <c r="FV2" i="17"/>
  <c r="AR100" i="17"/>
  <c r="AN100" i="17"/>
  <c r="FV329" i="17"/>
  <c r="FW329" i="17"/>
  <c r="FR318" i="17"/>
  <c r="GJ318" i="17"/>
  <c r="FO303" i="17"/>
  <c r="FQ303" i="17"/>
  <c r="GF300" i="17"/>
  <c r="GP300" i="17"/>
  <c r="GO295" i="17"/>
  <c r="GN295" i="17"/>
  <c r="GP283" i="17"/>
  <c r="GF283" i="17"/>
  <c r="FV269" i="17"/>
  <c r="FW269" i="17"/>
  <c r="GP189" i="17"/>
  <c r="GF189" i="17"/>
  <c r="HR333" i="17"/>
  <c r="IT333" i="17" s="1"/>
  <c r="GY333" i="17"/>
  <c r="IA333" i="17" s="1"/>
  <c r="HL333" i="17"/>
  <c r="IN333" i="17" s="1"/>
  <c r="HK333" i="17"/>
  <c r="IM333" i="17" s="1"/>
  <c r="GZ333" i="17"/>
  <c r="IB333" i="17" s="1"/>
  <c r="GW333" i="17"/>
  <c r="HY333" i="17" s="1"/>
  <c r="GR333" i="17"/>
  <c r="HT333" i="17" s="1"/>
  <c r="HD333" i="17"/>
  <c r="IF333" i="17" s="1"/>
  <c r="HQ333" i="17"/>
  <c r="IS333" i="17" s="1"/>
  <c r="GL329" i="17"/>
  <c r="FY268" i="17"/>
  <c r="GD273" i="17"/>
  <c r="AL301" i="17"/>
  <c r="HJ333" i="17"/>
  <c r="IL333" i="17" s="1"/>
  <c r="FY301" i="17"/>
  <c r="HR119" i="17"/>
  <c r="IT119" i="17" s="1"/>
  <c r="HP119" i="17"/>
  <c r="IR119" i="17" s="1"/>
  <c r="AR325" i="17"/>
  <c r="AT325" i="17"/>
  <c r="HK281" i="17"/>
  <c r="IM281" i="17" s="1"/>
  <c r="GW281" i="17"/>
  <c r="HY281" i="17" s="1"/>
  <c r="HB281" i="17"/>
  <c r="ID281" i="17" s="1"/>
  <c r="GV281" i="17"/>
  <c r="HX281" i="17" s="1"/>
  <c r="HM281" i="17"/>
  <c r="IO281" i="17" s="1"/>
  <c r="HD281" i="17"/>
  <c r="IF281" i="17" s="1"/>
  <c r="HC281" i="17"/>
  <c r="IE281" i="17" s="1"/>
  <c r="HL281" i="17"/>
  <c r="IN281" i="17" s="1"/>
  <c r="AO250" i="17"/>
  <c r="AS250" i="17"/>
  <c r="GQ250" i="17" s="1"/>
  <c r="HH250" i="17" s="1"/>
  <c r="IJ250" i="17" s="1"/>
  <c r="AO206" i="17"/>
  <c r="AT206" i="17"/>
  <c r="AU206" i="17"/>
  <c r="AL206" i="17"/>
  <c r="AK206" i="17"/>
  <c r="AU190" i="17"/>
  <c r="AO190" i="17"/>
  <c r="AR190" i="17"/>
  <c r="AS190" i="17"/>
  <c r="GQ190" i="17" s="1"/>
  <c r="HN190" i="17" s="1"/>
  <c r="IP190" i="17" s="1"/>
  <c r="AM163" i="17"/>
  <c r="AL163" i="17"/>
  <c r="AN163" i="17"/>
  <c r="AO163" i="17"/>
  <c r="AL147" i="17"/>
  <c r="AO147" i="17"/>
  <c r="AK147" i="17"/>
  <c r="AN131" i="17"/>
  <c r="AO131" i="17"/>
  <c r="AP131" i="17"/>
  <c r="AQ131" i="17"/>
  <c r="AT131" i="17"/>
  <c r="AM115" i="17"/>
  <c r="AN115" i="17"/>
  <c r="AQ115" i="17"/>
  <c r="AL97" i="17"/>
  <c r="AP97" i="17"/>
  <c r="AQ97" i="17"/>
  <c r="AS97" i="17"/>
  <c r="GQ97" i="17" s="1"/>
  <c r="GU97" i="17" s="1"/>
  <c r="HW97" i="17" s="1"/>
  <c r="AT97" i="17"/>
  <c r="AU97" i="17"/>
  <c r="AO58" i="17"/>
  <c r="AL58" i="17"/>
  <c r="HB333" i="17"/>
  <c r="ID333" i="17" s="1"/>
  <c r="HO281" i="17"/>
  <c r="IQ281" i="17" s="1"/>
  <c r="GH301" i="17"/>
  <c r="AR115" i="17"/>
  <c r="AP163" i="17"/>
  <c r="AR250" i="17"/>
  <c r="AU281" i="17"/>
  <c r="AK71" i="17"/>
  <c r="AS71" i="17"/>
  <c r="GQ71" i="17" s="1"/>
  <c r="HF71" i="17" s="1"/>
  <c r="IH71" i="17" s="1"/>
  <c r="AN71" i="17"/>
  <c r="AP71" i="17"/>
  <c r="AU71" i="17"/>
  <c r="GU333" i="17"/>
  <c r="HW333" i="17" s="1"/>
  <c r="GX42" i="17"/>
  <c r="HZ42" i="17" s="1"/>
  <c r="AK42" i="17"/>
  <c r="GV333" i="17"/>
  <c r="HX333" i="17" s="1"/>
  <c r="HQ328" i="17"/>
  <c r="IS328" i="17" s="1"/>
  <c r="AO115" i="17"/>
  <c r="AQ190" i="17"/>
  <c r="AN250" i="17"/>
  <c r="GS333" i="17"/>
  <c r="HU333" i="17" s="1"/>
  <c r="HP281" i="17"/>
  <c r="IR281" i="17" s="1"/>
  <c r="HJ328" i="17"/>
  <c r="IL328" i="17" s="1"/>
  <c r="FS274" i="17"/>
  <c r="AN190" i="17"/>
  <c r="AM250" i="17"/>
  <c r="GG315" i="17"/>
  <c r="GE315" i="17"/>
  <c r="HO333" i="17"/>
  <c r="IQ333" i="17" s="1"/>
  <c r="HH281" i="17"/>
  <c r="IJ281" i="17" s="1"/>
  <c r="HA281" i="17"/>
  <c r="IC281" i="17" s="1"/>
  <c r="GZ42" i="17"/>
  <c r="IB42" i="17" s="1"/>
  <c r="FS183" i="17"/>
  <c r="AO325" i="17"/>
  <c r="AS58" i="17"/>
  <c r="GQ58" i="17" s="1"/>
  <c r="GX58" i="17" s="1"/>
  <c r="HZ58" i="17" s="1"/>
  <c r="AK131" i="17"/>
  <c r="AK190" i="17"/>
  <c r="AP250" i="17"/>
  <c r="AN37" i="17"/>
  <c r="AS37" i="17"/>
  <c r="GQ37" i="17" s="1"/>
  <c r="HP37" i="17" s="1"/>
  <c r="IR37" i="17" s="1"/>
  <c r="AT37" i="17"/>
  <c r="AO37" i="17"/>
  <c r="AN21" i="17"/>
  <c r="AO21" i="17"/>
  <c r="FU316" i="17"/>
  <c r="FQ281" i="17"/>
  <c r="FU272" i="17"/>
  <c r="GN269" i="17"/>
  <c r="FQ266" i="17"/>
  <c r="GG254" i="17"/>
  <c r="GN254" i="17"/>
  <c r="GK251" i="17"/>
  <c r="GC231" i="17"/>
  <c r="FU229" i="17"/>
  <c r="GN226" i="17"/>
  <c r="GC215" i="17"/>
  <c r="FY214" i="17"/>
  <c r="GA214" i="17"/>
  <c r="GN210" i="17"/>
  <c r="GN167" i="17"/>
  <c r="GG166" i="17"/>
  <c r="GE166" i="17"/>
  <c r="FR164" i="17"/>
  <c r="GI164" i="17"/>
  <c r="GC124" i="17"/>
  <c r="FQ115" i="17"/>
  <c r="FU104" i="17"/>
  <c r="GN101" i="17"/>
  <c r="GN62" i="17"/>
  <c r="FR59" i="17"/>
  <c r="GK59" i="17"/>
  <c r="FU49" i="17"/>
  <c r="GD45" i="17"/>
  <c r="GC28" i="17"/>
  <c r="GK21" i="17"/>
  <c r="FY12" i="17"/>
  <c r="FR5" i="17"/>
  <c r="GK5" i="17"/>
  <c r="GD82" i="17"/>
  <c r="AM87" i="17"/>
  <c r="AL87" i="17"/>
  <c r="AU87" i="17"/>
  <c r="AQ87" i="17"/>
  <c r="AK87" i="17"/>
  <c r="AO87" i="17"/>
  <c r="AQ266" i="17"/>
  <c r="AO266" i="17"/>
  <c r="AR266" i="17"/>
  <c r="AM266" i="17"/>
  <c r="AN266" i="17"/>
  <c r="AS266" i="17"/>
  <c r="GQ266" i="17" s="1"/>
  <c r="HF266" i="17" s="1"/>
  <c r="IH266" i="17" s="1"/>
  <c r="AT266" i="17"/>
  <c r="AM325" i="17"/>
  <c r="HD42" i="17"/>
  <c r="IF42" i="17" s="1"/>
  <c r="GD332" i="17"/>
  <c r="AL131" i="17"/>
  <c r="AU131" i="17"/>
  <c r="AT250" i="17"/>
  <c r="AS109" i="17"/>
  <c r="GQ109" i="17" s="1"/>
  <c r="HR109" i="17" s="1"/>
  <c r="IT109" i="17" s="1"/>
  <c r="AK109" i="17"/>
  <c r="AL109" i="17"/>
  <c r="GC315" i="17"/>
  <c r="FU285" i="17"/>
  <c r="GH279" i="17"/>
  <c r="FO250" i="17"/>
  <c r="GI248" i="17"/>
  <c r="FR248" i="17"/>
  <c r="GH248" i="17"/>
  <c r="GK248" i="17"/>
  <c r="FQ247" i="17"/>
  <c r="GI220" i="17"/>
  <c r="GH220" i="17"/>
  <c r="GK220" i="17"/>
  <c r="FU210" i="17"/>
  <c r="GH204" i="17"/>
  <c r="FQ203" i="17"/>
  <c r="GC196" i="17"/>
  <c r="GL182" i="17"/>
  <c r="GN164" i="17"/>
  <c r="GN148" i="17"/>
  <c r="GK113" i="17"/>
  <c r="GL108" i="17"/>
  <c r="GN98" i="17"/>
  <c r="GD58" i="17"/>
  <c r="GL51" i="17"/>
  <c r="AN209" i="17"/>
  <c r="AT209" i="17"/>
  <c r="AU209" i="17"/>
  <c r="HC333" i="17"/>
  <c r="IE333" i="17" s="1"/>
  <c r="HO42" i="17"/>
  <c r="IQ42" i="17" s="1"/>
  <c r="GR42" i="17"/>
  <c r="HT42" i="17" s="1"/>
  <c r="AR179" i="17"/>
  <c r="AM179" i="17"/>
  <c r="AP179" i="17"/>
  <c r="AK179" i="17"/>
  <c r="AL179" i="17"/>
  <c r="AO179" i="17"/>
  <c r="AN179" i="17"/>
  <c r="AQ179" i="17"/>
  <c r="AL42" i="17"/>
  <c r="GS281" i="17"/>
  <c r="HU281" i="17" s="1"/>
  <c r="HN281" i="17"/>
  <c r="IP281" i="17" s="1"/>
  <c r="AS325" i="17"/>
  <c r="GQ325" i="17" s="1"/>
  <c r="HE325" i="17" s="1"/>
  <c r="IG325" i="17" s="1"/>
  <c r="AT58" i="17"/>
  <c r="HH333" i="17"/>
  <c r="IJ333" i="17" s="1"/>
  <c r="HJ281" i="17"/>
  <c r="IL281" i="17" s="1"/>
  <c r="GN277" i="17"/>
  <c r="GK332" i="17"/>
  <c r="GP250" i="17"/>
  <c r="AN325" i="17"/>
  <c r="AU111" i="17"/>
  <c r="AR58" i="17"/>
  <c r="AT190" i="17"/>
  <c r="AL141" i="17"/>
  <c r="AN141" i="17"/>
  <c r="GD325" i="17"/>
  <c r="GX333" i="17"/>
  <c r="HZ333" i="17" s="1"/>
  <c r="GZ281" i="17"/>
  <c r="IB281" i="17" s="1"/>
  <c r="GY281" i="17"/>
  <c r="IA281" i="17" s="1"/>
  <c r="FY281" i="17"/>
  <c r="GH332" i="17"/>
  <c r="FZ195" i="17"/>
  <c r="AU325" i="17"/>
  <c r="AL20" i="17"/>
  <c r="AN58" i="17"/>
  <c r="AS147" i="17"/>
  <c r="GQ147" i="17" s="1"/>
  <c r="GU147" i="17" s="1"/>
  <c r="HW147" i="17" s="1"/>
  <c r="AS206" i="17"/>
  <c r="GQ206" i="17" s="1"/>
  <c r="HA206" i="17" s="1"/>
  <c r="IC206" i="17" s="1"/>
  <c r="AL266" i="17"/>
  <c r="GN248" i="17"/>
  <c r="FU178" i="17"/>
  <c r="HE281" i="17"/>
  <c r="IG281" i="17" s="1"/>
  <c r="AQ250" i="17"/>
  <c r="HP333" i="17"/>
  <c r="IR333" i="17" s="1"/>
  <c r="GR281" i="17"/>
  <c r="HT281" i="17" s="1"/>
  <c r="HI281" i="17"/>
  <c r="IK281" i="17" s="1"/>
  <c r="FT114" i="17"/>
  <c r="AL325" i="17"/>
  <c r="AP127" i="17"/>
  <c r="AM58" i="17"/>
  <c r="AR147" i="17"/>
  <c r="AR206" i="17"/>
  <c r="AP266" i="17"/>
  <c r="GL28" i="17"/>
  <c r="FU8" i="17"/>
  <c r="FO4" i="17"/>
  <c r="GD4" i="17"/>
  <c r="FW260" i="17"/>
  <c r="GB179" i="17"/>
  <c r="FS289" i="17"/>
  <c r="GO276" i="17"/>
  <c r="GM272" i="17"/>
  <c r="GB266" i="17"/>
  <c r="GB250" i="17"/>
  <c r="GO233" i="17"/>
  <c r="FO151" i="17"/>
  <c r="GC147" i="17"/>
  <c r="GM138" i="17"/>
  <c r="GF132" i="17"/>
  <c r="FS123" i="17"/>
  <c r="GF59" i="17"/>
  <c r="GF52" i="17"/>
  <c r="FO322" i="17"/>
  <c r="GD247" i="17"/>
  <c r="GD203" i="17"/>
  <c r="AL288" i="17"/>
  <c r="AM288" i="17"/>
  <c r="FT333" i="17"/>
  <c r="FZ294" i="17"/>
  <c r="FO326" i="17"/>
  <c r="FV325" i="17"/>
  <c r="FZ316" i="17"/>
  <c r="FV179" i="17"/>
  <c r="GA295" i="17"/>
  <c r="GL275" i="17"/>
  <c r="GF264" i="17"/>
  <c r="GL260" i="17"/>
  <c r="FX257" i="17"/>
  <c r="GB247" i="17"/>
  <c r="GL232" i="17"/>
  <c r="GF220" i="17"/>
  <c r="GO214" i="17"/>
  <c r="FZ197" i="17"/>
  <c r="FR195" i="17"/>
  <c r="FV190" i="17"/>
  <c r="GH188" i="17"/>
  <c r="FX180" i="17"/>
  <c r="GD138" i="17"/>
  <c r="GD135" i="17"/>
  <c r="FQ132" i="17"/>
  <c r="GL125" i="17"/>
  <c r="FZ104" i="17"/>
  <c r="FO98" i="17"/>
  <c r="GH57" i="17"/>
  <c r="FZ49" i="17"/>
  <c r="FZ27" i="17"/>
  <c r="GH19" i="17"/>
  <c r="FY293" i="17"/>
  <c r="FR327" i="17"/>
  <c r="GK324" i="17"/>
  <c r="FY315" i="17"/>
  <c r="GK298" i="17"/>
  <c r="FY287" i="17"/>
  <c r="GK280" i="17"/>
  <c r="FY271" i="17"/>
  <c r="GK249" i="17"/>
  <c r="GP233" i="17"/>
  <c r="FY228" i="17"/>
  <c r="GK221" i="17"/>
  <c r="FW219" i="17"/>
  <c r="FT213" i="17"/>
  <c r="FY212" i="17"/>
  <c r="GK205" i="17"/>
  <c r="FY196" i="17"/>
  <c r="GK188" i="17"/>
  <c r="FY169" i="17"/>
  <c r="FW160" i="17"/>
  <c r="FY153" i="17"/>
  <c r="GK146" i="17"/>
  <c r="FY137" i="17"/>
  <c r="GK130" i="17"/>
  <c r="GP126" i="17"/>
  <c r="FY121" i="17"/>
  <c r="GK114" i="17"/>
  <c r="GA108" i="17"/>
  <c r="FY103" i="17"/>
  <c r="FW94" i="17"/>
  <c r="GP92" i="17"/>
  <c r="FY64" i="17"/>
  <c r="FR60" i="17"/>
  <c r="GK57" i="17"/>
  <c r="FY48" i="17"/>
  <c r="GE43" i="17"/>
  <c r="GK38" i="17"/>
  <c r="GP34" i="17"/>
  <c r="GA28" i="17"/>
  <c r="FT27" i="17"/>
  <c r="GN22" i="17"/>
  <c r="GG81" i="17"/>
  <c r="FV333" i="17"/>
  <c r="FZ326" i="17"/>
  <c r="GH318" i="17"/>
  <c r="FV275" i="17"/>
  <c r="GH274" i="17"/>
  <c r="GM264" i="17"/>
  <c r="GH311" i="17"/>
  <c r="AO210" i="17"/>
  <c r="AU210" i="17"/>
  <c r="AT210" i="17"/>
  <c r="GD304" i="17"/>
  <c r="GN321" i="17"/>
  <c r="GK318" i="17"/>
  <c r="FT299" i="17"/>
  <c r="GD292" i="17"/>
  <c r="GK274" i="17"/>
  <c r="GP270" i="17"/>
  <c r="GA268" i="17"/>
  <c r="GK89" i="17"/>
  <c r="FT80" i="17"/>
  <c r="GK75" i="17"/>
  <c r="FT244" i="17"/>
  <c r="GL310" i="17"/>
  <c r="FT308" i="17"/>
  <c r="AQ311" i="17"/>
  <c r="AT311" i="17"/>
  <c r="FY20" i="17"/>
  <c r="GF252" i="17"/>
  <c r="FV210" i="17"/>
  <c r="GF208" i="17"/>
  <c r="GB207" i="17"/>
  <c r="GF192" i="17"/>
  <c r="GB164" i="17"/>
  <c r="FS124" i="17"/>
  <c r="GH118" i="17"/>
  <c r="GH100" i="17"/>
  <c r="FS28" i="17"/>
  <c r="FT70" i="17"/>
  <c r="GK310" i="17"/>
  <c r="AS10" i="17"/>
  <c r="GQ10" i="17" s="1"/>
  <c r="HG10" i="17" s="1"/>
  <c r="II10" i="17" s="1"/>
  <c r="AN116" i="17"/>
  <c r="AT267" i="17"/>
  <c r="FU332" i="17"/>
  <c r="FS293" i="17"/>
  <c r="FV326" i="17"/>
  <c r="GC323" i="17"/>
  <c r="FU321" i="17"/>
  <c r="GN318" i="17"/>
  <c r="FO317" i="17"/>
  <c r="FR315" i="17"/>
  <c r="GA179" i="17"/>
  <c r="FU295" i="17"/>
  <c r="FV251" i="17"/>
  <c r="GL89" i="17"/>
  <c r="FW105" i="17"/>
  <c r="GM336" i="17"/>
  <c r="GP246" i="17"/>
  <c r="FU228" i="17"/>
  <c r="GE227" i="17"/>
  <c r="GP218" i="17"/>
  <c r="GK206" i="17"/>
  <c r="GC198" i="17"/>
  <c r="GN193" i="17"/>
  <c r="GP185" i="17"/>
  <c r="GP244" i="17"/>
  <c r="GP310" i="17"/>
  <c r="AO10" i="17"/>
  <c r="AR132" i="17"/>
  <c r="FW304" i="17"/>
  <c r="GO332" i="17"/>
  <c r="FW331" i="17"/>
  <c r="FY294" i="17"/>
  <c r="GP293" i="17"/>
  <c r="FZ330" i="17"/>
  <c r="GA316" i="17"/>
  <c r="GC303" i="17"/>
  <c r="FW292" i="17"/>
  <c r="FY288" i="17"/>
  <c r="GD280" i="17"/>
  <c r="FQ277" i="17"/>
  <c r="FW276" i="17"/>
  <c r="GL273" i="17"/>
  <c r="FY272" i="17"/>
  <c r="FN259" i="17"/>
  <c r="GE252" i="17"/>
  <c r="FW233" i="17"/>
  <c r="GJ231" i="17"/>
  <c r="FT227" i="17"/>
  <c r="FQ218" i="17"/>
  <c r="FW217" i="17"/>
  <c r="GL214" i="17"/>
  <c r="FY213" i="17"/>
  <c r="FS209" i="17"/>
  <c r="GE208" i="17"/>
  <c r="FQ202" i="17"/>
  <c r="FW201" i="17"/>
  <c r="GA197" i="17"/>
  <c r="GE192" i="17"/>
  <c r="FW184" i="17"/>
  <c r="GJ182" i="17"/>
  <c r="FW158" i="17"/>
  <c r="FU150" i="17"/>
  <c r="FZ145" i="17"/>
  <c r="GA138" i="17"/>
  <c r="FS134" i="17"/>
  <c r="GJ124" i="17"/>
  <c r="GA122" i="17"/>
  <c r="FU118" i="17"/>
  <c r="FW110" i="17"/>
  <c r="GJ108" i="17"/>
  <c r="FV95" i="17"/>
  <c r="FW92" i="17"/>
  <c r="FS61" i="17"/>
  <c r="GA49" i="17"/>
  <c r="FS45" i="17"/>
  <c r="FU42" i="17"/>
  <c r="FS23" i="17"/>
  <c r="FW15" i="17"/>
  <c r="GJ13" i="17"/>
  <c r="GJ81" i="17"/>
  <c r="GB146" i="17"/>
  <c r="FZ146" i="17"/>
  <c r="FX146" i="17"/>
  <c r="FS144" i="17"/>
  <c r="FU144" i="17"/>
  <c r="FY145" i="17"/>
  <c r="GA145" i="17"/>
  <c r="FT73" i="17"/>
  <c r="GM73" i="17"/>
  <c r="AK324" i="17"/>
  <c r="AM324" i="17"/>
  <c r="AN324" i="17"/>
  <c r="AQ324" i="17"/>
  <c r="AL9" i="17"/>
  <c r="AN9" i="17"/>
  <c r="AO9" i="17"/>
  <c r="AP9" i="17"/>
  <c r="AQ9" i="17"/>
  <c r="AM297" i="17"/>
  <c r="AO297" i="17"/>
  <c r="AT129" i="17"/>
  <c r="AU129" i="17"/>
  <c r="AT56" i="17"/>
  <c r="AO56" i="17"/>
  <c r="AP56" i="17"/>
  <c r="AR24" i="17"/>
  <c r="AS24" i="17"/>
  <c r="GQ24" i="17" s="1"/>
  <c r="HA24" i="17" s="1"/>
  <c r="IC24" i="17" s="1"/>
  <c r="GB320" i="17"/>
  <c r="FV320" i="17"/>
  <c r="FX320" i="17"/>
  <c r="GM290" i="17"/>
  <c r="FQ290" i="17"/>
  <c r="GM221" i="17"/>
  <c r="GE221" i="17"/>
  <c r="GH210" i="17"/>
  <c r="GA210" i="17"/>
  <c r="FZ184" i="17"/>
  <c r="GB184" i="17"/>
  <c r="FV184" i="17"/>
  <c r="GH151" i="17"/>
  <c r="GA151" i="17"/>
  <c r="FV110" i="17"/>
  <c r="FX110" i="17"/>
  <c r="GB110" i="17"/>
  <c r="FW102" i="17"/>
  <c r="FV102" i="17"/>
  <c r="FT96" i="17"/>
  <c r="GM96" i="17"/>
  <c r="GH8" i="17"/>
  <c r="FY8" i="17"/>
  <c r="GA8" i="17"/>
  <c r="AS188" i="17"/>
  <c r="GQ188" i="17" s="1"/>
  <c r="HG188" i="17" s="1"/>
  <c r="II188" i="17" s="1"/>
  <c r="AQ219" i="17"/>
  <c r="AS219" i="17"/>
  <c r="GQ219" i="17" s="1"/>
  <c r="GX219" i="17" s="1"/>
  <c r="HZ219" i="17" s="1"/>
  <c r="FX324" i="17"/>
  <c r="FZ324" i="17"/>
  <c r="GB324" i="17"/>
  <c r="GD318" i="17"/>
  <c r="GI316" i="17"/>
  <c r="FR316" i="17"/>
  <c r="FU296" i="17"/>
  <c r="FW286" i="17"/>
  <c r="FS272" i="17"/>
  <c r="GH272" i="17"/>
  <c r="FW270" i="17"/>
  <c r="FQ256" i="17"/>
  <c r="GK229" i="17"/>
  <c r="GH229" i="17"/>
  <c r="GN216" i="17"/>
  <c r="FU203" i="17"/>
  <c r="GE199" i="17"/>
  <c r="GF199" i="17"/>
  <c r="GH197" i="17"/>
  <c r="FS197" i="17"/>
  <c r="FR197" i="17"/>
  <c r="GC188" i="17"/>
  <c r="FU186" i="17"/>
  <c r="FS186" i="17"/>
  <c r="GD182" i="17"/>
  <c r="GE182" i="17"/>
  <c r="FQ137" i="17"/>
  <c r="GF124" i="17"/>
  <c r="GD124" i="17"/>
  <c r="GE124" i="17"/>
  <c r="GC114" i="17"/>
  <c r="FU55" i="17"/>
  <c r="GF51" i="17"/>
  <c r="GD51" i="17"/>
  <c r="GH27" i="17"/>
  <c r="GK27" i="17"/>
  <c r="FP328" i="17"/>
  <c r="GM328" i="17"/>
  <c r="FZ303" i="17"/>
  <c r="GB303" i="17"/>
  <c r="GM301" i="17"/>
  <c r="FQ301" i="17"/>
  <c r="FP301" i="17"/>
  <c r="FW298" i="17"/>
  <c r="FV298" i="17"/>
  <c r="FR226" i="17"/>
  <c r="GJ226" i="17"/>
  <c r="FR194" i="17"/>
  <c r="FS194" i="17"/>
  <c r="AO298" i="17"/>
  <c r="FQ325" i="17"/>
  <c r="GC290" i="17"/>
  <c r="GD284" i="17"/>
  <c r="GG284" i="17"/>
  <c r="GE284" i="17"/>
  <c r="FN278" i="17"/>
  <c r="GD253" i="17"/>
  <c r="GG253" i="17"/>
  <c r="GE253" i="17"/>
  <c r="FX215" i="17"/>
  <c r="FN203" i="17"/>
  <c r="GC199" i="17"/>
  <c r="FU180" i="17"/>
  <c r="FQ163" i="17"/>
  <c r="FY155" i="17"/>
  <c r="GA155" i="17"/>
  <c r="GN151" i="17"/>
  <c r="FQ147" i="17"/>
  <c r="FN144" i="17"/>
  <c r="GG134" i="17"/>
  <c r="GD134" i="17"/>
  <c r="GE134" i="17"/>
  <c r="FU122" i="17"/>
  <c r="FW111" i="17"/>
  <c r="GL111" i="17"/>
  <c r="AT280" i="17"/>
  <c r="AL280" i="17"/>
  <c r="AS205" i="17"/>
  <c r="GQ205" i="17" s="1"/>
  <c r="GY205" i="17" s="1"/>
  <c r="IA205" i="17" s="1"/>
  <c r="AT205" i="17"/>
  <c r="AM205" i="17"/>
  <c r="AU57" i="17"/>
  <c r="AK57" i="17"/>
  <c r="AT57" i="17"/>
  <c r="AN265" i="17"/>
  <c r="AT188" i="17"/>
  <c r="AR145" i="17"/>
  <c r="AQ145" i="17"/>
  <c r="GJ319" i="17"/>
  <c r="GK319" i="17"/>
  <c r="FS281" i="17"/>
  <c r="FU281" i="17"/>
  <c r="FV270" i="17"/>
  <c r="GL270" i="17"/>
  <c r="GF268" i="17"/>
  <c r="GP268" i="17"/>
  <c r="GG262" i="17"/>
  <c r="FO262" i="17"/>
  <c r="FV255" i="17"/>
  <c r="GL255" i="17"/>
  <c r="GN203" i="17"/>
  <c r="GO203" i="17"/>
  <c r="GO186" i="17"/>
  <c r="GN186" i="17"/>
  <c r="FR186" i="17"/>
  <c r="GJ33" i="17"/>
  <c r="GI33" i="17"/>
  <c r="FS14" i="17"/>
  <c r="GJ14" i="17"/>
  <c r="GC143" i="17"/>
  <c r="FT143" i="17"/>
  <c r="FY113" i="17"/>
  <c r="FU94" i="17"/>
  <c r="GB66" i="17"/>
  <c r="FZ66" i="17"/>
  <c r="FW60" i="17"/>
  <c r="GL60" i="17"/>
  <c r="FV60" i="17"/>
  <c r="GC57" i="17"/>
  <c r="FU52" i="17"/>
  <c r="GN52" i="17"/>
  <c r="GO52" i="17"/>
  <c r="GC38" i="17"/>
  <c r="FU17" i="17"/>
  <c r="AU80" i="17"/>
  <c r="GE156" i="17"/>
  <c r="FV66" i="17"/>
  <c r="FV324" i="17"/>
  <c r="FW324" i="17"/>
  <c r="FQ225" i="17"/>
  <c r="FP225" i="17"/>
  <c r="GI151" i="17"/>
  <c r="FR151" i="17"/>
  <c r="GK151" i="17"/>
  <c r="GI135" i="17"/>
  <c r="FR135" i="17"/>
  <c r="FV130" i="17"/>
  <c r="FW130" i="17"/>
  <c r="FW96" i="17"/>
  <c r="FV96" i="17"/>
  <c r="FS62" i="17"/>
  <c r="FR62" i="17"/>
  <c r="GI62" i="17"/>
  <c r="GM45" i="17"/>
  <c r="FQ45" i="17"/>
  <c r="GM284" i="17"/>
  <c r="FT32" i="17"/>
  <c r="HP36" i="17"/>
  <c r="IR36" i="17" s="1"/>
  <c r="GW36" i="17"/>
  <c r="HY36" i="17" s="1"/>
  <c r="HQ36" i="17"/>
  <c r="IS36" i="17" s="1"/>
  <c r="AS40" i="17"/>
  <c r="GQ40" i="17" s="1"/>
  <c r="HJ40" i="17" s="1"/>
  <c r="IL40" i="17" s="1"/>
  <c r="AR21" i="17"/>
  <c r="AS21" i="17"/>
  <c r="GQ21" i="17" s="1"/>
  <c r="GV21" i="17" s="1"/>
  <c r="HX21" i="17" s="1"/>
  <c r="AP21" i="17"/>
  <c r="AQ21" i="17"/>
  <c r="AT21" i="17"/>
  <c r="AL21" i="17"/>
  <c r="AM21" i="17"/>
  <c r="AU21" i="17"/>
  <c r="AK21" i="17"/>
  <c r="FU294" i="17"/>
  <c r="GE328" i="17"/>
  <c r="GD328" i="17"/>
  <c r="GA317" i="17"/>
  <c r="FY317" i="17"/>
  <c r="FU288" i="17"/>
  <c r="GK282" i="17"/>
  <c r="FW277" i="17"/>
  <c r="FV277" i="17"/>
  <c r="GC259" i="17"/>
  <c r="GE225" i="17"/>
  <c r="FO225" i="17"/>
  <c r="GG225" i="17"/>
  <c r="GK223" i="17"/>
  <c r="GI223" i="17"/>
  <c r="FR223" i="17"/>
  <c r="GD209" i="17"/>
  <c r="GJ207" i="17"/>
  <c r="GK207" i="17"/>
  <c r="GI207" i="17"/>
  <c r="FQ190" i="17"/>
  <c r="FZ182" i="17"/>
  <c r="FN160" i="17"/>
  <c r="GC140" i="17"/>
  <c r="FQ131" i="17"/>
  <c r="GE118" i="17"/>
  <c r="FO118" i="17"/>
  <c r="FN112" i="17"/>
  <c r="GC108" i="17"/>
  <c r="FQ97" i="17"/>
  <c r="GE61" i="17"/>
  <c r="GD61" i="17"/>
  <c r="GG61" i="17"/>
  <c r="FO61" i="17"/>
  <c r="GN46" i="17"/>
  <c r="GN43" i="17"/>
  <c r="GJ43" i="17"/>
  <c r="FR43" i="17"/>
  <c r="GI40" i="17"/>
  <c r="FR40" i="17"/>
  <c r="FO23" i="17"/>
  <c r="GG23" i="17"/>
  <c r="GE23" i="17"/>
  <c r="GL16" i="17"/>
  <c r="FW16" i="17"/>
  <c r="GG7" i="17"/>
  <c r="GD7" i="17"/>
  <c r="GC88" i="17"/>
  <c r="GI132" i="17"/>
  <c r="FY254" i="17"/>
  <c r="GG301" i="17"/>
  <c r="FZ102" i="17"/>
  <c r="FS151" i="17"/>
  <c r="FU101" i="17"/>
  <c r="AQ56" i="17"/>
  <c r="AT275" i="17"/>
  <c r="AU275" i="17"/>
  <c r="AP275" i="17"/>
  <c r="AR275" i="17"/>
  <c r="AK275" i="17"/>
  <c r="AL275" i="17"/>
  <c r="AO275" i="17"/>
  <c r="AS275" i="17"/>
  <c r="GQ275" i="17" s="1"/>
  <c r="GR275" i="17" s="1"/>
  <c r="HT275" i="17" s="1"/>
  <c r="AM275" i="17"/>
  <c r="AN232" i="17"/>
  <c r="AO232" i="17"/>
  <c r="AM232" i="17"/>
  <c r="AS232" i="17"/>
  <c r="GQ232" i="17" s="1"/>
  <c r="AR232" i="17"/>
  <c r="AK232" i="17"/>
  <c r="AL232" i="17"/>
  <c r="AK200" i="17"/>
  <c r="AR200" i="17"/>
  <c r="AT200" i="17"/>
  <c r="AM200" i="17"/>
  <c r="AN200" i="17"/>
  <c r="AO200" i="17"/>
  <c r="AL200" i="17"/>
  <c r="AP200" i="17"/>
  <c r="AQ157" i="17"/>
  <c r="AR157" i="17"/>
  <c r="AS157" i="17"/>
  <c r="GQ157" i="17" s="1"/>
  <c r="AM157" i="17"/>
  <c r="AN157" i="17"/>
  <c r="AO157" i="17"/>
  <c r="AL157" i="17"/>
  <c r="AP157" i="17"/>
  <c r="AK157" i="17"/>
  <c r="AP125" i="17"/>
  <c r="AM125" i="17"/>
  <c r="AN125" i="17"/>
  <c r="AU125" i="17"/>
  <c r="AK125" i="17"/>
  <c r="AS125" i="17"/>
  <c r="GQ125" i="17" s="1"/>
  <c r="AT125" i="17"/>
  <c r="AL125" i="17"/>
  <c r="AR125" i="17"/>
  <c r="AO125" i="17"/>
  <c r="AN91" i="17"/>
  <c r="AO91" i="17"/>
  <c r="AT91" i="17"/>
  <c r="AU91" i="17"/>
  <c r="AS91" i="17"/>
  <c r="GQ91" i="17" s="1"/>
  <c r="AK91" i="17"/>
  <c r="AL91" i="17"/>
  <c r="AM91" i="17"/>
  <c r="AN36" i="17"/>
  <c r="AO36" i="17"/>
  <c r="AK36" i="17"/>
  <c r="AL36" i="17"/>
  <c r="AP36" i="17"/>
  <c r="AQ36" i="17"/>
  <c r="AT36" i="17"/>
  <c r="AU36" i="17"/>
  <c r="GC293" i="17"/>
  <c r="FY303" i="17"/>
  <c r="FP296" i="17"/>
  <c r="FO281" i="17"/>
  <c r="GD281" i="17"/>
  <c r="GK279" i="17"/>
  <c r="GK264" i="17"/>
  <c r="GI264" i="17"/>
  <c r="FV259" i="17"/>
  <c r="GL259" i="17"/>
  <c r="FW259" i="17"/>
  <c r="FX256" i="17"/>
  <c r="FZ256" i="17"/>
  <c r="GB256" i="17"/>
  <c r="FU254" i="17"/>
  <c r="FU226" i="17"/>
  <c r="GC212" i="17"/>
  <c r="GO207" i="17"/>
  <c r="GN207" i="17"/>
  <c r="FO206" i="17"/>
  <c r="GE206" i="17"/>
  <c r="GD206" i="17"/>
  <c r="FU194" i="17"/>
  <c r="GN191" i="17"/>
  <c r="GG191" i="17"/>
  <c r="GD190" i="17"/>
  <c r="FO190" i="17"/>
  <c r="GD163" i="17"/>
  <c r="FO163" i="17"/>
  <c r="FQ160" i="17"/>
  <c r="GM160" i="17"/>
  <c r="GC153" i="17"/>
  <c r="GK145" i="17"/>
  <c r="GI145" i="17"/>
  <c r="GL140" i="17"/>
  <c r="GH129" i="17"/>
  <c r="GK129" i="17"/>
  <c r="FP128" i="17"/>
  <c r="FQ128" i="17"/>
  <c r="GC121" i="17"/>
  <c r="FU119" i="17"/>
  <c r="GN116" i="17"/>
  <c r="GF115" i="17"/>
  <c r="GC103" i="17"/>
  <c r="GK95" i="17"/>
  <c r="GI95" i="17"/>
  <c r="GH95" i="17"/>
  <c r="FQ94" i="17"/>
  <c r="FP94" i="17"/>
  <c r="GC64" i="17"/>
  <c r="FU62" i="17"/>
  <c r="GG59" i="17"/>
  <c r="GN59" i="17"/>
  <c r="GO59" i="17"/>
  <c r="GF58" i="17"/>
  <c r="FR56" i="17"/>
  <c r="GK56" i="17"/>
  <c r="GC48" i="17"/>
  <c r="FU46" i="17"/>
  <c r="GN40" i="17"/>
  <c r="GF39" i="17"/>
  <c r="FO39" i="17"/>
  <c r="FQ36" i="17"/>
  <c r="GC26" i="17"/>
  <c r="FU24" i="17"/>
  <c r="FO20" i="17"/>
  <c r="GD20" i="17"/>
  <c r="GF20" i="17"/>
  <c r="GK18" i="17"/>
  <c r="FV265" i="17"/>
  <c r="GL114" i="17"/>
  <c r="AP260" i="17"/>
  <c r="FW332" i="17"/>
  <c r="FY330" i="17"/>
  <c r="GA303" i="17"/>
  <c r="FW290" i="17"/>
  <c r="FO263" i="17"/>
  <c r="FW215" i="17"/>
  <c r="FY208" i="17"/>
  <c r="GH201" i="17"/>
  <c r="FW182" i="17"/>
  <c r="FW156" i="17"/>
  <c r="GI31" i="17"/>
  <c r="GH31" i="17"/>
  <c r="FT23" i="17"/>
  <c r="GK15" i="17"/>
  <c r="GJ11" i="17"/>
  <c r="AN69" i="17"/>
  <c r="AT69" i="17"/>
  <c r="AK69" i="17"/>
  <c r="GK204" i="17"/>
  <c r="FR157" i="17"/>
  <c r="FO58" i="17"/>
  <c r="AO260" i="17"/>
  <c r="HG119" i="17"/>
  <c r="II119" i="17" s="1"/>
  <c r="GX119" i="17"/>
  <c r="HZ119" i="17" s="1"/>
  <c r="GT119" i="17"/>
  <c r="HV119" i="17" s="1"/>
  <c r="HK119" i="17"/>
  <c r="IM119" i="17" s="1"/>
  <c r="HL119" i="17"/>
  <c r="IN119" i="17" s="1"/>
  <c r="HF119" i="17"/>
  <c r="IH119" i="17" s="1"/>
  <c r="GS119" i="17"/>
  <c r="HU119" i="17" s="1"/>
  <c r="HC119" i="17"/>
  <c r="IE119" i="17" s="1"/>
  <c r="GJ302" i="17"/>
  <c r="FP288" i="17"/>
  <c r="GJ269" i="17"/>
  <c r="GM263" i="17"/>
  <c r="FT263" i="17"/>
  <c r="GC250" i="17"/>
  <c r="GI214" i="17"/>
  <c r="FP158" i="17"/>
  <c r="GO158" i="17"/>
  <c r="GG157" i="17"/>
  <c r="GE157" i="17"/>
  <c r="GF157" i="17"/>
  <c r="GJ135" i="17"/>
  <c r="FP27" i="17"/>
  <c r="GJ24" i="17"/>
  <c r="GM17" i="17"/>
  <c r="GJ8" i="17"/>
  <c r="AQ105" i="17"/>
  <c r="AT105" i="17"/>
  <c r="AR105" i="17"/>
  <c r="AO105" i="17"/>
  <c r="AS105" i="17"/>
  <c r="GQ105" i="17" s="1"/>
  <c r="GV105" i="17" s="1"/>
  <c r="HX105" i="17" s="1"/>
  <c r="GI43" i="17"/>
  <c r="FZ99" i="17"/>
  <c r="FQ291" i="17"/>
  <c r="FZ327" i="17"/>
  <c r="GB258" i="17"/>
  <c r="GI104" i="17"/>
  <c r="FU131" i="17"/>
  <c r="FX327" i="17"/>
  <c r="GL26" i="17"/>
  <c r="AR183" i="17"/>
  <c r="AK129" i="17"/>
  <c r="AT294" i="17"/>
  <c r="AS294" i="17"/>
  <c r="GQ294" i="17" s="1"/>
  <c r="HK294" i="17" s="1"/>
  <c r="IM294" i="17" s="1"/>
  <c r="FR270" i="17"/>
  <c r="GI270" i="17"/>
  <c r="GJ223" i="17"/>
  <c r="GJ164" i="17"/>
  <c r="GJ148" i="17"/>
  <c r="GJ116" i="17"/>
  <c r="GJ98" i="17"/>
  <c r="GJ40" i="17"/>
  <c r="AU105" i="17"/>
  <c r="FX107" i="17"/>
  <c r="FV214" i="17"/>
  <c r="FT252" i="17"/>
  <c r="GJ104" i="17"/>
  <c r="AO145" i="17"/>
  <c r="GG4" i="17"/>
  <c r="GP59" i="17"/>
  <c r="FP203" i="17"/>
  <c r="GH264" i="17"/>
  <c r="GL331" i="17"/>
  <c r="GA294" i="17"/>
  <c r="GB107" i="17"/>
  <c r="GG52" i="17"/>
  <c r="FW221" i="17"/>
  <c r="GD262" i="17"/>
  <c r="FR109" i="17"/>
  <c r="FV114" i="17"/>
  <c r="AP91" i="17"/>
  <c r="AN275" i="17"/>
  <c r="AK288" i="17"/>
  <c r="HK249" i="17"/>
  <c r="IM249" i="17" s="1"/>
  <c r="GW249" i="17"/>
  <c r="HY249" i="17" s="1"/>
  <c r="AQ221" i="17"/>
  <c r="AO221" i="17"/>
  <c r="AN221" i="17"/>
  <c r="AR96" i="17"/>
  <c r="AO96" i="17"/>
  <c r="AS96" i="17"/>
  <c r="GQ96" i="17" s="1"/>
  <c r="HQ96" i="17" s="1"/>
  <c r="IS96" i="17" s="1"/>
  <c r="AT96" i="17"/>
  <c r="AU96" i="17"/>
  <c r="AR130" i="17"/>
  <c r="AO323" i="17"/>
  <c r="AS323" i="17"/>
  <c r="GQ323" i="17" s="1"/>
  <c r="GX323" i="17" s="1"/>
  <c r="HZ323" i="17" s="1"/>
  <c r="AP264" i="17"/>
  <c r="AT264" i="17"/>
  <c r="AN264" i="17"/>
  <c r="AO264" i="17"/>
  <c r="AU264" i="17"/>
  <c r="AM204" i="17"/>
  <c r="AK204" i="17"/>
  <c r="AL204" i="17"/>
  <c r="AU204" i="17"/>
  <c r="AR161" i="17"/>
  <c r="AS161" i="17"/>
  <c r="GQ161" i="17" s="1"/>
  <c r="HR161" i="17" s="1"/>
  <c r="IT161" i="17" s="1"/>
  <c r="AT161" i="17"/>
  <c r="AU161" i="17"/>
  <c r="GL330" i="17"/>
  <c r="FV330" i="17"/>
  <c r="FW330" i="17"/>
  <c r="GM318" i="17"/>
  <c r="FQ318" i="17"/>
  <c r="FZ292" i="17"/>
  <c r="FV292" i="17"/>
  <c r="GM280" i="17"/>
  <c r="GE280" i="17"/>
  <c r="FO277" i="17"/>
  <c r="GD277" i="17"/>
  <c r="GM199" i="17"/>
  <c r="FP199" i="17"/>
  <c r="FZ165" i="17"/>
  <c r="FX165" i="17"/>
  <c r="GM108" i="17"/>
  <c r="FQ108" i="17"/>
  <c r="FS58" i="17"/>
  <c r="FU58" i="17"/>
  <c r="FO54" i="17"/>
  <c r="GD54" i="17"/>
  <c r="FY40" i="17"/>
  <c r="GA40" i="17"/>
  <c r="GM19" i="17"/>
  <c r="GE19" i="17"/>
  <c r="GT130" i="17"/>
  <c r="HV130" i="17" s="1"/>
  <c r="GB330" i="17"/>
  <c r="FY194" i="17"/>
  <c r="AQ144" i="17"/>
  <c r="AT144" i="17"/>
  <c r="FT324" i="17"/>
  <c r="GC298" i="17"/>
  <c r="GC265" i="17"/>
  <c r="GK257" i="17"/>
  <c r="FP196" i="17"/>
  <c r="FQ196" i="17"/>
  <c r="GM196" i="17"/>
  <c r="GA187" i="17"/>
  <c r="FY187" i="17"/>
  <c r="FN134" i="17"/>
  <c r="GO134" i="17"/>
  <c r="FU128" i="17"/>
  <c r="GA95" i="17"/>
  <c r="FY95" i="17"/>
  <c r="GI65" i="17"/>
  <c r="FS65" i="17"/>
  <c r="GK65" i="17"/>
  <c r="FW44" i="17"/>
  <c r="GL44" i="17"/>
  <c r="FV44" i="17"/>
  <c r="AK89" i="17"/>
  <c r="AN89" i="17"/>
  <c r="FY135" i="17"/>
  <c r="GE54" i="17"/>
  <c r="GH180" i="17"/>
  <c r="AO278" i="17"/>
  <c r="AR188" i="17"/>
  <c r="GE293" i="17"/>
  <c r="GF293" i="17"/>
  <c r="FS329" i="17"/>
  <c r="FR329" i="17"/>
  <c r="GI329" i="17"/>
  <c r="GE287" i="17"/>
  <c r="GF287" i="17"/>
  <c r="GM268" i="17"/>
  <c r="FP268" i="17"/>
  <c r="GL265" i="17"/>
  <c r="GM253" i="17"/>
  <c r="FP253" i="17"/>
  <c r="FW249" i="17"/>
  <c r="FV249" i="17"/>
  <c r="FR210" i="17"/>
  <c r="FS210" i="17"/>
  <c r="GG196" i="17"/>
  <c r="GD196" i="17"/>
  <c r="GL188" i="17"/>
  <c r="FW188" i="17"/>
  <c r="FV188" i="17"/>
  <c r="GD169" i="17"/>
  <c r="GG153" i="17"/>
  <c r="GE153" i="17"/>
  <c r="GF153" i="17"/>
  <c r="GM134" i="17"/>
  <c r="FQ134" i="17"/>
  <c r="FP134" i="17"/>
  <c r="GH119" i="17"/>
  <c r="GF103" i="17"/>
  <c r="GG103" i="17"/>
  <c r="GE103" i="17"/>
  <c r="GI101" i="17"/>
  <c r="FS101" i="17"/>
  <c r="FP100" i="17"/>
  <c r="GM100" i="17"/>
  <c r="FQ100" i="17"/>
  <c r="FO64" i="17"/>
  <c r="GG64" i="17"/>
  <c r="GE48" i="17"/>
  <c r="GG48" i="17"/>
  <c r="FV38" i="17"/>
  <c r="GL38" i="17"/>
  <c r="GO247" i="17"/>
  <c r="GG10" i="17"/>
  <c r="AQ188" i="17"/>
  <c r="AQ126" i="17"/>
  <c r="AU126" i="17"/>
  <c r="AK126" i="17"/>
  <c r="AK37" i="17"/>
  <c r="AL37" i="17"/>
  <c r="AU37" i="17"/>
  <c r="AM37" i="17"/>
  <c r="FY331" i="17"/>
  <c r="GA331" i="17"/>
  <c r="GI326" i="17"/>
  <c r="FR326" i="17"/>
  <c r="GC318" i="17"/>
  <c r="GI299" i="17"/>
  <c r="GK299" i="17"/>
  <c r="FR299" i="17"/>
  <c r="GN285" i="17"/>
  <c r="GE268" i="17"/>
  <c r="GG268" i="17"/>
  <c r="GA258" i="17"/>
  <c r="FY258" i="17"/>
  <c r="FR251" i="17"/>
  <c r="GI251" i="17"/>
  <c r="FN247" i="17"/>
  <c r="FN219" i="17"/>
  <c r="FY198" i="17"/>
  <c r="GG193" i="17"/>
  <c r="GD193" i="17"/>
  <c r="GI191" i="17"/>
  <c r="GK191" i="17"/>
  <c r="FR191" i="17"/>
  <c r="FN186" i="17"/>
  <c r="GC182" i="17"/>
  <c r="GA139" i="17"/>
  <c r="FY139" i="17"/>
  <c r="FN128" i="17"/>
  <c r="GN119" i="17"/>
  <c r="GA107" i="17"/>
  <c r="FY107" i="17"/>
  <c r="FN94" i="17"/>
  <c r="GC67" i="17"/>
  <c r="FN55" i="17"/>
  <c r="GE45" i="17"/>
  <c r="FO45" i="17"/>
  <c r="GG45" i="17"/>
  <c r="GD42" i="17"/>
  <c r="GG42" i="17"/>
  <c r="GE42" i="17"/>
  <c r="FQ39" i="17"/>
  <c r="FZ28" i="17"/>
  <c r="GN24" i="17"/>
  <c r="GH21" i="17"/>
  <c r="GI21" i="17"/>
  <c r="FN17" i="17"/>
  <c r="GC13" i="17"/>
  <c r="GN8" i="17"/>
  <c r="FQ4" i="17"/>
  <c r="FQ17" i="17"/>
  <c r="FR282" i="17"/>
  <c r="FY34" i="17"/>
  <c r="AR37" i="17"/>
  <c r="AQ291" i="17"/>
  <c r="AO291" i="17"/>
  <c r="AK291" i="17"/>
  <c r="AL291" i="17"/>
  <c r="AP291" i="17"/>
  <c r="AN291" i="17"/>
  <c r="AU291" i="17"/>
  <c r="AS291" i="17"/>
  <c r="GQ291" i="17" s="1"/>
  <c r="AT291" i="17"/>
  <c r="AL260" i="17"/>
  <c r="AM260" i="17"/>
  <c r="AT260" i="17"/>
  <c r="AK260" i="17"/>
  <c r="AN260" i="17"/>
  <c r="AU260" i="17"/>
  <c r="AS216" i="17"/>
  <c r="GQ216" i="17" s="1"/>
  <c r="GZ216" i="17" s="1"/>
  <c r="IB216" i="17" s="1"/>
  <c r="AR216" i="17"/>
  <c r="AU216" i="17"/>
  <c r="AK216" i="17"/>
  <c r="AM216" i="17"/>
  <c r="AN216" i="17"/>
  <c r="AO216" i="17"/>
  <c r="AP216" i="17"/>
  <c r="AQ216" i="17"/>
  <c r="AL216" i="17"/>
  <c r="AT216" i="17"/>
  <c r="AL183" i="17"/>
  <c r="AM183" i="17"/>
  <c r="AQ183" i="17"/>
  <c r="AS183" i="17"/>
  <c r="GQ183" i="17" s="1"/>
  <c r="GZ183" i="17" s="1"/>
  <c r="IB183" i="17" s="1"/>
  <c r="AT183" i="17"/>
  <c r="AU183" i="17"/>
  <c r="AO141" i="17"/>
  <c r="AQ141" i="17"/>
  <c r="AR141" i="17"/>
  <c r="AK141" i="17"/>
  <c r="AM141" i="17"/>
  <c r="AS141" i="17"/>
  <c r="GQ141" i="17" s="1"/>
  <c r="GV141" i="17" s="1"/>
  <c r="HX141" i="17" s="1"/>
  <c r="AT141" i="17"/>
  <c r="AT109" i="17"/>
  <c r="AU109" i="17"/>
  <c r="AQ109" i="17"/>
  <c r="AR109" i="17"/>
  <c r="AP109" i="17"/>
  <c r="AK52" i="17"/>
  <c r="AN52" i="17"/>
  <c r="AO52" i="17"/>
  <c r="AP52" i="17"/>
  <c r="AQ52" i="17"/>
  <c r="AR52" i="17"/>
  <c r="AL52" i="17"/>
  <c r="AM52" i="17"/>
  <c r="AS52" i="17"/>
  <c r="GQ52" i="17" s="1"/>
  <c r="HQ52" i="17" s="1"/>
  <c r="IS52" i="17" s="1"/>
  <c r="AT52" i="17"/>
  <c r="AS20" i="17"/>
  <c r="GQ20" i="17" s="1"/>
  <c r="GR20" i="17" s="1"/>
  <c r="HT20" i="17" s="1"/>
  <c r="AT20" i="17"/>
  <c r="AR20" i="17"/>
  <c r="AU20" i="17"/>
  <c r="AK20" i="17"/>
  <c r="AQ20" i="17"/>
  <c r="FU329" i="17"/>
  <c r="GN326" i="17"/>
  <c r="GK323" i="17"/>
  <c r="FQ322" i="17"/>
  <c r="GL318" i="17"/>
  <c r="FW318" i="17"/>
  <c r="FU302" i="17"/>
  <c r="FO179" i="17"/>
  <c r="GD179" i="17"/>
  <c r="GG179" i="17"/>
  <c r="GH297" i="17"/>
  <c r="GL290" i="17"/>
  <c r="GN282" i="17"/>
  <c r="GC271" i="17"/>
  <c r="FU269" i="17"/>
  <c r="GN267" i="17"/>
  <c r="GD266" i="17"/>
  <c r="FO266" i="17"/>
  <c r="FQ263" i="17"/>
  <c r="GC256" i="17"/>
  <c r="GN251" i="17"/>
  <c r="GA227" i="17"/>
  <c r="FY227" i="17"/>
  <c r="GN223" i="17"/>
  <c r="GD222" i="17"/>
  <c r="FO222" i="17"/>
  <c r="GL215" i="17"/>
  <c r="GL199" i="17"/>
  <c r="GI187" i="17"/>
  <c r="FS187" i="17"/>
  <c r="FQ186" i="17"/>
  <c r="FP186" i="17"/>
  <c r="FU167" i="17"/>
  <c r="FU151" i="17"/>
  <c r="GD147" i="17"/>
  <c r="FO147" i="17"/>
  <c r="FQ144" i="17"/>
  <c r="GC137" i="17"/>
  <c r="FU135" i="17"/>
  <c r="FO131" i="17"/>
  <c r="GD131" i="17"/>
  <c r="FQ112" i="17"/>
  <c r="GF97" i="17"/>
  <c r="FO97" i="17"/>
  <c r="GL67" i="17"/>
  <c r="FQ55" i="17"/>
  <c r="GH37" i="17"/>
  <c r="GN21" i="17"/>
  <c r="GL13" i="17"/>
  <c r="GN5" i="17"/>
  <c r="GG5" i="17"/>
  <c r="AK310" i="17"/>
  <c r="AM310" i="17"/>
  <c r="AU310" i="17"/>
  <c r="AL310" i="17"/>
  <c r="FU59" i="17"/>
  <c r="GH56" i="17"/>
  <c r="AU157" i="17"/>
  <c r="AO95" i="17"/>
  <c r="GJ294" i="17"/>
  <c r="FY327" i="17"/>
  <c r="GA327" i="17"/>
  <c r="FS282" i="17"/>
  <c r="GL271" i="17"/>
  <c r="GC268" i="17"/>
  <c r="GC253" i="17"/>
  <c r="FW231" i="17"/>
  <c r="FW199" i="17"/>
  <c r="FT193" i="17"/>
  <c r="FR187" i="17"/>
  <c r="GB185" i="17"/>
  <c r="FQ183" i="17"/>
  <c r="GF160" i="17"/>
  <c r="FO144" i="17"/>
  <c r="FW140" i="17"/>
  <c r="FP125" i="17"/>
  <c r="FW108" i="17"/>
  <c r="FY102" i="17"/>
  <c r="GE94" i="17"/>
  <c r="GD94" i="17"/>
  <c r="FW67" i="17"/>
  <c r="FS59" i="17"/>
  <c r="FW51" i="17"/>
  <c r="GJ49" i="17"/>
  <c r="GL48" i="17"/>
  <c r="GA22" i="17"/>
  <c r="FY22" i="17"/>
  <c r="GM20" i="17"/>
  <c r="FW13" i="17"/>
  <c r="GP8" i="17"/>
  <c r="GF8" i="17"/>
  <c r="AM76" i="17"/>
  <c r="AK76" i="17"/>
  <c r="GM7" i="17"/>
  <c r="FV92" i="17"/>
  <c r="GN275" i="17"/>
  <c r="GE64" i="17"/>
  <c r="AU52" i="17"/>
  <c r="AP37" i="17"/>
  <c r="AN95" i="17"/>
  <c r="GJ329" i="17"/>
  <c r="GB325" i="17"/>
  <c r="FX325" i="17"/>
  <c r="GJ285" i="17"/>
  <c r="FY280" i="17"/>
  <c r="GJ254" i="17"/>
  <c r="GC222" i="17"/>
  <c r="GF200" i="17"/>
  <c r="GM186" i="17"/>
  <c r="FT186" i="17"/>
  <c r="GG184" i="17"/>
  <c r="GN184" i="17"/>
  <c r="FR181" i="17"/>
  <c r="GI181" i="17"/>
  <c r="GJ151" i="17"/>
  <c r="GA146" i="17"/>
  <c r="FY146" i="17"/>
  <c r="GJ101" i="17"/>
  <c r="GJ62" i="17"/>
  <c r="GJ46" i="17"/>
  <c r="GL42" i="17"/>
  <c r="FX39" i="17"/>
  <c r="GE86" i="17"/>
  <c r="AU75" i="17"/>
  <c r="AL75" i="17"/>
  <c r="GA12" i="17"/>
  <c r="FP138" i="17"/>
  <c r="GM225" i="17"/>
  <c r="GI286" i="17"/>
  <c r="GC208" i="17"/>
  <c r="FQ296" i="17"/>
  <c r="FU4" i="17"/>
  <c r="FP23" i="17"/>
  <c r="AR91" i="17"/>
  <c r="AQ260" i="17"/>
  <c r="GJ326" i="17"/>
  <c r="GB296" i="17"/>
  <c r="FZ296" i="17"/>
  <c r="FZ263" i="17"/>
  <c r="GG257" i="17"/>
  <c r="GF257" i="17"/>
  <c r="GJ191" i="17"/>
  <c r="GJ59" i="17"/>
  <c r="GJ5" i="17"/>
  <c r="HM36" i="17"/>
  <c r="IO36" i="17" s="1"/>
  <c r="GN132" i="17"/>
  <c r="FX261" i="17"/>
  <c r="GG140" i="17"/>
  <c r="FV57" i="17"/>
  <c r="AQ91" i="17"/>
  <c r="AP183" i="17"/>
  <c r="GF4" i="17"/>
  <c r="GH18" i="17"/>
  <c r="GB286" i="17"/>
  <c r="GI59" i="17"/>
  <c r="FS115" i="17"/>
  <c r="GI282" i="17"/>
  <c r="GD268" i="17"/>
  <c r="GD166" i="17"/>
  <c r="GP190" i="17"/>
  <c r="GK40" i="17"/>
  <c r="FW38" i="17"/>
  <c r="GD118" i="17"/>
  <c r="FO115" i="17"/>
  <c r="AO109" i="17"/>
  <c r="AN183" i="17"/>
  <c r="AQ275" i="17"/>
  <c r="AU248" i="17"/>
  <c r="HO12" i="17"/>
  <c r="IQ12" i="17" s="1"/>
  <c r="HH12" i="17"/>
  <c r="IJ12" i="17" s="1"/>
  <c r="HK12" i="17"/>
  <c r="IM12" i="17" s="1"/>
  <c r="HF12" i="17"/>
  <c r="IH12" i="17" s="1"/>
  <c r="GZ130" i="17"/>
  <c r="IB130" i="17" s="1"/>
  <c r="HM130" i="17"/>
  <c r="IO130" i="17" s="1"/>
  <c r="AK41" i="17"/>
  <c r="AL41" i="17"/>
  <c r="GH302" i="17"/>
  <c r="FY302" i="17"/>
  <c r="FS291" i="17"/>
  <c r="GI291" i="17"/>
  <c r="FS216" i="17"/>
  <c r="FR216" i="17"/>
  <c r="GI216" i="17"/>
  <c r="GH216" i="17"/>
  <c r="GC149" i="17"/>
  <c r="FT149" i="17"/>
  <c r="GF134" i="17"/>
  <c r="GP134" i="17"/>
  <c r="GB126" i="17"/>
  <c r="FV126" i="17"/>
  <c r="GN112" i="17"/>
  <c r="FR112" i="17"/>
  <c r="GF100" i="17"/>
  <c r="GP100" i="17"/>
  <c r="FU97" i="17"/>
  <c r="FS97" i="17"/>
  <c r="FV34" i="17"/>
  <c r="FX34" i="17"/>
  <c r="AN80" i="17"/>
  <c r="AP80" i="17"/>
  <c r="AL80" i="17"/>
  <c r="AK80" i="17"/>
  <c r="AR80" i="17"/>
  <c r="AO80" i="17"/>
  <c r="AT80" i="17"/>
  <c r="AM80" i="17"/>
  <c r="AS80" i="17"/>
  <c r="GQ80" i="17" s="1"/>
  <c r="GW80" i="17" s="1"/>
  <c r="HY80" i="17" s="1"/>
  <c r="FR33" i="17"/>
  <c r="GF325" i="17"/>
  <c r="GP325" i="17"/>
  <c r="FW303" i="17"/>
  <c r="GA297" i="17"/>
  <c r="FY297" i="17"/>
  <c r="FS288" i="17"/>
  <c r="FR288" i="17"/>
  <c r="FU278" i="17"/>
  <c r="GA267" i="17"/>
  <c r="FO259" i="17"/>
  <c r="GF259" i="17"/>
  <c r="FY248" i="17"/>
  <c r="GD228" i="17"/>
  <c r="FQ228" i="17"/>
  <c r="GB198" i="17"/>
  <c r="FX198" i="17"/>
  <c r="FZ198" i="17"/>
  <c r="FV198" i="17"/>
  <c r="FV181" i="17"/>
  <c r="GB181" i="17"/>
  <c r="FW165" i="17"/>
  <c r="GL165" i="17"/>
  <c r="FV165" i="17"/>
  <c r="GC162" i="17"/>
  <c r="FU160" i="17"/>
  <c r="GC159" i="17"/>
  <c r="FT159" i="17"/>
  <c r="GC130" i="17"/>
  <c r="GC96" i="17"/>
  <c r="FX50" i="17"/>
  <c r="FV50" i="17"/>
  <c r="GB50" i="17"/>
  <c r="FN45" i="17"/>
  <c r="GO45" i="17"/>
  <c r="FU36" i="17"/>
  <c r="GN14" i="17"/>
  <c r="FS302" i="17"/>
  <c r="FR302" i="17"/>
  <c r="GI302" i="17"/>
  <c r="FR285" i="17"/>
  <c r="GI285" i="17"/>
  <c r="FS285" i="17"/>
  <c r="GC185" i="17"/>
  <c r="GI167" i="17"/>
  <c r="GK167" i="17"/>
  <c r="GH167" i="17"/>
  <c r="FS167" i="17"/>
  <c r="FX111" i="17"/>
  <c r="FX93" i="17"/>
  <c r="GI46" i="17"/>
  <c r="FS46" i="17"/>
  <c r="GK46" i="17"/>
  <c r="FR46" i="17"/>
  <c r="GM42" i="17"/>
  <c r="FP42" i="17"/>
  <c r="GE26" i="17"/>
  <c r="GG26" i="17"/>
  <c r="FS24" i="17"/>
  <c r="GK24" i="17"/>
  <c r="FR24" i="17"/>
  <c r="FW19" i="17"/>
  <c r="FV19" i="17"/>
  <c r="GN329" i="17"/>
  <c r="GL224" i="17"/>
  <c r="AN217" i="17"/>
  <c r="AO217" i="17"/>
  <c r="AR217" i="17"/>
  <c r="AM217" i="17"/>
  <c r="AP217" i="17"/>
  <c r="AQ217" i="17"/>
  <c r="AM53" i="17"/>
  <c r="AO53" i="17"/>
  <c r="AP53" i="17"/>
  <c r="AQ53" i="17"/>
  <c r="AR53" i="17"/>
  <c r="AS53" i="17"/>
  <c r="GQ53" i="17" s="1"/>
  <c r="AT53" i="17"/>
  <c r="AU53" i="17"/>
  <c r="AK53" i="17"/>
  <c r="AL53" i="17"/>
  <c r="AN53" i="17"/>
  <c r="FY289" i="17"/>
  <c r="GH267" i="17"/>
  <c r="GI267" i="17"/>
  <c r="GK267" i="17"/>
  <c r="FR267" i="17"/>
  <c r="FN263" i="17"/>
  <c r="FQ250" i="17"/>
  <c r="FW246" i="17"/>
  <c r="GL246" i="17"/>
  <c r="FY230" i="17"/>
  <c r="GA230" i="17"/>
  <c r="FQ222" i="17"/>
  <c r="FU213" i="17"/>
  <c r="FQ206" i="17"/>
  <c r="GL202" i="17"/>
  <c r="FU197" i="17"/>
  <c r="GN194" i="17"/>
  <c r="FY181" i="17"/>
  <c r="GC156" i="17"/>
  <c r="GD150" i="17"/>
  <c r="FR148" i="17"/>
  <c r="GK148" i="17"/>
  <c r="FU138" i="17"/>
  <c r="GN135" i="17"/>
  <c r="FY123" i="17"/>
  <c r="GG100" i="17"/>
  <c r="GD100" i="17"/>
  <c r="GE100" i="17"/>
  <c r="GK98" i="17"/>
  <c r="FR98" i="17"/>
  <c r="FU65" i="17"/>
  <c r="GC51" i="17"/>
  <c r="FN36" i="17"/>
  <c r="FQ20" i="17"/>
  <c r="AT89" i="17"/>
  <c r="GC337" i="17"/>
  <c r="GC81" i="17"/>
  <c r="GC78" i="17"/>
  <c r="GI76" i="17"/>
  <c r="GC238" i="17"/>
  <c r="GL156" i="17"/>
  <c r="FW162" i="17"/>
  <c r="GG137" i="17"/>
  <c r="AM36" i="17"/>
  <c r="AQ37" i="17"/>
  <c r="FY255" i="17"/>
  <c r="FX253" i="17"/>
  <c r="FY192" i="17"/>
  <c r="GL137" i="17"/>
  <c r="FW124" i="17"/>
  <c r="FZ111" i="17"/>
  <c r="FU98" i="17"/>
  <c r="GJ65" i="17"/>
  <c r="GN56" i="17"/>
  <c r="FP52" i="17"/>
  <c r="FW28" i="17"/>
  <c r="FX99" i="17"/>
  <c r="AT157" i="17"/>
  <c r="AS66" i="17"/>
  <c r="GQ66" i="17" s="1"/>
  <c r="HE66" i="17" s="1"/>
  <c r="IG66" i="17" s="1"/>
  <c r="AT66" i="17"/>
  <c r="AN66" i="17"/>
  <c r="GG292" i="17"/>
  <c r="GO292" i="17"/>
  <c r="GL268" i="17"/>
  <c r="GH258" i="17"/>
  <c r="FP229" i="17"/>
  <c r="FO216" i="17"/>
  <c r="GJ210" i="17"/>
  <c r="GJ194" i="17"/>
  <c r="GJ167" i="17"/>
  <c r="GA162" i="17"/>
  <c r="FY162" i="17"/>
  <c r="FW150" i="17"/>
  <c r="GL150" i="17"/>
  <c r="FV150" i="17"/>
  <c r="FZ147" i="17"/>
  <c r="GJ119" i="17"/>
  <c r="GJ107" i="17"/>
  <c r="GK107" i="17"/>
  <c r="FW45" i="17"/>
  <c r="GL45" i="17"/>
  <c r="GL23" i="17"/>
  <c r="FO14" i="17"/>
  <c r="FZ4" i="17"/>
  <c r="FX4" i="17"/>
  <c r="AU69" i="17"/>
  <c r="AM242" i="17"/>
  <c r="AU242" i="17"/>
  <c r="FS8" i="17"/>
  <c r="GA198" i="17"/>
  <c r="FY50" i="17"/>
  <c r="AS138" i="17"/>
  <c r="GQ138" i="17" s="1"/>
  <c r="GT138" i="17" s="1"/>
  <c r="HV138" i="17" s="1"/>
  <c r="AR138" i="17"/>
  <c r="AQ138" i="17"/>
  <c r="FP329" i="17"/>
  <c r="GJ299" i="17"/>
  <c r="GG288" i="17"/>
  <c r="GJ282" i="17"/>
  <c r="GJ267" i="17"/>
  <c r="GJ251" i="17"/>
  <c r="GN181" i="17"/>
  <c r="GC144" i="17"/>
  <c r="FZ55" i="17"/>
  <c r="GG49" i="17"/>
  <c r="GG27" i="17"/>
  <c r="GJ21" i="17"/>
  <c r="GI116" i="17"/>
  <c r="GH113" i="17"/>
  <c r="HA130" i="17"/>
  <c r="IC130" i="17" s="1"/>
  <c r="GE193" i="17"/>
  <c r="FX66" i="17"/>
  <c r="FO318" i="17"/>
  <c r="GE169" i="17"/>
  <c r="FO284" i="17"/>
  <c r="GD225" i="17"/>
  <c r="FP20" i="17"/>
  <c r="FR167" i="17"/>
  <c r="FY37" i="17"/>
  <c r="GA113" i="17"/>
  <c r="FS98" i="17"/>
  <c r="GI5" i="17"/>
  <c r="GD39" i="17"/>
  <c r="GG97" i="17"/>
  <c r="GF32" i="17"/>
  <c r="FS135" i="17"/>
  <c r="AN109" i="17"/>
  <c r="AK183" i="17"/>
  <c r="AR291" i="17"/>
  <c r="FR84" i="17"/>
  <c r="GH84" i="17"/>
  <c r="GN310" i="17"/>
  <c r="FQ90" i="17"/>
  <c r="FY337" i="17"/>
  <c r="FQ83" i="17"/>
  <c r="GN77" i="17"/>
  <c r="GN308" i="17"/>
  <c r="FR77" i="17"/>
  <c r="GH77" i="17"/>
  <c r="GK77" i="17"/>
  <c r="FS313" i="17"/>
  <c r="GH313" i="17"/>
  <c r="FR309" i="17"/>
  <c r="GH309" i="17"/>
  <c r="AM337" i="17"/>
  <c r="AS337" i="17"/>
  <c r="GQ337" i="17" s="1"/>
  <c r="HP337" i="17" s="1"/>
  <c r="IR337" i="17" s="1"/>
  <c r="AN337" i="17"/>
  <c r="AQ337" i="17"/>
  <c r="AL74" i="17"/>
  <c r="AS74" i="17"/>
  <c r="GQ74" i="17" s="1"/>
  <c r="HK74" i="17" s="1"/>
  <c r="IM74" i="17" s="1"/>
  <c r="GN84" i="17"/>
  <c r="GN313" i="17"/>
  <c r="FY243" i="17"/>
  <c r="FQ240" i="17"/>
  <c r="FY238" i="17"/>
  <c r="GO309" i="17"/>
  <c r="GN309" i="17"/>
  <c r="AT308" i="17"/>
  <c r="AM308" i="17"/>
  <c r="HI165" i="17"/>
  <c r="IK165" i="17" s="1"/>
  <c r="HM165" i="17"/>
  <c r="IO165" i="17" s="1"/>
  <c r="AK117" i="17"/>
  <c r="AL117" i="17"/>
  <c r="AP60" i="17"/>
  <c r="AQ60" i="17"/>
  <c r="AO44" i="17"/>
  <c r="AP44" i="17"/>
  <c r="AN12" i="17"/>
  <c r="AO12" i="17"/>
  <c r="FT304" i="17"/>
  <c r="GC304" i="17"/>
  <c r="GH325" i="17"/>
  <c r="FY325" i="17"/>
  <c r="GM320" i="17"/>
  <c r="FT320" i="17"/>
  <c r="FR310" i="17"/>
  <c r="FR106" i="17"/>
  <c r="GH106" i="17"/>
  <c r="FS106" i="17"/>
  <c r="FT79" i="17"/>
  <c r="GC79" i="17"/>
  <c r="AO337" i="17"/>
  <c r="FQ237" i="17"/>
  <c r="FQ76" i="17"/>
  <c r="FQ71" i="17"/>
  <c r="AU133" i="17"/>
  <c r="GT333" i="17"/>
  <c r="HV333" i="17" s="1"/>
  <c r="HA333" i="17"/>
  <c r="IC333" i="17" s="1"/>
  <c r="HA326" i="17"/>
  <c r="IC326" i="17" s="1"/>
  <c r="GJ323" i="17"/>
  <c r="GJ300" i="17"/>
  <c r="GJ297" i="17"/>
  <c r="FU289" i="17"/>
  <c r="GN286" i="17"/>
  <c r="FP282" i="17"/>
  <c r="FW281" i="17"/>
  <c r="GJ279" i="17"/>
  <c r="GC275" i="17"/>
  <c r="FU273" i="17"/>
  <c r="FQ267" i="17"/>
  <c r="GJ264" i="17"/>
  <c r="FW250" i="17"/>
  <c r="GJ248" i="17"/>
  <c r="FN248" i="17"/>
  <c r="FQ223" i="17"/>
  <c r="GJ220" i="17"/>
  <c r="FN220" i="17"/>
  <c r="GJ204" i="17"/>
  <c r="GC200" i="17"/>
  <c r="FY199" i="17"/>
  <c r="GG194" i="17"/>
  <c r="FP191" i="17"/>
  <c r="FW190" i="17"/>
  <c r="GJ187" i="17"/>
  <c r="FN187" i="17"/>
  <c r="GC183" i="17"/>
  <c r="FW163" i="17"/>
  <c r="GJ161" i="17"/>
  <c r="FN161" i="17"/>
  <c r="GC157" i="17"/>
  <c r="FU155" i="17"/>
  <c r="FQ148" i="17"/>
  <c r="GJ145" i="17"/>
  <c r="FP132" i="17"/>
  <c r="FW131" i="17"/>
  <c r="GJ129" i="17"/>
  <c r="FN129" i="17"/>
  <c r="FU123" i="17"/>
  <c r="FP116" i="17"/>
  <c r="FW115" i="17"/>
  <c r="GJ113" i="17"/>
  <c r="FN113" i="17"/>
  <c r="GA111" i="17"/>
  <c r="FQ98" i="17"/>
  <c r="FW97" i="17"/>
  <c r="GJ95" i="17"/>
  <c r="FN95" i="17"/>
  <c r="GC91" i="17"/>
  <c r="FU66" i="17"/>
  <c r="GG62" i="17"/>
  <c r="FW58" i="17"/>
  <c r="GJ56" i="17"/>
  <c r="FN56" i="17"/>
  <c r="GJ37" i="17"/>
  <c r="GJ18" i="17"/>
  <c r="FU12" i="17"/>
  <c r="FP5" i="17"/>
  <c r="FS86" i="17"/>
  <c r="FO83" i="17"/>
  <c r="GF71" i="17"/>
  <c r="GG71" i="17"/>
  <c r="FO69" i="17"/>
  <c r="FU309" i="17"/>
  <c r="AN255" i="17"/>
  <c r="AO255" i="17"/>
  <c r="AU195" i="17"/>
  <c r="AK195" i="17"/>
  <c r="GG300" i="17"/>
  <c r="GO300" i="17"/>
  <c r="FP300" i="17"/>
  <c r="FZ288" i="17"/>
  <c r="GG282" i="17"/>
  <c r="FO267" i="17"/>
  <c r="GI265" i="17"/>
  <c r="GG223" i="17"/>
  <c r="GO192" i="17"/>
  <c r="FP192" i="17"/>
  <c r="FS162" i="17"/>
  <c r="GN162" i="17"/>
  <c r="FR162" i="17"/>
  <c r="GM145" i="17"/>
  <c r="FP145" i="17"/>
  <c r="GD145" i="17"/>
  <c r="GG132" i="17"/>
  <c r="FR130" i="17"/>
  <c r="GN130" i="17"/>
  <c r="FX122" i="17"/>
  <c r="GE90" i="17"/>
  <c r="FX178" i="17"/>
  <c r="FV82" i="17"/>
  <c r="GM335" i="17"/>
  <c r="FV79" i="17"/>
  <c r="GB314" i="17"/>
  <c r="GF313" i="17"/>
  <c r="GE312" i="17"/>
  <c r="FZ311" i="17"/>
  <c r="GM69" i="17"/>
  <c r="FZ239" i="17"/>
  <c r="AT68" i="17"/>
  <c r="AL68" i="17"/>
  <c r="FP237" i="17"/>
  <c r="GJ106" i="17"/>
  <c r="GB87" i="17"/>
  <c r="GJ86" i="17"/>
  <c r="GJ84" i="17"/>
  <c r="GO84" i="17"/>
  <c r="GJ77" i="17"/>
  <c r="GO77" i="17"/>
  <c r="GB76" i="17"/>
  <c r="FS74" i="17"/>
  <c r="GJ73" i="17"/>
  <c r="GO73" i="17"/>
  <c r="FX334" i="17"/>
  <c r="GJ313" i="17"/>
  <c r="GO313" i="17"/>
  <c r="FS72" i="17"/>
  <c r="GJ244" i="17"/>
  <c r="FZ71" i="17"/>
  <c r="GO310" i="17"/>
  <c r="GO308" i="17"/>
  <c r="GK238" i="17"/>
  <c r="GJ309" i="17"/>
  <c r="AK245" i="17"/>
  <c r="GM321" i="17"/>
  <c r="FX303" i="17"/>
  <c r="GP287" i="17"/>
  <c r="GA285" i="17"/>
  <c r="FT283" i="17"/>
  <c r="GA254" i="17"/>
  <c r="FT224" i="17"/>
  <c r="FY210" i="17"/>
  <c r="GB195" i="17"/>
  <c r="GA194" i="17"/>
  <c r="FU193" i="17"/>
  <c r="FS193" i="17"/>
  <c r="FW181" i="17"/>
  <c r="FY180" i="17"/>
  <c r="GA180" i="17"/>
  <c r="GF169" i="17"/>
  <c r="GE162" i="17"/>
  <c r="GI161" i="17"/>
  <c r="FW155" i="17"/>
  <c r="GL155" i="17"/>
  <c r="FT117" i="17"/>
  <c r="FP97" i="17"/>
  <c r="FP54" i="17"/>
  <c r="GM54" i="17"/>
  <c r="FW50" i="17"/>
  <c r="FX47" i="17"/>
  <c r="GP26" i="17"/>
  <c r="GI18" i="17"/>
  <c r="GJ17" i="17"/>
  <c r="FR17" i="17"/>
  <c r="GK237" i="17"/>
  <c r="FP86" i="17"/>
  <c r="FW336" i="17"/>
  <c r="FP84" i="17"/>
  <c r="FW335" i="17"/>
  <c r="GA75" i="17"/>
  <c r="FV334" i="17"/>
  <c r="GA239" i="17"/>
  <c r="AK238" i="17"/>
  <c r="AN238" i="17"/>
  <c r="GI57" i="17"/>
  <c r="FW29" i="17"/>
  <c r="FV29" i="17"/>
  <c r="GL299" i="17"/>
  <c r="FS218" i="17"/>
  <c r="GJ218" i="17"/>
  <c r="FV180" i="17"/>
  <c r="FW180" i="17"/>
  <c r="FT132" i="17"/>
  <c r="GM78" i="17"/>
  <c r="FV313" i="17"/>
  <c r="FV310" i="17"/>
  <c r="GP327" i="17"/>
  <c r="FT323" i="17"/>
  <c r="FT297" i="17"/>
  <c r="GE292" i="17"/>
  <c r="GK231" i="17"/>
  <c r="GP224" i="17"/>
  <c r="GF224" i="17"/>
  <c r="GJ51" i="17"/>
  <c r="FP105" i="17"/>
  <c r="GG335" i="17"/>
  <c r="FN324" i="17"/>
  <c r="FN298" i="17"/>
  <c r="FN280" i="17"/>
  <c r="FN265" i="17"/>
  <c r="GI254" i="17"/>
  <c r="FN249" i="17"/>
  <c r="GI226" i="17"/>
  <c r="FN205" i="17"/>
  <c r="GI194" i="17"/>
  <c r="FN188" i="17"/>
  <c r="FN146" i="17"/>
  <c r="FN130" i="17"/>
  <c r="FN114" i="17"/>
  <c r="FN96" i="17"/>
  <c r="FN38" i="17"/>
  <c r="GB2" i="17"/>
  <c r="FN295" i="17"/>
  <c r="FN277" i="17"/>
  <c r="GA275" i="17"/>
  <c r="FN262" i="17"/>
  <c r="GD237" i="17"/>
  <c r="GL105" i="17"/>
  <c r="FT105" i="17"/>
  <c r="FT178" i="17"/>
  <c r="GK84" i="17"/>
  <c r="GP83" i="17"/>
  <c r="GC311" i="17"/>
  <c r="GP71" i="17"/>
  <c r="GL239" i="17"/>
  <c r="FT239" i="17"/>
  <c r="AT215" i="17"/>
  <c r="AK215" i="17"/>
  <c r="AU215" i="17"/>
  <c r="AK231" i="17"/>
  <c r="AQ231" i="17"/>
  <c r="AR4" i="17"/>
  <c r="AK4" i="17"/>
  <c r="AN4" i="17"/>
  <c r="AO4" i="17"/>
  <c r="AM4" i="17"/>
  <c r="AL4" i="17"/>
  <c r="AQ4" i="17"/>
  <c r="FS3" i="17"/>
  <c r="GH3" i="17"/>
  <c r="GJ3" i="17"/>
  <c r="AS295" i="17"/>
  <c r="GQ295" i="17" s="1"/>
  <c r="HN295" i="17" s="1"/>
  <c r="IP295" i="17" s="1"/>
  <c r="AL295" i="17"/>
  <c r="AM295" i="17"/>
  <c r="AQ295" i="17"/>
  <c r="AU295" i="17"/>
  <c r="AR295" i="17"/>
  <c r="AO295" i="17"/>
  <c r="AP295" i="17"/>
  <c r="AT295" i="17"/>
  <c r="AK295" i="17"/>
  <c r="AN295" i="17"/>
  <c r="AT202" i="17"/>
  <c r="AU202" i="17"/>
  <c r="AP202" i="17"/>
  <c r="AQ202" i="17"/>
  <c r="AR202" i="17"/>
  <c r="AS202" i="17"/>
  <c r="GQ202" i="17" s="1"/>
  <c r="AK202" i="17"/>
  <c r="AL202" i="17"/>
  <c r="AN202" i="17"/>
  <c r="AO202" i="17"/>
  <c r="AM202" i="17"/>
  <c r="AS127" i="17"/>
  <c r="GQ127" i="17" s="1"/>
  <c r="HI127" i="17" s="1"/>
  <c r="IK127" i="17" s="1"/>
  <c r="AT127" i="17"/>
  <c r="AQ127" i="17"/>
  <c r="AR127" i="17"/>
  <c r="AU127" i="17"/>
  <c r="AL127" i="17"/>
  <c r="AM127" i="17"/>
  <c r="AN127" i="17"/>
  <c r="AO127" i="17"/>
  <c r="AN38" i="17"/>
  <c r="AO38" i="17"/>
  <c r="AS38" i="17"/>
  <c r="GQ38" i="17" s="1"/>
  <c r="AT38" i="17"/>
  <c r="AP38" i="17"/>
  <c r="AQ38" i="17"/>
  <c r="AR38" i="17"/>
  <c r="AL38" i="17"/>
  <c r="AM38" i="17"/>
  <c r="AU38" i="17"/>
  <c r="AK38" i="17"/>
  <c r="GK90" i="17"/>
  <c r="GI90" i="17"/>
  <c r="GJ90" i="17"/>
  <c r="FO314" i="17"/>
  <c r="GP314" i="17"/>
  <c r="GK312" i="17"/>
  <c r="GJ312" i="17"/>
  <c r="FS312" i="17"/>
  <c r="FR312" i="17"/>
  <c r="GB243" i="17"/>
  <c r="FZ243" i="17"/>
  <c r="FX243" i="17"/>
  <c r="AR292" i="17"/>
  <c r="AS292" i="17"/>
  <c r="GQ292" i="17" s="1"/>
  <c r="AQ292" i="17"/>
  <c r="AU292" i="17"/>
  <c r="AL292" i="17"/>
  <c r="AO292" i="17"/>
  <c r="AM292" i="17"/>
  <c r="AN292" i="17"/>
  <c r="AK292" i="17"/>
  <c r="AP292" i="17"/>
  <c r="AT292" i="17"/>
  <c r="AK201" i="17"/>
  <c r="AP201" i="17"/>
  <c r="AQ201" i="17"/>
  <c r="AO201" i="17"/>
  <c r="AR201" i="17"/>
  <c r="AS201" i="17"/>
  <c r="GQ201" i="17" s="1"/>
  <c r="AL201" i="17"/>
  <c r="AM201" i="17"/>
  <c r="AN201" i="17"/>
  <c r="AT201" i="17"/>
  <c r="AU201" i="17"/>
  <c r="AR110" i="17"/>
  <c r="AS110" i="17"/>
  <c r="GQ110" i="17" s="1"/>
  <c r="HF110" i="17" s="1"/>
  <c r="IH110" i="17" s="1"/>
  <c r="AN110" i="17"/>
  <c r="AO110" i="17"/>
  <c r="AP110" i="17"/>
  <c r="AQ110" i="17"/>
  <c r="AT110" i="17"/>
  <c r="AM110" i="17"/>
  <c r="AU110" i="17"/>
  <c r="AK110" i="17"/>
  <c r="AL110" i="17"/>
  <c r="FO219" i="17"/>
  <c r="GF219" i="17"/>
  <c r="GE219" i="17"/>
  <c r="GD219" i="17"/>
  <c r="GG219" i="17"/>
  <c r="GN187" i="17"/>
  <c r="AT92" i="17"/>
  <c r="AS262" i="17"/>
  <c r="GQ262" i="17" s="1"/>
  <c r="AQ288" i="17"/>
  <c r="AU288" i="17"/>
  <c r="AO272" i="17"/>
  <c r="AM272" i="17"/>
  <c r="AR272" i="17"/>
  <c r="AN272" i="17"/>
  <c r="AM213" i="17"/>
  <c r="AT213" i="17"/>
  <c r="AK180" i="17"/>
  <c r="AM180" i="17"/>
  <c r="AN180" i="17"/>
  <c r="AS104" i="17"/>
  <c r="GQ104" i="17" s="1"/>
  <c r="HK104" i="17" s="1"/>
  <c r="IM104" i="17" s="1"/>
  <c r="AR104" i="17"/>
  <c r="AQ104" i="17"/>
  <c r="AL49" i="17"/>
  <c r="AM49" i="17"/>
  <c r="AR33" i="17"/>
  <c r="AU33" i="17"/>
  <c r="AP33" i="17"/>
  <c r="AQ33" i="17"/>
  <c r="AK17" i="17"/>
  <c r="AN17" i="17"/>
  <c r="AU17" i="17"/>
  <c r="AM17" i="17"/>
  <c r="AL17" i="17"/>
  <c r="GN331" i="17"/>
  <c r="FP331" i="17"/>
  <c r="GF294" i="17"/>
  <c r="GG294" i="17"/>
  <c r="FO294" i="17"/>
  <c r="GB293" i="17"/>
  <c r="FZ293" i="17"/>
  <c r="GK330" i="17"/>
  <c r="GH330" i="17"/>
  <c r="GI330" i="17"/>
  <c r="FQ329" i="17"/>
  <c r="FN326" i="17"/>
  <c r="GO326" i="17"/>
  <c r="FZ322" i="17"/>
  <c r="GB322" i="17"/>
  <c r="GO317" i="17"/>
  <c r="GN317" i="17"/>
  <c r="FP317" i="17"/>
  <c r="GG316" i="17"/>
  <c r="GD316" i="17"/>
  <c r="GE316" i="17"/>
  <c r="FO316" i="17"/>
  <c r="GF316" i="17"/>
  <c r="GB315" i="17"/>
  <c r="FX315" i="17"/>
  <c r="GI315" i="17"/>
  <c r="FZ315" i="17"/>
  <c r="GH303" i="17"/>
  <c r="FS303" i="17"/>
  <c r="FR303" i="17"/>
  <c r="GI303" i="17"/>
  <c r="GK303" i="17"/>
  <c r="FP302" i="17"/>
  <c r="FQ302" i="17"/>
  <c r="FN299" i="17"/>
  <c r="GO299" i="17"/>
  <c r="GC296" i="17"/>
  <c r="FU292" i="17"/>
  <c r="GN289" i="17"/>
  <c r="GG289" i="17"/>
  <c r="GO289" i="17"/>
  <c r="GD288" i="17"/>
  <c r="GE288" i="17"/>
  <c r="FO288" i="17"/>
  <c r="GF288" i="17"/>
  <c r="GI287" i="17"/>
  <c r="GB287" i="17"/>
  <c r="FX287" i="17"/>
  <c r="FZ287" i="17"/>
  <c r="FS286" i="17"/>
  <c r="GJ286" i="17"/>
  <c r="GK286" i="17"/>
  <c r="GH286" i="17"/>
  <c r="FQ285" i="17"/>
  <c r="FP285" i="17"/>
  <c r="GM285" i="17"/>
  <c r="GO282" i="17"/>
  <c r="FN282" i="17"/>
  <c r="GL281" i="17"/>
  <c r="FV281" i="17"/>
  <c r="FZ278" i="17"/>
  <c r="GB278" i="17"/>
  <c r="FX278" i="17"/>
  <c r="GC278" i="17"/>
  <c r="FU276" i="17"/>
  <c r="FT275" i="17"/>
  <c r="GN273" i="17"/>
  <c r="GG273" i="17"/>
  <c r="GO273" i="17"/>
  <c r="FP273" i="17"/>
  <c r="GF272" i="17"/>
  <c r="GG272" i="17"/>
  <c r="GD272" i="17"/>
  <c r="FO272" i="17"/>
  <c r="FZ271" i="17"/>
  <c r="GB271" i="17"/>
  <c r="FX271" i="17"/>
  <c r="GH270" i="17"/>
  <c r="GJ270" i="17"/>
  <c r="FQ269" i="17"/>
  <c r="FP269" i="17"/>
  <c r="FN267" i="17"/>
  <c r="GO267" i="17"/>
  <c r="FW266" i="17"/>
  <c r="GC263" i="17"/>
  <c r="FY262" i="17"/>
  <c r="FU261" i="17"/>
  <c r="GE260" i="17"/>
  <c r="GN258" i="17"/>
  <c r="GI255" i="17"/>
  <c r="GK255" i="17"/>
  <c r="FP254" i="17"/>
  <c r="GM254" i="17"/>
  <c r="FQ254" i="17"/>
  <c r="GP251" i="17"/>
  <c r="FN251" i="17"/>
  <c r="FO251" i="17"/>
  <c r="GO251" i="17"/>
  <c r="GL250" i="17"/>
  <c r="GC247" i="17"/>
  <c r="FY246" i="17"/>
  <c r="FU233" i="17"/>
  <c r="GN230" i="17"/>
  <c r="GG230" i="17"/>
  <c r="FP230" i="17"/>
  <c r="GF229" i="17"/>
  <c r="GG229" i="17"/>
  <c r="GD229" i="17"/>
  <c r="FO229" i="17"/>
  <c r="GI228" i="17"/>
  <c r="FX228" i="17"/>
  <c r="FZ228" i="17"/>
  <c r="GB228" i="17"/>
  <c r="GK227" i="17"/>
  <c r="GH227" i="17"/>
  <c r="GI227" i="17"/>
  <c r="FP226" i="17"/>
  <c r="FQ226" i="17"/>
  <c r="FN223" i="17"/>
  <c r="GO223" i="17"/>
  <c r="GL222" i="17"/>
  <c r="FX219" i="17"/>
  <c r="GC219" i="17"/>
  <c r="FU217" i="17"/>
  <c r="GN214" i="17"/>
  <c r="GG214" i="17"/>
  <c r="GF213" i="17"/>
  <c r="GD213" i="17"/>
  <c r="FO213" i="17"/>
  <c r="GG213" i="17"/>
  <c r="GI212" i="17"/>
  <c r="FZ212" i="17"/>
  <c r="GB212" i="17"/>
  <c r="FX212" i="17"/>
  <c r="GH211" i="17"/>
  <c r="FS211" i="17"/>
  <c r="GK211" i="17"/>
  <c r="GI211" i="17"/>
  <c r="FP210" i="17"/>
  <c r="GM210" i="17"/>
  <c r="FN207" i="17"/>
  <c r="FV206" i="17"/>
  <c r="GL206" i="17"/>
  <c r="FW206" i="17"/>
  <c r="GC203" i="17"/>
  <c r="FU201" i="17"/>
  <c r="GN198" i="17"/>
  <c r="GG198" i="17"/>
  <c r="GD197" i="17"/>
  <c r="FO197" i="17"/>
  <c r="GG197" i="17"/>
  <c r="GF197" i="17"/>
  <c r="FX196" i="17"/>
  <c r="FZ196" i="17"/>
  <c r="GB196" i="17"/>
  <c r="GI196" i="17"/>
  <c r="GI195" i="17"/>
  <c r="GH195" i="17"/>
  <c r="GK195" i="17"/>
  <c r="GM194" i="17"/>
  <c r="FQ194" i="17"/>
  <c r="FP194" i="17"/>
  <c r="FN191" i="17"/>
  <c r="GO191" i="17"/>
  <c r="GL190" i="17"/>
  <c r="FX186" i="17"/>
  <c r="GB186" i="17"/>
  <c r="FZ186" i="17"/>
  <c r="GC186" i="17"/>
  <c r="FY185" i="17"/>
  <c r="FU184" i="17"/>
  <c r="FT183" i="17"/>
  <c r="GO181" i="17"/>
  <c r="FP181" i="17"/>
  <c r="GG181" i="17"/>
  <c r="FO180" i="17"/>
  <c r="GF180" i="17"/>
  <c r="GB169" i="17"/>
  <c r="FZ169" i="17"/>
  <c r="FX169" i="17"/>
  <c r="GK168" i="17"/>
  <c r="FQ167" i="17"/>
  <c r="FP167" i="17"/>
  <c r="FN164" i="17"/>
  <c r="GO164" i="17"/>
  <c r="GL163" i="17"/>
  <c r="GP161" i="17"/>
  <c r="FX160" i="17"/>
  <c r="FZ160" i="17"/>
  <c r="FY159" i="17"/>
  <c r="FU158" i="17"/>
  <c r="GO155" i="17"/>
  <c r="FP155" i="17"/>
  <c r="GN155" i="17"/>
  <c r="GF154" i="17"/>
  <c r="GG154" i="17"/>
  <c r="GD154" i="17"/>
  <c r="GB153" i="17"/>
  <c r="FX153" i="17"/>
  <c r="GI153" i="17"/>
  <c r="FZ153" i="17"/>
  <c r="GI152" i="17"/>
  <c r="FS152" i="17"/>
  <c r="GJ152" i="17"/>
  <c r="GK152" i="17"/>
  <c r="GM151" i="17"/>
  <c r="FQ151" i="17"/>
  <c r="FP151" i="17"/>
  <c r="FN148" i="17"/>
  <c r="GO148" i="17"/>
  <c r="GL147" i="17"/>
  <c r="FW147" i="17"/>
  <c r="FX144" i="17"/>
  <c r="FZ144" i="17"/>
  <c r="FU142" i="17"/>
  <c r="GG139" i="17"/>
  <c r="GN139" i="17"/>
  <c r="FP139" i="17"/>
  <c r="FZ138" i="17"/>
  <c r="FX138" i="17"/>
  <c r="FO138" i="17"/>
  <c r="GF138" i="17"/>
  <c r="GG138" i="17"/>
  <c r="FX137" i="17"/>
  <c r="FZ137" i="17"/>
  <c r="GB137" i="17"/>
  <c r="GI137" i="17"/>
  <c r="GH136" i="17"/>
  <c r="GJ136" i="17"/>
  <c r="GK136" i="17"/>
  <c r="FS136" i="17"/>
  <c r="GI136" i="17"/>
  <c r="FP135" i="17"/>
  <c r="FQ135" i="17"/>
  <c r="FN132" i="17"/>
  <c r="FO132" i="17"/>
  <c r="GL131" i="17"/>
  <c r="GC128" i="17"/>
  <c r="FU126" i="17"/>
  <c r="GN123" i="17"/>
  <c r="GF122" i="17"/>
  <c r="FO122" i="17"/>
  <c r="GD122" i="17"/>
  <c r="GG122" i="17"/>
  <c r="GE122" i="17"/>
  <c r="GI121" i="17"/>
  <c r="GB121" i="17"/>
  <c r="FZ121" i="17"/>
  <c r="FX121" i="17"/>
  <c r="GI120" i="17"/>
  <c r="GK120" i="17"/>
  <c r="GH120" i="17"/>
  <c r="FQ119" i="17"/>
  <c r="FP119" i="17"/>
  <c r="GO116" i="17"/>
  <c r="FN116" i="17"/>
  <c r="FZ112" i="17"/>
  <c r="GC112" i="17"/>
  <c r="FY111" i="17"/>
  <c r="GG107" i="17"/>
  <c r="GN107" i="17"/>
  <c r="GO107" i="17"/>
  <c r="GG104" i="17"/>
  <c r="FO104" i="17"/>
  <c r="GE104" i="17"/>
  <c r="GF104" i="17"/>
  <c r="GD104" i="17"/>
  <c r="FX103" i="17"/>
  <c r="FZ103" i="17"/>
  <c r="GB103" i="17"/>
  <c r="GK102" i="17"/>
  <c r="GH102" i="17"/>
  <c r="FP101" i="17"/>
  <c r="FQ101" i="17"/>
  <c r="GM101" i="17"/>
  <c r="FN98" i="17"/>
  <c r="GO98" i="17"/>
  <c r="FX94" i="17"/>
  <c r="GC94" i="17"/>
  <c r="FU92" i="17"/>
  <c r="FP66" i="17"/>
  <c r="GG66" i="17"/>
  <c r="GN66" i="17"/>
  <c r="FX65" i="17"/>
  <c r="FZ65" i="17"/>
  <c r="GE65" i="17"/>
  <c r="FO65" i="17"/>
  <c r="GD65" i="17"/>
  <c r="GG65" i="17"/>
  <c r="GF65" i="17"/>
  <c r="FX64" i="17"/>
  <c r="GB64" i="17"/>
  <c r="FZ64" i="17"/>
  <c r="GI63" i="17"/>
  <c r="GH63" i="17"/>
  <c r="GK63" i="17"/>
  <c r="GJ63" i="17"/>
  <c r="FP62" i="17"/>
  <c r="FQ62" i="17"/>
  <c r="FN59" i="17"/>
  <c r="GL58" i="17"/>
  <c r="GC55" i="17"/>
  <c r="FU53" i="17"/>
  <c r="FP50" i="17"/>
  <c r="GN50" i="17"/>
  <c r="FX48" i="17"/>
  <c r="GB48" i="17"/>
  <c r="GJ47" i="17"/>
  <c r="GH47" i="17"/>
  <c r="FS47" i="17"/>
  <c r="GK47" i="17"/>
  <c r="FQ46" i="17"/>
  <c r="FP46" i="17"/>
  <c r="GO40" i="17"/>
  <c r="FN40" i="17"/>
  <c r="GL39" i="17"/>
  <c r="GC36" i="17"/>
  <c r="FU34" i="17"/>
  <c r="FT33" i="17"/>
  <c r="GC33" i="17"/>
  <c r="FZ26" i="17"/>
  <c r="GB26" i="17"/>
  <c r="GJ25" i="17"/>
  <c r="GK25" i="17"/>
  <c r="GI25" i="17"/>
  <c r="FQ24" i="17"/>
  <c r="FN21" i="17"/>
  <c r="GP18" i="17"/>
  <c r="GF18" i="17"/>
  <c r="FX17" i="17"/>
  <c r="GA16" i="17"/>
  <c r="FP12" i="17"/>
  <c r="GG12" i="17"/>
  <c r="GO12" i="17"/>
  <c r="GF11" i="17"/>
  <c r="GG11" i="17"/>
  <c r="FX10" i="17"/>
  <c r="GI10" i="17"/>
  <c r="FZ10" i="17"/>
  <c r="GB10" i="17"/>
  <c r="GI9" i="17"/>
  <c r="GJ9" i="17"/>
  <c r="FR9" i="17"/>
  <c r="GH9" i="17"/>
  <c r="FQ8" i="17"/>
  <c r="FP8" i="17"/>
  <c r="FN5" i="17"/>
  <c r="GO5" i="17"/>
  <c r="GL4" i="17"/>
  <c r="FW4" i="17"/>
  <c r="AM234" i="17"/>
  <c r="HN319" i="17"/>
  <c r="IP319" i="17" s="1"/>
  <c r="GW319" i="17"/>
  <c r="HY319" i="17" s="1"/>
  <c r="HR319" i="17"/>
  <c r="IT319" i="17" s="1"/>
  <c r="GX319" i="17"/>
  <c r="HZ319" i="17" s="1"/>
  <c r="GS319" i="17"/>
  <c r="HU319" i="17" s="1"/>
  <c r="HK319" i="17"/>
  <c r="IM319" i="17" s="1"/>
  <c r="HE319" i="17"/>
  <c r="IG319" i="17" s="1"/>
  <c r="HI319" i="17"/>
  <c r="IK319" i="17" s="1"/>
  <c r="HA319" i="17"/>
  <c r="IC319" i="17" s="1"/>
  <c r="HP319" i="17"/>
  <c r="IR319" i="17" s="1"/>
  <c r="HM319" i="17"/>
  <c r="IO319" i="17" s="1"/>
  <c r="HH319" i="17"/>
  <c r="IJ319" i="17" s="1"/>
  <c r="GT319" i="17"/>
  <c r="HV319" i="17" s="1"/>
  <c r="HD319" i="17"/>
  <c r="IF319" i="17" s="1"/>
  <c r="HC319" i="17"/>
  <c r="IE319" i="17" s="1"/>
  <c r="HQ319" i="17"/>
  <c r="IS319" i="17" s="1"/>
  <c r="GY319" i="17"/>
  <c r="IA319" i="17" s="1"/>
  <c r="HB319" i="17"/>
  <c r="ID319" i="17" s="1"/>
  <c r="HL319" i="17"/>
  <c r="IN319" i="17" s="1"/>
  <c r="HO319" i="17"/>
  <c r="IQ319" i="17" s="1"/>
  <c r="AL321" i="17"/>
  <c r="AM321" i="17"/>
  <c r="AU321" i="17"/>
  <c r="AK321" i="17"/>
  <c r="AN321" i="17"/>
  <c r="AO321" i="17"/>
  <c r="AP321" i="17"/>
  <c r="AS321" i="17"/>
  <c r="GQ321" i="17" s="1"/>
  <c r="AR321" i="17"/>
  <c r="AT321" i="17"/>
  <c r="AQ321" i="17"/>
  <c r="AR246" i="17"/>
  <c r="AU246" i="17"/>
  <c r="AL246" i="17"/>
  <c r="AO246" i="17"/>
  <c r="AP246" i="17"/>
  <c r="AS246" i="17"/>
  <c r="GQ246" i="17" s="1"/>
  <c r="AK246" i="17"/>
  <c r="AQ246" i="17"/>
  <c r="AM246" i="17"/>
  <c r="AN246" i="17"/>
  <c r="AM159" i="17"/>
  <c r="AN159" i="17"/>
  <c r="AP159" i="17"/>
  <c r="AS159" i="17"/>
  <c r="GQ159" i="17" s="1"/>
  <c r="AT159" i="17"/>
  <c r="AK159" i="17"/>
  <c r="AU159" i="17"/>
  <c r="AQ159" i="17"/>
  <c r="AL159" i="17"/>
  <c r="AO159" i="17"/>
  <c r="AM93" i="17"/>
  <c r="AN93" i="17"/>
  <c r="AS93" i="17"/>
  <c r="GQ93" i="17" s="1"/>
  <c r="AT93" i="17"/>
  <c r="AL93" i="17"/>
  <c r="AO93" i="17"/>
  <c r="AP93" i="17"/>
  <c r="AQ93" i="17"/>
  <c r="AR93" i="17"/>
  <c r="AU93" i="17"/>
  <c r="AO6" i="17"/>
  <c r="AP6" i="17"/>
  <c r="AU6" i="17"/>
  <c r="AR6" i="17"/>
  <c r="AT6" i="17"/>
  <c r="AS6" i="17"/>
  <c r="GQ6" i="17" s="1"/>
  <c r="AK6" i="17"/>
  <c r="AL6" i="17"/>
  <c r="FO89" i="17"/>
  <c r="GP89" i="17"/>
  <c r="GP105" i="17"/>
  <c r="FO105" i="17"/>
  <c r="FR240" i="17"/>
  <c r="GK240" i="17"/>
  <c r="AM244" i="17"/>
  <c r="AR244" i="17"/>
  <c r="AO244" i="17"/>
  <c r="AP244" i="17"/>
  <c r="AL244" i="17"/>
  <c r="AU244" i="17"/>
  <c r="AQ244" i="17"/>
  <c r="AN244" i="17"/>
  <c r="AT244" i="17"/>
  <c r="AS244" i="17"/>
  <c r="GQ244" i="17" s="1"/>
  <c r="HK244" i="17" s="1"/>
  <c r="IM244" i="17" s="1"/>
  <c r="GF2" i="17"/>
  <c r="GG2" i="17"/>
  <c r="FO2" i="17"/>
  <c r="AN261" i="17"/>
  <c r="AO261" i="17"/>
  <c r="AP261" i="17"/>
  <c r="AQ261" i="17"/>
  <c r="AR261" i="17"/>
  <c r="AS261" i="17"/>
  <c r="GQ261" i="17" s="1"/>
  <c r="HE261" i="17" s="1"/>
  <c r="IG261" i="17" s="1"/>
  <c r="AM261" i="17"/>
  <c r="AL261" i="17"/>
  <c r="AK261" i="17"/>
  <c r="AU261" i="17"/>
  <c r="AO184" i="17"/>
  <c r="AP184" i="17"/>
  <c r="AK184" i="17"/>
  <c r="AL184" i="17"/>
  <c r="AM184" i="17"/>
  <c r="AR184" i="17"/>
  <c r="AS184" i="17"/>
  <c r="GQ184" i="17" s="1"/>
  <c r="HD184" i="17" s="1"/>
  <c r="IF184" i="17" s="1"/>
  <c r="AT184" i="17"/>
  <c r="AU184" i="17"/>
  <c r="AN184" i="17"/>
  <c r="AQ184" i="17"/>
  <c r="AM126" i="17"/>
  <c r="AN126" i="17"/>
  <c r="AL126" i="17"/>
  <c r="AO126" i="17"/>
  <c r="AP126" i="17"/>
  <c r="AT126" i="17"/>
  <c r="AR126" i="17"/>
  <c r="AS126" i="17"/>
  <c r="GQ126" i="17" s="1"/>
  <c r="AL235" i="17"/>
  <c r="AN235" i="17"/>
  <c r="AO235" i="17"/>
  <c r="AP235" i="17"/>
  <c r="AT235" i="17"/>
  <c r="AU235" i="17"/>
  <c r="AP5" i="17"/>
  <c r="AQ108" i="17"/>
  <c r="AU108" i="17"/>
  <c r="AO108" i="17"/>
  <c r="AP108" i="17"/>
  <c r="AR19" i="17"/>
  <c r="AT19" i="17"/>
  <c r="GL293" i="17"/>
  <c r="FV293" i="17"/>
  <c r="GM325" i="17"/>
  <c r="GE325" i="17"/>
  <c r="FT325" i="17"/>
  <c r="GN323" i="17"/>
  <c r="FR323" i="17"/>
  <c r="FP323" i="17"/>
  <c r="GB321" i="17"/>
  <c r="FZ321" i="17"/>
  <c r="FV321" i="17"/>
  <c r="FN316" i="17"/>
  <c r="GP316" i="17"/>
  <c r="GO316" i="17"/>
  <c r="GD296" i="17"/>
  <c r="GF296" i="17"/>
  <c r="FO296" i="17"/>
  <c r="GG296" i="17"/>
  <c r="GE296" i="17"/>
  <c r="FN288" i="17"/>
  <c r="GP288" i="17"/>
  <c r="GA283" i="17"/>
  <c r="FY283" i="17"/>
  <c r="GN279" i="17"/>
  <c r="FR279" i="17"/>
  <c r="FX277" i="17"/>
  <c r="FZ277" i="17"/>
  <c r="GB277" i="17"/>
  <c r="GM275" i="17"/>
  <c r="FQ275" i="17"/>
  <c r="FU267" i="17"/>
  <c r="FS267" i="17"/>
  <c r="FV262" i="17"/>
  <c r="GB262" i="17"/>
  <c r="FZ262" i="17"/>
  <c r="GI262" i="17"/>
  <c r="FX262" i="17"/>
  <c r="FV256" i="17"/>
  <c r="GL256" i="17"/>
  <c r="FW256" i="17"/>
  <c r="GM250" i="17"/>
  <c r="GE250" i="17"/>
  <c r="FT250" i="17"/>
  <c r="FO247" i="17"/>
  <c r="GF247" i="17"/>
  <c r="GE247" i="17"/>
  <c r="GK233" i="17"/>
  <c r="GJ233" i="17"/>
  <c r="GH233" i="17"/>
  <c r="FR233" i="17"/>
  <c r="FS233" i="17"/>
  <c r="GI233" i="17"/>
  <c r="FQ232" i="17"/>
  <c r="FP232" i="17"/>
  <c r="FU191" i="17"/>
  <c r="FS191" i="17"/>
  <c r="GE186" i="17"/>
  <c r="GD186" i="17"/>
  <c r="GG186" i="17"/>
  <c r="FS184" i="17"/>
  <c r="GK184" i="17"/>
  <c r="GH184" i="17"/>
  <c r="GI184" i="17"/>
  <c r="GJ184" i="17"/>
  <c r="GM183" i="17"/>
  <c r="FP183" i="17"/>
  <c r="FN180" i="17"/>
  <c r="GO180" i="17"/>
  <c r="GP180" i="17"/>
  <c r="FT166" i="17"/>
  <c r="GC166" i="17"/>
  <c r="FU164" i="17"/>
  <c r="FS164" i="17"/>
  <c r="GG160" i="17"/>
  <c r="GD160" i="17"/>
  <c r="FO160" i="17"/>
  <c r="GE160" i="17"/>
  <c r="FR158" i="17"/>
  <c r="GH158" i="17"/>
  <c r="GM157" i="17"/>
  <c r="FQ157" i="17"/>
  <c r="FP157" i="17"/>
  <c r="GL153" i="17"/>
  <c r="FV153" i="17"/>
  <c r="FW153" i="17"/>
  <c r="GD144" i="17"/>
  <c r="GE144" i="17"/>
  <c r="FS142" i="17"/>
  <c r="GK142" i="17"/>
  <c r="FR142" i="17"/>
  <c r="GH142" i="17"/>
  <c r="GI142" i="17"/>
  <c r="GA136" i="17"/>
  <c r="FY136" i="17"/>
  <c r="GA133" i="17"/>
  <c r="FY133" i="17"/>
  <c r="GE131" i="17"/>
  <c r="GM131" i="17"/>
  <c r="FT131" i="17"/>
  <c r="FV127" i="17"/>
  <c r="GB127" i="17"/>
  <c r="FZ127" i="17"/>
  <c r="FX127" i="17"/>
  <c r="FW121" i="17"/>
  <c r="GL121" i="17"/>
  <c r="FV121" i="17"/>
  <c r="FY117" i="17"/>
  <c r="GA117" i="17"/>
  <c r="FV103" i="17"/>
  <c r="GL103" i="17"/>
  <c r="FW103" i="17"/>
  <c r="FR95" i="17"/>
  <c r="GN95" i="17"/>
  <c r="GB93" i="17"/>
  <c r="FZ93" i="17"/>
  <c r="FV93" i="17"/>
  <c r="FS53" i="17"/>
  <c r="GH53" i="17"/>
  <c r="FR53" i="17"/>
  <c r="GO49" i="17"/>
  <c r="FN49" i="17"/>
  <c r="GP49" i="17"/>
  <c r="FY44" i="17"/>
  <c r="GA44" i="17"/>
  <c r="GB42" i="17"/>
  <c r="FX42" i="17"/>
  <c r="FZ42" i="17"/>
  <c r="GE39" i="17"/>
  <c r="GM39" i="17"/>
  <c r="FT39" i="17"/>
  <c r="GN37" i="17"/>
  <c r="FR37" i="17"/>
  <c r="GG37" i="17"/>
  <c r="GO37" i="17"/>
  <c r="FZ35" i="17"/>
  <c r="GI35" i="17"/>
  <c r="GB35" i="17"/>
  <c r="FV35" i="17"/>
  <c r="FS34" i="17"/>
  <c r="GI34" i="17"/>
  <c r="GH34" i="17"/>
  <c r="GJ34" i="17"/>
  <c r="GK34" i="17"/>
  <c r="FV32" i="17"/>
  <c r="GB32" i="17"/>
  <c r="FZ32" i="17"/>
  <c r="GJ31" i="17"/>
  <c r="GK31" i="17"/>
  <c r="FQ29" i="17"/>
  <c r="FP29" i="17"/>
  <c r="FN27" i="17"/>
  <c r="GO27" i="17"/>
  <c r="GP27" i="17"/>
  <c r="GA25" i="17"/>
  <c r="FY25" i="17"/>
  <c r="FX23" i="17"/>
  <c r="GB23" i="17"/>
  <c r="GE17" i="17"/>
  <c r="GF17" i="17"/>
  <c r="GG17" i="17"/>
  <c r="FO17" i="17"/>
  <c r="FS15" i="17"/>
  <c r="GH15" i="17"/>
  <c r="FP14" i="17"/>
  <c r="FQ14" i="17"/>
  <c r="GM14" i="17"/>
  <c r="FN11" i="17"/>
  <c r="GP11" i="17"/>
  <c r="FY9" i="17"/>
  <c r="GA9" i="17"/>
  <c r="GM4" i="17"/>
  <c r="GE4" i="17"/>
  <c r="AR5" i="17"/>
  <c r="GD125" i="17"/>
  <c r="AR289" i="17"/>
  <c r="AS289" i="17"/>
  <c r="GQ289" i="17" s="1"/>
  <c r="HP289" i="17" s="1"/>
  <c r="IR289" i="17" s="1"/>
  <c r="AL289" i="17"/>
  <c r="AO230" i="17"/>
  <c r="AT230" i="17"/>
  <c r="AT181" i="17"/>
  <c r="AR181" i="17"/>
  <c r="AS181" i="17"/>
  <c r="GQ181" i="17" s="1"/>
  <c r="AL181" i="17"/>
  <c r="AK123" i="17"/>
  <c r="AL123" i="17"/>
  <c r="AM123" i="17"/>
  <c r="AO123" i="17"/>
  <c r="AP123" i="17"/>
  <c r="AN123" i="17"/>
  <c r="AL50" i="17"/>
  <c r="AN50" i="17"/>
  <c r="GE333" i="17"/>
  <c r="GG333" i="17"/>
  <c r="GM322" i="17"/>
  <c r="FT322" i="17"/>
  <c r="GN320" i="17"/>
  <c r="GG320" i="17"/>
  <c r="FZ318" i="17"/>
  <c r="FV318" i="17"/>
  <c r="GI318" i="17"/>
  <c r="FY298" i="17"/>
  <c r="GA298" i="17"/>
  <c r="FS279" i="17"/>
  <c r="FU279" i="17"/>
  <c r="FN269" i="17"/>
  <c r="GO269" i="17"/>
  <c r="FP257" i="17"/>
  <c r="FQ257" i="17"/>
  <c r="FN254" i="17"/>
  <c r="GO254" i="17"/>
  <c r="FZ250" i="17"/>
  <c r="FX250" i="17"/>
  <c r="GA249" i="17"/>
  <c r="FY249" i="17"/>
  <c r="GF232" i="17"/>
  <c r="FO232" i="17"/>
  <c r="GE232" i="17"/>
  <c r="GD232" i="17"/>
  <c r="GI230" i="17"/>
  <c r="GK230" i="17"/>
  <c r="FR230" i="17"/>
  <c r="GH230" i="17"/>
  <c r="GL225" i="17"/>
  <c r="FW225" i="17"/>
  <c r="FX222" i="17"/>
  <c r="FZ222" i="17"/>
  <c r="FS220" i="17"/>
  <c r="FU220" i="17"/>
  <c r="FP217" i="17"/>
  <c r="GN217" i="17"/>
  <c r="FN210" i="17"/>
  <c r="GO210" i="17"/>
  <c r="GB206" i="17"/>
  <c r="FZ206" i="17"/>
  <c r="FX206" i="17"/>
  <c r="FT203" i="17"/>
  <c r="GM203" i="17"/>
  <c r="GN201" i="17"/>
  <c r="GG201" i="17"/>
  <c r="FZ199" i="17"/>
  <c r="GB199" i="17"/>
  <c r="FV199" i="17"/>
  <c r="GH198" i="17"/>
  <c r="FR198" i="17"/>
  <c r="GJ198" i="17"/>
  <c r="GI198" i="17"/>
  <c r="FN194" i="17"/>
  <c r="GO194" i="17"/>
  <c r="FX190" i="17"/>
  <c r="FZ190" i="17"/>
  <c r="FU187" i="17"/>
  <c r="GF183" i="17"/>
  <c r="GD183" i="17"/>
  <c r="GE183" i="17"/>
  <c r="GG183" i="17"/>
  <c r="FO183" i="17"/>
  <c r="FN167" i="17"/>
  <c r="GO167" i="17"/>
  <c r="GC163" i="17"/>
  <c r="GN158" i="17"/>
  <c r="GG158" i="17"/>
  <c r="FZ156" i="17"/>
  <c r="GB156" i="17"/>
  <c r="GP148" i="17"/>
  <c r="GF148" i="17"/>
  <c r="FR139" i="17"/>
  <c r="GH139" i="17"/>
  <c r="GI139" i="17"/>
  <c r="GK139" i="17"/>
  <c r="FV134" i="17"/>
  <c r="GL134" i="17"/>
  <c r="FW134" i="17"/>
  <c r="FY130" i="17"/>
  <c r="GA130" i="17"/>
  <c r="FT128" i="17"/>
  <c r="GM128" i="17"/>
  <c r="FZ124" i="17"/>
  <c r="GI124" i="17"/>
  <c r="FV124" i="17"/>
  <c r="GB124" i="17"/>
  <c r="GC115" i="17"/>
  <c r="GM112" i="17"/>
  <c r="FT112" i="17"/>
  <c r="GG110" i="17"/>
  <c r="GO110" i="17"/>
  <c r="FP110" i="17"/>
  <c r="GN110" i="17"/>
  <c r="FV108" i="17"/>
  <c r="FZ108" i="17"/>
  <c r="GI108" i="17"/>
  <c r="GB108" i="17"/>
  <c r="FN101" i="17"/>
  <c r="GO101" i="17"/>
  <c r="GB97" i="17"/>
  <c r="FX97" i="17"/>
  <c r="GG91" i="17"/>
  <c r="FO91" i="17"/>
  <c r="GF91" i="17"/>
  <c r="GD91" i="17"/>
  <c r="GE91" i="17"/>
  <c r="GC58" i="17"/>
  <c r="FU56" i="17"/>
  <c r="FS56" i="17"/>
  <c r="GO43" i="17"/>
  <c r="FN43" i="17"/>
  <c r="GC39" i="17"/>
  <c r="FS37" i="17"/>
  <c r="FU37" i="17"/>
  <c r="FU18" i="17"/>
  <c r="FS18" i="17"/>
  <c r="AS5" i="17"/>
  <c r="GQ5" i="17" s="1"/>
  <c r="HQ5" i="17" s="1"/>
  <c r="IS5" i="17" s="1"/>
  <c r="GC23" i="17"/>
  <c r="FQ210" i="17"/>
  <c r="AU107" i="17"/>
  <c r="AP262" i="17"/>
  <c r="GP304" i="17"/>
  <c r="GF304" i="17"/>
  <c r="FX333" i="17"/>
  <c r="GC333" i="17"/>
  <c r="FU331" i="17"/>
  <c r="GN330" i="17"/>
  <c r="FZ329" i="17"/>
  <c r="FX329" i="17"/>
  <c r="FW325" i="17"/>
  <c r="FN323" i="17"/>
  <c r="FW322" i="17"/>
  <c r="GL322" i="17"/>
  <c r="FV322" i="17"/>
  <c r="GP320" i="17"/>
  <c r="GF320" i="17"/>
  <c r="FX319" i="17"/>
  <c r="FU317" i="17"/>
  <c r="GM316" i="17"/>
  <c r="GN303" i="17"/>
  <c r="GD302" i="17"/>
  <c r="GE302" i="17"/>
  <c r="FW179" i="17"/>
  <c r="GO297" i="17"/>
  <c r="FN297" i="17"/>
  <c r="FO285" i="17"/>
  <c r="FN279" i="17"/>
  <c r="FO279" i="17"/>
  <c r="FX275" i="17"/>
  <c r="GI189" i="17"/>
  <c r="FR189" i="17"/>
  <c r="FS189" i="17"/>
  <c r="FO264" i="17"/>
  <c r="FN264" i="17"/>
  <c r="GL263" i="17"/>
  <c r="GA259" i="17"/>
  <c r="FY259" i="17"/>
  <c r="FS258" i="17"/>
  <c r="FU258" i="17"/>
  <c r="FO254" i="17"/>
  <c r="GH252" i="17"/>
  <c r="GL247" i="17"/>
  <c r="GD226" i="17"/>
  <c r="GF226" i="17"/>
  <c r="GE226" i="17"/>
  <c r="GI224" i="17"/>
  <c r="FR224" i="17"/>
  <c r="FY215" i="17"/>
  <c r="GA215" i="17"/>
  <c r="FS208" i="17"/>
  <c r="GJ208" i="17"/>
  <c r="FN204" i="17"/>
  <c r="FO204" i="17"/>
  <c r="FQ204" i="17"/>
  <c r="FZ200" i="17"/>
  <c r="GN195" i="17"/>
  <c r="GO195" i="17"/>
  <c r="GG195" i="17"/>
  <c r="FP195" i="17"/>
  <c r="FY182" i="17"/>
  <c r="GA182" i="17"/>
  <c r="FP168" i="17"/>
  <c r="GO168" i="17"/>
  <c r="GD167" i="17"/>
  <c r="GE167" i="17"/>
  <c r="GG167" i="17"/>
  <c r="FR165" i="17"/>
  <c r="GN165" i="17"/>
  <c r="FN145" i="17"/>
  <c r="FO145" i="17"/>
  <c r="GB141" i="17"/>
  <c r="FZ141" i="17"/>
  <c r="FX141" i="17"/>
  <c r="FT141" i="17"/>
  <c r="GC141" i="17"/>
  <c r="GE135" i="17"/>
  <c r="FO135" i="17"/>
  <c r="GH133" i="17"/>
  <c r="GO120" i="17"/>
  <c r="FP120" i="17"/>
  <c r="FO119" i="17"/>
  <c r="FV118" i="17"/>
  <c r="GK117" i="17"/>
  <c r="GJ117" i="17"/>
  <c r="GH117" i="17"/>
  <c r="FR117" i="17"/>
  <c r="GE101" i="17"/>
  <c r="FO101" i="17"/>
  <c r="FR99" i="17"/>
  <c r="GH99" i="17"/>
  <c r="FY93" i="17"/>
  <c r="FX91" i="17"/>
  <c r="FX61" i="17"/>
  <c r="GL55" i="17"/>
  <c r="FX52" i="17"/>
  <c r="GM49" i="17"/>
  <c r="FV45" i="17"/>
  <c r="GH41" i="17"/>
  <c r="GK41" i="17"/>
  <c r="FS41" i="17"/>
  <c r="FQ40" i="17"/>
  <c r="FP40" i="17"/>
  <c r="FW39" i="17"/>
  <c r="FN37" i="17"/>
  <c r="FX29" i="17"/>
  <c r="GB29" i="17"/>
  <c r="GG25" i="17"/>
  <c r="GO25" i="17"/>
  <c r="GF24" i="17"/>
  <c r="GM21" i="17"/>
  <c r="FP21" i="17"/>
  <c r="GO18" i="17"/>
  <c r="FN18" i="17"/>
  <c r="FO18" i="17"/>
  <c r="FW17" i="17"/>
  <c r="FV17" i="17"/>
  <c r="FZ8" i="17"/>
  <c r="FX8" i="17"/>
  <c r="GG8" i="17"/>
  <c r="GD8" i="17"/>
  <c r="GE8" i="17"/>
  <c r="GJ6" i="17"/>
  <c r="GK6" i="17"/>
  <c r="GW327" i="17"/>
  <c r="HY327" i="17" s="1"/>
  <c r="HC327" i="17"/>
  <c r="IE327" i="17" s="1"/>
  <c r="HO327" i="17"/>
  <c r="IQ327" i="17" s="1"/>
  <c r="HN318" i="17"/>
  <c r="IP318" i="17" s="1"/>
  <c r="HH318" i="17"/>
  <c r="IJ318" i="17" s="1"/>
  <c r="HF318" i="17"/>
  <c r="IH318" i="17" s="1"/>
  <c r="GV318" i="17"/>
  <c r="HX318" i="17" s="1"/>
  <c r="HB318" i="17"/>
  <c r="ID318" i="17" s="1"/>
  <c r="HI318" i="17"/>
  <c r="IK318" i="17" s="1"/>
  <c r="GS318" i="17"/>
  <c r="HU318" i="17" s="1"/>
  <c r="HP318" i="17"/>
  <c r="IR318" i="17" s="1"/>
  <c r="HG318" i="17"/>
  <c r="II318" i="17" s="1"/>
  <c r="HD318" i="17"/>
  <c r="IF318" i="17" s="1"/>
  <c r="HA318" i="17"/>
  <c r="IC318" i="17" s="1"/>
  <c r="AR277" i="17"/>
  <c r="AS277" i="17"/>
  <c r="GQ277" i="17" s="1"/>
  <c r="GT277" i="17" s="1"/>
  <c r="HV277" i="17" s="1"/>
  <c r="AO277" i="17"/>
  <c r="AP277" i="17"/>
  <c r="AQ277" i="17"/>
  <c r="AT277" i="17"/>
  <c r="AN277" i="17"/>
  <c r="AU277" i="17"/>
  <c r="AK277" i="17"/>
  <c r="AL277" i="17"/>
  <c r="AM277" i="17"/>
  <c r="AP218" i="17"/>
  <c r="AU218" i="17"/>
  <c r="AK218" i="17"/>
  <c r="AM218" i="17"/>
  <c r="AT218" i="17"/>
  <c r="AL218" i="17"/>
  <c r="AN218" i="17"/>
  <c r="AO218" i="17"/>
  <c r="AS218" i="17"/>
  <c r="GQ218" i="17" s="1"/>
  <c r="GU218" i="17" s="1"/>
  <c r="HW218" i="17" s="1"/>
  <c r="AP143" i="17"/>
  <c r="AQ143" i="17"/>
  <c r="AR143" i="17"/>
  <c r="AS143" i="17"/>
  <c r="GQ143" i="17" s="1"/>
  <c r="HD143" i="17" s="1"/>
  <c r="IF143" i="17" s="1"/>
  <c r="AK143" i="17"/>
  <c r="AL143" i="17"/>
  <c r="AO143" i="17"/>
  <c r="AM143" i="17"/>
  <c r="AN143" i="17"/>
  <c r="AT143" i="17"/>
  <c r="AQ54" i="17"/>
  <c r="AR54" i="17"/>
  <c r="AU54" i="17"/>
  <c r="AK54" i="17"/>
  <c r="AL54" i="17"/>
  <c r="AM54" i="17"/>
  <c r="AN54" i="17"/>
  <c r="AO54" i="17"/>
  <c r="AS54" i="17"/>
  <c r="GQ54" i="17" s="1"/>
  <c r="AT54" i="17"/>
  <c r="AP54" i="17"/>
  <c r="GC332" i="17"/>
  <c r="FT332" i="17"/>
  <c r="GC85" i="17"/>
  <c r="FT85" i="17"/>
  <c r="AS276" i="17"/>
  <c r="GQ276" i="17" s="1"/>
  <c r="AT276" i="17"/>
  <c r="AU276" i="17"/>
  <c r="AO276" i="17"/>
  <c r="AP276" i="17"/>
  <c r="AQ276" i="17"/>
  <c r="AL276" i="17"/>
  <c r="AM276" i="17"/>
  <c r="AN276" i="17"/>
  <c r="AK276" i="17"/>
  <c r="AR276" i="17"/>
  <c r="AR233" i="17"/>
  <c r="AS233" i="17"/>
  <c r="GQ233" i="17" s="1"/>
  <c r="AN233" i="17"/>
  <c r="AU233" i="17"/>
  <c r="AQ233" i="17"/>
  <c r="AT233" i="17"/>
  <c r="AM233" i="17"/>
  <c r="AP233" i="17"/>
  <c r="AK233" i="17"/>
  <c r="AO233" i="17"/>
  <c r="AL233" i="17"/>
  <c r="AL158" i="17"/>
  <c r="AM158" i="17"/>
  <c r="AO158" i="17"/>
  <c r="AP158" i="17"/>
  <c r="AR158" i="17"/>
  <c r="AS158" i="17"/>
  <c r="GQ158" i="17" s="1"/>
  <c r="AT158" i="17"/>
  <c r="AK158" i="17"/>
  <c r="AU158" i="17"/>
  <c r="AN158" i="17"/>
  <c r="AQ158" i="17"/>
  <c r="AL92" i="17"/>
  <c r="AM92" i="17"/>
  <c r="AN92" i="17"/>
  <c r="AU92" i="17"/>
  <c r="AK92" i="17"/>
  <c r="AO92" i="17"/>
  <c r="AP92" i="17"/>
  <c r="AK235" i="17"/>
  <c r="AT261" i="17"/>
  <c r="AN234" i="17"/>
  <c r="AP234" i="17"/>
  <c r="AQ234" i="17"/>
  <c r="AT234" i="17"/>
  <c r="AO234" i="17"/>
  <c r="AU234" i="17"/>
  <c r="AU199" i="17"/>
  <c r="AK199" i="17"/>
  <c r="AO67" i="17"/>
  <c r="AN67" i="17"/>
  <c r="GM333" i="17"/>
  <c r="FP333" i="17"/>
  <c r="FQ333" i="17"/>
  <c r="GO294" i="17"/>
  <c r="FN294" i="17"/>
  <c r="GP294" i="17"/>
  <c r="GH320" i="17"/>
  <c r="GI320" i="17"/>
  <c r="GK320" i="17"/>
  <c r="FS320" i="17"/>
  <c r="FR320" i="17"/>
  <c r="GL315" i="17"/>
  <c r="FW315" i="17"/>
  <c r="FV315" i="17"/>
  <c r="FZ301" i="17"/>
  <c r="FX301" i="17"/>
  <c r="GE179" i="17"/>
  <c r="FT179" i="17"/>
  <c r="GM179" i="17"/>
  <c r="GN297" i="17"/>
  <c r="GG297" i="17"/>
  <c r="FR297" i="17"/>
  <c r="FV295" i="17"/>
  <c r="GB295" i="17"/>
  <c r="FZ295" i="17"/>
  <c r="FR292" i="17"/>
  <c r="GH292" i="17"/>
  <c r="GI292" i="17"/>
  <c r="GJ292" i="17"/>
  <c r="GK292" i="17"/>
  <c r="GL287" i="17"/>
  <c r="FV287" i="17"/>
  <c r="FW287" i="17"/>
  <c r="GA286" i="17"/>
  <c r="FY286" i="17"/>
  <c r="GD278" i="17"/>
  <c r="GG278" i="17"/>
  <c r="FO278" i="17"/>
  <c r="GF278" i="17"/>
  <c r="GE278" i="17"/>
  <c r="GP272" i="17"/>
  <c r="FN272" i="17"/>
  <c r="GO272" i="17"/>
  <c r="FY270" i="17"/>
  <c r="GA270" i="17"/>
  <c r="FT266" i="17"/>
  <c r="GE266" i="17"/>
  <c r="GM266" i="17"/>
  <c r="GN264" i="17"/>
  <c r="FR264" i="17"/>
  <c r="GO257" i="17"/>
  <c r="FN257" i="17"/>
  <c r="GA252" i="17"/>
  <c r="FY252" i="17"/>
  <c r="FV246" i="17"/>
  <c r="FZ246" i="17"/>
  <c r="GB246" i="17"/>
  <c r="GI246" i="17"/>
  <c r="FT225" i="17"/>
  <c r="GC225" i="17"/>
  <c r="FS223" i="17"/>
  <c r="FU223" i="17"/>
  <c r="GM222" i="17"/>
  <c r="GE222" i="17"/>
  <c r="GN220" i="17"/>
  <c r="FR220" i="17"/>
  <c r="FV218" i="17"/>
  <c r="GB218" i="17"/>
  <c r="FX218" i="17"/>
  <c r="FZ218" i="17"/>
  <c r="GI217" i="17"/>
  <c r="GK217" i="17"/>
  <c r="GH217" i="17"/>
  <c r="GJ217" i="17"/>
  <c r="FR217" i="17"/>
  <c r="FQ216" i="17"/>
  <c r="FP216" i="17"/>
  <c r="GM216" i="17"/>
  <c r="FW212" i="17"/>
  <c r="GL212" i="17"/>
  <c r="FV212" i="17"/>
  <c r="GA211" i="17"/>
  <c r="FY211" i="17"/>
  <c r="FT206" i="17"/>
  <c r="GM206" i="17"/>
  <c r="GN204" i="17"/>
  <c r="FR204" i="17"/>
  <c r="FV202" i="17"/>
  <c r="GB202" i="17"/>
  <c r="FZ202" i="17"/>
  <c r="FT190" i="17"/>
  <c r="GM190" i="17"/>
  <c r="FV185" i="17"/>
  <c r="FZ185" i="17"/>
  <c r="FX185" i="17"/>
  <c r="FV169" i="17"/>
  <c r="GL169" i="17"/>
  <c r="FW169" i="17"/>
  <c r="FY165" i="17"/>
  <c r="GA165" i="17"/>
  <c r="FR161" i="17"/>
  <c r="GN161" i="17"/>
  <c r="FP161" i="17"/>
  <c r="GB159" i="17"/>
  <c r="FV159" i="17"/>
  <c r="GI159" i="17"/>
  <c r="FS148" i="17"/>
  <c r="FU148" i="17"/>
  <c r="FN138" i="17"/>
  <c r="GP138" i="17"/>
  <c r="GO138" i="17"/>
  <c r="FT134" i="17"/>
  <c r="GC134" i="17"/>
  <c r="FU132" i="17"/>
  <c r="FS132" i="17"/>
  <c r="FO55" i="17"/>
  <c r="GE55" i="17"/>
  <c r="GC42" i="17"/>
  <c r="FT42" i="17"/>
  <c r="FU40" i="17"/>
  <c r="FS40" i="17"/>
  <c r="FS21" i="17"/>
  <c r="FU21" i="17"/>
  <c r="GC7" i="17"/>
  <c r="FT7" i="17"/>
  <c r="GC193" i="17"/>
  <c r="GA102" i="17"/>
  <c r="FX321" i="17"/>
  <c r="AN317" i="17"/>
  <c r="AR317" i="17"/>
  <c r="AS317" i="17"/>
  <c r="GQ317" i="17" s="1"/>
  <c r="HC317" i="17" s="1"/>
  <c r="IE317" i="17" s="1"/>
  <c r="AT317" i="17"/>
  <c r="AO317" i="17"/>
  <c r="AS139" i="17"/>
  <c r="GQ139" i="17" s="1"/>
  <c r="HB139" i="17" s="1"/>
  <c r="ID139" i="17" s="1"/>
  <c r="AR139" i="17"/>
  <c r="AQ139" i="17"/>
  <c r="AP139" i="17"/>
  <c r="AN139" i="17"/>
  <c r="AQ66" i="17"/>
  <c r="AR66" i="17"/>
  <c r="AO66" i="17"/>
  <c r="AL34" i="17"/>
  <c r="AN34" i="17"/>
  <c r="GC325" i="17"/>
  <c r="FU323" i="17"/>
  <c r="FS323" i="17"/>
  <c r="FU297" i="17"/>
  <c r="FS297" i="17"/>
  <c r="GB290" i="17"/>
  <c r="FX290" i="17"/>
  <c r="FN285" i="17"/>
  <c r="GO285" i="17"/>
  <c r="GB281" i="17"/>
  <c r="FX281" i="17"/>
  <c r="GM278" i="17"/>
  <c r="FT278" i="17"/>
  <c r="FP272" i="17"/>
  <c r="FQ272" i="17"/>
  <c r="GC266" i="17"/>
  <c r="FS264" i="17"/>
  <c r="FU264" i="17"/>
  <c r="GB259" i="17"/>
  <c r="FZ259" i="17"/>
  <c r="FX259" i="17"/>
  <c r="GL253" i="17"/>
  <c r="FW253" i="17"/>
  <c r="GM247" i="17"/>
  <c r="FT247" i="17"/>
  <c r="GB231" i="17"/>
  <c r="FV231" i="17"/>
  <c r="FN226" i="17"/>
  <c r="GO226" i="17"/>
  <c r="FY221" i="17"/>
  <c r="GA221" i="17"/>
  <c r="GM219" i="17"/>
  <c r="FT219" i="17"/>
  <c r="GF216" i="17"/>
  <c r="GD216" i="17"/>
  <c r="GE216" i="17"/>
  <c r="GG216" i="17"/>
  <c r="GH214" i="17"/>
  <c r="GK214" i="17"/>
  <c r="FR214" i="17"/>
  <c r="FQ213" i="17"/>
  <c r="FP213" i="17"/>
  <c r="FY205" i="17"/>
  <c r="GA205" i="17"/>
  <c r="FO200" i="17"/>
  <c r="GE200" i="17"/>
  <c r="GG200" i="17"/>
  <c r="GD200" i="17"/>
  <c r="FY188" i="17"/>
  <c r="GA188" i="17"/>
  <c r="GK181" i="17"/>
  <c r="GH181" i="17"/>
  <c r="GJ181" i="17"/>
  <c r="GB163" i="17"/>
  <c r="FX163" i="17"/>
  <c r="FZ163" i="17"/>
  <c r="FU161" i="17"/>
  <c r="GI155" i="17"/>
  <c r="FS155" i="17"/>
  <c r="GJ155" i="17"/>
  <c r="GK155" i="17"/>
  <c r="FR155" i="17"/>
  <c r="GH155" i="17"/>
  <c r="FT144" i="17"/>
  <c r="GM144" i="17"/>
  <c r="GD141" i="17"/>
  <c r="GE141" i="17"/>
  <c r="FO141" i="17"/>
  <c r="GF141" i="17"/>
  <c r="GG141" i="17"/>
  <c r="FQ138" i="17"/>
  <c r="FN135" i="17"/>
  <c r="GO135" i="17"/>
  <c r="GC131" i="17"/>
  <c r="FS129" i="17"/>
  <c r="FU129" i="17"/>
  <c r="GM122" i="17"/>
  <c r="FP122" i="17"/>
  <c r="FQ122" i="17"/>
  <c r="GL118" i="17"/>
  <c r="FW118" i="17"/>
  <c r="FY114" i="17"/>
  <c r="GA114" i="17"/>
  <c r="GE109" i="17"/>
  <c r="GF109" i="17"/>
  <c r="GD109" i="17"/>
  <c r="FR107" i="17"/>
  <c r="GH107" i="17"/>
  <c r="GI107" i="17"/>
  <c r="GL100" i="17"/>
  <c r="FW100" i="17"/>
  <c r="GA96" i="17"/>
  <c r="FY96" i="17"/>
  <c r="FS95" i="17"/>
  <c r="FU95" i="17"/>
  <c r="FT94" i="17"/>
  <c r="GM94" i="17"/>
  <c r="GG92" i="17"/>
  <c r="GN92" i="17"/>
  <c r="FP92" i="17"/>
  <c r="FV67" i="17"/>
  <c r="FZ67" i="17"/>
  <c r="GI67" i="17"/>
  <c r="GB67" i="17"/>
  <c r="GK66" i="17"/>
  <c r="GH66" i="17"/>
  <c r="GI66" i="17"/>
  <c r="FR66" i="17"/>
  <c r="FS66" i="17"/>
  <c r="FV61" i="17"/>
  <c r="GL61" i="17"/>
  <c r="FW61" i="17"/>
  <c r="GB58" i="17"/>
  <c r="FZ58" i="17"/>
  <c r="FX58" i="17"/>
  <c r="FT55" i="17"/>
  <c r="GM55" i="17"/>
  <c r="GO53" i="17"/>
  <c r="GN53" i="17"/>
  <c r="GG53" i="17"/>
  <c r="GD52" i="17"/>
  <c r="FO52" i="17"/>
  <c r="GE52" i="17"/>
  <c r="GI50" i="17"/>
  <c r="FR50" i="17"/>
  <c r="GH50" i="17"/>
  <c r="GK50" i="17"/>
  <c r="FN46" i="17"/>
  <c r="GO46" i="17"/>
  <c r="GP40" i="17"/>
  <c r="GF40" i="17"/>
  <c r="GA38" i="17"/>
  <c r="FY38" i="17"/>
  <c r="GM36" i="17"/>
  <c r="FT36" i="17"/>
  <c r="GD29" i="17"/>
  <c r="GF29" i="17"/>
  <c r="FO29" i="17"/>
  <c r="GG29" i="17"/>
  <c r="FN8" i="17"/>
  <c r="GU319" i="17"/>
  <c r="HW319" i="17" s="1"/>
  <c r="FR34" i="17"/>
  <c r="FO109" i="17"/>
  <c r="FT222" i="17"/>
  <c r="HF319" i="17"/>
  <c r="IH319" i="17" s="1"/>
  <c r="GE20" i="17"/>
  <c r="GN34" i="17"/>
  <c r="GG109" i="17"/>
  <c r="FU110" i="17"/>
  <c r="GO288" i="17"/>
  <c r="FU282" i="17"/>
  <c r="FV290" i="17"/>
  <c r="GM232" i="17"/>
  <c r="AR92" i="17"/>
  <c r="AQ6" i="17"/>
  <c r="AU5" i="17"/>
  <c r="AM5" i="17"/>
  <c r="GT331" i="17"/>
  <c r="HV331" i="17" s="1"/>
  <c r="HK331" i="17"/>
  <c r="IM331" i="17" s="1"/>
  <c r="HR331" i="17"/>
  <c r="IT331" i="17" s="1"/>
  <c r="HP331" i="17"/>
  <c r="IR331" i="17" s="1"/>
  <c r="AL262" i="17"/>
  <c r="AK262" i="17"/>
  <c r="AU262" i="17"/>
  <c r="AM262" i="17"/>
  <c r="AN262" i="17"/>
  <c r="AR262" i="17"/>
  <c r="AT262" i="17"/>
  <c r="AQ262" i="17"/>
  <c r="AN185" i="17"/>
  <c r="AO185" i="17"/>
  <c r="AM185" i="17"/>
  <c r="AL185" i="17"/>
  <c r="AR185" i="17"/>
  <c r="AS185" i="17"/>
  <c r="GQ185" i="17" s="1"/>
  <c r="HE185" i="17" s="1"/>
  <c r="IG185" i="17" s="1"/>
  <c r="AT185" i="17"/>
  <c r="AK185" i="17"/>
  <c r="AP185" i="17"/>
  <c r="AQ185" i="17"/>
  <c r="AU185" i="17"/>
  <c r="AL111" i="17"/>
  <c r="AM111" i="17"/>
  <c r="AK111" i="17"/>
  <c r="AN111" i="17"/>
  <c r="AO111" i="17"/>
  <c r="AQ111" i="17"/>
  <c r="AR111" i="17"/>
  <c r="AS111" i="17"/>
  <c r="GQ111" i="17" s="1"/>
  <c r="AT111" i="17"/>
  <c r="AU22" i="17"/>
  <c r="AK22" i="17"/>
  <c r="AT22" i="17"/>
  <c r="AO22" i="17"/>
  <c r="AP22" i="17"/>
  <c r="AQ22" i="17"/>
  <c r="AL22" i="17"/>
  <c r="AM22" i="17"/>
  <c r="AN22" i="17"/>
  <c r="AR22" i="17"/>
  <c r="AS22" i="17"/>
  <c r="GQ22" i="17" s="1"/>
  <c r="FR69" i="17"/>
  <c r="GI69" i="17"/>
  <c r="AQ335" i="17"/>
  <c r="AU335" i="17"/>
  <c r="AK335" i="17"/>
  <c r="AT335" i="17"/>
  <c r="AO335" i="17"/>
  <c r="AM335" i="17"/>
  <c r="AN335" i="17"/>
  <c r="AS335" i="17"/>
  <c r="GQ335" i="17" s="1"/>
  <c r="GZ335" i="17" s="1"/>
  <c r="IB335" i="17" s="1"/>
  <c r="AK320" i="17"/>
  <c r="AL320" i="17"/>
  <c r="AR320" i="17"/>
  <c r="AS320" i="17"/>
  <c r="GQ320" i="17" s="1"/>
  <c r="AT320" i="17"/>
  <c r="AU320" i="17"/>
  <c r="AN320" i="17"/>
  <c r="AO320" i="17"/>
  <c r="AP320" i="17"/>
  <c r="AQ320" i="17"/>
  <c r="AM320" i="17"/>
  <c r="AU217" i="17"/>
  <c r="AK217" i="17"/>
  <c r="AL217" i="17"/>
  <c r="AS217" i="17"/>
  <c r="GQ217" i="17" s="1"/>
  <c r="AT217" i="17"/>
  <c r="AQ142" i="17"/>
  <c r="AS142" i="17"/>
  <c r="GQ142" i="17" s="1"/>
  <c r="AM142" i="17"/>
  <c r="AN142" i="17"/>
  <c r="AP142" i="17"/>
  <c r="AU142" i="17"/>
  <c r="AK142" i="17"/>
  <c r="AT142" i="17"/>
  <c r="AO142" i="17"/>
  <c r="AL142" i="17"/>
  <c r="AR142" i="17"/>
  <c r="FU3" i="17"/>
  <c r="AQ218" i="17"/>
  <c r="AT246" i="17"/>
  <c r="AU290" i="17"/>
  <c r="AT290" i="17"/>
  <c r="AP274" i="17"/>
  <c r="AQ274" i="17"/>
  <c r="AR259" i="17"/>
  <c r="AS259" i="17"/>
  <c r="GQ259" i="17" s="1"/>
  <c r="HD259" i="17" s="1"/>
  <c r="IF259" i="17" s="1"/>
  <c r="AU140" i="17"/>
  <c r="AT140" i="17"/>
  <c r="GH304" i="17"/>
  <c r="GI304" i="17"/>
  <c r="FR304" i="17"/>
  <c r="GJ304" i="17"/>
  <c r="FS304" i="17"/>
  <c r="GK304" i="17"/>
  <c r="FT328" i="17"/>
  <c r="GC328" i="17"/>
  <c r="FU326" i="17"/>
  <c r="FS326" i="17"/>
  <c r="GF322" i="17"/>
  <c r="GD322" i="17"/>
  <c r="GG322" i="17"/>
  <c r="GE322" i="17"/>
  <c r="FQ319" i="17"/>
  <c r="GM319" i="17"/>
  <c r="GC301" i="17"/>
  <c r="FT301" i="17"/>
  <c r="FT284" i="17"/>
  <c r="GC284" i="17"/>
  <c r="GM281" i="17"/>
  <c r="GE281" i="17"/>
  <c r="FT281" i="17"/>
  <c r="GK276" i="17"/>
  <c r="FS276" i="17"/>
  <c r="GH276" i="17"/>
  <c r="GJ276" i="17"/>
  <c r="GI276" i="17"/>
  <c r="GA189" i="17"/>
  <c r="FY189" i="17"/>
  <c r="GE263" i="17"/>
  <c r="GD263" i="17"/>
  <c r="GG263" i="17"/>
  <c r="GF263" i="17"/>
  <c r="FS261" i="17"/>
  <c r="GI261" i="17"/>
  <c r="GK261" i="17"/>
  <c r="GJ261" i="17"/>
  <c r="GD260" i="17"/>
  <c r="GM260" i="17"/>
  <c r="FQ260" i="17"/>
  <c r="FS251" i="17"/>
  <c r="FU251" i="17"/>
  <c r="FN229" i="17"/>
  <c r="GO229" i="17"/>
  <c r="GP229" i="17"/>
  <c r="GA224" i="17"/>
  <c r="FY224" i="17"/>
  <c r="FN213" i="17"/>
  <c r="GP213" i="17"/>
  <c r="GO213" i="17"/>
  <c r="FT209" i="17"/>
  <c r="GC209" i="17"/>
  <c r="FS207" i="17"/>
  <c r="FU207" i="17"/>
  <c r="FO203" i="17"/>
  <c r="GG203" i="17"/>
  <c r="GF203" i="17"/>
  <c r="GE203" i="17"/>
  <c r="FR201" i="17"/>
  <c r="GI201" i="17"/>
  <c r="GK201" i="17"/>
  <c r="FS201" i="17"/>
  <c r="GM200" i="17"/>
  <c r="FP200" i="17"/>
  <c r="FQ200" i="17"/>
  <c r="GO197" i="17"/>
  <c r="FN197" i="17"/>
  <c r="GP197" i="17"/>
  <c r="GA195" i="17"/>
  <c r="FY195" i="17"/>
  <c r="GA168" i="17"/>
  <c r="FY168" i="17"/>
  <c r="FT163" i="17"/>
  <c r="GM163" i="17"/>
  <c r="GP154" i="17"/>
  <c r="FN154" i="17"/>
  <c r="GO154" i="17"/>
  <c r="GA149" i="17"/>
  <c r="FY149" i="17"/>
  <c r="GN145" i="17"/>
  <c r="FR145" i="17"/>
  <c r="GB143" i="17"/>
  <c r="FV143" i="17"/>
  <c r="GI143" i="17"/>
  <c r="FZ143" i="17"/>
  <c r="GM141" i="17"/>
  <c r="FQ141" i="17"/>
  <c r="FP141" i="17"/>
  <c r="GG128" i="17"/>
  <c r="GD128" i="17"/>
  <c r="GF128" i="17"/>
  <c r="FO128" i="17"/>
  <c r="GE128" i="17"/>
  <c r="FS126" i="17"/>
  <c r="GH126" i="17"/>
  <c r="FR126" i="17"/>
  <c r="GK126" i="17"/>
  <c r="GP122" i="17"/>
  <c r="FN122" i="17"/>
  <c r="GO122" i="17"/>
  <c r="GA120" i="17"/>
  <c r="FY120" i="17"/>
  <c r="FS116" i="17"/>
  <c r="FU116" i="17"/>
  <c r="GE115" i="17"/>
  <c r="GM115" i="17"/>
  <c r="FT115" i="17"/>
  <c r="FR113" i="17"/>
  <c r="GN113" i="17"/>
  <c r="GE112" i="17"/>
  <c r="GG112" i="17"/>
  <c r="FO112" i="17"/>
  <c r="GD112" i="17"/>
  <c r="GF112" i="17"/>
  <c r="FR110" i="17"/>
  <c r="FS110" i="17"/>
  <c r="FQ109" i="17"/>
  <c r="GM109" i="17"/>
  <c r="FP109" i="17"/>
  <c r="GP104" i="17"/>
  <c r="FN104" i="17"/>
  <c r="GO104" i="17"/>
  <c r="GA99" i="17"/>
  <c r="FY99" i="17"/>
  <c r="GH92" i="17"/>
  <c r="GI92" i="17"/>
  <c r="FR92" i="17"/>
  <c r="FS92" i="17"/>
  <c r="GM91" i="17"/>
  <c r="FQ91" i="17"/>
  <c r="FP91" i="17"/>
  <c r="FN65" i="17"/>
  <c r="GO65" i="17"/>
  <c r="GP65" i="17"/>
  <c r="GA60" i="17"/>
  <c r="FY60" i="17"/>
  <c r="FZ54" i="17"/>
  <c r="GB54" i="17"/>
  <c r="FV54" i="17"/>
  <c r="GC45" i="17"/>
  <c r="FT45" i="17"/>
  <c r="GA41" i="17"/>
  <c r="FY41" i="17"/>
  <c r="GG36" i="17"/>
  <c r="GD36" i="17"/>
  <c r="FO36" i="17"/>
  <c r="GE36" i="17"/>
  <c r="GF36" i="17"/>
  <c r="FP33" i="17"/>
  <c r="FQ33" i="17"/>
  <c r="GM33" i="17"/>
  <c r="FR18" i="17"/>
  <c r="GN18" i="17"/>
  <c r="GB16" i="17"/>
  <c r="FZ16" i="17"/>
  <c r="FV16" i="17"/>
  <c r="FV10" i="17"/>
  <c r="GL10" i="17"/>
  <c r="FU5" i="17"/>
  <c r="FS5" i="17"/>
  <c r="AT214" i="17"/>
  <c r="AM214" i="17"/>
  <c r="AN214" i="17"/>
  <c r="AR214" i="17"/>
  <c r="AS214" i="17"/>
  <c r="GQ214" i="17" s="1"/>
  <c r="GR214" i="17" s="1"/>
  <c r="HT214" i="17" s="1"/>
  <c r="AP155" i="17"/>
  <c r="AQ155" i="17"/>
  <c r="AT155" i="17"/>
  <c r="AL18" i="17"/>
  <c r="AU18" i="17"/>
  <c r="AK18" i="17"/>
  <c r="GO329" i="17"/>
  <c r="FN329" i="17"/>
  <c r="FW328" i="17"/>
  <c r="GL328" i="17"/>
  <c r="GA324" i="17"/>
  <c r="FY324" i="17"/>
  <c r="GE319" i="17"/>
  <c r="FO319" i="17"/>
  <c r="FR317" i="17"/>
  <c r="GK317" i="17"/>
  <c r="GH317" i="17"/>
  <c r="FN302" i="17"/>
  <c r="GO302" i="17"/>
  <c r="GM296" i="17"/>
  <c r="FT296" i="17"/>
  <c r="GG291" i="17"/>
  <c r="FO291" i="17"/>
  <c r="GD291" i="17"/>
  <c r="GF291" i="17"/>
  <c r="GE291" i="17"/>
  <c r="GJ289" i="17"/>
  <c r="FR289" i="17"/>
  <c r="FO275" i="17"/>
  <c r="GD275" i="17"/>
  <c r="GF275" i="17"/>
  <c r="GE275" i="17"/>
  <c r="FR273" i="17"/>
  <c r="GH273" i="17"/>
  <c r="GK273" i="17"/>
  <c r="GJ273" i="17"/>
  <c r="GA265" i="17"/>
  <c r="FY265" i="17"/>
  <c r="GF260" i="17"/>
  <c r="GG260" i="17"/>
  <c r="FO260" i="17"/>
  <c r="GI258" i="17"/>
  <c r="FR258" i="17"/>
  <c r="FU248" i="17"/>
  <c r="GB215" i="17"/>
  <c r="FV215" i="17"/>
  <c r="FZ215" i="17"/>
  <c r="FW209" i="17"/>
  <c r="GL209" i="17"/>
  <c r="FS204" i="17"/>
  <c r="FU204" i="17"/>
  <c r="GC190" i="17"/>
  <c r="FV182" i="17"/>
  <c r="FX182" i="17"/>
  <c r="FP180" i="17"/>
  <c r="FQ180" i="17"/>
  <c r="GL166" i="17"/>
  <c r="FW166" i="17"/>
  <c r="FO157" i="17"/>
  <c r="GD157" i="17"/>
  <c r="FP154" i="17"/>
  <c r="FQ154" i="17"/>
  <c r="FN151" i="17"/>
  <c r="GO151" i="17"/>
  <c r="GB147" i="17"/>
  <c r="FX147" i="17"/>
  <c r="FU145" i="17"/>
  <c r="FS145" i="17"/>
  <c r="GO142" i="17"/>
  <c r="GG142" i="17"/>
  <c r="FZ140" i="17"/>
  <c r="GB140" i="17"/>
  <c r="FV140" i="17"/>
  <c r="GI140" i="17"/>
  <c r="GB131" i="17"/>
  <c r="FZ131" i="17"/>
  <c r="FX131" i="17"/>
  <c r="GN126" i="17"/>
  <c r="GF125" i="17"/>
  <c r="GG125" i="17"/>
  <c r="GE125" i="17"/>
  <c r="FO125" i="17"/>
  <c r="GK123" i="17"/>
  <c r="GI123" i="17"/>
  <c r="GJ123" i="17"/>
  <c r="GH123" i="17"/>
  <c r="FR123" i="17"/>
  <c r="FN119" i="17"/>
  <c r="GO119" i="17"/>
  <c r="FX115" i="17"/>
  <c r="FZ115" i="17"/>
  <c r="GB115" i="17"/>
  <c r="FU113" i="17"/>
  <c r="FS113" i="17"/>
  <c r="FP104" i="17"/>
  <c r="FQ104" i="17"/>
  <c r="GC97" i="17"/>
  <c r="FQ65" i="17"/>
  <c r="FP65" i="17"/>
  <c r="FN62" i="17"/>
  <c r="GO62" i="17"/>
  <c r="FY57" i="17"/>
  <c r="GA57" i="17"/>
  <c r="FZ51" i="17"/>
  <c r="FV51" i="17"/>
  <c r="GI51" i="17"/>
  <c r="GB51" i="17"/>
  <c r="FP49" i="17"/>
  <c r="FQ49" i="17"/>
  <c r="GE33" i="17"/>
  <c r="GG33" i="17"/>
  <c r="FO33" i="17"/>
  <c r="GD33" i="17"/>
  <c r="GF33" i="17"/>
  <c r="GB28" i="17"/>
  <c r="FV28" i="17"/>
  <c r="GI30" i="17"/>
  <c r="GH30" i="17"/>
  <c r="FN24" i="17"/>
  <c r="GO24" i="17"/>
  <c r="FQ11" i="17"/>
  <c r="GC4" i="17"/>
  <c r="AK234" i="17"/>
  <c r="HJ319" i="17"/>
  <c r="IL319" i="17" s="1"/>
  <c r="FQ288" i="17"/>
  <c r="FS248" i="17"/>
  <c r="GP132" i="17"/>
  <c r="FS292" i="17"/>
  <c r="GN142" i="17"/>
  <c r="GI110" i="17"/>
  <c r="GL193" i="17"/>
  <c r="GO230" i="17"/>
  <c r="AQ92" i="17"/>
  <c r="AN6" i="17"/>
  <c r="FZ75" i="17"/>
  <c r="FV75" i="17"/>
  <c r="FX75" i="17"/>
  <c r="GB70" i="17"/>
  <c r="FZ70" i="17"/>
  <c r="GB242" i="17"/>
  <c r="FZ242" i="17"/>
  <c r="HG36" i="17"/>
  <c r="II36" i="17" s="1"/>
  <c r="FX83" i="17"/>
  <c r="FZ83" i="17"/>
  <c r="FW87" i="17"/>
  <c r="GL87" i="17"/>
  <c r="GN74" i="17"/>
  <c r="GA242" i="17"/>
  <c r="FY242" i="17"/>
  <c r="FW240" i="17"/>
  <c r="FV240" i="17"/>
  <c r="AT240" i="17"/>
  <c r="AR240" i="17"/>
  <c r="AM240" i="17"/>
  <c r="AL240" i="17"/>
  <c r="GU36" i="17"/>
  <c r="HW36" i="17" s="1"/>
  <c r="FQ274" i="17"/>
  <c r="GE283" i="17"/>
  <c r="FY285" i="17"/>
  <c r="GP259" i="17"/>
  <c r="AK242" i="17"/>
  <c r="AN242" i="17"/>
  <c r="AS242" i="17"/>
  <c r="GQ242" i="17" s="1"/>
  <c r="AQ242" i="17"/>
  <c r="AR242" i="17"/>
  <c r="AT242" i="17"/>
  <c r="AO242" i="17"/>
  <c r="AL242" i="17"/>
  <c r="FT71" i="17"/>
  <c r="GM71" i="17"/>
  <c r="HC42" i="17"/>
  <c r="IE42" i="17" s="1"/>
  <c r="GT42" i="17"/>
  <c r="HV42" i="17" s="1"/>
  <c r="HK42" i="17"/>
  <c r="IM42" i="17" s="1"/>
  <c r="HQ42" i="17"/>
  <c r="IS42" i="17" s="1"/>
  <c r="HP42" i="17"/>
  <c r="IR42" i="17" s="1"/>
  <c r="GY42" i="17"/>
  <c r="IA42" i="17" s="1"/>
  <c r="GU42" i="17"/>
  <c r="HW42" i="17" s="1"/>
  <c r="HR42" i="17"/>
  <c r="IT42" i="17" s="1"/>
  <c r="GV42" i="17"/>
  <c r="HX42" i="17" s="1"/>
  <c r="HG42" i="17"/>
  <c r="II42" i="17" s="1"/>
  <c r="HM42" i="17"/>
  <c r="IO42" i="17" s="1"/>
  <c r="HL42" i="17"/>
  <c r="IN42" i="17" s="1"/>
  <c r="GW42" i="17"/>
  <c r="HY42" i="17" s="1"/>
  <c r="HE42" i="17"/>
  <c r="IG42" i="17" s="1"/>
  <c r="HB42" i="17"/>
  <c r="ID42" i="17" s="1"/>
  <c r="HI42" i="17"/>
  <c r="IK42" i="17" s="1"/>
  <c r="GK88" i="17"/>
  <c r="GH88" i="17"/>
  <c r="GC87" i="17"/>
  <c r="GK337" i="17"/>
  <c r="FS337" i="17"/>
  <c r="FR337" i="17"/>
  <c r="GH337" i="17"/>
  <c r="GC71" i="17"/>
  <c r="GH241" i="17"/>
  <c r="GI241" i="17"/>
  <c r="FR241" i="17"/>
  <c r="AN178" i="17"/>
  <c r="AU178" i="17"/>
  <c r="AM178" i="17"/>
  <c r="AP178" i="17"/>
  <c r="AQ178" i="17"/>
  <c r="GN85" i="17"/>
  <c r="GL71" i="17"/>
  <c r="FW71" i="17"/>
  <c r="FV71" i="17"/>
  <c r="GL69" i="17"/>
  <c r="FV69" i="17"/>
  <c r="FW69" i="17"/>
  <c r="GS42" i="17"/>
  <c r="HU42" i="17" s="1"/>
  <c r="AL324" i="17"/>
  <c r="AO324" i="17"/>
  <c r="AR324" i="17"/>
  <c r="AS324" i="17"/>
  <c r="GQ324" i="17" s="1"/>
  <c r="GS324" i="17" s="1"/>
  <c r="HU324" i="17" s="1"/>
  <c r="AT324" i="17"/>
  <c r="AU324" i="17"/>
  <c r="AP324" i="17"/>
  <c r="AL298" i="17"/>
  <c r="AM298" i="17"/>
  <c r="AP298" i="17"/>
  <c r="AU298" i="17"/>
  <c r="AK298" i="17"/>
  <c r="AR298" i="17"/>
  <c r="AT298" i="17"/>
  <c r="AQ298" i="17"/>
  <c r="AN298" i="17"/>
  <c r="AQ280" i="17"/>
  <c r="AR280" i="17"/>
  <c r="AU280" i="17"/>
  <c r="AK280" i="17"/>
  <c r="AM280" i="17"/>
  <c r="AN280" i="17"/>
  <c r="AO280" i="17"/>
  <c r="AP280" i="17"/>
  <c r="AS280" i="17"/>
  <c r="GQ280" i="17" s="1"/>
  <c r="HA280" i="17" s="1"/>
  <c r="IC280" i="17" s="1"/>
  <c r="AM265" i="17"/>
  <c r="AP265" i="17"/>
  <c r="AQ265" i="17"/>
  <c r="AS265" i="17"/>
  <c r="GQ265" i="17" s="1"/>
  <c r="HD265" i="17" s="1"/>
  <c r="IF265" i="17" s="1"/>
  <c r="AU265" i="17"/>
  <c r="AK265" i="17"/>
  <c r="AL265" i="17"/>
  <c r="AR265" i="17"/>
  <c r="AT265" i="17"/>
  <c r="AK249" i="17"/>
  <c r="AL249" i="17"/>
  <c r="AQ249" i="17"/>
  <c r="AT249" i="17"/>
  <c r="AU249" i="17"/>
  <c r="AM249" i="17"/>
  <c r="AN249" i="17"/>
  <c r="AP249" i="17"/>
  <c r="AR221" i="17"/>
  <c r="AL221" i="17"/>
  <c r="AK221" i="17"/>
  <c r="AM221" i="17"/>
  <c r="AP221" i="17"/>
  <c r="AS221" i="17"/>
  <c r="GQ221" i="17" s="1"/>
  <c r="GX221" i="17" s="1"/>
  <c r="HZ221" i="17" s="1"/>
  <c r="AU221" i="17"/>
  <c r="AT221" i="17"/>
  <c r="AU205" i="17"/>
  <c r="AL205" i="17"/>
  <c r="AN205" i="17"/>
  <c r="AK205" i="17"/>
  <c r="AO205" i="17"/>
  <c r="AP205" i="17"/>
  <c r="AQ205" i="17"/>
  <c r="AO188" i="17"/>
  <c r="AN188" i="17"/>
  <c r="AK188" i="17"/>
  <c r="AL188" i="17"/>
  <c r="AM188" i="17"/>
  <c r="AT162" i="17"/>
  <c r="AU162" i="17"/>
  <c r="AP162" i="17"/>
  <c r="AQ162" i="17"/>
  <c r="AR162" i="17"/>
  <c r="AS162" i="17"/>
  <c r="GQ162" i="17" s="1"/>
  <c r="AK162" i="17"/>
  <c r="AL162" i="17"/>
  <c r="AM162" i="17"/>
  <c r="AO162" i="17"/>
  <c r="AN162" i="17"/>
  <c r="AM146" i="17"/>
  <c r="AS146" i="17"/>
  <c r="GQ146" i="17" s="1"/>
  <c r="AU146" i="17"/>
  <c r="AK146" i="17"/>
  <c r="AN146" i="17"/>
  <c r="AO146" i="17"/>
  <c r="AR146" i="17"/>
  <c r="AT146" i="17"/>
  <c r="AL146" i="17"/>
  <c r="AQ146" i="17"/>
  <c r="AN130" i="17"/>
  <c r="AO130" i="17"/>
  <c r="AK130" i="17"/>
  <c r="AT130" i="17"/>
  <c r="AU130" i="17"/>
  <c r="AL130" i="17"/>
  <c r="AM130" i="17"/>
  <c r="AP130" i="17"/>
  <c r="AQ130" i="17"/>
  <c r="AK114" i="17"/>
  <c r="AL114" i="17"/>
  <c r="AU114" i="17"/>
  <c r="AR114" i="17"/>
  <c r="AS114" i="17"/>
  <c r="GQ114" i="17" s="1"/>
  <c r="HC114" i="17" s="1"/>
  <c r="IE114" i="17" s="1"/>
  <c r="AT114" i="17"/>
  <c r="AM114" i="17"/>
  <c r="AN114" i="17"/>
  <c r="AO114" i="17"/>
  <c r="AQ114" i="17"/>
  <c r="AP114" i="17"/>
  <c r="AP96" i="17"/>
  <c r="AQ96" i="17"/>
  <c r="AK96" i="17"/>
  <c r="AL96" i="17"/>
  <c r="AM96" i="17"/>
  <c r="AN96" i="17"/>
  <c r="AS57" i="17"/>
  <c r="GQ57" i="17" s="1"/>
  <c r="AO57" i="17"/>
  <c r="AP57" i="17"/>
  <c r="AN57" i="17"/>
  <c r="AQ57" i="17"/>
  <c r="AR57" i="17"/>
  <c r="AL57" i="17"/>
  <c r="AM57" i="17"/>
  <c r="AT41" i="17"/>
  <c r="AU41" i="17"/>
  <c r="AO41" i="17"/>
  <c r="AP41" i="17"/>
  <c r="AQ41" i="17"/>
  <c r="AS41" i="17"/>
  <c r="GQ41" i="17" s="1"/>
  <c r="AR41" i="17"/>
  <c r="AM41" i="17"/>
  <c r="AN41" i="17"/>
  <c r="AM25" i="17"/>
  <c r="AN25" i="17"/>
  <c r="AK25" i="17"/>
  <c r="AL25" i="17"/>
  <c r="AP25" i="17"/>
  <c r="AQ25" i="17"/>
  <c r="AR25" i="17"/>
  <c r="AU25" i="17"/>
  <c r="AT25" i="17"/>
  <c r="AO25" i="17"/>
  <c r="AS25" i="17"/>
  <c r="GQ25" i="17" s="1"/>
  <c r="AR9" i="17"/>
  <c r="AS9" i="17"/>
  <c r="GQ9" i="17" s="1"/>
  <c r="AT9" i="17"/>
  <c r="AU9" i="17"/>
  <c r="AK9" i="17"/>
  <c r="FN332" i="17"/>
  <c r="GP332" i="17"/>
  <c r="FT330" i="17"/>
  <c r="GC330" i="17"/>
  <c r="GA329" i="17"/>
  <c r="FY329" i="17"/>
  <c r="FS328" i="17"/>
  <c r="FU328" i="17"/>
  <c r="GM327" i="17"/>
  <c r="GE327" i="17"/>
  <c r="GN325" i="17"/>
  <c r="FP325" i="17"/>
  <c r="GG325" i="17"/>
  <c r="GO325" i="17"/>
  <c r="FR325" i="17"/>
  <c r="GE324" i="17"/>
  <c r="GF324" i="17"/>
  <c r="GD324" i="17"/>
  <c r="GI323" i="17"/>
  <c r="FZ323" i="17"/>
  <c r="GH322" i="17"/>
  <c r="GI322" i="17"/>
  <c r="FR322" i="17"/>
  <c r="FQ321" i="17"/>
  <c r="FP321" i="17"/>
  <c r="FN318" i="17"/>
  <c r="GP318" i="17"/>
  <c r="GL317" i="17"/>
  <c r="FW317" i="17"/>
  <c r="GP315" i="17"/>
  <c r="GF315" i="17"/>
  <c r="GA302" i="17"/>
  <c r="FU301" i="17"/>
  <c r="FS301" i="17"/>
  <c r="GM300" i="17"/>
  <c r="FT300" i="17"/>
  <c r="GE300" i="17"/>
  <c r="FP179" i="17"/>
  <c r="FR179" i="17"/>
  <c r="GN179" i="17"/>
  <c r="GO179" i="17"/>
  <c r="FO298" i="17"/>
  <c r="GG298" i="17"/>
  <c r="GF298" i="17"/>
  <c r="GD298" i="17"/>
  <c r="GE298" i="17"/>
  <c r="GI297" i="17"/>
  <c r="GB297" i="17"/>
  <c r="FV297" i="17"/>
  <c r="GH296" i="17"/>
  <c r="GJ296" i="17"/>
  <c r="GK296" i="17"/>
  <c r="FR296" i="17"/>
  <c r="FS296" i="17"/>
  <c r="FP295" i="17"/>
  <c r="FQ295" i="17"/>
  <c r="FN290" i="17"/>
  <c r="GO290" i="17"/>
  <c r="GL289" i="17"/>
  <c r="FW289" i="17"/>
  <c r="FU284" i="17"/>
  <c r="FS284" i="17"/>
  <c r="FR281" i="17"/>
  <c r="FP281" i="17"/>
  <c r="GN281" i="17"/>
  <c r="GG281" i="17"/>
  <c r="GO281" i="17"/>
  <c r="GB279" i="17"/>
  <c r="FX279" i="17"/>
  <c r="FZ279" i="17"/>
  <c r="GI279" i="17"/>
  <c r="FR278" i="17"/>
  <c r="GJ278" i="17"/>
  <c r="FS278" i="17"/>
  <c r="FN274" i="17"/>
  <c r="GP274" i="17"/>
  <c r="GP271" i="17"/>
  <c r="GF271" i="17"/>
  <c r="FX270" i="17"/>
  <c r="FZ270" i="17"/>
  <c r="FT270" i="17"/>
  <c r="GC270" i="17"/>
  <c r="GA269" i="17"/>
  <c r="FY269" i="17"/>
  <c r="FU268" i="17"/>
  <c r="FS268" i="17"/>
  <c r="GE189" i="17"/>
  <c r="GM189" i="17"/>
  <c r="FT189" i="17"/>
  <c r="FP266" i="17"/>
  <c r="GN266" i="17"/>
  <c r="FR266" i="17"/>
  <c r="GO266" i="17"/>
  <c r="GG266" i="17"/>
  <c r="GF265" i="17"/>
  <c r="GG265" i="17"/>
  <c r="GE265" i="17"/>
  <c r="GK263" i="17"/>
  <c r="GJ263" i="17"/>
  <c r="FR263" i="17"/>
  <c r="GH263" i="17"/>
  <c r="FP262" i="17"/>
  <c r="FQ262" i="17"/>
  <c r="FW258" i="17"/>
  <c r="GA257" i="17"/>
  <c r="FY257" i="17"/>
  <c r="GP256" i="17"/>
  <c r="GF256" i="17"/>
  <c r="FX255" i="17"/>
  <c r="FZ255" i="17"/>
  <c r="FS253" i="17"/>
  <c r="FU253" i="17"/>
  <c r="GO250" i="17"/>
  <c r="GN250" i="17"/>
  <c r="FP250" i="17"/>
  <c r="GG250" i="17"/>
  <c r="GF249" i="17"/>
  <c r="GE249" i="17"/>
  <c r="GD249" i="17"/>
  <c r="GG249" i="17"/>
  <c r="FV248" i="17"/>
  <c r="FZ248" i="17"/>
  <c r="GB248" i="17"/>
  <c r="FX248" i="17"/>
  <c r="GJ247" i="17"/>
  <c r="GK247" i="17"/>
  <c r="FR247" i="17"/>
  <c r="FS247" i="17"/>
  <c r="FQ246" i="17"/>
  <c r="GM246" i="17"/>
  <c r="FP246" i="17"/>
  <c r="FN231" i="17"/>
  <c r="GO231" i="17"/>
  <c r="GP231" i="17"/>
  <c r="FV230" i="17"/>
  <c r="GL230" i="17"/>
  <c r="FW230" i="17"/>
  <c r="FY226" i="17"/>
  <c r="GA226" i="17"/>
  <c r="GO222" i="17"/>
  <c r="FP222" i="17"/>
  <c r="GN222" i="17"/>
  <c r="GG222" i="17"/>
  <c r="FR222" i="17"/>
  <c r="GD221" i="17"/>
  <c r="GF221" i="17"/>
  <c r="FO221" i="17"/>
  <c r="GG221" i="17"/>
  <c r="GJ219" i="17"/>
  <c r="GK219" i="17"/>
  <c r="FS219" i="17"/>
  <c r="FR219" i="17"/>
  <c r="GI219" i="17"/>
  <c r="FN215" i="17"/>
  <c r="GO215" i="17"/>
  <c r="GF212" i="17"/>
  <c r="GP212" i="17"/>
  <c r="GB211" i="17"/>
  <c r="FZ211" i="17"/>
  <c r="GN206" i="17"/>
  <c r="FP206" i="17"/>
  <c r="FR206" i="17"/>
  <c r="GG206" i="17"/>
  <c r="GD205" i="17"/>
  <c r="GF205" i="17"/>
  <c r="GE205" i="17"/>
  <c r="FO205" i="17"/>
  <c r="FZ204" i="17"/>
  <c r="GI204" i="17"/>
  <c r="GB204" i="17"/>
  <c r="FS203" i="17"/>
  <c r="GI203" i="17"/>
  <c r="FR203" i="17"/>
  <c r="GJ203" i="17"/>
  <c r="GK203" i="17"/>
  <c r="GM202" i="17"/>
  <c r="FN199" i="17"/>
  <c r="GP199" i="17"/>
  <c r="GL198" i="17"/>
  <c r="FW198" i="17"/>
  <c r="GF196" i="17"/>
  <c r="GP196" i="17"/>
  <c r="FT195" i="17"/>
  <c r="GC195" i="17"/>
  <c r="GG190" i="17"/>
  <c r="FR190" i="17"/>
  <c r="GO190" i="17"/>
  <c r="FP190" i="17"/>
  <c r="GE188" i="17"/>
  <c r="GD188" i="17"/>
  <c r="GF188" i="17"/>
  <c r="FZ187" i="17"/>
  <c r="GB187" i="17"/>
  <c r="FX187" i="17"/>
  <c r="GI186" i="17"/>
  <c r="GK186" i="17"/>
  <c r="GJ186" i="17"/>
  <c r="GH186" i="17"/>
  <c r="GM185" i="17"/>
  <c r="FQ185" i="17"/>
  <c r="FN182" i="17"/>
  <c r="GO182" i="17"/>
  <c r="GP182" i="17"/>
  <c r="GB168" i="17"/>
  <c r="FZ168" i="17"/>
  <c r="FX168" i="17"/>
  <c r="FT168" i="17"/>
  <c r="GC168" i="17"/>
  <c r="FY167" i="17"/>
  <c r="GM165" i="17"/>
  <c r="GE165" i="17"/>
  <c r="FT165" i="17"/>
  <c r="FP163" i="17"/>
  <c r="GG163" i="17"/>
  <c r="GO163" i="17"/>
  <c r="GD162" i="17"/>
  <c r="GF162" i="17"/>
  <c r="GG162" i="17"/>
  <c r="GK160" i="17"/>
  <c r="GI160" i="17"/>
  <c r="FR160" i="17"/>
  <c r="FS160" i="17"/>
  <c r="GJ160" i="17"/>
  <c r="FQ159" i="17"/>
  <c r="GM159" i="17"/>
  <c r="FN156" i="17"/>
  <c r="GO156" i="17"/>
  <c r="GP156" i="17"/>
  <c r="FX152" i="17"/>
  <c r="GB152" i="17"/>
  <c r="FZ152" i="17"/>
  <c r="FT152" i="17"/>
  <c r="GC152" i="17"/>
  <c r="FY151" i="17"/>
  <c r="GE149" i="17"/>
  <c r="GM149" i="17"/>
  <c r="GG147" i="17"/>
  <c r="FP147" i="17"/>
  <c r="FR147" i="17"/>
  <c r="GO147" i="17"/>
  <c r="GN147" i="17"/>
  <c r="GE146" i="17"/>
  <c r="GF146" i="17"/>
  <c r="FO146" i="17"/>
  <c r="GD146" i="17"/>
  <c r="GB145" i="17"/>
  <c r="FV145" i="17"/>
  <c r="GH144" i="17"/>
  <c r="GJ144" i="17"/>
  <c r="GK144" i="17"/>
  <c r="FR144" i="17"/>
  <c r="GM143" i="17"/>
  <c r="FQ143" i="17"/>
  <c r="FP143" i="17"/>
  <c r="FN140" i="17"/>
  <c r="GP140" i="17"/>
  <c r="GO140" i="17"/>
  <c r="FV139" i="17"/>
  <c r="GL139" i="17"/>
  <c r="FW139" i="17"/>
  <c r="GP137" i="17"/>
  <c r="FX136" i="17"/>
  <c r="GB136" i="17"/>
  <c r="FT136" i="17"/>
  <c r="GC136" i="17"/>
  <c r="GA135" i="17"/>
  <c r="GM133" i="17"/>
  <c r="FT133" i="17"/>
  <c r="GO131" i="17"/>
  <c r="FR131" i="17"/>
  <c r="FP131" i="17"/>
  <c r="GE130" i="17"/>
  <c r="FO130" i="17"/>
  <c r="GD130" i="17"/>
  <c r="GF130" i="17"/>
  <c r="GB129" i="17"/>
  <c r="GI129" i="17"/>
  <c r="FV129" i="17"/>
  <c r="GJ128" i="17"/>
  <c r="FS128" i="17"/>
  <c r="GH128" i="17"/>
  <c r="FQ127" i="17"/>
  <c r="GM127" i="17"/>
  <c r="FN124" i="17"/>
  <c r="GO124" i="17"/>
  <c r="FV123" i="17"/>
  <c r="GL123" i="17"/>
  <c r="FW123" i="17"/>
  <c r="GP121" i="17"/>
  <c r="GF121" i="17"/>
  <c r="FZ120" i="17"/>
  <c r="FX120" i="17"/>
  <c r="GB120" i="17"/>
  <c r="FY119" i="17"/>
  <c r="GA119" i="17"/>
  <c r="GG115" i="17"/>
  <c r="FP115" i="17"/>
  <c r="GO115" i="17"/>
  <c r="GD114" i="17"/>
  <c r="FO114" i="17"/>
  <c r="GF114" i="17"/>
  <c r="GE114" i="17"/>
  <c r="GB113" i="17"/>
  <c r="GI113" i="17"/>
  <c r="FS112" i="17"/>
  <c r="GI112" i="17"/>
  <c r="GK112" i="17"/>
  <c r="GH112" i="17"/>
  <c r="GM111" i="17"/>
  <c r="FN108" i="17"/>
  <c r="GO108" i="17"/>
  <c r="GP108" i="17"/>
  <c r="FV107" i="17"/>
  <c r="GL107" i="17"/>
  <c r="FY104" i="17"/>
  <c r="GA104" i="17"/>
  <c r="GP103" i="17"/>
  <c r="GC102" i="17"/>
  <c r="FT102" i="17"/>
  <c r="GA101" i="17"/>
  <c r="FT99" i="17"/>
  <c r="GM99" i="17"/>
  <c r="GE99" i="17"/>
  <c r="GF96" i="17"/>
  <c r="FO96" i="17"/>
  <c r="GE96" i="17"/>
  <c r="FS94" i="17"/>
  <c r="GH94" i="17"/>
  <c r="GI94" i="17"/>
  <c r="GK94" i="17"/>
  <c r="FR94" i="17"/>
  <c r="GM93" i="17"/>
  <c r="FQ93" i="17"/>
  <c r="FN67" i="17"/>
  <c r="GO67" i="17"/>
  <c r="FW66" i="17"/>
  <c r="GL66" i="17"/>
  <c r="FY65" i="17"/>
  <c r="GA65" i="17"/>
  <c r="GP64" i="17"/>
  <c r="GB63" i="17"/>
  <c r="FX63" i="17"/>
  <c r="FZ63" i="17"/>
  <c r="GA62" i="17"/>
  <c r="FY62" i="17"/>
  <c r="GE60" i="17"/>
  <c r="FT60" i="17"/>
  <c r="GO58" i="17"/>
  <c r="FP58" i="17"/>
  <c r="GG58" i="17"/>
  <c r="GN58" i="17"/>
  <c r="FR58" i="17"/>
  <c r="GE57" i="17"/>
  <c r="GG57" i="17"/>
  <c r="FO57" i="17"/>
  <c r="GF57" i="17"/>
  <c r="GB56" i="17"/>
  <c r="GI56" i="17"/>
  <c r="FV56" i="17"/>
  <c r="FX56" i="17"/>
  <c r="GJ55" i="17"/>
  <c r="FR55" i="17"/>
  <c r="GH55" i="17"/>
  <c r="GK55" i="17"/>
  <c r="FS55" i="17"/>
  <c r="FN51" i="17"/>
  <c r="GO51" i="17"/>
  <c r="GP48" i="17"/>
  <c r="GF48" i="17"/>
  <c r="FT47" i="17"/>
  <c r="GC47" i="17"/>
  <c r="FY46" i="17"/>
  <c r="GA46" i="17"/>
  <c r="GE44" i="17"/>
  <c r="FT44" i="17"/>
  <c r="GM44" i="17"/>
  <c r="GE41" i="17"/>
  <c r="FT41" i="17"/>
  <c r="GM41" i="17"/>
  <c r="GO39" i="17"/>
  <c r="GG39" i="17"/>
  <c r="GN39" i="17"/>
  <c r="FR39" i="17"/>
  <c r="FP39" i="17"/>
  <c r="GF38" i="17"/>
  <c r="GE38" i="17"/>
  <c r="GI37" i="17"/>
  <c r="FV37" i="17"/>
  <c r="GJ36" i="17"/>
  <c r="FS36" i="17"/>
  <c r="FR36" i="17"/>
  <c r="FP35" i="17"/>
  <c r="GM35" i="17"/>
  <c r="FQ35" i="17"/>
  <c r="FP32" i="17"/>
  <c r="GM32" i="17"/>
  <c r="FQ32" i="17"/>
  <c r="FN28" i="17"/>
  <c r="GP28" i="17"/>
  <c r="FW30" i="17"/>
  <c r="GL30" i="17"/>
  <c r="FZ25" i="17"/>
  <c r="GB25" i="17"/>
  <c r="GC25" i="17"/>
  <c r="FT25" i="17"/>
  <c r="FY24" i="17"/>
  <c r="GA24" i="17"/>
  <c r="GM22" i="17"/>
  <c r="FT22" i="17"/>
  <c r="GE22" i="17"/>
  <c r="FR20" i="17"/>
  <c r="GG20" i="17"/>
  <c r="GF19" i="17"/>
  <c r="FO19" i="17"/>
  <c r="GH17" i="17"/>
  <c r="FS17" i="17"/>
  <c r="FP16" i="17"/>
  <c r="FQ16" i="17"/>
  <c r="GM16" i="17"/>
  <c r="FN13" i="17"/>
  <c r="GP13" i="17"/>
  <c r="FV12" i="17"/>
  <c r="FY11" i="17"/>
  <c r="GA11" i="17"/>
  <c r="GP10" i="17"/>
  <c r="GF10" i="17"/>
  <c r="FX9" i="17"/>
  <c r="FZ9" i="17"/>
  <c r="GB9" i="17"/>
  <c r="GC9" i="17"/>
  <c r="FT9" i="17"/>
  <c r="FS7" i="17"/>
  <c r="FU7" i="17"/>
  <c r="FT6" i="17"/>
  <c r="GM6" i="17"/>
  <c r="GE6" i="17"/>
  <c r="FP4" i="17"/>
  <c r="GO4" i="17"/>
  <c r="GN4" i="17"/>
  <c r="GB82" i="17"/>
  <c r="HB36" i="17"/>
  <c r="ID36" i="17" s="1"/>
  <c r="GX36" i="17"/>
  <c r="HZ36" i="17" s="1"/>
  <c r="GZ36" i="17"/>
  <c r="IB36" i="17" s="1"/>
  <c r="HI36" i="17"/>
  <c r="IK36" i="17" s="1"/>
  <c r="HD36" i="17"/>
  <c r="IF36" i="17" s="1"/>
  <c r="HL36" i="17"/>
  <c r="IN36" i="17" s="1"/>
  <c r="AT73" i="17"/>
  <c r="GC336" i="17"/>
  <c r="GC83" i="17"/>
  <c r="GC335" i="17"/>
  <c r="GC334" i="17"/>
  <c r="GH245" i="17"/>
  <c r="GI245" i="17"/>
  <c r="GK245" i="17"/>
  <c r="AK308" i="17"/>
  <c r="AS308" i="17"/>
  <c r="GQ308" i="17" s="1"/>
  <c r="HM308" i="17" s="1"/>
  <c r="IO308" i="17" s="1"/>
  <c r="HA42" i="17"/>
  <c r="IC42" i="17" s="1"/>
  <c r="GL90" i="17"/>
  <c r="FW83" i="17"/>
  <c r="FV83" i="17"/>
  <c r="GL83" i="17"/>
  <c r="FQ80" i="17"/>
  <c r="GM80" i="17"/>
  <c r="GD80" i="17"/>
  <c r="GL76" i="17"/>
  <c r="FV76" i="17"/>
  <c r="FW76" i="17"/>
  <c r="GN245" i="17"/>
  <c r="AK85" i="17"/>
  <c r="AQ85" i="17"/>
  <c r="AS85" i="17"/>
  <c r="GQ85" i="17" s="1"/>
  <c r="HD85" i="17" s="1"/>
  <c r="IF85" i="17" s="1"/>
  <c r="AM85" i="17"/>
  <c r="AN85" i="17"/>
  <c r="GR130" i="17"/>
  <c r="HT130" i="17" s="1"/>
  <c r="HD130" i="17"/>
  <c r="IF130" i="17" s="1"/>
  <c r="HK130" i="17"/>
  <c r="IM130" i="17" s="1"/>
  <c r="GY130" i="17"/>
  <c r="IA130" i="17" s="1"/>
  <c r="HJ130" i="17"/>
  <c r="IL130" i="17" s="1"/>
  <c r="HB130" i="17"/>
  <c r="ID130" i="17" s="1"/>
  <c r="HP130" i="17"/>
  <c r="IR130" i="17" s="1"/>
  <c r="GU130" i="17"/>
  <c r="HW130" i="17" s="1"/>
  <c r="HN130" i="17"/>
  <c r="IP130" i="17" s="1"/>
  <c r="HR130" i="17"/>
  <c r="IT130" i="17" s="1"/>
  <c r="HC130" i="17"/>
  <c r="IE130" i="17" s="1"/>
  <c r="GX130" i="17"/>
  <c r="HZ130" i="17" s="1"/>
  <c r="HL130" i="17"/>
  <c r="IN130" i="17" s="1"/>
  <c r="HE130" i="17"/>
  <c r="IG130" i="17" s="1"/>
  <c r="HG130" i="17"/>
  <c r="II130" i="17" s="1"/>
  <c r="GV130" i="17"/>
  <c r="HX130" i="17" s="1"/>
  <c r="HF130" i="17"/>
  <c r="IH130" i="17" s="1"/>
  <c r="GW130" i="17"/>
  <c r="HY130" i="17" s="1"/>
  <c r="AP323" i="17"/>
  <c r="AQ323" i="17"/>
  <c r="AL323" i="17"/>
  <c r="AM323" i="17"/>
  <c r="AR323" i="17"/>
  <c r="AK323" i="17"/>
  <c r="AN323" i="17"/>
  <c r="AT323" i="17"/>
  <c r="AU323" i="17"/>
  <c r="AU297" i="17"/>
  <c r="AP297" i="17"/>
  <c r="AQ297" i="17"/>
  <c r="AR297" i="17"/>
  <c r="AK297" i="17"/>
  <c r="AL297" i="17"/>
  <c r="AN297" i="17"/>
  <c r="AT297" i="17"/>
  <c r="AS297" i="17"/>
  <c r="GQ297" i="17" s="1"/>
  <c r="AK279" i="17"/>
  <c r="AL279" i="17"/>
  <c r="AQ279" i="17"/>
  <c r="AU279" i="17"/>
  <c r="AS279" i="17"/>
  <c r="GQ279" i="17" s="1"/>
  <c r="HJ279" i="17" s="1"/>
  <c r="IL279" i="17" s="1"/>
  <c r="AT279" i="17"/>
  <c r="AO279" i="17"/>
  <c r="AP279" i="17"/>
  <c r="AR279" i="17"/>
  <c r="AM279" i="17"/>
  <c r="AN279" i="17"/>
  <c r="AR264" i="17"/>
  <c r="AK264" i="17"/>
  <c r="AQ264" i="17"/>
  <c r="AL264" i="17"/>
  <c r="AS264" i="17"/>
  <c r="GQ264" i="17" s="1"/>
  <c r="GS264" i="17" s="1"/>
  <c r="HU264" i="17" s="1"/>
  <c r="AM264" i="17"/>
  <c r="AL248" i="17"/>
  <c r="AK248" i="17"/>
  <c r="AO248" i="17"/>
  <c r="AP248" i="17"/>
  <c r="AN248" i="17"/>
  <c r="AQ248" i="17"/>
  <c r="AS248" i="17"/>
  <c r="GQ248" i="17" s="1"/>
  <c r="AR248" i="17"/>
  <c r="AM220" i="17"/>
  <c r="AT220" i="17"/>
  <c r="AP220" i="17"/>
  <c r="AQ220" i="17"/>
  <c r="AR220" i="17"/>
  <c r="AK220" i="17"/>
  <c r="AN220" i="17"/>
  <c r="AO220" i="17"/>
  <c r="AS220" i="17"/>
  <c r="GQ220" i="17" s="1"/>
  <c r="HD220" i="17" s="1"/>
  <c r="IF220" i="17" s="1"/>
  <c r="AL220" i="17"/>
  <c r="AU220" i="17"/>
  <c r="AN204" i="17"/>
  <c r="AO204" i="17"/>
  <c r="AP204" i="17"/>
  <c r="AQ204" i="17"/>
  <c r="AR204" i="17"/>
  <c r="AS204" i="17"/>
  <c r="GQ204" i="17" s="1"/>
  <c r="AS187" i="17"/>
  <c r="GQ187" i="17" s="1"/>
  <c r="GS187" i="17" s="1"/>
  <c r="HU187" i="17" s="1"/>
  <c r="AO187" i="17"/>
  <c r="AP187" i="17"/>
  <c r="AL187" i="17"/>
  <c r="AM187" i="17"/>
  <c r="AN187" i="17"/>
  <c r="AQ187" i="17"/>
  <c r="AR187" i="17"/>
  <c r="AT187" i="17"/>
  <c r="AK187" i="17"/>
  <c r="AU187" i="17"/>
  <c r="AL161" i="17"/>
  <c r="AK161" i="17"/>
  <c r="AO161" i="17"/>
  <c r="AP161" i="17"/>
  <c r="AQ161" i="17"/>
  <c r="AM161" i="17"/>
  <c r="AN161" i="17"/>
  <c r="AU145" i="17"/>
  <c r="AK145" i="17"/>
  <c r="AT145" i="17"/>
  <c r="AL145" i="17"/>
  <c r="AM145" i="17"/>
  <c r="AS145" i="17"/>
  <c r="GQ145" i="17" s="1"/>
  <c r="HO145" i="17" s="1"/>
  <c r="IQ145" i="17" s="1"/>
  <c r="AN145" i="17"/>
  <c r="AP145" i="17"/>
  <c r="AO129" i="17"/>
  <c r="AP129" i="17"/>
  <c r="AQ129" i="17"/>
  <c r="AR129" i="17"/>
  <c r="AS129" i="17"/>
  <c r="GQ129" i="17" s="1"/>
  <c r="GT129" i="17" s="1"/>
  <c r="HV129" i="17" s="1"/>
  <c r="AN129" i="17"/>
  <c r="AL129" i="17"/>
  <c r="AM129" i="17"/>
  <c r="AT113" i="17"/>
  <c r="AU113" i="17"/>
  <c r="AK113" i="17"/>
  <c r="AR113" i="17"/>
  <c r="AS113" i="17"/>
  <c r="GQ113" i="17" s="1"/>
  <c r="HH113" i="17" s="1"/>
  <c r="IJ113" i="17" s="1"/>
  <c r="AL113" i="17"/>
  <c r="AM113" i="17"/>
  <c r="AN113" i="17"/>
  <c r="AO113" i="17"/>
  <c r="AP113" i="17"/>
  <c r="AQ113" i="17"/>
  <c r="AT95" i="17"/>
  <c r="AL95" i="17"/>
  <c r="AM95" i="17"/>
  <c r="AQ95" i="17"/>
  <c r="AR95" i="17"/>
  <c r="AS95" i="17"/>
  <c r="GQ95" i="17" s="1"/>
  <c r="AU95" i="17"/>
  <c r="AK95" i="17"/>
  <c r="AR56" i="17"/>
  <c r="AS56" i="17"/>
  <c r="GQ56" i="17" s="1"/>
  <c r="AM56" i="17"/>
  <c r="AN56" i="17"/>
  <c r="AU56" i="17"/>
  <c r="AK56" i="17"/>
  <c r="AL56" i="17"/>
  <c r="AL40" i="17"/>
  <c r="AM40" i="17"/>
  <c r="AT40" i="17"/>
  <c r="AU40" i="17"/>
  <c r="AK40" i="17"/>
  <c r="AP40" i="17"/>
  <c r="AQ40" i="17"/>
  <c r="AR40" i="17"/>
  <c r="AN40" i="17"/>
  <c r="AT24" i="17"/>
  <c r="AU24" i="17"/>
  <c r="AQ24" i="17"/>
  <c r="AO24" i="17"/>
  <c r="AP24" i="17"/>
  <c r="AK24" i="17"/>
  <c r="AL24" i="17"/>
  <c r="AM24" i="17"/>
  <c r="AN24" i="17"/>
  <c r="AQ8" i="17"/>
  <c r="AR8" i="17"/>
  <c r="AT8" i="17"/>
  <c r="AU8" i="17"/>
  <c r="AS8" i="17"/>
  <c r="GQ8" i="17" s="1"/>
  <c r="HQ8" i="17" s="1"/>
  <c r="IS8" i="17" s="1"/>
  <c r="AK8" i="17"/>
  <c r="AL8" i="17"/>
  <c r="AP8" i="17"/>
  <c r="AM8" i="17"/>
  <c r="AN8" i="17"/>
  <c r="FS333" i="17"/>
  <c r="FR333" i="17"/>
  <c r="GH333" i="17"/>
  <c r="GJ333" i="17"/>
  <c r="GK333" i="17"/>
  <c r="FQ332" i="17"/>
  <c r="GM332" i="17"/>
  <c r="FP332" i="17"/>
  <c r="FN293" i="17"/>
  <c r="FO293" i="17"/>
  <c r="GC327" i="17"/>
  <c r="FU325" i="17"/>
  <c r="FS325" i="17"/>
  <c r="GN322" i="17"/>
  <c r="FP322" i="17"/>
  <c r="GO322" i="17"/>
  <c r="GF321" i="17"/>
  <c r="GD321" i="17"/>
  <c r="FO321" i="17"/>
  <c r="FS319" i="17"/>
  <c r="GH319" i="17"/>
  <c r="GI319" i="17"/>
  <c r="FR319" i="17"/>
  <c r="FN315" i="17"/>
  <c r="FO315" i="17"/>
  <c r="FV303" i="17"/>
  <c r="GL303" i="17"/>
  <c r="FZ300" i="17"/>
  <c r="GB300" i="17"/>
  <c r="GA299" i="17"/>
  <c r="FY299" i="17"/>
  <c r="GO296" i="17"/>
  <c r="GN296" i="17"/>
  <c r="FX295" i="17"/>
  <c r="FO295" i="17"/>
  <c r="GD295" i="17"/>
  <c r="GJ291" i="17"/>
  <c r="GH291" i="17"/>
  <c r="GK291" i="17"/>
  <c r="FN287" i="17"/>
  <c r="FO287" i="17"/>
  <c r="FV286" i="17"/>
  <c r="GL286" i="17"/>
  <c r="FZ283" i="17"/>
  <c r="GB283" i="17"/>
  <c r="GA282" i="17"/>
  <c r="FP278" i="17"/>
  <c r="GN278" i="17"/>
  <c r="GO278" i="17"/>
  <c r="GE277" i="17"/>
  <c r="GF277" i="17"/>
  <c r="GH275" i="17"/>
  <c r="FS275" i="17"/>
  <c r="GJ275" i="17"/>
  <c r="GK275" i="17"/>
  <c r="FN271" i="17"/>
  <c r="FO271" i="17"/>
  <c r="GB189" i="17"/>
  <c r="FZ189" i="17"/>
  <c r="FY267" i="17"/>
  <c r="FU266" i="17"/>
  <c r="FS266" i="17"/>
  <c r="GM265" i="17"/>
  <c r="FT265" i="17"/>
  <c r="GO263" i="17"/>
  <c r="FP263" i="17"/>
  <c r="GN263" i="17"/>
  <c r="GB261" i="17"/>
  <c r="FV261" i="17"/>
  <c r="FS260" i="17"/>
  <c r="GJ260" i="17"/>
  <c r="GH260" i="17"/>
  <c r="FQ259" i="17"/>
  <c r="GM259" i="17"/>
  <c r="FP259" i="17"/>
  <c r="FN256" i="17"/>
  <c r="FO256" i="17"/>
  <c r="GF253" i="17"/>
  <c r="GP253" i="17"/>
  <c r="GB252" i="17"/>
  <c r="FZ252" i="17"/>
  <c r="GA251" i="17"/>
  <c r="FS250" i="17"/>
  <c r="FU250" i="17"/>
  <c r="FT249" i="17"/>
  <c r="GN247" i="17"/>
  <c r="FP247" i="17"/>
  <c r="GF246" i="17"/>
  <c r="GG246" i="17"/>
  <c r="FO246" i="17"/>
  <c r="FV233" i="17"/>
  <c r="FZ233" i="17"/>
  <c r="GK232" i="17"/>
  <c r="GJ232" i="17"/>
  <c r="GH232" i="17"/>
  <c r="GM231" i="17"/>
  <c r="FQ231" i="17"/>
  <c r="FN228" i="17"/>
  <c r="FO228" i="17"/>
  <c r="GL227" i="17"/>
  <c r="FV227" i="17"/>
  <c r="GB224" i="17"/>
  <c r="FX224" i="17"/>
  <c r="FZ224" i="17"/>
  <c r="GC224" i="17"/>
  <c r="GA223" i="17"/>
  <c r="FY223" i="17"/>
  <c r="FS222" i="17"/>
  <c r="FU222" i="17"/>
  <c r="GN219" i="17"/>
  <c r="FP219" i="17"/>
  <c r="GO219" i="17"/>
  <c r="FO218" i="17"/>
  <c r="GG218" i="17"/>
  <c r="GD218" i="17"/>
  <c r="GJ216" i="17"/>
  <c r="GK216" i="17"/>
  <c r="FP215" i="17"/>
  <c r="FQ215" i="17"/>
  <c r="FN212" i="17"/>
  <c r="FO212" i="17"/>
  <c r="FW211" i="17"/>
  <c r="GL211" i="17"/>
  <c r="FV211" i="17"/>
  <c r="FX208" i="17"/>
  <c r="GB208" i="17"/>
  <c r="FY207" i="17"/>
  <c r="FS206" i="17"/>
  <c r="FU206" i="17"/>
  <c r="FT205" i="17"/>
  <c r="FX202" i="17"/>
  <c r="GD202" i="17"/>
  <c r="GE202" i="17"/>
  <c r="GF202" i="17"/>
  <c r="GB201" i="17"/>
  <c r="FV201" i="17"/>
  <c r="FR200" i="17"/>
  <c r="GJ200" i="17"/>
  <c r="FS200" i="17"/>
  <c r="GK200" i="17"/>
  <c r="FQ199" i="17"/>
  <c r="FN196" i="17"/>
  <c r="GO196" i="17"/>
  <c r="FO196" i="17"/>
  <c r="FW195" i="17"/>
  <c r="FV195" i="17"/>
  <c r="GP193" i="17"/>
  <c r="GF193" i="17"/>
  <c r="FX192" i="17"/>
  <c r="FZ192" i="17"/>
  <c r="GB192" i="17"/>
  <c r="GC192" i="17"/>
  <c r="FY191" i="17"/>
  <c r="FU190" i="17"/>
  <c r="FS190" i="17"/>
  <c r="FT188" i="17"/>
  <c r="GD185" i="17"/>
  <c r="GF185" i="17"/>
  <c r="FO185" i="17"/>
  <c r="GK183" i="17"/>
  <c r="FR183" i="17"/>
  <c r="GH183" i="17"/>
  <c r="GM182" i="17"/>
  <c r="FP182" i="17"/>
  <c r="FQ182" i="17"/>
  <c r="FN169" i="17"/>
  <c r="FO169" i="17"/>
  <c r="FV168" i="17"/>
  <c r="GL168" i="17"/>
  <c r="GF166" i="17"/>
  <c r="GP166" i="17"/>
  <c r="FY164" i="17"/>
  <c r="GA164" i="17"/>
  <c r="FU163" i="17"/>
  <c r="GM162" i="17"/>
  <c r="FT162" i="17"/>
  <c r="GN160" i="17"/>
  <c r="GO160" i="17"/>
  <c r="FP160" i="17"/>
  <c r="FX159" i="17"/>
  <c r="FO159" i="17"/>
  <c r="GE159" i="17"/>
  <c r="GF159" i="17"/>
  <c r="GB158" i="17"/>
  <c r="FV158" i="17"/>
  <c r="FX158" i="17"/>
  <c r="GH157" i="17"/>
  <c r="GJ157" i="17"/>
  <c r="FQ156" i="17"/>
  <c r="FN153" i="17"/>
  <c r="FO153" i="17"/>
  <c r="GO153" i="17"/>
  <c r="FV152" i="17"/>
  <c r="FW152" i="17"/>
  <c r="GL152" i="17"/>
  <c r="GF150" i="17"/>
  <c r="GP150" i="17"/>
  <c r="GB149" i="17"/>
  <c r="FX149" i="17"/>
  <c r="GA148" i="17"/>
  <c r="FS147" i="17"/>
  <c r="FU147" i="17"/>
  <c r="FT146" i="17"/>
  <c r="GM146" i="17"/>
  <c r="GO144" i="17"/>
  <c r="FP144" i="17"/>
  <c r="GN144" i="17"/>
  <c r="FX143" i="17"/>
  <c r="GE143" i="17"/>
  <c r="FO143" i="17"/>
  <c r="GF143" i="17"/>
  <c r="GD143" i="17"/>
  <c r="GB142" i="17"/>
  <c r="FV142" i="17"/>
  <c r="FZ142" i="17"/>
  <c r="FX142" i="17"/>
  <c r="GK141" i="17"/>
  <c r="FR141" i="17"/>
  <c r="FS141" i="17"/>
  <c r="GJ141" i="17"/>
  <c r="FQ140" i="17"/>
  <c r="GM140" i="17"/>
  <c r="FN137" i="17"/>
  <c r="FO137" i="17"/>
  <c r="GL136" i="17"/>
  <c r="FW136" i="17"/>
  <c r="FZ133" i="17"/>
  <c r="FX133" i="17"/>
  <c r="FY132" i="17"/>
  <c r="FT130" i="17"/>
  <c r="GN128" i="17"/>
  <c r="GO128" i="17"/>
  <c r="FO127" i="17"/>
  <c r="GE127" i="17"/>
  <c r="GD127" i="17"/>
  <c r="GG127" i="17"/>
  <c r="GJ125" i="17"/>
  <c r="GK125" i="17"/>
  <c r="FR125" i="17"/>
  <c r="GI125" i="17"/>
  <c r="FS125" i="17"/>
  <c r="FQ124" i="17"/>
  <c r="GM124" i="17"/>
  <c r="FN121" i="17"/>
  <c r="GO121" i="17"/>
  <c r="FW120" i="17"/>
  <c r="FV120" i="17"/>
  <c r="GL120" i="17"/>
  <c r="GF118" i="17"/>
  <c r="GP118" i="17"/>
  <c r="GB117" i="17"/>
  <c r="FZ117" i="17"/>
  <c r="FX117" i="17"/>
  <c r="FY116" i="17"/>
  <c r="GO112" i="17"/>
  <c r="FP112" i="17"/>
  <c r="GG111" i="17"/>
  <c r="GE111" i="17"/>
  <c r="GD111" i="17"/>
  <c r="GK109" i="17"/>
  <c r="GJ109" i="17"/>
  <c r="GH109" i="17"/>
  <c r="FN103" i="17"/>
  <c r="FO103" i="17"/>
  <c r="GO103" i="17"/>
  <c r="FY98" i="17"/>
  <c r="GO94" i="17"/>
  <c r="GN94" i="17"/>
  <c r="GF93" i="17"/>
  <c r="GG93" i="17"/>
  <c r="GE93" i="17"/>
  <c r="FS91" i="17"/>
  <c r="GJ91" i="17"/>
  <c r="FR91" i="17"/>
  <c r="GH91" i="17"/>
  <c r="GI91" i="17"/>
  <c r="FQ67" i="17"/>
  <c r="GM67" i="17"/>
  <c r="FN64" i="17"/>
  <c r="GO64" i="17"/>
  <c r="FW63" i="17"/>
  <c r="GF61" i="17"/>
  <c r="GP61" i="17"/>
  <c r="FX60" i="17"/>
  <c r="FZ60" i="17"/>
  <c r="GB60" i="17"/>
  <c r="GA59" i="17"/>
  <c r="FT57" i="17"/>
  <c r="GM57" i="17"/>
  <c r="GO55" i="17"/>
  <c r="GN55" i="17"/>
  <c r="FP55" i="17"/>
  <c r="FX54" i="17"/>
  <c r="GG54" i="17"/>
  <c r="GF54" i="17"/>
  <c r="GB53" i="17"/>
  <c r="FX53" i="17"/>
  <c r="FZ53" i="17"/>
  <c r="FV53" i="17"/>
  <c r="GH52" i="17"/>
  <c r="GJ52" i="17"/>
  <c r="GI52" i="17"/>
  <c r="FS52" i="17"/>
  <c r="FR52" i="17"/>
  <c r="FQ51" i="17"/>
  <c r="GM51" i="17"/>
  <c r="FN48" i="17"/>
  <c r="GO48" i="17"/>
  <c r="FO48" i="17"/>
  <c r="FV47" i="17"/>
  <c r="GL47" i="17"/>
  <c r="FW47" i="17"/>
  <c r="GF45" i="17"/>
  <c r="GP45" i="17"/>
  <c r="FX44" i="17"/>
  <c r="FZ44" i="17"/>
  <c r="GA43" i="17"/>
  <c r="FY43" i="17"/>
  <c r="GP42" i="17"/>
  <c r="FX41" i="17"/>
  <c r="FZ41" i="17"/>
  <c r="GB41" i="17"/>
  <c r="GC41" i="17"/>
  <c r="FU39" i="17"/>
  <c r="FS39" i="17"/>
  <c r="FT38" i="17"/>
  <c r="GM38" i="17"/>
  <c r="GO36" i="17"/>
  <c r="FP36" i="17"/>
  <c r="FX35" i="17"/>
  <c r="GE35" i="17"/>
  <c r="GG35" i="17"/>
  <c r="GD35" i="17"/>
  <c r="FO35" i="17"/>
  <c r="FZ34" i="17"/>
  <c r="GB34" i="17"/>
  <c r="GK33" i="17"/>
  <c r="GH33" i="17"/>
  <c r="FS33" i="17"/>
  <c r="FX32" i="17"/>
  <c r="FO32" i="17"/>
  <c r="GE32" i="17"/>
  <c r="GG32" i="17"/>
  <c r="FZ31" i="17"/>
  <c r="GB31" i="17"/>
  <c r="FX31" i="17"/>
  <c r="FV31" i="17"/>
  <c r="FR29" i="17"/>
  <c r="FS29" i="17"/>
  <c r="GH29" i="17"/>
  <c r="GK29" i="17"/>
  <c r="GJ29" i="17"/>
  <c r="FQ28" i="17"/>
  <c r="GM28" i="17"/>
  <c r="FN26" i="17"/>
  <c r="FO26" i="17"/>
  <c r="GO26" i="17"/>
  <c r="FW25" i="17"/>
  <c r="GL25" i="17"/>
  <c r="GF23" i="17"/>
  <c r="GP23" i="17"/>
  <c r="FX22" i="17"/>
  <c r="GB22" i="17"/>
  <c r="GA21" i="17"/>
  <c r="FT19" i="17"/>
  <c r="GN17" i="17"/>
  <c r="GO17" i="17"/>
  <c r="FP17" i="17"/>
  <c r="FX16" i="17"/>
  <c r="GG16" i="17"/>
  <c r="GE16" i="17"/>
  <c r="FO16" i="17"/>
  <c r="GD16" i="17"/>
  <c r="GF16" i="17"/>
  <c r="FZ15" i="17"/>
  <c r="GB15" i="17"/>
  <c r="FV15" i="17"/>
  <c r="GH14" i="17"/>
  <c r="FR14" i="17"/>
  <c r="GK14" i="17"/>
  <c r="GI14" i="17"/>
  <c r="FP13" i="17"/>
  <c r="FQ13" i="17"/>
  <c r="GM13" i="17"/>
  <c r="FN10" i="17"/>
  <c r="FO10" i="17"/>
  <c r="GO10" i="17"/>
  <c r="FV9" i="17"/>
  <c r="FW9" i="17"/>
  <c r="GL9" i="17"/>
  <c r="GP7" i="17"/>
  <c r="GF7" i="17"/>
  <c r="GB6" i="17"/>
  <c r="FZ6" i="17"/>
  <c r="FX6" i="17"/>
  <c r="FY5" i="17"/>
  <c r="GA5" i="17"/>
  <c r="GM90" i="17"/>
  <c r="GL33" i="17"/>
  <c r="HN178" i="17"/>
  <c r="IP178" i="17" s="1"/>
  <c r="AR336" i="17"/>
  <c r="AP336" i="17"/>
  <c r="AN336" i="17"/>
  <c r="AU336" i="17"/>
  <c r="GY249" i="17"/>
  <c r="IA249" i="17" s="1"/>
  <c r="GZ249" i="17"/>
  <c r="IB249" i="17" s="1"/>
  <c r="HC249" i="17"/>
  <c r="IE249" i="17" s="1"/>
  <c r="HP249" i="17"/>
  <c r="IR249" i="17" s="1"/>
  <c r="HR249" i="17"/>
  <c r="IT249" i="17" s="1"/>
  <c r="HE249" i="17"/>
  <c r="IG249" i="17" s="1"/>
  <c r="GR249" i="17"/>
  <c r="HT249" i="17" s="1"/>
  <c r="GV249" i="17"/>
  <c r="HX249" i="17" s="1"/>
  <c r="HF249" i="17"/>
  <c r="IH249" i="17" s="1"/>
  <c r="HI249" i="17"/>
  <c r="IK249" i="17" s="1"/>
  <c r="HJ249" i="17"/>
  <c r="IL249" i="17" s="1"/>
  <c r="HO249" i="17"/>
  <c r="IQ249" i="17" s="1"/>
  <c r="GT249" i="17"/>
  <c r="HV249" i="17" s="1"/>
  <c r="GU249" i="17"/>
  <c r="HW249" i="17" s="1"/>
  <c r="HQ249" i="17"/>
  <c r="IS249" i="17" s="1"/>
  <c r="HB249" i="17"/>
  <c r="ID249" i="17" s="1"/>
  <c r="HH249" i="17"/>
  <c r="IJ249" i="17" s="1"/>
  <c r="FX335" i="17"/>
  <c r="FZ335" i="17"/>
  <c r="GK78" i="17"/>
  <c r="GI78" i="17"/>
  <c r="GC76" i="17"/>
  <c r="AM334" i="17"/>
  <c r="AS334" i="17"/>
  <c r="GQ334" i="17" s="1"/>
  <c r="HD334" i="17" s="1"/>
  <c r="IF334" i="17" s="1"/>
  <c r="AR334" i="17"/>
  <c r="AT334" i="17"/>
  <c r="FY105" i="17"/>
  <c r="GA105" i="17"/>
  <c r="FQ73" i="17"/>
  <c r="FY314" i="17"/>
  <c r="GA314" i="17"/>
  <c r="FQ310" i="17"/>
  <c r="FY239" i="17"/>
  <c r="HJ42" i="17"/>
  <c r="IL42" i="17" s="1"/>
  <c r="HD249" i="17"/>
  <c r="IF249" i="17" s="1"/>
  <c r="AM278" i="17"/>
  <c r="AP278" i="17"/>
  <c r="AQ278" i="17"/>
  <c r="AL278" i="17"/>
  <c r="AN278" i="17"/>
  <c r="AN247" i="17"/>
  <c r="AP247" i="17"/>
  <c r="AR247" i="17"/>
  <c r="AN203" i="17"/>
  <c r="AO203" i="17"/>
  <c r="AK203" i="17"/>
  <c r="AL203" i="17"/>
  <c r="AM203" i="17"/>
  <c r="AU203" i="17"/>
  <c r="AS160" i="17"/>
  <c r="GQ160" i="17" s="1"/>
  <c r="HF160" i="17" s="1"/>
  <c r="IH160" i="17" s="1"/>
  <c r="AU160" i="17"/>
  <c r="AT160" i="17"/>
  <c r="AO144" i="17"/>
  <c r="AP144" i="17"/>
  <c r="AR128" i="17"/>
  <c r="AL128" i="17"/>
  <c r="AM128" i="17"/>
  <c r="AN128" i="17"/>
  <c r="AN94" i="17"/>
  <c r="AS94" i="17"/>
  <c r="GQ94" i="17" s="1"/>
  <c r="AT94" i="17"/>
  <c r="AS55" i="17"/>
  <c r="GQ55" i="17" s="1"/>
  <c r="AT55" i="17"/>
  <c r="AQ39" i="17"/>
  <c r="AR39" i="17"/>
  <c r="AS39" i="17"/>
  <c r="GQ39" i="17" s="1"/>
  <c r="HA39" i="17" s="1"/>
  <c r="IC39" i="17" s="1"/>
  <c r="AT39" i="17"/>
  <c r="GF332" i="17"/>
  <c r="GE332" i="17"/>
  <c r="FO332" i="17"/>
  <c r="GH294" i="17"/>
  <c r="GK294" i="17"/>
  <c r="GI294" i="17"/>
  <c r="FS294" i="17"/>
  <c r="FR294" i="17"/>
  <c r="GN294" i="17"/>
  <c r="GM293" i="17"/>
  <c r="FQ293" i="17"/>
  <c r="FN328" i="17"/>
  <c r="FO328" i="17"/>
  <c r="GL327" i="17"/>
  <c r="FW327" i="17"/>
  <c r="FS322" i="17"/>
  <c r="FU322" i="17"/>
  <c r="FX318" i="17"/>
  <c r="GP301" i="17"/>
  <c r="FN301" i="17"/>
  <c r="FO301" i="17"/>
  <c r="GO301" i="17"/>
  <c r="GE295" i="17"/>
  <c r="GC295" i="17"/>
  <c r="FT295" i="17"/>
  <c r="FU291" i="17"/>
  <c r="GN291" i="17"/>
  <c r="GD290" i="17"/>
  <c r="GE290" i="17"/>
  <c r="GP284" i="17"/>
  <c r="FN284" i="17"/>
  <c r="GO284" i="17"/>
  <c r="GL283" i="17"/>
  <c r="FV283" i="17"/>
  <c r="FW283" i="17"/>
  <c r="FY282" i="17"/>
  <c r="GH282" i="17"/>
  <c r="FT280" i="17"/>
  <c r="GC280" i="17"/>
  <c r="GM277" i="17"/>
  <c r="GC277" i="17"/>
  <c r="FT277" i="17"/>
  <c r="FN268" i="17"/>
  <c r="FQ268" i="17"/>
  <c r="FX265" i="17"/>
  <c r="FZ265" i="17"/>
  <c r="GB265" i="17"/>
  <c r="FU260" i="17"/>
  <c r="GN260" i="17"/>
  <c r="GH257" i="17"/>
  <c r="FR257" i="17"/>
  <c r="FS257" i="17"/>
  <c r="FP256" i="17"/>
  <c r="GD256" i="17"/>
  <c r="GM256" i="17"/>
  <c r="FN253" i="17"/>
  <c r="FQ253" i="17"/>
  <c r="FV252" i="17"/>
  <c r="GL252" i="17"/>
  <c r="FT246" i="17"/>
  <c r="GC246" i="17"/>
  <c r="FU232" i="17"/>
  <c r="GO232" i="17"/>
  <c r="GN232" i="17"/>
  <c r="GG231" i="17"/>
  <c r="GE231" i="17"/>
  <c r="FS229" i="17"/>
  <c r="GJ229" i="17"/>
  <c r="FN225" i="17"/>
  <c r="GO225" i="17"/>
  <c r="GE215" i="17"/>
  <c r="GD215" i="17"/>
  <c r="GG215" i="17"/>
  <c r="GK213" i="17"/>
  <c r="FR213" i="17"/>
  <c r="FS213" i="17"/>
  <c r="FN209" i="17"/>
  <c r="FQ209" i="17"/>
  <c r="FV208" i="17"/>
  <c r="GL208" i="17"/>
  <c r="FX205" i="17"/>
  <c r="GB205" i="17"/>
  <c r="FT202" i="17"/>
  <c r="GC202" i="17"/>
  <c r="FU200" i="17"/>
  <c r="GO200" i="17"/>
  <c r="GN200" i="17"/>
  <c r="GG199" i="17"/>
  <c r="FO199" i="17"/>
  <c r="GD199" i="17"/>
  <c r="GN197" i="17"/>
  <c r="GJ197" i="17"/>
  <c r="GK197" i="17"/>
  <c r="GI197" i="17"/>
  <c r="FN193" i="17"/>
  <c r="GO193" i="17"/>
  <c r="FQ193" i="17"/>
  <c r="FO193" i="17"/>
  <c r="GL192" i="17"/>
  <c r="FW192" i="17"/>
  <c r="FX188" i="17"/>
  <c r="FZ188" i="17"/>
  <c r="FU183" i="17"/>
  <c r="GN183" i="17"/>
  <c r="GF182" i="17"/>
  <c r="FO182" i="17"/>
  <c r="GG182" i="17"/>
  <c r="FX181" i="17"/>
  <c r="FZ181" i="17"/>
  <c r="FS180" i="17"/>
  <c r="GI180" i="17"/>
  <c r="GN180" i="17"/>
  <c r="GK180" i="17"/>
  <c r="GM169" i="17"/>
  <c r="FP169" i="17"/>
  <c r="FQ169" i="17"/>
  <c r="FN166" i="17"/>
  <c r="FO166" i="17"/>
  <c r="GO166" i="17"/>
  <c r="FQ166" i="17"/>
  <c r="GP163" i="17"/>
  <c r="GF163" i="17"/>
  <c r="FX162" i="17"/>
  <c r="FZ162" i="17"/>
  <c r="GB162" i="17"/>
  <c r="FY161" i="17"/>
  <c r="GA161" i="17"/>
  <c r="FU157" i="17"/>
  <c r="GN157" i="17"/>
  <c r="GO157" i="17"/>
  <c r="FX156" i="17"/>
  <c r="FO156" i="17"/>
  <c r="GD156" i="17"/>
  <c r="GF156" i="17"/>
  <c r="GB155" i="17"/>
  <c r="FX155" i="17"/>
  <c r="FZ155" i="17"/>
  <c r="GK154" i="17"/>
  <c r="GH154" i="17"/>
  <c r="FR154" i="17"/>
  <c r="GN154" i="17"/>
  <c r="GI154" i="17"/>
  <c r="GJ154" i="17"/>
  <c r="GD153" i="17"/>
  <c r="FQ153" i="17"/>
  <c r="FP153" i="17"/>
  <c r="FN150" i="17"/>
  <c r="FO150" i="17"/>
  <c r="FQ150" i="17"/>
  <c r="FV149" i="17"/>
  <c r="GL149" i="17"/>
  <c r="FW149" i="17"/>
  <c r="GF147" i="17"/>
  <c r="GP147" i="17"/>
  <c r="FU141" i="17"/>
  <c r="GN141" i="17"/>
  <c r="GO141" i="17"/>
  <c r="FX140" i="17"/>
  <c r="GF140" i="17"/>
  <c r="GD140" i="17"/>
  <c r="GE140" i="17"/>
  <c r="FX139" i="17"/>
  <c r="FZ139" i="17"/>
  <c r="GB139" i="17"/>
  <c r="FS138" i="17"/>
  <c r="GN138" i="17"/>
  <c r="FR138" i="17"/>
  <c r="GK138" i="17"/>
  <c r="GJ138" i="17"/>
  <c r="GH138" i="17"/>
  <c r="GD137" i="17"/>
  <c r="GM137" i="17"/>
  <c r="FP137" i="17"/>
  <c r="FV133" i="17"/>
  <c r="FW133" i="17"/>
  <c r="GP131" i="17"/>
  <c r="GF131" i="17"/>
  <c r="FZ130" i="17"/>
  <c r="GB130" i="17"/>
  <c r="FY129" i="17"/>
  <c r="GA129" i="17"/>
  <c r="FT127" i="17"/>
  <c r="GC127" i="17"/>
  <c r="GN125" i="17"/>
  <c r="GO125" i="17"/>
  <c r="FX124" i="17"/>
  <c r="GG124" i="17"/>
  <c r="FO124" i="17"/>
  <c r="GJ122" i="17"/>
  <c r="GK122" i="17"/>
  <c r="GN122" i="17"/>
  <c r="GD121" i="17"/>
  <c r="FQ121" i="17"/>
  <c r="GM121" i="17"/>
  <c r="FN118" i="17"/>
  <c r="GO118" i="17"/>
  <c r="FQ118" i="17"/>
  <c r="GL117" i="17"/>
  <c r="FW117" i="17"/>
  <c r="GB114" i="17"/>
  <c r="FZ114" i="17"/>
  <c r="FX114" i="17"/>
  <c r="GC111" i="17"/>
  <c r="FT111" i="17"/>
  <c r="FU109" i="17"/>
  <c r="GN109" i="17"/>
  <c r="GO109" i="17"/>
  <c r="FX108" i="17"/>
  <c r="GF108" i="17"/>
  <c r="FO108" i="17"/>
  <c r="GD108" i="17"/>
  <c r="GG108" i="17"/>
  <c r="GN104" i="17"/>
  <c r="FS104" i="17"/>
  <c r="GH104" i="17"/>
  <c r="FR104" i="17"/>
  <c r="GM103" i="17"/>
  <c r="FP103" i="17"/>
  <c r="GD103" i="17"/>
  <c r="FQ103" i="17"/>
  <c r="FN100" i="17"/>
  <c r="FO100" i="17"/>
  <c r="GO100" i="17"/>
  <c r="FW99" i="17"/>
  <c r="GL99" i="17"/>
  <c r="FX96" i="17"/>
  <c r="FZ96" i="17"/>
  <c r="GB96" i="17"/>
  <c r="FT93" i="17"/>
  <c r="GC93" i="17"/>
  <c r="GN91" i="17"/>
  <c r="FU91" i="17"/>
  <c r="GO91" i="17"/>
  <c r="FX67" i="17"/>
  <c r="GD67" i="17"/>
  <c r="GF67" i="17"/>
  <c r="GE67" i="17"/>
  <c r="GG67" i="17"/>
  <c r="FR65" i="17"/>
  <c r="GN65" i="17"/>
  <c r="GH65" i="17"/>
  <c r="FP64" i="17"/>
  <c r="FQ64" i="17"/>
  <c r="GD64" i="17"/>
  <c r="FN61" i="17"/>
  <c r="GO61" i="17"/>
  <c r="FQ61" i="17"/>
  <c r="GB57" i="17"/>
  <c r="FX57" i="17"/>
  <c r="GA56" i="17"/>
  <c r="FY56" i="17"/>
  <c r="FT54" i="17"/>
  <c r="GC54" i="17"/>
  <c r="FX51" i="17"/>
  <c r="GE51" i="17"/>
  <c r="GG51" i="17"/>
  <c r="FO51" i="17"/>
  <c r="GH49" i="17"/>
  <c r="FS49" i="17"/>
  <c r="GN49" i="17"/>
  <c r="GI49" i="17"/>
  <c r="GK49" i="17"/>
  <c r="FR49" i="17"/>
  <c r="FQ48" i="17"/>
  <c r="GD48" i="17"/>
  <c r="FP48" i="17"/>
  <c r="FN42" i="17"/>
  <c r="FO42" i="17"/>
  <c r="GO42" i="17"/>
  <c r="GL41" i="17"/>
  <c r="FV41" i="17"/>
  <c r="FX38" i="17"/>
  <c r="FZ38" i="17"/>
  <c r="GB38" i="17"/>
  <c r="GC35" i="17"/>
  <c r="FT35" i="17"/>
  <c r="GO33" i="17"/>
  <c r="GN33" i="17"/>
  <c r="FU33" i="17"/>
  <c r="GO29" i="17"/>
  <c r="FU29" i="17"/>
  <c r="GN29" i="17"/>
  <c r="FX28" i="17"/>
  <c r="FO28" i="17"/>
  <c r="GF28" i="17"/>
  <c r="GD28" i="17"/>
  <c r="GE28" i="17"/>
  <c r="GB30" i="17"/>
  <c r="FX30" i="17"/>
  <c r="FZ30" i="17"/>
  <c r="FS27" i="17"/>
  <c r="FR27" i="17"/>
  <c r="GJ27" i="17"/>
  <c r="GN27" i="17"/>
  <c r="GI27" i="17"/>
  <c r="FQ26" i="17"/>
  <c r="GD26" i="17"/>
  <c r="GM26" i="17"/>
  <c r="FP26" i="17"/>
  <c r="FN23" i="17"/>
  <c r="FQ23" i="17"/>
  <c r="FW22" i="17"/>
  <c r="GL22" i="17"/>
  <c r="FV22" i="17"/>
  <c r="FZ19" i="17"/>
  <c r="GB19" i="17"/>
  <c r="GA18" i="17"/>
  <c r="FY18" i="17"/>
  <c r="FT16" i="17"/>
  <c r="GC16" i="17"/>
  <c r="FU14" i="17"/>
  <c r="GO14" i="17"/>
  <c r="GD13" i="17"/>
  <c r="GE13" i="17"/>
  <c r="FO13" i="17"/>
  <c r="GF13" i="17"/>
  <c r="FZ12" i="17"/>
  <c r="GB12" i="17"/>
  <c r="GK11" i="17"/>
  <c r="GN11" i="17"/>
  <c r="FS11" i="17"/>
  <c r="GH11" i="17"/>
  <c r="GI11" i="17"/>
  <c r="FR11" i="17"/>
  <c r="FP10" i="17"/>
  <c r="GM10" i="17"/>
  <c r="GD10" i="17"/>
  <c r="FN7" i="17"/>
  <c r="FQ7" i="17"/>
  <c r="FO7" i="17"/>
  <c r="GO7" i="17"/>
  <c r="GL6" i="17"/>
  <c r="FV6" i="17"/>
  <c r="FW6" i="17"/>
  <c r="GB335" i="17"/>
  <c r="HB119" i="17"/>
  <c r="ID119" i="17" s="1"/>
  <c r="GV119" i="17"/>
  <c r="HX119" i="17" s="1"/>
  <c r="GY119" i="17"/>
  <c r="IA119" i="17" s="1"/>
  <c r="HD119" i="17"/>
  <c r="IF119" i="17" s="1"/>
  <c r="HQ326" i="17"/>
  <c r="IS326" i="17" s="1"/>
  <c r="HJ326" i="17"/>
  <c r="IL326" i="17" s="1"/>
  <c r="HI326" i="17"/>
  <c r="IK326" i="17" s="1"/>
  <c r="GR326" i="17"/>
  <c r="HT326" i="17" s="1"/>
  <c r="GU326" i="17"/>
  <c r="HW326" i="17" s="1"/>
  <c r="HF326" i="17"/>
  <c r="IH326" i="17" s="1"/>
  <c r="GV326" i="17"/>
  <c r="HX326" i="17" s="1"/>
  <c r="GY165" i="17"/>
  <c r="IA165" i="17" s="1"/>
  <c r="HQ165" i="17"/>
  <c r="IS165" i="17" s="1"/>
  <c r="GU165" i="17"/>
  <c r="HW165" i="17" s="1"/>
  <c r="HR165" i="17"/>
  <c r="IT165" i="17" s="1"/>
  <c r="HA165" i="17"/>
  <c r="IC165" i="17" s="1"/>
  <c r="GX165" i="17"/>
  <c r="HZ165" i="17" s="1"/>
  <c r="GZ165" i="17"/>
  <c r="IB165" i="17" s="1"/>
  <c r="GR165" i="17"/>
  <c r="HT165" i="17" s="1"/>
  <c r="HB165" i="17"/>
  <c r="ID165" i="17" s="1"/>
  <c r="GS165" i="17"/>
  <c r="HU165" i="17" s="1"/>
  <c r="GL333" i="17"/>
  <c r="GG327" i="17"/>
  <c r="GO327" i="17"/>
  <c r="GH280" i="17"/>
  <c r="GF251" i="17"/>
  <c r="GG251" i="17"/>
  <c r="FS249" i="17"/>
  <c r="GI249" i="17"/>
  <c r="FN233" i="17"/>
  <c r="FO233" i="17"/>
  <c r="FV232" i="17"/>
  <c r="FW232" i="17"/>
  <c r="FX229" i="17"/>
  <c r="FZ229" i="17"/>
  <c r="FS227" i="17"/>
  <c r="FO223" i="17"/>
  <c r="FR221" i="17"/>
  <c r="GH221" i="17"/>
  <c r="FS221" i="17"/>
  <c r="FP220" i="17"/>
  <c r="GO217" i="17"/>
  <c r="FN217" i="17"/>
  <c r="FO217" i="17"/>
  <c r="FV216" i="17"/>
  <c r="FW216" i="17"/>
  <c r="GL216" i="17"/>
  <c r="GF214" i="17"/>
  <c r="GP214" i="17"/>
  <c r="FZ213" i="17"/>
  <c r="GF207" i="17"/>
  <c r="FR205" i="17"/>
  <c r="GH205" i="17"/>
  <c r="GI205" i="17"/>
  <c r="FS205" i="17"/>
  <c r="FP204" i="17"/>
  <c r="GO201" i="17"/>
  <c r="FN201" i="17"/>
  <c r="FV200" i="17"/>
  <c r="GL200" i="17"/>
  <c r="FW200" i="17"/>
  <c r="GF198" i="17"/>
  <c r="GP198" i="17"/>
  <c r="FR188" i="17"/>
  <c r="GI188" i="17"/>
  <c r="FP187" i="17"/>
  <c r="GO184" i="17"/>
  <c r="FN184" i="17"/>
  <c r="FZ180" i="17"/>
  <c r="GF164" i="17"/>
  <c r="FV163" i="17"/>
  <c r="GH162" i="17"/>
  <c r="GI162" i="17"/>
  <c r="GJ162" i="17"/>
  <c r="GK162" i="17"/>
  <c r="GJ158" i="17"/>
  <c r="FN158" i="17"/>
  <c r="GF155" i="17"/>
  <c r="GP155" i="17"/>
  <c r="FZ154" i="17"/>
  <c r="FX154" i="17"/>
  <c r="GB154" i="17"/>
  <c r="FU152" i="17"/>
  <c r="GO149" i="17"/>
  <c r="FP149" i="17"/>
  <c r="GG149" i="17"/>
  <c r="FV147" i="17"/>
  <c r="GI147" i="17"/>
  <c r="GH146" i="17"/>
  <c r="GI146" i="17"/>
  <c r="GJ146" i="17"/>
  <c r="FR146" i="17"/>
  <c r="GJ142" i="17"/>
  <c r="FN142" i="17"/>
  <c r="FO142" i="17"/>
  <c r="FX132" i="17"/>
  <c r="FZ132" i="17"/>
  <c r="GM129" i="17"/>
  <c r="FP129" i="17"/>
  <c r="GJ126" i="17"/>
  <c r="GO126" i="17"/>
  <c r="FN126" i="17"/>
  <c r="FO126" i="17"/>
  <c r="FV115" i="17"/>
  <c r="GH114" i="17"/>
  <c r="FS114" i="17"/>
  <c r="GJ110" i="17"/>
  <c r="FN110" i="17"/>
  <c r="FX104" i="17"/>
  <c r="FS102" i="17"/>
  <c r="GO99" i="17"/>
  <c r="FP99" i="17"/>
  <c r="GG99" i="17"/>
  <c r="GN99" i="17"/>
  <c r="GG98" i="17"/>
  <c r="GF98" i="17"/>
  <c r="FZ97" i="17"/>
  <c r="FN92" i="17"/>
  <c r="FW91" i="17"/>
  <c r="GL91" i="17"/>
  <c r="GP66" i="17"/>
  <c r="GF66" i="17"/>
  <c r="FS63" i="17"/>
  <c r="GG60" i="17"/>
  <c r="GO60" i="17"/>
  <c r="FQ56" i="17"/>
  <c r="FO53" i="17"/>
  <c r="FN53" i="17"/>
  <c r="GB49" i="17"/>
  <c r="FX49" i="17"/>
  <c r="GI38" i="17"/>
  <c r="GJ38" i="17"/>
  <c r="GM37" i="17"/>
  <c r="FP37" i="17"/>
  <c r="GO34" i="17"/>
  <c r="FN34" i="17"/>
  <c r="FO34" i="17"/>
  <c r="FN31" i="17"/>
  <c r="GP30" i="17"/>
  <c r="GF30" i="17"/>
  <c r="GC27" i="17"/>
  <c r="FP22" i="17"/>
  <c r="GG22" i="17"/>
  <c r="FR19" i="17"/>
  <c r="GK19" i="17"/>
  <c r="FN15" i="17"/>
  <c r="FO15" i="17"/>
  <c r="FP6" i="17"/>
  <c r="GO6" i="17"/>
  <c r="AS175" i="17"/>
  <c r="AT175" i="17"/>
  <c r="FU81" i="17"/>
  <c r="GG80" i="17"/>
  <c r="GF80" i="17"/>
  <c r="GF244" i="17"/>
  <c r="FO244" i="17"/>
  <c r="GE244" i="17"/>
  <c r="GD244" i="17"/>
  <c r="FU243" i="17"/>
  <c r="FO309" i="17"/>
  <c r="AO239" i="17"/>
  <c r="AM239" i="17"/>
  <c r="AL239" i="17"/>
  <c r="AR239" i="17"/>
  <c r="AU239" i="17"/>
  <c r="AS239" i="17"/>
  <c r="GQ239" i="17" s="1"/>
  <c r="HG239" i="17" s="1"/>
  <c r="II239" i="17" s="1"/>
  <c r="AO136" i="17"/>
  <c r="AP136" i="17"/>
  <c r="AQ136" i="17"/>
  <c r="AN136" i="17"/>
  <c r="GB294" i="17"/>
  <c r="FX294" i="17"/>
  <c r="FX316" i="17"/>
  <c r="GB316" i="17"/>
  <c r="GM302" i="17"/>
  <c r="FT302" i="17"/>
  <c r="FX299" i="17"/>
  <c r="FZ299" i="17"/>
  <c r="GI298" i="17"/>
  <c r="FR298" i="17"/>
  <c r="GH298" i="17"/>
  <c r="FN292" i="17"/>
  <c r="FO292" i="17"/>
  <c r="FP279" i="17"/>
  <c r="GB272" i="17"/>
  <c r="FX272" i="17"/>
  <c r="FZ272" i="17"/>
  <c r="FS270" i="17"/>
  <c r="GO189" i="17"/>
  <c r="GN189" i="17"/>
  <c r="FP189" i="17"/>
  <c r="GO252" i="17"/>
  <c r="FP44" i="17"/>
  <c r="GL157" i="17"/>
  <c r="FX207" i="17"/>
  <c r="FX40" i="17"/>
  <c r="AR303" i="17"/>
  <c r="AT303" i="17"/>
  <c r="AU303" i="17"/>
  <c r="AS303" i="17"/>
  <c r="GQ303" i="17" s="1"/>
  <c r="HG303" i="17" s="1"/>
  <c r="II303" i="17" s="1"/>
  <c r="AK15" i="17"/>
  <c r="AO15" i="17"/>
  <c r="FN320" i="17"/>
  <c r="FX288" i="17"/>
  <c r="GB288" i="17"/>
  <c r="GG283" i="17"/>
  <c r="FP283" i="17"/>
  <c r="GO283" i="17"/>
  <c r="FN276" i="17"/>
  <c r="FO276" i="17"/>
  <c r="GE251" i="17"/>
  <c r="FU327" i="17"/>
  <c r="FP95" i="17"/>
  <c r="GG252" i="17"/>
  <c r="GH249" i="17"/>
  <c r="FP208" i="17"/>
  <c r="GG41" i="17"/>
  <c r="AN227" i="17"/>
  <c r="AM227" i="17"/>
  <c r="AN152" i="17"/>
  <c r="AO152" i="17"/>
  <c r="FN304" i="17"/>
  <c r="FS330" i="17"/>
  <c r="GI324" i="17"/>
  <c r="FR324" i="17"/>
  <c r="GJ320" i="17"/>
  <c r="GG299" i="17"/>
  <c r="GE299" i="17"/>
  <c r="FO299" i="17"/>
  <c r="GF299" i="17"/>
  <c r="GO261" i="17"/>
  <c r="FN261" i="17"/>
  <c r="FT254" i="17"/>
  <c r="GC254" i="17"/>
  <c r="GI163" i="17"/>
  <c r="GD56" i="17"/>
  <c r="FS146" i="17"/>
  <c r="GD95" i="17"/>
  <c r="FQ261" i="17"/>
  <c r="AT302" i="17"/>
  <c r="AS302" i="17"/>
  <c r="GQ302" i="17" s="1"/>
  <c r="HL302" i="17" s="1"/>
  <c r="IN302" i="17" s="1"/>
  <c r="AQ269" i="17"/>
  <c r="AS269" i="17"/>
  <c r="GQ269" i="17" s="1"/>
  <c r="GU269" i="17" s="1"/>
  <c r="HW269" i="17" s="1"/>
  <c r="AK135" i="17"/>
  <c r="AR135" i="17"/>
  <c r="AS135" i="17"/>
  <c r="GQ135" i="17" s="1"/>
  <c r="HC135" i="17" s="1"/>
  <c r="IE135" i="17" s="1"/>
  <c r="AT135" i="17"/>
  <c r="AU135" i="17"/>
  <c r="AL135" i="17"/>
  <c r="AN29" i="17"/>
  <c r="AO29" i="17"/>
  <c r="FN331" i="17"/>
  <c r="GC329" i="17"/>
  <c r="FT326" i="17"/>
  <c r="GC326" i="17"/>
  <c r="GG323" i="17"/>
  <c r="FX322" i="17"/>
  <c r="FQ320" i="17"/>
  <c r="GD320" i="17"/>
  <c r="FN317" i="17"/>
  <c r="FW316" i="17"/>
  <c r="FV316" i="17"/>
  <c r="FU300" i="17"/>
  <c r="GN298" i="17"/>
  <c r="FX297" i="17"/>
  <c r="GD297" i="17"/>
  <c r="GF297" i="17"/>
  <c r="GI295" i="17"/>
  <c r="FN289" i="17"/>
  <c r="FO289" i="17"/>
  <c r="GC285" i="17"/>
  <c r="FY284" i="17"/>
  <c r="FU283" i="17"/>
  <c r="GI278" i="17"/>
  <c r="FN273" i="17"/>
  <c r="FV272" i="17"/>
  <c r="FW272" i="17"/>
  <c r="GC269" i="17"/>
  <c r="FT267" i="17"/>
  <c r="GC267" i="17"/>
  <c r="GG264" i="17"/>
  <c r="GE264" i="17"/>
  <c r="GD264" i="17"/>
  <c r="GB263" i="17"/>
  <c r="FR262" i="17"/>
  <c r="GJ262" i="17"/>
  <c r="GJ258" i="17"/>
  <c r="GO258" i="17"/>
  <c r="FN258" i="17"/>
  <c r="GF248" i="17"/>
  <c r="GM233" i="17"/>
  <c r="FP233" i="17"/>
  <c r="FQ233" i="17"/>
  <c r="FN230" i="17"/>
  <c r="FO230" i="17"/>
  <c r="GC226" i="17"/>
  <c r="FY225" i="17"/>
  <c r="GG220" i="17"/>
  <c r="GJ214" i="17"/>
  <c r="FN214" i="17"/>
  <c r="GC210" i="17"/>
  <c r="FU208" i="17"/>
  <c r="FX204" i="17"/>
  <c r="FX203" i="17"/>
  <c r="GM201" i="17"/>
  <c r="GD201" i="17"/>
  <c r="FP201" i="17"/>
  <c r="FO198" i="17"/>
  <c r="FN198" i="17"/>
  <c r="FQ198" i="17"/>
  <c r="FU192" i="17"/>
  <c r="GK185" i="17"/>
  <c r="FO181" i="17"/>
  <c r="FN181" i="17"/>
  <c r="GC167" i="17"/>
  <c r="GA166" i="17"/>
  <c r="FY166" i="17"/>
  <c r="FX161" i="17"/>
  <c r="GF161" i="17"/>
  <c r="GB160" i="17"/>
  <c r="FS159" i="17"/>
  <c r="FR159" i="17"/>
  <c r="GN159" i="17"/>
  <c r="FN155" i="17"/>
  <c r="FX145" i="17"/>
  <c r="GG145" i="17"/>
  <c r="GI144" i="17"/>
  <c r="FQ142" i="17"/>
  <c r="GJ139" i="17"/>
  <c r="FO139" i="17"/>
  <c r="FN139" i="17"/>
  <c r="GP136" i="17"/>
  <c r="GF136" i="17"/>
  <c r="GC135" i="17"/>
  <c r="FY134" i="17"/>
  <c r="FU133" i="17"/>
  <c r="FZ129" i="17"/>
  <c r="GD129" i="17"/>
  <c r="GK127" i="17"/>
  <c r="FS127" i="17"/>
  <c r="GO123" i="17"/>
  <c r="FN123" i="17"/>
  <c r="FO123" i="17"/>
  <c r="GC119" i="17"/>
  <c r="FU117" i="17"/>
  <c r="FZ113" i="17"/>
  <c r="GK111" i="17"/>
  <c r="GJ111" i="17"/>
  <c r="FN107" i="17"/>
  <c r="GG95" i="17"/>
  <c r="GK93" i="17"/>
  <c r="GJ66" i="17"/>
  <c r="FN66" i="17"/>
  <c r="GA61" i="17"/>
  <c r="FY61" i="17"/>
  <c r="FU60" i="17"/>
  <c r="FZ56" i="17"/>
  <c r="FX55" i="17"/>
  <c r="GM53" i="17"/>
  <c r="FP53" i="17"/>
  <c r="GJ50" i="17"/>
  <c r="FN50" i="17"/>
  <c r="FT40" i="17"/>
  <c r="GC40" i="17"/>
  <c r="FQ34" i="17"/>
  <c r="GD31" i="17"/>
  <c r="FP31" i="17"/>
  <c r="FQ30" i="17"/>
  <c r="FN30" i="17"/>
  <c r="FO30" i="17"/>
  <c r="FX24" i="17"/>
  <c r="GB24" i="17"/>
  <c r="GN19" i="17"/>
  <c r="GN16" i="17"/>
  <c r="FR16" i="17"/>
  <c r="GI16" i="17"/>
  <c r="FQ15" i="17"/>
  <c r="GM15" i="17"/>
  <c r="FN12" i="17"/>
  <c r="FT5" i="17"/>
  <c r="GC5" i="17"/>
  <c r="AN174" i="17"/>
  <c r="AO174" i="17"/>
  <c r="AP174" i="17"/>
  <c r="GA284" i="17"/>
  <c r="FO273" i="17"/>
  <c r="FP320" i="17"/>
  <c r="AM29" i="17"/>
  <c r="AQ301" i="17"/>
  <c r="AS301" i="17"/>
  <c r="GQ301" i="17" s="1"/>
  <c r="GS301" i="17" s="1"/>
  <c r="HU301" i="17" s="1"/>
  <c r="AK134" i="17"/>
  <c r="AL134" i="17"/>
  <c r="AR61" i="17"/>
  <c r="AQ61" i="17"/>
  <c r="GG304" i="17"/>
  <c r="GI333" i="17"/>
  <c r="AO245" i="17"/>
  <c r="AL245" i="17"/>
  <c r="AM245" i="17"/>
  <c r="AP245" i="17"/>
  <c r="AN245" i="17"/>
  <c r="AQ245" i="17"/>
  <c r="AP209" i="17"/>
  <c r="AR172" i="17"/>
  <c r="AO172" i="17"/>
  <c r="GJ88" i="17"/>
  <c r="GO88" i="17"/>
  <c r="GC106" i="17"/>
  <c r="FZ86" i="17"/>
  <c r="GC86" i="17"/>
  <c r="GP85" i="17"/>
  <c r="GC84" i="17"/>
  <c r="GC80" i="17"/>
  <c r="GJ78" i="17"/>
  <c r="GC77" i="17"/>
  <c r="GJ74" i="17"/>
  <c r="GJ245" i="17"/>
  <c r="FZ313" i="17"/>
  <c r="GC313" i="17"/>
  <c r="GJ311" i="17"/>
  <c r="GC244" i="17"/>
  <c r="GP243" i="17"/>
  <c r="GC310" i="17"/>
  <c r="GC308" i="17"/>
  <c r="GJ238" i="17"/>
  <c r="GC309" i="17"/>
  <c r="AK313" i="17"/>
  <c r="AP313" i="17"/>
  <c r="AL313" i="17"/>
  <c r="AU313" i="17"/>
  <c r="AQ313" i="17"/>
  <c r="AM313" i="17"/>
  <c r="AN313" i="17"/>
  <c r="AU171" i="17"/>
  <c r="AL171" i="17"/>
  <c r="AU115" i="17"/>
  <c r="AU147" i="17"/>
  <c r="AM206" i="17"/>
  <c r="AO177" i="17"/>
  <c r="AM177" i="17"/>
  <c r="AN177" i="17"/>
  <c r="AP325" i="17"/>
  <c r="AQ325" i="17"/>
  <c r="AS179" i="17"/>
  <c r="AT179" i="17"/>
  <c r="AL281" i="17"/>
  <c r="AQ281" i="17"/>
  <c r="AR281" i="17"/>
  <c r="AK250" i="17"/>
  <c r="AL250" i="17"/>
  <c r="AU222" i="17"/>
  <c r="AO222" i="17"/>
  <c r="AP222" i="17"/>
  <c r="AL190" i="17"/>
  <c r="AM190" i="17"/>
  <c r="AK163" i="17"/>
  <c r="AS163" i="17"/>
  <c r="GQ163" i="17" s="1"/>
  <c r="AU163" i="17"/>
  <c r="AM131" i="17"/>
  <c r="AR131" i="17"/>
  <c r="AS131" i="17"/>
  <c r="GQ131" i="17" s="1"/>
  <c r="AR97" i="17"/>
  <c r="AN97" i="17"/>
  <c r="AP58" i="17"/>
  <c r="AQ58" i="17"/>
  <c r="AM10" i="17"/>
  <c r="AN10" i="17"/>
  <c r="FS179" i="17"/>
  <c r="FT255" i="17"/>
  <c r="AS68" i="17"/>
  <c r="AL177" i="17"/>
  <c r="AP176" i="17"/>
  <c r="AQ176" i="17"/>
  <c r="AR176" i="17"/>
  <c r="AN176" i="17"/>
  <c r="AO176" i="17"/>
  <c r="AK72" i="17"/>
  <c r="AT72" i="17"/>
  <c r="AL72" i="17"/>
  <c r="GJ330" i="17"/>
  <c r="FO330" i="17"/>
  <c r="FN330" i="17"/>
  <c r="FN303" i="17"/>
  <c r="GB299" i="17"/>
  <c r="GG295" i="17"/>
  <c r="FP289" i="17"/>
  <c r="FO286" i="17"/>
  <c r="FN286" i="17"/>
  <c r="GG277" i="17"/>
  <c r="GI275" i="17"/>
  <c r="FN270" i="17"/>
  <c r="GI260" i="17"/>
  <c r="FO255" i="17"/>
  <c r="FN255" i="17"/>
  <c r="GI232" i="17"/>
  <c r="FN227" i="17"/>
  <c r="FZ217" i="17"/>
  <c r="GG217" i="17"/>
  <c r="GJ211" i="17"/>
  <c r="FN211" i="17"/>
  <c r="GI200" i="17"/>
  <c r="FP198" i="17"/>
  <c r="FQ195" i="17"/>
  <c r="FN195" i="17"/>
  <c r="FX184" i="17"/>
  <c r="GI183" i="17"/>
  <c r="GJ168" i="17"/>
  <c r="FQ168" i="17"/>
  <c r="FN168" i="17"/>
  <c r="FZ158" i="17"/>
  <c r="GI157" i="17"/>
  <c r="FO152" i="17"/>
  <c r="FN152" i="17"/>
  <c r="GI141" i="17"/>
  <c r="FN136" i="17"/>
  <c r="FZ126" i="17"/>
  <c r="GJ120" i="17"/>
  <c r="FN120" i="17"/>
  <c r="FZ110" i="17"/>
  <c r="GI109" i="17"/>
  <c r="FN102" i="17"/>
  <c r="FN63" i="17"/>
  <c r="FN47" i="17"/>
  <c r="FN25" i="17"/>
  <c r="FN9" i="17"/>
  <c r="FQ178" i="17"/>
  <c r="FU71" i="17"/>
  <c r="FP71" i="17"/>
  <c r="GD70" i="17"/>
  <c r="FQ70" i="17"/>
  <c r="GA309" i="17"/>
  <c r="FY309" i="17"/>
  <c r="AQ79" i="17"/>
  <c r="AM79" i="17"/>
  <c r="GL304" i="17"/>
  <c r="GJ293" i="17"/>
  <c r="FO327" i="17"/>
  <c r="FN327" i="17"/>
  <c r="FW326" i="17"/>
  <c r="GB323" i="17"/>
  <c r="GL320" i="17"/>
  <c r="FN300" i="17"/>
  <c r="FV299" i="17"/>
  <c r="GH179" i="17"/>
  <c r="GL292" i="17"/>
  <c r="GI288" i="17"/>
  <c r="GK284" i="17"/>
  <c r="FQ283" i="17"/>
  <c r="FN283" i="17"/>
  <c r="GH281" i="17"/>
  <c r="GA278" i="17"/>
  <c r="FT276" i="17"/>
  <c r="FP274" i="17"/>
  <c r="FX273" i="17"/>
  <c r="GK268" i="17"/>
  <c r="FQ189" i="17"/>
  <c r="FN189" i="17"/>
  <c r="GH266" i="17"/>
  <c r="GN256" i="17"/>
  <c r="GM255" i="17"/>
  <c r="FU336" i="17"/>
  <c r="FO178" i="17"/>
  <c r="GE178" i="17"/>
  <c r="FU83" i="17"/>
  <c r="AK106" i="17"/>
  <c r="AT106" i="17"/>
  <c r="AS106" i="17"/>
  <c r="GQ106" i="17" s="1"/>
  <c r="HF106" i="17" s="1"/>
  <c r="IH106" i="17" s="1"/>
  <c r="AP106" i="17"/>
  <c r="AQ78" i="17"/>
  <c r="AP78" i="17"/>
  <c r="AN70" i="17"/>
  <c r="FT331" i="17"/>
  <c r="FX330" i="17"/>
  <c r="GK325" i="17"/>
  <c r="FY316" i="17"/>
  <c r="GF295" i="17"/>
  <c r="GA291" i="17"/>
  <c r="GK281" i="17"/>
  <c r="GH278" i="17"/>
  <c r="GB276" i="17"/>
  <c r="GK266" i="17"/>
  <c r="GL258" i="17"/>
  <c r="GE255" i="17"/>
  <c r="GH247" i="17"/>
  <c r="FX227" i="17"/>
  <c r="FQ221" i="17"/>
  <c r="FN221" i="17"/>
  <c r="GH219" i="17"/>
  <c r="FX211" i="17"/>
  <c r="GM208" i="17"/>
  <c r="GL181" i="17"/>
  <c r="FO162" i="17"/>
  <c r="FN162" i="17"/>
  <c r="GE82" i="17"/>
  <c r="FT82" i="17"/>
  <c r="AK77" i="17"/>
  <c r="AQ77" i="17"/>
  <c r="AM77" i="17"/>
  <c r="AO77" i="17"/>
  <c r="FN325" i="17"/>
  <c r="FN179" i="17"/>
  <c r="FN281" i="17"/>
  <c r="FN266" i="17"/>
  <c r="FN250" i="17"/>
  <c r="FN222" i="17"/>
  <c r="FN206" i="17"/>
  <c r="FN190" i="17"/>
  <c r="FN163" i="17"/>
  <c r="FN147" i="17"/>
  <c r="FN131" i="17"/>
  <c r="FN115" i="17"/>
  <c r="FN97" i="17"/>
  <c r="FN58" i="17"/>
  <c r="FN39" i="17"/>
  <c r="FN20" i="17"/>
  <c r="FN4" i="17"/>
  <c r="GM237" i="17"/>
  <c r="GC89" i="17"/>
  <c r="GK86" i="17"/>
  <c r="GP335" i="17"/>
  <c r="FR73" i="17"/>
  <c r="GH73" i="17"/>
  <c r="GC314" i="17"/>
  <c r="FR313" i="17"/>
  <c r="FQ312" i="17"/>
  <c r="FX70" i="17"/>
  <c r="GC70" i="17"/>
  <c r="FQ69" i="17"/>
  <c r="GJ308" i="17"/>
  <c r="FR308" i="17"/>
  <c r="GC239" i="17"/>
  <c r="GK309" i="17"/>
  <c r="AN105" i="17"/>
  <c r="AL105" i="17"/>
  <c r="AK105" i="17"/>
  <c r="AK243" i="17"/>
  <c r="AO243" i="17"/>
  <c r="AS243" i="17"/>
  <c r="GQ243" i="17" s="1"/>
  <c r="GT243" i="17" s="1"/>
  <c r="HV243" i="17" s="1"/>
  <c r="FN322" i="17"/>
  <c r="FN296" i="17"/>
  <c r="GL79" i="17"/>
  <c r="GL314" i="17"/>
  <c r="FV70" i="17"/>
  <c r="FN333" i="17"/>
  <c r="FN319" i="17"/>
  <c r="FN291" i="17"/>
  <c r="FN275" i="17"/>
  <c r="FN260" i="17"/>
  <c r="FN232" i="17"/>
  <c r="FN216" i="17"/>
  <c r="FN200" i="17"/>
  <c r="FN183" i="17"/>
  <c r="FN157" i="17"/>
  <c r="FN141" i="17"/>
  <c r="FN125" i="17"/>
  <c r="FN109" i="17"/>
  <c r="FN91" i="17"/>
  <c r="FN52" i="17"/>
  <c r="FN33" i="17"/>
  <c r="FN29" i="17"/>
  <c r="FN14" i="17"/>
  <c r="GE7" i="17"/>
  <c r="AM305" i="17"/>
  <c r="AN305" i="17"/>
  <c r="GP237" i="17"/>
  <c r="FU106" i="17"/>
  <c r="GA337" i="17"/>
  <c r="FO336" i="17"/>
  <c r="GD336" i="17"/>
  <c r="GE336" i="17"/>
  <c r="GA85" i="17"/>
  <c r="FW82" i="17"/>
  <c r="GF335" i="17"/>
  <c r="FU77" i="17"/>
  <c r="GD76" i="17"/>
  <c r="FW75" i="17"/>
  <c r="FU313" i="17"/>
  <c r="FW311" i="17"/>
  <c r="FW70" i="17"/>
  <c r="GG69" i="17"/>
  <c r="FW242" i="17"/>
  <c r="FY241" i="17"/>
  <c r="GA238" i="17"/>
  <c r="AR69" i="17"/>
  <c r="AQ69" i="17"/>
  <c r="FN2" i="17"/>
  <c r="FN252" i="17"/>
  <c r="FN224" i="17"/>
  <c r="FN208" i="17"/>
  <c r="FN192" i="17"/>
  <c r="FN165" i="17"/>
  <c r="FW164" i="17"/>
  <c r="FP156" i="17"/>
  <c r="GJ153" i="17"/>
  <c r="FN149" i="17"/>
  <c r="GE139" i="17"/>
  <c r="FN133" i="17"/>
  <c r="FW132" i="17"/>
  <c r="GP130" i="17"/>
  <c r="GA128" i="17"/>
  <c r="FN117" i="17"/>
  <c r="FP108" i="17"/>
  <c r="FR103" i="17"/>
  <c r="FN99" i="17"/>
  <c r="FT95" i="17"/>
  <c r="FU93" i="17"/>
  <c r="FU67" i="17"/>
  <c r="FR64" i="17"/>
  <c r="FN60" i="17"/>
  <c r="FR51" i="17"/>
  <c r="FQ47" i="17"/>
  <c r="GK45" i="17"/>
  <c r="FN44" i="17"/>
  <c r="FW43" i="17"/>
  <c r="FN41" i="17"/>
  <c r="GB37" i="17"/>
  <c r="FU35" i="17"/>
  <c r="FN22" i="17"/>
  <c r="FW8" i="17"/>
  <c r="FN6" i="17"/>
  <c r="GA87" i="17"/>
  <c r="GG105" i="17"/>
  <c r="GL84" i="17"/>
  <c r="GO79" i="17"/>
  <c r="FW77" i="17"/>
  <c r="GG75" i="17"/>
  <c r="GM243" i="17"/>
  <c r="FW310" i="17"/>
  <c r="GL308" i="17"/>
  <c r="FW2" i="17"/>
  <c r="GI119" i="17"/>
  <c r="FS118" i="17"/>
  <c r="GF111" i="17"/>
  <c r="FX102" i="17"/>
  <c r="FS100" i="17"/>
  <c r="GI237" i="17"/>
  <c r="GH83" i="17"/>
  <c r="GH76" i="17"/>
  <c r="GG74" i="17"/>
  <c r="FZ238" i="17"/>
  <c r="FN246" i="17"/>
  <c r="FN218" i="17"/>
  <c r="FN202" i="17"/>
  <c r="FN185" i="17"/>
  <c r="FN159" i="17"/>
  <c r="FN143" i="17"/>
  <c r="FN127" i="17"/>
  <c r="FN111" i="17"/>
  <c r="FN93" i="17"/>
  <c r="FN54" i="17"/>
  <c r="FN35" i="17"/>
  <c r="FN32" i="17"/>
  <c r="FN16" i="17"/>
  <c r="GF89" i="17"/>
  <c r="GF105" i="17"/>
  <c r="GI86" i="17"/>
  <c r="GF75" i="17"/>
  <c r="GI73" i="17"/>
  <c r="GF314" i="17"/>
  <c r="GI310" i="17"/>
  <c r="GI308" i="17"/>
  <c r="HN329" i="17"/>
  <c r="IP329" i="17" s="1"/>
  <c r="HK133" i="17"/>
  <c r="IM133" i="17" s="1"/>
  <c r="HA133" i="17"/>
  <c r="IC133" i="17" s="1"/>
  <c r="HR133" i="17"/>
  <c r="IT133" i="17" s="1"/>
  <c r="HE133" i="17"/>
  <c r="IG133" i="17" s="1"/>
  <c r="GS133" i="17"/>
  <c r="HU133" i="17" s="1"/>
  <c r="GV133" i="17"/>
  <c r="HX133" i="17" s="1"/>
  <c r="HJ133" i="17"/>
  <c r="IL133" i="17" s="1"/>
  <c r="HN133" i="17"/>
  <c r="IP133" i="17" s="1"/>
  <c r="HO133" i="17"/>
  <c r="IQ133" i="17" s="1"/>
  <c r="HI133" i="17"/>
  <c r="IK133" i="17" s="1"/>
  <c r="HB133" i="17"/>
  <c r="ID133" i="17" s="1"/>
  <c r="GR328" i="17"/>
  <c r="HT328" i="17" s="1"/>
  <c r="HF328" i="17"/>
  <c r="IH328" i="17" s="1"/>
  <c r="HO328" i="17"/>
  <c r="IQ328" i="17" s="1"/>
  <c r="GU328" i="17"/>
  <c r="HW328" i="17" s="1"/>
  <c r="HP328" i="17"/>
  <c r="IR328" i="17" s="1"/>
  <c r="HB328" i="17"/>
  <c r="ID328" i="17" s="1"/>
  <c r="HH328" i="17"/>
  <c r="IJ328" i="17" s="1"/>
  <c r="HD328" i="17"/>
  <c r="IF328" i="17" s="1"/>
  <c r="GZ328" i="17"/>
  <c r="IB328" i="17" s="1"/>
  <c r="GV328" i="17"/>
  <c r="HX328" i="17" s="1"/>
  <c r="HI328" i="17"/>
  <c r="IK328" i="17" s="1"/>
  <c r="HK328" i="17"/>
  <c r="IM328" i="17" s="1"/>
  <c r="GX328" i="17"/>
  <c r="HZ328" i="17" s="1"/>
  <c r="HR328" i="17"/>
  <c r="IT328" i="17" s="1"/>
  <c r="HG328" i="17"/>
  <c r="II328" i="17" s="1"/>
  <c r="GS328" i="17"/>
  <c r="HU328" i="17" s="1"/>
  <c r="GY328" i="17"/>
  <c r="IA328" i="17" s="1"/>
  <c r="GW328" i="17"/>
  <c r="HY328" i="17" s="1"/>
  <c r="HC328" i="17"/>
  <c r="IE328" i="17" s="1"/>
  <c r="GT328" i="17"/>
  <c r="HV328" i="17" s="1"/>
  <c r="HN328" i="17"/>
  <c r="IP328" i="17" s="1"/>
  <c r="HA328" i="17"/>
  <c r="IC328" i="17" s="1"/>
  <c r="HL328" i="17"/>
  <c r="IN328" i="17" s="1"/>
  <c r="GI3" i="17"/>
  <c r="FX3" i="17"/>
  <c r="GV329" i="17"/>
  <c r="HX329" i="17" s="1"/>
  <c r="GX329" i="17"/>
  <c r="HZ329" i="17" s="1"/>
  <c r="HM329" i="17"/>
  <c r="IO329" i="17" s="1"/>
  <c r="GY329" i="17"/>
  <c r="IA329" i="17" s="1"/>
  <c r="HA329" i="17"/>
  <c r="IC329" i="17" s="1"/>
  <c r="HO329" i="17"/>
  <c r="IQ329" i="17" s="1"/>
  <c r="HB329" i="17"/>
  <c r="ID329" i="17" s="1"/>
  <c r="HE329" i="17"/>
  <c r="IG329" i="17" s="1"/>
  <c r="HD329" i="17"/>
  <c r="IF329" i="17" s="1"/>
  <c r="GW329" i="17"/>
  <c r="HY329" i="17" s="1"/>
  <c r="GU329" i="17"/>
  <c r="HW329" i="17" s="1"/>
  <c r="HI329" i="17"/>
  <c r="IK329" i="17" s="1"/>
  <c r="GS329" i="17"/>
  <c r="HU329" i="17" s="1"/>
  <c r="HK329" i="17"/>
  <c r="IM329" i="17" s="1"/>
  <c r="HP329" i="17"/>
  <c r="IR329" i="17" s="1"/>
  <c r="HC329" i="17"/>
  <c r="IE329" i="17" s="1"/>
  <c r="HG329" i="17"/>
  <c r="II329" i="17" s="1"/>
  <c r="HJ329" i="17"/>
  <c r="IL329" i="17" s="1"/>
  <c r="HQ329" i="17"/>
  <c r="IS329" i="17" s="1"/>
  <c r="HF329" i="17"/>
  <c r="IH329" i="17" s="1"/>
  <c r="HL329" i="17"/>
  <c r="IN329" i="17" s="1"/>
  <c r="GZ329" i="17"/>
  <c r="IB329" i="17" s="1"/>
  <c r="HR329" i="17"/>
  <c r="IT329" i="17" s="1"/>
  <c r="GT329" i="17"/>
  <c r="HV329" i="17" s="1"/>
  <c r="HH329" i="17"/>
  <c r="IJ329" i="17" s="1"/>
  <c r="GJ2" i="17"/>
  <c r="GI2" i="17"/>
  <c r="GH2" i="17"/>
  <c r="FS2" i="17"/>
  <c r="AM314" i="17"/>
  <c r="AU314" i="17"/>
  <c r="AQ314" i="17"/>
  <c r="AT314" i="17"/>
  <c r="AS314" i="17"/>
  <c r="GQ314" i="17" s="1"/>
  <c r="AN314" i="17"/>
  <c r="AL314" i="17"/>
  <c r="AK314" i="17"/>
  <c r="AP314" i="17"/>
  <c r="AR314" i="17"/>
  <c r="AO314" i="17"/>
  <c r="AK241" i="17"/>
  <c r="AS241" i="17"/>
  <c r="GQ241" i="17" s="1"/>
  <c r="HK241" i="17" s="1"/>
  <c r="IM241" i="17" s="1"/>
  <c r="AR241" i="17"/>
  <c r="AT241" i="17"/>
  <c r="AN241" i="17"/>
  <c r="AM241" i="17"/>
  <c r="AO84" i="17"/>
  <c r="AM84" i="17"/>
  <c r="GZ119" i="17"/>
  <c r="IB119" i="17" s="1"/>
  <c r="HO119" i="17"/>
  <c r="IQ119" i="17" s="1"/>
  <c r="HE119" i="17"/>
  <c r="IG119" i="17" s="1"/>
  <c r="GU119" i="17"/>
  <c r="HW119" i="17" s="1"/>
  <c r="HA119" i="17"/>
  <c r="IC119" i="17" s="1"/>
  <c r="HN119" i="17"/>
  <c r="IP119" i="17" s="1"/>
  <c r="HM119" i="17"/>
  <c r="IO119" i="17" s="1"/>
  <c r="HJ119" i="17"/>
  <c r="IL119" i="17" s="1"/>
  <c r="GR119" i="17"/>
  <c r="HT119" i="17" s="1"/>
  <c r="GW119" i="17"/>
  <c r="HY119" i="17" s="1"/>
  <c r="HI119" i="17"/>
  <c r="IK119" i="17" s="1"/>
  <c r="HH119" i="17"/>
  <c r="IJ119" i="17" s="1"/>
  <c r="HQ119" i="17"/>
  <c r="IS119" i="17" s="1"/>
  <c r="AS83" i="17"/>
  <c r="GQ83" i="17" s="1"/>
  <c r="HK83" i="17" s="1"/>
  <c r="IM83" i="17" s="1"/>
  <c r="AQ83" i="17"/>
  <c r="AP83" i="17"/>
  <c r="AR83" i="17"/>
  <c r="AT83" i="17"/>
  <c r="AM83" i="17"/>
  <c r="AL83" i="17"/>
  <c r="HR298" i="17"/>
  <c r="IT298" i="17" s="1"/>
  <c r="GX298" i="17"/>
  <c r="HZ298" i="17" s="1"/>
  <c r="GV298" i="17"/>
  <c r="HX298" i="17" s="1"/>
  <c r="GT298" i="17"/>
  <c r="HV298" i="17" s="1"/>
  <c r="GZ298" i="17"/>
  <c r="IB298" i="17" s="1"/>
  <c r="HB298" i="17"/>
  <c r="ID298" i="17" s="1"/>
  <c r="HO298" i="17"/>
  <c r="IQ298" i="17" s="1"/>
  <c r="GY298" i="17"/>
  <c r="IA298" i="17" s="1"/>
  <c r="HC298" i="17"/>
  <c r="IE298" i="17" s="1"/>
  <c r="AO241" i="17"/>
  <c r="GU318" i="17"/>
  <c r="HW318" i="17" s="1"/>
  <c r="HR318" i="17"/>
  <c r="IT318" i="17" s="1"/>
  <c r="GY318" i="17"/>
  <c r="IA318" i="17" s="1"/>
  <c r="GX318" i="17"/>
  <c r="HZ318" i="17" s="1"/>
  <c r="GZ318" i="17"/>
  <c r="IB318" i="17" s="1"/>
  <c r="GR318" i="17"/>
  <c r="HT318" i="17" s="1"/>
  <c r="HM318" i="17"/>
  <c r="IO318" i="17" s="1"/>
  <c r="HQ318" i="17"/>
  <c r="IS318" i="17" s="1"/>
  <c r="HO318" i="17"/>
  <c r="IQ318" i="17" s="1"/>
  <c r="GW318" i="17"/>
  <c r="HY318" i="17" s="1"/>
  <c r="HJ318" i="17"/>
  <c r="IL318" i="17" s="1"/>
  <c r="HE318" i="17"/>
  <c r="IG318" i="17" s="1"/>
  <c r="HM12" i="17"/>
  <c r="IO12" i="17" s="1"/>
  <c r="HQ12" i="17"/>
  <c r="IS12" i="17" s="1"/>
  <c r="AN293" i="17"/>
  <c r="AO293" i="17"/>
  <c r="AP293" i="17"/>
  <c r="AS271" i="17"/>
  <c r="GQ271" i="17" s="1"/>
  <c r="GU271" i="17" s="1"/>
  <c r="HW271" i="17" s="1"/>
  <c r="AK271" i="17"/>
  <c r="AL271" i="17"/>
  <c r="AO271" i="17"/>
  <c r="AS256" i="17"/>
  <c r="GQ256" i="17" s="1"/>
  <c r="GS256" i="17" s="1"/>
  <c r="HU256" i="17" s="1"/>
  <c r="AN256" i="17"/>
  <c r="AK256" i="17"/>
  <c r="AM169" i="17"/>
  <c r="AS169" i="17"/>
  <c r="GQ169" i="17" s="1"/>
  <c r="AN169" i="17"/>
  <c r="AK153" i="17"/>
  <c r="AL153" i="17"/>
  <c r="AP153" i="17"/>
  <c r="AT103" i="17"/>
  <c r="AP103" i="17"/>
  <c r="AO32" i="17"/>
  <c r="AP32" i="17"/>
  <c r="AQ32" i="17"/>
  <c r="AR32" i="17"/>
  <c r="GG329" i="17"/>
  <c r="GD329" i="17"/>
  <c r="GF329" i="17"/>
  <c r="FP326" i="17"/>
  <c r="FQ326" i="17"/>
  <c r="GP323" i="17"/>
  <c r="GO323" i="17"/>
  <c r="FT319" i="17"/>
  <c r="GC319" i="17"/>
  <c r="GA318" i="17"/>
  <c r="FY318" i="17"/>
  <c r="FP299" i="17"/>
  <c r="FQ299" i="17"/>
  <c r="FZ291" i="17"/>
  <c r="GB291" i="17"/>
  <c r="FX291" i="17"/>
  <c r="FU286" i="17"/>
  <c r="GG286" i="17"/>
  <c r="GO286" i="17"/>
  <c r="FR286" i="17"/>
  <c r="FP286" i="17"/>
  <c r="GL278" i="17"/>
  <c r="FV278" i="17"/>
  <c r="FW278" i="17"/>
  <c r="FX269" i="17"/>
  <c r="FZ269" i="17"/>
  <c r="GF269" i="17"/>
  <c r="FO269" i="17"/>
  <c r="GG269" i="17"/>
  <c r="GE269" i="17"/>
  <c r="GD269" i="17"/>
  <c r="GB260" i="17"/>
  <c r="FX260" i="17"/>
  <c r="FZ260" i="17"/>
  <c r="GM257" i="17"/>
  <c r="FT257" i="17"/>
  <c r="GE257" i="17"/>
  <c r="GD254" i="17"/>
  <c r="GF254" i="17"/>
  <c r="GE254" i="17"/>
  <c r="GB253" i="17"/>
  <c r="FV253" i="17"/>
  <c r="GD251" i="17"/>
  <c r="GM251" i="17"/>
  <c r="FP251" i="17"/>
  <c r="FQ251" i="17"/>
  <c r="FW247" i="17"/>
  <c r="FV247" i="17"/>
  <c r="FX232" i="17"/>
  <c r="FZ232" i="17"/>
  <c r="GB232" i="17"/>
  <c r="FT232" i="17"/>
  <c r="GC232" i="17"/>
  <c r="GA231" i="17"/>
  <c r="FY231" i="17"/>
  <c r="FO226" i="17"/>
  <c r="GG226" i="17"/>
  <c r="GI225" i="17"/>
  <c r="FX225" i="17"/>
  <c r="GK224" i="17"/>
  <c r="FS224" i="17"/>
  <c r="GP220" i="17"/>
  <c r="GO220" i="17"/>
  <c r="FO220" i="17"/>
  <c r="FU214" i="17"/>
  <c r="FS214" i="17"/>
  <c r="GM213" i="17"/>
  <c r="GC213" i="17"/>
  <c r="GE213" i="17"/>
  <c r="FZ210" i="17"/>
  <c r="FX210" i="17"/>
  <c r="GB209" i="17"/>
  <c r="FX209" i="17"/>
  <c r="HH165" i="17"/>
  <c r="IJ165" i="17" s="1"/>
  <c r="HJ165" i="17"/>
  <c r="IL165" i="17" s="1"/>
  <c r="HE165" i="17"/>
  <c r="IG165" i="17" s="1"/>
  <c r="AL103" i="17"/>
  <c r="HG319" i="17"/>
  <c r="II319" i="17" s="1"/>
  <c r="GZ319" i="17"/>
  <c r="IB319" i="17" s="1"/>
  <c r="GV319" i="17"/>
  <c r="HX319" i="17" s="1"/>
  <c r="GR319" i="17"/>
  <c r="HT319" i="17" s="1"/>
  <c r="AS153" i="17"/>
  <c r="GQ153" i="17" s="1"/>
  <c r="HJ153" i="17" s="1"/>
  <c r="IL153" i="17" s="1"/>
  <c r="AQ153" i="17"/>
  <c r="GM207" i="17"/>
  <c r="FP207" i="17"/>
  <c r="FX183" i="17"/>
  <c r="FZ183" i="17"/>
  <c r="FR168" i="17"/>
  <c r="GG168" i="17"/>
  <c r="FS165" i="17"/>
  <c r="GI165" i="17"/>
  <c r="GH165" i="17"/>
  <c r="FV160" i="17"/>
  <c r="GL160" i="17"/>
  <c r="GH159" i="17"/>
  <c r="GA159" i="17"/>
  <c r="GD148" i="17"/>
  <c r="GM148" i="17"/>
  <c r="FP148" i="17"/>
  <c r="GA140" i="17"/>
  <c r="FY140" i="17"/>
  <c r="FS139" i="17"/>
  <c r="FU139" i="17"/>
  <c r="FT138" i="17"/>
  <c r="GE138" i="17"/>
  <c r="GG135" i="17"/>
  <c r="GF135" i="17"/>
  <c r="GI134" i="17"/>
  <c r="FZ134" i="17"/>
  <c r="GB134" i="17"/>
  <c r="GA124" i="17"/>
  <c r="FY124" i="17"/>
  <c r="GF119" i="17"/>
  <c r="GD119" i="17"/>
  <c r="FV112" i="17"/>
  <c r="FW112" i="17"/>
  <c r="GL112" i="17"/>
  <c r="GF110" i="17"/>
  <c r="GP110" i="17"/>
  <c r="FQ95" i="17"/>
  <c r="GO95" i="17"/>
  <c r="FY67" i="17"/>
  <c r="GA67" i="17"/>
  <c r="GM65" i="17"/>
  <c r="FT65" i="17"/>
  <c r="GN63" i="17"/>
  <c r="GG63" i="17"/>
  <c r="GJ60" i="17"/>
  <c r="GH60" i="17"/>
  <c r="FP59" i="17"/>
  <c r="FQ59" i="17"/>
  <c r="GP56" i="17"/>
  <c r="GO56" i="17"/>
  <c r="GF53" i="17"/>
  <c r="GP53" i="17"/>
  <c r="FU50" i="17"/>
  <c r="FS50" i="17"/>
  <c r="GD46" i="17"/>
  <c r="FO46" i="17"/>
  <c r="GK44" i="17"/>
  <c r="FR44" i="17"/>
  <c r="GH44" i="17"/>
  <c r="GD40" i="17"/>
  <c r="GM40" i="17"/>
  <c r="FY35" i="17"/>
  <c r="GA35" i="17"/>
  <c r="GP31" i="17"/>
  <c r="GF31" i="17"/>
  <c r="FP25" i="17"/>
  <c r="FR25" i="17"/>
  <c r="GN25" i="17"/>
  <c r="FO24" i="17"/>
  <c r="GG24" i="17"/>
  <c r="GE24" i="17"/>
  <c r="FR22" i="17"/>
  <c r="GH22" i="17"/>
  <c r="FS22" i="17"/>
  <c r="GJ22" i="17"/>
  <c r="GI22" i="17"/>
  <c r="GP15" i="17"/>
  <c r="GF15" i="17"/>
  <c r="GC14" i="17"/>
  <c r="FT14" i="17"/>
  <c r="GA13" i="17"/>
  <c r="FY13" i="17"/>
  <c r="FT11" i="17"/>
  <c r="GE11" i="17"/>
  <c r="GG9" i="17"/>
  <c r="GN9" i="17"/>
  <c r="GO9" i="17"/>
  <c r="GI7" i="17"/>
  <c r="FV7" i="17"/>
  <c r="FS6" i="17"/>
  <c r="GI6" i="17"/>
  <c r="FR6" i="17"/>
  <c r="GM5" i="17"/>
  <c r="FQ5" i="17"/>
  <c r="GD132" i="17"/>
  <c r="GN168" i="17"/>
  <c r="FT91" i="17"/>
  <c r="AP330" i="17"/>
  <c r="AQ330" i="17"/>
  <c r="AR330" i="17"/>
  <c r="AT330" i="17"/>
  <c r="AK330" i="17"/>
  <c r="AL330" i="17"/>
  <c r="AS330" i="17"/>
  <c r="GQ330" i="17" s="1"/>
  <c r="AO330" i="17"/>
  <c r="AM330" i="17"/>
  <c r="AT286" i="17"/>
  <c r="AU286" i="17"/>
  <c r="AK286" i="17"/>
  <c r="AM286" i="17"/>
  <c r="AQ270" i="17"/>
  <c r="AR270" i="17"/>
  <c r="AS270" i="17"/>
  <c r="GQ270" i="17" s="1"/>
  <c r="AP270" i="17"/>
  <c r="AT270" i="17"/>
  <c r="AU270" i="17"/>
  <c r="AL255" i="17"/>
  <c r="AM255" i="17"/>
  <c r="AP255" i="17"/>
  <c r="AR227" i="17"/>
  <c r="AS227" i="17"/>
  <c r="GQ227" i="17" s="1"/>
  <c r="AL227" i="17"/>
  <c r="AQ227" i="17"/>
  <c r="AM211" i="17"/>
  <c r="AN211" i="17"/>
  <c r="AO211" i="17"/>
  <c r="AP211" i="17"/>
  <c r="AQ211" i="17"/>
  <c r="AR211" i="17"/>
  <c r="AK211" i="17"/>
  <c r="AL211" i="17"/>
  <c r="AN195" i="17"/>
  <c r="AT195" i="17"/>
  <c r="AL195" i="17"/>
  <c r="AM195" i="17"/>
  <c r="AS168" i="17"/>
  <c r="GQ168" i="17" s="1"/>
  <c r="HN168" i="17" s="1"/>
  <c r="IP168" i="17" s="1"/>
  <c r="AT168" i="17"/>
  <c r="AP168" i="17"/>
  <c r="AQ168" i="17"/>
  <c r="AR168" i="17"/>
  <c r="AM152" i="17"/>
  <c r="AS152" i="17"/>
  <c r="GQ152" i="17" s="1"/>
  <c r="GR152" i="17" s="1"/>
  <c r="HT152" i="17" s="1"/>
  <c r="AT152" i="17"/>
  <c r="AU152" i="17"/>
  <c r="AL152" i="17"/>
  <c r="AM120" i="17"/>
  <c r="AN120" i="17"/>
  <c r="AR120" i="17"/>
  <c r="AL120" i="17"/>
  <c r="AS120" i="17"/>
  <c r="GQ120" i="17" s="1"/>
  <c r="AK102" i="17"/>
  <c r="AL102" i="17"/>
  <c r="AM102" i="17"/>
  <c r="AN102" i="17"/>
  <c r="AR102" i="17"/>
  <c r="AS102" i="17"/>
  <c r="GQ102" i="17" s="1"/>
  <c r="HH102" i="17" s="1"/>
  <c r="IJ102" i="17" s="1"/>
  <c r="AR63" i="17"/>
  <c r="AO63" i="17"/>
  <c r="AP63" i="17"/>
  <c r="AQ63" i="17"/>
  <c r="AK63" i="17"/>
  <c r="AL63" i="17"/>
  <c r="AM63" i="17"/>
  <c r="AN63" i="17"/>
  <c r="AR47" i="17"/>
  <c r="AN47" i="17"/>
  <c r="AO47" i="17"/>
  <c r="AP47" i="17"/>
  <c r="AU31" i="17"/>
  <c r="AK31" i="17"/>
  <c r="AL31" i="17"/>
  <c r="AM31" i="17"/>
  <c r="AQ31" i="17"/>
  <c r="AL15" i="17"/>
  <c r="AM15" i="17"/>
  <c r="AN15" i="17"/>
  <c r="AU15" i="17"/>
  <c r="FW333" i="17"/>
  <c r="GP331" i="17"/>
  <c r="FT329" i="17"/>
  <c r="GM329" i="17"/>
  <c r="GD326" i="17"/>
  <c r="GG326" i="17"/>
  <c r="GI325" i="17"/>
  <c r="FZ325" i="17"/>
  <c r="FS324" i="17"/>
  <c r="GH324" i="17"/>
  <c r="FQ323" i="17"/>
  <c r="GL319" i="17"/>
  <c r="FV319" i="17"/>
  <c r="FX179" i="17"/>
  <c r="GI179" i="17"/>
  <c r="FQ297" i="17"/>
  <c r="FP297" i="17"/>
  <c r="GM297" i="17"/>
  <c r="FW291" i="17"/>
  <c r="GA287" i="17"/>
  <c r="FT285" i="17"/>
  <c r="GF282" i="17"/>
  <c r="FO282" i="17"/>
  <c r="GI281" i="17"/>
  <c r="FZ281" i="17"/>
  <c r="GP273" i="17"/>
  <c r="FT269" i="17"/>
  <c r="GM269" i="17"/>
  <c r="GD267" i="17"/>
  <c r="GF267" i="17"/>
  <c r="GG267" i="17"/>
  <c r="FZ266" i="17"/>
  <c r="FV266" i="17"/>
  <c r="GK265" i="17"/>
  <c r="GH265" i="17"/>
  <c r="FS265" i="17"/>
  <c r="FR265" i="17"/>
  <c r="GJ265" i="17"/>
  <c r="FZ257" i="17"/>
  <c r="GB257" i="17"/>
  <c r="GC257" i="17"/>
  <c r="FY256" i="17"/>
  <c r="FU255" i="17"/>
  <c r="GI250" i="17"/>
  <c r="FV250" i="17"/>
  <c r="GM248" i="17"/>
  <c r="FP248" i="17"/>
  <c r="GP230" i="17"/>
  <c r="FT226" i="17"/>
  <c r="GM226" i="17"/>
  <c r="GG224" i="17"/>
  <c r="GO224" i="17"/>
  <c r="FP224" i="17"/>
  <c r="GE223" i="17"/>
  <c r="GF223" i="17"/>
  <c r="GB222" i="17"/>
  <c r="FV222" i="17"/>
  <c r="GJ221" i="17"/>
  <c r="GI221" i="17"/>
  <c r="FQ220" i="17"/>
  <c r="GB213" i="17"/>
  <c r="FX213" i="17"/>
  <c r="FT210" i="17"/>
  <c r="GN208" i="17"/>
  <c r="FO207" i="17"/>
  <c r="GE207" i="17"/>
  <c r="GG207" i="17"/>
  <c r="GB197" i="17"/>
  <c r="FX197" i="17"/>
  <c r="GA196" i="17"/>
  <c r="FU195" i="17"/>
  <c r="FS195" i="17"/>
  <c r="GG192" i="17"/>
  <c r="GN192" i="17"/>
  <c r="GF191" i="17"/>
  <c r="FO191" i="17"/>
  <c r="GB190" i="17"/>
  <c r="GI190" i="17"/>
  <c r="FS188" i="17"/>
  <c r="GJ188" i="17"/>
  <c r="GL183" i="17"/>
  <c r="FV183" i="17"/>
  <c r="FW183" i="17"/>
  <c r="GP181" i="17"/>
  <c r="GF181" i="17"/>
  <c r="FU168" i="17"/>
  <c r="FT167" i="17"/>
  <c r="FP165" i="17"/>
  <c r="GG165" i="17"/>
  <c r="GG164" i="17"/>
  <c r="FO164" i="17"/>
  <c r="GD164" i="17"/>
  <c r="GE148" i="17"/>
  <c r="GG148" i="17"/>
  <c r="FV141" i="17"/>
  <c r="FW141" i="17"/>
  <c r="GC138" i="17"/>
  <c r="FT135" i="17"/>
  <c r="GM135" i="17"/>
  <c r="GG133" i="17"/>
  <c r="GN133" i="17"/>
  <c r="GH130" i="17"/>
  <c r="GI130" i="17"/>
  <c r="GJ130" i="17"/>
  <c r="FS130" i="17"/>
  <c r="GF123" i="17"/>
  <c r="GP123" i="17"/>
  <c r="GB122" i="17"/>
  <c r="FZ122" i="17"/>
  <c r="GA121" i="17"/>
  <c r="FU120" i="17"/>
  <c r="FS120" i="17"/>
  <c r="GM119" i="17"/>
  <c r="FT119" i="17"/>
  <c r="FP117" i="17"/>
  <c r="GO117" i="17"/>
  <c r="GG116" i="17"/>
  <c r="GF116" i="17"/>
  <c r="FO116" i="17"/>
  <c r="FP113" i="17"/>
  <c r="GM113" i="17"/>
  <c r="GL109" i="17"/>
  <c r="FV109" i="17"/>
  <c r="GH96" i="17"/>
  <c r="GI96" i="17"/>
  <c r="FS96" i="17"/>
  <c r="GJ96" i="17"/>
  <c r="GK96" i="17"/>
  <c r="FR96" i="17"/>
  <c r="FO92" i="17"/>
  <c r="GO92" i="17"/>
  <c r="GC65" i="17"/>
  <c r="GM62" i="17"/>
  <c r="FT62" i="17"/>
  <c r="FX59" i="17"/>
  <c r="FZ59" i="17"/>
  <c r="FR57" i="17"/>
  <c r="FS57" i="17"/>
  <c r="GM56" i="17"/>
  <c r="FP56" i="17"/>
  <c r="FV52" i="17"/>
  <c r="FW52" i="17"/>
  <c r="GF50" i="17"/>
  <c r="GP50" i="17"/>
  <c r="FT46" i="17"/>
  <c r="GM46" i="17"/>
  <c r="GE40" i="17"/>
  <c r="FO40" i="17"/>
  <c r="GG40" i="17"/>
  <c r="GI39" i="17"/>
  <c r="FZ39" i="17"/>
  <c r="FR38" i="17"/>
  <c r="FS38" i="17"/>
  <c r="FW33" i="17"/>
  <c r="FV33" i="17"/>
  <c r="GO31" i="17"/>
  <c r="FO31" i="17"/>
  <c r="GA26" i="17"/>
  <c r="FY26" i="17"/>
  <c r="FS25" i="17"/>
  <c r="FU25" i="17"/>
  <c r="GE21" i="17"/>
  <c r="GD21" i="17"/>
  <c r="GG21" i="17"/>
  <c r="FX20" i="17"/>
  <c r="FZ20" i="17"/>
  <c r="FS19" i="17"/>
  <c r="GJ19" i="17"/>
  <c r="GL14" i="17"/>
  <c r="FW14" i="17"/>
  <c r="FZ11" i="17"/>
  <c r="GB11" i="17"/>
  <c r="FX11" i="17"/>
  <c r="GC11" i="17"/>
  <c r="FU9" i="17"/>
  <c r="FS9" i="17"/>
  <c r="FT8" i="17"/>
  <c r="GM8" i="17"/>
  <c r="FU6" i="17"/>
  <c r="GN6" i="17"/>
  <c r="FX5" i="17"/>
  <c r="FZ5" i="17"/>
  <c r="GD5" i="17"/>
  <c r="FO5" i="17"/>
  <c r="GI4" i="17"/>
  <c r="FV4" i="17"/>
  <c r="FX134" i="17"/>
  <c r="GA199" i="17"/>
  <c r="GA93" i="17"/>
  <c r="FO56" i="17"/>
  <c r="AP302" i="17"/>
  <c r="AU302" i="17"/>
  <c r="AK302" i="17"/>
  <c r="AQ302" i="17"/>
  <c r="AL302" i="17"/>
  <c r="AM302" i="17"/>
  <c r="AU285" i="17"/>
  <c r="AK285" i="17"/>
  <c r="AS285" i="17"/>
  <c r="GQ285" i="17" s="1"/>
  <c r="AQ285" i="17"/>
  <c r="AK269" i="17"/>
  <c r="AL269" i="17"/>
  <c r="AM269" i="17"/>
  <c r="AN269" i="17"/>
  <c r="AO269" i="17"/>
  <c r="AP269" i="17"/>
  <c r="AU254" i="17"/>
  <c r="AS254" i="17"/>
  <c r="GQ254" i="17" s="1"/>
  <c r="AN254" i="17"/>
  <c r="AO254" i="17"/>
  <c r="AP254" i="17"/>
  <c r="AT254" i="17"/>
  <c r="AQ254" i="17"/>
  <c r="AL226" i="17"/>
  <c r="AP226" i="17"/>
  <c r="AT226" i="17"/>
  <c r="AK210" i="17"/>
  <c r="AL210" i="17"/>
  <c r="AM210" i="17"/>
  <c r="AM194" i="17"/>
  <c r="AN194" i="17"/>
  <c r="AR194" i="17"/>
  <c r="AU194" i="17"/>
  <c r="AK194" i="17"/>
  <c r="AL194" i="17"/>
  <c r="AS194" i="17"/>
  <c r="GQ194" i="17" s="1"/>
  <c r="HP194" i="17" s="1"/>
  <c r="IR194" i="17" s="1"/>
  <c r="AO167" i="17"/>
  <c r="AP167" i="17"/>
  <c r="AQ167" i="17"/>
  <c r="AR167" i="17"/>
  <c r="AS167" i="17"/>
  <c r="GQ167" i="17" s="1"/>
  <c r="AT167" i="17"/>
  <c r="AM167" i="17"/>
  <c r="AN167" i="17"/>
  <c r="AU167" i="17"/>
  <c r="AQ151" i="17"/>
  <c r="AS151" i="17"/>
  <c r="GQ151" i="17" s="1"/>
  <c r="GV151" i="17" s="1"/>
  <c r="HX151" i="17" s="1"/>
  <c r="AT151" i="17"/>
  <c r="AL151" i="17"/>
  <c r="AU151" i="17"/>
  <c r="AR119" i="17"/>
  <c r="AN119" i="17"/>
  <c r="AO119" i="17"/>
  <c r="AP119" i="17"/>
  <c r="AT119" i="17"/>
  <c r="AU119" i="17"/>
  <c r="AK119" i="17"/>
  <c r="AL119" i="17"/>
  <c r="AK101" i="17"/>
  <c r="AO101" i="17"/>
  <c r="AR101" i="17"/>
  <c r="AU101" i="17"/>
  <c r="AP101" i="17"/>
  <c r="AQ101" i="17"/>
  <c r="AU62" i="17"/>
  <c r="AK62" i="17"/>
  <c r="AL62" i="17"/>
  <c r="AQ62" i="17"/>
  <c r="AT62" i="17"/>
  <c r="AM62" i="17"/>
  <c r="AP62" i="17"/>
  <c r="AM46" i="17"/>
  <c r="AQ46" i="17"/>
  <c r="AR46" i="17"/>
  <c r="AS46" i="17"/>
  <c r="GQ46" i="17" s="1"/>
  <c r="AT46" i="17"/>
  <c r="AU46" i="17"/>
  <c r="AS29" i="17"/>
  <c r="GQ29" i="17" s="1"/>
  <c r="GT29" i="17" s="1"/>
  <c r="HV29" i="17" s="1"/>
  <c r="AP29" i="17"/>
  <c r="AQ29" i="17"/>
  <c r="AR29" i="17"/>
  <c r="AM14" i="17"/>
  <c r="AN14" i="17"/>
  <c r="AS14" i="17"/>
  <c r="GQ14" i="17" s="1"/>
  <c r="AT14" i="17"/>
  <c r="AU14" i="17"/>
  <c r="AK14" i="17"/>
  <c r="AR14" i="17"/>
  <c r="AL14" i="17"/>
  <c r="FQ304" i="17"/>
  <c r="FP304" i="17"/>
  <c r="GM304" i="17"/>
  <c r="GL294" i="17"/>
  <c r="FW294" i="17"/>
  <c r="GP330" i="17"/>
  <c r="GF330" i="17"/>
  <c r="GA328" i="17"/>
  <c r="FY328" i="17"/>
  <c r="GO324" i="17"/>
  <c r="GN324" i="17"/>
  <c r="GG324" i="17"/>
  <c r="GD323" i="17"/>
  <c r="GF323" i="17"/>
  <c r="FO323" i="17"/>
  <c r="GI321" i="17"/>
  <c r="FR321" i="17"/>
  <c r="GP303" i="17"/>
  <c r="GF303" i="17"/>
  <c r="FZ302" i="17"/>
  <c r="GI296" i="17"/>
  <c r="FX296" i="17"/>
  <c r="GJ295" i="17"/>
  <c r="FS295" i="17"/>
  <c r="FR295" i="17"/>
  <c r="GK295" i="17"/>
  <c r="GM292" i="17"/>
  <c r="FP292" i="17"/>
  <c r="FP280" i="17"/>
  <c r="GN280" i="17"/>
  <c r="GG279" i="17"/>
  <c r="GE279" i="17"/>
  <c r="GF279" i="17"/>
  <c r="FS277" i="17"/>
  <c r="GI277" i="17"/>
  <c r="FQ276" i="17"/>
  <c r="FP276" i="17"/>
  <c r="GM276" i="17"/>
  <c r="FW257" i="17"/>
  <c r="GL257" i="17"/>
  <c r="FV257" i="17"/>
  <c r="FU252" i="17"/>
  <c r="GN249" i="17"/>
  <c r="FX247" i="17"/>
  <c r="GI247" i="17"/>
  <c r="FR246" i="17"/>
  <c r="GJ246" i="17"/>
  <c r="GK246" i="17"/>
  <c r="FS246" i="17"/>
  <c r="FU224" i="17"/>
  <c r="FP221" i="17"/>
  <c r="GN221" i="17"/>
  <c r="FX220" i="17"/>
  <c r="FZ220" i="17"/>
  <c r="GE220" i="17"/>
  <c r="GD220" i="17"/>
  <c r="GI218" i="17"/>
  <c r="FR218" i="17"/>
  <c r="FQ217" i="17"/>
  <c r="FW213" i="17"/>
  <c r="GL213" i="17"/>
  <c r="GP211" i="17"/>
  <c r="GF211" i="17"/>
  <c r="GA209" i="17"/>
  <c r="FY209" i="17"/>
  <c r="GN205" i="17"/>
  <c r="GG205" i="17"/>
  <c r="GF204" i="17"/>
  <c r="GE204" i="17"/>
  <c r="GG204" i="17"/>
  <c r="GD204" i="17"/>
  <c r="GJ202" i="17"/>
  <c r="FR202" i="17"/>
  <c r="GK202" i="17"/>
  <c r="GI202" i="17"/>
  <c r="FS202" i="17"/>
  <c r="FV197" i="17"/>
  <c r="FW197" i="17"/>
  <c r="FP188" i="17"/>
  <c r="GG188" i="17"/>
  <c r="GO188" i="17"/>
  <c r="FR185" i="17"/>
  <c r="GJ185" i="17"/>
  <c r="GI185" i="17"/>
  <c r="FS185" i="17"/>
  <c r="FQ184" i="17"/>
  <c r="FP184" i="17"/>
  <c r="GP168" i="17"/>
  <c r="GF168" i="17"/>
  <c r="FU165" i="17"/>
  <c r="GG161" i="17"/>
  <c r="GD161" i="17"/>
  <c r="GE161" i="17"/>
  <c r="GM158" i="17"/>
  <c r="FQ158" i="17"/>
  <c r="GL154" i="17"/>
  <c r="FV154" i="17"/>
  <c r="FW154" i="17"/>
  <c r="GA150" i="17"/>
  <c r="FY150" i="17"/>
  <c r="GG146" i="17"/>
  <c r="GN146" i="17"/>
  <c r="FS143" i="17"/>
  <c r="FR143" i="17"/>
  <c r="GK143" i="17"/>
  <c r="GM142" i="17"/>
  <c r="FP142" i="17"/>
  <c r="FX135" i="17"/>
  <c r="GB135" i="17"/>
  <c r="GO130" i="17"/>
  <c r="GG130" i="17"/>
  <c r="FP130" i="17"/>
  <c r="GF129" i="17"/>
  <c r="GE129" i="17"/>
  <c r="GI128" i="17"/>
  <c r="FZ128" i="17"/>
  <c r="FR127" i="17"/>
  <c r="GI127" i="17"/>
  <c r="GM126" i="17"/>
  <c r="FQ126" i="17"/>
  <c r="FP126" i="17"/>
  <c r="FV122" i="17"/>
  <c r="FW122" i="17"/>
  <c r="GB119" i="17"/>
  <c r="FX119" i="17"/>
  <c r="FY118" i="17"/>
  <c r="GA118" i="17"/>
  <c r="GG114" i="17"/>
  <c r="GN114" i="17"/>
  <c r="GO114" i="17"/>
  <c r="FP114" i="17"/>
  <c r="GG113" i="17"/>
  <c r="GD113" i="17"/>
  <c r="GE113" i="17"/>
  <c r="FX112" i="17"/>
  <c r="GB112" i="17"/>
  <c r="FR111" i="17"/>
  <c r="FS111" i="17"/>
  <c r="GM110" i="17"/>
  <c r="FQ110" i="17"/>
  <c r="FW104" i="17"/>
  <c r="GL104" i="17"/>
  <c r="FV104" i="17"/>
  <c r="GF102" i="17"/>
  <c r="GP102" i="17"/>
  <c r="GC101" i="17"/>
  <c r="FY100" i="17"/>
  <c r="GA100" i="17"/>
  <c r="FU99" i="17"/>
  <c r="GN96" i="17"/>
  <c r="FP96" i="17"/>
  <c r="GG96" i="17"/>
  <c r="GE95" i="17"/>
  <c r="GF95" i="17"/>
  <c r="FR93" i="17"/>
  <c r="GI93" i="17"/>
  <c r="FS93" i="17"/>
  <c r="GN93" i="17"/>
  <c r="GJ93" i="17"/>
  <c r="GD92" i="17"/>
  <c r="GM92" i="17"/>
  <c r="FQ92" i="17"/>
  <c r="FQ66" i="17"/>
  <c r="GO66" i="17"/>
  <c r="FV65" i="17"/>
  <c r="FW65" i="17"/>
  <c r="GC62" i="17"/>
  <c r="GN57" i="17"/>
  <c r="GF56" i="17"/>
  <c r="GG56" i="17"/>
  <c r="GI54" i="17"/>
  <c r="FS54" i="17"/>
  <c r="GK54" i="17"/>
  <c r="GJ54" i="17"/>
  <c r="FQ53" i="17"/>
  <c r="GD53" i="17"/>
  <c r="GF47" i="17"/>
  <c r="GP47" i="17"/>
  <c r="FX46" i="17"/>
  <c r="GC46" i="17"/>
  <c r="GA45" i="17"/>
  <c r="FY45" i="17"/>
  <c r="FU44" i="17"/>
  <c r="FY42" i="17"/>
  <c r="GA42" i="17"/>
  <c r="GG38" i="17"/>
  <c r="FP38" i="17"/>
  <c r="FZ37" i="17"/>
  <c r="FX37" i="17"/>
  <c r="GD37" i="17"/>
  <c r="GE37" i="17"/>
  <c r="GI36" i="17"/>
  <c r="FX36" i="17"/>
  <c r="FZ36" i="17"/>
  <c r="GB36" i="17"/>
  <c r="GN35" i="17"/>
  <c r="GH35" i="17"/>
  <c r="GJ35" i="17"/>
  <c r="FR35" i="17"/>
  <c r="GK35" i="17"/>
  <c r="GD34" i="17"/>
  <c r="GM34" i="17"/>
  <c r="FP34" i="17"/>
  <c r="GJ32" i="17"/>
  <c r="GI32" i="17"/>
  <c r="GH32" i="17"/>
  <c r="GN32" i="17"/>
  <c r="FS32" i="17"/>
  <c r="FW27" i="17"/>
  <c r="GL27" i="17"/>
  <c r="FV27" i="17"/>
  <c r="GP25" i="17"/>
  <c r="GF25" i="17"/>
  <c r="FZ24" i="17"/>
  <c r="GC24" i="17"/>
  <c r="GA23" i="17"/>
  <c r="FY23" i="17"/>
  <c r="FU22" i="17"/>
  <c r="GO19" i="17"/>
  <c r="GG19" i="17"/>
  <c r="FX18" i="17"/>
  <c r="FZ18" i="17"/>
  <c r="GG18" i="17"/>
  <c r="GD18" i="17"/>
  <c r="GI17" i="17"/>
  <c r="FZ17" i="17"/>
  <c r="GB17" i="17"/>
  <c r="FY108" i="17"/>
  <c r="GP142" i="17"/>
  <c r="GP95" i="17"/>
  <c r="AO62" i="17"/>
  <c r="AU226" i="17"/>
  <c r="AQ47" i="17"/>
  <c r="AQ303" i="17"/>
  <c r="AU301" i="17"/>
  <c r="AP301" i="17"/>
  <c r="AR301" i="17"/>
  <c r="AT301" i="17"/>
  <c r="AM284" i="17"/>
  <c r="AP284" i="17"/>
  <c r="AQ284" i="17"/>
  <c r="AR284" i="17"/>
  <c r="AS284" i="17"/>
  <c r="GQ284" i="17" s="1"/>
  <c r="AU284" i="17"/>
  <c r="AO284" i="17"/>
  <c r="AM268" i="17"/>
  <c r="AP268" i="17"/>
  <c r="AQ268" i="17"/>
  <c r="AL268" i="17"/>
  <c r="AT268" i="17"/>
  <c r="AU268" i="17"/>
  <c r="AU253" i="17"/>
  <c r="AR253" i="17"/>
  <c r="AS253" i="17"/>
  <c r="GQ253" i="17" s="1"/>
  <c r="AK253" i="17"/>
  <c r="AO253" i="17"/>
  <c r="AL253" i="17"/>
  <c r="AO225" i="17"/>
  <c r="AQ225" i="17"/>
  <c r="AU225" i="17"/>
  <c r="AS225" i="17"/>
  <c r="GQ225" i="17" s="1"/>
  <c r="AT225" i="17"/>
  <c r="AS209" i="17"/>
  <c r="GQ209" i="17" s="1"/>
  <c r="AK209" i="17"/>
  <c r="AL209" i="17"/>
  <c r="AQ209" i="17"/>
  <c r="AR209" i="17"/>
  <c r="AQ193" i="17"/>
  <c r="AR193" i="17"/>
  <c r="AN193" i="17"/>
  <c r="AP193" i="17"/>
  <c r="AO193" i="17"/>
  <c r="AK166" i="17"/>
  <c r="AL166" i="17"/>
  <c r="AM166" i="17"/>
  <c r="AN166" i="17"/>
  <c r="AO166" i="17"/>
  <c r="AQ166" i="17"/>
  <c r="AS166" i="17"/>
  <c r="GQ166" i="17" s="1"/>
  <c r="AL150" i="17"/>
  <c r="AO150" i="17"/>
  <c r="AP150" i="17"/>
  <c r="AT150" i="17"/>
  <c r="AU150" i="17"/>
  <c r="AQ150" i="17"/>
  <c r="AR150" i="17"/>
  <c r="AK150" i="17"/>
  <c r="AM134" i="17"/>
  <c r="AQ134" i="17"/>
  <c r="AR134" i="17"/>
  <c r="AS134" i="17"/>
  <c r="GQ134" i="17" s="1"/>
  <c r="AK118" i="17"/>
  <c r="AL118" i="17"/>
  <c r="AO118" i="17"/>
  <c r="AP118" i="17"/>
  <c r="AQ118" i="17"/>
  <c r="AT118" i="17"/>
  <c r="AU118" i="17"/>
  <c r="AM100" i="17"/>
  <c r="AT100" i="17"/>
  <c r="AK61" i="17"/>
  <c r="AL61" i="17"/>
  <c r="AM61" i="17"/>
  <c r="AN61" i="17"/>
  <c r="AO61" i="17"/>
  <c r="AS61" i="17"/>
  <c r="GQ61" i="17" s="1"/>
  <c r="AK45" i="17"/>
  <c r="AO45" i="17"/>
  <c r="AP45" i="17"/>
  <c r="AU45" i="17"/>
  <c r="AQ45" i="17"/>
  <c r="AR45" i="17"/>
  <c r="AS45" i="17"/>
  <c r="GQ45" i="17" s="1"/>
  <c r="AT45" i="17"/>
  <c r="AT28" i="17"/>
  <c r="AU28" i="17"/>
  <c r="AK28" i="17"/>
  <c r="AR28" i="17"/>
  <c r="AS28" i="17"/>
  <c r="GQ28" i="17" s="1"/>
  <c r="AN13" i="17"/>
  <c r="AO13" i="17"/>
  <c r="AP13" i="17"/>
  <c r="AR13" i="17"/>
  <c r="AS13" i="17"/>
  <c r="GQ13" i="17" s="1"/>
  <c r="AK13" i="17"/>
  <c r="AL13" i="17"/>
  <c r="AM13" i="17"/>
  <c r="GI332" i="17"/>
  <c r="FR332" i="17"/>
  <c r="GJ332" i="17"/>
  <c r="GM331" i="17"/>
  <c r="FQ331" i="17"/>
  <c r="FU324" i="17"/>
  <c r="GO321" i="17"/>
  <c r="GG321" i="17"/>
  <c r="GE320" i="17"/>
  <c r="FO320" i="17"/>
  <c r="FQ317" i="17"/>
  <c r="GL302" i="17"/>
  <c r="FW302" i="17"/>
  <c r="FV302" i="17"/>
  <c r="FY179" i="17"/>
  <c r="FR290" i="17"/>
  <c r="GJ290" i="17"/>
  <c r="GH290" i="17"/>
  <c r="GI290" i="17"/>
  <c r="GL285" i="17"/>
  <c r="FW285" i="17"/>
  <c r="FV285" i="17"/>
  <c r="FX282" i="17"/>
  <c r="GB282" i="17"/>
  <c r="GC282" i="17"/>
  <c r="FU280" i="17"/>
  <c r="FX276" i="17"/>
  <c r="FZ276" i="17"/>
  <c r="GG276" i="17"/>
  <c r="GE276" i="17"/>
  <c r="FQ273" i="17"/>
  <c r="GL269" i="17"/>
  <c r="FX267" i="17"/>
  <c r="FZ267" i="17"/>
  <c r="GB267" i="17"/>
  <c r="GA266" i="17"/>
  <c r="FY266" i="17"/>
  <c r="GN262" i="17"/>
  <c r="GG261" i="17"/>
  <c r="GE261" i="17"/>
  <c r="GJ259" i="17"/>
  <c r="GI259" i="17"/>
  <c r="FQ258" i="17"/>
  <c r="FV254" i="17"/>
  <c r="GL254" i="17"/>
  <c r="GB251" i="17"/>
  <c r="FZ251" i="17"/>
  <c r="GC251" i="17"/>
  <c r="FU249" i="17"/>
  <c r="GO246" i="17"/>
  <c r="GN246" i="17"/>
  <c r="GE233" i="17"/>
  <c r="GD233" i="17"/>
  <c r="GI231" i="17"/>
  <c r="FS231" i="17"/>
  <c r="FR231" i="17"/>
  <c r="GM230" i="17"/>
  <c r="FQ230" i="17"/>
  <c r="FW226" i="17"/>
  <c r="FV226" i="17"/>
  <c r="FZ223" i="17"/>
  <c r="FY222" i="17"/>
  <c r="GA222" i="17"/>
  <c r="FP218" i="17"/>
  <c r="GN218" i="17"/>
  <c r="GK215" i="17"/>
  <c r="GJ215" i="17"/>
  <c r="FQ214" i="17"/>
  <c r="FP214" i="17"/>
  <c r="GD214" i="17"/>
  <c r="GM214" i="17"/>
  <c r="FU205" i="17"/>
  <c r="GN202" i="17"/>
  <c r="FP202" i="17"/>
  <c r="FZ201" i="17"/>
  <c r="FX201" i="17"/>
  <c r="GK199" i="17"/>
  <c r="GJ199" i="17"/>
  <c r="FR199" i="17"/>
  <c r="GB191" i="17"/>
  <c r="FX191" i="17"/>
  <c r="FZ191" i="17"/>
  <c r="GC191" i="17"/>
  <c r="FY190" i="17"/>
  <c r="GA190" i="17"/>
  <c r="FU188" i="17"/>
  <c r="GG185" i="17"/>
  <c r="GN185" i="17"/>
  <c r="FP185" i="17"/>
  <c r="FU185" i="17"/>
  <c r="FO184" i="17"/>
  <c r="GD184" i="17"/>
  <c r="GH182" i="17"/>
  <c r="FR182" i="17"/>
  <c r="FS182" i="17"/>
  <c r="GK182" i="17"/>
  <c r="GM181" i="17"/>
  <c r="GD181" i="17"/>
  <c r="FV167" i="17"/>
  <c r="FW167" i="17"/>
  <c r="GF165" i="17"/>
  <c r="GP165" i="17"/>
  <c r="FY163" i="17"/>
  <c r="GA163" i="17"/>
  <c r="GG159" i="17"/>
  <c r="FP159" i="17"/>
  <c r="FO158" i="17"/>
  <c r="FR156" i="17"/>
  <c r="GI156" i="17"/>
  <c r="FQ155" i="17"/>
  <c r="GD155" i="17"/>
  <c r="GM155" i="17"/>
  <c r="GL151" i="17"/>
  <c r="FX148" i="17"/>
  <c r="GB148" i="17"/>
  <c r="GC148" i="17"/>
  <c r="GA147" i="17"/>
  <c r="FY147" i="17"/>
  <c r="FU146" i="17"/>
  <c r="GG143" i="17"/>
  <c r="FU143" i="17"/>
  <c r="GN143" i="17"/>
  <c r="GE142" i="17"/>
  <c r="GD142" i="17"/>
  <c r="GK140" i="17"/>
  <c r="FR140" i="17"/>
  <c r="FS140" i="17"/>
  <c r="GJ140" i="17"/>
  <c r="GP133" i="17"/>
  <c r="GF133" i="17"/>
  <c r="GC132" i="17"/>
  <c r="FY131" i="17"/>
  <c r="GA131" i="17"/>
  <c r="FU130" i="17"/>
  <c r="GC129" i="17"/>
  <c r="FT129" i="17"/>
  <c r="GN127" i="17"/>
  <c r="FP127" i="17"/>
  <c r="GO127" i="17"/>
  <c r="FU127" i="17"/>
  <c r="GG126" i="17"/>
  <c r="GE126" i="17"/>
  <c r="GF126" i="17"/>
  <c r="FQ123" i="17"/>
  <c r="FP123" i="17"/>
  <c r="FW119" i="17"/>
  <c r="FV119" i="17"/>
  <c r="GL119" i="17"/>
  <c r="FX116" i="17"/>
  <c r="FY115" i="17"/>
  <c r="GA115" i="17"/>
  <c r="FT113" i="17"/>
  <c r="GC113" i="17"/>
  <c r="GN111" i="17"/>
  <c r="GO111" i="17"/>
  <c r="FP111" i="17"/>
  <c r="FO110" i="17"/>
  <c r="GK108" i="17"/>
  <c r="GN108" i="17"/>
  <c r="FR108" i="17"/>
  <c r="GM107" i="17"/>
  <c r="FQ107" i="17"/>
  <c r="FP107" i="17"/>
  <c r="GL101" i="17"/>
  <c r="FV101" i="17"/>
  <c r="FW101" i="17"/>
  <c r="GC98" i="17"/>
  <c r="FT200" i="17"/>
  <c r="GA202" i="17"/>
  <c r="FT49" i="17"/>
  <c r="GF34" i="17"/>
  <c r="GO152" i="17"/>
  <c r="GE304" i="17"/>
  <c r="GG102" i="17"/>
  <c r="AP61" i="17"/>
  <c r="AL225" i="17"/>
  <c r="AN62" i="17"/>
  <c r="AQ226" i="17"/>
  <c r="AU120" i="17"/>
  <c r="AP303" i="17"/>
  <c r="AS300" i="17"/>
  <c r="GQ300" i="17" s="1"/>
  <c r="AM300" i="17"/>
  <c r="AN300" i="17"/>
  <c r="AT300" i="17"/>
  <c r="AU300" i="17"/>
  <c r="AO300" i="17"/>
  <c r="AK300" i="17"/>
  <c r="AR300" i="17"/>
  <c r="AR283" i="17"/>
  <c r="AS283" i="17"/>
  <c r="GQ283" i="17" s="1"/>
  <c r="GV283" i="17" s="1"/>
  <c r="HX283" i="17" s="1"/>
  <c r="AT283" i="17"/>
  <c r="AU283" i="17"/>
  <c r="AK283" i="17"/>
  <c r="AL283" i="17"/>
  <c r="AM283" i="17"/>
  <c r="AN283" i="17"/>
  <c r="AO189" i="17"/>
  <c r="AP189" i="17"/>
  <c r="AQ252" i="17"/>
  <c r="AR252" i="17"/>
  <c r="AS252" i="17"/>
  <c r="GQ252" i="17" s="1"/>
  <c r="AK252" i="17"/>
  <c r="AL252" i="17"/>
  <c r="AT252" i="17"/>
  <c r="AU252" i="17"/>
  <c r="AO224" i="17"/>
  <c r="AT224" i="17"/>
  <c r="AU224" i="17"/>
  <c r="AK224" i="17"/>
  <c r="AL224" i="17"/>
  <c r="AM224" i="17"/>
  <c r="AP224" i="17"/>
  <c r="AO208" i="17"/>
  <c r="AS208" i="17"/>
  <c r="GQ208" i="17" s="1"/>
  <c r="AQ192" i="17"/>
  <c r="AR192" i="17"/>
  <c r="AS192" i="17"/>
  <c r="GQ192" i="17" s="1"/>
  <c r="AL192" i="17"/>
  <c r="AO192" i="17"/>
  <c r="AP192" i="17"/>
  <c r="AM192" i="17"/>
  <c r="AT165" i="17"/>
  <c r="AN165" i="17"/>
  <c r="AM165" i="17"/>
  <c r="AO165" i="17"/>
  <c r="AQ165" i="17"/>
  <c r="AR165" i="17"/>
  <c r="AR149" i="17"/>
  <c r="AS149" i="17"/>
  <c r="GQ149" i="17" s="1"/>
  <c r="AT149" i="17"/>
  <c r="AU149" i="17"/>
  <c r="AK149" i="17"/>
  <c r="AL149" i="17"/>
  <c r="AM149" i="17"/>
  <c r="AO149" i="17"/>
  <c r="AQ117" i="17"/>
  <c r="AM117" i="17"/>
  <c r="AN117" i="17"/>
  <c r="AP117" i="17"/>
  <c r="AK99" i="17"/>
  <c r="AL99" i="17"/>
  <c r="AM99" i="17"/>
  <c r="AN99" i="17"/>
  <c r="AO99" i="17"/>
  <c r="AP99" i="17"/>
  <c r="AQ99" i="17"/>
  <c r="AR99" i="17"/>
  <c r="AS99" i="17"/>
  <c r="GQ99" i="17" s="1"/>
  <c r="AT99" i="17"/>
  <c r="AU99" i="17"/>
  <c r="AR60" i="17"/>
  <c r="AU60" i="17"/>
  <c r="AK60" i="17"/>
  <c r="AS44" i="17"/>
  <c r="GQ44" i="17" s="1"/>
  <c r="AT44" i="17"/>
  <c r="AU44" i="17"/>
  <c r="AN44" i="17"/>
  <c r="AM30" i="17"/>
  <c r="AQ30" i="17"/>
  <c r="AR30" i="17"/>
  <c r="AS30" i="17"/>
  <c r="GQ30" i="17" s="1"/>
  <c r="AK30" i="17"/>
  <c r="AT12" i="17"/>
  <c r="AU12" i="17"/>
  <c r="AK12" i="17"/>
  <c r="AL12" i="17"/>
  <c r="GG332" i="17"/>
  <c r="GN332" i="17"/>
  <c r="FO331" i="17"/>
  <c r="GF331" i="17"/>
  <c r="GE331" i="17"/>
  <c r="FQ330" i="17"/>
  <c r="GM330" i="17"/>
  <c r="GD330" i="17"/>
  <c r="FY322" i="17"/>
  <c r="GA322" i="17"/>
  <c r="FP318" i="17"/>
  <c r="GG318" i="17"/>
  <c r="GO318" i="17"/>
  <c r="GF317" i="17"/>
  <c r="GD317" i="17"/>
  <c r="GG317" i="17"/>
  <c r="FS315" i="17"/>
  <c r="GH315" i="17"/>
  <c r="GM303" i="17"/>
  <c r="GD303" i="17"/>
  <c r="FO300" i="17"/>
  <c r="FQ300" i="17"/>
  <c r="FZ297" i="17"/>
  <c r="GN290" i="17"/>
  <c r="FP290" i="17"/>
  <c r="FX289" i="17"/>
  <c r="FZ289" i="17"/>
  <c r="GF289" i="17"/>
  <c r="GE289" i="17"/>
  <c r="GD289" i="17"/>
  <c r="FS287" i="17"/>
  <c r="FR287" i="17"/>
  <c r="GK287" i="17"/>
  <c r="FQ286" i="17"/>
  <c r="FV282" i="17"/>
  <c r="FW282" i="17"/>
  <c r="GC279" i="17"/>
  <c r="GF273" i="17"/>
  <c r="GI271" i="17"/>
  <c r="FS271" i="17"/>
  <c r="GL267" i="17"/>
  <c r="FW267" i="17"/>
  <c r="FX264" i="17"/>
  <c r="FZ264" i="17"/>
  <c r="GB264" i="17"/>
  <c r="FU262" i="17"/>
  <c r="FT261" i="17"/>
  <c r="GC261" i="17"/>
  <c r="GC248" i="17"/>
  <c r="GE297" i="17"/>
  <c r="FY202" i="17"/>
  <c r="GC49" i="17"/>
  <c r="FV294" i="17"/>
  <c r="FX151" i="17"/>
  <c r="FP63" i="17"/>
  <c r="AL189" i="17"/>
  <c r="AS100" i="17"/>
  <c r="GQ100" i="17" s="1"/>
  <c r="AK225" i="17"/>
  <c r="AQ119" i="17"/>
  <c r="AR254" i="17"/>
  <c r="AT120" i="17"/>
  <c r="AK303" i="17"/>
  <c r="AM34" i="17"/>
  <c r="AS272" i="17"/>
  <c r="GQ272" i="17" s="1"/>
  <c r="AL180" i="17"/>
  <c r="AU181" i="17"/>
  <c r="AM18" i="17"/>
  <c r="AM50" i="17"/>
  <c r="AM290" i="17"/>
  <c r="AR257" i="17"/>
  <c r="AN290" i="17"/>
  <c r="AR290" i="17"/>
  <c r="AL290" i="17"/>
  <c r="AK290" i="17"/>
  <c r="AO290" i="17"/>
  <c r="AP290" i="17"/>
  <c r="AQ290" i="17"/>
  <c r="AP259" i="17"/>
  <c r="AQ259" i="17"/>
  <c r="AT259" i="17"/>
  <c r="AU259" i="17"/>
  <c r="AN259" i="17"/>
  <c r="AO259" i="17"/>
  <c r="AQ215" i="17"/>
  <c r="AL215" i="17"/>
  <c r="AP215" i="17"/>
  <c r="AR215" i="17"/>
  <c r="AS215" i="17"/>
  <c r="GQ215" i="17" s="1"/>
  <c r="AQ199" i="17"/>
  <c r="AP199" i="17"/>
  <c r="AQ182" i="17"/>
  <c r="AR182" i="17"/>
  <c r="AS182" i="17"/>
  <c r="GQ182" i="17" s="1"/>
  <c r="AO182" i="17"/>
  <c r="AP182" i="17"/>
  <c r="AS156" i="17"/>
  <c r="GQ156" i="17" s="1"/>
  <c r="AT156" i="17"/>
  <c r="AU156" i="17"/>
  <c r="AK156" i="17"/>
  <c r="AM140" i="17"/>
  <c r="AS140" i="17"/>
  <c r="GQ140" i="17" s="1"/>
  <c r="AN140" i="17"/>
  <c r="AO140" i="17"/>
  <c r="AK124" i="17"/>
  <c r="AM124" i="17"/>
  <c r="AQ124" i="17"/>
  <c r="AM108" i="17"/>
  <c r="AN108" i="17"/>
  <c r="AK67" i="17"/>
  <c r="AL67" i="17"/>
  <c r="AM67" i="17"/>
  <c r="AP67" i="17"/>
  <c r="AP51" i="17"/>
  <c r="AU51" i="17"/>
  <c r="AQ51" i="17"/>
  <c r="AR51" i="17"/>
  <c r="AS51" i="17"/>
  <c r="GQ51" i="17" s="1"/>
  <c r="AU35" i="17"/>
  <c r="AK35" i="17"/>
  <c r="AL35" i="17"/>
  <c r="AS35" i="17"/>
  <c r="GQ35" i="17" s="1"/>
  <c r="GW35" i="17" s="1"/>
  <c r="HY35" i="17" s="1"/>
  <c r="AT35" i="17"/>
  <c r="AS19" i="17"/>
  <c r="GQ19" i="17" s="1"/>
  <c r="AO19" i="17"/>
  <c r="AP19" i="17"/>
  <c r="AQ19" i="17"/>
  <c r="FY300" i="17"/>
  <c r="GA300" i="17"/>
  <c r="FS299" i="17"/>
  <c r="FU299" i="17"/>
  <c r="FZ284" i="17"/>
  <c r="FW271" i="17"/>
  <c r="FV271" i="17"/>
  <c r="FP264" i="17"/>
  <c r="GH261" i="17"/>
  <c r="FR261" i="17"/>
  <c r="FZ253" i="17"/>
  <c r="AM156" i="17"/>
  <c r="AS290" i="17"/>
  <c r="GQ290" i="17" s="1"/>
  <c r="AO304" i="17"/>
  <c r="AL304" i="17"/>
  <c r="AN304" i="17"/>
  <c r="AR304" i="17"/>
  <c r="AT304" i="17"/>
  <c r="AU304" i="17"/>
  <c r="AK273" i="17"/>
  <c r="AL273" i="17"/>
  <c r="AO258" i="17"/>
  <c r="AP258" i="17"/>
  <c r="AM258" i="17"/>
  <c r="AU214" i="17"/>
  <c r="AK214" i="17"/>
  <c r="AO198" i="17"/>
  <c r="AP198" i="17"/>
  <c r="AQ198" i="17"/>
  <c r="AL198" i="17"/>
  <c r="AM198" i="17"/>
  <c r="AN198" i="17"/>
  <c r="AK198" i="17"/>
  <c r="AK181" i="17"/>
  <c r="AP181" i="17"/>
  <c r="AQ181" i="17"/>
  <c r="AN155" i="17"/>
  <c r="AO155" i="17"/>
  <c r="AM139" i="17"/>
  <c r="AT139" i="17"/>
  <c r="AU139" i="17"/>
  <c r="AS107" i="17"/>
  <c r="GQ107" i="17" s="1"/>
  <c r="AK107" i="17"/>
  <c r="AL107" i="17"/>
  <c r="AM107" i="17"/>
  <c r="AQ107" i="17"/>
  <c r="AR107" i="17"/>
  <c r="AP34" i="17"/>
  <c r="AS34" i="17"/>
  <c r="GQ34" i="17" s="1"/>
  <c r="AT34" i="17"/>
  <c r="AU34" i="17"/>
  <c r="AQ34" i="17"/>
  <c r="AR34" i="17"/>
  <c r="AK34" i="17"/>
  <c r="AQ18" i="17"/>
  <c r="AR18" i="17"/>
  <c r="AS18" i="17"/>
  <c r="GQ18" i="17" s="1"/>
  <c r="AT18" i="17"/>
  <c r="GO304" i="17"/>
  <c r="GN304" i="17"/>
  <c r="GD333" i="17"/>
  <c r="GF333" i="17"/>
  <c r="FO333" i="17"/>
  <c r="FZ332" i="17"/>
  <c r="GB332" i="17"/>
  <c r="FV332" i="17"/>
  <c r="GJ331" i="17"/>
  <c r="FS331" i="17"/>
  <c r="FQ294" i="17"/>
  <c r="FP294" i="17"/>
  <c r="GF326" i="17"/>
  <c r="GO320" i="17"/>
  <c r="GD319" i="17"/>
  <c r="GF319" i="17"/>
  <c r="GJ317" i="17"/>
  <c r="FP316" i="17"/>
  <c r="FQ316" i="17"/>
  <c r="GL301" i="17"/>
  <c r="FV301" i="17"/>
  <c r="GP299" i="17"/>
  <c r="FZ179" i="17"/>
  <c r="GC179" i="17"/>
  <c r="GN292" i="17"/>
  <c r="GH289" i="17"/>
  <c r="GK289" i="17"/>
  <c r="GL284" i="17"/>
  <c r="FV284" i="17"/>
  <c r="FW284" i="17"/>
  <c r="GC281" i="17"/>
  <c r="GA280" i="17"/>
  <c r="GN276" i="17"/>
  <c r="GI274" i="17"/>
  <c r="FV274" i="17"/>
  <c r="GB274" i="17"/>
  <c r="AM68" i="17"/>
  <c r="AK68" i="17"/>
  <c r="AO68" i="17"/>
  <c r="AP68" i="17"/>
  <c r="AQ68" i="17"/>
  <c r="AR68" i="17"/>
  <c r="AU68" i="17"/>
  <c r="AL156" i="17"/>
  <c r="AU294" i="17"/>
  <c r="AM294" i="17"/>
  <c r="AR294" i="17"/>
  <c r="AP316" i="17"/>
  <c r="AL316" i="17"/>
  <c r="AS316" i="17"/>
  <c r="GQ316" i="17" s="1"/>
  <c r="AO316" i="17"/>
  <c r="AQ316" i="17"/>
  <c r="AR316" i="17"/>
  <c r="AT316" i="17"/>
  <c r="AU316" i="17"/>
  <c r="AK272" i="17"/>
  <c r="AT272" i="17"/>
  <c r="AU272" i="17"/>
  <c r="AP272" i="17"/>
  <c r="AQ272" i="17"/>
  <c r="AP257" i="17"/>
  <c r="AU257" i="17"/>
  <c r="AP229" i="17"/>
  <c r="AT229" i="17"/>
  <c r="AK229" i="17"/>
  <c r="AL229" i="17"/>
  <c r="AR213" i="17"/>
  <c r="AN213" i="17"/>
  <c r="AO213" i="17"/>
  <c r="AP213" i="17"/>
  <c r="AQ213" i="17"/>
  <c r="AS213" i="17"/>
  <c r="GQ213" i="17" s="1"/>
  <c r="GT213" i="17" s="1"/>
  <c r="HV213" i="17" s="1"/>
  <c r="AU213" i="17"/>
  <c r="AR197" i="17"/>
  <c r="AT197" i="17"/>
  <c r="AS197" i="17"/>
  <c r="GQ197" i="17" s="1"/>
  <c r="AU197" i="17"/>
  <c r="AO180" i="17"/>
  <c r="AP180" i="17"/>
  <c r="AQ180" i="17"/>
  <c r="AR180" i="17"/>
  <c r="AQ154" i="17"/>
  <c r="AN154" i="17"/>
  <c r="AO154" i="17"/>
  <c r="AP154" i="17"/>
  <c r="AL154" i="17"/>
  <c r="AM154" i="17"/>
  <c r="AR154" i="17"/>
  <c r="AU154" i="17"/>
  <c r="AN138" i="17"/>
  <c r="AM138" i="17"/>
  <c r="AO138" i="17"/>
  <c r="AP138" i="17"/>
  <c r="AT122" i="17"/>
  <c r="AU122" i="17"/>
  <c r="AO122" i="17"/>
  <c r="AP122" i="17"/>
  <c r="AM65" i="17"/>
  <c r="AU65" i="17"/>
  <c r="AL65" i="17"/>
  <c r="AK49" i="17"/>
  <c r="AO49" i="17"/>
  <c r="AP49" i="17"/>
  <c r="AQ49" i="17"/>
  <c r="AR49" i="17"/>
  <c r="AN49" i="17"/>
  <c r="AS49" i="17"/>
  <c r="GQ49" i="17" s="1"/>
  <c r="AU49" i="17"/>
  <c r="AO33" i="17"/>
  <c r="AK33" i="17"/>
  <c r="AO17" i="17"/>
  <c r="AP17" i="17"/>
  <c r="AQ17" i="17"/>
  <c r="AR17" i="17"/>
  <c r="GG331" i="17"/>
  <c r="GO331" i="17"/>
  <c r="GJ303" i="17"/>
  <c r="GL179" i="17"/>
  <c r="GL291" i="17"/>
  <c r="GL266" i="17"/>
  <c r="FX263" i="17"/>
  <c r="FP258" i="17"/>
  <c r="FO257" i="17"/>
  <c r="GJ255" i="17"/>
  <c r="GH255" i="17"/>
  <c r="FS255" i="17"/>
  <c r="FR255" i="17"/>
  <c r="AN68" i="17"/>
  <c r="GI169" i="17"/>
  <c r="GH169" i="17"/>
  <c r="GB161" i="17"/>
  <c r="FZ161" i="17"/>
  <c r="GC161" i="17"/>
  <c r="FY160" i="17"/>
  <c r="GA160" i="17"/>
  <c r="FO155" i="17"/>
  <c r="GE155" i="17"/>
  <c r="GG155" i="17"/>
  <c r="GL148" i="17"/>
  <c r="FW148" i="17"/>
  <c r="GN140" i="17"/>
  <c r="GH137" i="17"/>
  <c r="FX129" i="17"/>
  <c r="FR121" i="17"/>
  <c r="GH121" i="17"/>
  <c r="FX113" i="17"/>
  <c r="GD107" i="17"/>
  <c r="FO107" i="17"/>
  <c r="FQ102" i="17"/>
  <c r="FY97" i="17"/>
  <c r="FZ95" i="17"/>
  <c r="FO66" i="17"/>
  <c r="FQ60" i="17"/>
  <c r="GP60" i="17"/>
  <c r="GL59" i="17"/>
  <c r="FO50" i="17"/>
  <c r="GG50" i="17"/>
  <c r="GD50" i="17"/>
  <c r="GJ48" i="17"/>
  <c r="GK48" i="17"/>
  <c r="GN48" i="17"/>
  <c r="GL40" i="17"/>
  <c r="AN309" i="17"/>
  <c r="AQ309" i="17"/>
  <c r="AM309" i="17"/>
  <c r="AR309" i="17"/>
  <c r="AL309" i="17"/>
  <c r="AS309" i="17"/>
  <c r="GQ309" i="17" s="1"/>
  <c r="AU309" i="17"/>
  <c r="AT309" i="17"/>
  <c r="AO309" i="17"/>
  <c r="AP309" i="17"/>
  <c r="FY237" i="17"/>
  <c r="GA237" i="17"/>
  <c r="FZ106" i="17"/>
  <c r="GB106" i="17"/>
  <c r="GI105" i="17"/>
  <c r="GJ105" i="17"/>
  <c r="GH178" i="17"/>
  <c r="GJ178" i="17"/>
  <c r="FS178" i="17"/>
  <c r="GJ82" i="17"/>
  <c r="GI82" i="17"/>
  <c r="FS82" i="17"/>
  <c r="FR82" i="17"/>
  <c r="FX80" i="17"/>
  <c r="FZ80" i="17"/>
  <c r="FX77" i="17"/>
  <c r="GB77" i="17"/>
  <c r="FZ77" i="17"/>
  <c r="GI75" i="17"/>
  <c r="FR75" i="17"/>
  <c r="GH75" i="17"/>
  <c r="FS75" i="17"/>
  <c r="GB73" i="17"/>
  <c r="FZ73" i="17"/>
  <c r="GH314" i="17"/>
  <c r="FS314" i="17"/>
  <c r="GK314" i="17"/>
  <c r="GI311" i="17"/>
  <c r="FR311" i="17"/>
  <c r="FS311" i="17"/>
  <c r="GB244" i="17"/>
  <c r="FX244" i="17"/>
  <c r="FS70" i="17"/>
  <c r="GK70" i="17"/>
  <c r="GJ70" i="17"/>
  <c r="FZ310" i="17"/>
  <c r="GB310" i="17"/>
  <c r="FX310" i="17"/>
  <c r="GI242" i="17"/>
  <c r="GH242" i="17"/>
  <c r="GK242" i="17"/>
  <c r="FR242" i="17"/>
  <c r="FS242" i="17"/>
  <c r="GB308" i="17"/>
  <c r="FZ308" i="17"/>
  <c r="FR239" i="17"/>
  <c r="GK239" i="17"/>
  <c r="GJ239" i="17"/>
  <c r="GH239" i="17"/>
  <c r="GP238" i="17"/>
  <c r="GO238" i="17"/>
  <c r="AL82" i="17"/>
  <c r="AQ82" i="17"/>
  <c r="AK82" i="17"/>
  <c r="AS82" i="17"/>
  <c r="GQ82" i="17" s="1"/>
  <c r="HA82" i="17" s="1"/>
  <c r="IC82" i="17" s="1"/>
  <c r="AR82" i="17"/>
  <c r="AP82" i="17"/>
  <c r="AO82" i="17"/>
  <c r="AM82" i="17"/>
  <c r="GC2" i="17"/>
  <c r="GE2" i="17"/>
  <c r="AP299" i="17"/>
  <c r="AQ299" i="17"/>
  <c r="AR299" i="17"/>
  <c r="AK267" i="17"/>
  <c r="AR267" i="17"/>
  <c r="AU267" i="17"/>
  <c r="AO251" i="17"/>
  <c r="AP251" i="17"/>
  <c r="AM223" i="17"/>
  <c r="AS223" i="17"/>
  <c r="GQ223" i="17" s="1"/>
  <c r="HQ223" i="17" s="1"/>
  <c r="IS223" i="17" s="1"/>
  <c r="AP148" i="17"/>
  <c r="AS148" i="17"/>
  <c r="GQ148" i="17" s="1"/>
  <c r="AK148" i="17"/>
  <c r="AL148" i="17"/>
  <c r="AT148" i="17"/>
  <c r="AU148" i="17"/>
  <c r="AN59" i="17"/>
  <c r="AO59" i="17"/>
  <c r="AP59" i="17"/>
  <c r="AQ59" i="17"/>
  <c r="AQ43" i="17"/>
  <c r="AR43" i="17"/>
  <c r="AN11" i="17"/>
  <c r="AO11" i="17"/>
  <c r="AP11" i="17"/>
  <c r="AQ11" i="17"/>
  <c r="GJ324" i="17"/>
  <c r="FZ320" i="17"/>
  <c r="GC320" i="17"/>
  <c r="FS318" i="17"/>
  <c r="GN315" i="17"/>
  <c r="GB302" i="17"/>
  <c r="GA296" i="17"/>
  <c r="FS290" i="17"/>
  <c r="FY275" i="17"/>
  <c r="GB269" i="17"/>
  <c r="FS259" i="17"/>
  <c r="GM258" i="17"/>
  <c r="FR256" i="17"/>
  <c r="GD252" i="17"/>
  <c r="GM252" i="17"/>
  <c r="GJ249" i="17"/>
  <c r="GL248" i="17"/>
  <c r="GC233" i="17"/>
  <c r="GL220" i="17"/>
  <c r="GC217" i="17"/>
  <c r="FS215" i="17"/>
  <c r="GH209" i="17"/>
  <c r="GJ205" i="17"/>
  <c r="GL204" i="17"/>
  <c r="GL187" i="17"/>
  <c r="GI166" i="17"/>
  <c r="GK166" i="17"/>
  <c r="FS166" i="17"/>
  <c r="GK150" i="17"/>
  <c r="FS150" i="17"/>
  <c r="GC142" i="17"/>
  <c r="FQ133" i="17"/>
  <c r="GG121" i="17"/>
  <c r="GN121" i="17"/>
  <c r="GG120" i="17"/>
  <c r="GD120" i="17"/>
  <c r="GF120" i="17"/>
  <c r="GM117" i="17"/>
  <c r="FQ117" i="17"/>
  <c r="FV113" i="17"/>
  <c r="GL113" i="17"/>
  <c r="GN103" i="17"/>
  <c r="FQ88" i="17"/>
  <c r="AM59" i="17"/>
  <c r="AN164" i="17"/>
  <c r="AK299" i="17"/>
  <c r="FR314" i="17"/>
  <c r="AL59" i="17"/>
  <c r="AU299" i="17"/>
  <c r="AR307" i="17"/>
  <c r="AN307" i="17"/>
  <c r="AS307" i="17"/>
  <c r="AT307" i="17"/>
  <c r="AQ307" i="17"/>
  <c r="AO307" i="17"/>
  <c r="FQ85" i="17"/>
  <c r="FR169" i="17"/>
  <c r="AK59" i="17"/>
  <c r="AS191" i="17"/>
  <c r="GQ191" i="17" s="1"/>
  <c r="AT299" i="17"/>
  <c r="AR59" i="17"/>
  <c r="AS299" i="17"/>
  <c r="GQ299" i="17" s="1"/>
  <c r="GT299" i="17" s="1"/>
  <c r="HV299" i="17" s="1"/>
  <c r="AP306" i="17"/>
  <c r="AT306" i="17"/>
  <c r="AS306" i="17"/>
  <c r="AU306" i="17"/>
  <c r="AM237" i="17"/>
  <c r="AN237" i="17"/>
  <c r="FW106" i="17"/>
  <c r="GL106" i="17"/>
  <c r="GM337" i="17"/>
  <c r="FQ337" i="17"/>
  <c r="GA336" i="17"/>
  <c r="FY336" i="17"/>
  <c r="GN178" i="17"/>
  <c r="GO178" i="17"/>
  <c r="FP85" i="17"/>
  <c r="GM85" i="17"/>
  <c r="GN82" i="17"/>
  <c r="GO82" i="17"/>
  <c r="GG82" i="17"/>
  <c r="GD81" i="17"/>
  <c r="FQ81" i="17"/>
  <c r="GM81" i="17"/>
  <c r="FP81" i="17"/>
  <c r="FV80" i="17"/>
  <c r="FW80" i="17"/>
  <c r="GL80" i="17"/>
  <c r="GA335" i="17"/>
  <c r="FY335" i="17"/>
  <c r="FY76" i="17"/>
  <c r="GA76" i="17"/>
  <c r="FV73" i="17"/>
  <c r="FW73" i="17"/>
  <c r="GL73" i="17"/>
  <c r="GA334" i="17"/>
  <c r="FY334" i="17"/>
  <c r="GN314" i="17"/>
  <c r="GM245" i="17"/>
  <c r="FQ245" i="17"/>
  <c r="FP245" i="17"/>
  <c r="GG311" i="17"/>
  <c r="GO311" i="17"/>
  <c r="GN311" i="17"/>
  <c r="FP72" i="17"/>
  <c r="FQ72" i="17"/>
  <c r="GM72" i="17"/>
  <c r="FV244" i="17"/>
  <c r="FW244" i="17"/>
  <c r="GL244" i="17"/>
  <c r="GA71" i="17"/>
  <c r="FY71" i="17"/>
  <c r="GN70" i="17"/>
  <c r="GG70" i="17"/>
  <c r="GG242" i="17"/>
  <c r="GN242" i="17"/>
  <c r="FQ241" i="17"/>
  <c r="FP241" i="17"/>
  <c r="GM241" i="17"/>
  <c r="FY240" i="17"/>
  <c r="GA240" i="17"/>
  <c r="GN239" i="17"/>
  <c r="FP238" i="17"/>
  <c r="FQ238" i="17"/>
  <c r="GL309" i="17"/>
  <c r="FV309" i="17"/>
  <c r="AU81" i="17"/>
  <c r="AS81" i="17"/>
  <c r="GQ81" i="17" s="1"/>
  <c r="AO81" i="17"/>
  <c r="AT81" i="17"/>
  <c r="AQ81" i="17"/>
  <c r="FQ3" i="17"/>
  <c r="GO3" i="17"/>
  <c r="HB245" i="17"/>
  <c r="ID245" i="17" s="1"/>
  <c r="GS245" i="17"/>
  <c r="HU245" i="17" s="1"/>
  <c r="GX245" i="17"/>
  <c r="HZ245" i="17" s="1"/>
  <c r="HO245" i="17"/>
  <c r="IQ245" i="17" s="1"/>
  <c r="HQ245" i="17"/>
  <c r="IS245" i="17" s="1"/>
  <c r="HL245" i="17"/>
  <c r="IN245" i="17" s="1"/>
  <c r="FO88" i="17"/>
  <c r="GE88" i="17"/>
  <c r="GF88" i="17"/>
  <c r="FY87" i="17"/>
  <c r="GG85" i="17"/>
  <c r="GD85" i="17"/>
  <c r="FO85" i="17"/>
  <c r="GE85" i="17"/>
  <c r="GF85" i="17"/>
  <c r="GE81" i="17"/>
  <c r="GF81" i="17"/>
  <c r="GG78" i="17"/>
  <c r="GF78" i="17"/>
  <c r="GD78" i="17"/>
  <c r="GE78" i="17"/>
  <c r="FU75" i="17"/>
  <c r="FU314" i="17"/>
  <c r="GE245" i="17"/>
  <c r="GF245" i="17"/>
  <c r="GG245" i="17"/>
  <c r="GD245" i="17"/>
  <c r="FW313" i="17"/>
  <c r="FU311" i="17"/>
  <c r="GG72" i="17"/>
  <c r="GF72" i="17"/>
  <c r="GE243" i="17"/>
  <c r="GD243" i="17"/>
  <c r="GG243" i="17"/>
  <c r="GF243" i="17"/>
  <c r="FY69" i="17"/>
  <c r="FU242" i="17"/>
  <c r="GG241" i="17"/>
  <c r="GD241" i="17"/>
  <c r="FU239" i="17"/>
  <c r="GF238" i="17"/>
  <c r="GE238" i="17"/>
  <c r="FO238" i="17"/>
  <c r="GD238" i="17"/>
  <c r="GG238" i="17"/>
  <c r="FW309" i="17"/>
  <c r="GG248" i="17"/>
  <c r="FZ209" i="17"/>
  <c r="GJ201" i="17"/>
  <c r="FW196" i="17"/>
  <c r="GL196" i="17"/>
  <c r="GG187" i="17"/>
  <c r="GO161" i="17"/>
  <c r="FS158" i="17"/>
  <c r="GI158" i="17"/>
  <c r="GK158" i="17"/>
  <c r="FY152" i="17"/>
  <c r="GA152" i="17"/>
  <c r="GC118" i="17"/>
  <c r="FT118" i="17"/>
  <c r="GM97" i="17"/>
  <c r="GE97" i="17"/>
  <c r="FO94" i="17"/>
  <c r="GF94" i="17"/>
  <c r="GG94" i="17"/>
  <c r="GJ92" i="17"/>
  <c r="GK92" i="17"/>
  <c r="GL64" i="17"/>
  <c r="FV64" i="17"/>
  <c r="GE58" i="17"/>
  <c r="GM58" i="17"/>
  <c r="GD55" i="17"/>
  <c r="GF55" i="17"/>
  <c r="GG55" i="17"/>
  <c r="GA47" i="17"/>
  <c r="FY47" i="17"/>
  <c r="FZ23" i="17"/>
  <c r="FP18" i="17"/>
  <c r="GI15" i="17"/>
  <c r="GJ15" i="17"/>
  <c r="FO11" i="17"/>
  <c r="GO11" i="17"/>
  <c r="FW10" i="17"/>
  <c r="FZ7" i="17"/>
  <c r="FX7" i="17"/>
  <c r="AL236" i="17"/>
  <c r="AM236" i="17"/>
  <c r="AU236" i="17"/>
  <c r="AN236" i="17"/>
  <c r="AO236" i="17"/>
  <c r="AP236" i="17"/>
  <c r="AQ236" i="17"/>
  <c r="GD88" i="17"/>
  <c r="GB237" i="17"/>
  <c r="HC178" i="17"/>
  <c r="IE178" i="17" s="1"/>
  <c r="GN261" i="17"/>
  <c r="GN233" i="17"/>
  <c r="GJ230" i="17"/>
  <c r="FQ229" i="17"/>
  <c r="GC206" i="17"/>
  <c r="GK198" i="17"/>
  <c r="FP197" i="17"/>
  <c r="FQ197" i="17"/>
  <c r="FW42" i="17"/>
  <c r="GB39" i="17"/>
  <c r="FZ29" i="17"/>
  <c r="FS30" i="17"/>
  <c r="FQ27" i="17"/>
  <c r="GM27" i="17"/>
  <c r="FV23" i="17"/>
  <c r="GB20" i="17"/>
  <c r="GL17" i="17"/>
  <c r="FY16" i="17"/>
  <c r="GB4" i="17"/>
  <c r="AL305" i="17"/>
  <c r="AK305" i="17"/>
  <c r="AQ305" i="17"/>
  <c r="AR305" i="17"/>
  <c r="AS305" i="17"/>
  <c r="AT305" i="17"/>
  <c r="FZ247" i="17"/>
  <c r="GB219" i="17"/>
  <c r="GO198" i="17"/>
  <c r="GJ195" i="17"/>
  <c r="GI168" i="17"/>
  <c r="GH168" i="17"/>
  <c r="FS168" i="17"/>
  <c r="GM167" i="17"/>
  <c r="FO148" i="17"/>
  <c r="GF145" i="17"/>
  <c r="GB144" i="17"/>
  <c r="GL141" i="17"/>
  <c r="GO139" i="17"/>
  <c r="FV131" i="17"/>
  <c r="GG123" i="17"/>
  <c r="GI103" i="17"/>
  <c r="GI102" i="17"/>
  <c r="GJ102" i="17"/>
  <c r="GL97" i="17"/>
  <c r="FV97" i="17"/>
  <c r="FZ94" i="17"/>
  <c r="GB94" i="17"/>
  <c r="FO59" i="17"/>
  <c r="FV58" i="17"/>
  <c r="GB55" i="17"/>
  <c r="GL52" i="17"/>
  <c r="GO50" i="17"/>
  <c r="FV39" i="17"/>
  <c r="GH38" i="17"/>
  <c r="GL29" i="17"/>
  <c r="FY28" i="17"/>
  <c r="FX27" i="17"/>
  <c r="GH25" i="17"/>
  <c r="GK22" i="17"/>
  <c r="FY304" i="17"/>
  <c r="FX332" i="17"/>
  <c r="FY323" i="17"/>
  <c r="FY320" i="17"/>
  <c r="GJ301" i="17"/>
  <c r="FZ290" i="17"/>
  <c r="GD287" i="17"/>
  <c r="GK285" i="17"/>
  <c r="GM88" i="17"/>
  <c r="FT337" i="17"/>
  <c r="GP178" i="17"/>
  <c r="GF178" i="17"/>
  <c r="GF82" i="17"/>
  <c r="GP82" i="17"/>
  <c r="FT81" i="17"/>
  <c r="GB80" i="17"/>
  <c r="GI80" i="17"/>
  <c r="GP79" i="17"/>
  <c r="GF79" i="17"/>
  <c r="FT78" i="17"/>
  <c r="FV77" i="17"/>
  <c r="FX313" i="17"/>
  <c r="GI313" i="17"/>
  <c r="GF311" i="17"/>
  <c r="GP311" i="17"/>
  <c r="FZ244" i="17"/>
  <c r="GF239" i="17"/>
  <c r="GP239" i="17"/>
  <c r="FT238" i="17"/>
  <c r="AS89" i="17"/>
  <c r="GQ89" i="17" s="1"/>
  <c r="AU89" i="17"/>
  <c r="AR89" i="17"/>
  <c r="AQ89" i="17"/>
  <c r="AO89" i="17"/>
  <c r="AP89" i="17"/>
  <c r="AM89" i="17"/>
  <c r="AL89" i="17"/>
  <c r="AU175" i="17"/>
  <c r="AK175" i="17"/>
  <c r="FV237" i="17"/>
  <c r="GL237" i="17"/>
  <c r="FW237" i="17"/>
  <c r="FX88" i="17"/>
  <c r="FZ88" i="17"/>
  <c r="GB88" i="17"/>
  <c r="FS87" i="17"/>
  <c r="GI87" i="17"/>
  <c r="GH87" i="17"/>
  <c r="FZ337" i="17"/>
  <c r="GB337" i="17"/>
  <c r="FR336" i="17"/>
  <c r="GI336" i="17"/>
  <c r="GH336" i="17"/>
  <c r="GJ336" i="17"/>
  <c r="GK336" i="17"/>
  <c r="FR83" i="17"/>
  <c r="GK83" i="17"/>
  <c r="FS83" i="17"/>
  <c r="GJ83" i="17"/>
  <c r="GB81" i="17"/>
  <c r="FX81" i="17"/>
  <c r="GB78" i="17"/>
  <c r="FZ78" i="17"/>
  <c r="FX78" i="17"/>
  <c r="GJ76" i="17"/>
  <c r="FR76" i="17"/>
  <c r="GJ75" i="17"/>
  <c r="GP75" i="17"/>
  <c r="FO75" i="17"/>
  <c r="FX74" i="17"/>
  <c r="GK334" i="17"/>
  <c r="GH334" i="17"/>
  <c r="FS334" i="17"/>
  <c r="FX245" i="17"/>
  <c r="FZ245" i="17"/>
  <c r="GB245" i="17"/>
  <c r="FZ72" i="17"/>
  <c r="GB72" i="17"/>
  <c r="FT72" i="17"/>
  <c r="GC72" i="17"/>
  <c r="GJ242" i="17"/>
  <c r="FT241" i="17"/>
  <c r="GC241" i="17"/>
  <c r="GI240" i="17"/>
  <c r="FS240" i="17"/>
  <c r="GH240" i="17"/>
  <c r="GB238" i="17"/>
  <c r="FX238" i="17"/>
  <c r="FX237" i="17"/>
  <c r="FZ237" i="17"/>
  <c r="GM89" i="17"/>
  <c r="FQ89" i="17"/>
  <c r="GD89" i="17"/>
  <c r="GL88" i="17"/>
  <c r="FY106" i="17"/>
  <c r="GA106" i="17"/>
  <c r="FU87" i="17"/>
  <c r="GO87" i="17"/>
  <c r="GN87" i="17"/>
  <c r="FW337" i="17"/>
  <c r="FV337" i="17"/>
  <c r="GL337" i="17"/>
  <c r="GO336" i="17"/>
  <c r="FP336" i="17"/>
  <c r="GN336" i="17"/>
  <c r="FP83" i="17"/>
  <c r="GN83" i="17"/>
  <c r="GO83" i="17"/>
  <c r="GL81" i="17"/>
  <c r="FV81" i="17"/>
  <c r="FW81" i="17"/>
  <c r="FQ79" i="17"/>
  <c r="GM79" i="17"/>
  <c r="FW78" i="17"/>
  <c r="FV78" i="17"/>
  <c r="FY77" i="17"/>
  <c r="GA77" i="17"/>
  <c r="GO76" i="17"/>
  <c r="GN76" i="17"/>
  <c r="FY73" i="17"/>
  <c r="FP334" i="17"/>
  <c r="GO334" i="17"/>
  <c r="GN334" i="17"/>
  <c r="FU334" i="17"/>
  <c r="FP314" i="17"/>
  <c r="GM314" i="17"/>
  <c r="FY313" i="17"/>
  <c r="GA313" i="17"/>
  <c r="FP312" i="17"/>
  <c r="GO312" i="17"/>
  <c r="GN312" i="17"/>
  <c r="GD311" i="17"/>
  <c r="FQ311" i="17"/>
  <c r="FP311" i="17"/>
  <c r="GL72" i="17"/>
  <c r="FW72" i="17"/>
  <c r="FV72" i="17"/>
  <c r="FY244" i="17"/>
  <c r="GA310" i="17"/>
  <c r="FY310" i="17"/>
  <c r="FU69" i="17"/>
  <c r="GO69" i="17"/>
  <c r="GL241" i="17"/>
  <c r="FV241" i="17"/>
  <c r="FW241" i="17"/>
  <c r="FY308" i="17"/>
  <c r="GA308" i="17"/>
  <c r="GO240" i="17"/>
  <c r="GN240" i="17"/>
  <c r="FP240" i="17"/>
  <c r="GM239" i="17"/>
  <c r="GD239" i="17"/>
  <c r="FQ239" i="17"/>
  <c r="FP239" i="17"/>
  <c r="GL238" i="17"/>
  <c r="AL88" i="17"/>
  <c r="AS88" i="17"/>
  <c r="GQ88" i="17" s="1"/>
  <c r="AN88" i="17"/>
  <c r="AR88" i="17"/>
  <c r="AM88" i="17"/>
  <c r="AT88" i="17"/>
  <c r="GL78" i="17"/>
  <c r="FX72" i="17"/>
  <c r="AL70" i="17"/>
  <c r="AR70" i="17"/>
  <c r="AK70" i="17"/>
  <c r="AM70" i="17"/>
  <c r="AS70" i="17"/>
  <c r="GQ70" i="17" s="1"/>
  <c r="GV70" i="17" s="1"/>
  <c r="HX70" i="17" s="1"/>
  <c r="FX90" i="17"/>
  <c r="FZ90" i="17"/>
  <c r="FR88" i="17"/>
  <c r="GI88" i="17"/>
  <c r="FQ86" i="17"/>
  <c r="GJ85" i="17"/>
  <c r="GI81" i="17"/>
  <c r="GH81" i="17"/>
  <c r="FY75" i="17"/>
  <c r="GK74" i="17"/>
  <c r="GH74" i="17"/>
  <c r="FS243" i="17"/>
  <c r="GI243" i="17"/>
  <c r="GJ243" i="17"/>
  <c r="GK243" i="17"/>
  <c r="GB69" i="17"/>
  <c r="GC69" i="17"/>
  <c r="FT69" i="17"/>
  <c r="FS241" i="17"/>
  <c r="FS238" i="17"/>
  <c r="GH238" i="17"/>
  <c r="GI238" i="17"/>
  <c r="AK74" i="17"/>
  <c r="AQ74" i="17"/>
  <c r="AR74" i="17"/>
  <c r="AP74" i="17"/>
  <c r="AO74" i="17"/>
  <c r="GJ237" i="17"/>
  <c r="GH237" i="17"/>
  <c r="GO337" i="17"/>
  <c r="FY178" i="17"/>
  <c r="GA178" i="17"/>
  <c r="FR85" i="17"/>
  <c r="GO85" i="17"/>
  <c r="FQ84" i="17"/>
  <c r="GM84" i="17"/>
  <c r="FY82" i="17"/>
  <c r="GA82" i="17"/>
  <c r="GO81" i="17"/>
  <c r="FY79" i="17"/>
  <c r="GA79" i="17"/>
  <c r="GO74" i="17"/>
  <c r="GO245" i="17"/>
  <c r="GM313" i="17"/>
  <c r="FQ313" i="17"/>
  <c r="FP313" i="17"/>
  <c r="FW312" i="17"/>
  <c r="GL312" i="17"/>
  <c r="GO72" i="17"/>
  <c r="FQ244" i="17"/>
  <c r="FP244" i="17"/>
  <c r="GM244" i="17"/>
  <c r="GA70" i="17"/>
  <c r="FY70" i="17"/>
  <c r="GO241" i="17"/>
  <c r="FQ308" i="17"/>
  <c r="FP308" i="17"/>
  <c r="FR238" i="17"/>
  <c r="GN238" i="17"/>
  <c r="AT178" i="17"/>
  <c r="AO178" i="17"/>
  <c r="AL178" i="17"/>
  <c r="AK178" i="17"/>
  <c r="AO73" i="17"/>
  <c r="AU73" i="17"/>
  <c r="AP73" i="17"/>
  <c r="AS73" i="17"/>
  <c r="GQ73" i="17" s="1"/>
  <c r="AQ73" i="17"/>
  <c r="AT243" i="17"/>
  <c r="AR243" i="17"/>
  <c r="AL243" i="17"/>
  <c r="AN243" i="17"/>
  <c r="AQ172" i="17"/>
  <c r="AP172" i="17"/>
  <c r="AS172" i="17"/>
  <c r="GV335" i="17"/>
  <c r="HX335" i="17" s="1"/>
  <c r="HK335" i="17"/>
  <c r="IM335" i="17" s="1"/>
  <c r="FW90" i="17"/>
  <c r="FS88" i="17"/>
  <c r="FU88" i="17"/>
  <c r="GG106" i="17"/>
  <c r="GE106" i="17"/>
  <c r="GD106" i="17"/>
  <c r="GF84" i="17"/>
  <c r="GG84" i="17"/>
  <c r="GH82" i="17"/>
  <c r="GE80" i="17"/>
  <c r="FO77" i="17"/>
  <c r="GG77" i="17"/>
  <c r="FX73" i="17"/>
  <c r="GE73" i="17"/>
  <c r="GG73" i="17"/>
  <c r="FO73" i="17"/>
  <c r="FS245" i="17"/>
  <c r="FU245" i="17"/>
  <c r="FO313" i="17"/>
  <c r="GG313" i="17"/>
  <c r="GE313" i="17"/>
  <c r="FU72" i="17"/>
  <c r="GG310" i="17"/>
  <c r="FO310" i="17"/>
  <c r="FX308" i="17"/>
  <c r="FU238" i="17"/>
  <c r="GF309" i="17"/>
  <c r="GD309" i="17"/>
  <c r="GE309" i="17"/>
  <c r="GG309" i="17"/>
  <c r="AP334" i="17"/>
  <c r="AU334" i="17"/>
  <c r="AK334" i="17"/>
  <c r="AL334" i="17"/>
  <c r="GL277" i="17"/>
  <c r="FY276" i="17"/>
  <c r="FX274" i="17"/>
  <c r="FY264" i="17"/>
  <c r="GL262" i="17"/>
  <c r="FY261" i="17"/>
  <c r="FW255" i="17"/>
  <c r="FW252" i="17"/>
  <c r="GC249" i="17"/>
  <c r="GA248" i="17"/>
  <c r="FU247" i="17"/>
  <c r="GE246" i="17"/>
  <c r="FY233" i="17"/>
  <c r="FW227" i="17"/>
  <c r="GK226" i="17"/>
  <c r="GP225" i="17"/>
  <c r="FW224" i="17"/>
  <c r="GP222" i="17"/>
  <c r="FU219" i="17"/>
  <c r="FX214" i="17"/>
  <c r="GK210" i="17"/>
  <c r="FW208" i="17"/>
  <c r="GA207" i="17"/>
  <c r="GF206" i="17"/>
  <c r="FZ205" i="17"/>
  <c r="GC205" i="17"/>
  <c r="FV90" i="17"/>
  <c r="FT106" i="17"/>
  <c r="GP337" i="17"/>
  <c r="FT84" i="17"/>
  <c r="GI83" i="17"/>
  <c r="GK82" i="17"/>
  <c r="GP81" i="17"/>
  <c r="FV335" i="17"/>
  <c r="GP78" i="17"/>
  <c r="GL77" i="17"/>
  <c r="FT77" i="17"/>
  <c r="GP74" i="17"/>
  <c r="GC73" i="17"/>
  <c r="GP245" i="17"/>
  <c r="GL313" i="17"/>
  <c r="FT313" i="17"/>
  <c r="GK311" i="17"/>
  <c r="GP72" i="17"/>
  <c r="FT310" i="17"/>
  <c r="GP241" i="17"/>
  <c r="GM308" i="17"/>
  <c r="FT309" i="17"/>
  <c r="AP85" i="17"/>
  <c r="AT85" i="17"/>
  <c r="AO85" i="17"/>
  <c r="AL85" i="17"/>
  <c r="AU85" i="17"/>
  <c r="AR85" i="17"/>
  <c r="AP310" i="17"/>
  <c r="AR310" i="17"/>
  <c r="GH16" i="17"/>
  <c r="GC8" i="17"/>
  <c r="AK239" i="17"/>
  <c r="AT239" i="17"/>
  <c r="AN239" i="17"/>
  <c r="GA97" i="17"/>
  <c r="GA58" i="17"/>
  <c r="FT56" i="17"/>
  <c r="AR235" i="17"/>
  <c r="GG336" i="17"/>
  <c r="FU86" i="17"/>
  <c r="GB75" i="17"/>
  <c r="GA3" i="17"/>
  <c r="FU2" i="17"/>
  <c r="AQ239" i="17"/>
  <c r="AP337" i="17"/>
  <c r="AT337" i="17"/>
  <c r="AL337" i="17"/>
  <c r="AK337" i="17"/>
  <c r="AU337" i="17"/>
  <c r="AK244" i="17"/>
  <c r="AP238" i="17"/>
  <c r="AR238" i="17"/>
  <c r="AS238" i="17"/>
  <c r="GQ238" i="17" s="1"/>
  <c r="AO238" i="17"/>
  <c r="AM235" i="17"/>
  <c r="AP239" i="17"/>
  <c r="GD90" i="17"/>
  <c r="GF90" i="17"/>
  <c r="GA88" i="17"/>
  <c r="FY88" i="17"/>
  <c r="GG87" i="17"/>
  <c r="GD87" i="17"/>
  <c r="FS84" i="17"/>
  <c r="FU84" i="17"/>
  <c r="GD83" i="17"/>
  <c r="GG83" i="17"/>
  <c r="GF83" i="17"/>
  <c r="GE83" i="17"/>
  <c r="GH78" i="17"/>
  <c r="GA74" i="17"/>
  <c r="FY74" i="17"/>
  <c r="FS73" i="17"/>
  <c r="FU73" i="17"/>
  <c r="GG334" i="17"/>
  <c r="FO334" i="17"/>
  <c r="FO312" i="17"/>
  <c r="GD312" i="17"/>
  <c r="FO71" i="17"/>
  <c r="GE71" i="17"/>
  <c r="GH243" i="17"/>
  <c r="GA243" i="17"/>
  <c r="FX69" i="17"/>
  <c r="GG240" i="17"/>
  <c r="AU77" i="17"/>
  <c r="AN77" i="17"/>
  <c r="AL77" i="17"/>
  <c r="AT77" i="17"/>
  <c r="AS77" i="17"/>
  <c r="GQ77" i="17" s="1"/>
  <c r="FZ89" i="17"/>
  <c r="GB89" i="17"/>
  <c r="GB105" i="17"/>
  <c r="FV105" i="17"/>
  <c r="GP86" i="17"/>
  <c r="GK85" i="17"/>
  <c r="GP84" i="17"/>
  <c r="FT83" i="17"/>
  <c r="GM83" i="17"/>
  <c r="GP80" i="17"/>
  <c r="GL335" i="17"/>
  <c r="GE335" i="17"/>
  <c r="FT335" i="17"/>
  <c r="FX79" i="17"/>
  <c r="FZ79" i="17"/>
  <c r="FT76" i="17"/>
  <c r="GM76" i="17"/>
  <c r="GP73" i="17"/>
  <c r="GL334" i="17"/>
  <c r="GP313" i="17"/>
  <c r="FT312" i="17"/>
  <c r="GM312" i="17"/>
  <c r="GF310" i="17"/>
  <c r="FX242" i="17"/>
  <c r="FV242" i="17"/>
  <c r="GL240" i="17"/>
  <c r="GP309" i="17"/>
  <c r="AL336" i="17"/>
  <c r="AT336" i="17"/>
  <c r="AS76" i="17"/>
  <c r="GQ76" i="17" s="1"/>
  <c r="HH76" i="17" s="1"/>
  <c r="IJ76" i="17" s="1"/>
  <c r="AU76" i="17"/>
  <c r="AR76" i="17"/>
  <c r="AO76" i="17"/>
  <c r="AN76" i="17"/>
  <c r="AL79" i="17"/>
  <c r="AK311" i="17"/>
  <c r="AS311" i="17"/>
  <c r="GQ311" i="17" s="1"/>
  <c r="AO308" i="17"/>
  <c r="AP308" i="17"/>
  <c r="AL5" i="17"/>
  <c r="AK5" i="17"/>
  <c r="AT5" i="17"/>
  <c r="AN5" i="17"/>
  <c r="FY2" i="17"/>
  <c r="AN78" i="17"/>
  <c r="AU78" i="17"/>
  <c r="AN72" i="17"/>
  <c r="AO72" i="17"/>
  <c r="GA2" i="17"/>
  <c r="AU4" i="17"/>
  <c r="AT4" i="17"/>
  <c r="AS4" i="17"/>
  <c r="FU90" i="17"/>
  <c r="FY86" i="17"/>
  <c r="FU335" i="17"/>
  <c r="FU240" i="17"/>
  <c r="GG239" i="17"/>
  <c r="GM311" i="17"/>
  <c r="GP69" i="17"/>
  <c r="GL242" i="17"/>
  <c r="GK308" i="17"/>
  <c r="GP240" i="17"/>
  <c r="FT89" i="17"/>
  <c r="GJ87" i="17"/>
  <c r="GC178" i="17"/>
  <c r="FY85" i="17"/>
  <c r="GJ334" i="17"/>
  <c r="FY245" i="17"/>
  <c r="FX311" i="17"/>
  <c r="GJ310" i="17"/>
  <c r="GJ69" i="17"/>
  <c r="FO240" i="17"/>
  <c r="FP3" i="17"/>
  <c r="FW79" i="17"/>
  <c r="FP73" i="17"/>
  <c r="FV311" i="17"/>
  <c r="HA332" i="17"/>
  <c r="IC332" i="17" s="1"/>
  <c r="HK332" i="17"/>
  <c r="IM332" i="17" s="1"/>
  <c r="HC332" i="17"/>
  <c r="IE332" i="17" s="1"/>
  <c r="HG332" i="17"/>
  <c r="II332" i="17" s="1"/>
  <c r="HR332" i="17"/>
  <c r="IT332" i="17" s="1"/>
  <c r="HI332" i="17"/>
  <c r="IK332" i="17" s="1"/>
  <c r="GW332" i="17"/>
  <c r="HY332" i="17" s="1"/>
  <c r="GV332" i="17"/>
  <c r="HX332" i="17" s="1"/>
  <c r="HH332" i="17"/>
  <c r="IJ332" i="17" s="1"/>
  <c r="HN332" i="17"/>
  <c r="IP332" i="17" s="1"/>
  <c r="HM332" i="17"/>
  <c r="IO332" i="17" s="1"/>
  <c r="GZ332" i="17"/>
  <c r="IB332" i="17" s="1"/>
  <c r="HL332" i="17"/>
  <c r="IN332" i="17" s="1"/>
  <c r="GU332" i="17"/>
  <c r="HW332" i="17" s="1"/>
  <c r="HD332" i="17"/>
  <c r="IF332" i="17" s="1"/>
  <c r="HJ332" i="17"/>
  <c r="IL332" i="17" s="1"/>
  <c r="HF332" i="17"/>
  <c r="IH332" i="17" s="1"/>
  <c r="GS332" i="17"/>
  <c r="HU332" i="17" s="1"/>
  <c r="HB332" i="17"/>
  <c r="ID332" i="17" s="1"/>
  <c r="HO332" i="17"/>
  <c r="IQ332" i="17" s="1"/>
  <c r="GY332" i="17"/>
  <c r="IA332" i="17" s="1"/>
  <c r="GX332" i="17"/>
  <c r="HZ332" i="17" s="1"/>
  <c r="GR332" i="17"/>
  <c r="HT332" i="17" s="1"/>
  <c r="HQ332" i="17"/>
  <c r="IS332" i="17" s="1"/>
  <c r="HP332" i="17"/>
  <c r="IR332" i="17" s="1"/>
  <c r="HE332" i="17"/>
  <c r="IG332" i="17" s="1"/>
  <c r="HC92" i="17"/>
  <c r="IE92" i="17" s="1"/>
  <c r="HJ92" i="17"/>
  <c r="IL92" i="17" s="1"/>
  <c r="GT92" i="17"/>
  <c r="HV92" i="17" s="1"/>
  <c r="GX92" i="17"/>
  <c r="HZ92" i="17" s="1"/>
  <c r="HG92" i="17"/>
  <c r="II92" i="17" s="1"/>
  <c r="HI92" i="17"/>
  <c r="IK92" i="17" s="1"/>
  <c r="GS92" i="17"/>
  <c r="HU92" i="17" s="1"/>
  <c r="GU92" i="17"/>
  <c r="HW92" i="17" s="1"/>
  <c r="HE92" i="17"/>
  <c r="IG92" i="17" s="1"/>
  <c r="GY92" i="17"/>
  <c r="IA92" i="17" s="1"/>
  <c r="HF92" i="17"/>
  <c r="IH92" i="17" s="1"/>
  <c r="HN92" i="17"/>
  <c r="IP92" i="17" s="1"/>
  <c r="HO92" i="17"/>
  <c r="IQ92" i="17" s="1"/>
  <c r="GV92" i="17"/>
  <c r="HX92" i="17" s="1"/>
  <c r="HQ92" i="17"/>
  <c r="IS92" i="17" s="1"/>
  <c r="HR92" i="17"/>
  <c r="IT92" i="17" s="1"/>
  <c r="HA92" i="17"/>
  <c r="IC92" i="17" s="1"/>
  <c r="GR92" i="17"/>
  <c r="HT92" i="17" s="1"/>
  <c r="GZ92" i="17"/>
  <c r="IB92" i="17" s="1"/>
  <c r="HD92" i="17"/>
  <c r="IF92" i="17" s="1"/>
  <c r="HH92" i="17"/>
  <c r="IJ92" i="17" s="1"/>
  <c r="HB92" i="17"/>
  <c r="ID92" i="17" s="1"/>
  <c r="HP92" i="17"/>
  <c r="IR92" i="17" s="1"/>
  <c r="GT12" i="17"/>
  <c r="HV12" i="17" s="1"/>
  <c r="AT3" i="17"/>
  <c r="AL3" i="17"/>
  <c r="AU3" i="17"/>
  <c r="AP3" i="17"/>
  <c r="AM3" i="17"/>
  <c r="AQ3" i="17"/>
  <c r="AO3" i="17"/>
  <c r="AS3" i="17"/>
  <c r="AR3" i="17"/>
  <c r="AN3" i="17"/>
  <c r="HL92" i="17"/>
  <c r="IN92" i="17" s="1"/>
  <c r="GW92" i="17"/>
  <c r="HY92" i="17" s="1"/>
  <c r="HM92" i="17"/>
  <c r="IO92" i="17" s="1"/>
  <c r="HP12" i="17"/>
  <c r="IR12" i="17" s="1"/>
  <c r="HD12" i="17"/>
  <c r="IF12" i="17" s="1"/>
  <c r="HL12" i="17"/>
  <c r="IN12" i="17" s="1"/>
  <c r="GW12" i="17"/>
  <c r="HY12" i="17" s="1"/>
  <c r="GX12" i="17"/>
  <c r="HZ12" i="17" s="1"/>
  <c r="GZ12" i="17"/>
  <c r="IB12" i="17" s="1"/>
  <c r="HN12" i="17"/>
  <c r="IP12" i="17" s="1"/>
  <c r="HG12" i="17"/>
  <c r="II12" i="17" s="1"/>
  <c r="HB12" i="17"/>
  <c r="ID12" i="17" s="1"/>
  <c r="GR12" i="17"/>
  <c r="HT12" i="17" s="1"/>
  <c r="HA12" i="17"/>
  <c r="IC12" i="17" s="1"/>
  <c r="GU12" i="17"/>
  <c r="HW12" i="17" s="1"/>
  <c r="HI12" i="17"/>
  <c r="IK12" i="17" s="1"/>
  <c r="GV12" i="17"/>
  <c r="HX12" i="17" s="1"/>
  <c r="HE12" i="17"/>
  <c r="IG12" i="17" s="1"/>
  <c r="HR12" i="17"/>
  <c r="IT12" i="17" s="1"/>
  <c r="GS12" i="17"/>
  <c r="HU12" i="17" s="1"/>
  <c r="GY12" i="17"/>
  <c r="IA12" i="17" s="1"/>
  <c r="HC12" i="17"/>
  <c r="IE12" i="17" s="1"/>
  <c r="HK92" i="17"/>
  <c r="IM92" i="17" s="1"/>
  <c r="HJ12" i="17"/>
  <c r="IL12" i="17" s="1"/>
  <c r="HN327" i="17"/>
  <c r="IP327" i="17" s="1"/>
  <c r="HF327" i="17"/>
  <c r="IH327" i="17" s="1"/>
  <c r="HH327" i="17"/>
  <c r="IJ327" i="17" s="1"/>
  <c r="HK327" i="17"/>
  <c r="IM327" i="17" s="1"/>
  <c r="HJ327" i="17"/>
  <c r="IL327" i="17" s="1"/>
  <c r="GZ327" i="17"/>
  <c r="IB327" i="17" s="1"/>
  <c r="GY327" i="17"/>
  <c r="IA327" i="17" s="1"/>
  <c r="GT327" i="17"/>
  <c r="HV327" i="17" s="1"/>
  <c r="HM327" i="17"/>
  <c r="IO327" i="17" s="1"/>
  <c r="HL327" i="17"/>
  <c r="IN327" i="17" s="1"/>
  <c r="GU327" i="17"/>
  <c r="HW327" i="17" s="1"/>
  <c r="HI327" i="17"/>
  <c r="IK327" i="17" s="1"/>
  <c r="HB327" i="17"/>
  <c r="ID327" i="17" s="1"/>
  <c r="HA327" i="17"/>
  <c r="IC327" i="17" s="1"/>
  <c r="HG327" i="17"/>
  <c r="II327" i="17" s="1"/>
  <c r="GV327" i="17"/>
  <c r="HX327" i="17" s="1"/>
  <c r="GS327" i="17"/>
  <c r="HU327" i="17" s="1"/>
  <c r="HR327" i="17"/>
  <c r="IT327" i="17" s="1"/>
  <c r="GX327" i="17"/>
  <c r="HZ327" i="17" s="1"/>
  <c r="HP327" i="17"/>
  <c r="IR327" i="17" s="1"/>
  <c r="HQ327" i="17"/>
  <c r="IS327" i="17" s="1"/>
  <c r="HE327" i="17"/>
  <c r="IG327" i="17" s="1"/>
  <c r="GR327" i="17"/>
  <c r="HT327" i="17" s="1"/>
  <c r="HD327" i="17"/>
  <c r="IF327" i="17" s="1"/>
  <c r="AL2" i="17"/>
  <c r="AR2" i="17"/>
  <c r="AQ2" i="17"/>
  <c r="AP2" i="17"/>
  <c r="AT2" i="17"/>
  <c r="AM2" i="17"/>
  <c r="GU331" i="17"/>
  <c r="HW331" i="17" s="1"/>
  <c r="HN331" i="17"/>
  <c r="IP331" i="17" s="1"/>
  <c r="HA331" i="17"/>
  <c r="IC331" i="17" s="1"/>
  <c r="HL331" i="17"/>
  <c r="IN331" i="17" s="1"/>
  <c r="HB331" i="17"/>
  <c r="ID331" i="17" s="1"/>
  <c r="HO331" i="17"/>
  <c r="IQ331" i="17" s="1"/>
  <c r="HE331" i="17"/>
  <c r="IG331" i="17" s="1"/>
  <c r="HD331" i="17"/>
  <c r="IF331" i="17" s="1"/>
  <c r="GR331" i="17"/>
  <c r="HT331" i="17" s="1"/>
  <c r="GS331" i="17"/>
  <c r="HU331" i="17" s="1"/>
  <c r="GW331" i="17"/>
  <c r="HY331" i="17" s="1"/>
  <c r="GV331" i="17"/>
  <c r="HX331" i="17" s="1"/>
  <c r="HQ331" i="17"/>
  <c r="IS331" i="17" s="1"/>
  <c r="HH331" i="17"/>
  <c r="IJ331" i="17" s="1"/>
  <c r="HI331" i="17"/>
  <c r="IK331" i="17" s="1"/>
  <c r="HC331" i="17"/>
  <c r="IE331" i="17" s="1"/>
  <c r="GX331" i="17"/>
  <c r="HZ331" i="17" s="1"/>
  <c r="HJ331" i="17"/>
  <c r="IL331" i="17" s="1"/>
  <c r="HM331" i="17"/>
  <c r="IO331" i="17" s="1"/>
  <c r="HF331" i="17"/>
  <c r="IH331" i="17" s="1"/>
  <c r="HG331" i="17"/>
  <c r="II331" i="17" s="1"/>
  <c r="GY331" i="17"/>
  <c r="IA331" i="17" s="1"/>
  <c r="GZ331" i="17"/>
  <c r="IB331" i="17" s="1"/>
  <c r="HO36" i="17"/>
  <c r="IQ36" i="17" s="1"/>
  <c r="HH36" i="17"/>
  <c r="IJ36" i="17" s="1"/>
  <c r="HK36" i="17"/>
  <c r="IM36" i="17" s="1"/>
  <c r="GT36" i="17"/>
  <c r="HV36" i="17" s="1"/>
  <c r="HR36" i="17"/>
  <c r="IT36" i="17" s="1"/>
  <c r="GV36" i="17"/>
  <c r="HX36" i="17" s="1"/>
  <c r="HJ36" i="17"/>
  <c r="IL36" i="17" s="1"/>
  <c r="GR36" i="17"/>
  <c r="HT36" i="17" s="1"/>
  <c r="HF36" i="17"/>
  <c r="IH36" i="17" s="1"/>
  <c r="GS36" i="17"/>
  <c r="HU36" i="17" s="1"/>
  <c r="GY36" i="17"/>
  <c r="IA36" i="17" s="1"/>
  <c r="HN36" i="17"/>
  <c r="IP36" i="17" s="1"/>
  <c r="HC36" i="17"/>
  <c r="IE36" i="17" s="1"/>
  <c r="HA36" i="17"/>
  <c r="IC36" i="17" s="1"/>
  <c r="HE36" i="17"/>
  <c r="IG36" i="17" s="1"/>
  <c r="GC20" i="17"/>
  <c r="FT20" i="17"/>
  <c r="FY19" i="17"/>
  <c r="GA19" i="17"/>
  <c r="GC17" i="17"/>
  <c r="FT17" i="17"/>
  <c r="GN15" i="17"/>
  <c r="GG15" i="17"/>
  <c r="FR15" i="17"/>
  <c r="GO15" i="17"/>
  <c r="FU15" i="17"/>
  <c r="FX14" i="17"/>
  <c r="FZ14" i="17"/>
  <c r="GG14" i="17"/>
  <c r="GF14" i="17"/>
  <c r="GD14" i="17"/>
  <c r="GE14" i="17"/>
  <c r="FZ13" i="17"/>
  <c r="GI13" i="17"/>
  <c r="FV13" i="17"/>
  <c r="FX13" i="17"/>
  <c r="GB13" i="17"/>
  <c r="GJ12" i="17"/>
  <c r="GI12" i="17"/>
  <c r="FS12" i="17"/>
  <c r="GK12" i="17"/>
  <c r="GH12" i="17"/>
  <c r="GN12" i="17"/>
  <c r="GM11" i="17"/>
  <c r="GD11" i="17"/>
  <c r="FP11" i="17"/>
  <c r="GO8" i="17"/>
  <c r="FO8" i="17"/>
  <c r="GL7" i="17"/>
  <c r="FW7" i="17"/>
  <c r="FY6" i="17"/>
  <c r="GH6" i="17"/>
  <c r="GA6" i="17"/>
  <c r="GF5" i="17"/>
  <c r="GP5" i="17"/>
  <c r="HG298" i="17"/>
  <c r="II298" i="17" s="1"/>
  <c r="HM298" i="17"/>
  <c r="IO298" i="17" s="1"/>
  <c r="HQ298" i="17"/>
  <c r="IS298" i="17" s="1"/>
  <c r="HH298" i="17"/>
  <c r="IJ298" i="17" s="1"/>
  <c r="HK298" i="17"/>
  <c r="IM298" i="17" s="1"/>
  <c r="GS298" i="17"/>
  <c r="HU298" i="17" s="1"/>
  <c r="HD298" i="17"/>
  <c r="IF298" i="17" s="1"/>
  <c r="HJ298" i="17"/>
  <c r="IL298" i="17" s="1"/>
  <c r="HE298" i="17"/>
  <c r="IG298" i="17" s="1"/>
  <c r="HN298" i="17"/>
  <c r="IP298" i="17" s="1"/>
  <c r="HP298" i="17"/>
  <c r="IR298" i="17" s="1"/>
  <c r="GR298" i="17"/>
  <c r="HT298" i="17" s="1"/>
  <c r="HA298" i="17"/>
  <c r="IC298" i="17" s="1"/>
  <c r="GW298" i="17"/>
  <c r="HY298" i="17" s="1"/>
  <c r="HF298" i="17"/>
  <c r="IH298" i="17" s="1"/>
  <c r="GU298" i="17"/>
  <c r="HW298" i="17" s="1"/>
  <c r="HI298" i="17"/>
  <c r="IK298" i="17" s="1"/>
  <c r="AK293" i="17"/>
  <c r="AL293" i="17"/>
  <c r="AM293" i="17"/>
  <c r="AR293" i="17"/>
  <c r="AS293" i="17"/>
  <c r="GQ293" i="17" s="1"/>
  <c r="AT293" i="17"/>
  <c r="AU293" i="17"/>
  <c r="AM315" i="17"/>
  <c r="AO315" i="17"/>
  <c r="AP315" i="17"/>
  <c r="AN315" i="17"/>
  <c r="AK315" i="17"/>
  <c r="AQ315" i="17"/>
  <c r="AR315" i="17"/>
  <c r="AU315" i="17"/>
  <c r="AS315" i="17"/>
  <c r="GQ315" i="17" s="1"/>
  <c r="AT315" i="17"/>
  <c r="AL287" i="17"/>
  <c r="AN287" i="17"/>
  <c r="AO287" i="17"/>
  <c r="AT287" i="17"/>
  <c r="AU287" i="17"/>
  <c r="AM287" i="17"/>
  <c r="AK287" i="17"/>
  <c r="AP287" i="17"/>
  <c r="AQ287" i="17"/>
  <c r="AS287" i="17"/>
  <c r="GQ287" i="17" s="1"/>
  <c r="AR287" i="17"/>
  <c r="AQ271" i="17"/>
  <c r="AR271" i="17"/>
  <c r="AP271" i="17"/>
  <c r="AT271" i="17"/>
  <c r="AU271" i="17"/>
  <c r="AN271" i="17"/>
  <c r="AM271" i="17"/>
  <c r="AQ256" i="17"/>
  <c r="AR256" i="17"/>
  <c r="AU256" i="17"/>
  <c r="AL256" i="17"/>
  <c r="AM256" i="17"/>
  <c r="AO256" i="17"/>
  <c r="AP256" i="17"/>
  <c r="AT256" i="17"/>
  <c r="AK228" i="17"/>
  <c r="AO228" i="17"/>
  <c r="AM228" i="17"/>
  <c r="AP228" i="17"/>
  <c r="AQ228" i="17"/>
  <c r="AR228" i="17"/>
  <c r="AS228" i="17"/>
  <c r="GQ228" i="17" s="1"/>
  <c r="AU228" i="17"/>
  <c r="AM212" i="17"/>
  <c r="AO212" i="17"/>
  <c r="AQ212" i="17"/>
  <c r="AU212" i="17"/>
  <c r="AK212" i="17"/>
  <c r="AL212" i="17"/>
  <c r="AP212" i="17"/>
  <c r="AT212" i="17"/>
  <c r="AN212" i="17"/>
  <c r="AR212" i="17"/>
  <c r="AS212" i="17"/>
  <c r="GQ212" i="17" s="1"/>
  <c r="AQ196" i="17"/>
  <c r="AT196" i="17"/>
  <c r="AU196" i="17"/>
  <c r="AK196" i="17"/>
  <c r="AM196" i="17"/>
  <c r="AO196" i="17"/>
  <c r="AN196" i="17"/>
  <c r="AP196" i="17"/>
  <c r="AR196" i="17"/>
  <c r="AS196" i="17"/>
  <c r="GQ196" i="17" s="1"/>
  <c r="AL196" i="17"/>
  <c r="AU169" i="17"/>
  <c r="AK169" i="17"/>
  <c r="AT169" i="17"/>
  <c r="AO169" i="17"/>
  <c r="AP169" i="17"/>
  <c r="AR169" i="17"/>
  <c r="AQ169" i="17"/>
  <c r="AM153" i="17"/>
  <c r="AN153" i="17"/>
  <c r="AO153" i="17"/>
  <c r="AU153" i="17"/>
  <c r="AT153" i="17"/>
  <c r="AT137" i="17"/>
  <c r="AU137" i="17"/>
  <c r="AP137" i="17"/>
  <c r="AS137" i="17"/>
  <c r="GQ137" i="17" s="1"/>
  <c r="AK137" i="17"/>
  <c r="AQ137" i="17"/>
  <c r="AR137" i="17"/>
  <c r="AM137" i="17"/>
  <c r="AN137" i="17"/>
  <c r="AO137" i="17"/>
  <c r="AL137" i="17"/>
  <c r="AL121" i="17"/>
  <c r="AM121" i="17"/>
  <c r="AN121" i="17"/>
  <c r="AO121" i="17"/>
  <c r="AP121" i="17"/>
  <c r="AR121" i="17"/>
  <c r="AS121" i="17"/>
  <c r="GQ121" i="17" s="1"/>
  <c r="AT121" i="17"/>
  <c r="AU121" i="17"/>
  <c r="AK121" i="17"/>
  <c r="AM103" i="17"/>
  <c r="AN103" i="17"/>
  <c r="AO103" i="17"/>
  <c r="AQ103" i="17"/>
  <c r="AR103" i="17"/>
  <c r="AS103" i="17"/>
  <c r="GQ103" i="17" s="1"/>
  <c r="AU103" i="17"/>
  <c r="AK103" i="17"/>
  <c r="AQ64" i="17"/>
  <c r="AR64" i="17"/>
  <c r="AS64" i="17"/>
  <c r="GQ64" i="17" s="1"/>
  <c r="AK64" i="17"/>
  <c r="AL64" i="17"/>
  <c r="AN64" i="17"/>
  <c r="AO64" i="17"/>
  <c r="AP64" i="17"/>
  <c r="AU48" i="17"/>
  <c r="AL48" i="17"/>
  <c r="AM48" i="17"/>
  <c r="AN48" i="17"/>
  <c r="AS48" i="17"/>
  <c r="GQ48" i="17" s="1"/>
  <c r="AT48" i="17"/>
  <c r="AK48" i="17"/>
  <c r="AO48" i="17"/>
  <c r="AP48" i="17"/>
  <c r="AQ48" i="17"/>
  <c r="AK32" i="17"/>
  <c r="AL32" i="17"/>
  <c r="AT32" i="17"/>
  <c r="AU32" i="17"/>
  <c r="AM32" i="17"/>
  <c r="AN32" i="17"/>
  <c r="AS32" i="17"/>
  <c r="GQ32" i="17" s="1"/>
  <c r="AN16" i="17"/>
  <c r="AO16" i="17"/>
  <c r="AP16" i="17"/>
  <c r="AT16" i="17"/>
  <c r="AU16" i="17"/>
  <c r="AK16" i="17"/>
  <c r="AL16" i="17"/>
  <c r="AM16" i="17"/>
  <c r="AQ16" i="17"/>
  <c r="AR16" i="17"/>
  <c r="AS16" i="17"/>
  <c r="GQ16" i="17" s="1"/>
  <c r="GB333" i="17"/>
  <c r="FZ333" i="17"/>
  <c r="FY332" i="17"/>
  <c r="GA332" i="17"/>
  <c r="GE294" i="17"/>
  <c r="GM294" i="17"/>
  <c r="GC294" i="17"/>
  <c r="FT294" i="17"/>
  <c r="FP330" i="17"/>
  <c r="GO330" i="17"/>
  <c r="GG330" i="17"/>
  <c r="FR330" i="17"/>
  <c r="FU330" i="17"/>
  <c r="GE329" i="17"/>
  <c r="FO329" i="17"/>
  <c r="FV328" i="17"/>
  <c r="FZ328" i="17"/>
  <c r="FX328" i="17"/>
  <c r="GB328" i="17"/>
  <c r="GI328" i="17"/>
  <c r="GJ327" i="17"/>
  <c r="GK327" i="17"/>
  <c r="GN327" i="17"/>
  <c r="GH327" i="17"/>
  <c r="GI327" i="17"/>
  <c r="FS327" i="17"/>
  <c r="GH321" i="17"/>
  <c r="GA321" i="17"/>
  <c r="FZ319" i="17"/>
  <c r="GB319" i="17"/>
  <c r="FT316" i="17"/>
  <c r="GC316" i="17"/>
  <c r="GO303" i="17"/>
  <c r="FP303" i="17"/>
  <c r="FU303" i="17"/>
  <c r="GF302" i="17"/>
  <c r="GG302" i="17"/>
  <c r="FO302" i="17"/>
  <c r="GN300" i="17"/>
  <c r="GH300" i="17"/>
  <c r="FR300" i="17"/>
  <c r="GI300" i="17"/>
  <c r="GK300" i="17"/>
  <c r="GM299" i="17"/>
  <c r="GD299" i="17"/>
  <c r="FO297" i="17"/>
  <c r="GP297" i="17"/>
  <c r="GL296" i="17"/>
  <c r="FV296" i="17"/>
  <c r="FW296" i="17"/>
  <c r="FY295" i="17"/>
  <c r="GH295" i="17"/>
  <c r="GF292" i="17"/>
  <c r="GP292" i="17"/>
  <c r="FT291" i="17"/>
  <c r="GC291" i="17"/>
  <c r="GA290" i="17"/>
  <c r="FY290" i="17"/>
  <c r="GM288" i="17"/>
  <c r="GC288" i="17"/>
  <c r="FT288" i="17"/>
  <c r="FX285" i="17"/>
  <c r="FZ285" i="17"/>
  <c r="GG285" i="17"/>
  <c r="GF285" i="17"/>
  <c r="GD285" i="17"/>
  <c r="GE285" i="17"/>
  <c r="FX284" i="17"/>
  <c r="GB284" i="17"/>
  <c r="FS283" i="17"/>
  <c r="GK283" i="17"/>
  <c r="GH283" i="17"/>
  <c r="GN283" i="17"/>
  <c r="GJ283" i="17"/>
  <c r="FR283" i="17"/>
  <c r="GI283" i="17"/>
  <c r="FQ282" i="17"/>
  <c r="GM282" i="17"/>
  <c r="GD282" i="17"/>
  <c r="GO279" i="17"/>
  <c r="GP279" i="17"/>
  <c r="FQ279" i="17"/>
  <c r="GA277" i="17"/>
  <c r="FY277" i="17"/>
  <c r="GH277" i="17"/>
  <c r="GP276" i="17"/>
  <c r="GF276" i="17"/>
  <c r="GB275" i="17"/>
  <c r="FZ275" i="17"/>
  <c r="GA274" i="17"/>
  <c r="FY274" i="17"/>
  <c r="FT272" i="17"/>
  <c r="GE272" i="17"/>
  <c r="GC272" i="17"/>
  <c r="FP270" i="17"/>
  <c r="GG270" i="17"/>
  <c r="FU270" i="17"/>
  <c r="GO270" i="17"/>
  <c r="FX268" i="17"/>
  <c r="FZ268" i="17"/>
  <c r="FV268" i="17"/>
  <c r="GJ189" i="17"/>
  <c r="GH189" i="17"/>
  <c r="FP267" i="17"/>
  <c r="GM267" i="17"/>
  <c r="GO264" i="17"/>
  <c r="FQ264" i="17"/>
  <c r="GP264" i="17"/>
  <c r="FV263" i="17"/>
  <c r="FW263" i="17"/>
  <c r="GH262" i="17"/>
  <c r="GA262" i="17"/>
  <c r="GP261" i="17"/>
  <c r="GF261" i="17"/>
  <c r="GC260" i="17"/>
  <c r="FT260" i="17"/>
  <c r="GN255" i="17"/>
  <c r="GG255" i="17"/>
  <c r="GO255" i="17"/>
  <c r="FX254" i="17"/>
  <c r="FZ254" i="17"/>
  <c r="FS252" i="17"/>
  <c r="GJ252" i="17"/>
  <c r="GN252" i="17"/>
  <c r="GI252" i="17"/>
  <c r="FR252" i="17"/>
  <c r="GK252" i="17"/>
  <c r="GP248" i="17"/>
  <c r="FO248" i="17"/>
  <c r="FQ248" i="17"/>
  <c r="GO248" i="17"/>
  <c r="GA246" i="17"/>
  <c r="GH246" i="17"/>
  <c r="FS230" i="17"/>
  <c r="FU230" i="17"/>
  <c r="GM229" i="17"/>
  <c r="GC229" i="17"/>
  <c r="GE229" i="17"/>
  <c r="FT229" i="17"/>
  <c r="GO227" i="17"/>
  <c r="FU227" i="17"/>
  <c r="GN227" i="17"/>
  <c r="FR227" i="17"/>
  <c r="GG227" i="17"/>
  <c r="FZ225" i="17"/>
  <c r="GB225" i="17"/>
  <c r="FV225" i="17"/>
  <c r="GN224" i="17"/>
  <c r="GH224" i="17"/>
  <c r="GJ224" i="17"/>
  <c r="FP223" i="17"/>
  <c r="GD223" i="17"/>
  <c r="GM223" i="17"/>
  <c r="GL219" i="17"/>
  <c r="FV219" i="17"/>
  <c r="FY218" i="17"/>
  <c r="GA218" i="17"/>
  <c r="GF217" i="17"/>
  <c r="GP217" i="17"/>
  <c r="FZ216" i="17"/>
  <c r="FX216" i="17"/>
  <c r="GB216" i="17"/>
  <c r="GC216" i="17"/>
  <c r="FT216" i="17"/>
  <c r="FR211" i="17"/>
  <c r="FU211" i="17"/>
  <c r="FP211" i="17"/>
  <c r="GO211" i="17"/>
  <c r="GN211" i="17"/>
  <c r="GE210" i="17"/>
  <c r="FO210" i="17"/>
  <c r="GD210" i="17"/>
  <c r="GF210" i="17"/>
  <c r="GG210" i="17"/>
  <c r="FV209" i="17"/>
  <c r="GI209" i="17"/>
  <c r="GH208" i="17"/>
  <c r="GI208" i="17"/>
  <c r="GK208" i="17"/>
  <c r="FR208" i="17"/>
  <c r="GD207" i="17"/>
  <c r="FQ207" i="17"/>
  <c r="GO204" i="17"/>
  <c r="GP204" i="17"/>
  <c r="GL203" i="17"/>
  <c r="FW203" i="17"/>
  <c r="FV203" i="17"/>
  <c r="GP201" i="17"/>
  <c r="GF201" i="17"/>
  <c r="GB200" i="17"/>
  <c r="FX200" i="17"/>
  <c r="FS198" i="17"/>
  <c r="FU198" i="17"/>
  <c r="GC197" i="17"/>
  <c r="GE197" i="17"/>
  <c r="FT197" i="17"/>
  <c r="GM197" i="17"/>
  <c r="FZ194" i="17"/>
  <c r="FX194" i="17"/>
  <c r="FO194" i="17"/>
  <c r="GD194" i="17"/>
  <c r="GF194" i="17"/>
  <c r="GE194" i="17"/>
  <c r="FV193" i="17"/>
  <c r="FZ193" i="17"/>
  <c r="GI193" i="17"/>
  <c r="FX193" i="17"/>
  <c r="GB193" i="17"/>
  <c r="FS192" i="17"/>
  <c r="GK192" i="17"/>
  <c r="GJ192" i="17"/>
  <c r="FR192" i="17"/>
  <c r="GH192" i="17"/>
  <c r="GI192" i="17"/>
  <c r="GD191" i="17"/>
  <c r="GM191" i="17"/>
  <c r="FQ191" i="17"/>
  <c r="FQ187" i="17"/>
  <c r="FO187" i="17"/>
  <c r="GO187" i="17"/>
  <c r="GP187" i="17"/>
  <c r="FW186" i="17"/>
  <c r="GL186" i="17"/>
  <c r="GH185" i="17"/>
  <c r="GA185" i="17"/>
  <c r="GP184" i="17"/>
  <c r="GF184" i="17"/>
  <c r="FS181" i="17"/>
  <c r="FU181" i="17"/>
  <c r="GE180" i="17"/>
  <c r="GM180" i="17"/>
  <c r="GC180" i="17"/>
  <c r="FT180" i="17"/>
  <c r="FX167" i="17"/>
  <c r="FZ167" i="17"/>
  <c r="GF167" i="17"/>
  <c r="FO167" i="17"/>
  <c r="FV166" i="17"/>
  <c r="FX166" i="17"/>
  <c r="FZ166" i="17"/>
  <c r="GJ165" i="17"/>
  <c r="GK165" i="17"/>
  <c r="FP164" i="17"/>
  <c r="GM164" i="17"/>
  <c r="FQ164" i="17"/>
  <c r="FQ161" i="17"/>
  <c r="FO161" i="17"/>
  <c r="GF158" i="17"/>
  <c r="GP158" i="17"/>
  <c r="GB157" i="17"/>
  <c r="FX157" i="17"/>
  <c r="FZ157" i="17"/>
  <c r="FY156" i="17"/>
  <c r="GA156" i="17"/>
  <c r="FT154" i="17"/>
  <c r="GM154" i="17"/>
  <c r="GC154" i="17"/>
  <c r="GG152" i="17"/>
  <c r="GN152" i="17"/>
  <c r="GG151" i="17"/>
  <c r="GF151" i="17"/>
  <c r="GD151" i="17"/>
  <c r="GE151" i="17"/>
  <c r="FZ150" i="17"/>
  <c r="FX150" i="17"/>
  <c r="FS149" i="17"/>
  <c r="FR149" i="17"/>
  <c r="GN149" i="17"/>
  <c r="GI149" i="17"/>
  <c r="GK149" i="17"/>
  <c r="GH149" i="17"/>
  <c r="GP145" i="17"/>
  <c r="FQ145" i="17"/>
  <c r="GO145" i="17"/>
  <c r="GL144" i="17"/>
  <c r="FW144" i="17"/>
  <c r="FV144" i="17"/>
  <c r="GH143" i="17"/>
  <c r="GA143" i="17"/>
  <c r="FY143" i="17"/>
  <c r="FP136" i="17"/>
  <c r="GO136" i="17"/>
  <c r="FR136" i="17"/>
  <c r="GG136" i="17"/>
  <c r="GN136" i="17"/>
  <c r="FU136" i="17"/>
  <c r="GI133" i="17"/>
  <c r="GK133" i="17"/>
  <c r="FS133" i="17"/>
  <c r="GJ133" i="17"/>
  <c r="FR133" i="17"/>
  <c r="FO129" i="17"/>
  <c r="FQ129" i="17"/>
  <c r="GO129" i="17"/>
  <c r="GP129" i="17"/>
  <c r="GL128" i="17"/>
  <c r="FW128" i="17"/>
  <c r="FV128" i="17"/>
  <c r="FY127" i="17"/>
  <c r="GH127" i="17"/>
  <c r="FX125" i="17"/>
  <c r="FZ125" i="17"/>
  <c r="FT125" i="17"/>
  <c r="GC125" i="17"/>
  <c r="FT122" i="17"/>
  <c r="GC122" i="17"/>
  <c r="GN120" i="17"/>
  <c r="FR120" i="17"/>
  <c r="GE119" i="17"/>
  <c r="GG119" i="17"/>
  <c r="GI118" i="17"/>
  <c r="FX118" i="17"/>
  <c r="GI117" i="17"/>
  <c r="GN117" i="17"/>
  <c r="FQ116" i="17"/>
  <c r="GM116" i="17"/>
  <c r="GD116" i="17"/>
  <c r="GO113" i="17"/>
  <c r="GP113" i="17"/>
  <c r="FO113" i="17"/>
  <c r="FQ113" i="17"/>
  <c r="GB109" i="17"/>
  <c r="FZ109" i="17"/>
  <c r="FX109" i="17"/>
  <c r="GC109" i="17"/>
  <c r="FT109" i="17"/>
  <c r="FS107" i="17"/>
  <c r="FU107" i="17"/>
  <c r="GC104" i="17"/>
  <c r="FT104" i="17"/>
  <c r="GM104" i="17"/>
  <c r="GN102" i="17"/>
  <c r="FP102" i="17"/>
  <c r="FR102" i="17"/>
  <c r="FU102" i="17"/>
  <c r="FX101" i="17"/>
  <c r="FZ101" i="17"/>
  <c r="GD101" i="17"/>
  <c r="GF101" i="17"/>
  <c r="GG101" i="17"/>
  <c r="GI100" i="17"/>
  <c r="GB100" i="17"/>
  <c r="FX100" i="17"/>
  <c r="FZ100" i="17"/>
  <c r="FV100" i="17"/>
  <c r="GK99" i="17"/>
  <c r="GJ99" i="17"/>
  <c r="GI99" i="17"/>
  <c r="FS99" i="17"/>
  <c r="GD98" i="17"/>
  <c r="GM98" i="17"/>
  <c r="FP98" i="17"/>
  <c r="FV94" i="17"/>
  <c r="GL94" i="17"/>
  <c r="GB91" i="17"/>
  <c r="FZ91" i="17"/>
  <c r="FU63" i="17"/>
  <c r="FR63" i="17"/>
  <c r="GO63" i="17"/>
  <c r="FZ62" i="17"/>
  <c r="FX62" i="17"/>
  <c r="FO62" i="17"/>
  <c r="GF62" i="17"/>
  <c r="GE62" i="17"/>
  <c r="GD62" i="17"/>
  <c r="FZ61" i="17"/>
  <c r="GB61" i="17"/>
  <c r="GI61" i="17"/>
  <c r="FS60" i="17"/>
  <c r="GI60" i="17"/>
  <c r="GN60" i="17"/>
  <c r="GK60" i="17"/>
  <c r="GM59" i="17"/>
  <c r="GD59" i="17"/>
  <c r="FV55" i="17"/>
  <c r="FW55" i="17"/>
  <c r="GH54" i="17"/>
  <c r="FY54" i="17"/>
  <c r="GB52" i="17"/>
  <c r="FZ52" i="17"/>
  <c r="FT52" i="17"/>
  <c r="GC52" i="17"/>
  <c r="FY51" i="17"/>
  <c r="GA51" i="17"/>
  <c r="GN47" i="17"/>
  <c r="FU47" i="17"/>
  <c r="GG47" i="17"/>
  <c r="GG46" i="17"/>
  <c r="GE46" i="17"/>
  <c r="GF46" i="17"/>
  <c r="GI45" i="17"/>
  <c r="FZ45" i="17"/>
  <c r="FX45" i="17"/>
  <c r="GB45" i="17"/>
  <c r="GJ44" i="17"/>
  <c r="GN44" i="17"/>
  <c r="GI44" i="17"/>
  <c r="FS44" i="17"/>
  <c r="GD43" i="17"/>
  <c r="FO43" i="17"/>
  <c r="GG43" i="17"/>
  <c r="GF43" i="17"/>
  <c r="GI42" i="17"/>
  <c r="FV42" i="17"/>
  <c r="GN41" i="17"/>
  <c r="GI41" i="17"/>
  <c r="GJ41" i="17"/>
  <c r="FR41" i="17"/>
  <c r="FO37" i="17"/>
  <c r="FQ37" i="17"/>
  <c r="GP37" i="17"/>
  <c r="FW36" i="17"/>
  <c r="FV36" i="17"/>
  <c r="GL36" i="17"/>
  <c r="FX33" i="17"/>
  <c r="FZ33" i="17"/>
  <c r="FY32" i="17"/>
  <c r="GA32" i="17"/>
  <c r="FS31" i="17"/>
  <c r="FU31" i="17"/>
  <c r="GE29" i="17"/>
  <c r="FT29" i="17"/>
  <c r="GC29" i="17"/>
  <c r="GM29" i="17"/>
  <c r="GN30" i="17"/>
  <c r="FP30" i="17"/>
  <c r="GO30" i="17"/>
  <c r="FR30" i="17"/>
  <c r="FU30" i="17"/>
  <c r="FO27" i="17"/>
  <c r="GD27" i="17"/>
  <c r="GF27" i="17"/>
  <c r="GE27" i="17"/>
  <c r="FV26" i="17"/>
  <c r="FX26" i="17"/>
  <c r="GI26" i="17"/>
  <c r="GD24" i="17"/>
  <c r="GM24" i="17"/>
  <c r="FP24" i="17"/>
  <c r="FQ21" i="17"/>
  <c r="FO21" i="17"/>
  <c r="GP21" i="17"/>
  <c r="GO21" i="17"/>
  <c r="GL20" i="17"/>
  <c r="FV20" i="17"/>
  <c r="FW20" i="17"/>
  <c r="GV147" i="17"/>
  <c r="HX147" i="17" s="1"/>
  <c r="HQ147" i="17"/>
  <c r="IS147" i="17" s="1"/>
  <c r="AS90" i="17"/>
  <c r="GQ90" i="17" s="1"/>
  <c r="AM90" i="17"/>
  <c r="AL90" i="17"/>
  <c r="AK90" i="17"/>
  <c r="AQ90" i="17"/>
  <c r="AN90" i="17"/>
  <c r="AT90" i="17"/>
  <c r="AU90" i="17"/>
  <c r="AO90" i="17"/>
  <c r="AR90" i="17"/>
  <c r="AP90" i="17"/>
  <c r="AU64" i="17"/>
  <c r="AL169" i="17"/>
  <c r="AQ293" i="17"/>
  <c r="AT64" i="17"/>
  <c r="AT228" i="17"/>
  <c r="FY321" i="17"/>
  <c r="AM64" i="17"/>
  <c r="AL228" i="17"/>
  <c r="AU322" i="17"/>
  <c r="AN322" i="17"/>
  <c r="AO322" i="17"/>
  <c r="AR322" i="17"/>
  <c r="AS322" i="17"/>
  <c r="GQ322" i="17" s="1"/>
  <c r="AT322" i="17"/>
  <c r="AK322" i="17"/>
  <c r="AL322" i="17"/>
  <c r="AM322" i="17"/>
  <c r="AP322" i="17"/>
  <c r="AL296" i="17"/>
  <c r="AM296" i="17"/>
  <c r="AN296" i="17"/>
  <c r="AT296" i="17"/>
  <c r="AU296" i="17"/>
  <c r="AK296" i="17"/>
  <c r="AO296" i="17"/>
  <c r="AP296" i="17"/>
  <c r="AR296" i="17"/>
  <c r="AS296" i="17"/>
  <c r="GQ296" i="17" s="1"/>
  <c r="AS278" i="17"/>
  <c r="GQ278" i="17" s="1"/>
  <c r="AT278" i="17"/>
  <c r="AU278" i="17"/>
  <c r="AK278" i="17"/>
  <c r="AT263" i="17"/>
  <c r="AU263" i="17"/>
  <c r="AK263" i="17"/>
  <c r="AL263" i="17"/>
  <c r="AM263" i="17"/>
  <c r="AQ263" i="17"/>
  <c r="AN263" i="17"/>
  <c r="AM247" i="17"/>
  <c r="AQ247" i="17"/>
  <c r="AO247" i="17"/>
  <c r="AS247" i="17"/>
  <c r="GQ247" i="17" s="1"/>
  <c r="AT247" i="17"/>
  <c r="AU247" i="17"/>
  <c r="AK247" i="17"/>
  <c r="AL247" i="17"/>
  <c r="AT219" i="17"/>
  <c r="AO219" i="17"/>
  <c r="AP219" i="17"/>
  <c r="AU219" i="17"/>
  <c r="AK219" i="17"/>
  <c r="AL219" i="17"/>
  <c r="AM219" i="17"/>
  <c r="AN219" i="17"/>
  <c r="AR219" i="17"/>
  <c r="AP203" i="17"/>
  <c r="AR203" i="17"/>
  <c r="AQ203" i="17"/>
  <c r="AS203" i="17"/>
  <c r="GQ203" i="17" s="1"/>
  <c r="AT203" i="17"/>
  <c r="AK186" i="17"/>
  <c r="AL186" i="17"/>
  <c r="AM186" i="17"/>
  <c r="AO186" i="17"/>
  <c r="AP186" i="17"/>
  <c r="AR186" i="17"/>
  <c r="AQ186" i="17"/>
  <c r="AU186" i="17"/>
  <c r="AN186" i="17"/>
  <c r="AS186" i="17"/>
  <c r="GQ186" i="17" s="1"/>
  <c r="AP160" i="17"/>
  <c r="AQ160" i="17"/>
  <c r="AR160" i="17"/>
  <c r="AL160" i="17"/>
  <c r="AM160" i="17"/>
  <c r="AN160" i="17"/>
  <c r="AO160" i="17"/>
  <c r="AS144" i="17"/>
  <c r="GQ144" i="17" s="1"/>
  <c r="AR144" i="17"/>
  <c r="AN144" i="17"/>
  <c r="AU144" i="17"/>
  <c r="AL144" i="17"/>
  <c r="AK144" i="17"/>
  <c r="AM144" i="17"/>
  <c r="AO128" i="17"/>
  <c r="AP128" i="17"/>
  <c r="AQ128" i="17"/>
  <c r="AS128" i="17"/>
  <c r="GQ128" i="17" s="1"/>
  <c r="AT128" i="17"/>
  <c r="AU128" i="17"/>
  <c r="AK128" i="17"/>
  <c r="AQ112" i="17"/>
  <c r="AR112" i="17"/>
  <c r="AS112" i="17"/>
  <c r="GQ112" i="17" s="1"/>
  <c r="AK112" i="17"/>
  <c r="AL112" i="17"/>
  <c r="AN112" i="17"/>
  <c r="AM112" i="17"/>
  <c r="AU94" i="17"/>
  <c r="AK94" i="17"/>
  <c r="AL94" i="17"/>
  <c r="AO94" i="17"/>
  <c r="AP94" i="17"/>
  <c r="AQ94" i="17"/>
  <c r="AR94" i="17"/>
  <c r="AU55" i="17"/>
  <c r="AN55" i="17"/>
  <c r="AO55" i="17"/>
  <c r="AP55" i="17"/>
  <c r="AQ55" i="17"/>
  <c r="AK55" i="17"/>
  <c r="AL55" i="17"/>
  <c r="AM55" i="17"/>
  <c r="AR55" i="17"/>
  <c r="AK39" i="17"/>
  <c r="AL39" i="17"/>
  <c r="AU39" i="17"/>
  <c r="AM39" i="17"/>
  <c r="AN39" i="17"/>
  <c r="AO39" i="17"/>
  <c r="AP39" i="17"/>
  <c r="AO23" i="17"/>
  <c r="AP23" i="17"/>
  <c r="AQ23" i="17"/>
  <c r="AK23" i="17"/>
  <c r="AL23" i="17"/>
  <c r="AM23" i="17"/>
  <c r="AU23" i="17"/>
  <c r="AS7" i="17"/>
  <c r="GQ7" i="17" s="1"/>
  <c r="AQ7" i="17"/>
  <c r="AR7" i="17"/>
  <c r="AT7" i="17"/>
  <c r="AU7" i="17"/>
  <c r="AM7" i="17"/>
  <c r="AN7" i="17"/>
  <c r="AO7" i="17"/>
  <c r="AP7" i="17"/>
  <c r="AK7" i="17"/>
  <c r="AL7" i="17"/>
  <c r="GN333" i="17"/>
  <c r="FU333" i="17"/>
  <c r="FX331" i="17"/>
  <c r="FV331" i="17"/>
  <c r="GB331" i="17"/>
  <c r="GI331" i="17"/>
  <c r="FP293" i="17"/>
  <c r="GD293" i="17"/>
  <c r="GP328" i="17"/>
  <c r="GO328" i="17"/>
  <c r="FQ328" i="17"/>
  <c r="FY326" i="17"/>
  <c r="GH326" i="17"/>
  <c r="GA326" i="17"/>
  <c r="FT321" i="17"/>
  <c r="GC321" i="17"/>
  <c r="GN319" i="17"/>
  <c r="FP319" i="17"/>
  <c r="FU319" i="17"/>
  <c r="GF318" i="17"/>
  <c r="GE318" i="17"/>
  <c r="FZ317" i="17"/>
  <c r="FX317" i="17"/>
  <c r="GK316" i="17"/>
  <c r="FS316" i="17"/>
  <c r="GJ316" i="17"/>
  <c r="GN316" i="17"/>
  <c r="GH316" i="17"/>
  <c r="FP315" i="17"/>
  <c r="GM315" i="17"/>
  <c r="FQ315" i="17"/>
  <c r="GD315" i="17"/>
  <c r="FW300" i="17"/>
  <c r="FV300" i="17"/>
  <c r="GP179" i="17"/>
  <c r="GF179" i="17"/>
  <c r="GB298" i="17"/>
  <c r="FX298" i="17"/>
  <c r="FR291" i="17"/>
  <c r="FP291" i="17"/>
  <c r="GF290" i="17"/>
  <c r="GG290" i="17"/>
  <c r="FV289" i="17"/>
  <c r="GI289" i="17"/>
  <c r="GJ288" i="17"/>
  <c r="GK288" i="17"/>
  <c r="GH288" i="17"/>
  <c r="GN288" i="17"/>
  <c r="GP281" i="17"/>
  <c r="GF281" i="17"/>
  <c r="GB280" i="17"/>
  <c r="FX280" i="17"/>
  <c r="FZ280" i="17"/>
  <c r="GA279" i="17"/>
  <c r="FY279" i="17"/>
  <c r="FR275" i="17"/>
  <c r="GG275" i="17"/>
  <c r="GO275" i="17"/>
  <c r="FP275" i="17"/>
  <c r="GF274" i="17"/>
  <c r="GD274" i="17"/>
  <c r="GG274" i="17"/>
  <c r="FO274" i="17"/>
  <c r="GB273" i="17"/>
  <c r="FV273" i="17"/>
  <c r="FZ273" i="17"/>
  <c r="GK272" i="17"/>
  <c r="GN272" i="17"/>
  <c r="GJ272" i="17"/>
  <c r="GI272" i="17"/>
  <c r="FR272" i="17"/>
  <c r="GD271" i="17"/>
  <c r="FP271" i="17"/>
  <c r="FQ271" i="17"/>
  <c r="GO268" i="17"/>
  <c r="FO268" i="17"/>
  <c r="GL189" i="17"/>
  <c r="FV189" i="17"/>
  <c r="FW189" i="17"/>
  <c r="GP266" i="17"/>
  <c r="GF266" i="17"/>
  <c r="FS263" i="17"/>
  <c r="FU263" i="17"/>
  <c r="GE262" i="17"/>
  <c r="GM262" i="17"/>
  <c r="FR260" i="17"/>
  <c r="FP260" i="17"/>
  <c r="GO260" i="17"/>
  <c r="GE259" i="17"/>
  <c r="GG259" i="17"/>
  <c r="GD259" i="17"/>
  <c r="FV258" i="17"/>
  <c r="FZ258" i="17"/>
  <c r="GJ257" i="17"/>
  <c r="GI257" i="17"/>
  <c r="GN257" i="17"/>
  <c r="GH251" i="17"/>
  <c r="FY251" i="17"/>
  <c r="FZ249" i="17"/>
  <c r="GB249" i="17"/>
  <c r="FZ231" i="17"/>
  <c r="FX231" i="17"/>
  <c r="GF231" i="17"/>
  <c r="GD231" i="17"/>
  <c r="GB230" i="17"/>
  <c r="FX230" i="17"/>
  <c r="FR229" i="17"/>
  <c r="GI229" i="17"/>
  <c r="GM228" i="17"/>
  <c r="FP228" i="17"/>
  <c r="FZ221" i="17"/>
  <c r="GB221" i="17"/>
  <c r="GC221" i="17"/>
  <c r="FT221" i="17"/>
  <c r="GA220" i="17"/>
  <c r="FY220" i="17"/>
  <c r="GM218" i="17"/>
  <c r="GE218" i="17"/>
  <c r="FT218" i="17"/>
  <c r="GO216" i="17"/>
  <c r="FU216" i="17"/>
  <c r="FO215" i="17"/>
  <c r="GF215" i="17"/>
  <c r="GH213" i="17"/>
  <c r="GN213" i="17"/>
  <c r="GJ213" i="17"/>
  <c r="GI213" i="17"/>
  <c r="FQ212" i="17"/>
  <c r="GM212" i="17"/>
  <c r="FO209" i="17"/>
  <c r="GP209" i="17"/>
  <c r="GO209" i="17"/>
  <c r="FY204" i="17"/>
  <c r="GA204" i="17"/>
  <c r="GI317" i="17"/>
  <c r="AU112" i="17"/>
  <c r="AK160" i="17"/>
  <c r="AS263" i="17"/>
  <c r="GQ263" i="17" s="1"/>
  <c r="GR133" i="17"/>
  <c r="HT133" i="17" s="1"/>
  <c r="GY133" i="17"/>
  <c r="IA133" i="17" s="1"/>
  <c r="HM133" i="17"/>
  <c r="IO133" i="17" s="1"/>
  <c r="HC133" i="17"/>
  <c r="IE133" i="17" s="1"/>
  <c r="HH133" i="17"/>
  <c r="IJ133" i="17" s="1"/>
  <c r="HQ133" i="17"/>
  <c r="IS133" i="17" s="1"/>
  <c r="HF133" i="17"/>
  <c r="IH133" i="17" s="1"/>
  <c r="HD133" i="17"/>
  <c r="IF133" i="17" s="1"/>
  <c r="GB317" i="17"/>
  <c r="AS23" i="17"/>
  <c r="GQ23" i="17" s="1"/>
  <c r="AT112" i="17"/>
  <c r="AT186" i="17"/>
  <c r="AR263" i="17"/>
  <c r="FT298" i="17"/>
  <c r="AR23" i="17"/>
  <c r="AP112" i="17"/>
  <c r="AP263" i="17"/>
  <c r="AN23" i="17"/>
  <c r="AO112" i="17"/>
  <c r="AO263" i="17"/>
  <c r="AT173" i="17"/>
  <c r="AL173" i="17"/>
  <c r="AM173" i="17"/>
  <c r="AN173" i="17"/>
  <c r="AO173" i="17"/>
  <c r="AS173" i="17"/>
  <c r="AU173" i="17"/>
  <c r="AK173" i="17"/>
  <c r="AP173" i="17"/>
  <c r="AQ173" i="17"/>
  <c r="AR173" i="17"/>
  <c r="GU245" i="17"/>
  <c r="HW245" i="17" s="1"/>
  <c r="GZ245" i="17"/>
  <c r="IB245" i="17" s="1"/>
  <c r="GY245" i="17"/>
  <c r="IA245" i="17" s="1"/>
  <c r="GV245" i="17"/>
  <c r="HX245" i="17" s="1"/>
  <c r="GT245" i="17"/>
  <c r="HV245" i="17" s="1"/>
  <c r="HP245" i="17"/>
  <c r="IR245" i="17" s="1"/>
  <c r="HE245" i="17"/>
  <c r="IG245" i="17" s="1"/>
  <c r="HA245" i="17"/>
  <c r="IC245" i="17" s="1"/>
  <c r="HN245" i="17"/>
  <c r="IP245" i="17" s="1"/>
  <c r="HK245" i="17"/>
  <c r="IM245" i="17" s="1"/>
  <c r="HD245" i="17"/>
  <c r="IF245" i="17" s="1"/>
  <c r="HM245" i="17"/>
  <c r="IO245" i="17" s="1"/>
  <c r="HI245" i="17"/>
  <c r="IK245" i="17" s="1"/>
  <c r="HC245" i="17"/>
  <c r="IE245" i="17" s="1"/>
  <c r="HH245" i="17"/>
  <c r="IJ245" i="17" s="1"/>
  <c r="HJ245" i="17"/>
  <c r="IL245" i="17" s="1"/>
  <c r="HR245" i="17"/>
  <c r="IT245" i="17" s="1"/>
  <c r="GW245" i="17"/>
  <c r="HY245" i="17" s="1"/>
  <c r="HG245" i="17"/>
  <c r="II245" i="17" s="1"/>
  <c r="HF245" i="17"/>
  <c r="IH245" i="17" s="1"/>
  <c r="AK27" i="17"/>
  <c r="AQ98" i="17"/>
  <c r="AR148" i="17"/>
  <c r="AO207" i="17"/>
  <c r="AL267" i="17"/>
  <c r="AK172" i="17"/>
  <c r="AL172" i="17"/>
  <c r="AM172" i="17"/>
  <c r="AN172" i="17"/>
  <c r="AT172" i="17"/>
  <c r="AU172" i="17"/>
  <c r="AK171" i="17"/>
  <c r="AN171" i="17"/>
  <c r="AM171" i="17"/>
  <c r="AO171" i="17"/>
  <c r="AP171" i="17"/>
  <c r="AQ171" i="17"/>
  <c r="AR171" i="17"/>
  <c r="AS171" i="17"/>
  <c r="AT171" i="17"/>
  <c r="AP326" i="17"/>
  <c r="AK326" i="17"/>
  <c r="AL326" i="17"/>
  <c r="AN326" i="17"/>
  <c r="AM326" i="17"/>
  <c r="AM299" i="17"/>
  <c r="AN299" i="17"/>
  <c r="AO299" i="17"/>
  <c r="AK282" i="17"/>
  <c r="AN282" i="17"/>
  <c r="AO282" i="17"/>
  <c r="AP282" i="17"/>
  <c r="AU282" i="17"/>
  <c r="AR282" i="17"/>
  <c r="AS282" i="17"/>
  <c r="GQ282" i="17" s="1"/>
  <c r="AL282" i="17"/>
  <c r="AM282" i="17"/>
  <c r="AQ282" i="17"/>
  <c r="AT282" i="17"/>
  <c r="AM267" i="17"/>
  <c r="AN267" i="17"/>
  <c r="AO267" i="17"/>
  <c r="AS267" i="17"/>
  <c r="GQ267" i="17" s="1"/>
  <c r="AU251" i="17"/>
  <c r="AT251" i="17"/>
  <c r="AK251" i="17"/>
  <c r="AL251" i="17"/>
  <c r="AQ251" i="17"/>
  <c r="AS251" i="17"/>
  <c r="GQ251" i="17" s="1"/>
  <c r="AR251" i="17"/>
  <c r="AT223" i="17"/>
  <c r="AU223" i="17"/>
  <c r="AR223" i="17"/>
  <c r="AK223" i="17"/>
  <c r="AL223" i="17"/>
  <c r="AN223" i="17"/>
  <c r="AO223" i="17"/>
  <c r="AP223" i="17"/>
  <c r="AQ223" i="17"/>
  <c r="AK207" i="17"/>
  <c r="AQ207" i="17"/>
  <c r="AR207" i="17"/>
  <c r="AS207" i="17"/>
  <c r="GQ207" i="17" s="1"/>
  <c r="AM191" i="17"/>
  <c r="AN191" i="17"/>
  <c r="AO191" i="17"/>
  <c r="AK191" i="17"/>
  <c r="AL191" i="17"/>
  <c r="AP191" i="17"/>
  <c r="AT191" i="17"/>
  <c r="AU191" i="17"/>
  <c r="AS164" i="17"/>
  <c r="GQ164" i="17" s="1"/>
  <c r="AT164" i="17"/>
  <c r="AP164" i="17"/>
  <c r="AQ164" i="17"/>
  <c r="AR164" i="17"/>
  <c r="AU164" i="17"/>
  <c r="AL164" i="17"/>
  <c r="AQ148" i="17"/>
  <c r="AN148" i="17"/>
  <c r="AM148" i="17"/>
  <c r="AO148" i="17"/>
  <c r="AS132" i="17"/>
  <c r="GQ132" i="17" s="1"/>
  <c r="AT132" i="17"/>
  <c r="AU132" i="17"/>
  <c r="AK132" i="17"/>
  <c r="AL132" i="17"/>
  <c r="AM132" i="17"/>
  <c r="AN132" i="17"/>
  <c r="AK116" i="17"/>
  <c r="AL116" i="17"/>
  <c r="AM116" i="17"/>
  <c r="AQ116" i="17"/>
  <c r="AR116" i="17"/>
  <c r="AO98" i="17"/>
  <c r="AP98" i="17"/>
  <c r="AR98" i="17"/>
  <c r="AS98" i="17"/>
  <c r="GQ98" i="17" s="1"/>
  <c r="AU98" i="17"/>
  <c r="AK98" i="17"/>
  <c r="AL98" i="17"/>
  <c r="AM98" i="17"/>
  <c r="AS59" i="17"/>
  <c r="AT59" i="17"/>
  <c r="AU59" i="17"/>
  <c r="AN43" i="17"/>
  <c r="AO43" i="17"/>
  <c r="AP43" i="17"/>
  <c r="AS43" i="17"/>
  <c r="GQ43" i="17" s="1"/>
  <c r="AT43" i="17"/>
  <c r="AU43" i="17"/>
  <c r="AR27" i="17"/>
  <c r="AS27" i="17"/>
  <c r="GQ27" i="17" s="1"/>
  <c r="AN27" i="17"/>
  <c r="AO27" i="17"/>
  <c r="AP27" i="17"/>
  <c r="AQ27" i="17"/>
  <c r="AU11" i="17"/>
  <c r="AK11" i="17"/>
  <c r="AL11" i="17"/>
  <c r="AT11" i="17"/>
  <c r="AM11" i="17"/>
  <c r="AR11" i="17"/>
  <c r="AS11" i="17"/>
  <c r="GQ11" i="17" s="1"/>
  <c r="FX304" i="17"/>
  <c r="GB304" i="17"/>
  <c r="FZ304" i="17"/>
  <c r="FY333" i="17"/>
  <c r="GA333" i="17"/>
  <c r="GO293" i="17"/>
  <c r="FR293" i="17"/>
  <c r="GG293" i="17"/>
  <c r="GN293" i="17"/>
  <c r="GN328" i="17"/>
  <c r="GJ328" i="17"/>
  <c r="GP324" i="17"/>
  <c r="FO324" i="17"/>
  <c r="GE303" i="17"/>
  <c r="GG303" i="17"/>
  <c r="GO298" i="17"/>
  <c r="FQ298" i="17"/>
  <c r="FX292" i="17"/>
  <c r="GB292" i="17"/>
  <c r="GG287" i="17"/>
  <c r="GN287" i="17"/>
  <c r="FU287" i="17"/>
  <c r="GO287" i="17"/>
  <c r="GI284" i="17"/>
  <c r="GM283" i="17"/>
  <c r="GD283" i="17"/>
  <c r="FO280" i="17"/>
  <c r="FQ280" i="17"/>
  <c r="FW279" i="17"/>
  <c r="FV279" i="17"/>
  <c r="FU271" i="17"/>
  <c r="GG271" i="17"/>
  <c r="FR271" i="17"/>
  <c r="GO271" i="17"/>
  <c r="GD270" i="17"/>
  <c r="GF270" i="17"/>
  <c r="FO270" i="17"/>
  <c r="GI268" i="17"/>
  <c r="FO265" i="17"/>
  <c r="FQ265" i="17"/>
  <c r="GO265" i="17"/>
  <c r="GL264" i="17"/>
  <c r="FV264" i="17"/>
  <c r="FW264" i="17"/>
  <c r="GF262" i="17"/>
  <c r="GP262" i="17"/>
  <c r="GA260" i="17"/>
  <c r="FY260" i="17"/>
  <c r="GI253" i="17"/>
  <c r="FR253" i="17"/>
  <c r="GH253" i="17"/>
  <c r="GB233" i="17"/>
  <c r="FX233" i="17"/>
  <c r="GO228" i="17"/>
  <c r="GG228" i="17"/>
  <c r="FO227" i="17"/>
  <c r="GF227" i="17"/>
  <c r="FZ226" i="17"/>
  <c r="GH225" i="17"/>
  <c r="GJ225" i="17"/>
  <c r="FS225" i="17"/>
  <c r="GK225" i="17"/>
  <c r="GB217" i="17"/>
  <c r="FX217" i="17"/>
  <c r="GG212" i="17"/>
  <c r="FU212" i="17"/>
  <c r="GO212" i="17"/>
  <c r="GG211" i="17"/>
  <c r="GJ209" i="17"/>
  <c r="GN209" i="17"/>
  <c r="FQ205" i="17"/>
  <c r="GO205" i="17"/>
  <c r="AQ170" i="17"/>
  <c r="AR170" i="17"/>
  <c r="AS170" i="17"/>
  <c r="AT170" i="17"/>
  <c r="AM170" i="17"/>
  <c r="AN170" i="17"/>
  <c r="AO170" i="17"/>
  <c r="AP170" i="17"/>
  <c r="AK170" i="17"/>
  <c r="AL170" i="17"/>
  <c r="AU170" i="17"/>
  <c r="AT49" i="17"/>
  <c r="AL272" i="17"/>
  <c r="AR274" i="17"/>
  <c r="AS274" i="17"/>
  <c r="GQ274" i="17" s="1"/>
  <c r="AL274" i="17"/>
  <c r="AK274" i="17"/>
  <c r="AM274" i="17"/>
  <c r="AT274" i="17"/>
  <c r="AU274" i="17"/>
  <c r="AN274" i="17"/>
  <c r="AO274" i="17"/>
  <c r="AM259" i="17"/>
  <c r="AK259" i="17"/>
  <c r="AL259" i="17"/>
  <c r="AS231" i="17"/>
  <c r="GQ231" i="17" s="1"/>
  <c r="AT231" i="17"/>
  <c r="AR231" i="17"/>
  <c r="AU231" i="17"/>
  <c r="AN231" i="17"/>
  <c r="AL231" i="17"/>
  <c r="AM231" i="17"/>
  <c r="AP231" i="17"/>
  <c r="AO231" i="17"/>
  <c r="AN215" i="17"/>
  <c r="AM215" i="17"/>
  <c r="AO215" i="17"/>
  <c r="AR199" i="17"/>
  <c r="AS199" i="17"/>
  <c r="GQ199" i="17" s="1"/>
  <c r="AT199" i="17"/>
  <c r="AL199" i="17"/>
  <c r="AN199" i="17"/>
  <c r="AM199" i="17"/>
  <c r="AO199" i="17"/>
  <c r="AK182" i="17"/>
  <c r="AL182" i="17"/>
  <c r="AN182" i="17"/>
  <c r="AT182" i="17"/>
  <c r="AU182" i="17"/>
  <c r="AM182" i="17"/>
  <c r="AP156" i="17"/>
  <c r="AN156" i="17"/>
  <c r="AO156" i="17"/>
  <c r="AQ156" i="17"/>
  <c r="AR156" i="17"/>
  <c r="AK140" i="17"/>
  <c r="AL140" i="17"/>
  <c r="AP140" i="17"/>
  <c r="AQ140" i="17"/>
  <c r="AR140" i="17"/>
  <c r="AN124" i="17"/>
  <c r="AO124" i="17"/>
  <c r="AP124" i="17"/>
  <c r="AT124" i="17"/>
  <c r="AU124" i="17"/>
  <c r="AR124" i="17"/>
  <c r="AS124" i="17"/>
  <c r="GQ124" i="17" s="1"/>
  <c r="AR108" i="17"/>
  <c r="AS108" i="17"/>
  <c r="GQ108" i="17" s="1"/>
  <c r="AT108" i="17"/>
  <c r="AK108" i="17"/>
  <c r="AL108" i="17"/>
  <c r="AQ67" i="17"/>
  <c r="AR67" i="17"/>
  <c r="AS67" i="17"/>
  <c r="GQ67" i="17" s="1"/>
  <c r="AT67" i="17"/>
  <c r="AU67" i="17"/>
  <c r="AL51" i="17"/>
  <c r="AM51" i="17"/>
  <c r="AN51" i="17"/>
  <c r="AK51" i="17"/>
  <c r="AO51" i="17"/>
  <c r="AP35" i="17"/>
  <c r="AQ35" i="17"/>
  <c r="AR35" i="17"/>
  <c r="AM35" i="17"/>
  <c r="AN35" i="17"/>
  <c r="AO35" i="17"/>
  <c r="AU19" i="17"/>
  <c r="AK19" i="17"/>
  <c r="AL19" i="17"/>
  <c r="AM19" i="17"/>
  <c r="AN19" i="17"/>
  <c r="FW293" i="17"/>
  <c r="FR276" i="17"/>
  <c r="GP269" i="17"/>
  <c r="GL228" i="17"/>
  <c r="FW228" i="17"/>
  <c r="FS217" i="17"/>
  <c r="GA208" i="17"/>
  <c r="GA192" i="17"/>
  <c r="GF186" i="17"/>
  <c r="FO186" i="17"/>
  <c r="GB166" i="17"/>
  <c r="GB150" i="17"/>
  <c r="FT150" i="17"/>
  <c r="GC150" i="17"/>
  <c r="GM147" i="17"/>
  <c r="GE147" i="17"/>
  <c r="GF144" i="17"/>
  <c r="GG144" i="17"/>
  <c r="FW137" i="17"/>
  <c r="FV137" i="17"/>
  <c r="GG129" i="17"/>
  <c r="FR129" i="17"/>
  <c r="GN129" i="17"/>
  <c r="FQ125" i="17"/>
  <c r="GM125" i="17"/>
  <c r="FZ118" i="17"/>
  <c r="GB111" i="17"/>
  <c r="GI111" i="17"/>
  <c r="FV111" i="17"/>
  <c r="GK110" i="17"/>
  <c r="GH110" i="17"/>
  <c r="FT100" i="17"/>
  <c r="GC100" i="17"/>
  <c r="FY63" i="17"/>
  <c r="GA63" i="17"/>
  <c r="FT61" i="17"/>
  <c r="GC61" i="17"/>
  <c r="GI53" i="17"/>
  <c r="GK53" i="17"/>
  <c r="GJ53" i="17"/>
  <c r="GM52" i="17"/>
  <c r="FQ52" i="17"/>
  <c r="FW48" i="17"/>
  <c r="FV48" i="17"/>
  <c r="AP304" i="17"/>
  <c r="AQ304" i="17"/>
  <c r="AS304" i="17"/>
  <c r="GQ304" i="17" s="1"/>
  <c r="AK304" i="17"/>
  <c r="AK317" i="17"/>
  <c r="AL317" i="17"/>
  <c r="AM317" i="17"/>
  <c r="AP317" i="17"/>
  <c r="AQ317" i="17"/>
  <c r="AU317" i="17"/>
  <c r="AT289" i="17"/>
  <c r="AU289" i="17"/>
  <c r="AK289" i="17"/>
  <c r="AM289" i="17"/>
  <c r="AN289" i="17"/>
  <c r="AO289" i="17"/>
  <c r="AP289" i="17"/>
  <c r="AS273" i="17"/>
  <c r="GQ273" i="17" s="1"/>
  <c r="AT273" i="17"/>
  <c r="AQ273" i="17"/>
  <c r="AR273" i="17"/>
  <c r="AU273" i="17"/>
  <c r="AM273" i="17"/>
  <c r="AN273" i="17"/>
  <c r="AO273" i="17"/>
  <c r="AP273" i="17"/>
  <c r="AT258" i="17"/>
  <c r="AN258" i="17"/>
  <c r="AU258" i="17"/>
  <c r="AQ258" i="17"/>
  <c r="AR258" i="17"/>
  <c r="AS258" i="17"/>
  <c r="GQ258" i="17" s="1"/>
  <c r="AK258" i="17"/>
  <c r="AL258" i="17"/>
  <c r="AM230" i="17"/>
  <c r="AP230" i="17"/>
  <c r="AQ230" i="17"/>
  <c r="AU230" i="17"/>
  <c r="AK230" i="17"/>
  <c r="AN230" i="17"/>
  <c r="AL230" i="17"/>
  <c r="AR230" i="17"/>
  <c r="AS230" i="17"/>
  <c r="GQ230" i="17" s="1"/>
  <c r="AL214" i="17"/>
  <c r="AO214" i="17"/>
  <c r="AP214" i="17"/>
  <c r="AQ214" i="17"/>
  <c r="AR198" i="17"/>
  <c r="AS198" i="17"/>
  <c r="GQ198" i="17" s="1"/>
  <c r="AT198" i="17"/>
  <c r="AU198" i="17"/>
  <c r="AM181" i="17"/>
  <c r="AN181" i="17"/>
  <c r="AO181" i="17"/>
  <c r="AR155" i="17"/>
  <c r="AS155" i="17"/>
  <c r="GQ155" i="17" s="1"/>
  <c r="AU155" i="17"/>
  <c r="AL155" i="17"/>
  <c r="AK155" i="17"/>
  <c r="AM155" i="17"/>
  <c r="AK139" i="17"/>
  <c r="AL139" i="17"/>
  <c r="AR123" i="17"/>
  <c r="AS123" i="17"/>
  <c r="GQ123" i="17" s="1"/>
  <c r="AQ123" i="17"/>
  <c r="AU123" i="17"/>
  <c r="AT123" i="17"/>
  <c r="AN107" i="17"/>
  <c r="AO107" i="17"/>
  <c r="AP107" i="17"/>
  <c r="AP66" i="17"/>
  <c r="AU66" i="17"/>
  <c r="AK66" i="17"/>
  <c r="AL66" i="17"/>
  <c r="AM66" i="17"/>
  <c r="AT50" i="17"/>
  <c r="AU50" i="17"/>
  <c r="AK50" i="17"/>
  <c r="AO50" i="17"/>
  <c r="AP50" i="17"/>
  <c r="AQ50" i="17"/>
  <c r="AR50" i="17"/>
  <c r="AS50" i="17"/>
  <c r="GQ50" i="17" s="1"/>
  <c r="AN18" i="17"/>
  <c r="AP18" i="17"/>
  <c r="AO18" i="17"/>
  <c r="GH331" i="17"/>
  <c r="GK331" i="17"/>
  <c r="GG319" i="17"/>
  <c r="FS317" i="17"/>
  <c r="GI273" i="17"/>
  <c r="FS273" i="17"/>
  <c r="FW268" i="17"/>
  <c r="GI199" i="17"/>
  <c r="FX199" i="17"/>
  <c r="GI182" i="17"/>
  <c r="GB182" i="17"/>
  <c r="AK294" i="17"/>
  <c r="AL294" i="17"/>
  <c r="AN294" i="17"/>
  <c r="AO294" i="17"/>
  <c r="AP294" i="17"/>
  <c r="AQ294" i="17"/>
  <c r="AK316" i="17"/>
  <c r="AM316" i="17"/>
  <c r="AN316" i="17"/>
  <c r="AS288" i="17"/>
  <c r="GQ288" i="17" s="1"/>
  <c r="AT288" i="17"/>
  <c r="AN288" i="17"/>
  <c r="AO288" i="17"/>
  <c r="AP288" i="17"/>
  <c r="AR288" i="17"/>
  <c r="AL257" i="17"/>
  <c r="AM257" i="17"/>
  <c r="AN257" i="17"/>
  <c r="AK257" i="17"/>
  <c r="AO257" i="17"/>
  <c r="AS257" i="17"/>
  <c r="GQ257" i="17" s="1"/>
  <c r="AM229" i="17"/>
  <c r="AN229" i="17"/>
  <c r="AO229" i="17"/>
  <c r="AQ229" i="17"/>
  <c r="AR229" i="17"/>
  <c r="AS229" i="17"/>
  <c r="GQ229" i="17" s="1"/>
  <c r="AU229" i="17"/>
  <c r="AK213" i="17"/>
  <c r="AL213" i="17"/>
  <c r="AK197" i="17"/>
  <c r="AL197" i="17"/>
  <c r="AM197" i="17"/>
  <c r="AN197" i="17"/>
  <c r="AO197" i="17"/>
  <c r="AP197" i="17"/>
  <c r="AQ197" i="17"/>
  <c r="AT180" i="17"/>
  <c r="AU180" i="17"/>
  <c r="AS180" i="17"/>
  <c r="AS154" i="17"/>
  <c r="GQ154" i="17" s="1"/>
  <c r="AT154" i="17"/>
  <c r="AK154" i="17"/>
  <c r="AK138" i="17"/>
  <c r="AL138" i="17"/>
  <c r="AT138" i="17"/>
  <c r="AU138" i="17"/>
  <c r="AQ122" i="17"/>
  <c r="AR122" i="17"/>
  <c r="AS122" i="17"/>
  <c r="GQ122" i="17" s="1"/>
  <c r="AK122" i="17"/>
  <c r="AL122" i="17"/>
  <c r="AM122" i="17"/>
  <c r="AN122" i="17"/>
  <c r="AK104" i="17"/>
  <c r="AL104" i="17"/>
  <c r="AM104" i="17"/>
  <c r="AU104" i="17"/>
  <c r="AN104" i="17"/>
  <c r="AO104" i="17"/>
  <c r="AT104" i="17"/>
  <c r="AP104" i="17"/>
  <c r="AK65" i="17"/>
  <c r="AP65" i="17"/>
  <c r="AQ65" i="17"/>
  <c r="AR65" i="17"/>
  <c r="AN65" i="17"/>
  <c r="AO65" i="17"/>
  <c r="AS65" i="17"/>
  <c r="GQ65" i="17" s="1"/>
  <c r="AT65" i="17"/>
  <c r="AS33" i="17"/>
  <c r="GQ33" i="17" s="1"/>
  <c r="AT33" i="17"/>
  <c r="AL33" i="17"/>
  <c r="AM33" i="17"/>
  <c r="AN33" i="17"/>
  <c r="AS17" i="17"/>
  <c r="AT17" i="17"/>
  <c r="FU304" i="17"/>
  <c r="GC322" i="17"/>
  <c r="FU320" i="17"/>
  <c r="GB203" i="17"/>
  <c r="FZ203" i="17"/>
  <c r="GG180" i="17"/>
  <c r="GD180" i="17"/>
  <c r="FT157" i="17"/>
  <c r="FO154" i="17"/>
  <c r="GE154" i="17"/>
  <c r="FR152" i="17"/>
  <c r="GH152" i="17"/>
  <c r="FX128" i="17"/>
  <c r="GB128" i="17"/>
  <c r="GA127" i="17"/>
  <c r="GA54" i="17"/>
  <c r="FO49" i="17"/>
  <c r="GF49" i="17"/>
  <c r="GE49" i="17"/>
  <c r="GI48" i="17"/>
  <c r="FZ48" i="17"/>
  <c r="FR47" i="17"/>
  <c r="GI47" i="17"/>
  <c r="FP43" i="17"/>
  <c r="FQ43" i="17"/>
  <c r="GM43" i="17"/>
  <c r="GN31" i="17"/>
  <c r="FR31" i="17"/>
  <c r="GJ30" i="17"/>
  <c r="GK30" i="17"/>
  <c r="FW23" i="17"/>
  <c r="FT4" i="17"/>
  <c r="AR174" i="17"/>
  <c r="AU174" i="17"/>
  <c r="AK174" i="17"/>
  <c r="AL174" i="17"/>
  <c r="AM174" i="17"/>
  <c r="AQ174" i="17"/>
  <c r="AS174" i="17"/>
  <c r="AT174" i="17"/>
  <c r="AU330" i="17"/>
  <c r="AN330" i="17"/>
  <c r="AN303" i="17"/>
  <c r="AM303" i="17"/>
  <c r="AO303" i="17"/>
  <c r="AL286" i="17"/>
  <c r="AN286" i="17"/>
  <c r="AO286" i="17"/>
  <c r="AP286" i="17"/>
  <c r="AN270" i="17"/>
  <c r="AO270" i="17"/>
  <c r="AK270" i="17"/>
  <c r="AL270" i="17"/>
  <c r="AM270" i="17"/>
  <c r="AR255" i="17"/>
  <c r="AS255" i="17"/>
  <c r="GQ255" i="17" s="1"/>
  <c r="AT255" i="17"/>
  <c r="AO227" i="17"/>
  <c r="AP227" i="17"/>
  <c r="AT227" i="17"/>
  <c r="AU227" i="17"/>
  <c r="AK227" i="17"/>
  <c r="AP195" i="17"/>
  <c r="AQ195" i="17"/>
  <c r="AR195" i="17"/>
  <c r="AO195" i="17"/>
  <c r="AS195" i="17"/>
  <c r="GQ195" i="17" s="1"/>
  <c r="AM168" i="17"/>
  <c r="AL168" i="17"/>
  <c r="AN168" i="17"/>
  <c r="AP152" i="17"/>
  <c r="AQ152" i="17"/>
  <c r="AR152" i="17"/>
  <c r="AK136" i="17"/>
  <c r="AL136" i="17"/>
  <c r="AM136" i="17"/>
  <c r="AS136" i="17"/>
  <c r="GQ136" i="17" s="1"/>
  <c r="AT136" i="17"/>
  <c r="AO120" i="17"/>
  <c r="AP120" i="17"/>
  <c r="AQ120" i="17"/>
  <c r="AT102" i="17"/>
  <c r="AU102" i="17"/>
  <c r="AO102" i="17"/>
  <c r="AP102" i="17"/>
  <c r="AQ102" i="17"/>
  <c r="AU47" i="17"/>
  <c r="AK47" i="17"/>
  <c r="AL47" i="17"/>
  <c r="AS47" i="17"/>
  <c r="GQ47" i="17" s="1"/>
  <c r="AT47" i="17"/>
  <c r="AM47" i="17"/>
  <c r="AN31" i="17"/>
  <c r="AO31" i="17"/>
  <c r="AP31" i="17"/>
  <c r="AR15" i="17"/>
  <c r="AS15" i="17"/>
  <c r="GQ15" i="17" s="1"/>
  <c r="AT15" i="17"/>
  <c r="AT31" i="17"/>
  <c r="AU63" i="17"/>
  <c r="AK120" i="17"/>
  <c r="AO168" i="17"/>
  <c r="AU211" i="17"/>
  <c r="AK255" i="17"/>
  <c r="AS286" i="17"/>
  <c r="GQ286" i="17" s="1"/>
  <c r="AN302" i="17"/>
  <c r="AO302" i="17"/>
  <c r="AO285" i="17"/>
  <c r="AT285" i="17"/>
  <c r="AP285" i="17"/>
  <c r="AL285" i="17"/>
  <c r="AM285" i="17"/>
  <c r="AN285" i="17"/>
  <c r="AR269" i="17"/>
  <c r="AT269" i="17"/>
  <c r="AU269" i="17"/>
  <c r="AK254" i="17"/>
  <c r="AL254" i="17"/>
  <c r="AM254" i="17"/>
  <c r="AM226" i="17"/>
  <c r="AN226" i="17"/>
  <c r="AO226" i="17"/>
  <c r="AK226" i="17"/>
  <c r="AR226" i="17"/>
  <c r="AS226" i="17"/>
  <c r="GQ226" i="17" s="1"/>
  <c r="AQ210" i="17"/>
  <c r="AR210" i="17"/>
  <c r="AS210" i="17"/>
  <c r="GQ210" i="17" s="1"/>
  <c r="AT194" i="17"/>
  <c r="AO194" i="17"/>
  <c r="AP194" i="17"/>
  <c r="AQ194" i="17"/>
  <c r="AK167" i="17"/>
  <c r="AL167" i="17"/>
  <c r="AM151" i="17"/>
  <c r="AN151" i="17"/>
  <c r="AP151" i="17"/>
  <c r="AR151" i="17"/>
  <c r="AK151" i="17"/>
  <c r="AO151" i="17"/>
  <c r="AN135" i="17"/>
  <c r="AO135" i="17"/>
  <c r="AQ135" i="17"/>
  <c r="AM135" i="17"/>
  <c r="AP135" i="17"/>
  <c r="AS101" i="17"/>
  <c r="GQ101" i="17" s="1"/>
  <c r="AT101" i="17"/>
  <c r="AL101" i="17"/>
  <c r="AM101" i="17"/>
  <c r="AN101" i="17"/>
  <c r="AR62" i="17"/>
  <c r="AS62" i="17"/>
  <c r="GQ62" i="17" s="1"/>
  <c r="AK46" i="17"/>
  <c r="AL46" i="17"/>
  <c r="AN46" i="17"/>
  <c r="AO46" i="17"/>
  <c r="AP46" i="17"/>
  <c r="AK29" i="17"/>
  <c r="AT29" i="17"/>
  <c r="AU29" i="17"/>
  <c r="AO14" i="17"/>
  <c r="AP14" i="17"/>
  <c r="AQ14" i="17"/>
  <c r="GL138" i="17"/>
  <c r="FW138" i="17"/>
  <c r="GH111" i="17"/>
  <c r="FO95" i="17"/>
  <c r="GH93" i="17"/>
  <c r="GC43" i="17"/>
  <c r="FU41" i="17"/>
  <c r="GF37" i="17"/>
  <c r="GF21" i="17"/>
  <c r="AT63" i="17"/>
  <c r="AU136" i="17"/>
  <c r="AK168" i="17"/>
  <c r="AT211" i="17"/>
  <c r="AU255" i="17"/>
  <c r="AR286" i="17"/>
  <c r="AT284" i="17"/>
  <c r="AN284" i="17"/>
  <c r="AK284" i="17"/>
  <c r="AL284" i="17"/>
  <c r="AK268" i="17"/>
  <c r="AN268" i="17"/>
  <c r="AO268" i="17"/>
  <c r="AS268" i="17"/>
  <c r="GQ268" i="17" s="1"/>
  <c r="AR268" i="17"/>
  <c r="AN253" i="17"/>
  <c r="AT253" i="17"/>
  <c r="AP253" i="17"/>
  <c r="AR225" i="17"/>
  <c r="AP225" i="17"/>
  <c r="AM225" i="17"/>
  <c r="AN225" i="17"/>
  <c r="AK193" i="17"/>
  <c r="AL193" i="17"/>
  <c r="AM193" i="17"/>
  <c r="AS193" i="17"/>
  <c r="GQ193" i="17" s="1"/>
  <c r="AT193" i="17"/>
  <c r="AU193" i="17"/>
  <c r="AR166" i="17"/>
  <c r="AT166" i="17"/>
  <c r="AU166" i="17"/>
  <c r="AM150" i="17"/>
  <c r="AS150" i="17"/>
  <c r="GQ150" i="17" s="1"/>
  <c r="AN134" i="17"/>
  <c r="AO134" i="17"/>
  <c r="AP134" i="17"/>
  <c r="AT134" i="17"/>
  <c r="AU134" i="17"/>
  <c r="AR118" i="17"/>
  <c r="AS118" i="17"/>
  <c r="GQ118" i="17" s="1"/>
  <c r="AU100" i="17"/>
  <c r="AL100" i="17"/>
  <c r="AK100" i="17"/>
  <c r="AO100" i="17"/>
  <c r="AP100" i="17"/>
  <c r="AQ100" i="17"/>
  <c r="AT61" i="17"/>
  <c r="AU61" i="17"/>
  <c r="AL45" i="17"/>
  <c r="AM45" i="17"/>
  <c r="AN45" i="17"/>
  <c r="AM28" i="17"/>
  <c r="AN28" i="17"/>
  <c r="AO28" i="17"/>
  <c r="AL28" i="17"/>
  <c r="AP28" i="17"/>
  <c r="AQ28" i="17"/>
  <c r="AT13" i="17"/>
  <c r="AU13" i="17"/>
  <c r="GG233" i="17"/>
  <c r="GI215" i="17"/>
  <c r="GC116" i="17"/>
  <c r="GF92" i="17"/>
  <c r="GN54" i="17"/>
  <c r="FQ31" i="17"/>
  <c r="FQ18" i="17"/>
  <c r="FY10" i="17"/>
  <c r="GA10" i="17"/>
  <c r="AK176" i="17"/>
  <c r="AL176" i="17"/>
  <c r="AM176" i="17"/>
  <c r="AS176" i="17"/>
  <c r="AU176" i="17"/>
  <c r="AT176" i="17"/>
  <c r="AS31" i="17"/>
  <c r="GQ31" i="17" s="1"/>
  <c r="AS63" i="17"/>
  <c r="AR136" i="17"/>
  <c r="AU168" i="17"/>
  <c r="AS211" i="17"/>
  <c r="AQ255" i="17"/>
  <c r="AQ286" i="17"/>
  <c r="AL300" i="17"/>
  <c r="AP300" i="17"/>
  <c r="AQ300" i="17"/>
  <c r="AO283" i="17"/>
  <c r="AP283" i="17"/>
  <c r="AQ283" i="17"/>
  <c r="AT189" i="17"/>
  <c r="AU189" i="17"/>
  <c r="AR189" i="17"/>
  <c r="AS189" i="17"/>
  <c r="GQ189" i="17" s="1"/>
  <c r="AK189" i="17"/>
  <c r="AO252" i="17"/>
  <c r="AP252" i="17"/>
  <c r="AN224" i="17"/>
  <c r="AR224" i="17"/>
  <c r="AS224" i="17"/>
  <c r="GQ224" i="17" s="1"/>
  <c r="AP208" i="17"/>
  <c r="AQ208" i="17"/>
  <c r="AR208" i="17"/>
  <c r="AK208" i="17"/>
  <c r="AL208" i="17"/>
  <c r="AM208" i="17"/>
  <c r="AT192" i="17"/>
  <c r="AU192" i="17"/>
  <c r="AK192" i="17"/>
  <c r="AP165" i="17"/>
  <c r="AU165" i="17"/>
  <c r="AK165" i="17"/>
  <c r="AL165" i="17"/>
  <c r="AN149" i="17"/>
  <c r="AQ149" i="17"/>
  <c r="AN133" i="17"/>
  <c r="AO133" i="17"/>
  <c r="AP133" i="17"/>
  <c r="AK133" i="17"/>
  <c r="AL133" i="17"/>
  <c r="AM133" i="17"/>
  <c r="AR117" i="17"/>
  <c r="AS117" i="17"/>
  <c r="GQ117" i="17" s="1"/>
  <c r="AT117" i="17"/>
  <c r="AU117" i="17"/>
  <c r="AS60" i="17"/>
  <c r="GQ60" i="17" s="1"/>
  <c r="AT60" i="17"/>
  <c r="AM60" i="17"/>
  <c r="AN60" i="17"/>
  <c r="AO60" i="17"/>
  <c r="AK44" i="17"/>
  <c r="AL44" i="17"/>
  <c r="AM44" i="17"/>
  <c r="AT30" i="17"/>
  <c r="AU30" i="17"/>
  <c r="AL30" i="17"/>
  <c r="AN30" i="17"/>
  <c r="AO30" i="17"/>
  <c r="AP30" i="17"/>
  <c r="AP12" i="17"/>
  <c r="AQ12" i="17"/>
  <c r="AR12" i="17"/>
  <c r="FP47" i="17"/>
  <c r="FP15" i="17"/>
  <c r="AM175" i="17"/>
  <c r="AN175" i="17"/>
  <c r="AP175" i="17"/>
  <c r="AO175" i="17"/>
  <c r="AR175" i="17"/>
  <c r="AL175" i="17"/>
  <c r="AQ175" i="17"/>
  <c r="AU307" i="17"/>
  <c r="AK307" i="17"/>
  <c r="AL307" i="17"/>
  <c r="AP307" i="17"/>
  <c r="AM307" i="17"/>
  <c r="AK306" i="17"/>
  <c r="AM306" i="17"/>
  <c r="AN306" i="17"/>
  <c r="AO306" i="17"/>
  <c r="AR306" i="17"/>
  <c r="AL306" i="17"/>
  <c r="AS75" i="17"/>
  <c r="GQ75" i="17" s="1"/>
  <c r="AN75" i="17"/>
  <c r="AP75" i="17"/>
  <c r="AK75" i="17"/>
  <c r="AO75" i="17"/>
  <c r="AR75" i="17"/>
  <c r="AM75" i="17"/>
  <c r="AQ75" i="17"/>
  <c r="AT75" i="17"/>
  <c r="GY335" i="17"/>
  <c r="IA335" i="17" s="1"/>
  <c r="GW335" i="17"/>
  <c r="HY335" i="17" s="1"/>
  <c r="GR335" i="17"/>
  <c r="HT335" i="17" s="1"/>
  <c r="HR335" i="17"/>
  <c r="IT335" i="17" s="1"/>
  <c r="GU335" i="17"/>
  <c r="HW335" i="17" s="1"/>
  <c r="HJ335" i="17"/>
  <c r="IL335" i="17" s="1"/>
  <c r="HL335" i="17"/>
  <c r="IN335" i="17" s="1"/>
  <c r="GS335" i="17"/>
  <c r="HU335" i="17" s="1"/>
  <c r="HE335" i="17"/>
  <c r="IG335" i="17" s="1"/>
  <c r="AS84" i="17"/>
  <c r="GQ84" i="17" s="1"/>
  <c r="AQ84" i="17"/>
  <c r="AP84" i="17"/>
  <c r="AU84" i="17"/>
  <c r="AT84" i="17"/>
  <c r="AL84" i="17"/>
  <c r="AR84" i="17"/>
  <c r="AN84" i="17"/>
  <c r="AK84" i="17"/>
  <c r="FR90" i="17"/>
  <c r="FS90" i="17"/>
  <c r="GH90" i="17"/>
  <c r="GN89" i="17"/>
  <c r="FP89" i="17"/>
  <c r="GO89" i="17"/>
  <c r="GG89" i="17"/>
  <c r="GF106" i="17"/>
  <c r="GP106" i="17"/>
  <c r="FQ105" i="17"/>
  <c r="GM105" i="17"/>
  <c r="GD337" i="17"/>
  <c r="GF337" i="17"/>
  <c r="GE337" i="17"/>
  <c r="GG337" i="17"/>
  <c r="FO337" i="17"/>
  <c r="FT86" i="17"/>
  <c r="GM86" i="17"/>
  <c r="GB336" i="17"/>
  <c r="FX336" i="17"/>
  <c r="FZ336" i="17"/>
  <c r="GL178" i="17"/>
  <c r="FW178" i="17"/>
  <c r="FV178" i="17"/>
  <c r="GI84" i="17"/>
  <c r="FX84" i="17"/>
  <c r="FV84" i="17"/>
  <c r="FZ84" i="17"/>
  <c r="GI335" i="17"/>
  <c r="GK335" i="17"/>
  <c r="GJ335" i="17"/>
  <c r="FS335" i="17"/>
  <c r="GH335" i="17"/>
  <c r="FR335" i="17"/>
  <c r="FP79" i="17"/>
  <c r="GN79" i="17"/>
  <c r="GG79" i="17"/>
  <c r="FS78" i="17"/>
  <c r="FU78" i="17"/>
  <c r="GF77" i="17"/>
  <c r="GP77" i="17"/>
  <c r="FQ75" i="17"/>
  <c r="GD75" i="17"/>
  <c r="GM75" i="17"/>
  <c r="FP75" i="17"/>
  <c r="FO74" i="17"/>
  <c r="GD74" i="17"/>
  <c r="GF74" i="17"/>
  <c r="GE74" i="17"/>
  <c r="GB334" i="17"/>
  <c r="FZ334" i="17"/>
  <c r="FV314" i="17"/>
  <c r="FW314" i="17"/>
  <c r="GA311" i="17"/>
  <c r="FY311" i="17"/>
  <c r="GN71" i="17"/>
  <c r="FR71" i="17"/>
  <c r="FS71" i="17"/>
  <c r="GJ71" i="17"/>
  <c r="GI71" i="17"/>
  <c r="GK71" i="17"/>
  <c r="FU70" i="17"/>
  <c r="FP70" i="17"/>
  <c r="GO70" i="17"/>
  <c r="FQ242" i="17"/>
  <c r="GM242" i="17"/>
  <c r="FP242" i="17"/>
  <c r="GF241" i="17"/>
  <c r="GE241" i="17"/>
  <c r="FO241" i="17"/>
  <c r="FX240" i="17"/>
  <c r="FZ240" i="17"/>
  <c r="GB240" i="17"/>
  <c r="GC240" i="17"/>
  <c r="FT240" i="17"/>
  <c r="FW239" i="17"/>
  <c r="FV239" i="17"/>
  <c r="GB309" i="17"/>
  <c r="GI309" i="17"/>
  <c r="FX309" i="17"/>
  <c r="FZ309" i="17"/>
  <c r="GC105" i="17"/>
  <c r="FU237" i="17"/>
  <c r="FS237" i="17"/>
  <c r="GN90" i="17"/>
  <c r="GG90" i="17"/>
  <c r="FP90" i="17"/>
  <c r="GO90" i="17"/>
  <c r="FU89" i="17"/>
  <c r="GP88" i="17"/>
  <c r="GO106" i="17"/>
  <c r="FO106" i="17"/>
  <c r="FQ87" i="17"/>
  <c r="FP87" i="17"/>
  <c r="GM87" i="17"/>
  <c r="FX105" i="17"/>
  <c r="FZ105" i="17"/>
  <c r="GD105" i="17"/>
  <c r="GE105" i="17"/>
  <c r="GB86" i="17"/>
  <c r="FX86" i="17"/>
  <c r="FV336" i="17"/>
  <c r="GL336" i="17"/>
  <c r="GB85" i="17"/>
  <c r="FZ85" i="17"/>
  <c r="GI85" i="17"/>
  <c r="FY83" i="17"/>
  <c r="GA83" i="17"/>
  <c r="FR80" i="17"/>
  <c r="GJ80" i="17"/>
  <c r="FS80" i="17"/>
  <c r="GH80" i="17"/>
  <c r="FP335" i="17"/>
  <c r="GN335" i="17"/>
  <c r="GO335" i="17"/>
  <c r="FU79" i="17"/>
  <c r="FW334" i="17"/>
  <c r="GK244" i="17"/>
  <c r="GF3" i="17"/>
  <c r="FO3" i="17"/>
  <c r="GE3" i="17"/>
  <c r="GG3" i="17"/>
  <c r="GD3" i="17"/>
  <c r="FT2" i="17"/>
  <c r="GM2" i="17"/>
  <c r="HM335" i="17"/>
  <c r="IO335" i="17" s="1"/>
  <c r="GO237" i="17"/>
  <c r="FR237" i="17"/>
  <c r="GN237" i="17"/>
  <c r="FQ106" i="17"/>
  <c r="FP106" i="17"/>
  <c r="GM106" i="17"/>
  <c r="FZ87" i="17"/>
  <c r="FX87" i="17"/>
  <c r="FO87" i="17"/>
  <c r="GE87" i="17"/>
  <c r="GF87" i="17"/>
  <c r="FX337" i="17"/>
  <c r="GL86" i="17"/>
  <c r="FV86" i="17"/>
  <c r="FW86" i="17"/>
  <c r="GA84" i="17"/>
  <c r="FY84" i="17"/>
  <c r="FS81" i="17"/>
  <c r="GK81" i="17"/>
  <c r="GN81" i="17"/>
  <c r="FR81" i="17"/>
  <c r="GN80" i="17"/>
  <c r="FU80" i="17"/>
  <c r="FP80" i="17"/>
  <c r="GO80" i="17"/>
  <c r="FO78" i="17"/>
  <c r="FQ78" i="17"/>
  <c r="GM77" i="17"/>
  <c r="GD77" i="17"/>
  <c r="FQ77" i="17"/>
  <c r="FP77" i="17"/>
  <c r="FX76" i="17"/>
  <c r="FZ76" i="17"/>
  <c r="GE76" i="17"/>
  <c r="FO76" i="17"/>
  <c r="GG76" i="17"/>
  <c r="GF76" i="17"/>
  <c r="FT75" i="17"/>
  <c r="GE75" i="17"/>
  <c r="GC75" i="17"/>
  <c r="FZ74" i="17"/>
  <c r="FT74" i="17"/>
  <c r="GC74" i="17"/>
  <c r="GA312" i="17"/>
  <c r="FY312" i="17"/>
  <c r="GH312" i="17"/>
  <c r="GN72" i="17"/>
  <c r="FR72" i="17"/>
  <c r="GJ72" i="17"/>
  <c r="GH72" i="17"/>
  <c r="GI72" i="17"/>
  <c r="GK72" i="17"/>
  <c r="FR244" i="17"/>
  <c r="FU244" i="17"/>
  <c r="GN244" i="17"/>
  <c r="GG244" i="17"/>
  <c r="GO244" i="17"/>
  <c r="GP70" i="17"/>
  <c r="GF70" i="17"/>
  <c r="FQ243" i="17"/>
  <c r="FO243" i="17"/>
  <c r="FP310" i="17"/>
  <c r="GD310" i="17"/>
  <c r="GM310" i="17"/>
  <c r="GE69" i="17"/>
  <c r="GF69" i="17"/>
  <c r="GD69" i="17"/>
  <c r="FT242" i="17"/>
  <c r="GE242" i="17"/>
  <c r="FX241" i="17"/>
  <c r="FZ241" i="17"/>
  <c r="GB241" i="17"/>
  <c r="FW308" i="17"/>
  <c r="FV308" i="17"/>
  <c r="GI239" i="17"/>
  <c r="FX239" i="17"/>
  <c r="AR81" i="17"/>
  <c r="AK81" i="17"/>
  <c r="AN81" i="17"/>
  <c r="AL81" i="17"/>
  <c r="AP81" i="17"/>
  <c r="AM81" i="17"/>
  <c r="GI89" i="17"/>
  <c r="GH89" i="17"/>
  <c r="GJ89" i="17"/>
  <c r="FR89" i="17"/>
  <c r="FP88" i="17"/>
  <c r="GN88" i="17"/>
  <c r="GG88" i="17"/>
  <c r="GF86" i="17"/>
  <c r="GD86" i="17"/>
  <c r="FO86" i="17"/>
  <c r="FT336" i="17"/>
  <c r="FZ178" i="17"/>
  <c r="FV85" i="17"/>
  <c r="FW85" i="17"/>
  <c r="FY81" i="17"/>
  <c r="GA80" i="17"/>
  <c r="FY80" i="17"/>
  <c r="GK79" i="17"/>
  <c r="FR79" i="17"/>
  <c r="GJ79" i="17"/>
  <c r="GI79" i="17"/>
  <c r="FS79" i="17"/>
  <c r="GO78" i="17"/>
  <c r="FP78" i="17"/>
  <c r="FR78" i="17"/>
  <c r="GN78" i="17"/>
  <c r="GP76" i="17"/>
  <c r="GM74" i="17"/>
  <c r="FQ74" i="17"/>
  <c r="FP74" i="17"/>
  <c r="GD73" i="17"/>
  <c r="GF73" i="17"/>
  <c r="GE334" i="17"/>
  <c r="GM334" i="17"/>
  <c r="FX314" i="17"/>
  <c r="FZ314" i="17"/>
  <c r="FW245" i="17"/>
  <c r="GL245" i="17"/>
  <c r="FX312" i="17"/>
  <c r="GB312" i="17"/>
  <c r="FV312" i="17"/>
  <c r="FZ312" i="17"/>
  <c r="FY72" i="17"/>
  <c r="GA72" i="17"/>
  <c r="GA244" i="17"/>
  <c r="GH244" i="17"/>
  <c r="GI70" i="17"/>
  <c r="FR70" i="17"/>
  <c r="GH70" i="17"/>
  <c r="GO243" i="17"/>
  <c r="FU310" i="17"/>
  <c r="FS310" i="17"/>
  <c r="GP242" i="17"/>
  <c r="GO242" i="17"/>
  <c r="FO308" i="17"/>
  <c r="GD308" i="17"/>
  <c r="GG308" i="17"/>
  <c r="GF308" i="17"/>
  <c r="GM240" i="17"/>
  <c r="GE240" i="17"/>
  <c r="GB239" i="17"/>
  <c r="FW238" i="17"/>
  <c r="FV238" i="17"/>
  <c r="AS234" i="17"/>
  <c r="GB178" i="17"/>
  <c r="FS89" i="17"/>
  <c r="FP337" i="17"/>
  <c r="FT3" i="17"/>
  <c r="GM3" i="17"/>
  <c r="FZ2" i="17"/>
  <c r="FX2" i="17"/>
  <c r="AR234" i="17"/>
  <c r="FR243" i="17"/>
  <c r="GH79" i="17"/>
  <c r="FO242" i="17"/>
  <c r="GN243" i="17"/>
  <c r="FP243" i="17"/>
  <c r="GL85" i="17"/>
  <c r="GB3" i="17"/>
  <c r="FZ3" i="17"/>
  <c r="GC3" i="17"/>
  <c r="GL2" i="17"/>
  <c r="FW3" i="17"/>
  <c r="GL3" i="17"/>
  <c r="FV3" i="17"/>
  <c r="AT237" i="17"/>
  <c r="AL237" i="17"/>
  <c r="AO237" i="17"/>
  <c r="AP237" i="17"/>
  <c r="AQ237" i="17"/>
  <c r="AR237" i="17"/>
  <c r="AS237" i="17"/>
  <c r="GQ237" i="17" s="1"/>
  <c r="AU237" i="17"/>
  <c r="AK237" i="17"/>
  <c r="FT90" i="17"/>
  <c r="GC90" i="17"/>
  <c r="AM312" i="17"/>
  <c r="AL312" i="17"/>
  <c r="AK312" i="17"/>
  <c r="AR312" i="17"/>
  <c r="AU312" i="17"/>
  <c r="AS312" i="17"/>
  <c r="GQ312" i="17" s="1"/>
  <c r="AO312" i="17"/>
  <c r="AN312" i="17"/>
  <c r="AQ312" i="17"/>
  <c r="AP312" i="17"/>
  <c r="AT312" i="17"/>
  <c r="AQ86" i="17"/>
  <c r="AP86" i="17"/>
  <c r="AT86" i="17"/>
  <c r="AO86" i="17"/>
  <c r="AN86" i="17"/>
  <c r="AU86" i="17"/>
  <c r="AM86" i="17"/>
  <c r="AK86" i="17"/>
  <c r="AS86" i="17"/>
  <c r="GQ86" i="17" s="1"/>
  <c r="AL86" i="17"/>
  <c r="AR86" i="17"/>
  <c r="AM78" i="17"/>
  <c r="AK78" i="17"/>
  <c r="AO78" i="17"/>
  <c r="AS78" i="17"/>
  <c r="GQ78" i="17" s="1"/>
  <c r="AL311" i="17"/>
  <c r="AR311" i="17"/>
  <c r="AO311" i="17"/>
  <c r="AN311" i="17"/>
  <c r="AU311" i="17"/>
  <c r="AP311" i="17"/>
  <c r="AL241" i="17"/>
  <c r="AQ241" i="17"/>
  <c r="AP241" i="17"/>
  <c r="AU241" i="17"/>
  <c r="FR86" i="17"/>
  <c r="GO86" i="17"/>
  <c r="FR74" i="17"/>
  <c r="GI74" i="17"/>
  <c r="GF312" i="17"/>
  <c r="GG312" i="17"/>
  <c r="GK241" i="17"/>
  <c r="GJ241" i="17"/>
  <c r="FP309" i="17"/>
  <c r="FQ309" i="17"/>
  <c r="AS336" i="17"/>
  <c r="GQ336" i="17" s="1"/>
  <c r="AQ336" i="17"/>
  <c r="AO336" i="17"/>
  <c r="AM336" i="17"/>
  <c r="AK336" i="17"/>
  <c r="GJ337" i="17"/>
  <c r="GN86" i="17"/>
  <c r="FR105" i="17"/>
  <c r="FS105" i="17"/>
  <c r="GH105" i="17"/>
  <c r="GK105" i="17"/>
  <c r="GN337" i="17"/>
  <c r="GP336" i="17"/>
  <c r="GF336" i="17"/>
  <c r="GD84" i="17"/>
  <c r="FO84" i="17"/>
  <c r="FZ82" i="17"/>
  <c r="FX82" i="17"/>
  <c r="FY78" i="17"/>
  <c r="GD313" i="17"/>
  <c r="FX71" i="17"/>
  <c r="GB71" i="17"/>
  <c r="GN241" i="17"/>
  <c r="FU308" i="17"/>
  <c r="AQ72" i="17"/>
  <c r="AP72" i="17"/>
  <c r="AR72" i="17"/>
  <c r="AU72" i="17"/>
  <c r="AS72" i="17"/>
  <c r="GQ72" i="17" s="1"/>
  <c r="AU308" i="17"/>
  <c r="AR308" i="17"/>
  <c r="AL308" i="17"/>
  <c r="AN308" i="17"/>
  <c r="AQ308" i="17"/>
  <c r="FT237" i="17"/>
  <c r="GA89" i="17"/>
  <c r="FY89" i="17"/>
  <c r="GK87" i="17"/>
  <c r="FR87" i="17"/>
  <c r="GN105" i="17"/>
  <c r="GO105" i="17"/>
  <c r="FU337" i="17"/>
  <c r="GM178" i="17"/>
  <c r="FP178" i="17"/>
  <c r="FX85" i="17"/>
  <c r="GB83" i="17"/>
  <c r="GL82" i="17"/>
  <c r="GK76" i="17"/>
  <c r="FS76" i="17"/>
  <c r="GN75" i="17"/>
  <c r="GO75" i="17"/>
  <c r="FU74" i="17"/>
  <c r="FQ314" i="17"/>
  <c r="FO245" i="17"/>
  <c r="GC312" i="17"/>
  <c r="GH69" i="17"/>
  <c r="GK69" i="17"/>
  <c r="FS69" i="17"/>
  <c r="FU241" i="17"/>
  <c r="GP308" i="17"/>
  <c r="AS240" i="17"/>
  <c r="GQ240" i="17" s="1"/>
  <c r="AP240" i="17"/>
  <c r="AK240" i="17"/>
  <c r="AU240" i="17"/>
  <c r="AO240" i="17"/>
  <c r="AN240" i="17"/>
  <c r="AQ240" i="17"/>
  <c r="FY3" i="17"/>
  <c r="GG237" i="17"/>
  <c r="FO237" i="17"/>
  <c r="FY90" i="17"/>
  <c r="GA90" i="17"/>
  <c r="GI106" i="17"/>
  <c r="GK106" i="17"/>
  <c r="FU105" i="17"/>
  <c r="GD178" i="17"/>
  <c r="GG178" i="17"/>
  <c r="GB84" i="17"/>
  <c r="FP76" i="17"/>
  <c r="FU76" i="17"/>
  <c r="FQ334" i="17"/>
  <c r="GD334" i="17"/>
  <c r="GG314" i="17"/>
  <c r="GD314" i="17"/>
  <c r="GE314" i="17"/>
  <c r="FT245" i="17"/>
  <c r="GC245" i="17"/>
  <c r="GB313" i="17"/>
  <c r="GN69" i="17"/>
  <c r="AP76" i="17"/>
  <c r="AQ76" i="17"/>
  <c r="AT76" i="17"/>
  <c r="AO310" i="17"/>
  <c r="AN310" i="17"/>
  <c r="AT310" i="17"/>
  <c r="AS310" i="17"/>
  <c r="GQ310" i="17" s="1"/>
  <c r="AQ310" i="17"/>
  <c r="FX89" i="17"/>
  <c r="FW88" i="17"/>
  <c r="FV88" i="17"/>
  <c r="GK178" i="17"/>
  <c r="FR178" i="17"/>
  <c r="GI178" i="17"/>
  <c r="GB79" i="17"/>
  <c r="GI314" i="17"/>
  <c r="GJ314" i="17"/>
  <c r="FV243" i="17"/>
  <c r="FW243" i="17"/>
  <c r="GL243" i="17"/>
  <c r="AO69" i="17"/>
  <c r="AS69" i="17"/>
  <c r="GQ69" i="17" s="1"/>
  <c r="AM69" i="17"/>
  <c r="AL69" i="17"/>
  <c r="AP69" i="17"/>
  <c r="AX16" i="17"/>
  <c r="GB90" i="17"/>
  <c r="FW89" i="17"/>
  <c r="FV89" i="17"/>
  <c r="FX106" i="17"/>
  <c r="FV106" i="17"/>
  <c r="FS336" i="17"/>
  <c r="FU85" i="17"/>
  <c r="FP82" i="17"/>
  <c r="FQ82" i="17"/>
  <c r="GI334" i="17"/>
  <c r="FR334" i="17"/>
  <c r="GO314" i="17"/>
  <c r="GD72" i="17"/>
  <c r="GJ240" i="17"/>
  <c r="GO239" i="17"/>
  <c r="AR335" i="17"/>
  <c r="AP335" i="17"/>
  <c r="AL335" i="17"/>
  <c r="AT313" i="17"/>
  <c r="AS313" i="17"/>
  <c r="GQ313" i="17" s="1"/>
  <c r="AO313" i="17"/>
  <c r="AR313" i="17"/>
  <c r="AN79" i="17"/>
  <c r="AR79" i="17"/>
  <c r="AP79" i="17"/>
  <c r="AU79" i="17"/>
  <c r="AT79" i="17"/>
  <c r="AK79" i="17"/>
  <c r="GD2" i="17"/>
  <c r="FP2" i="17"/>
  <c r="FT88" i="17"/>
  <c r="FR3" i="17"/>
  <c r="GK3" i="17"/>
  <c r="GO2" i="17"/>
  <c r="FR2" i="17"/>
  <c r="GN2" i="17"/>
  <c r="GI312" i="17"/>
  <c r="FZ69" i="17"/>
  <c r="AR106" i="17"/>
  <c r="AO106" i="17"/>
  <c r="AU106" i="17"/>
  <c r="AN106" i="17"/>
  <c r="AO83" i="17"/>
  <c r="AK83" i="17"/>
  <c r="AU83" i="17"/>
  <c r="AU74" i="17"/>
  <c r="AT74" i="17"/>
  <c r="AM74" i="17"/>
  <c r="AT71" i="17"/>
  <c r="AO71" i="17"/>
  <c r="AR71" i="17"/>
  <c r="AM71" i="17"/>
  <c r="AL71" i="17"/>
  <c r="AQ71" i="17"/>
  <c r="FV87" i="17"/>
  <c r="FU82" i="17"/>
  <c r="GD79" i="17"/>
  <c r="GC243" i="17"/>
  <c r="FT243" i="17"/>
  <c r="AS87" i="17"/>
  <c r="GQ87" i="17" s="1"/>
  <c r="AP87" i="17"/>
  <c r="AT87" i="17"/>
  <c r="AN82" i="17"/>
  <c r="AU82" i="17"/>
  <c r="AT82" i="17"/>
  <c r="AM73" i="17"/>
  <c r="AL73" i="17"/>
  <c r="AK73" i="17"/>
  <c r="AN73" i="17"/>
  <c r="GN3" i="17"/>
  <c r="AN334" i="17"/>
  <c r="AQ334" i="17"/>
  <c r="AO334" i="17"/>
  <c r="AQ5" i="17"/>
  <c r="HN20" i="17" l="1"/>
  <c r="IP20" i="17" s="1"/>
  <c r="C8" i="25"/>
  <c r="GW218" i="17"/>
  <c r="HY218" i="17" s="1"/>
  <c r="HG317" i="17"/>
  <c r="II317" i="17" s="1"/>
  <c r="HQ37" i="17"/>
  <c r="IS37" i="17" s="1"/>
  <c r="GW260" i="17"/>
  <c r="HY260" i="17" s="1"/>
  <c r="HF187" i="17"/>
  <c r="IH187" i="17" s="1"/>
  <c r="GX187" i="17"/>
  <c r="HZ187" i="17" s="1"/>
  <c r="HN260" i="17"/>
  <c r="IP260" i="17" s="1"/>
  <c r="HD74" i="17"/>
  <c r="IF74" i="17" s="1"/>
  <c r="HA260" i="17"/>
  <c r="IC260" i="17" s="1"/>
  <c r="HE260" i="17"/>
  <c r="IG260" i="17" s="1"/>
  <c r="GY260" i="17"/>
  <c r="IA260" i="17" s="1"/>
  <c r="GZ260" i="17"/>
  <c r="IB260" i="17" s="1"/>
  <c r="HP260" i="17"/>
  <c r="IR260" i="17" s="1"/>
  <c r="HB260" i="17"/>
  <c r="ID260" i="17" s="1"/>
  <c r="HM115" i="17"/>
  <c r="IO115" i="17" s="1"/>
  <c r="HR260" i="17"/>
  <c r="IT260" i="17" s="1"/>
  <c r="HF260" i="17"/>
  <c r="IH260" i="17" s="1"/>
  <c r="GT260" i="17"/>
  <c r="HV260" i="17" s="1"/>
  <c r="HH260" i="17"/>
  <c r="IJ260" i="17" s="1"/>
  <c r="HI260" i="17"/>
  <c r="IK260" i="17" s="1"/>
  <c r="HH97" i="17"/>
  <c r="IJ97" i="17" s="1"/>
  <c r="GR260" i="17"/>
  <c r="HT260" i="17" s="1"/>
  <c r="HD260" i="17"/>
  <c r="IF260" i="17" s="1"/>
  <c r="HP66" i="17"/>
  <c r="IR66" i="17" s="1"/>
  <c r="GR66" i="17"/>
  <c r="HT66" i="17" s="1"/>
  <c r="HR139" i="17"/>
  <c r="IT139" i="17" s="1"/>
  <c r="AW170" i="26"/>
  <c r="AW180" i="26"/>
  <c r="D203" i="26"/>
  <c r="D234" i="26"/>
  <c r="AW203" i="26"/>
  <c r="AW53" i="26"/>
  <c r="D53" i="26"/>
  <c r="D228" i="26"/>
  <c r="D219" i="26"/>
  <c r="AW171" i="26"/>
  <c r="AW250" i="26"/>
  <c r="D241" i="26"/>
  <c r="AW187" i="26"/>
  <c r="D252" i="26"/>
  <c r="AW194" i="26"/>
  <c r="D179" i="26"/>
  <c r="D151" i="26"/>
  <c r="D45" i="26"/>
  <c r="D114" i="26"/>
  <c r="AW34" i="26"/>
  <c r="D171" i="26"/>
  <c r="D122" i="26"/>
  <c r="GR178" i="17"/>
  <c r="HT178" i="17" s="1"/>
  <c r="HO178" i="17"/>
  <c r="IQ178" i="17" s="1"/>
  <c r="HL178" i="17"/>
  <c r="IN178" i="17" s="1"/>
  <c r="HF178" i="17"/>
  <c r="IH178" i="17" s="1"/>
  <c r="GU178" i="17"/>
  <c r="HW178" i="17" s="1"/>
  <c r="HE178" i="17"/>
  <c r="IG178" i="17" s="1"/>
  <c r="HI178" i="17"/>
  <c r="IK178" i="17" s="1"/>
  <c r="GV178" i="17"/>
  <c r="HX178" i="17" s="1"/>
  <c r="GY178" i="17"/>
  <c r="IA178" i="17" s="1"/>
  <c r="GX178" i="17"/>
  <c r="HZ178" i="17" s="1"/>
  <c r="HK178" i="17"/>
  <c r="IM178" i="17" s="1"/>
  <c r="HH178" i="17"/>
  <c r="IJ178" i="17" s="1"/>
  <c r="HJ178" i="17"/>
  <c r="IL178" i="17" s="1"/>
  <c r="HD178" i="17"/>
  <c r="IF178" i="17" s="1"/>
  <c r="GT178" i="17"/>
  <c r="HV178" i="17" s="1"/>
  <c r="GZ178" i="17"/>
  <c r="IB178" i="17" s="1"/>
  <c r="HB178" i="17"/>
  <c r="ID178" i="17" s="1"/>
  <c r="HP178" i="17"/>
  <c r="IR178" i="17" s="1"/>
  <c r="HH219" i="17"/>
  <c r="IJ219" i="17" s="1"/>
  <c r="HA178" i="17"/>
  <c r="IC178" i="17" s="1"/>
  <c r="HM178" i="17"/>
  <c r="IO178" i="17" s="1"/>
  <c r="GW178" i="17"/>
  <c r="HY178" i="17" s="1"/>
  <c r="HG178" i="17"/>
  <c r="II178" i="17" s="1"/>
  <c r="GS178" i="17"/>
  <c r="HU178" i="17" s="1"/>
  <c r="HR178" i="17"/>
  <c r="IT178" i="17" s="1"/>
  <c r="C21" i="25"/>
  <c r="GU66" i="17"/>
  <c r="HW66" i="17" s="1"/>
  <c r="HO66" i="17"/>
  <c r="IQ66" i="17" s="1"/>
  <c r="GU133" i="17"/>
  <c r="HW133" i="17" s="1"/>
  <c r="HP133" i="17"/>
  <c r="IR133" i="17" s="1"/>
  <c r="HI10" i="17"/>
  <c r="IK10" i="17" s="1"/>
  <c r="HL66" i="17"/>
  <c r="IN66" i="17" s="1"/>
  <c r="GZ133" i="17"/>
  <c r="IB133" i="17" s="1"/>
  <c r="GW133" i="17"/>
  <c r="HY133" i="17" s="1"/>
  <c r="GW66" i="17"/>
  <c r="HY66" i="17" s="1"/>
  <c r="HQ80" i="17"/>
  <c r="IS80" i="17" s="1"/>
  <c r="HC66" i="17"/>
  <c r="IE66" i="17" s="1"/>
  <c r="HF66" i="17"/>
  <c r="IH66" i="17" s="1"/>
  <c r="GT133" i="17"/>
  <c r="HV133" i="17" s="1"/>
  <c r="HK66" i="17"/>
  <c r="IM66" i="17" s="1"/>
  <c r="HQ66" i="17"/>
  <c r="IS66" i="17" s="1"/>
  <c r="HP218" i="17"/>
  <c r="IR218" i="17" s="1"/>
  <c r="GX133" i="17"/>
  <c r="HZ133" i="17" s="1"/>
  <c r="HG133" i="17"/>
  <c r="II133" i="17" s="1"/>
  <c r="AW172" i="26"/>
  <c r="D183" i="26"/>
  <c r="D201" i="26"/>
  <c r="D3" i="26"/>
  <c r="AW220" i="26"/>
  <c r="D20" i="26"/>
  <c r="D227" i="26"/>
  <c r="D149" i="26"/>
  <c r="AW244" i="26"/>
  <c r="AW114" i="26"/>
  <c r="D166" i="26"/>
  <c r="D31" i="26"/>
  <c r="D41" i="26"/>
  <c r="HH10" i="17"/>
  <c r="IJ10" i="17" s="1"/>
  <c r="HM10" i="17"/>
  <c r="IO10" i="17" s="1"/>
  <c r="HN66" i="17"/>
  <c r="IP66" i="17" s="1"/>
  <c r="GZ66" i="17"/>
  <c r="IB66" i="17" s="1"/>
  <c r="HK80" i="17"/>
  <c r="IM80" i="17" s="1"/>
  <c r="HE80" i="17"/>
  <c r="IG80" i="17" s="1"/>
  <c r="HR66" i="17"/>
  <c r="IT66" i="17" s="1"/>
  <c r="GS66" i="17"/>
  <c r="HU66" i="17" s="1"/>
  <c r="HD66" i="17"/>
  <c r="IF66" i="17" s="1"/>
  <c r="GT66" i="17"/>
  <c r="HV66" i="17" s="1"/>
  <c r="HM66" i="17"/>
  <c r="IO66" i="17" s="1"/>
  <c r="HH66" i="17"/>
  <c r="IJ66" i="17" s="1"/>
  <c r="HR80" i="17"/>
  <c r="IT80" i="17" s="1"/>
  <c r="GV66" i="17"/>
  <c r="HX66" i="17" s="1"/>
  <c r="GY66" i="17"/>
  <c r="IA66" i="17" s="1"/>
  <c r="HM249" i="17"/>
  <c r="IO249" i="17" s="1"/>
  <c r="HJ66" i="17"/>
  <c r="IL66" i="17" s="1"/>
  <c r="GX66" i="17"/>
  <c r="HZ66" i="17" s="1"/>
  <c r="HG249" i="17"/>
  <c r="II249" i="17" s="1"/>
  <c r="HI66" i="17"/>
  <c r="IK66" i="17" s="1"/>
  <c r="HB66" i="17"/>
  <c r="ID66" i="17" s="1"/>
  <c r="GX249" i="17"/>
  <c r="HZ249" i="17" s="1"/>
  <c r="HG66" i="17"/>
  <c r="II66" i="17" s="1"/>
  <c r="HA66" i="17"/>
  <c r="IC66" i="17" s="1"/>
  <c r="HL249" i="17"/>
  <c r="IN249" i="17" s="1"/>
  <c r="HN249" i="17"/>
  <c r="IP249" i="17" s="1"/>
  <c r="GS249" i="17"/>
  <c r="HU249" i="17" s="1"/>
  <c r="D29" i="26"/>
  <c r="AW8" i="26"/>
  <c r="D19" i="26"/>
  <c r="AW227" i="26"/>
  <c r="D242" i="26"/>
  <c r="D35" i="26"/>
  <c r="AW149" i="26"/>
  <c r="D120" i="26"/>
  <c r="AW219" i="26"/>
  <c r="GT97" i="17"/>
  <c r="HV97" i="17" s="1"/>
  <c r="HN26" i="17"/>
  <c r="IP26" i="17" s="1"/>
  <c r="HP26" i="17"/>
  <c r="IR26" i="17" s="1"/>
  <c r="HE26" i="17"/>
  <c r="IG26" i="17" s="1"/>
  <c r="C23" i="25"/>
  <c r="AV19" i="25"/>
  <c r="HF147" i="17"/>
  <c r="IH147" i="17" s="1"/>
  <c r="HG190" i="17"/>
  <c r="II190" i="17" s="1"/>
  <c r="HE147" i="17"/>
  <c r="IG147" i="17" s="1"/>
  <c r="HQ190" i="17"/>
  <c r="IS190" i="17" s="1"/>
  <c r="HH190" i="17"/>
  <c r="IJ190" i="17" s="1"/>
  <c r="HG147" i="17"/>
  <c r="II147" i="17" s="1"/>
  <c r="HK147" i="17"/>
  <c r="IM147" i="17" s="1"/>
  <c r="GS135" i="17"/>
  <c r="HU135" i="17" s="1"/>
  <c r="HQ135" i="17"/>
  <c r="IS135" i="17" s="1"/>
  <c r="HM147" i="17"/>
  <c r="IO147" i="17" s="1"/>
  <c r="HN222" i="17"/>
  <c r="IP222" i="17" s="1"/>
  <c r="HO147" i="17"/>
  <c r="IQ147" i="17" s="1"/>
  <c r="GV71" i="17"/>
  <c r="HX71" i="17" s="1"/>
  <c r="GS147" i="17"/>
  <c r="HU147" i="17" s="1"/>
  <c r="HJ71" i="17"/>
  <c r="IL71" i="17" s="1"/>
  <c r="GT147" i="17"/>
  <c r="HV147" i="17" s="1"/>
  <c r="D200" i="26"/>
  <c r="AW119" i="26"/>
  <c r="AW166" i="26"/>
  <c r="D217" i="26"/>
  <c r="AW120" i="26"/>
  <c r="AW165" i="26"/>
  <c r="D119" i="26"/>
  <c r="AW19" i="26"/>
  <c r="D9" i="26"/>
  <c r="AW9" i="26"/>
  <c r="D178" i="26"/>
  <c r="D117" i="26"/>
  <c r="AW181" i="26"/>
  <c r="D43" i="26"/>
  <c r="AW242" i="26"/>
  <c r="D229" i="26"/>
  <c r="AW232" i="26"/>
  <c r="D230" i="26"/>
  <c r="AW217" i="26"/>
  <c r="AW3" i="26"/>
  <c r="HN206" i="17"/>
  <c r="IP206" i="17" s="1"/>
  <c r="HK115" i="17"/>
  <c r="IM115" i="17" s="1"/>
  <c r="HG115" i="17"/>
  <c r="II115" i="17" s="1"/>
  <c r="HO115" i="17"/>
  <c r="IQ115" i="17" s="1"/>
  <c r="HA115" i="17"/>
  <c r="IC115" i="17" s="1"/>
  <c r="HB115" i="17"/>
  <c r="ID115" i="17" s="1"/>
  <c r="HC115" i="17"/>
  <c r="IE115" i="17" s="1"/>
  <c r="HQ183" i="17"/>
  <c r="IS183" i="17" s="1"/>
  <c r="HE115" i="17"/>
  <c r="IG115" i="17" s="1"/>
  <c r="GY183" i="17"/>
  <c r="IA183" i="17" s="1"/>
  <c r="HF115" i="17"/>
  <c r="IH115" i="17" s="1"/>
  <c r="HB294" i="17"/>
  <c r="ID294" i="17" s="1"/>
  <c r="GY294" i="17"/>
  <c r="IA294" i="17" s="1"/>
  <c r="HI200" i="17"/>
  <c r="IK200" i="17" s="1"/>
  <c r="HQ294" i="17"/>
  <c r="IS294" i="17" s="1"/>
  <c r="GR294" i="17"/>
  <c r="HT294" i="17" s="1"/>
  <c r="GZ294" i="17"/>
  <c r="IB294" i="17" s="1"/>
  <c r="HN40" i="17"/>
  <c r="IP40" i="17" s="1"/>
  <c r="GZ200" i="17"/>
  <c r="IB200" i="17" s="1"/>
  <c r="HO40" i="17"/>
  <c r="IQ40" i="17" s="1"/>
  <c r="HD200" i="17"/>
  <c r="IF200" i="17" s="1"/>
  <c r="GT40" i="17"/>
  <c r="HV40" i="17" s="1"/>
  <c r="AV20" i="25"/>
  <c r="C20" i="25"/>
  <c r="AW201" i="26"/>
  <c r="D232" i="26"/>
  <c r="D14" i="26"/>
  <c r="AW251" i="26"/>
  <c r="AW43" i="26"/>
  <c r="AW249" i="26"/>
  <c r="AW10" i="26"/>
  <c r="D260" i="26"/>
  <c r="AW229" i="26"/>
  <c r="AW41" i="26"/>
  <c r="D212" i="26"/>
  <c r="AW200" i="26"/>
  <c r="D167" i="26"/>
  <c r="D244" i="26"/>
  <c r="AW199" i="26"/>
  <c r="AW212" i="26"/>
  <c r="D181" i="26"/>
  <c r="D165" i="26"/>
  <c r="D42" i="26"/>
  <c r="AW16" i="26"/>
  <c r="AW230" i="26"/>
  <c r="AW151" i="26"/>
  <c r="AW42" i="26"/>
  <c r="D121" i="26"/>
  <c r="D10" i="26"/>
  <c r="D243" i="26"/>
  <c r="HO206" i="17"/>
  <c r="IQ206" i="17" s="1"/>
  <c r="HQ153" i="17"/>
  <c r="IS153" i="17" s="1"/>
  <c r="GU205" i="17"/>
  <c r="HW205" i="17" s="1"/>
  <c r="C141" i="17"/>
  <c r="GR205" i="17"/>
  <c r="HT205" i="17" s="1"/>
  <c r="GR147" i="17"/>
  <c r="HT147" i="17" s="1"/>
  <c r="GW151" i="17"/>
  <c r="HY151" i="17" s="1"/>
  <c r="HD206" i="17"/>
  <c r="IF206" i="17" s="1"/>
  <c r="GY206" i="17"/>
  <c r="IA206" i="17" s="1"/>
  <c r="HG219" i="17"/>
  <c r="II219" i="17" s="1"/>
  <c r="AW52" i="26"/>
  <c r="AW178" i="26"/>
  <c r="D176" i="26"/>
  <c r="D199" i="26"/>
  <c r="AW260" i="26"/>
  <c r="D39" i="26"/>
  <c r="AW228" i="26"/>
  <c r="AW45" i="26"/>
  <c r="D168" i="26"/>
  <c r="D38" i="26"/>
  <c r="AW241" i="26"/>
  <c r="AW31" i="26"/>
  <c r="AW35" i="26"/>
  <c r="AW12" i="26"/>
  <c r="D225" i="26"/>
  <c r="AW214" i="26"/>
  <c r="AW11" i="26"/>
  <c r="AW202" i="26"/>
  <c r="AW121" i="26"/>
  <c r="AW176" i="26"/>
  <c r="AW179" i="26"/>
  <c r="HR185" i="17"/>
  <c r="IT185" i="17" s="1"/>
  <c r="HM185" i="17"/>
  <c r="IO185" i="17" s="1"/>
  <c r="GZ239" i="17"/>
  <c r="IB239" i="17" s="1"/>
  <c r="GS76" i="17"/>
  <c r="HU76" i="17" s="1"/>
  <c r="HO76" i="17"/>
  <c r="IQ76" i="17" s="1"/>
  <c r="HR52" i="17"/>
  <c r="IT52" i="17" s="1"/>
  <c r="HP52" i="17"/>
  <c r="IR52" i="17" s="1"/>
  <c r="HJ269" i="17"/>
  <c r="IL269" i="17" s="1"/>
  <c r="HL52" i="17"/>
  <c r="IN52" i="17" s="1"/>
  <c r="GY74" i="17"/>
  <c r="IA74" i="17" s="1"/>
  <c r="GV52" i="17"/>
  <c r="HX52" i="17" s="1"/>
  <c r="HC261" i="17"/>
  <c r="IE261" i="17" s="1"/>
  <c r="GX139" i="17"/>
  <c r="HZ139" i="17" s="1"/>
  <c r="GR250" i="17"/>
  <c r="HT250" i="17" s="1"/>
  <c r="HL188" i="17"/>
  <c r="IN188" i="17" s="1"/>
  <c r="HJ188" i="17"/>
  <c r="IL188" i="17" s="1"/>
  <c r="HJ220" i="17"/>
  <c r="IL220" i="17" s="1"/>
  <c r="HF113" i="17"/>
  <c r="IH113" i="17" s="1"/>
  <c r="HL113" i="17"/>
  <c r="IN113" i="17" s="1"/>
  <c r="HC143" i="17"/>
  <c r="IE143" i="17" s="1"/>
  <c r="HG52" i="17"/>
  <c r="II52" i="17" s="1"/>
  <c r="GZ143" i="17"/>
  <c r="IB143" i="17" s="1"/>
  <c r="HG221" i="17"/>
  <c r="II221" i="17" s="1"/>
  <c r="C190" i="17"/>
  <c r="C26" i="17"/>
  <c r="GW188" i="17"/>
  <c r="HY188" i="17" s="1"/>
  <c r="HC74" i="17"/>
  <c r="IE74" i="17" s="1"/>
  <c r="HB188" i="17"/>
  <c r="ID188" i="17" s="1"/>
  <c r="HR74" i="17"/>
  <c r="IT74" i="17" s="1"/>
  <c r="HL74" i="17"/>
  <c r="IN74" i="17" s="1"/>
  <c r="HP188" i="17"/>
  <c r="IR188" i="17" s="1"/>
  <c r="GT74" i="17"/>
  <c r="HV74" i="17" s="1"/>
  <c r="HP74" i="17"/>
  <c r="IR74" i="17" s="1"/>
  <c r="HO188" i="17"/>
  <c r="IQ188" i="17" s="1"/>
  <c r="HH74" i="17"/>
  <c r="IJ74" i="17" s="1"/>
  <c r="GV74" i="17"/>
  <c r="HX74" i="17" s="1"/>
  <c r="GX188" i="17"/>
  <c r="HZ188" i="17" s="1"/>
  <c r="HF74" i="17"/>
  <c r="IH74" i="17" s="1"/>
  <c r="HM74" i="17"/>
  <c r="IO74" i="17" s="1"/>
  <c r="HQ188" i="17"/>
  <c r="IS188" i="17" s="1"/>
  <c r="HE188" i="17"/>
  <c r="IG188" i="17" s="1"/>
  <c r="HQ74" i="17"/>
  <c r="IS74" i="17" s="1"/>
  <c r="HO74" i="17"/>
  <c r="IQ74" i="17" s="1"/>
  <c r="GV188" i="17"/>
  <c r="HX188" i="17" s="1"/>
  <c r="HI188" i="17"/>
  <c r="IK188" i="17" s="1"/>
  <c r="GR188" i="17"/>
  <c r="HT188" i="17" s="1"/>
  <c r="HN74" i="17"/>
  <c r="IP74" i="17" s="1"/>
  <c r="HE74" i="17"/>
  <c r="IG74" i="17" s="1"/>
  <c r="HH289" i="17"/>
  <c r="IJ289" i="17" s="1"/>
  <c r="HR188" i="17"/>
  <c r="IT188" i="17" s="1"/>
  <c r="GS188" i="17"/>
  <c r="HU188" i="17" s="1"/>
  <c r="HN188" i="17"/>
  <c r="IP188" i="17" s="1"/>
  <c r="HI74" i="17"/>
  <c r="IK74" i="17" s="1"/>
  <c r="HL289" i="17"/>
  <c r="IN289" i="17" s="1"/>
  <c r="GY188" i="17"/>
  <c r="IA188" i="17" s="1"/>
  <c r="GW279" i="17"/>
  <c r="HY279" i="17" s="1"/>
  <c r="GX279" i="17"/>
  <c r="HZ279" i="17" s="1"/>
  <c r="HL256" i="17"/>
  <c r="IN256" i="17" s="1"/>
  <c r="GZ188" i="17"/>
  <c r="IB188" i="17" s="1"/>
  <c r="HC188" i="17"/>
  <c r="IE188" i="17" s="1"/>
  <c r="HA74" i="17"/>
  <c r="IC74" i="17" s="1"/>
  <c r="HF188" i="17"/>
  <c r="IH188" i="17" s="1"/>
  <c r="GT289" i="17"/>
  <c r="HV289" i="17" s="1"/>
  <c r="GV279" i="17"/>
  <c r="HX279" i="17" s="1"/>
  <c r="GT188" i="17"/>
  <c r="HV188" i="17" s="1"/>
  <c r="HA188" i="17"/>
  <c r="IC188" i="17" s="1"/>
  <c r="GZ74" i="17"/>
  <c r="IB74" i="17" s="1"/>
  <c r="GR289" i="17"/>
  <c r="HT289" i="17" s="1"/>
  <c r="GZ279" i="17"/>
  <c r="IB279" i="17" s="1"/>
  <c r="HM188" i="17"/>
  <c r="IO188" i="17" s="1"/>
  <c r="HD188" i="17"/>
  <c r="IF188" i="17" s="1"/>
  <c r="GX74" i="17"/>
  <c r="HZ74" i="17" s="1"/>
  <c r="GU188" i="17"/>
  <c r="HW188" i="17" s="1"/>
  <c r="HB74" i="17"/>
  <c r="ID74" i="17" s="1"/>
  <c r="GU74" i="17"/>
  <c r="HW74" i="17" s="1"/>
  <c r="HK188" i="17"/>
  <c r="IM188" i="17" s="1"/>
  <c r="GS74" i="17"/>
  <c r="HU74" i="17" s="1"/>
  <c r="GW74" i="17"/>
  <c r="HY74" i="17" s="1"/>
  <c r="HH188" i="17"/>
  <c r="IJ188" i="17" s="1"/>
  <c r="HJ74" i="17"/>
  <c r="IL74" i="17" s="1"/>
  <c r="D209" i="26"/>
  <c r="D211" i="26"/>
  <c r="D11" i="26"/>
  <c r="D214" i="26"/>
  <c r="D249" i="26"/>
  <c r="D207" i="26"/>
  <c r="AW192" i="26"/>
  <c r="AW117" i="26"/>
  <c r="AW4" i="26"/>
  <c r="AW191" i="26"/>
  <c r="D197" i="26"/>
  <c r="AW168" i="26"/>
  <c r="AW175" i="26"/>
  <c r="AW29" i="26"/>
  <c r="D251" i="26"/>
  <c r="AW167" i="26"/>
  <c r="D6" i="26"/>
  <c r="AW47" i="26"/>
  <c r="AW243" i="26"/>
  <c r="AW155" i="26"/>
  <c r="D52" i="26"/>
  <c r="AW160" i="26"/>
  <c r="AW20" i="26"/>
  <c r="AW38" i="26"/>
  <c r="D204" i="26"/>
  <c r="D182" i="26"/>
  <c r="AW24" i="26"/>
  <c r="D16" i="26"/>
  <c r="HJ26" i="17"/>
  <c r="IL26" i="17" s="1"/>
  <c r="GU26" i="17"/>
  <c r="HW26" i="17" s="1"/>
  <c r="HH26" i="17"/>
  <c r="IJ26" i="17" s="1"/>
  <c r="HR26" i="17"/>
  <c r="IT26" i="17" s="1"/>
  <c r="HL26" i="17"/>
  <c r="IN26" i="17" s="1"/>
  <c r="C88" i="17"/>
  <c r="AV26" i="17"/>
  <c r="HC26" i="17"/>
  <c r="IE26" i="17" s="1"/>
  <c r="HI116" i="17"/>
  <c r="IK116" i="17" s="1"/>
  <c r="HK26" i="17"/>
  <c r="IM26" i="17" s="1"/>
  <c r="HP115" i="17"/>
  <c r="IR115" i="17" s="1"/>
  <c r="GS26" i="17"/>
  <c r="HU26" i="17" s="1"/>
  <c r="GR26" i="17"/>
  <c r="HT26" i="17" s="1"/>
  <c r="HA26" i="17"/>
  <c r="IC26" i="17" s="1"/>
  <c r="HB26" i="17"/>
  <c r="ID26" i="17" s="1"/>
  <c r="GW26" i="17"/>
  <c r="HY26" i="17" s="1"/>
  <c r="HO26" i="17"/>
  <c r="IQ26" i="17" s="1"/>
  <c r="GZ26" i="17"/>
  <c r="IB26" i="17" s="1"/>
  <c r="GT26" i="17"/>
  <c r="HV26" i="17" s="1"/>
  <c r="GX26" i="17"/>
  <c r="HZ26" i="17" s="1"/>
  <c r="GZ82" i="17"/>
  <c r="IB82" i="17" s="1"/>
  <c r="HI26" i="17"/>
  <c r="IK26" i="17" s="1"/>
  <c r="HO82" i="17"/>
  <c r="IQ82" i="17" s="1"/>
  <c r="HG26" i="17"/>
  <c r="II26" i="17" s="1"/>
  <c r="HD26" i="17"/>
  <c r="IF26" i="17" s="1"/>
  <c r="HF26" i="17"/>
  <c r="IH26" i="17" s="1"/>
  <c r="GT82" i="17"/>
  <c r="HV82" i="17" s="1"/>
  <c r="GY26" i="17"/>
  <c r="IA26" i="17" s="1"/>
  <c r="HH82" i="17"/>
  <c r="IJ82" i="17" s="1"/>
  <c r="HM26" i="17"/>
  <c r="IO26" i="17" s="1"/>
  <c r="HQ26" i="17"/>
  <c r="IS26" i="17" s="1"/>
  <c r="D160" i="26"/>
  <c r="D27" i="26"/>
  <c r="AW30" i="26"/>
  <c r="D154" i="26"/>
  <c r="AW154" i="26"/>
  <c r="D210" i="26"/>
  <c r="D51" i="26"/>
  <c r="D191" i="26"/>
  <c r="AW18" i="26"/>
  <c r="D184" i="26"/>
  <c r="D192" i="26"/>
  <c r="D239" i="26"/>
  <c r="D173" i="26"/>
  <c r="D12" i="26"/>
  <c r="D37" i="26"/>
  <c r="D195" i="26"/>
  <c r="D221" i="26"/>
  <c r="D40" i="26"/>
  <c r="D236" i="26"/>
  <c r="D22" i="26"/>
  <c r="D215" i="26"/>
  <c r="D213" i="26"/>
  <c r="D261" i="26"/>
  <c r="AW210" i="26"/>
  <c r="AW259" i="26"/>
  <c r="AW211" i="26"/>
  <c r="AW182" i="26"/>
  <c r="HF97" i="17"/>
  <c r="IH97" i="17" s="1"/>
  <c r="HG80" i="17"/>
  <c r="II80" i="17" s="1"/>
  <c r="HM5" i="17"/>
  <c r="IO5" i="17" s="1"/>
  <c r="GZ80" i="17"/>
  <c r="IB80" i="17" s="1"/>
  <c r="GS97" i="17"/>
  <c r="HU97" i="17" s="1"/>
  <c r="HD80" i="17"/>
  <c r="IF80" i="17" s="1"/>
  <c r="HL239" i="17"/>
  <c r="IN239" i="17" s="1"/>
  <c r="HB80" i="17"/>
  <c r="ID80" i="17" s="1"/>
  <c r="C10" i="17"/>
  <c r="HP80" i="17"/>
  <c r="IR80" i="17" s="1"/>
  <c r="GU277" i="17"/>
  <c r="HW277" i="17" s="1"/>
  <c r="HD97" i="17"/>
  <c r="IF97" i="17" s="1"/>
  <c r="HG277" i="17"/>
  <c r="II277" i="17" s="1"/>
  <c r="HQ97" i="17"/>
  <c r="IS97" i="17" s="1"/>
  <c r="HL277" i="17"/>
  <c r="IN277" i="17" s="1"/>
  <c r="GV97" i="17"/>
  <c r="HX97" i="17" s="1"/>
  <c r="GR277" i="17"/>
  <c r="HT277" i="17" s="1"/>
  <c r="HP266" i="17"/>
  <c r="IR266" i="17" s="1"/>
  <c r="C281" i="17"/>
  <c r="HC323" i="17"/>
  <c r="IE323" i="17" s="1"/>
  <c r="GR216" i="17"/>
  <c r="HT216" i="17" s="1"/>
  <c r="HD266" i="17"/>
  <c r="IF266" i="17" s="1"/>
  <c r="C179" i="17"/>
  <c r="HJ323" i="17"/>
  <c r="IL323" i="17" s="1"/>
  <c r="GS80" i="17"/>
  <c r="HU80" i="17" s="1"/>
  <c r="HA266" i="17"/>
  <c r="IC266" i="17" s="1"/>
  <c r="GV266" i="17"/>
  <c r="HX266" i="17" s="1"/>
  <c r="HE97" i="17"/>
  <c r="IG97" i="17" s="1"/>
  <c r="HA244" i="17"/>
  <c r="IC244" i="17" s="1"/>
  <c r="HM323" i="17"/>
  <c r="IO323" i="17" s="1"/>
  <c r="HM80" i="17"/>
  <c r="IO80" i="17" s="1"/>
  <c r="HL80" i="17"/>
  <c r="IN80" i="17" s="1"/>
  <c r="HN266" i="17"/>
  <c r="IP266" i="17" s="1"/>
  <c r="HC80" i="17"/>
  <c r="IE80" i="17" s="1"/>
  <c r="HF80" i="17"/>
  <c r="IH80" i="17" s="1"/>
  <c r="HC266" i="17"/>
  <c r="IE266" i="17" s="1"/>
  <c r="HH79" i="17"/>
  <c r="IJ79" i="17" s="1"/>
  <c r="HI80" i="17"/>
  <c r="IK80" i="17" s="1"/>
  <c r="HN80" i="17"/>
  <c r="IP80" i="17" s="1"/>
  <c r="GV80" i="17"/>
  <c r="HX80" i="17" s="1"/>
  <c r="GY266" i="17"/>
  <c r="IA266" i="17" s="1"/>
  <c r="HJ80" i="17"/>
  <c r="IL80" i="17" s="1"/>
  <c r="HB239" i="17"/>
  <c r="ID239" i="17" s="1"/>
  <c r="HN97" i="17"/>
  <c r="IP97" i="17" s="1"/>
  <c r="HO80" i="17"/>
  <c r="IQ80" i="17" s="1"/>
  <c r="GY80" i="17"/>
  <c r="IA80" i="17" s="1"/>
  <c r="HN79" i="17"/>
  <c r="IP79" i="17" s="1"/>
  <c r="GX79" i="17"/>
  <c r="HZ79" i="17" s="1"/>
  <c r="GR80" i="17"/>
  <c r="HT80" i="17" s="1"/>
  <c r="HA80" i="17"/>
  <c r="IC80" i="17" s="1"/>
  <c r="GX80" i="17"/>
  <c r="HZ80" i="17" s="1"/>
  <c r="AV22" i="25"/>
  <c r="AV21" i="25"/>
  <c r="AV18" i="25"/>
  <c r="AV23" i="25"/>
  <c r="AV7" i="25"/>
  <c r="AW51" i="26"/>
  <c r="AW162" i="26"/>
  <c r="AW27" i="26"/>
  <c r="D174" i="26"/>
  <c r="D163" i="26"/>
  <c r="D259" i="26"/>
  <c r="AW6" i="26"/>
  <c r="D164" i="26"/>
  <c r="D30" i="26"/>
  <c r="D224" i="26"/>
  <c r="D26" i="26"/>
  <c r="AW197" i="26"/>
  <c r="AW234" i="26"/>
  <c r="AW215" i="26"/>
  <c r="D186" i="26"/>
  <c r="AW221" i="26"/>
  <c r="AW49" i="26"/>
  <c r="AW209" i="26"/>
  <c r="D32" i="26"/>
  <c r="D50" i="26"/>
  <c r="D198" i="26"/>
  <c r="D155" i="26"/>
  <c r="AW261" i="26"/>
  <c r="AW233" i="26"/>
  <c r="HF20" i="17"/>
  <c r="IH20" i="17" s="1"/>
  <c r="C243" i="17"/>
  <c r="GT76" i="17"/>
  <c r="HV76" i="17" s="1"/>
  <c r="GS115" i="17"/>
  <c r="HU115" i="17" s="1"/>
  <c r="HH20" i="17"/>
  <c r="IJ20" i="17" s="1"/>
  <c r="HC260" i="17"/>
  <c r="IE260" i="17" s="1"/>
  <c r="GX147" i="17"/>
  <c r="HZ147" i="17" s="1"/>
  <c r="GS260" i="17"/>
  <c r="HU260" i="17" s="1"/>
  <c r="HK250" i="17"/>
  <c r="IM250" i="17" s="1"/>
  <c r="HN115" i="17"/>
  <c r="IP115" i="17" s="1"/>
  <c r="HG260" i="17"/>
  <c r="II260" i="17" s="1"/>
  <c r="GV115" i="17"/>
  <c r="HX115" i="17" s="1"/>
  <c r="HL20" i="17"/>
  <c r="IN20" i="17" s="1"/>
  <c r="HI115" i="17"/>
  <c r="IK115" i="17" s="1"/>
  <c r="C211" i="17"/>
  <c r="HQ20" i="17"/>
  <c r="IS20" i="17" s="1"/>
  <c r="HC214" i="17"/>
  <c r="IE214" i="17" s="1"/>
  <c r="GR115" i="17"/>
  <c r="HT115" i="17" s="1"/>
  <c r="HR115" i="17"/>
  <c r="IT115" i="17" s="1"/>
  <c r="HJ214" i="17"/>
  <c r="IL214" i="17" s="1"/>
  <c r="HH115" i="17"/>
  <c r="IJ115" i="17" s="1"/>
  <c r="HN325" i="17"/>
  <c r="IP325" i="17" s="1"/>
  <c r="HM20" i="17"/>
  <c r="IO20" i="17" s="1"/>
  <c r="HA20" i="17"/>
  <c r="IC20" i="17" s="1"/>
  <c r="HR214" i="17"/>
  <c r="IT214" i="17" s="1"/>
  <c r="GT115" i="17"/>
  <c r="HV115" i="17" s="1"/>
  <c r="GW214" i="17"/>
  <c r="HY214" i="17" s="1"/>
  <c r="GU115" i="17"/>
  <c r="HW115" i="17" s="1"/>
  <c r="HQ260" i="17"/>
  <c r="IS260" i="17" s="1"/>
  <c r="HI20" i="17"/>
  <c r="IK20" i="17" s="1"/>
  <c r="HK214" i="17"/>
  <c r="IM214" i="17" s="1"/>
  <c r="HL115" i="17"/>
  <c r="IN115" i="17" s="1"/>
  <c r="HM214" i="17"/>
  <c r="IO214" i="17" s="1"/>
  <c r="HR302" i="17"/>
  <c r="IT302" i="17" s="1"/>
  <c r="GY115" i="17"/>
  <c r="IA115" i="17" s="1"/>
  <c r="GV260" i="17"/>
  <c r="HX260" i="17" s="1"/>
  <c r="GX115" i="17"/>
  <c r="HZ115" i="17" s="1"/>
  <c r="GU20" i="17"/>
  <c r="HW20" i="17" s="1"/>
  <c r="HD214" i="17"/>
  <c r="IF214" i="17" s="1"/>
  <c r="HQ115" i="17"/>
  <c r="IS115" i="17" s="1"/>
  <c r="HP151" i="17"/>
  <c r="IR151" i="17" s="1"/>
  <c r="HL214" i="17"/>
  <c r="IN214" i="17" s="1"/>
  <c r="HJ260" i="17"/>
  <c r="IL260" i="17" s="1"/>
  <c r="HA214" i="17"/>
  <c r="IC214" i="17" s="1"/>
  <c r="HI308" i="17"/>
  <c r="IK308" i="17" s="1"/>
  <c r="HB20" i="17"/>
  <c r="ID20" i="17" s="1"/>
  <c r="HB214" i="17"/>
  <c r="ID214" i="17" s="1"/>
  <c r="GW115" i="17"/>
  <c r="HY115" i="17" s="1"/>
  <c r="GT151" i="17"/>
  <c r="HV151" i="17" s="1"/>
  <c r="HL250" i="17"/>
  <c r="IN250" i="17" s="1"/>
  <c r="HP308" i="17"/>
  <c r="IR308" i="17" s="1"/>
  <c r="GX214" i="17"/>
  <c r="HZ214" i="17" s="1"/>
  <c r="HB250" i="17"/>
  <c r="ID250" i="17" s="1"/>
  <c r="HR138" i="17"/>
  <c r="IT138" i="17" s="1"/>
  <c r="HK260" i="17"/>
  <c r="IM260" i="17" s="1"/>
  <c r="HD115" i="17"/>
  <c r="IF115" i="17" s="1"/>
  <c r="HI250" i="17"/>
  <c r="IK250" i="17" s="1"/>
  <c r="HG138" i="17"/>
  <c r="II138" i="17" s="1"/>
  <c r="HL260" i="17"/>
  <c r="IN260" i="17" s="1"/>
  <c r="HJ115" i="17"/>
  <c r="IL115" i="17" s="1"/>
  <c r="GU185" i="17"/>
  <c r="HW185" i="17" s="1"/>
  <c r="HP317" i="17"/>
  <c r="IR317" i="17" s="1"/>
  <c r="GT37" i="17"/>
  <c r="HV37" i="17" s="1"/>
  <c r="HC187" i="17"/>
  <c r="IE187" i="17" s="1"/>
  <c r="GV218" i="17"/>
  <c r="HX218" i="17" s="1"/>
  <c r="HK37" i="17"/>
  <c r="IM37" i="17" s="1"/>
  <c r="HH200" i="17"/>
  <c r="IJ200" i="17" s="1"/>
  <c r="C177" i="17"/>
  <c r="HI185" i="17"/>
  <c r="IK185" i="17" s="1"/>
  <c r="GY317" i="17"/>
  <c r="IA317" i="17" s="1"/>
  <c r="HH37" i="17"/>
  <c r="IJ37" i="17" s="1"/>
  <c r="C210" i="17"/>
  <c r="HR218" i="17"/>
  <c r="IT218" i="17" s="1"/>
  <c r="GX184" i="17"/>
  <c r="HZ184" i="17" s="1"/>
  <c r="HL37" i="17"/>
  <c r="IN37" i="17" s="1"/>
  <c r="HC200" i="17"/>
  <c r="IE200" i="17" s="1"/>
  <c r="GY200" i="17"/>
  <c r="IA200" i="17" s="1"/>
  <c r="AV266" i="17"/>
  <c r="HH185" i="17"/>
  <c r="IJ185" i="17" s="1"/>
  <c r="GX37" i="17"/>
  <c r="HZ37" i="17" s="1"/>
  <c r="HN114" i="17"/>
  <c r="IP114" i="17" s="1"/>
  <c r="HO218" i="17"/>
  <c r="IQ218" i="17" s="1"/>
  <c r="HG184" i="17"/>
  <c r="II184" i="17" s="1"/>
  <c r="HI37" i="17"/>
  <c r="IK37" i="17" s="1"/>
  <c r="HJ200" i="17"/>
  <c r="IL200" i="17" s="1"/>
  <c r="GS185" i="17"/>
  <c r="HU185" i="17" s="1"/>
  <c r="HB37" i="17"/>
  <c r="ID37" i="17" s="1"/>
  <c r="HJ185" i="17"/>
  <c r="IL185" i="17" s="1"/>
  <c r="GZ218" i="17"/>
  <c r="IB218" i="17" s="1"/>
  <c r="HE37" i="17"/>
  <c r="IG37" i="17" s="1"/>
  <c r="GX200" i="17"/>
  <c r="HZ200" i="17" s="1"/>
  <c r="HK326" i="17"/>
  <c r="IM326" i="17" s="1"/>
  <c r="HD326" i="17"/>
  <c r="IF326" i="17" s="1"/>
  <c r="HL326" i="17"/>
  <c r="IN326" i="17" s="1"/>
  <c r="HB326" i="17"/>
  <c r="ID326" i="17" s="1"/>
  <c r="HN326" i="17"/>
  <c r="IP326" i="17" s="1"/>
  <c r="HP326" i="17"/>
  <c r="IR326" i="17" s="1"/>
  <c r="HH326" i="17"/>
  <c r="IJ326" i="17" s="1"/>
  <c r="HR326" i="17"/>
  <c r="IT326" i="17" s="1"/>
  <c r="GZ326" i="17"/>
  <c r="IB326" i="17" s="1"/>
  <c r="HM326" i="17"/>
  <c r="IO326" i="17" s="1"/>
  <c r="GS326" i="17"/>
  <c r="HU326" i="17" s="1"/>
  <c r="HO326" i="17"/>
  <c r="IQ326" i="17" s="1"/>
  <c r="HG326" i="17"/>
  <c r="II326" i="17" s="1"/>
  <c r="GW326" i="17"/>
  <c r="HY326" i="17" s="1"/>
  <c r="GT326" i="17"/>
  <c r="HV326" i="17" s="1"/>
  <c r="GX326" i="17"/>
  <c r="HZ326" i="17" s="1"/>
  <c r="GY326" i="17"/>
  <c r="IA326" i="17" s="1"/>
  <c r="HE326" i="17"/>
  <c r="IG326" i="17" s="1"/>
  <c r="HQ185" i="17"/>
  <c r="IS185" i="17" s="1"/>
  <c r="HA37" i="17"/>
  <c r="IC37" i="17" s="1"/>
  <c r="HL185" i="17"/>
  <c r="IN185" i="17" s="1"/>
  <c r="HJ10" i="17"/>
  <c r="IL10" i="17" s="1"/>
  <c r="HR37" i="17"/>
  <c r="IT37" i="17" s="1"/>
  <c r="HO200" i="17"/>
  <c r="IQ200" i="17" s="1"/>
  <c r="HK200" i="17"/>
  <c r="IM200" i="17" s="1"/>
  <c r="GY185" i="17"/>
  <c r="IA185" i="17" s="1"/>
  <c r="GY37" i="17"/>
  <c r="IA37" i="17" s="1"/>
  <c r="HK218" i="17"/>
  <c r="IM218" i="17" s="1"/>
  <c r="HN10" i="17"/>
  <c r="IP10" i="17" s="1"/>
  <c r="GW37" i="17"/>
  <c r="HY37" i="17" s="1"/>
  <c r="HP200" i="17"/>
  <c r="IR200" i="17" s="1"/>
  <c r="HA200" i="17"/>
  <c r="IC200" i="17" s="1"/>
  <c r="HF200" i="17"/>
  <c r="IH200" i="17" s="1"/>
  <c r="GX317" i="17"/>
  <c r="HZ317" i="17" s="1"/>
  <c r="HM37" i="17"/>
  <c r="IO37" i="17" s="1"/>
  <c r="HK185" i="17"/>
  <c r="IM185" i="17" s="1"/>
  <c r="HF37" i="17"/>
  <c r="IH37" i="17" s="1"/>
  <c r="HL324" i="17"/>
  <c r="IN324" i="17" s="1"/>
  <c r="HJ218" i="17"/>
  <c r="IL218" i="17" s="1"/>
  <c r="GZ10" i="17"/>
  <c r="IB10" i="17" s="1"/>
  <c r="HJ37" i="17"/>
  <c r="IL37" i="17" s="1"/>
  <c r="HG200" i="17"/>
  <c r="II200" i="17" s="1"/>
  <c r="GV200" i="17"/>
  <c r="HX200" i="17" s="1"/>
  <c r="C71" i="17"/>
  <c r="HF185" i="17"/>
  <c r="IH185" i="17" s="1"/>
  <c r="HF324" i="17"/>
  <c r="IH324" i="17" s="1"/>
  <c r="HI218" i="17"/>
  <c r="IK218" i="17" s="1"/>
  <c r="GV10" i="17"/>
  <c r="HX10" i="17" s="1"/>
  <c r="HC37" i="17"/>
  <c r="IE37" i="17" s="1"/>
  <c r="GT200" i="17"/>
  <c r="HV200" i="17" s="1"/>
  <c r="HN200" i="17"/>
  <c r="IP200" i="17" s="1"/>
  <c r="GS200" i="17"/>
  <c r="HU200" i="17" s="1"/>
  <c r="HB185" i="17"/>
  <c r="ID185" i="17" s="1"/>
  <c r="HJ303" i="17"/>
  <c r="IL303" i="17" s="1"/>
  <c r="GX218" i="17"/>
  <c r="HZ218" i="17" s="1"/>
  <c r="GU39" i="17"/>
  <c r="HW39" i="17" s="1"/>
  <c r="HK10" i="17"/>
  <c r="IM10" i="17" s="1"/>
  <c r="GV37" i="17"/>
  <c r="HX37" i="17" s="1"/>
  <c r="HB200" i="17"/>
  <c r="ID200" i="17" s="1"/>
  <c r="GU200" i="17"/>
  <c r="HW200" i="17" s="1"/>
  <c r="GW185" i="17"/>
  <c r="HY185" i="17" s="1"/>
  <c r="GR303" i="17"/>
  <c r="HT303" i="17" s="1"/>
  <c r="HQ218" i="17"/>
  <c r="IS218" i="17" s="1"/>
  <c r="HD218" i="17"/>
  <c r="IF218" i="17" s="1"/>
  <c r="HE10" i="17"/>
  <c r="IG10" i="17" s="1"/>
  <c r="HD37" i="17"/>
  <c r="IF37" i="17" s="1"/>
  <c r="C127" i="17"/>
  <c r="GR200" i="17"/>
  <c r="HT200" i="17" s="1"/>
  <c r="GR37" i="17"/>
  <c r="HT37" i="17" s="1"/>
  <c r="HC185" i="17"/>
  <c r="IE185" i="17" s="1"/>
  <c r="GR218" i="17"/>
  <c r="HT218" i="17" s="1"/>
  <c r="HC10" i="17"/>
  <c r="IE10" i="17" s="1"/>
  <c r="HO37" i="17"/>
  <c r="IQ37" i="17" s="1"/>
  <c r="HM200" i="17"/>
  <c r="IO200" i="17" s="1"/>
  <c r="HR200" i="17"/>
  <c r="IT200" i="17" s="1"/>
  <c r="HP185" i="17"/>
  <c r="IR185" i="17" s="1"/>
  <c r="GZ37" i="17"/>
  <c r="IB37" i="17" s="1"/>
  <c r="C305" i="17"/>
  <c r="HB218" i="17"/>
  <c r="ID218" i="17" s="1"/>
  <c r="HR10" i="17"/>
  <c r="IT10" i="17" s="1"/>
  <c r="GU10" i="17"/>
  <c r="HW10" i="17" s="1"/>
  <c r="GS37" i="17"/>
  <c r="HU37" i="17" s="1"/>
  <c r="HQ200" i="17"/>
  <c r="IS200" i="17" s="1"/>
  <c r="GW200" i="17"/>
  <c r="HY200" i="17" s="1"/>
  <c r="GV185" i="17"/>
  <c r="HX185" i="17" s="1"/>
  <c r="HR317" i="17"/>
  <c r="IT317" i="17" s="1"/>
  <c r="GS218" i="17"/>
  <c r="HU218" i="17" s="1"/>
  <c r="GZ21" i="17"/>
  <c r="IB21" i="17" s="1"/>
  <c r="HD10" i="17"/>
  <c r="IF10" i="17" s="1"/>
  <c r="HG37" i="17"/>
  <c r="II37" i="17" s="1"/>
  <c r="HE200" i="17"/>
  <c r="IG200" i="17" s="1"/>
  <c r="HN37" i="17"/>
  <c r="IP37" i="17" s="1"/>
  <c r="HG185" i="17"/>
  <c r="II185" i="17" s="1"/>
  <c r="HA317" i="17"/>
  <c r="IC317" i="17" s="1"/>
  <c r="GU37" i="17"/>
  <c r="HW37" i="17" s="1"/>
  <c r="HH218" i="17"/>
  <c r="IJ218" i="17" s="1"/>
  <c r="GU21" i="17"/>
  <c r="HW21" i="17" s="1"/>
  <c r="C7" i="25"/>
  <c r="AV8" i="25"/>
  <c r="AV24" i="25"/>
  <c r="C24" i="25"/>
  <c r="C22" i="25"/>
  <c r="AW164" i="26"/>
  <c r="AW123" i="26"/>
  <c r="D118" i="26"/>
  <c r="AW185" i="26"/>
  <c r="AW186" i="26"/>
  <c r="D196" i="26"/>
  <c r="AW252" i="26"/>
  <c r="AW198" i="26"/>
  <c r="D233" i="26"/>
  <c r="AW163" i="26"/>
  <c r="AW173" i="26"/>
  <c r="D246" i="26"/>
  <c r="AW126" i="26"/>
  <c r="AW204" i="26"/>
  <c r="AW46" i="26"/>
  <c r="D116" i="26"/>
  <c r="AW153" i="26"/>
  <c r="AW177" i="26"/>
  <c r="D237" i="26"/>
  <c r="D123" i="26"/>
  <c r="D28" i="26"/>
  <c r="AW253" i="26"/>
  <c r="AW39" i="26"/>
  <c r="AW183" i="26"/>
  <c r="AW195" i="26"/>
  <c r="AW224" i="26"/>
  <c r="D49" i="26"/>
  <c r="AW213" i="26"/>
  <c r="AW26" i="26"/>
  <c r="D162" i="26"/>
  <c r="AW122" i="26"/>
  <c r="AW238" i="26"/>
  <c r="AW196" i="26"/>
  <c r="D245" i="26"/>
  <c r="D13" i="26"/>
  <c r="AW257" i="26"/>
  <c r="HR79" i="17"/>
  <c r="IT79" i="17" s="1"/>
  <c r="GU289" i="17"/>
  <c r="HW289" i="17" s="1"/>
  <c r="HO289" i="17"/>
  <c r="IQ289" i="17" s="1"/>
  <c r="GU190" i="17"/>
  <c r="HW190" i="17" s="1"/>
  <c r="HF190" i="17"/>
  <c r="IH190" i="17" s="1"/>
  <c r="HQ40" i="17"/>
  <c r="IS40" i="17" s="1"/>
  <c r="GS40" i="17"/>
  <c r="HU40" i="17" s="1"/>
  <c r="HB190" i="17"/>
  <c r="ID190" i="17" s="1"/>
  <c r="HE71" i="17"/>
  <c r="IG71" i="17" s="1"/>
  <c r="HI334" i="17"/>
  <c r="IK334" i="17" s="1"/>
  <c r="GY71" i="17"/>
  <c r="IA71" i="17" s="1"/>
  <c r="HD76" i="17"/>
  <c r="IF76" i="17" s="1"/>
  <c r="HR334" i="17"/>
  <c r="IT334" i="17" s="1"/>
  <c r="HA79" i="17"/>
  <c r="IC79" i="17" s="1"/>
  <c r="HP160" i="17"/>
  <c r="IR160" i="17" s="1"/>
  <c r="GZ289" i="17"/>
  <c r="IB289" i="17" s="1"/>
  <c r="HF289" i="17"/>
  <c r="IH289" i="17" s="1"/>
  <c r="GR222" i="17"/>
  <c r="HT222" i="17" s="1"/>
  <c r="HR40" i="17"/>
  <c r="IT40" i="17" s="1"/>
  <c r="HG40" i="17"/>
  <c r="II40" i="17" s="1"/>
  <c r="HC190" i="17"/>
  <c r="IE190" i="17" s="1"/>
  <c r="HQ264" i="17"/>
  <c r="IS264" i="17" s="1"/>
  <c r="HO222" i="17"/>
  <c r="IQ222" i="17" s="1"/>
  <c r="HO190" i="17"/>
  <c r="IQ190" i="17" s="1"/>
  <c r="HI40" i="17"/>
  <c r="IK40" i="17" s="1"/>
  <c r="HL40" i="17"/>
  <c r="IN40" i="17" s="1"/>
  <c r="HK190" i="17"/>
  <c r="IM190" i="17" s="1"/>
  <c r="GS190" i="17"/>
  <c r="HU190" i="17" s="1"/>
  <c r="HH334" i="17"/>
  <c r="IJ334" i="17" s="1"/>
  <c r="GU79" i="17"/>
  <c r="HW79" i="17" s="1"/>
  <c r="GW289" i="17"/>
  <c r="HY289" i="17" s="1"/>
  <c r="HE222" i="17"/>
  <c r="IG222" i="17" s="1"/>
  <c r="HB40" i="17"/>
  <c r="ID40" i="17" s="1"/>
  <c r="GR40" i="17"/>
  <c r="HT40" i="17" s="1"/>
  <c r="GZ190" i="17"/>
  <c r="IB190" i="17" s="1"/>
  <c r="GX190" i="17"/>
  <c r="HZ190" i="17" s="1"/>
  <c r="C216" i="17"/>
  <c r="AV177" i="17"/>
  <c r="HA334" i="17"/>
  <c r="IC334" i="17" s="1"/>
  <c r="HG79" i="17"/>
  <c r="II79" i="17" s="1"/>
  <c r="HM79" i="17"/>
  <c r="IO79" i="17" s="1"/>
  <c r="HD289" i="17"/>
  <c r="IF289" i="17" s="1"/>
  <c r="HP79" i="17"/>
  <c r="IR79" i="17" s="1"/>
  <c r="HK222" i="17"/>
  <c r="IM222" i="17" s="1"/>
  <c r="GV190" i="17"/>
  <c r="HX190" i="17" s="1"/>
  <c r="HA40" i="17"/>
  <c r="IC40" i="17" s="1"/>
  <c r="GV40" i="17"/>
  <c r="HX40" i="17" s="1"/>
  <c r="HI190" i="17"/>
  <c r="IK190" i="17" s="1"/>
  <c r="C206" i="17"/>
  <c r="HM334" i="17"/>
  <c r="IO334" i="17" s="1"/>
  <c r="GZ79" i="17"/>
  <c r="IB79" i="17" s="1"/>
  <c r="HI79" i="17"/>
  <c r="IK79" i="17" s="1"/>
  <c r="HA289" i="17"/>
  <c r="IC289" i="17" s="1"/>
  <c r="HB79" i="17"/>
  <c r="ID79" i="17" s="1"/>
  <c r="GX222" i="17"/>
  <c r="HZ222" i="17" s="1"/>
  <c r="HC40" i="17"/>
  <c r="IE40" i="17" s="1"/>
  <c r="GW190" i="17"/>
  <c r="HY190" i="17" s="1"/>
  <c r="GU334" i="17"/>
  <c r="HW334" i="17" s="1"/>
  <c r="HI71" i="17"/>
  <c r="IK71" i="17" s="1"/>
  <c r="HJ289" i="17"/>
  <c r="IL289" i="17" s="1"/>
  <c r="GY79" i="17"/>
  <c r="IA79" i="17" s="1"/>
  <c r="GT222" i="17"/>
  <c r="HV222" i="17" s="1"/>
  <c r="HF40" i="17"/>
  <c r="IH40" i="17" s="1"/>
  <c r="GY190" i="17"/>
  <c r="IA190" i="17" s="1"/>
  <c r="HK71" i="17"/>
  <c r="IM71" i="17" s="1"/>
  <c r="HJ334" i="17"/>
  <c r="IL334" i="17" s="1"/>
  <c r="HE79" i="17"/>
  <c r="IG79" i="17" s="1"/>
  <c r="GT79" i="17"/>
  <c r="HV79" i="17" s="1"/>
  <c r="HQ79" i="17"/>
  <c r="IS79" i="17" s="1"/>
  <c r="GR35" i="17"/>
  <c r="HT35" i="17" s="1"/>
  <c r="GV79" i="17"/>
  <c r="HX79" i="17" s="1"/>
  <c r="HB222" i="17"/>
  <c r="ID222" i="17" s="1"/>
  <c r="HP222" i="17"/>
  <c r="IR222" i="17" s="1"/>
  <c r="HJ190" i="17"/>
  <c r="IL190" i="17" s="1"/>
  <c r="HH40" i="17"/>
  <c r="IJ40" i="17" s="1"/>
  <c r="HR190" i="17"/>
  <c r="IT190" i="17" s="1"/>
  <c r="GS289" i="17"/>
  <c r="HU289" i="17" s="1"/>
  <c r="GW71" i="17"/>
  <c r="HY71" i="17" s="1"/>
  <c r="GX334" i="17"/>
  <c r="HZ334" i="17" s="1"/>
  <c r="GR79" i="17"/>
  <c r="HT79" i="17" s="1"/>
  <c r="HR71" i="17"/>
  <c r="IT71" i="17" s="1"/>
  <c r="HE334" i="17"/>
  <c r="IG334" i="17" s="1"/>
  <c r="GS79" i="17"/>
  <c r="HU79" i="17" s="1"/>
  <c r="HB35" i="17"/>
  <c r="ID35" i="17" s="1"/>
  <c r="HL79" i="17"/>
  <c r="IN79" i="17" s="1"/>
  <c r="HJ222" i="17"/>
  <c r="IL222" i="17" s="1"/>
  <c r="GX40" i="17"/>
  <c r="HZ40" i="17" s="1"/>
  <c r="HL190" i="17"/>
  <c r="IN190" i="17" s="1"/>
  <c r="HO71" i="17"/>
  <c r="IQ71" i="17" s="1"/>
  <c r="HO79" i="17"/>
  <c r="IQ79" i="17" s="1"/>
  <c r="GX71" i="17"/>
  <c r="HZ71" i="17" s="1"/>
  <c r="HK79" i="17"/>
  <c r="IM79" i="17" s="1"/>
  <c r="HL35" i="17"/>
  <c r="IN35" i="17" s="1"/>
  <c r="HM71" i="17"/>
  <c r="IO71" i="17" s="1"/>
  <c r="HI114" i="17"/>
  <c r="IK114" i="17" s="1"/>
  <c r="AV97" i="17"/>
  <c r="GS222" i="17"/>
  <c r="HU222" i="17" s="1"/>
  <c r="GU40" i="17"/>
  <c r="HW40" i="17" s="1"/>
  <c r="HA190" i="17"/>
  <c r="IC190" i="17" s="1"/>
  <c r="HB71" i="17"/>
  <c r="ID71" i="17" s="1"/>
  <c r="HO334" i="17"/>
  <c r="IQ334" i="17" s="1"/>
  <c r="GZ71" i="17"/>
  <c r="IB71" i="17" s="1"/>
  <c r="HH71" i="17"/>
  <c r="IJ71" i="17" s="1"/>
  <c r="HC79" i="17"/>
  <c r="IE79" i="17" s="1"/>
  <c r="GY35" i="17"/>
  <c r="IA35" i="17" s="1"/>
  <c r="GU71" i="17"/>
  <c r="HW71" i="17" s="1"/>
  <c r="HO114" i="17"/>
  <c r="IQ114" i="17" s="1"/>
  <c r="HI289" i="17"/>
  <c r="IK289" i="17" s="1"/>
  <c r="HF222" i="17"/>
  <c r="IH222" i="17" s="1"/>
  <c r="HP40" i="17"/>
  <c r="IR40" i="17" s="1"/>
  <c r="HP190" i="17"/>
  <c r="IR190" i="17" s="1"/>
  <c r="HK289" i="17"/>
  <c r="IM289" i="17" s="1"/>
  <c r="HR289" i="17"/>
  <c r="IT289" i="17" s="1"/>
  <c r="HE39" i="17"/>
  <c r="IG39" i="17" s="1"/>
  <c r="GW222" i="17"/>
  <c r="HY222" i="17" s="1"/>
  <c r="HE190" i="17"/>
  <c r="IG190" i="17" s="1"/>
  <c r="GY40" i="17"/>
  <c r="IA40" i="17" s="1"/>
  <c r="GT190" i="17"/>
  <c r="HV190" i="17" s="1"/>
  <c r="HQ71" i="17"/>
  <c r="IS71" i="17" s="1"/>
  <c r="HG71" i="17"/>
  <c r="II71" i="17" s="1"/>
  <c r="HD79" i="17"/>
  <c r="IF79" i="17" s="1"/>
  <c r="HM289" i="17"/>
  <c r="IO289" i="17" s="1"/>
  <c r="HA71" i="17"/>
  <c r="IC71" i="17" s="1"/>
  <c r="GR114" i="17"/>
  <c r="HT114" i="17" s="1"/>
  <c r="HG289" i="17"/>
  <c r="II289" i="17" s="1"/>
  <c r="GX302" i="17"/>
  <c r="HZ302" i="17" s="1"/>
  <c r="HG39" i="17"/>
  <c r="II39" i="17" s="1"/>
  <c r="HR222" i="17"/>
  <c r="IT222" i="17" s="1"/>
  <c r="HK40" i="17"/>
  <c r="IM40" i="17" s="1"/>
  <c r="GR190" i="17"/>
  <c r="HT190" i="17" s="1"/>
  <c r="GZ109" i="17"/>
  <c r="IB109" i="17" s="1"/>
  <c r="HR244" i="17"/>
  <c r="IT244" i="17" s="1"/>
  <c r="HF79" i="17"/>
  <c r="IH79" i="17" s="1"/>
  <c r="GV76" i="17"/>
  <c r="HX76" i="17" s="1"/>
  <c r="HJ79" i="17"/>
  <c r="IL79" i="17" s="1"/>
  <c r="HB289" i="17"/>
  <c r="ID289" i="17" s="1"/>
  <c r="HN302" i="17"/>
  <c r="IP302" i="17" s="1"/>
  <c r="HJ39" i="17"/>
  <c r="IL39" i="17" s="1"/>
  <c r="HA222" i="17"/>
  <c r="IC222" i="17" s="1"/>
  <c r="HD190" i="17"/>
  <c r="IF190" i="17" s="1"/>
  <c r="HM190" i="17"/>
  <c r="IO190" i="17" s="1"/>
  <c r="AW150" i="26"/>
  <c r="AW36" i="26"/>
  <c r="AW25" i="26"/>
  <c r="AW256" i="26"/>
  <c r="AW7" i="26"/>
  <c r="D253" i="26"/>
  <c r="D208" i="26"/>
  <c r="D247" i="26"/>
  <c r="AW22" i="26"/>
  <c r="AW208" i="26"/>
  <c r="AW248" i="26"/>
  <c r="D21" i="26"/>
  <c r="AW245" i="26"/>
  <c r="AW225" i="26"/>
  <c r="AW184" i="26"/>
  <c r="D34" i="26"/>
  <c r="AW32" i="26"/>
  <c r="D5" i="26"/>
  <c r="AW218" i="26"/>
  <c r="D44" i="26"/>
  <c r="D25" i="26"/>
  <c r="AW226" i="26"/>
  <c r="AW17" i="26"/>
  <c r="AW236" i="26"/>
  <c r="AW28" i="26"/>
  <c r="AW37" i="26"/>
  <c r="AW40" i="26"/>
  <c r="AW237" i="26"/>
  <c r="AW14" i="26"/>
  <c r="AW174" i="26"/>
  <c r="AW50" i="26"/>
  <c r="D258" i="26"/>
  <c r="AW116" i="26"/>
  <c r="AW169" i="26"/>
  <c r="D36" i="26"/>
  <c r="D17" i="26"/>
  <c r="D226" i="26"/>
  <c r="HR116" i="17"/>
  <c r="IT116" i="17" s="1"/>
  <c r="HL109" i="17"/>
  <c r="IN109" i="17" s="1"/>
  <c r="GZ116" i="17"/>
  <c r="IB116" i="17" s="1"/>
  <c r="C20" i="17"/>
  <c r="HE109" i="17"/>
  <c r="IG109" i="17" s="1"/>
  <c r="HF76" i="17"/>
  <c r="IH76" i="17" s="1"/>
  <c r="HP116" i="17"/>
  <c r="IR116" i="17" s="1"/>
  <c r="GY109" i="17"/>
  <c r="IA109" i="17" s="1"/>
  <c r="HO116" i="17"/>
  <c r="IQ116" i="17" s="1"/>
  <c r="GT337" i="17"/>
  <c r="HV337" i="17" s="1"/>
  <c r="C200" i="17"/>
  <c r="HC109" i="17"/>
  <c r="IE109" i="17" s="1"/>
  <c r="HP76" i="17"/>
  <c r="IR76" i="17" s="1"/>
  <c r="HC116" i="17"/>
  <c r="IE116" i="17" s="1"/>
  <c r="GT109" i="17"/>
  <c r="HV109" i="17" s="1"/>
  <c r="HF116" i="17"/>
  <c r="IH116" i="17" s="1"/>
  <c r="GY337" i="17"/>
  <c r="IA337" i="17" s="1"/>
  <c r="HF109" i="17"/>
  <c r="IH109" i="17" s="1"/>
  <c r="HO109" i="17"/>
  <c r="IQ109" i="17" s="1"/>
  <c r="HC147" i="17"/>
  <c r="IE147" i="17" s="1"/>
  <c r="GU76" i="17"/>
  <c r="HW76" i="17" s="1"/>
  <c r="GY116" i="17"/>
  <c r="IA116" i="17" s="1"/>
  <c r="HP109" i="17"/>
  <c r="IR109" i="17" s="1"/>
  <c r="GV116" i="17"/>
  <c r="HX116" i="17" s="1"/>
  <c r="HD239" i="17"/>
  <c r="IF239" i="17" s="1"/>
  <c r="HO337" i="17"/>
  <c r="IQ337" i="17" s="1"/>
  <c r="HB109" i="17"/>
  <c r="ID109" i="17" s="1"/>
  <c r="GX260" i="17"/>
  <c r="HZ260" i="17" s="1"/>
  <c r="GU260" i="17"/>
  <c r="HW260" i="17" s="1"/>
  <c r="HO260" i="17"/>
  <c r="IQ260" i="17" s="1"/>
  <c r="HJ116" i="17"/>
  <c r="IL116" i="17" s="1"/>
  <c r="GT116" i="17"/>
  <c r="HV116" i="17" s="1"/>
  <c r="GX337" i="17"/>
  <c r="HZ337" i="17" s="1"/>
  <c r="C126" i="17"/>
  <c r="C157" i="17"/>
  <c r="HA109" i="17"/>
  <c r="IC109" i="17" s="1"/>
  <c r="GS116" i="17"/>
  <c r="HU116" i="17" s="1"/>
  <c r="HC337" i="17"/>
  <c r="IE337" i="17" s="1"/>
  <c r="HL116" i="17"/>
  <c r="IN116" i="17" s="1"/>
  <c r="HQ109" i="17"/>
  <c r="IS109" i="17" s="1"/>
  <c r="GS109" i="17"/>
  <c r="HU109" i="17" s="1"/>
  <c r="C97" i="17"/>
  <c r="GR116" i="17"/>
  <c r="HT116" i="17" s="1"/>
  <c r="GR337" i="17"/>
  <c r="HT337" i="17" s="1"/>
  <c r="HK109" i="17"/>
  <c r="IM109" i="17" s="1"/>
  <c r="GV109" i="17"/>
  <c r="HX109" i="17" s="1"/>
  <c r="HB116" i="17"/>
  <c r="ID116" i="17" s="1"/>
  <c r="GW337" i="17"/>
  <c r="HY337" i="17" s="1"/>
  <c r="GX109" i="17"/>
  <c r="HZ109" i="17" s="1"/>
  <c r="GW109" i="17"/>
  <c r="HY109" i="17" s="1"/>
  <c r="HN116" i="17"/>
  <c r="IP116" i="17" s="1"/>
  <c r="HG337" i="17"/>
  <c r="II337" i="17" s="1"/>
  <c r="HJ109" i="17"/>
  <c r="IL109" i="17" s="1"/>
  <c r="HM109" i="17"/>
  <c r="IO109" i="17" s="1"/>
  <c r="HI223" i="17"/>
  <c r="IK223" i="17" s="1"/>
  <c r="HC301" i="17"/>
  <c r="IE301" i="17" s="1"/>
  <c r="GS96" i="17"/>
  <c r="HU96" i="17" s="1"/>
  <c r="HN109" i="17"/>
  <c r="IP109" i="17" s="1"/>
  <c r="HK96" i="17"/>
  <c r="IM96" i="17" s="1"/>
  <c r="GU109" i="17"/>
  <c r="HW109" i="17" s="1"/>
  <c r="GR109" i="17"/>
  <c r="HT109" i="17" s="1"/>
  <c r="GR161" i="17"/>
  <c r="HT161" i="17" s="1"/>
  <c r="HI109" i="17"/>
  <c r="IK109" i="17" s="1"/>
  <c r="HD109" i="17"/>
  <c r="IF109" i="17" s="1"/>
  <c r="HG76" i="17"/>
  <c r="II76" i="17" s="1"/>
  <c r="HC302" i="17"/>
  <c r="IE302" i="17" s="1"/>
  <c r="AW231" i="26"/>
  <c r="AW239" i="26"/>
  <c r="AW240" i="26"/>
  <c r="AW246" i="26"/>
  <c r="AW216" i="26"/>
  <c r="D223" i="26"/>
  <c r="D248" i="26"/>
  <c r="D238" i="26"/>
  <c r="D235" i="26"/>
  <c r="AW235" i="26"/>
  <c r="AW223" i="26"/>
  <c r="D177" i="26"/>
  <c r="AW44" i="26"/>
  <c r="D216" i="26"/>
  <c r="AW13" i="26"/>
  <c r="AW23" i="26"/>
  <c r="D33" i="26"/>
  <c r="AW33" i="26"/>
  <c r="AW222" i="26"/>
  <c r="D222" i="26"/>
  <c r="D124" i="26"/>
  <c r="AW193" i="26"/>
  <c r="AW21" i="26"/>
  <c r="AW5" i="26"/>
  <c r="D153" i="26"/>
  <c r="D150" i="26"/>
  <c r="AW258" i="26"/>
  <c r="AW124" i="26"/>
  <c r="D169" i="26"/>
  <c r="AW118" i="26"/>
  <c r="D193" i="26"/>
  <c r="D231" i="26"/>
  <c r="AW161" i="26"/>
  <c r="D115" i="26"/>
  <c r="AW115" i="26"/>
  <c r="D240" i="26"/>
  <c r="D23" i="26"/>
  <c r="D15" i="26"/>
  <c r="AW15" i="26"/>
  <c r="D46" i="26"/>
  <c r="AW247" i="26"/>
  <c r="D185" i="26"/>
  <c r="D7" i="26"/>
  <c r="AW207" i="26"/>
  <c r="D161" i="26"/>
  <c r="HE52" i="17"/>
  <c r="IG52" i="17" s="1"/>
  <c r="GS308" i="17"/>
  <c r="HU308" i="17" s="1"/>
  <c r="HJ221" i="17"/>
  <c r="IL221" i="17" s="1"/>
  <c r="HC52" i="17"/>
  <c r="IE52" i="17" s="1"/>
  <c r="GZ221" i="17"/>
  <c r="IB221" i="17" s="1"/>
  <c r="C93" i="17"/>
  <c r="GZ58" i="17"/>
  <c r="IB58" i="17" s="1"/>
  <c r="HP221" i="17"/>
  <c r="IR221" i="17" s="1"/>
  <c r="HE221" i="17"/>
  <c r="IG221" i="17" s="1"/>
  <c r="GU308" i="17"/>
  <c r="HW308" i="17" s="1"/>
  <c r="HC221" i="17"/>
  <c r="IE221" i="17" s="1"/>
  <c r="HF241" i="17"/>
  <c r="IH241" i="17" s="1"/>
  <c r="GV241" i="17"/>
  <c r="HX241" i="17" s="1"/>
  <c r="HK213" i="17"/>
  <c r="IM213" i="17" s="1"/>
  <c r="HH52" i="17"/>
  <c r="IJ52" i="17" s="1"/>
  <c r="HR221" i="17"/>
  <c r="IT221" i="17" s="1"/>
  <c r="HI221" i="17"/>
  <c r="IK221" i="17" s="1"/>
  <c r="HL308" i="17"/>
  <c r="IN308" i="17" s="1"/>
  <c r="GR308" i="17"/>
  <c r="HT308" i="17" s="1"/>
  <c r="HF221" i="17"/>
  <c r="IH221" i="17" s="1"/>
  <c r="HA308" i="17"/>
  <c r="IC308" i="17" s="1"/>
  <c r="GY221" i="17"/>
  <c r="IA221" i="17" s="1"/>
  <c r="HE213" i="17"/>
  <c r="IG213" i="17" s="1"/>
  <c r="GS52" i="17"/>
  <c r="HU52" i="17" s="1"/>
  <c r="HH221" i="17"/>
  <c r="IJ221" i="17" s="1"/>
  <c r="C235" i="17"/>
  <c r="C184" i="17"/>
  <c r="GZ147" i="17"/>
  <c r="IB147" i="17" s="1"/>
  <c r="HL141" i="17"/>
  <c r="IN141" i="17" s="1"/>
  <c r="GV244" i="17"/>
  <c r="HX244" i="17" s="1"/>
  <c r="HJ308" i="17"/>
  <c r="IL308" i="17" s="1"/>
  <c r="HB52" i="17"/>
  <c r="ID52" i="17" s="1"/>
  <c r="GT221" i="17"/>
  <c r="HV221" i="17" s="1"/>
  <c r="HD221" i="17"/>
  <c r="IF221" i="17" s="1"/>
  <c r="HQ244" i="17"/>
  <c r="IS244" i="17" s="1"/>
  <c r="GZ308" i="17"/>
  <c r="IB308" i="17" s="1"/>
  <c r="GR52" i="17"/>
  <c r="HT52" i="17" s="1"/>
  <c r="HD106" i="17"/>
  <c r="IF106" i="17" s="1"/>
  <c r="GS221" i="17"/>
  <c r="HU221" i="17" s="1"/>
  <c r="HB138" i="17"/>
  <c r="ID138" i="17" s="1"/>
  <c r="C91" i="17"/>
  <c r="HR147" i="17"/>
  <c r="IT147" i="17" s="1"/>
  <c r="HD244" i="17"/>
  <c r="IF244" i="17" s="1"/>
  <c r="C195" i="17"/>
  <c r="C164" i="17"/>
  <c r="GX52" i="17"/>
  <c r="HZ52" i="17" s="1"/>
  <c r="GU106" i="17"/>
  <c r="HW106" i="17" s="1"/>
  <c r="HL221" i="17"/>
  <c r="IN221" i="17" s="1"/>
  <c r="HH138" i="17"/>
  <c r="IJ138" i="17" s="1"/>
  <c r="C291" i="17"/>
  <c r="HJ147" i="17"/>
  <c r="IL147" i="17" s="1"/>
  <c r="HM116" i="17"/>
  <c r="IO116" i="17" s="1"/>
  <c r="GU116" i="17"/>
  <c r="HW116" i="17" s="1"/>
  <c r="GX116" i="17"/>
  <c r="HZ116" i="17" s="1"/>
  <c r="HD116" i="17"/>
  <c r="IF116" i="17" s="1"/>
  <c r="HE116" i="17"/>
  <c r="IG116" i="17" s="1"/>
  <c r="GW116" i="17"/>
  <c r="HY116" i="17" s="1"/>
  <c r="HH116" i="17"/>
  <c r="IJ116" i="17" s="1"/>
  <c r="HG116" i="17"/>
  <c r="II116" i="17" s="1"/>
  <c r="HQ116" i="17"/>
  <c r="IS116" i="17" s="1"/>
  <c r="HA116" i="17"/>
  <c r="IC116" i="17" s="1"/>
  <c r="C42" i="17"/>
  <c r="HK269" i="17"/>
  <c r="IM269" i="17" s="1"/>
  <c r="HR324" i="17"/>
  <c r="IT324" i="17" s="1"/>
  <c r="GW221" i="17"/>
  <c r="HY221" i="17" s="1"/>
  <c r="HD58" i="17"/>
  <c r="IF58" i="17" s="1"/>
  <c r="HD138" i="17"/>
  <c r="IF138" i="17" s="1"/>
  <c r="GW147" i="17"/>
  <c r="HY147" i="17" s="1"/>
  <c r="HB221" i="17"/>
  <c r="ID221" i="17" s="1"/>
  <c r="HC244" i="17"/>
  <c r="IE244" i="17" s="1"/>
  <c r="HJ52" i="17"/>
  <c r="IL52" i="17" s="1"/>
  <c r="HE244" i="17"/>
  <c r="IG244" i="17" s="1"/>
  <c r="GV83" i="17"/>
  <c r="HX83" i="17" s="1"/>
  <c r="GZ52" i="17"/>
  <c r="IB52" i="17" s="1"/>
  <c r="GU52" i="17"/>
  <c r="HW52" i="17" s="1"/>
  <c r="HO269" i="17"/>
  <c r="IQ269" i="17" s="1"/>
  <c r="GX138" i="17"/>
  <c r="HZ138" i="17" s="1"/>
  <c r="HN52" i="17"/>
  <c r="IP52" i="17" s="1"/>
  <c r="HO244" i="17"/>
  <c r="IQ244" i="17" s="1"/>
  <c r="HQ83" i="17"/>
  <c r="IS83" i="17" s="1"/>
  <c r="HC35" i="17"/>
  <c r="IE35" i="17" s="1"/>
  <c r="GT52" i="17"/>
  <c r="HV52" i="17" s="1"/>
  <c r="HF52" i="17"/>
  <c r="IH52" i="17" s="1"/>
  <c r="HB269" i="17"/>
  <c r="ID269" i="17" s="1"/>
  <c r="HQ221" i="17"/>
  <c r="IS221" i="17" s="1"/>
  <c r="C234" i="17"/>
  <c r="GU138" i="17"/>
  <c r="HW138" i="17" s="1"/>
  <c r="C266" i="17"/>
  <c r="AV42" i="17"/>
  <c r="HJ244" i="17"/>
  <c r="IL244" i="17" s="1"/>
  <c r="GW83" i="17"/>
  <c r="HY83" i="17" s="1"/>
  <c r="GY308" i="17"/>
  <c r="IA308" i="17" s="1"/>
  <c r="C228" i="17"/>
  <c r="GY52" i="17"/>
  <c r="IA52" i="17" s="1"/>
  <c r="GW52" i="17"/>
  <c r="HY52" i="17" s="1"/>
  <c r="HM269" i="17"/>
  <c r="IO269" i="17" s="1"/>
  <c r="HN221" i="17"/>
  <c r="IP221" i="17" s="1"/>
  <c r="AV190" i="17"/>
  <c r="C158" i="17"/>
  <c r="HO138" i="17"/>
  <c r="IQ138" i="17" s="1"/>
  <c r="HA52" i="17"/>
  <c r="IC52" i="17" s="1"/>
  <c r="HG256" i="17"/>
  <c r="II256" i="17" s="1"/>
  <c r="HA221" i="17"/>
  <c r="IC221" i="17" s="1"/>
  <c r="C95" i="17"/>
  <c r="HB325" i="17"/>
  <c r="ID325" i="17" s="1"/>
  <c r="GU303" i="17"/>
  <c r="HW303" i="17" s="1"/>
  <c r="HE264" i="17"/>
  <c r="IG264" i="17" s="1"/>
  <c r="HK259" i="17"/>
  <c r="IM259" i="17" s="1"/>
  <c r="C105" i="17"/>
  <c r="GU141" i="17"/>
  <c r="HW141" i="17" s="1"/>
  <c r="HQ21" i="17"/>
  <c r="IS21" i="17" s="1"/>
  <c r="HA161" i="17"/>
  <c r="IC161" i="17" s="1"/>
  <c r="HI58" i="17"/>
  <c r="IK58" i="17" s="1"/>
  <c r="HN250" i="17"/>
  <c r="IP250" i="17" s="1"/>
  <c r="HD250" i="17"/>
  <c r="IF250" i="17" s="1"/>
  <c r="GW277" i="17"/>
  <c r="HY277" i="17" s="1"/>
  <c r="HE58" i="17"/>
  <c r="IG58" i="17" s="1"/>
  <c r="GV261" i="17"/>
  <c r="HX261" i="17" s="1"/>
  <c r="GR58" i="17"/>
  <c r="HT58" i="17" s="1"/>
  <c r="HH220" i="17"/>
  <c r="IJ220" i="17" s="1"/>
  <c r="HF264" i="17"/>
  <c r="IH264" i="17" s="1"/>
  <c r="C109" i="17"/>
  <c r="HE303" i="17"/>
  <c r="IG303" i="17" s="1"/>
  <c r="HB277" i="17"/>
  <c r="ID277" i="17" s="1"/>
  <c r="GR243" i="17"/>
  <c r="HT243" i="17" s="1"/>
  <c r="HC264" i="17"/>
  <c r="IE264" i="17" s="1"/>
  <c r="HB141" i="17"/>
  <c r="ID141" i="17" s="1"/>
  <c r="HH21" i="17"/>
  <c r="IJ21" i="17" s="1"/>
  <c r="HE161" i="17"/>
  <c r="IG161" i="17" s="1"/>
  <c r="HC58" i="17"/>
  <c r="IE58" i="17" s="1"/>
  <c r="C233" i="17"/>
  <c r="GZ250" i="17"/>
  <c r="IB250" i="17" s="1"/>
  <c r="HP250" i="17"/>
  <c r="IR250" i="17" s="1"/>
  <c r="HP97" i="17"/>
  <c r="IR97" i="17" s="1"/>
  <c r="HC97" i="17"/>
  <c r="IE97" i="17" s="1"/>
  <c r="HL97" i="17"/>
  <c r="IN97" i="17" s="1"/>
  <c r="GZ97" i="17"/>
  <c r="IB97" i="17" s="1"/>
  <c r="HR97" i="17"/>
  <c r="IT97" i="17" s="1"/>
  <c r="HA97" i="17"/>
  <c r="IC97" i="17" s="1"/>
  <c r="HM97" i="17"/>
  <c r="IO97" i="17" s="1"/>
  <c r="HI97" i="17"/>
  <c r="IK97" i="17" s="1"/>
  <c r="HJ97" i="17"/>
  <c r="IL97" i="17" s="1"/>
  <c r="GW97" i="17"/>
  <c r="HY97" i="17" s="1"/>
  <c r="HB97" i="17"/>
  <c r="ID97" i="17" s="1"/>
  <c r="GR97" i="17"/>
  <c r="HT97" i="17" s="1"/>
  <c r="GX97" i="17"/>
  <c r="HZ97" i="17" s="1"/>
  <c r="HO97" i="17"/>
  <c r="IQ97" i="17" s="1"/>
  <c r="GY97" i="17"/>
  <c r="IA97" i="17" s="1"/>
  <c r="HG97" i="17"/>
  <c r="II97" i="17" s="1"/>
  <c r="HK97" i="17"/>
  <c r="IM97" i="17" s="1"/>
  <c r="GR220" i="17"/>
  <c r="HT220" i="17" s="1"/>
  <c r="HF295" i="17"/>
  <c r="IH295" i="17" s="1"/>
  <c r="AV324" i="17"/>
  <c r="HG325" i="17"/>
  <c r="II325" i="17" s="1"/>
  <c r="HL325" i="17"/>
  <c r="IN325" i="17" s="1"/>
  <c r="GX325" i="17"/>
  <c r="HZ325" i="17" s="1"/>
  <c r="GS325" i="17"/>
  <c r="HU325" i="17" s="1"/>
  <c r="HP325" i="17"/>
  <c r="IR325" i="17" s="1"/>
  <c r="HH325" i="17"/>
  <c r="IJ325" i="17" s="1"/>
  <c r="GV325" i="17"/>
  <c r="HX325" i="17" s="1"/>
  <c r="GZ325" i="17"/>
  <c r="IB325" i="17" s="1"/>
  <c r="HQ325" i="17"/>
  <c r="IS325" i="17" s="1"/>
  <c r="HI325" i="17"/>
  <c r="IK325" i="17" s="1"/>
  <c r="HJ325" i="17"/>
  <c r="IL325" i="17" s="1"/>
  <c r="HM325" i="17"/>
  <c r="IO325" i="17" s="1"/>
  <c r="GZ220" i="17"/>
  <c r="IB220" i="17" s="1"/>
  <c r="AV109" i="17"/>
  <c r="HA303" i="17"/>
  <c r="IC303" i="17" s="1"/>
  <c r="AV275" i="17"/>
  <c r="HE223" i="17"/>
  <c r="IG223" i="17" s="1"/>
  <c r="HE220" i="17"/>
  <c r="IG220" i="17" s="1"/>
  <c r="HR264" i="17"/>
  <c r="IT264" i="17" s="1"/>
  <c r="HR256" i="17"/>
  <c r="IT256" i="17" s="1"/>
  <c r="HQ113" i="17"/>
  <c r="IS113" i="17" s="1"/>
  <c r="HO113" i="17"/>
  <c r="IQ113" i="17" s="1"/>
  <c r="HO335" i="17"/>
  <c r="IQ335" i="17" s="1"/>
  <c r="HM303" i="17"/>
  <c r="IO303" i="17" s="1"/>
  <c r="HD104" i="17"/>
  <c r="IF104" i="17" s="1"/>
  <c r="HD256" i="17"/>
  <c r="IF256" i="17" s="1"/>
  <c r="HD277" i="17"/>
  <c r="IF277" i="17" s="1"/>
  <c r="GR113" i="17"/>
  <c r="HT113" i="17" s="1"/>
  <c r="HO110" i="17"/>
  <c r="IQ110" i="17" s="1"/>
  <c r="HD325" i="17"/>
  <c r="IF325" i="17" s="1"/>
  <c r="GT324" i="17"/>
  <c r="HV324" i="17" s="1"/>
  <c r="HI264" i="17"/>
  <c r="IK264" i="17" s="1"/>
  <c r="GV184" i="17"/>
  <c r="HX184" i="17" s="1"/>
  <c r="HJ302" i="17"/>
  <c r="IL302" i="17" s="1"/>
  <c r="HL24" i="17"/>
  <c r="IN24" i="17" s="1"/>
  <c r="HI21" i="17"/>
  <c r="IK21" i="17" s="1"/>
  <c r="HI161" i="17"/>
  <c r="IK161" i="17" s="1"/>
  <c r="GY58" i="17"/>
  <c r="IA58" i="17" s="1"/>
  <c r="HF250" i="17"/>
  <c r="IH250" i="17" s="1"/>
  <c r="GW250" i="17"/>
  <c r="HY250" i="17" s="1"/>
  <c r="HF138" i="17"/>
  <c r="IH138" i="17" s="1"/>
  <c r="GU325" i="17"/>
  <c r="HW325" i="17" s="1"/>
  <c r="GW206" i="17"/>
  <c r="HY206" i="17" s="1"/>
  <c r="HL206" i="17"/>
  <c r="IN206" i="17" s="1"/>
  <c r="GT206" i="17"/>
  <c r="HV206" i="17" s="1"/>
  <c r="HM206" i="17"/>
  <c r="IO206" i="17" s="1"/>
  <c r="GX206" i="17"/>
  <c r="HZ206" i="17" s="1"/>
  <c r="GU206" i="17"/>
  <c r="HW206" i="17" s="1"/>
  <c r="HB206" i="17"/>
  <c r="ID206" i="17" s="1"/>
  <c r="GZ206" i="17"/>
  <c r="IB206" i="17" s="1"/>
  <c r="HE206" i="17"/>
  <c r="IG206" i="17" s="1"/>
  <c r="HK206" i="17"/>
  <c r="IM206" i="17" s="1"/>
  <c r="HH206" i="17"/>
  <c r="IJ206" i="17" s="1"/>
  <c r="HJ206" i="17"/>
  <c r="IL206" i="17" s="1"/>
  <c r="HC206" i="17"/>
  <c r="IE206" i="17" s="1"/>
  <c r="HP206" i="17"/>
  <c r="IR206" i="17" s="1"/>
  <c r="HF206" i="17"/>
  <c r="IH206" i="17" s="1"/>
  <c r="HR206" i="17"/>
  <c r="IT206" i="17" s="1"/>
  <c r="GR206" i="17"/>
  <c r="HT206" i="17" s="1"/>
  <c r="HQ206" i="17"/>
  <c r="IS206" i="17" s="1"/>
  <c r="HG206" i="17"/>
  <c r="II206" i="17" s="1"/>
  <c r="HI206" i="17"/>
  <c r="IK206" i="17" s="1"/>
  <c r="GS206" i="17"/>
  <c r="HU206" i="17" s="1"/>
  <c r="HK266" i="17"/>
  <c r="IM266" i="17" s="1"/>
  <c r="HQ266" i="17"/>
  <c r="IS266" i="17" s="1"/>
  <c r="GW266" i="17"/>
  <c r="HY266" i="17" s="1"/>
  <c r="GR266" i="17"/>
  <c r="HT266" i="17" s="1"/>
  <c r="GT266" i="17"/>
  <c r="HV266" i="17" s="1"/>
  <c r="HE266" i="17"/>
  <c r="IG266" i="17" s="1"/>
  <c r="GU266" i="17"/>
  <c r="HW266" i="17" s="1"/>
  <c r="GX266" i="17"/>
  <c r="HZ266" i="17" s="1"/>
  <c r="HL266" i="17"/>
  <c r="IN266" i="17" s="1"/>
  <c r="GZ266" i="17"/>
  <c r="IB266" i="17" s="1"/>
  <c r="HO266" i="17"/>
  <c r="IQ266" i="17" s="1"/>
  <c r="HB266" i="17"/>
  <c r="ID266" i="17" s="1"/>
  <c r="HM266" i="17"/>
  <c r="IO266" i="17" s="1"/>
  <c r="HI266" i="17"/>
  <c r="IK266" i="17" s="1"/>
  <c r="C131" i="17"/>
  <c r="HK58" i="17"/>
  <c r="IM58" i="17" s="1"/>
  <c r="HI277" i="17"/>
  <c r="IK277" i="17" s="1"/>
  <c r="HL83" i="17"/>
  <c r="IN83" i="17" s="1"/>
  <c r="HA335" i="17"/>
  <c r="IC335" i="17" s="1"/>
  <c r="GZ243" i="17"/>
  <c r="IB243" i="17" s="1"/>
  <c r="GW20" i="17"/>
  <c r="HY20" i="17" s="1"/>
  <c r="GS303" i="17"/>
  <c r="HU303" i="17" s="1"/>
  <c r="GV104" i="17"/>
  <c r="HX104" i="17" s="1"/>
  <c r="HC256" i="17"/>
  <c r="IE256" i="17" s="1"/>
  <c r="HA277" i="17"/>
  <c r="IC277" i="17" s="1"/>
  <c r="HN113" i="17"/>
  <c r="IP113" i="17" s="1"/>
  <c r="GY110" i="17"/>
  <c r="IA110" i="17" s="1"/>
  <c r="GW114" i="17"/>
  <c r="HY114" i="17" s="1"/>
  <c r="GY325" i="17"/>
  <c r="IA325" i="17" s="1"/>
  <c r="HH214" i="17"/>
  <c r="IJ214" i="17" s="1"/>
  <c r="GV264" i="17"/>
  <c r="HX264" i="17" s="1"/>
  <c r="HB184" i="17"/>
  <c r="ID184" i="17" s="1"/>
  <c r="HD302" i="17"/>
  <c r="IF302" i="17" s="1"/>
  <c r="GT24" i="17"/>
  <c r="HV24" i="17" s="1"/>
  <c r="C163" i="17"/>
  <c r="HG266" i="17"/>
  <c r="II266" i="17" s="1"/>
  <c r="HL161" i="17"/>
  <c r="IN161" i="17" s="1"/>
  <c r="HP161" i="17"/>
  <c r="IR161" i="17" s="1"/>
  <c r="HP138" i="17"/>
  <c r="IR138" i="17" s="1"/>
  <c r="HH80" i="17"/>
  <c r="IJ80" i="17" s="1"/>
  <c r="GW58" i="17"/>
  <c r="HY58" i="17" s="1"/>
  <c r="HR250" i="17"/>
  <c r="IT250" i="17" s="1"/>
  <c r="GW138" i="17"/>
  <c r="HY138" i="17" s="1"/>
  <c r="GT325" i="17"/>
  <c r="HV325" i="17" s="1"/>
  <c r="HL147" i="17"/>
  <c r="IN147" i="17" s="1"/>
  <c r="GY147" i="17"/>
  <c r="IA147" i="17" s="1"/>
  <c r="HA58" i="17"/>
  <c r="IC58" i="17" s="1"/>
  <c r="GS102" i="17"/>
  <c r="HU102" i="17" s="1"/>
  <c r="GV58" i="17"/>
  <c r="HX58" i="17" s="1"/>
  <c r="GX102" i="17"/>
  <c r="HZ102" i="17" s="1"/>
  <c r="HH277" i="17"/>
  <c r="IJ277" i="17" s="1"/>
  <c r="HB113" i="17"/>
  <c r="ID113" i="17" s="1"/>
  <c r="GV250" i="17"/>
  <c r="HX250" i="17" s="1"/>
  <c r="HC104" i="17"/>
  <c r="IE104" i="17" s="1"/>
  <c r="GS113" i="17"/>
  <c r="HU113" i="17" s="1"/>
  <c r="HJ110" i="17"/>
  <c r="IL110" i="17" s="1"/>
  <c r="HO325" i="17"/>
  <c r="IQ325" i="17" s="1"/>
  <c r="HM324" i="17"/>
  <c r="IO324" i="17" s="1"/>
  <c r="GW264" i="17"/>
  <c r="HY264" i="17" s="1"/>
  <c r="HR184" i="17"/>
  <c r="IT184" i="17" s="1"/>
  <c r="HM302" i="17"/>
  <c r="IO302" i="17" s="1"/>
  <c r="HF24" i="17"/>
  <c r="IH24" i="17" s="1"/>
  <c r="C239" i="17"/>
  <c r="HP96" i="17"/>
  <c r="IR96" i="17" s="1"/>
  <c r="HQ161" i="17"/>
  <c r="IS161" i="17" s="1"/>
  <c r="HM250" i="17"/>
  <c r="IO250" i="17" s="1"/>
  <c r="GT80" i="17"/>
  <c r="HV80" i="17" s="1"/>
  <c r="HO58" i="17"/>
  <c r="IQ58" i="17" s="1"/>
  <c r="HE250" i="17"/>
  <c r="IG250" i="17" s="1"/>
  <c r="HJ138" i="17"/>
  <c r="IL138" i="17" s="1"/>
  <c r="GR325" i="17"/>
  <c r="HT325" i="17" s="1"/>
  <c r="HI147" i="17"/>
  <c r="IK147" i="17" s="1"/>
  <c r="HP71" i="17"/>
  <c r="IR71" i="17" s="1"/>
  <c r="HD71" i="17"/>
  <c r="IF71" i="17" s="1"/>
  <c r="GT71" i="17"/>
  <c r="HV71" i="17" s="1"/>
  <c r="HN71" i="17"/>
  <c r="IP71" i="17" s="1"/>
  <c r="HL71" i="17"/>
  <c r="IN71" i="17" s="1"/>
  <c r="GR71" i="17"/>
  <c r="HT71" i="17" s="1"/>
  <c r="HC71" i="17"/>
  <c r="IE71" i="17" s="1"/>
  <c r="GS71" i="17"/>
  <c r="HU71" i="17" s="1"/>
  <c r="HL58" i="17"/>
  <c r="IN58" i="17" s="1"/>
  <c r="GR102" i="17"/>
  <c r="HT102" i="17" s="1"/>
  <c r="HP145" i="17"/>
  <c r="IR145" i="17" s="1"/>
  <c r="HM113" i="17"/>
  <c r="IO113" i="17" s="1"/>
  <c r="HL243" i="17"/>
  <c r="IN243" i="17" s="1"/>
  <c r="HI335" i="17"/>
  <c r="IK335" i="17" s="1"/>
  <c r="HE76" i="17"/>
  <c r="IG76" i="17" s="1"/>
  <c r="HC243" i="17"/>
  <c r="IE243" i="17" s="1"/>
  <c r="GX20" i="17"/>
  <c r="HZ20" i="17" s="1"/>
  <c r="GS271" i="17"/>
  <c r="HU271" i="17" s="1"/>
  <c r="HQ303" i="17"/>
  <c r="IS303" i="17" s="1"/>
  <c r="HE104" i="17"/>
  <c r="IG104" i="17" s="1"/>
  <c r="GT256" i="17"/>
  <c r="HV256" i="17" s="1"/>
  <c r="HR277" i="17"/>
  <c r="IT277" i="17" s="1"/>
  <c r="HC277" i="17"/>
  <c r="IE277" i="17" s="1"/>
  <c r="GZ113" i="17"/>
  <c r="IB113" i="17" s="1"/>
  <c r="HC110" i="17"/>
  <c r="IE110" i="17" s="1"/>
  <c r="HH114" i="17"/>
  <c r="IJ114" i="17" s="1"/>
  <c r="HA325" i="17"/>
  <c r="IC325" i="17" s="1"/>
  <c r="GX324" i="17"/>
  <c r="HZ324" i="17" s="1"/>
  <c r="HK264" i="17"/>
  <c r="IM264" i="17" s="1"/>
  <c r="HF302" i="17"/>
  <c r="IH302" i="17" s="1"/>
  <c r="GR259" i="17"/>
  <c r="HT259" i="17" s="1"/>
  <c r="GS24" i="17"/>
  <c r="HU24" i="17" s="1"/>
  <c r="HC161" i="17"/>
  <c r="IE161" i="17" s="1"/>
  <c r="GY96" i="17"/>
  <c r="IA96" i="17" s="1"/>
  <c r="HD219" i="17"/>
  <c r="IF219" i="17" s="1"/>
  <c r="GU80" i="17"/>
  <c r="HW80" i="17" s="1"/>
  <c r="HP58" i="17"/>
  <c r="IR58" i="17" s="1"/>
  <c r="GZ205" i="17"/>
  <c r="IB205" i="17" s="1"/>
  <c r="HG250" i="17"/>
  <c r="II250" i="17" s="1"/>
  <c r="HM138" i="17"/>
  <c r="IO138" i="17" s="1"/>
  <c r="HN147" i="17"/>
  <c r="IP147" i="17" s="1"/>
  <c r="HD222" i="17"/>
  <c r="IF222" i="17" s="1"/>
  <c r="GU222" i="17"/>
  <c r="HW222" i="17" s="1"/>
  <c r="HL222" i="17"/>
  <c r="IN222" i="17" s="1"/>
  <c r="HG222" i="17"/>
  <c r="II222" i="17" s="1"/>
  <c r="HC222" i="17"/>
  <c r="IE222" i="17" s="1"/>
  <c r="HH222" i="17"/>
  <c r="IJ222" i="17" s="1"/>
  <c r="HI222" i="17"/>
  <c r="IK222" i="17" s="1"/>
  <c r="GV222" i="17"/>
  <c r="HX222" i="17" s="1"/>
  <c r="HQ222" i="17"/>
  <c r="IS222" i="17" s="1"/>
  <c r="GY222" i="17"/>
  <c r="IA222" i="17" s="1"/>
  <c r="HM222" i="17"/>
  <c r="IO222" i="17" s="1"/>
  <c r="AV10" i="17"/>
  <c r="HN277" i="17"/>
  <c r="IP277" i="17" s="1"/>
  <c r="GU295" i="17"/>
  <c r="HW295" i="17" s="1"/>
  <c r="HF82" i="17"/>
  <c r="IH82" i="17" s="1"/>
  <c r="HP277" i="17"/>
  <c r="IR277" i="17" s="1"/>
  <c r="HK243" i="17"/>
  <c r="IM243" i="17" s="1"/>
  <c r="GS250" i="17"/>
  <c r="HU250" i="17" s="1"/>
  <c r="HN335" i="17"/>
  <c r="IP335" i="17" s="1"/>
  <c r="HJ76" i="17"/>
  <c r="IL76" i="17" s="1"/>
  <c r="GW243" i="17"/>
  <c r="HY243" i="17" s="1"/>
  <c r="HD82" i="17"/>
  <c r="IF82" i="17" s="1"/>
  <c r="HH58" i="17"/>
  <c r="IJ58" i="17" s="1"/>
  <c r="HG20" i="17"/>
  <c r="II20" i="17" s="1"/>
  <c r="GT185" i="17"/>
  <c r="HV185" i="17" s="1"/>
  <c r="GS20" i="17"/>
  <c r="HU20" i="17" s="1"/>
  <c r="HE271" i="17"/>
  <c r="IG271" i="17" s="1"/>
  <c r="GX303" i="17"/>
  <c r="HZ303" i="17" s="1"/>
  <c r="GY104" i="17"/>
  <c r="IA104" i="17" s="1"/>
  <c r="GY256" i="17"/>
  <c r="IA256" i="17" s="1"/>
  <c r="HK277" i="17"/>
  <c r="IM277" i="17" s="1"/>
  <c r="GY277" i="17"/>
  <c r="IA277" i="17" s="1"/>
  <c r="HP113" i="17"/>
  <c r="IR113" i="17" s="1"/>
  <c r="GW110" i="17"/>
  <c r="HY110" i="17" s="1"/>
  <c r="HD114" i="17"/>
  <c r="IF114" i="17" s="1"/>
  <c r="HC325" i="17"/>
  <c r="IE325" i="17" s="1"/>
  <c r="GX185" i="17"/>
  <c r="HZ185" i="17" s="1"/>
  <c r="HA324" i="17"/>
  <c r="IC324" i="17" s="1"/>
  <c r="GX264" i="17"/>
  <c r="HZ264" i="17" s="1"/>
  <c r="GZ302" i="17"/>
  <c r="IB302" i="17" s="1"/>
  <c r="HO24" i="17"/>
  <c r="IQ24" i="17" s="1"/>
  <c r="HR219" i="17"/>
  <c r="IT219" i="17" s="1"/>
  <c r="HR96" i="17"/>
  <c r="IT96" i="17" s="1"/>
  <c r="HJ266" i="17"/>
  <c r="IL266" i="17" s="1"/>
  <c r="HK219" i="17"/>
  <c r="IM219" i="17" s="1"/>
  <c r="C9" i="17"/>
  <c r="AV41" i="17"/>
  <c r="C114" i="17"/>
  <c r="HJ58" i="17"/>
  <c r="IL58" i="17" s="1"/>
  <c r="HG205" i="17"/>
  <c r="II205" i="17" s="1"/>
  <c r="HO250" i="17"/>
  <c r="IQ250" i="17" s="1"/>
  <c r="GV138" i="17"/>
  <c r="HX138" i="17" s="1"/>
  <c r="AV242" i="17"/>
  <c r="C183" i="17"/>
  <c r="HC250" i="17"/>
  <c r="IE250" i="17" s="1"/>
  <c r="AV232" i="17"/>
  <c r="HB147" i="17"/>
  <c r="ID147" i="17" s="1"/>
  <c r="HA10" i="17"/>
  <c r="IC10" i="17" s="1"/>
  <c r="GX10" i="17"/>
  <c r="HZ10" i="17" s="1"/>
  <c r="HF10" i="17"/>
  <c r="IH10" i="17" s="1"/>
  <c r="GR10" i="17"/>
  <c r="HT10" i="17" s="1"/>
  <c r="GY10" i="17"/>
  <c r="IA10" i="17" s="1"/>
  <c r="HP10" i="17"/>
  <c r="IR10" i="17" s="1"/>
  <c r="GT10" i="17"/>
  <c r="HV10" i="17" s="1"/>
  <c r="HQ10" i="17"/>
  <c r="IS10" i="17" s="1"/>
  <c r="HL10" i="17"/>
  <c r="IN10" i="17" s="1"/>
  <c r="HO10" i="17"/>
  <c r="IQ10" i="17" s="1"/>
  <c r="GS10" i="17"/>
  <c r="HU10" i="17" s="1"/>
  <c r="GW10" i="17"/>
  <c r="HY10" i="17" s="1"/>
  <c r="HB10" i="17"/>
  <c r="ID10" i="17" s="1"/>
  <c r="HO277" i="17"/>
  <c r="IQ277" i="17" s="1"/>
  <c r="HE83" i="17"/>
  <c r="IG83" i="17" s="1"/>
  <c r="HO213" i="17"/>
  <c r="IQ213" i="17" s="1"/>
  <c r="GT113" i="17"/>
  <c r="HV113" i="17" s="1"/>
  <c r="HR275" i="17"/>
  <c r="IT275" i="17" s="1"/>
  <c r="HL264" i="17"/>
  <c r="IN264" i="17" s="1"/>
  <c r="HN58" i="17"/>
  <c r="IP58" i="17" s="1"/>
  <c r="HA250" i="17"/>
  <c r="IC250" i="17" s="1"/>
  <c r="HJ82" i="17"/>
  <c r="IL82" i="17" s="1"/>
  <c r="HR325" i="17"/>
  <c r="IT325" i="17" s="1"/>
  <c r="GU58" i="17"/>
  <c r="HW58" i="17" s="1"/>
  <c r="HF29" i="17"/>
  <c r="IH29" i="17" s="1"/>
  <c r="GT104" i="17"/>
  <c r="HV104" i="17" s="1"/>
  <c r="HR243" i="17"/>
  <c r="IT243" i="17" s="1"/>
  <c r="HR303" i="17"/>
  <c r="IT303" i="17" s="1"/>
  <c r="HQ256" i="17"/>
  <c r="IS256" i="17" s="1"/>
  <c r="GZ277" i="17"/>
  <c r="IB277" i="17" s="1"/>
  <c r="HB335" i="17"/>
  <c r="ID335" i="17" s="1"/>
  <c r="GZ76" i="17"/>
  <c r="IB76" i="17" s="1"/>
  <c r="GS82" i="17"/>
  <c r="HU82" i="17" s="1"/>
  <c r="HM58" i="17"/>
  <c r="IO58" i="17" s="1"/>
  <c r="HK20" i="17"/>
  <c r="IM20" i="17" s="1"/>
  <c r="HC271" i="17"/>
  <c r="IE271" i="17" s="1"/>
  <c r="HH303" i="17"/>
  <c r="IJ303" i="17" s="1"/>
  <c r="HL104" i="17"/>
  <c r="IN104" i="17" s="1"/>
  <c r="GX256" i="17"/>
  <c r="HZ256" i="17" s="1"/>
  <c r="HE277" i="17"/>
  <c r="IG277" i="17" s="1"/>
  <c r="GV277" i="17"/>
  <c r="HX277" i="17" s="1"/>
  <c r="GW113" i="17"/>
  <c r="HY113" i="17" s="1"/>
  <c r="GV110" i="17"/>
  <c r="HX110" i="17" s="1"/>
  <c r="GV114" i="17"/>
  <c r="HX114" i="17" s="1"/>
  <c r="HK325" i="17"/>
  <c r="IM325" i="17" s="1"/>
  <c r="HO185" i="17"/>
  <c r="IQ185" i="17" s="1"/>
  <c r="HE324" i="17"/>
  <c r="IG324" i="17" s="1"/>
  <c r="GW96" i="17"/>
  <c r="HY96" i="17" s="1"/>
  <c r="HE302" i="17"/>
  <c r="IG302" i="17" s="1"/>
  <c r="GU24" i="17"/>
  <c r="HW24" i="17" s="1"/>
  <c r="AV206" i="17"/>
  <c r="HJ96" i="17"/>
  <c r="IL96" i="17" s="1"/>
  <c r="GS266" i="17"/>
  <c r="HU266" i="17" s="1"/>
  <c r="HM219" i="17"/>
  <c r="IO219" i="17" s="1"/>
  <c r="GT58" i="17"/>
  <c r="HV58" i="17" s="1"/>
  <c r="GY138" i="17"/>
  <c r="IA138" i="17" s="1"/>
  <c r="GS205" i="17"/>
  <c r="HU205" i="17" s="1"/>
  <c r="GY250" i="17"/>
  <c r="IA250" i="17" s="1"/>
  <c r="HK138" i="17"/>
  <c r="IM138" i="17" s="1"/>
  <c r="HF325" i="17"/>
  <c r="IH325" i="17" s="1"/>
  <c r="C69" i="17"/>
  <c r="C53" i="17"/>
  <c r="C260" i="17"/>
  <c r="GX250" i="17"/>
  <c r="HZ250" i="17" s="1"/>
  <c r="C36" i="17"/>
  <c r="C232" i="17"/>
  <c r="HH147" i="17"/>
  <c r="IJ147" i="17" s="1"/>
  <c r="GW102" i="17"/>
  <c r="HY102" i="17" s="1"/>
  <c r="HB58" i="17"/>
  <c r="ID58" i="17" s="1"/>
  <c r="HA113" i="17"/>
  <c r="IC113" i="17" s="1"/>
  <c r="GZ275" i="17"/>
  <c r="IB275" i="17" s="1"/>
  <c r="GY295" i="17"/>
  <c r="IA295" i="17" s="1"/>
  <c r="GZ29" i="17"/>
  <c r="IB29" i="17" s="1"/>
  <c r="HB243" i="17"/>
  <c r="ID243" i="17" s="1"/>
  <c r="GW161" i="17"/>
  <c r="HY161" i="17" s="1"/>
  <c r="HJ250" i="17"/>
  <c r="IL250" i="17" s="1"/>
  <c r="GT250" i="17"/>
  <c r="HV250" i="17" s="1"/>
  <c r="HP83" i="17"/>
  <c r="IR83" i="17" s="1"/>
  <c r="HP29" i="17"/>
  <c r="IR29" i="17" s="1"/>
  <c r="HH29" i="17"/>
  <c r="IJ29" i="17" s="1"/>
  <c r="HK145" i="17"/>
  <c r="IM145" i="17" s="1"/>
  <c r="HN161" i="17"/>
  <c r="IP161" i="17" s="1"/>
  <c r="GX335" i="17"/>
  <c r="HZ335" i="17" s="1"/>
  <c r="HP335" i="17"/>
  <c r="IR335" i="17" s="1"/>
  <c r="HR76" i="17"/>
  <c r="IT76" i="17" s="1"/>
  <c r="C170" i="17"/>
  <c r="C43" i="17"/>
  <c r="HP82" i="17"/>
  <c r="IR82" i="17" s="1"/>
  <c r="HQ58" i="17"/>
  <c r="IS58" i="17" s="1"/>
  <c r="HC20" i="17"/>
  <c r="IE20" i="17" s="1"/>
  <c r="HF271" i="17"/>
  <c r="IH271" i="17" s="1"/>
  <c r="GZ303" i="17"/>
  <c r="IB303" i="17" s="1"/>
  <c r="HM220" i="17"/>
  <c r="IO220" i="17" s="1"/>
  <c r="HK256" i="17"/>
  <c r="IM256" i="17" s="1"/>
  <c r="HM277" i="17"/>
  <c r="IO277" i="17" s="1"/>
  <c r="HJ277" i="17"/>
  <c r="IL277" i="17" s="1"/>
  <c r="HE113" i="17"/>
  <c r="IG113" i="17" s="1"/>
  <c r="HN261" i="17"/>
  <c r="IP261" i="17" s="1"/>
  <c r="HG114" i="17"/>
  <c r="II114" i="17" s="1"/>
  <c r="GW325" i="17"/>
  <c r="HY325" i="17" s="1"/>
  <c r="HN185" i="17"/>
  <c r="IP185" i="17" s="1"/>
  <c r="HQ324" i="17"/>
  <c r="IS324" i="17" s="1"/>
  <c r="HN96" i="17"/>
  <c r="IP96" i="17" s="1"/>
  <c r="HF303" i="17"/>
  <c r="IH303" i="17" s="1"/>
  <c r="HB302" i="17"/>
  <c r="ID302" i="17" s="1"/>
  <c r="HL135" i="17"/>
  <c r="IN135" i="17" s="1"/>
  <c r="C147" i="17"/>
  <c r="HR266" i="17"/>
  <c r="IT266" i="17" s="1"/>
  <c r="GY219" i="17"/>
  <c r="IA219" i="17" s="1"/>
  <c r="C242" i="17"/>
  <c r="HG58" i="17"/>
  <c r="II58" i="17" s="1"/>
  <c r="GU250" i="17"/>
  <c r="HW250" i="17" s="1"/>
  <c r="HR205" i="17"/>
  <c r="IT205" i="17" s="1"/>
  <c r="HQ250" i="17"/>
  <c r="IS250" i="17" s="1"/>
  <c r="HA138" i="17"/>
  <c r="IC138" i="17" s="1"/>
  <c r="GV206" i="17"/>
  <c r="HX206" i="17" s="1"/>
  <c r="HD147" i="17"/>
  <c r="IF147" i="17" s="1"/>
  <c r="GS58" i="17"/>
  <c r="HU58" i="17" s="1"/>
  <c r="GX113" i="17"/>
  <c r="HZ113" i="17" s="1"/>
  <c r="HB295" i="17"/>
  <c r="ID295" i="17" s="1"/>
  <c r="GZ102" i="17"/>
  <c r="IB102" i="17" s="1"/>
  <c r="C178" i="17"/>
  <c r="HH335" i="17"/>
  <c r="IJ335" i="17" s="1"/>
  <c r="AV164" i="17"/>
  <c r="HK82" i="17"/>
  <c r="IM82" i="17" s="1"/>
  <c r="HR58" i="17"/>
  <c r="IT58" i="17" s="1"/>
  <c r="HH135" i="17"/>
  <c r="IJ135" i="17" s="1"/>
  <c r="HE20" i="17"/>
  <c r="IG20" i="17" s="1"/>
  <c r="HA153" i="17"/>
  <c r="IC153" i="17" s="1"/>
  <c r="HK303" i="17"/>
  <c r="IM303" i="17" s="1"/>
  <c r="HN256" i="17"/>
  <c r="IP256" i="17" s="1"/>
  <c r="GX277" i="17"/>
  <c r="HZ277" i="17" s="1"/>
  <c r="GU113" i="17"/>
  <c r="HW113" i="17" s="1"/>
  <c r="HD20" i="17"/>
  <c r="IF20" i="17" s="1"/>
  <c r="HF96" i="17"/>
  <c r="IH96" i="17" s="1"/>
  <c r="HO135" i="17"/>
  <c r="IQ135" i="17" s="1"/>
  <c r="C115" i="17"/>
  <c r="HH266" i="17"/>
  <c r="IJ266" i="17" s="1"/>
  <c r="AV249" i="17"/>
  <c r="HF58" i="17"/>
  <c r="IH58" i="17" s="1"/>
  <c r="C92" i="17"/>
  <c r="HD205" i="17"/>
  <c r="IF205" i="17" s="1"/>
  <c r="HQ138" i="17"/>
  <c r="IS138" i="17" s="1"/>
  <c r="HA147" i="17"/>
  <c r="IC147" i="17" s="1"/>
  <c r="AV21" i="17"/>
  <c r="HP147" i="17"/>
  <c r="IR147" i="17" s="1"/>
  <c r="HG109" i="17"/>
  <c r="II109" i="17" s="1"/>
  <c r="HH109" i="17"/>
  <c r="IJ109" i="17" s="1"/>
  <c r="AV80" i="17"/>
  <c r="HC192" i="17"/>
  <c r="IE192" i="17" s="1"/>
  <c r="HM192" i="17"/>
  <c r="IO192" i="17" s="1"/>
  <c r="HJ192" i="17"/>
  <c r="IL192" i="17" s="1"/>
  <c r="GT265" i="17"/>
  <c r="HV265" i="17" s="1"/>
  <c r="C264" i="17"/>
  <c r="HH85" i="17"/>
  <c r="IJ85" i="17" s="1"/>
  <c r="C132" i="17"/>
  <c r="AV115" i="17"/>
  <c r="HI81" i="17"/>
  <c r="IK81" i="17" s="1"/>
  <c r="HL81" i="17"/>
  <c r="IN81" i="17" s="1"/>
  <c r="GV81" i="17"/>
  <c r="HX81" i="17" s="1"/>
  <c r="HE81" i="17"/>
  <c r="IG81" i="17" s="1"/>
  <c r="HM81" i="17"/>
  <c r="IO81" i="17" s="1"/>
  <c r="HK81" i="17"/>
  <c r="IM81" i="17" s="1"/>
  <c r="GR81" i="17"/>
  <c r="HT81" i="17" s="1"/>
  <c r="GV157" i="17"/>
  <c r="HX157" i="17" s="1"/>
  <c r="HN157" i="17"/>
  <c r="IP157" i="17" s="1"/>
  <c r="HC157" i="17"/>
  <c r="IE157" i="17" s="1"/>
  <c r="HA157" i="17"/>
  <c r="IC157" i="17" s="1"/>
  <c r="HD157" i="17"/>
  <c r="IF157" i="17" s="1"/>
  <c r="HM157" i="17"/>
  <c r="IO157" i="17" s="1"/>
  <c r="HL157" i="17"/>
  <c r="IN157" i="17" s="1"/>
  <c r="GU157" i="17"/>
  <c r="HW157" i="17" s="1"/>
  <c r="HQ157" i="17"/>
  <c r="IS157" i="17" s="1"/>
  <c r="HH157" i="17"/>
  <c r="IJ157" i="17" s="1"/>
  <c r="GS157" i="17"/>
  <c r="HU157" i="17" s="1"/>
  <c r="HR157" i="17"/>
  <c r="IT157" i="17" s="1"/>
  <c r="GZ157" i="17"/>
  <c r="IB157" i="17" s="1"/>
  <c r="HJ157" i="17"/>
  <c r="IL157" i="17" s="1"/>
  <c r="HK157" i="17"/>
  <c r="IM157" i="17" s="1"/>
  <c r="HF157" i="17"/>
  <c r="IH157" i="17" s="1"/>
  <c r="HO157" i="17"/>
  <c r="IQ157" i="17" s="1"/>
  <c r="GR157" i="17"/>
  <c r="HT157" i="17" s="1"/>
  <c r="GT157" i="17"/>
  <c r="HV157" i="17" s="1"/>
  <c r="GW157" i="17"/>
  <c r="HY157" i="17" s="1"/>
  <c r="HI157" i="17"/>
  <c r="IK157" i="17" s="1"/>
  <c r="HE157" i="17"/>
  <c r="IG157" i="17" s="1"/>
  <c r="GX157" i="17"/>
  <c r="HZ157" i="17" s="1"/>
  <c r="HG157" i="17"/>
  <c r="II157" i="17" s="1"/>
  <c r="HP157" i="17"/>
  <c r="IR157" i="17" s="1"/>
  <c r="GY157" i="17"/>
  <c r="IA157" i="17" s="1"/>
  <c r="HB157" i="17"/>
  <c r="ID157" i="17" s="1"/>
  <c r="C80" i="17"/>
  <c r="AV36" i="17"/>
  <c r="C125" i="17"/>
  <c r="HK85" i="17"/>
  <c r="IM85" i="17" s="1"/>
  <c r="HL85" i="17"/>
  <c r="IN85" i="17" s="1"/>
  <c r="HM85" i="17"/>
  <c r="IO85" i="17" s="1"/>
  <c r="HP85" i="17"/>
  <c r="IR85" i="17" s="1"/>
  <c r="GT85" i="17"/>
  <c r="HV85" i="17" s="1"/>
  <c r="GV85" i="17"/>
  <c r="HX85" i="17" s="1"/>
  <c r="HA85" i="17"/>
  <c r="IC85" i="17" s="1"/>
  <c r="GW85" i="17"/>
  <c r="HY85" i="17" s="1"/>
  <c r="GR85" i="17"/>
  <c r="HT85" i="17" s="1"/>
  <c r="GU85" i="17"/>
  <c r="HW85" i="17" s="1"/>
  <c r="HN85" i="17"/>
  <c r="IP85" i="17" s="1"/>
  <c r="GX85" i="17"/>
  <c r="HZ85" i="17" s="1"/>
  <c r="GY85" i="17"/>
  <c r="IA85" i="17" s="1"/>
  <c r="HG85" i="17"/>
  <c r="II85" i="17" s="1"/>
  <c r="HF85" i="17"/>
  <c r="IH85" i="17" s="1"/>
  <c r="HJ85" i="17"/>
  <c r="IL85" i="17" s="1"/>
  <c r="HB85" i="17"/>
  <c r="ID85" i="17" s="1"/>
  <c r="HQ85" i="17"/>
  <c r="IS85" i="17" s="1"/>
  <c r="HO85" i="17"/>
  <c r="IQ85" i="17" s="1"/>
  <c r="HE85" i="17"/>
  <c r="IG85" i="17" s="1"/>
  <c r="GS85" i="17"/>
  <c r="HU85" i="17" s="1"/>
  <c r="HI85" i="17"/>
  <c r="IK85" i="17" s="1"/>
  <c r="GZ85" i="17"/>
  <c r="IB85" i="17" s="1"/>
  <c r="HC85" i="17"/>
  <c r="IE85" i="17" s="1"/>
  <c r="HL216" i="17"/>
  <c r="IN216" i="17" s="1"/>
  <c r="HI216" i="17"/>
  <c r="IK216" i="17" s="1"/>
  <c r="GY216" i="17"/>
  <c r="IA216" i="17" s="1"/>
  <c r="GV216" i="17"/>
  <c r="HX216" i="17" s="1"/>
  <c r="HH216" i="17"/>
  <c r="IJ216" i="17" s="1"/>
  <c r="HA216" i="17"/>
  <c r="IC216" i="17" s="1"/>
  <c r="HC216" i="17"/>
  <c r="IE216" i="17" s="1"/>
  <c r="HE216" i="17"/>
  <c r="IG216" i="17" s="1"/>
  <c r="GS216" i="17"/>
  <c r="HU216" i="17" s="1"/>
  <c r="HB216" i="17"/>
  <c r="ID216" i="17" s="1"/>
  <c r="HF216" i="17"/>
  <c r="IH216" i="17" s="1"/>
  <c r="HN216" i="17"/>
  <c r="IP216" i="17" s="1"/>
  <c r="GU216" i="17"/>
  <c r="HW216" i="17" s="1"/>
  <c r="HR216" i="17"/>
  <c r="IT216" i="17" s="1"/>
  <c r="HO216" i="17"/>
  <c r="IQ216" i="17" s="1"/>
  <c r="HG216" i="17"/>
  <c r="II216" i="17" s="1"/>
  <c r="HJ216" i="17"/>
  <c r="IL216" i="17" s="1"/>
  <c r="HD216" i="17"/>
  <c r="IF216" i="17" s="1"/>
  <c r="GT216" i="17"/>
  <c r="HV216" i="17" s="1"/>
  <c r="GW216" i="17"/>
  <c r="HY216" i="17" s="1"/>
  <c r="HP216" i="17"/>
  <c r="IR216" i="17" s="1"/>
  <c r="GX216" i="17"/>
  <c r="HZ216" i="17" s="1"/>
  <c r="HM216" i="17"/>
  <c r="IO216" i="17" s="1"/>
  <c r="HK216" i="17"/>
  <c r="IM216" i="17" s="1"/>
  <c r="HQ216" i="17"/>
  <c r="IS216" i="17" s="1"/>
  <c r="HG105" i="17"/>
  <c r="II105" i="17" s="1"/>
  <c r="GY105" i="17"/>
  <c r="IA105" i="17" s="1"/>
  <c r="HN105" i="17"/>
  <c r="IP105" i="17" s="1"/>
  <c r="HC105" i="17"/>
  <c r="IE105" i="17" s="1"/>
  <c r="HQ105" i="17"/>
  <c r="IS105" i="17" s="1"/>
  <c r="HK105" i="17"/>
  <c r="IM105" i="17" s="1"/>
  <c r="HF105" i="17"/>
  <c r="IH105" i="17" s="1"/>
  <c r="HA105" i="17"/>
  <c r="IC105" i="17" s="1"/>
  <c r="HE105" i="17"/>
  <c r="IG105" i="17" s="1"/>
  <c r="GT105" i="17"/>
  <c r="HV105" i="17" s="1"/>
  <c r="HD105" i="17"/>
  <c r="IF105" i="17" s="1"/>
  <c r="HB105" i="17"/>
  <c r="ID105" i="17" s="1"/>
  <c r="GR105" i="17"/>
  <c r="HT105" i="17" s="1"/>
  <c r="HM105" i="17"/>
  <c r="IO105" i="17" s="1"/>
  <c r="GS105" i="17"/>
  <c r="HU105" i="17" s="1"/>
  <c r="HH105" i="17"/>
  <c r="IJ105" i="17" s="1"/>
  <c r="GW105" i="17"/>
  <c r="HY105" i="17" s="1"/>
  <c r="HP105" i="17"/>
  <c r="IR105" i="17" s="1"/>
  <c r="HR105" i="17"/>
  <c r="IT105" i="17" s="1"/>
  <c r="HJ105" i="17"/>
  <c r="IL105" i="17" s="1"/>
  <c r="GZ105" i="17"/>
  <c r="IB105" i="17" s="1"/>
  <c r="GU105" i="17"/>
  <c r="HW105" i="17" s="1"/>
  <c r="HL105" i="17"/>
  <c r="IN105" i="17" s="1"/>
  <c r="HI105" i="17"/>
  <c r="IK105" i="17" s="1"/>
  <c r="C57" i="17"/>
  <c r="GX105" i="17"/>
  <c r="HZ105" i="17" s="1"/>
  <c r="HO105" i="17"/>
  <c r="IQ105" i="17" s="1"/>
  <c r="HE8" i="17"/>
  <c r="IG8" i="17" s="1"/>
  <c r="GS8" i="17"/>
  <c r="HU8" i="17" s="1"/>
  <c r="GY8" i="17"/>
  <c r="IA8" i="17" s="1"/>
  <c r="HN8" i="17"/>
  <c r="IP8" i="17" s="1"/>
  <c r="HD8" i="17"/>
  <c r="IF8" i="17" s="1"/>
  <c r="HO8" i="17"/>
  <c r="IQ8" i="17" s="1"/>
  <c r="HR8" i="17"/>
  <c r="IT8" i="17" s="1"/>
  <c r="HK8" i="17"/>
  <c r="IM8" i="17" s="1"/>
  <c r="GW8" i="17"/>
  <c r="HY8" i="17" s="1"/>
  <c r="GZ8" i="17"/>
  <c r="IB8" i="17" s="1"/>
  <c r="GR265" i="17"/>
  <c r="HT265" i="17" s="1"/>
  <c r="HE265" i="17"/>
  <c r="IG265" i="17" s="1"/>
  <c r="HB265" i="17"/>
  <c r="ID265" i="17" s="1"/>
  <c r="GW265" i="17"/>
  <c r="HY265" i="17" s="1"/>
  <c r="HN265" i="17"/>
  <c r="IP265" i="17" s="1"/>
  <c r="HP265" i="17"/>
  <c r="IR265" i="17" s="1"/>
  <c r="HM265" i="17"/>
  <c r="IO265" i="17" s="1"/>
  <c r="GS265" i="17"/>
  <c r="HU265" i="17" s="1"/>
  <c r="AV37" i="17"/>
  <c r="C37" i="17"/>
  <c r="C52" i="17"/>
  <c r="AV52" i="17"/>
  <c r="C222" i="17"/>
  <c r="AV222" i="17"/>
  <c r="AV85" i="17"/>
  <c r="AV157" i="17"/>
  <c r="HH265" i="17"/>
  <c r="IJ265" i="17" s="1"/>
  <c r="GV265" i="17"/>
  <c r="HX265" i="17" s="1"/>
  <c r="HR85" i="17"/>
  <c r="IT85" i="17" s="1"/>
  <c r="HC8" i="17"/>
  <c r="IE8" i="17" s="1"/>
  <c r="HD111" i="17"/>
  <c r="IF111" i="17" s="1"/>
  <c r="GX111" i="17"/>
  <c r="HZ111" i="17" s="1"/>
  <c r="HG111" i="17"/>
  <c r="II111" i="17" s="1"/>
  <c r="C146" i="17"/>
  <c r="AV202" i="17"/>
  <c r="HO323" i="17"/>
  <c r="IQ323" i="17" s="1"/>
  <c r="HB24" i="17"/>
  <c r="ID24" i="17" s="1"/>
  <c r="HI239" i="17"/>
  <c r="IK239" i="17" s="1"/>
  <c r="HD337" i="17"/>
  <c r="IF337" i="17" s="1"/>
  <c r="AV183" i="17"/>
  <c r="HN275" i="17"/>
  <c r="IP275" i="17" s="1"/>
  <c r="HC275" i="17"/>
  <c r="IE275" i="17" s="1"/>
  <c r="GX275" i="17"/>
  <c r="HZ275" i="17" s="1"/>
  <c r="HO275" i="17"/>
  <c r="IQ275" i="17" s="1"/>
  <c r="GT275" i="17"/>
  <c r="HV275" i="17" s="1"/>
  <c r="HE275" i="17"/>
  <c r="IG275" i="17" s="1"/>
  <c r="HB275" i="17"/>
  <c r="ID275" i="17" s="1"/>
  <c r="HL275" i="17"/>
  <c r="IN275" i="17" s="1"/>
  <c r="HA275" i="17"/>
  <c r="IC275" i="17" s="1"/>
  <c r="GW275" i="17"/>
  <c r="HY275" i="17" s="1"/>
  <c r="HM275" i="17"/>
  <c r="IO275" i="17" s="1"/>
  <c r="HH275" i="17"/>
  <c r="IJ275" i="17" s="1"/>
  <c r="HP275" i="17"/>
  <c r="IR275" i="17" s="1"/>
  <c r="GY275" i="17"/>
  <c r="IA275" i="17" s="1"/>
  <c r="GS275" i="17"/>
  <c r="HU275" i="17" s="1"/>
  <c r="GW323" i="17"/>
  <c r="HY323" i="17" s="1"/>
  <c r="HQ275" i="17"/>
  <c r="IS275" i="17" s="1"/>
  <c r="GU294" i="17"/>
  <c r="HW294" i="17" s="1"/>
  <c r="HR187" i="17"/>
  <c r="IT187" i="17" s="1"/>
  <c r="GY24" i="17"/>
  <c r="IA24" i="17" s="1"/>
  <c r="GU323" i="17"/>
  <c r="HW323" i="17" s="1"/>
  <c r="HB323" i="17"/>
  <c r="ID323" i="17" s="1"/>
  <c r="HF337" i="17"/>
  <c r="IH337" i="17" s="1"/>
  <c r="C258" i="17"/>
  <c r="HH110" i="17"/>
  <c r="IJ110" i="17" s="1"/>
  <c r="HF239" i="17"/>
  <c r="IH239" i="17" s="1"/>
  <c r="HF205" i="17"/>
  <c r="IH205" i="17" s="1"/>
  <c r="HI243" i="17"/>
  <c r="IK243" i="17" s="1"/>
  <c r="HE35" i="17"/>
  <c r="IG35" i="17" s="1"/>
  <c r="HD243" i="17"/>
  <c r="IF243" i="17" s="1"/>
  <c r="AV5" i="17"/>
  <c r="C310" i="17"/>
  <c r="AV237" i="17"/>
  <c r="HN244" i="17"/>
  <c r="IP244" i="17" s="1"/>
  <c r="GS243" i="17"/>
  <c r="HU243" i="17" s="1"/>
  <c r="C35" i="17"/>
  <c r="HJ184" i="17"/>
  <c r="IL184" i="17" s="1"/>
  <c r="HD160" i="17"/>
  <c r="IF160" i="17" s="1"/>
  <c r="GV20" i="17"/>
  <c r="HX20" i="17" s="1"/>
  <c r="HQ104" i="17"/>
  <c r="IS104" i="17" s="1"/>
  <c r="HN279" i="17"/>
  <c r="IP279" i="17" s="1"/>
  <c r="GY187" i="17"/>
  <c r="IA187" i="17" s="1"/>
  <c r="HE110" i="17"/>
  <c r="IG110" i="17" s="1"/>
  <c r="HI244" i="17"/>
  <c r="IK244" i="17" s="1"/>
  <c r="HD323" i="17"/>
  <c r="IF323" i="17" s="1"/>
  <c r="GT218" i="17"/>
  <c r="HV218" i="17" s="1"/>
  <c r="GW295" i="17"/>
  <c r="HY295" i="17" s="1"/>
  <c r="GU239" i="17"/>
  <c r="HW239" i="17" s="1"/>
  <c r="HR239" i="17"/>
  <c r="IT239" i="17" s="1"/>
  <c r="HQ259" i="17"/>
  <c r="IS259" i="17" s="1"/>
  <c r="HA5" i="17"/>
  <c r="IC5" i="17" s="1"/>
  <c r="HQ24" i="17"/>
  <c r="IS24" i="17" s="1"/>
  <c r="HJ135" i="17"/>
  <c r="IL135" i="17" s="1"/>
  <c r="AV325" i="17"/>
  <c r="HB161" i="17"/>
  <c r="ID161" i="17" s="1"/>
  <c r="GU161" i="17"/>
  <c r="HW161" i="17" s="1"/>
  <c r="HJ337" i="17"/>
  <c r="IL337" i="17" s="1"/>
  <c r="HM24" i="17"/>
  <c r="IO24" i="17" s="1"/>
  <c r="GX205" i="17"/>
  <c r="HZ205" i="17" s="1"/>
  <c r="HJ205" i="17"/>
  <c r="IL205" i="17" s="1"/>
  <c r="C17" i="17"/>
  <c r="C292" i="17"/>
  <c r="AV295" i="17"/>
  <c r="GW141" i="17"/>
  <c r="HY141" i="17" s="1"/>
  <c r="HJ141" i="17"/>
  <c r="IL141" i="17" s="1"/>
  <c r="HM141" i="17"/>
  <c r="IO141" i="17" s="1"/>
  <c r="HC141" i="17"/>
  <c r="IE141" i="17" s="1"/>
  <c r="GR141" i="17"/>
  <c r="HT141" i="17" s="1"/>
  <c r="HP141" i="17"/>
  <c r="IR141" i="17" s="1"/>
  <c r="GY141" i="17"/>
  <c r="IA141" i="17" s="1"/>
  <c r="HA141" i="17"/>
  <c r="IC141" i="17" s="1"/>
  <c r="HR141" i="17"/>
  <c r="IT141" i="17" s="1"/>
  <c r="HE141" i="17"/>
  <c r="IG141" i="17" s="1"/>
  <c r="HD141" i="17"/>
  <c r="IF141" i="17" s="1"/>
  <c r="HI141" i="17"/>
  <c r="IK141" i="17" s="1"/>
  <c r="HQ141" i="17"/>
  <c r="IS141" i="17" s="1"/>
  <c r="HG141" i="17"/>
  <c r="II141" i="17" s="1"/>
  <c r="HN141" i="17"/>
  <c r="IP141" i="17" s="1"/>
  <c r="HO141" i="17"/>
  <c r="IQ141" i="17" s="1"/>
  <c r="GX141" i="17"/>
  <c r="HZ141" i="17" s="1"/>
  <c r="HH141" i="17"/>
  <c r="IJ141" i="17" s="1"/>
  <c r="GT141" i="17"/>
  <c r="HV141" i="17" s="1"/>
  <c r="HF141" i="17"/>
  <c r="IH141" i="17" s="1"/>
  <c r="GZ141" i="17"/>
  <c r="IB141" i="17" s="1"/>
  <c r="HK141" i="17"/>
  <c r="IM141" i="17" s="1"/>
  <c r="GS141" i="17"/>
  <c r="HU141" i="17" s="1"/>
  <c r="AV125" i="17"/>
  <c r="C275" i="17"/>
  <c r="HE21" i="17"/>
  <c r="IG21" i="17" s="1"/>
  <c r="GS21" i="17"/>
  <c r="HU21" i="17" s="1"/>
  <c r="HF21" i="17"/>
  <c r="IH21" i="17" s="1"/>
  <c r="HR21" i="17"/>
  <c r="IT21" i="17" s="1"/>
  <c r="GX21" i="17"/>
  <c r="HZ21" i="17" s="1"/>
  <c r="GR21" i="17"/>
  <c r="HT21" i="17" s="1"/>
  <c r="HC21" i="17"/>
  <c r="IE21" i="17" s="1"/>
  <c r="HA21" i="17"/>
  <c r="IC21" i="17" s="1"/>
  <c r="HK21" i="17"/>
  <c r="IM21" i="17" s="1"/>
  <c r="HB21" i="17"/>
  <c r="ID21" i="17" s="1"/>
  <c r="HJ21" i="17"/>
  <c r="IL21" i="17" s="1"/>
  <c r="HG21" i="17"/>
  <c r="II21" i="17" s="1"/>
  <c r="HP21" i="17"/>
  <c r="IR21" i="17" s="1"/>
  <c r="HL21" i="17"/>
  <c r="IN21" i="17" s="1"/>
  <c r="HD21" i="17"/>
  <c r="IF21" i="17" s="1"/>
  <c r="HM21" i="17"/>
  <c r="IO21" i="17" s="1"/>
  <c r="HO21" i="17"/>
  <c r="IQ21" i="17" s="1"/>
  <c r="GY21" i="17"/>
  <c r="IA21" i="17" s="1"/>
  <c r="GW21" i="17"/>
  <c r="HY21" i="17" s="1"/>
  <c r="GT21" i="17"/>
  <c r="HV21" i="17" s="1"/>
  <c r="HN21" i="17"/>
  <c r="IP21" i="17" s="1"/>
  <c r="GR183" i="17"/>
  <c r="HT183" i="17" s="1"/>
  <c r="HG294" i="17"/>
  <c r="II294" i="17" s="1"/>
  <c r="HF294" i="17"/>
  <c r="IH294" i="17" s="1"/>
  <c r="HD294" i="17"/>
  <c r="IF294" i="17" s="1"/>
  <c r="HR294" i="17"/>
  <c r="IT294" i="17" s="1"/>
  <c r="HM294" i="17"/>
  <c r="IO294" i="17" s="1"/>
  <c r="GT323" i="17"/>
  <c r="HV323" i="17" s="1"/>
  <c r="C143" i="17"/>
  <c r="GZ323" i="17"/>
  <c r="IB323" i="17" s="1"/>
  <c r="GV187" i="17"/>
  <c r="HX187" i="17" s="1"/>
  <c r="GT184" i="17"/>
  <c r="HV184" i="17" s="1"/>
  <c r="GT5" i="17"/>
  <c r="HV5" i="17" s="1"/>
  <c r="GR323" i="17"/>
  <c r="HT323" i="17" s="1"/>
  <c r="C277" i="17"/>
  <c r="GY125" i="17"/>
  <c r="IA125" i="17" s="1"/>
  <c r="HG125" i="17"/>
  <c r="II125" i="17" s="1"/>
  <c r="HD125" i="17"/>
  <c r="IF125" i="17" s="1"/>
  <c r="HH125" i="17"/>
  <c r="IJ125" i="17" s="1"/>
  <c r="HC125" i="17"/>
  <c r="IE125" i="17" s="1"/>
  <c r="HR125" i="17"/>
  <c r="IT125" i="17" s="1"/>
  <c r="HQ125" i="17"/>
  <c r="IS125" i="17" s="1"/>
  <c r="HN125" i="17"/>
  <c r="IP125" i="17" s="1"/>
  <c r="HB125" i="17"/>
  <c r="ID125" i="17" s="1"/>
  <c r="GX125" i="17"/>
  <c r="HZ125" i="17" s="1"/>
  <c r="GR125" i="17"/>
  <c r="HT125" i="17" s="1"/>
  <c r="GZ125" i="17"/>
  <c r="IB125" i="17" s="1"/>
  <c r="HL125" i="17"/>
  <c r="IN125" i="17" s="1"/>
  <c r="HE125" i="17"/>
  <c r="IG125" i="17" s="1"/>
  <c r="HA125" i="17"/>
  <c r="IC125" i="17" s="1"/>
  <c r="HK125" i="17"/>
  <c r="IM125" i="17" s="1"/>
  <c r="HJ125" i="17"/>
  <c r="IL125" i="17" s="1"/>
  <c r="GS125" i="17"/>
  <c r="HU125" i="17" s="1"/>
  <c r="GW125" i="17"/>
  <c r="HY125" i="17" s="1"/>
  <c r="HP125" i="17"/>
  <c r="IR125" i="17" s="1"/>
  <c r="HM125" i="17"/>
  <c r="IO125" i="17" s="1"/>
  <c r="HF125" i="17"/>
  <c r="IH125" i="17" s="1"/>
  <c r="GU125" i="17"/>
  <c r="HW125" i="17" s="1"/>
  <c r="GV125" i="17"/>
  <c r="HX125" i="17" s="1"/>
  <c r="HI125" i="17"/>
  <c r="IK125" i="17" s="1"/>
  <c r="HO125" i="17"/>
  <c r="IQ125" i="17" s="1"/>
  <c r="GT125" i="17"/>
  <c r="HV125" i="17" s="1"/>
  <c r="HM243" i="17"/>
  <c r="IO243" i="17" s="1"/>
  <c r="C199" i="17"/>
  <c r="HH104" i="17"/>
  <c r="IJ104" i="17" s="1"/>
  <c r="HE24" i="17"/>
  <c r="IG24" i="17" s="1"/>
  <c r="HK275" i="17"/>
  <c r="IM275" i="17" s="1"/>
  <c r="GS110" i="17"/>
  <c r="HU110" i="17" s="1"/>
  <c r="GT239" i="17"/>
  <c r="HV239" i="17" s="1"/>
  <c r="GT96" i="17"/>
  <c r="HV96" i="17" s="1"/>
  <c r="GX96" i="17"/>
  <c r="HZ96" i="17" s="1"/>
  <c r="HM96" i="17"/>
  <c r="IO96" i="17" s="1"/>
  <c r="GV96" i="17"/>
  <c r="HX96" i="17" s="1"/>
  <c r="HD96" i="17"/>
  <c r="IF96" i="17" s="1"/>
  <c r="HB96" i="17"/>
  <c r="ID96" i="17" s="1"/>
  <c r="GU96" i="17"/>
  <c r="HW96" i="17" s="1"/>
  <c r="HA96" i="17"/>
  <c r="IC96" i="17" s="1"/>
  <c r="HO96" i="17"/>
  <c r="IQ96" i="17" s="1"/>
  <c r="HG243" i="17"/>
  <c r="II243" i="17" s="1"/>
  <c r="GS160" i="17"/>
  <c r="HU160" i="17" s="1"/>
  <c r="GU275" i="17"/>
  <c r="HW275" i="17" s="1"/>
  <c r="AV204" i="17"/>
  <c r="HD24" i="17"/>
  <c r="IF24" i="17" s="1"/>
  <c r="AV200" i="17"/>
  <c r="GS279" i="17"/>
  <c r="HU279" i="17" s="1"/>
  <c r="GT187" i="17"/>
  <c r="HV187" i="17" s="1"/>
  <c r="HR323" i="17"/>
  <c r="IT323" i="17" s="1"/>
  <c r="GZ96" i="17"/>
  <c r="IB96" i="17" s="1"/>
  <c r="HC24" i="17"/>
  <c r="IE24" i="17" s="1"/>
  <c r="C72" i="17"/>
  <c r="HL244" i="17"/>
  <c r="IN244" i="17" s="1"/>
  <c r="HN243" i="17"/>
  <c r="IP243" i="17" s="1"/>
  <c r="HE184" i="17"/>
  <c r="IG184" i="17" s="1"/>
  <c r="HM280" i="17"/>
  <c r="IO280" i="17" s="1"/>
  <c r="HQ280" i="17"/>
  <c r="IS280" i="17" s="1"/>
  <c r="GT20" i="17"/>
  <c r="HV20" i="17" s="1"/>
  <c r="HA104" i="17"/>
  <c r="IC104" i="17" s="1"/>
  <c r="HI104" i="17"/>
  <c r="IK104" i="17" s="1"/>
  <c r="GR317" i="17"/>
  <c r="HT317" i="17" s="1"/>
  <c r="HA279" i="17"/>
  <c r="IC279" i="17" s="1"/>
  <c r="HK187" i="17"/>
  <c r="IM187" i="17" s="1"/>
  <c r="HP110" i="17"/>
  <c r="IR110" i="17" s="1"/>
  <c r="AV89" i="17"/>
  <c r="GU244" i="17"/>
  <c r="HW244" i="17" s="1"/>
  <c r="HO243" i="17"/>
  <c r="IQ243" i="17" s="1"/>
  <c r="HK323" i="17"/>
  <c r="IM323" i="17" s="1"/>
  <c r="HJ275" i="17"/>
  <c r="IL275" i="17" s="1"/>
  <c r="HG218" i="17"/>
  <c r="II218" i="17" s="1"/>
  <c r="HG96" i="17"/>
  <c r="II96" i="17" s="1"/>
  <c r="GT295" i="17"/>
  <c r="HV295" i="17" s="1"/>
  <c r="HD139" i="17"/>
  <c r="IF139" i="17" s="1"/>
  <c r="HA239" i="17"/>
  <c r="IC239" i="17" s="1"/>
  <c r="HR259" i="17"/>
  <c r="IT259" i="17" s="1"/>
  <c r="HF5" i="17"/>
  <c r="IH5" i="17" s="1"/>
  <c r="HG24" i="17"/>
  <c r="II24" i="17" s="1"/>
  <c r="HG135" i="17"/>
  <c r="II135" i="17" s="1"/>
  <c r="GR96" i="17"/>
  <c r="HT96" i="17" s="1"/>
  <c r="AV114" i="17"/>
  <c r="HA337" i="17"/>
  <c r="IC337" i="17" s="1"/>
  <c r="HO294" i="17"/>
  <c r="IQ294" i="17" s="1"/>
  <c r="HC294" i="17"/>
  <c r="IE294" i="17" s="1"/>
  <c r="HB205" i="17"/>
  <c r="ID205" i="17" s="1"/>
  <c r="HA205" i="17"/>
  <c r="IC205" i="17" s="1"/>
  <c r="GZ138" i="17"/>
  <c r="IB138" i="17" s="1"/>
  <c r="GR138" i="17"/>
  <c r="HT138" i="17" s="1"/>
  <c r="HC138" i="17"/>
  <c r="IE138" i="17" s="1"/>
  <c r="HL138" i="17"/>
  <c r="IN138" i="17" s="1"/>
  <c r="HI138" i="17"/>
  <c r="IK138" i="17" s="1"/>
  <c r="HK52" i="17"/>
  <c r="IM52" i="17" s="1"/>
  <c r="HD52" i="17"/>
  <c r="IF52" i="17" s="1"/>
  <c r="HM52" i="17"/>
  <c r="IO52" i="17" s="1"/>
  <c r="HI52" i="17"/>
  <c r="IK52" i="17" s="1"/>
  <c r="HO52" i="17"/>
  <c r="IQ52" i="17" s="1"/>
  <c r="AV260" i="17"/>
  <c r="HF243" i="17"/>
  <c r="IH243" i="17" s="1"/>
  <c r="AV128" i="17"/>
  <c r="HJ239" i="17"/>
  <c r="IL239" i="17" s="1"/>
  <c r="HP183" i="17"/>
  <c r="IR183" i="17" s="1"/>
  <c r="GX24" i="17"/>
  <c r="HZ24" i="17" s="1"/>
  <c r="HJ129" i="17"/>
  <c r="IL129" i="17" s="1"/>
  <c r="GS323" i="17"/>
  <c r="HU323" i="17" s="1"/>
  <c r="HL259" i="17"/>
  <c r="IN259" i="17" s="1"/>
  <c r="HH294" i="17"/>
  <c r="IJ294" i="17" s="1"/>
  <c r="AV105" i="17"/>
  <c r="GW160" i="17"/>
  <c r="HY160" i="17" s="1"/>
  <c r="GU187" i="17"/>
  <c r="HW187" i="17" s="1"/>
  <c r="HB39" i="17"/>
  <c r="ID39" i="17" s="1"/>
  <c r="HR24" i="17"/>
  <c r="IT24" i="17" s="1"/>
  <c r="HI275" i="17"/>
  <c r="IK275" i="17" s="1"/>
  <c r="HK161" i="17"/>
  <c r="IM161" i="17" s="1"/>
  <c r="HM161" i="17"/>
  <c r="IO161" i="17" s="1"/>
  <c r="HD161" i="17"/>
  <c r="IF161" i="17" s="1"/>
  <c r="HF161" i="17"/>
  <c r="IH161" i="17" s="1"/>
  <c r="GV161" i="17"/>
  <c r="HX161" i="17" s="1"/>
  <c r="GY161" i="17"/>
  <c r="IA161" i="17" s="1"/>
  <c r="HH161" i="17"/>
  <c r="IJ161" i="17" s="1"/>
  <c r="HJ161" i="17"/>
  <c r="IL161" i="17" s="1"/>
  <c r="GR194" i="17"/>
  <c r="HT194" i="17" s="1"/>
  <c r="GV24" i="17"/>
  <c r="HX24" i="17" s="1"/>
  <c r="GY323" i="17"/>
  <c r="IA323" i="17" s="1"/>
  <c r="AV20" i="17"/>
  <c r="HO5" i="17"/>
  <c r="IQ5" i="17" s="1"/>
  <c r="C279" i="17"/>
  <c r="GZ161" i="17"/>
  <c r="IB161" i="17" s="1"/>
  <c r="GW24" i="17"/>
  <c r="HY24" i="17" s="1"/>
  <c r="HP219" i="17"/>
  <c r="IR219" i="17" s="1"/>
  <c r="HN219" i="17"/>
  <c r="IP219" i="17" s="1"/>
  <c r="GT219" i="17"/>
  <c r="HV219" i="17" s="1"/>
  <c r="HE219" i="17"/>
  <c r="IG219" i="17" s="1"/>
  <c r="HA219" i="17"/>
  <c r="IC219" i="17" s="1"/>
  <c r="GR219" i="17"/>
  <c r="HT219" i="17" s="1"/>
  <c r="GW219" i="17"/>
  <c r="HY219" i="17" s="1"/>
  <c r="HO219" i="17"/>
  <c r="IQ219" i="17" s="1"/>
  <c r="HC219" i="17"/>
  <c r="IE219" i="17" s="1"/>
  <c r="GZ219" i="17"/>
  <c r="IB219" i="17" s="1"/>
  <c r="GS219" i="17"/>
  <c r="HU219" i="17" s="1"/>
  <c r="HI219" i="17"/>
  <c r="IK219" i="17" s="1"/>
  <c r="HQ219" i="17"/>
  <c r="IS219" i="17" s="1"/>
  <c r="GY244" i="17"/>
  <c r="IA244" i="17" s="1"/>
  <c r="GY243" i="17"/>
  <c r="IA243" i="17" s="1"/>
  <c r="GR184" i="17"/>
  <c r="HT184" i="17" s="1"/>
  <c r="HO280" i="17"/>
  <c r="IQ280" i="17" s="1"/>
  <c r="HP280" i="17"/>
  <c r="IR280" i="17" s="1"/>
  <c r="HJ20" i="17"/>
  <c r="IL20" i="17" s="1"/>
  <c r="HG104" i="17"/>
  <c r="II104" i="17" s="1"/>
  <c r="HM104" i="17"/>
  <c r="IO104" i="17" s="1"/>
  <c r="HB317" i="17"/>
  <c r="ID317" i="17" s="1"/>
  <c r="HL279" i="17"/>
  <c r="IN279" i="17" s="1"/>
  <c r="HA187" i="17"/>
  <c r="IC187" i="17" s="1"/>
  <c r="GX110" i="17"/>
  <c r="HZ110" i="17" s="1"/>
  <c r="HB244" i="17"/>
  <c r="ID244" i="17" s="1"/>
  <c r="HQ243" i="17"/>
  <c r="IS243" i="17" s="1"/>
  <c r="GV275" i="17"/>
  <c r="HX275" i="17" s="1"/>
  <c r="HC218" i="17"/>
  <c r="IE218" i="17" s="1"/>
  <c r="HC96" i="17"/>
  <c r="IE96" i="17" s="1"/>
  <c r="GR295" i="17"/>
  <c r="HT295" i="17" s="1"/>
  <c r="HN139" i="17"/>
  <c r="IP139" i="17" s="1"/>
  <c r="HN129" i="17"/>
  <c r="IP129" i="17" s="1"/>
  <c r="HA218" i="17"/>
  <c r="IC218" i="17" s="1"/>
  <c r="HQ239" i="17"/>
  <c r="IS239" i="17" s="1"/>
  <c r="GU259" i="17"/>
  <c r="HW259" i="17" s="1"/>
  <c r="GR5" i="17"/>
  <c r="HT5" i="17" s="1"/>
  <c r="GZ24" i="17"/>
  <c r="IB24" i="17" s="1"/>
  <c r="HI135" i="17"/>
  <c r="IK135" i="17" s="1"/>
  <c r="GU219" i="17"/>
  <c r="HW219" i="17" s="1"/>
  <c r="GS161" i="17"/>
  <c r="HU161" i="17" s="1"/>
  <c r="GZ337" i="17"/>
  <c r="IB337" i="17" s="1"/>
  <c r="GT294" i="17"/>
  <c r="HV294" i="17" s="1"/>
  <c r="HL294" i="17"/>
  <c r="IN294" i="17" s="1"/>
  <c r="HQ205" i="17"/>
  <c r="IS205" i="17" s="1"/>
  <c r="GV205" i="17"/>
  <c r="HX205" i="17" s="1"/>
  <c r="HN138" i="17"/>
  <c r="IP138" i="17" s="1"/>
  <c r="AV4" i="17"/>
  <c r="AV141" i="17"/>
  <c r="HQ91" i="17"/>
  <c r="IS91" i="17" s="1"/>
  <c r="HG91" i="17"/>
  <c r="II91" i="17" s="1"/>
  <c r="HK91" i="17"/>
  <c r="IM91" i="17" s="1"/>
  <c r="HP91" i="17"/>
  <c r="IR91" i="17" s="1"/>
  <c r="HC91" i="17"/>
  <c r="IE91" i="17" s="1"/>
  <c r="GX91" i="17"/>
  <c r="HZ91" i="17" s="1"/>
  <c r="GW91" i="17"/>
  <c r="HY91" i="17" s="1"/>
  <c r="GY91" i="17"/>
  <c r="IA91" i="17" s="1"/>
  <c r="HO91" i="17"/>
  <c r="IQ91" i="17" s="1"/>
  <c r="HD91" i="17"/>
  <c r="IF91" i="17" s="1"/>
  <c r="HM91" i="17"/>
  <c r="IO91" i="17" s="1"/>
  <c r="GT91" i="17"/>
  <c r="HV91" i="17" s="1"/>
  <c r="HN91" i="17"/>
  <c r="IP91" i="17" s="1"/>
  <c r="HR91" i="17"/>
  <c r="IT91" i="17" s="1"/>
  <c r="GS91" i="17"/>
  <c r="HU91" i="17" s="1"/>
  <c r="HL91" i="17"/>
  <c r="IN91" i="17" s="1"/>
  <c r="GZ91" i="17"/>
  <c r="IB91" i="17" s="1"/>
  <c r="HI91" i="17"/>
  <c r="IK91" i="17" s="1"/>
  <c r="GV91" i="17"/>
  <c r="HX91" i="17" s="1"/>
  <c r="HA91" i="17"/>
  <c r="IC91" i="17" s="1"/>
  <c r="HE91" i="17"/>
  <c r="IG91" i="17" s="1"/>
  <c r="GU91" i="17"/>
  <c r="HW91" i="17" s="1"/>
  <c r="GR91" i="17"/>
  <c r="HT91" i="17" s="1"/>
  <c r="HB91" i="17"/>
  <c r="ID91" i="17" s="1"/>
  <c r="HH91" i="17"/>
  <c r="IJ91" i="17" s="1"/>
  <c r="HJ91" i="17"/>
  <c r="IL91" i="17" s="1"/>
  <c r="HF91" i="17"/>
  <c r="IH91" i="17" s="1"/>
  <c r="HF183" i="17"/>
  <c r="IH183" i="17" s="1"/>
  <c r="HE183" i="17"/>
  <c r="IG183" i="17" s="1"/>
  <c r="HI183" i="17"/>
  <c r="IK183" i="17" s="1"/>
  <c r="HO183" i="17"/>
  <c r="IQ183" i="17" s="1"/>
  <c r="HN183" i="17"/>
  <c r="IP183" i="17" s="1"/>
  <c r="GW183" i="17"/>
  <c r="HY183" i="17" s="1"/>
  <c r="GS183" i="17"/>
  <c r="HU183" i="17" s="1"/>
  <c r="HM183" i="17"/>
  <c r="IO183" i="17" s="1"/>
  <c r="GT183" i="17"/>
  <c r="HV183" i="17" s="1"/>
  <c r="HC183" i="17"/>
  <c r="IE183" i="17" s="1"/>
  <c r="GU183" i="17"/>
  <c r="HW183" i="17" s="1"/>
  <c r="HB183" i="17"/>
  <c r="ID183" i="17" s="1"/>
  <c r="HK183" i="17"/>
  <c r="IM183" i="17" s="1"/>
  <c r="HG183" i="17"/>
  <c r="II183" i="17" s="1"/>
  <c r="HD183" i="17"/>
  <c r="IF183" i="17" s="1"/>
  <c r="GX183" i="17"/>
  <c r="HZ183" i="17" s="1"/>
  <c r="HH183" i="17"/>
  <c r="IJ183" i="17" s="1"/>
  <c r="HL183" i="17"/>
  <c r="IN183" i="17" s="1"/>
  <c r="HR183" i="17"/>
  <c r="IT183" i="17" s="1"/>
  <c r="HN187" i="17"/>
  <c r="IP187" i="17" s="1"/>
  <c r="HM239" i="17"/>
  <c r="IO239" i="17" s="1"/>
  <c r="C261" i="17"/>
  <c r="C236" i="17"/>
  <c r="GR24" i="17"/>
  <c r="HT24" i="17" s="1"/>
  <c r="HE323" i="17"/>
  <c r="IG323" i="17" s="1"/>
  <c r="C174" i="17"/>
  <c r="HM337" i="17"/>
  <c r="IO337" i="17" s="1"/>
  <c r="HO239" i="17"/>
  <c r="IQ239" i="17" s="1"/>
  <c r="GU337" i="17"/>
  <c r="HW337" i="17" s="1"/>
  <c r="HP239" i="17"/>
  <c r="IR239" i="17" s="1"/>
  <c r="HA183" i="17"/>
  <c r="IC183" i="17" s="1"/>
  <c r="GX243" i="17"/>
  <c r="HZ243" i="17" s="1"/>
  <c r="HK129" i="17"/>
  <c r="IM129" i="17" s="1"/>
  <c r="HJ35" i="17"/>
  <c r="IL35" i="17" s="1"/>
  <c r="GV239" i="17"/>
  <c r="HX239" i="17" s="1"/>
  <c r="GX161" i="17"/>
  <c r="HZ161" i="17" s="1"/>
  <c r="HE337" i="17"/>
  <c r="IG337" i="17" s="1"/>
  <c r="GT110" i="17"/>
  <c r="HV110" i="17" s="1"/>
  <c r="GT244" i="17"/>
  <c r="HV244" i="17" s="1"/>
  <c r="GS239" i="17"/>
  <c r="HU239" i="17" s="1"/>
  <c r="GY259" i="17"/>
  <c r="IA259" i="17" s="1"/>
  <c r="GV323" i="17"/>
  <c r="HX323" i="17" s="1"/>
  <c r="HN294" i="17"/>
  <c r="IP294" i="17" s="1"/>
  <c r="C76" i="17"/>
  <c r="GS244" i="17"/>
  <c r="HU244" i="17" s="1"/>
  <c r="HA243" i="17"/>
  <c r="IC243" i="17" s="1"/>
  <c r="HK184" i="17"/>
  <c r="IM184" i="17" s="1"/>
  <c r="HP323" i="17"/>
  <c r="IR323" i="17" s="1"/>
  <c r="HH280" i="17"/>
  <c r="IJ280" i="17" s="1"/>
  <c r="GZ280" i="17"/>
  <c r="IB280" i="17" s="1"/>
  <c r="HP20" i="17"/>
  <c r="IR20" i="17" s="1"/>
  <c r="GX104" i="17"/>
  <c r="HZ104" i="17" s="1"/>
  <c r="GU104" i="17"/>
  <c r="HW104" i="17" s="1"/>
  <c r="HN317" i="17"/>
  <c r="IP317" i="17" s="1"/>
  <c r="HK279" i="17"/>
  <c r="IM279" i="17" s="1"/>
  <c r="HG187" i="17"/>
  <c r="II187" i="17" s="1"/>
  <c r="HK110" i="17"/>
  <c r="IM110" i="17" s="1"/>
  <c r="HH337" i="17"/>
  <c r="IJ337" i="17" s="1"/>
  <c r="AV88" i="17"/>
  <c r="GZ244" i="17"/>
  <c r="IB244" i="17" s="1"/>
  <c r="GV243" i="17"/>
  <c r="HX243" i="17" s="1"/>
  <c r="HD275" i="17"/>
  <c r="IF275" i="17" s="1"/>
  <c r="HF218" i="17"/>
  <c r="IH218" i="17" s="1"/>
  <c r="HE96" i="17"/>
  <c r="IG96" i="17" s="1"/>
  <c r="HI295" i="17"/>
  <c r="IK295" i="17" s="1"/>
  <c r="HP139" i="17"/>
  <c r="IR139" i="17" s="1"/>
  <c r="HI129" i="17"/>
  <c r="IK129" i="17" s="1"/>
  <c r="HK39" i="17"/>
  <c r="IM39" i="17" s="1"/>
  <c r="GY239" i="17"/>
  <c r="IA239" i="17" s="1"/>
  <c r="HI259" i="17"/>
  <c r="IK259" i="17" s="1"/>
  <c r="GW5" i="17"/>
  <c r="HY5" i="17" s="1"/>
  <c r="HH24" i="17"/>
  <c r="IJ24" i="17" s="1"/>
  <c r="HE135" i="17"/>
  <c r="IG135" i="17" s="1"/>
  <c r="HJ219" i="17"/>
  <c r="IL219" i="17" s="1"/>
  <c r="HH96" i="17"/>
  <c r="IJ96" i="17" s="1"/>
  <c r="HG161" i="17"/>
  <c r="II161" i="17" s="1"/>
  <c r="HE294" i="17"/>
  <c r="IG294" i="17" s="1"/>
  <c r="GW294" i="17"/>
  <c r="HY294" i="17" s="1"/>
  <c r="HL205" i="17"/>
  <c r="IN205" i="17" s="1"/>
  <c r="HM205" i="17"/>
  <c r="IO205" i="17" s="1"/>
  <c r="AV126" i="17"/>
  <c r="C6" i="17"/>
  <c r="C159" i="17"/>
  <c r="HE138" i="17"/>
  <c r="IG138" i="17" s="1"/>
  <c r="AV53" i="17"/>
  <c r="AV216" i="17"/>
  <c r="GW40" i="17"/>
  <c r="HY40" i="17" s="1"/>
  <c r="HE40" i="17"/>
  <c r="IG40" i="17" s="1"/>
  <c r="HD40" i="17"/>
  <c r="IF40" i="17" s="1"/>
  <c r="HM40" i="17"/>
  <c r="IO40" i="17" s="1"/>
  <c r="GZ40" i="17"/>
  <c r="IB40" i="17" s="1"/>
  <c r="HP24" i="17"/>
  <c r="IR24" i="17" s="1"/>
  <c r="C40" i="17"/>
  <c r="C265" i="17"/>
  <c r="HQ337" i="17"/>
  <c r="IS337" i="17" s="1"/>
  <c r="HL337" i="17"/>
  <c r="IN337" i="17" s="1"/>
  <c r="HG323" i="17"/>
  <c r="II323" i="17" s="1"/>
  <c r="C193" i="17"/>
  <c r="HK24" i="17"/>
  <c r="IM24" i="17" s="1"/>
  <c r="HL323" i="17"/>
  <c r="IN323" i="17" s="1"/>
  <c r="HN239" i="17"/>
  <c r="IP239" i="17" s="1"/>
  <c r="HL5" i="17"/>
  <c r="IN5" i="17" s="1"/>
  <c r="HN323" i="17"/>
  <c r="IP323" i="17" s="1"/>
  <c r="GW205" i="17"/>
  <c r="HY205" i="17" s="1"/>
  <c r="HR104" i="17"/>
  <c r="IT104" i="17" s="1"/>
  <c r="GX294" i="17"/>
  <c r="HZ294" i="17" s="1"/>
  <c r="HK239" i="17"/>
  <c r="IM239" i="17" s="1"/>
  <c r="HL96" i="17"/>
  <c r="IN96" i="17" s="1"/>
  <c r="GV5" i="17"/>
  <c r="HX5" i="17" s="1"/>
  <c r="C187" i="17"/>
  <c r="GV183" i="17"/>
  <c r="HX183" i="17" s="1"/>
  <c r="C25" i="17"/>
  <c r="C308" i="17"/>
  <c r="GX239" i="17"/>
  <c r="HZ239" i="17" s="1"/>
  <c r="AV57" i="17"/>
  <c r="HR337" i="17"/>
  <c r="IT337" i="17" s="1"/>
  <c r="AV320" i="17"/>
  <c r="HE205" i="17"/>
  <c r="IG205" i="17" s="1"/>
  <c r="GW244" i="17"/>
  <c r="HY244" i="17" s="1"/>
  <c r="HH243" i="17"/>
  <c r="IJ243" i="17" s="1"/>
  <c r="HC184" i="17"/>
  <c r="IE184" i="17" s="1"/>
  <c r="HD135" i="17"/>
  <c r="IF135" i="17" s="1"/>
  <c r="GW280" i="17"/>
  <c r="HY280" i="17" s="1"/>
  <c r="HO104" i="17"/>
  <c r="IQ104" i="17" s="1"/>
  <c r="HJ104" i="17"/>
  <c r="IL104" i="17" s="1"/>
  <c r="GS317" i="17"/>
  <c r="HU317" i="17" s="1"/>
  <c r="GR279" i="17"/>
  <c r="HT279" i="17" s="1"/>
  <c r="HL187" i="17"/>
  <c r="IN187" i="17" s="1"/>
  <c r="HQ110" i="17"/>
  <c r="IS110" i="17" s="1"/>
  <c r="HI337" i="17"/>
  <c r="IK337" i="17" s="1"/>
  <c r="GR244" i="17"/>
  <c r="HT244" i="17" s="1"/>
  <c r="HE243" i="17"/>
  <c r="IG243" i="17" s="1"/>
  <c r="HG275" i="17"/>
  <c r="II275" i="17" s="1"/>
  <c r="HL218" i="17"/>
  <c r="IN218" i="17" s="1"/>
  <c r="HC295" i="17"/>
  <c r="IE295" i="17" s="1"/>
  <c r="HF139" i="17"/>
  <c r="IH139" i="17" s="1"/>
  <c r="GV129" i="17"/>
  <c r="HX129" i="17" s="1"/>
  <c r="HE218" i="17"/>
  <c r="IG218" i="17" s="1"/>
  <c r="GW239" i="17"/>
  <c r="HY239" i="17" s="1"/>
  <c r="HO259" i="17"/>
  <c r="IQ259" i="17" s="1"/>
  <c r="HN5" i="17"/>
  <c r="IP5" i="17" s="1"/>
  <c r="HJ24" i="17"/>
  <c r="IL24" i="17" s="1"/>
  <c r="GZ135" i="17"/>
  <c r="IB135" i="17" s="1"/>
  <c r="HF219" i="17"/>
  <c r="IH219" i="17" s="1"/>
  <c r="HO161" i="17"/>
  <c r="IQ161" i="17" s="1"/>
  <c r="GV219" i="17"/>
  <c r="HX219" i="17" s="1"/>
  <c r="GV337" i="17"/>
  <c r="HX337" i="17" s="1"/>
  <c r="HI294" i="17"/>
  <c r="IK294" i="17" s="1"/>
  <c r="GS294" i="17"/>
  <c r="HU294" i="17" s="1"/>
  <c r="AV54" i="17"/>
  <c r="HK205" i="17"/>
  <c r="IM205" i="17" s="1"/>
  <c r="GZ53" i="17"/>
  <c r="IB53" i="17" s="1"/>
  <c r="HC53" i="17"/>
  <c r="IE53" i="17" s="1"/>
  <c r="HA53" i="17"/>
  <c r="IC53" i="17" s="1"/>
  <c r="HE53" i="17"/>
  <c r="IG53" i="17" s="1"/>
  <c r="HF53" i="17"/>
  <c r="IH53" i="17" s="1"/>
  <c r="HI53" i="17"/>
  <c r="IK53" i="17" s="1"/>
  <c r="GS53" i="17"/>
  <c r="HU53" i="17" s="1"/>
  <c r="GT53" i="17"/>
  <c r="HV53" i="17" s="1"/>
  <c r="GR53" i="17"/>
  <c r="HT53" i="17" s="1"/>
  <c r="HO53" i="17"/>
  <c r="IQ53" i="17" s="1"/>
  <c r="GX53" i="17"/>
  <c r="HZ53" i="17" s="1"/>
  <c r="HQ53" i="17"/>
  <c r="IS53" i="17" s="1"/>
  <c r="HL53" i="17"/>
  <c r="IN53" i="17" s="1"/>
  <c r="HM53" i="17"/>
  <c r="IO53" i="17" s="1"/>
  <c r="HG53" i="17"/>
  <c r="II53" i="17" s="1"/>
  <c r="HB53" i="17"/>
  <c r="ID53" i="17" s="1"/>
  <c r="HH53" i="17"/>
  <c r="IJ53" i="17" s="1"/>
  <c r="HJ53" i="17"/>
  <c r="IL53" i="17" s="1"/>
  <c r="HR53" i="17"/>
  <c r="IT53" i="17" s="1"/>
  <c r="HN53" i="17"/>
  <c r="IP53" i="17" s="1"/>
  <c r="GV53" i="17"/>
  <c r="HX53" i="17" s="1"/>
  <c r="HD53" i="17"/>
  <c r="IF53" i="17" s="1"/>
  <c r="GW53" i="17"/>
  <c r="HY53" i="17" s="1"/>
  <c r="GU53" i="17"/>
  <c r="HW53" i="17" s="1"/>
  <c r="HP53" i="17"/>
  <c r="IR53" i="17" s="1"/>
  <c r="HK53" i="17"/>
  <c r="IM53" i="17" s="1"/>
  <c r="GY53" i="17"/>
  <c r="IA53" i="17" s="1"/>
  <c r="AV291" i="17"/>
  <c r="AV298" i="17"/>
  <c r="HH323" i="17"/>
  <c r="IJ323" i="17" s="1"/>
  <c r="HF323" i="17"/>
  <c r="IH323" i="17" s="1"/>
  <c r="HC239" i="17"/>
  <c r="IE239" i="17" s="1"/>
  <c r="HE187" i="17"/>
  <c r="IG187" i="17" s="1"/>
  <c r="HB337" i="17"/>
  <c r="ID337" i="17" s="1"/>
  <c r="HI24" i="17"/>
  <c r="IK24" i="17" s="1"/>
  <c r="HA294" i="17"/>
  <c r="IC294" i="17" s="1"/>
  <c r="C21" i="17"/>
  <c r="GU243" i="17"/>
  <c r="HW243" i="17" s="1"/>
  <c r="GR239" i="17"/>
  <c r="HT239" i="17" s="1"/>
  <c r="HJ183" i="17"/>
  <c r="IL183" i="17" s="1"/>
  <c r="HP205" i="17"/>
  <c r="IR205" i="17" s="1"/>
  <c r="HN205" i="17"/>
  <c r="IP205" i="17" s="1"/>
  <c r="C288" i="17"/>
  <c r="AV49" i="17"/>
  <c r="GS337" i="17"/>
  <c r="HU337" i="17" s="1"/>
  <c r="HA323" i="17"/>
  <c r="IC323" i="17" s="1"/>
  <c r="GX5" i="17"/>
  <c r="HZ5" i="17" s="1"/>
  <c r="C54" i="17"/>
  <c r="GT205" i="17"/>
  <c r="HV205" i="17" s="1"/>
  <c r="HN104" i="17"/>
  <c r="IP104" i="17" s="1"/>
  <c r="HH187" i="17"/>
  <c r="IJ187" i="17" s="1"/>
  <c r="HQ323" i="17"/>
  <c r="IS323" i="17" s="1"/>
  <c r="HH239" i="17"/>
  <c r="IJ239" i="17" s="1"/>
  <c r="C245" i="17"/>
  <c r="C129" i="17"/>
  <c r="GT161" i="17"/>
  <c r="HV161" i="17" s="1"/>
  <c r="GV294" i="17"/>
  <c r="HX294" i="17" s="1"/>
  <c r="HC205" i="17"/>
  <c r="IE205" i="17" s="1"/>
  <c r="HG291" i="17"/>
  <c r="II291" i="17" s="1"/>
  <c r="HR291" i="17"/>
  <c r="IT291" i="17" s="1"/>
  <c r="GV291" i="17"/>
  <c r="HX291" i="17" s="1"/>
  <c r="GS291" i="17"/>
  <c r="HU291" i="17" s="1"/>
  <c r="HQ291" i="17"/>
  <c r="IS291" i="17" s="1"/>
  <c r="HE291" i="17"/>
  <c r="IG291" i="17" s="1"/>
  <c r="HN291" i="17"/>
  <c r="IP291" i="17" s="1"/>
  <c r="GU291" i="17"/>
  <c r="HW291" i="17" s="1"/>
  <c r="HK291" i="17"/>
  <c r="IM291" i="17" s="1"/>
  <c r="HM291" i="17"/>
  <c r="IO291" i="17" s="1"/>
  <c r="HF291" i="17"/>
  <c r="IH291" i="17" s="1"/>
  <c r="HA291" i="17"/>
  <c r="IC291" i="17" s="1"/>
  <c r="HD291" i="17"/>
  <c r="IF291" i="17" s="1"/>
  <c r="GZ291" i="17"/>
  <c r="IB291" i="17" s="1"/>
  <c r="GX291" i="17"/>
  <c r="HZ291" i="17" s="1"/>
  <c r="HH291" i="17"/>
  <c r="IJ291" i="17" s="1"/>
  <c r="GW291" i="17"/>
  <c r="HY291" i="17" s="1"/>
  <c r="HP291" i="17"/>
  <c r="IR291" i="17" s="1"/>
  <c r="HC291" i="17"/>
  <c r="IE291" i="17" s="1"/>
  <c r="HO291" i="17"/>
  <c r="IQ291" i="17" s="1"/>
  <c r="GR291" i="17"/>
  <c r="HT291" i="17" s="1"/>
  <c r="GT291" i="17"/>
  <c r="HV291" i="17" s="1"/>
  <c r="HB291" i="17"/>
  <c r="ID291" i="17" s="1"/>
  <c r="HL291" i="17"/>
  <c r="IN291" i="17" s="1"/>
  <c r="HJ291" i="17"/>
  <c r="IL291" i="17" s="1"/>
  <c r="GY291" i="17"/>
  <c r="IA291" i="17" s="1"/>
  <c r="HI291" i="17"/>
  <c r="IK291" i="17" s="1"/>
  <c r="HG244" i="17"/>
  <c r="II244" i="17" s="1"/>
  <c r="GR104" i="17"/>
  <c r="HT104" i="17" s="1"/>
  <c r="C145" i="17"/>
  <c r="HI205" i="17"/>
  <c r="IK205" i="17" s="1"/>
  <c r="GZ20" i="17"/>
  <c r="IB20" i="17" s="1"/>
  <c r="HO20" i="17"/>
  <c r="IQ20" i="17" s="1"/>
  <c r="HH244" i="17"/>
  <c r="IJ244" i="17" s="1"/>
  <c r="HP243" i="17"/>
  <c r="IR243" i="17" s="1"/>
  <c r="C172" i="17"/>
  <c r="HA184" i="17"/>
  <c r="IC184" i="17" s="1"/>
  <c r="HB223" i="17"/>
  <c r="ID223" i="17" s="1"/>
  <c r="HI323" i="17"/>
  <c r="IK323" i="17" s="1"/>
  <c r="GX135" i="17"/>
  <c r="HZ135" i="17" s="1"/>
  <c r="GY20" i="17"/>
  <c r="IA20" i="17" s="1"/>
  <c r="GZ104" i="17"/>
  <c r="IB104" i="17" s="1"/>
  <c r="HI317" i="17"/>
  <c r="IK317" i="17" s="1"/>
  <c r="HG279" i="17"/>
  <c r="II279" i="17" s="1"/>
  <c r="HN337" i="17"/>
  <c r="IP337" i="17" s="1"/>
  <c r="HJ243" i="17"/>
  <c r="IL243" i="17" s="1"/>
  <c r="HR20" i="17"/>
  <c r="IT20" i="17" s="1"/>
  <c r="HF275" i="17"/>
  <c r="IH275" i="17" s="1"/>
  <c r="GS143" i="17"/>
  <c r="HU143" i="17" s="1"/>
  <c r="HE295" i="17"/>
  <c r="IG295" i="17" s="1"/>
  <c r="GU184" i="17"/>
  <c r="HW184" i="17" s="1"/>
  <c r="HE239" i="17"/>
  <c r="IG239" i="17" s="1"/>
  <c r="HP5" i="17"/>
  <c r="IR5" i="17" s="1"/>
  <c r="HN24" i="17"/>
  <c r="IP24" i="17" s="1"/>
  <c r="HI96" i="17"/>
  <c r="IK96" i="17" s="1"/>
  <c r="HL219" i="17"/>
  <c r="IN219" i="17" s="1"/>
  <c r="HB219" i="17"/>
  <c r="ID219" i="17" s="1"/>
  <c r="HK337" i="17"/>
  <c r="IM337" i="17" s="1"/>
  <c r="HP294" i="17"/>
  <c r="IR294" i="17" s="1"/>
  <c r="HJ294" i="17"/>
  <c r="IL294" i="17" s="1"/>
  <c r="HH205" i="17"/>
  <c r="IJ205" i="17" s="1"/>
  <c r="HO205" i="17"/>
  <c r="IQ205" i="17" s="1"/>
  <c r="C33" i="17"/>
  <c r="GS138" i="17"/>
  <c r="HU138" i="17" s="1"/>
  <c r="HG74" i="17"/>
  <c r="II74" i="17" s="1"/>
  <c r="GR74" i="17"/>
  <c r="HT74" i="17" s="1"/>
  <c r="AV91" i="17"/>
  <c r="GW232" i="17"/>
  <c r="HY232" i="17" s="1"/>
  <c r="HI232" i="17"/>
  <c r="IK232" i="17" s="1"/>
  <c r="HG232" i="17"/>
  <c r="II232" i="17" s="1"/>
  <c r="HC232" i="17"/>
  <c r="IE232" i="17" s="1"/>
  <c r="HK232" i="17"/>
  <c r="IM232" i="17" s="1"/>
  <c r="HQ232" i="17"/>
  <c r="IS232" i="17" s="1"/>
  <c r="HM232" i="17"/>
  <c r="IO232" i="17" s="1"/>
  <c r="HR232" i="17"/>
  <c r="IT232" i="17" s="1"/>
  <c r="HJ232" i="17"/>
  <c r="IL232" i="17" s="1"/>
  <c r="GX232" i="17"/>
  <c r="HZ232" i="17" s="1"/>
  <c r="HE232" i="17"/>
  <c r="IG232" i="17" s="1"/>
  <c r="HB232" i="17"/>
  <c r="ID232" i="17" s="1"/>
  <c r="HF232" i="17"/>
  <c r="IH232" i="17" s="1"/>
  <c r="GV232" i="17"/>
  <c r="HX232" i="17" s="1"/>
  <c r="GS232" i="17"/>
  <c r="HU232" i="17" s="1"/>
  <c r="HH232" i="17"/>
  <c r="IJ232" i="17" s="1"/>
  <c r="HO232" i="17"/>
  <c r="IQ232" i="17" s="1"/>
  <c r="GT232" i="17"/>
  <c r="HV232" i="17" s="1"/>
  <c r="HA232" i="17"/>
  <c r="IC232" i="17" s="1"/>
  <c r="HP232" i="17"/>
  <c r="IR232" i="17" s="1"/>
  <c r="HL232" i="17"/>
  <c r="IN232" i="17" s="1"/>
  <c r="GR232" i="17"/>
  <c r="HT232" i="17" s="1"/>
  <c r="GU232" i="17"/>
  <c r="HW232" i="17" s="1"/>
  <c r="GY232" i="17"/>
  <c r="IA232" i="17" s="1"/>
  <c r="HN232" i="17"/>
  <c r="IP232" i="17" s="1"/>
  <c r="HD232" i="17"/>
  <c r="IF232" i="17" s="1"/>
  <c r="GZ232" i="17"/>
  <c r="IB232" i="17" s="1"/>
  <c r="C89" i="17"/>
  <c r="C38" i="17"/>
  <c r="C295" i="17"/>
  <c r="HF19" i="17"/>
  <c r="IH19" i="17" s="1"/>
  <c r="HQ19" i="17"/>
  <c r="IS19" i="17" s="1"/>
  <c r="GW19" i="17"/>
  <c r="HY19" i="17" s="1"/>
  <c r="GS19" i="17"/>
  <c r="HU19" i="17" s="1"/>
  <c r="HM19" i="17"/>
  <c r="IO19" i="17" s="1"/>
  <c r="GV127" i="17"/>
  <c r="HX127" i="17" s="1"/>
  <c r="GU168" i="17"/>
  <c r="HW168" i="17" s="1"/>
  <c r="AV236" i="17"/>
  <c r="GV107" i="17"/>
  <c r="HX107" i="17" s="1"/>
  <c r="HQ107" i="17"/>
  <c r="IS107" i="17" s="1"/>
  <c r="GT107" i="17"/>
  <c r="HV107" i="17" s="1"/>
  <c r="HF107" i="17"/>
  <c r="IH107" i="17" s="1"/>
  <c r="HK107" i="17"/>
  <c r="IM107" i="17" s="1"/>
  <c r="GU107" i="17"/>
  <c r="HW107" i="17" s="1"/>
  <c r="HN107" i="17"/>
  <c r="IP107" i="17" s="1"/>
  <c r="HE107" i="17"/>
  <c r="IG107" i="17" s="1"/>
  <c r="GZ35" i="17"/>
  <c r="IB35" i="17" s="1"/>
  <c r="GV35" i="17"/>
  <c r="HX35" i="17" s="1"/>
  <c r="GU35" i="17"/>
  <c r="HW35" i="17" s="1"/>
  <c r="HD35" i="17"/>
  <c r="IF35" i="17" s="1"/>
  <c r="HA35" i="17"/>
  <c r="IC35" i="17" s="1"/>
  <c r="HI35" i="17"/>
  <c r="IK35" i="17" s="1"/>
  <c r="HH35" i="17"/>
  <c r="IJ35" i="17" s="1"/>
  <c r="HQ35" i="17"/>
  <c r="IS35" i="17" s="1"/>
  <c r="GX35" i="17"/>
  <c r="HZ35" i="17" s="1"/>
  <c r="GS35" i="17"/>
  <c r="HU35" i="17" s="1"/>
  <c r="HN35" i="17"/>
  <c r="IP35" i="17" s="1"/>
  <c r="HM35" i="17"/>
  <c r="IO35" i="17" s="1"/>
  <c r="HR35" i="17"/>
  <c r="IT35" i="17" s="1"/>
  <c r="HB204" i="17"/>
  <c r="ID204" i="17" s="1"/>
  <c r="HI204" i="17"/>
  <c r="IK204" i="17" s="1"/>
  <c r="HP204" i="17"/>
  <c r="IR204" i="17" s="1"/>
  <c r="HG204" i="17"/>
  <c r="II204" i="17" s="1"/>
  <c r="HO204" i="17"/>
  <c r="IQ204" i="17" s="1"/>
  <c r="GS204" i="17"/>
  <c r="HU204" i="17" s="1"/>
  <c r="GY204" i="17"/>
  <c r="IA204" i="17" s="1"/>
  <c r="HQ204" i="17"/>
  <c r="IS204" i="17" s="1"/>
  <c r="HJ204" i="17"/>
  <c r="IL204" i="17" s="1"/>
  <c r="GZ204" i="17"/>
  <c r="IB204" i="17" s="1"/>
  <c r="GV204" i="17"/>
  <c r="HX204" i="17" s="1"/>
  <c r="GW204" i="17"/>
  <c r="HY204" i="17" s="1"/>
  <c r="GT204" i="17"/>
  <c r="HV204" i="17" s="1"/>
  <c r="HK204" i="17"/>
  <c r="IM204" i="17" s="1"/>
  <c r="HF204" i="17"/>
  <c r="IH204" i="17" s="1"/>
  <c r="HD204" i="17"/>
  <c r="IF204" i="17" s="1"/>
  <c r="HR204" i="17"/>
  <c r="IT204" i="17" s="1"/>
  <c r="HM204" i="17"/>
  <c r="IO204" i="17" s="1"/>
  <c r="HH204" i="17"/>
  <c r="IJ204" i="17" s="1"/>
  <c r="GX204" i="17"/>
  <c r="HZ204" i="17" s="1"/>
  <c r="HA204" i="17"/>
  <c r="IC204" i="17" s="1"/>
  <c r="HE204" i="17"/>
  <c r="IG204" i="17" s="1"/>
  <c r="HC204" i="17"/>
  <c r="IE204" i="17" s="1"/>
  <c r="HL204" i="17"/>
  <c r="IN204" i="17" s="1"/>
  <c r="GR204" i="17"/>
  <c r="HT204" i="17" s="1"/>
  <c r="HN204" i="17"/>
  <c r="IP204" i="17" s="1"/>
  <c r="GU204" i="17"/>
  <c r="HW204" i="17" s="1"/>
  <c r="HG9" i="17"/>
  <c r="II9" i="17" s="1"/>
  <c r="GV9" i="17"/>
  <c r="HX9" i="17" s="1"/>
  <c r="GT9" i="17"/>
  <c r="HV9" i="17" s="1"/>
  <c r="GY9" i="17"/>
  <c r="IA9" i="17" s="1"/>
  <c r="HE9" i="17"/>
  <c r="IG9" i="17" s="1"/>
  <c r="HL9" i="17"/>
  <c r="IN9" i="17" s="1"/>
  <c r="HR9" i="17"/>
  <c r="IT9" i="17" s="1"/>
  <c r="GW9" i="17"/>
  <c r="HY9" i="17" s="1"/>
  <c r="HB9" i="17"/>
  <c r="ID9" i="17" s="1"/>
  <c r="HH9" i="17"/>
  <c r="IJ9" i="17" s="1"/>
  <c r="GZ9" i="17"/>
  <c r="IB9" i="17" s="1"/>
  <c r="HM9" i="17"/>
  <c r="IO9" i="17" s="1"/>
  <c r="HI9" i="17"/>
  <c r="IK9" i="17" s="1"/>
  <c r="GR9" i="17"/>
  <c r="HT9" i="17" s="1"/>
  <c r="HP9" i="17"/>
  <c r="IR9" i="17" s="1"/>
  <c r="HF9" i="17"/>
  <c r="IH9" i="17" s="1"/>
  <c r="GU9" i="17"/>
  <c r="HW9" i="17" s="1"/>
  <c r="GS9" i="17"/>
  <c r="HU9" i="17" s="1"/>
  <c r="HQ9" i="17"/>
  <c r="IS9" i="17" s="1"/>
  <c r="HJ9" i="17"/>
  <c r="IL9" i="17" s="1"/>
  <c r="HK9" i="17"/>
  <c r="IM9" i="17" s="1"/>
  <c r="HA9" i="17"/>
  <c r="IC9" i="17" s="1"/>
  <c r="HC9" i="17"/>
  <c r="IE9" i="17" s="1"/>
  <c r="GX9" i="17"/>
  <c r="HZ9" i="17" s="1"/>
  <c r="HN9" i="17"/>
  <c r="IP9" i="17" s="1"/>
  <c r="HO9" i="17"/>
  <c r="IQ9" i="17" s="1"/>
  <c r="HD9" i="17"/>
  <c r="IF9" i="17" s="1"/>
  <c r="HB41" i="17"/>
  <c r="ID41" i="17" s="1"/>
  <c r="HI41" i="17"/>
  <c r="IK41" i="17" s="1"/>
  <c r="GS41" i="17"/>
  <c r="HU41" i="17" s="1"/>
  <c r="GT41" i="17"/>
  <c r="HV41" i="17" s="1"/>
  <c r="HQ41" i="17"/>
  <c r="IS41" i="17" s="1"/>
  <c r="HD41" i="17"/>
  <c r="IF41" i="17" s="1"/>
  <c r="GZ41" i="17"/>
  <c r="IB41" i="17" s="1"/>
  <c r="HP41" i="17"/>
  <c r="IR41" i="17" s="1"/>
  <c r="GV41" i="17"/>
  <c r="HX41" i="17" s="1"/>
  <c r="HO41" i="17"/>
  <c r="IQ41" i="17" s="1"/>
  <c r="GW41" i="17"/>
  <c r="HY41" i="17" s="1"/>
  <c r="HH41" i="17"/>
  <c r="IJ41" i="17" s="1"/>
  <c r="HA41" i="17"/>
  <c r="IC41" i="17" s="1"/>
  <c r="HE41" i="17"/>
  <c r="IG41" i="17" s="1"/>
  <c r="GU41" i="17"/>
  <c r="HW41" i="17" s="1"/>
  <c r="HM41" i="17"/>
  <c r="IO41" i="17" s="1"/>
  <c r="HJ41" i="17"/>
  <c r="IL41" i="17" s="1"/>
  <c r="HF41" i="17"/>
  <c r="IH41" i="17" s="1"/>
  <c r="HR41" i="17"/>
  <c r="IT41" i="17" s="1"/>
  <c r="HN41" i="17"/>
  <c r="IP41" i="17" s="1"/>
  <c r="GY41" i="17"/>
  <c r="IA41" i="17" s="1"/>
  <c r="GX41" i="17"/>
  <c r="HZ41" i="17" s="1"/>
  <c r="HC41" i="17"/>
  <c r="IE41" i="17" s="1"/>
  <c r="HK41" i="17"/>
  <c r="IM41" i="17" s="1"/>
  <c r="HL41" i="17"/>
  <c r="IN41" i="17" s="1"/>
  <c r="HG41" i="17"/>
  <c r="II41" i="17" s="1"/>
  <c r="GR41" i="17"/>
  <c r="HT41" i="17" s="1"/>
  <c r="HM146" i="17"/>
  <c r="IO146" i="17" s="1"/>
  <c r="HC146" i="17"/>
  <c r="IE146" i="17" s="1"/>
  <c r="HA146" i="17"/>
  <c r="IC146" i="17" s="1"/>
  <c r="GZ146" i="17"/>
  <c r="IB146" i="17" s="1"/>
  <c r="HP146" i="17"/>
  <c r="IR146" i="17" s="1"/>
  <c r="GU146" i="17"/>
  <c r="HW146" i="17" s="1"/>
  <c r="HO146" i="17"/>
  <c r="IQ146" i="17" s="1"/>
  <c r="GY146" i="17"/>
  <c r="IA146" i="17" s="1"/>
  <c r="GR146" i="17"/>
  <c r="HT146" i="17" s="1"/>
  <c r="HJ146" i="17"/>
  <c r="IL146" i="17" s="1"/>
  <c r="HE146" i="17"/>
  <c r="IG146" i="17" s="1"/>
  <c r="GV146" i="17"/>
  <c r="HX146" i="17" s="1"/>
  <c r="GS146" i="17"/>
  <c r="HU146" i="17" s="1"/>
  <c r="HI146" i="17"/>
  <c r="IK146" i="17" s="1"/>
  <c r="GX146" i="17"/>
  <c r="HZ146" i="17" s="1"/>
  <c r="GW146" i="17"/>
  <c r="HY146" i="17" s="1"/>
  <c r="HR146" i="17"/>
  <c r="IT146" i="17" s="1"/>
  <c r="HK146" i="17"/>
  <c r="IM146" i="17" s="1"/>
  <c r="HQ146" i="17"/>
  <c r="IS146" i="17" s="1"/>
  <c r="HG146" i="17"/>
  <c r="II146" i="17" s="1"/>
  <c r="HN146" i="17"/>
  <c r="IP146" i="17" s="1"/>
  <c r="HB146" i="17"/>
  <c r="ID146" i="17" s="1"/>
  <c r="HH146" i="17"/>
  <c r="IJ146" i="17" s="1"/>
  <c r="HD146" i="17"/>
  <c r="IF146" i="17" s="1"/>
  <c r="HL146" i="17"/>
  <c r="IN146" i="17" s="1"/>
  <c r="HF146" i="17"/>
  <c r="IH146" i="17" s="1"/>
  <c r="GT146" i="17"/>
  <c r="HV146" i="17" s="1"/>
  <c r="C298" i="17"/>
  <c r="AV70" i="17"/>
  <c r="AV218" i="17"/>
  <c r="HF261" i="17"/>
  <c r="IH261" i="17" s="1"/>
  <c r="GT261" i="17"/>
  <c r="HV261" i="17" s="1"/>
  <c r="HD261" i="17"/>
  <c r="IF261" i="17" s="1"/>
  <c r="HO261" i="17"/>
  <c r="IQ261" i="17" s="1"/>
  <c r="GS261" i="17"/>
  <c r="HU261" i="17" s="1"/>
  <c r="GR261" i="17"/>
  <c r="HT261" i="17" s="1"/>
  <c r="HI261" i="17"/>
  <c r="IK261" i="17" s="1"/>
  <c r="HQ261" i="17"/>
  <c r="IS261" i="17" s="1"/>
  <c r="HB261" i="17"/>
  <c r="ID261" i="17" s="1"/>
  <c r="GZ261" i="17"/>
  <c r="IB261" i="17" s="1"/>
  <c r="HK261" i="17"/>
  <c r="IM261" i="17" s="1"/>
  <c r="GU261" i="17"/>
  <c r="HW261" i="17" s="1"/>
  <c r="GW261" i="17"/>
  <c r="HY261" i="17" s="1"/>
  <c r="GY261" i="17"/>
  <c r="IA261" i="17" s="1"/>
  <c r="HH261" i="17"/>
  <c r="IJ261" i="17" s="1"/>
  <c r="HJ261" i="17"/>
  <c r="IL261" i="17" s="1"/>
  <c r="HA261" i="17"/>
  <c r="IC261" i="17" s="1"/>
  <c r="HL261" i="17"/>
  <c r="IN261" i="17" s="1"/>
  <c r="GX261" i="17"/>
  <c r="HZ261" i="17" s="1"/>
  <c r="HM261" i="17"/>
  <c r="IO261" i="17" s="1"/>
  <c r="HR261" i="17"/>
  <c r="IT261" i="17" s="1"/>
  <c r="HG261" i="17"/>
  <c r="II261" i="17" s="1"/>
  <c r="C218" i="17"/>
  <c r="HI19" i="17"/>
  <c r="IK19" i="17" s="1"/>
  <c r="HH168" i="17"/>
  <c r="IJ168" i="17" s="1"/>
  <c r="AV301" i="17"/>
  <c r="HG70" i="17"/>
  <c r="II70" i="17" s="1"/>
  <c r="C285" i="17"/>
  <c r="HQ168" i="17"/>
  <c r="IS168" i="17" s="1"/>
  <c r="AV244" i="17"/>
  <c r="AV250" i="17"/>
  <c r="C250" i="17"/>
  <c r="GW301" i="17"/>
  <c r="HY301" i="17" s="1"/>
  <c r="HJ301" i="17"/>
  <c r="IL301" i="17" s="1"/>
  <c r="HK301" i="17"/>
  <c r="IM301" i="17" s="1"/>
  <c r="HH301" i="17"/>
  <c r="IJ301" i="17" s="1"/>
  <c r="HE301" i="17"/>
  <c r="IG301" i="17" s="1"/>
  <c r="HP301" i="17"/>
  <c r="IR301" i="17" s="1"/>
  <c r="HQ301" i="17"/>
  <c r="IS301" i="17" s="1"/>
  <c r="HO301" i="17"/>
  <c r="IQ301" i="17" s="1"/>
  <c r="HD301" i="17"/>
  <c r="IF301" i="17" s="1"/>
  <c r="HB301" i="17"/>
  <c r="ID301" i="17" s="1"/>
  <c r="GR301" i="17"/>
  <c r="HT301" i="17" s="1"/>
  <c r="GT301" i="17"/>
  <c r="HV301" i="17" s="1"/>
  <c r="HG301" i="17"/>
  <c r="II301" i="17" s="1"/>
  <c r="HA301" i="17"/>
  <c r="IC301" i="17" s="1"/>
  <c r="HF301" i="17"/>
  <c r="IH301" i="17" s="1"/>
  <c r="HN301" i="17"/>
  <c r="IP301" i="17" s="1"/>
  <c r="GX301" i="17"/>
  <c r="HZ301" i="17" s="1"/>
  <c r="GV301" i="17"/>
  <c r="HX301" i="17" s="1"/>
  <c r="HI301" i="17"/>
  <c r="IK301" i="17" s="1"/>
  <c r="GZ301" i="17"/>
  <c r="IB301" i="17" s="1"/>
  <c r="GU301" i="17"/>
  <c r="HW301" i="17" s="1"/>
  <c r="HL301" i="17"/>
  <c r="IN301" i="17" s="1"/>
  <c r="GY301" i="17"/>
  <c r="IA301" i="17" s="1"/>
  <c r="HR301" i="17"/>
  <c r="IT301" i="17" s="1"/>
  <c r="HM301" i="17"/>
  <c r="IO301" i="17" s="1"/>
  <c r="HM129" i="17"/>
  <c r="IO129" i="17" s="1"/>
  <c r="GS129" i="17"/>
  <c r="HU129" i="17" s="1"/>
  <c r="GZ129" i="17"/>
  <c r="IB129" i="17" s="1"/>
  <c r="GR129" i="17"/>
  <c r="HT129" i="17" s="1"/>
  <c r="HQ129" i="17"/>
  <c r="IS129" i="17" s="1"/>
  <c r="GY129" i="17"/>
  <c r="IA129" i="17" s="1"/>
  <c r="GX129" i="17"/>
  <c r="HZ129" i="17" s="1"/>
  <c r="HP129" i="17"/>
  <c r="IR129" i="17" s="1"/>
  <c r="HL129" i="17"/>
  <c r="IN129" i="17" s="1"/>
  <c r="HO129" i="17"/>
  <c r="IQ129" i="17" s="1"/>
  <c r="HR129" i="17"/>
  <c r="IT129" i="17" s="1"/>
  <c r="HG129" i="17"/>
  <c r="II129" i="17" s="1"/>
  <c r="HF129" i="17"/>
  <c r="IH129" i="17" s="1"/>
  <c r="HD129" i="17"/>
  <c r="IF129" i="17" s="1"/>
  <c r="HB129" i="17"/>
  <c r="ID129" i="17" s="1"/>
  <c r="GU129" i="17"/>
  <c r="HW129" i="17" s="1"/>
  <c r="HH129" i="17"/>
  <c r="IJ129" i="17" s="1"/>
  <c r="HA129" i="17"/>
  <c r="IC129" i="17" s="1"/>
  <c r="HC129" i="17"/>
  <c r="IE129" i="17" s="1"/>
  <c r="HE129" i="17"/>
  <c r="IG129" i="17" s="1"/>
  <c r="GW129" i="17"/>
  <c r="HY129" i="17" s="1"/>
  <c r="AV96" i="17"/>
  <c r="C96" i="17"/>
  <c r="HJ241" i="17"/>
  <c r="IL241" i="17" s="1"/>
  <c r="HM241" i="17"/>
  <c r="IO241" i="17" s="1"/>
  <c r="HL241" i="17"/>
  <c r="IN241" i="17" s="1"/>
  <c r="GR241" i="17"/>
  <c r="HT241" i="17" s="1"/>
  <c r="HK292" i="17"/>
  <c r="IM292" i="17" s="1"/>
  <c r="HE292" i="17"/>
  <c r="IG292" i="17" s="1"/>
  <c r="HD292" i="17"/>
  <c r="IF292" i="17" s="1"/>
  <c r="HO292" i="17"/>
  <c r="IQ292" i="17" s="1"/>
  <c r="GR292" i="17"/>
  <c r="HT292" i="17" s="1"/>
  <c r="GV292" i="17"/>
  <c r="HX292" i="17" s="1"/>
  <c r="HI292" i="17"/>
  <c r="IK292" i="17" s="1"/>
  <c r="HN292" i="17"/>
  <c r="IP292" i="17" s="1"/>
  <c r="HL292" i="17"/>
  <c r="IN292" i="17" s="1"/>
  <c r="HA292" i="17"/>
  <c r="IC292" i="17" s="1"/>
  <c r="HF292" i="17"/>
  <c r="IH292" i="17" s="1"/>
  <c r="GW292" i="17"/>
  <c r="HY292" i="17" s="1"/>
  <c r="GY292" i="17"/>
  <c r="IA292" i="17" s="1"/>
  <c r="HP292" i="17"/>
  <c r="IR292" i="17" s="1"/>
  <c r="HQ292" i="17"/>
  <c r="IS292" i="17" s="1"/>
  <c r="HC292" i="17"/>
  <c r="IE292" i="17" s="1"/>
  <c r="HB292" i="17"/>
  <c r="ID292" i="17" s="1"/>
  <c r="GT292" i="17"/>
  <c r="HV292" i="17" s="1"/>
  <c r="HG292" i="17"/>
  <c r="II292" i="17" s="1"/>
  <c r="HH292" i="17"/>
  <c r="IJ292" i="17" s="1"/>
  <c r="HR292" i="17"/>
  <c r="IT292" i="17" s="1"/>
  <c r="HJ292" i="17"/>
  <c r="IL292" i="17" s="1"/>
  <c r="HM292" i="17"/>
  <c r="IO292" i="17" s="1"/>
  <c r="GZ292" i="17"/>
  <c r="IB292" i="17" s="1"/>
  <c r="GS292" i="17"/>
  <c r="HU292" i="17" s="1"/>
  <c r="GX292" i="17"/>
  <c r="HZ292" i="17" s="1"/>
  <c r="GU292" i="17"/>
  <c r="HW292" i="17" s="1"/>
  <c r="HO70" i="17"/>
  <c r="IQ70" i="17" s="1"/>
  <c r="C64" i="17"/>
  <c r="C58" i="17"/>
  <c r="AV58" i="17"/>
  <c r="AV129" i="17"/>
  <c r="HN248" i="17"/>
  <c r="IP248" i="17" s="1"/>
  <c r="HK248" i="17"/>
  <c r="IM248" i="17" s="1"/>
  <c r="GS248" i="17"/>
  <c r="HU248" i="17" s="1"/>
  <c r="HB248" i="17"/>
  <c r="ID248" i="17" s="1"/>
  <c r="HR248" i="17"/>
  <c r="IT248" i="17" s="1"/>
  <c r="HQ248" i="17"/>
  <c r="IS248" i="17" s="1"/>
  <c r="HF248" i="17"/>
  <c r="IH248" i="17" s="1"/>
  <c r="HH248" i="17"/>
  <c r="IJ248" i="17" s="1"/>
  <c r="HM248" i="17"/>
  <c r="IO248" i="17" s="1"/>
  <c r="HA248" i="17"/>
  <c r="IC248" i="17" s="1"/>
  <c r="GY248" i="17"/>
  <c r="IA248" i="17" s="1"/>
  <c r="GT248" i="17"/>
  <c r="HV248" i="17" s="1"/>
  <c r="HJ248" i="17"/>
  <c r="IL248" i="17" s="1"/>
  <c r="GR248" i="17"/>
  <c r="HT248" i="17" s="1"/>
  <c r="HE248" i="17"/>
  <c r="IG248" i="17" s="1"/>
  <c r="HG248" i="17"/>
  <c r="II248" i="17" s="1"/>
  <c r="HD248" i="17"/>
  <c r="IF248" i="17" s="1"/>
  <c r="GX248" i="17"/>
  <c r="HZ248" i="17" s="1"/>
  <c r="GU248" i="17"/>
  <c r="HW248" i="17" s="1"/>
  <c r="HC248" i="17"/>
  <c r="IE248" i="17" s="1"/>
  <c r="HO248" i="17"/>
  <c r="IQ248" i="17" s="1"/>
  <c r="GV248" i="17"/>
  <c r="HX248" i="17" s="1"/>
  <c r="GZ248" i="17"/>
  <c r="IB248" i="17" s="1"/>
  <c r="HP248" i="17"/>
  <c r="IR248" i="17" s="1"/>
  <c r="GW248" i="17"/>
  <c r="HY248" i="17" s="1"/>
  <c r="HI248" i="17"/>
  <c r="IK248" i="17" s="1"/>
  <c r="HL248" i="17"/>
  <c r="IN248" i="17" s="1"/>
  <c r="C297" i="17"/>
  <c r="HL25" i="17"/>
  <c r="IN25" i="17" s="1"/>
  <c r="HI25" i="17"/>
  <c r="IK25" i="17" s="1"/>
  <c r="HC25" i="17"/>
  <c r="IE25" i="17" s="1"/>
  <c r="GT25" i="17"/>
  <c r="HV25" i="17" s="1"/>
  <c r="HQ25" i="17"/>
  <c r="IS25" i="17" s="1"/>
  <c r="GW25" i="17"/>
  <c r="HY25" i="17" s="1"/>
  <c r="HE25" i="17"/>
  <c r="IG25" i="17" s="1"/>
  <c r="HO25" i="17"/>
  <c r="IQ25" i="17" s="1"/>
  <c r="GV25" i="17"/>
  <c r="HX25" i="17" s="1"/>
  <c r="GY25" i="17"/>
  <c r="IA25" i="17" s="1"/>
  <c r="GX25" i="17"/>
  <c r="HZ25" i="17" s="1"/>
  <c r="HB25" i="17"/>
  <c r="ID25" i="17" s="1"/>
  <c r="GZ25" i="17"/>
  <c r="IB25" i="17" s="1"/>
  <c r="HR25" i="17"/>
  <c r="IT25" i="17" s="1"/>
  <c r="GU25" i="17"/>
  <c r="HW25" i="17" s="1"/>
  <c r="HP25" i="17"/>
  <c r="IR25" i="17" s="1"/>
  <c r="HK25" i="17"/>
  <c r="IM25" i="17" s="1"/>
  <c r="HG25" i="17"/>
  <c r="II25" i="17" s="1"/>
  <c r="HH25" i="17"/>
  <c r="IJ25" i="17" s="1"/>
  <c r="GS25" i="17"/>
  <c r="HU25" i="17" s="1"/>
  <c r="HN25" i="17"/>
  <c r="IP25" i="17" s="1"/>
  <c r="HA25" i="17"/>
  <c r="IC25" i="17" s="1"/>
  <c r="GR25" i="17"/>
  <c r="HT25" i="17" s="1"/>
  <c r="HD25" i="17"/>
  <c r="IF25" i="17" s="1"/>
  <c r="HF25" i="17"/>
  <c r="IH25" i="17" s="1"/>
  <c r="HJ25" i="17"/>
  <c r="IL25" i="17" s="1"/>
  <c r="HM25" i="17"/>
  <c r="IO25" i="17" s="1"/>
  <c r="HR280" i="17"/>
  <c r="IT280" i="17" s="1"/>
  <c r="GX280" i="17"/>
  <c r="HZ280" i="17" s="1"/>
  <c r="HB280" i="17"/>
  <c r="ID280" i="17" s="1"/>
  <c r="HD280" i="17"/>
  <c r="IF280" i="17" s="1"/>
  <c r="HL280" i="17"/>
  <c r="IN280" i="17" s="1"/>
  <c r="GS280" i="17"/>
  <c r="HU280" i="17" s="1"/>
  <c r="HC280" i="17"/>
  <c r="IE280" i="17" s="1"/>
  <c r="HN280" i="17"/>
  <c r="IP280" i="17" s="1"/>
  <c r="HG280" i="17"/>
  <c r="II280" i="17" s="1"/>
  <c r="HK280" i="17"/>
  <c r="IM280" i="17" s="1"/>
  <c r="GR280" i="17"/>
  <c r="HT280" i="17" s="1"/>
  <c r="HE280" i="17"/>
  <c r="IG280" i="17" s="1"/>
  <c r="GV280" i="17"/>
  <c r="HX280" i="17" s="1"/>
  <c r="GY280" i="17"/>
  <c r="IA280" i="17" s="1"/>
  <c r="HJ280" i="17"/>
  <c r="IL280" i="17" s="1"/>
  <c r="GU280" i="17"/>
  <c r="HW280" i="17" s="1"/>
  <c r="HF280" i="17"/>
  <c r="IH280" i="17" s="1"/>
  <c r="GT280" i="17"/>
  <c r="HV280" i="17" s="1"/>
  <c r="HI280" i="17"/>
  <c r="IK280" i="17" s="1"/>
  <c r="C142" i="17"/>
  <c r="HM168" i="17"/>
  <c r="IO168" i="17" s="1"/>
  <c r="HI168" i="17"/>
  <c r="IK168" i="17" s="1"/>
  <c r="HA168" i="17"/>
  <c r="IC168" i="17" s="1"/>
  <c r="HK168" i="17"/>
  <c r="IM168" i="17" s="1"/>
  <c r="GZ168" i="17"/>
  <c r="IB168" i="17" s="1"/>
  <c r="GT168" i="17"/>
  <c r="HV168" i="17" s="1"/>
  <c r="HJ168" i="17"/>
  <c r="IL168" i="17" s="1"/>
  <c r="GV168" i="17"/>
  <c r="HX168" i="17" s="1"/>
  <c r="HG168" i="17"/>
  <c r="II168" i="17" s="1"/>
  <c r="GS201" i="17"/>
  <c r="HU201" i="17" s="1"/>
  <c r="HQ201" i="17"/>
  <c r="IS201" i="17" s="1"/>
  <c r="HD201" i="17"/>
  <c r="IF201" i="17" s="1"/>
  <c r="HG201" i="17"/>
  <c r="II201" i="17" s="1"/>
  <c r="HJ201" i="17"/>
  <c r="IL201" i="17" s="1"/>
  <c r="GU201" i="17"/>
  <c r="HW201" i="17" s="1"/>
  <c r="HC201" i="17"/>
  <c r="IE201" i="17" s="1"/>
  <c r="GT201" i="17"/>
  <c r="HV201" i="17" s="1"/>
  <c r="HB201" i="17"/>
  <c r="ID201" i="17" s="1"/>
  <c r="GZ201" i="17"/>
  <c r="IB201" i="17" s="1"/>
  <c r="HN201" i="17"/>
  <c r="IP201" i="17" s="1"/>
  <c r="GY201" i="17"/>
  <c r="IA201" i="17" s="1"/>
  <c r="HP201" i="17"/>
  <c r="IR201" i="17" s="1"/>
  <c r="HA201" i="17"/>
  <c r="IC201" i="17" s="1"/>
  <c r="GX201" i="17"/>
  <c r="HZ201" i="17" s="1"/>
  <c r="HR201" i="17"/>
  <c r="IT201" i="17" s="1"/>
  <c r="HE201" i="17"/>
  <c r="IG201" i="17" s="1"/>
  <c r="HH201" i="17"/>
  <c r="IJ201" i="17" s="1"/>
  <c r="GW201" i="17"/>
  <c r="HY201" i="17" s="1"/>
  <c r="HI201" i="17"/>
  <c r="IK201" i="17" s="1"/>
  <c r="HK201" i="17"/>
  <c r="IM201" i="17" s="1"/>
  <c r="GR201" i="17"/>
  <c r="HT201" i="17" s="1"/>
  <c r="HF201" i="17"/>
  <c r="IH201" i="17" s="1"/>
  <c r="HO201" i="17"/>
  <c r="IQ201" i="17" s="1"/>
  <c r="GV201" i="17"/>
  <c r="HX201" i="17" s="1"/>
  <c r="HM201" i="17"/>
  <c r="IO201" i="17" s="1"/>
  <c r="HL201" i="17"/>
  <c r="IN201" i="17" s="1"/>
  <c r="HJ276" i="17"/>
  <c r="IL276" i="17" s="1"/>
  <c r="GV276" i="17"/>
  <c r="HX276" i="17" s="1"/>
  <c r="GX276" i="17"/>
  <c r="HZ276" i="17" s="1"/>
  <c r="HH276" i="17"/>
  <c r="IJ276" i="17" s="1"/>
  <c r="HK276" i="17"/>
  <c r="IM276" i="17" s="1"/>
  <c r="GY276" i="17"/>
  <c r="IA276" i="17" s="1"/>
  <c r="HR276" i="17"/>
  <c r="IT276" i="17" s="1"/>
  <c r="GR276" i="17"/>
  <c r="HT276" i="17" s="1"/>
  <c r="HN276" i="17"/>
  <c r="IP276" i="17" s="1"/>
  <c r="GU276" i="17"/>
  <c r="HW276" i="17" s="1"/>
  <c r="HB276" i="17"/>
  <c r="ID276" i="17" s="1"/>
  <c r="HM276" i="17"/>
  <c r="IO276" i="17" s="1"/>
  <c r="HO276" i="17"/>
  <c r="IQ276" i="17" s="1"/>
  <c r="HD276" i="17"/>
  <c r="IF276" i="17" s="1"/>
  <c r="HP276" i="17"/>
  <c r="IR276" i="17" s="1"/>
  <c r="GS276" i="17"/>
  <c r="HU276" i="17" s="1"/>
  <c r="HL276" i="17"/>
  <c r="IN276" i="17" s="1"/>
  <c r="HE276" i="17"/>
  <c r="IG276" i="17" s="1"/>
  <c r="HQ276" i="17"/>
  <c r="IS276" i="17" s="1"/>
  <c r="GW276" i="17"/>
  <c r="HY276" i="17" s="1"/>
  <c r="HF276" i="17"/>
  <c r="IH276" i="17" s="1"/>
  <c r="GZ276" i="17"/>
  <c r="IB276" i="17" s="1"/>
  <c r="HI276" i="17"/>
  <c r="IK276" i="17" s="1"/>
  <c r="HA276" i="17"/>
  <c r="IC276" i="17" s="1"/>
  <c r="HC276" i="17"/>
  <c r="IE276" i="17" s="1"/>
  <c r="GT276" i="17"/>
  <c r="HV276" i="17" s="1"/>
  <c r="HG276" i="17"/>
  <c r="II276" i="17" s="1"/>
  <c r="HC159" i="17"/>
  <c r="IE159" i="17" s="1"/>
  <c r="GX159" i="17"/>
  <c r="HZ159" i="17" s="1"/>
  <c r="GS159" i="17"/>
  <c r="HU159" i="17" s="1"/>
  <c r="HL159" i="17"/>
  <c r="IN159" i="17" s="1"/>
  <c r="GR159" i="17"/>
  <c r="HT159" i="17" s="1"/>
  <c r="HF159" i="17"/>
  <c r="IH159" i="17" s="1"/>
  <c r="HB159" i="17"/>
  <c r="ID159" i="17" s="1"/>
  <c r="HO159" i="17"/>
  <c r="IQ159" i="17" s="1"/>
  <c r="HK159" i="17"/>
  <c r="IM159" i="17" s="1"/>
  <c r="GT159" i="17"/>
  <c r="HV159" i="17" s="1"/>
  <c r="HQ159" i="17"/>
  <c r="IS159" i="17" s="1"/>
  <c r="GU159" i="17"/>
  <c r="HW159" i="17" s="1"/>
  <c r="HD159" i="17"/>
  <c r="IF159" i="17" s="1"/>
  <c r="HM159" i="17"/>
  <c r="IO159" i="17" s="1"/>
  <c r="HA159" i="17"/>
  <c r="IC159" i="17" s="1"/>
  <c r="HG159" i="17"/>
  <c r="II159" i="17" s="1"/>
  <c r="HR159" i="17"/>
  <c r="IT159" i="17" s="1"/>
  <c r="HJ159" i="17"/>
  <c r="IL159" i="17" s="1"/>
  <c r="GY159" i="17"/>
  <c r="IA159" i="17" s="1"/>
  <c r="HP159" i="17"/>
  <c r="IR159" i="17" s="1"/>
  <c r="HH159" i="17"/>
  <c r="IJ159" i="17" s="1"/>
  <c r="HI159" i="17"/>
  <c r="IK159" i="17" s="1"/>
  <c r="GZ159" i="17"/>
  <c r="IB159" i="17" s="1"/>
  <c r="HE159" i="17"/>
  <c r="IG159" i="17" s="1"/>
  <c r="HN159" i="17"/>
  <c r="IP159" i="17" s="1"/>
  <c r="GW159" i="17"/>
  <c r="HY159" i="17" s="1"/>
  <c r="GV159" i="17"/>
  <c r="HX159" i="17" s="1"/>
  <c r="HB70" i="17"/>
  <c r="ID70" i="17" s="1"/>
  <c r="C32" i="17"/>
  <c r="GW168" i="17"/>
  <c r="HY168" i="17" s="1"/>
  <c r="GV39" i="17"/>
  <c r="HX39" i="17" s="1"/>
  <c r="GW39" i="17"/>
  <c r="HY39" i="17" s="1"/>
  <c r="HD39" i="17"/>
  <c r="IF39" i="17" s="1"/>
  <c r="HL39" i="17"/>
  <c r="IN39" i="17" s="1"/>
  <c r="HO39" i="17"/>
  <c r="IQ39" i="17" s="1"/>
  <c r="GX39" i="17"/>
  <c r="HZ39" i="17" s="1"/>
  <c r="HR39" i="17"/>
  <c r="IT39" i="17" s="1"/>
  <c r="HH39" i="17"/>
  <c r="IJ39" i="17" s="1"/>
  <c r="GT39" i="17"/>
  <c r="HV39" i="17" s="1"/>
  <c r="HN39" i="17"/>
  <c r="IP39" i="17" s="1"/>
  <c r="GY39" i="17"/>
  <c r="IA39" i="17" s="1"/>
  <c r="GR39" i="17"/>
  <c r="HT39" i="17" s="1"/>
  <c r="HQ39" i="17"/>
  <c r="IS39" i="17" s="1"/>
  <c r="HI39" i="17"/>
  <c r="IK39" i="17" s="1"/>
  <c r="GS39" i="17"/>
  <c r="HU39" i="17" s="1"/>
  <c r="HM39" i="17"/>
  <c r="IO39" i="17" s="1"/>
  <c r="HC39" i="17"/>
  <c r="IE39" i="17" s="1"/>
  <c r="GZ39" i="17"/>
  <c r="IB39" i="17" s="1"/>
  <c r="HP39" i="17"/>
  <c r="IR39" i="17" s="1"/>
  <c r="HF39" i="17"/>
  <c r="IH39" i="17" s="1"/>
  <c r="HO160" i="17"/>
  <c r="IQ160" i="17" s="1"/>
  <c r="HB160" i="17"/>
  <c r="ID160" i="17" s="1"/>
  <c r="HL160" i="17"/>
  <c r="IN160" i="17" s="1"/>
  <c r="HJ160" i="17"/>
  <c r="IL160" i="17" s="1"/>
  <c r="GV160" i="17"/>
  <c r="HX160" i="17" s="1"/>
  <c r="GZ160" i="17"/>
  <c r="IB160" i="17" s="1"/>
  <c r="HQ160" i="17"/>
  <c r="IS160" i="17" s="1"/>
  <c r="HN160" i="17"/>
  <c r="IP160" i="17" s="1"/>
  <c r="HI160" i="17"/>
  <c r="IK160" i="17" s="1"/>
  <c r="GU160" i="17"/>
  <c r="HW160" i="17" s="1"/>
  <c r="HE160" i="17"/>
  <c r="IG160" i="17" s="1"/>
  <c r="HA160" i="17"/>
  <c r="IC160" i="17" s="1"/>
  <c r="GY160" i="17"/>
  <c r="IA160" i="17" s="1"/>
  <c r="HR160" i="17"/>
  <c r="IT160" i="17" s="1"/>
  <c r="HM160" i="17"/>
  <c r="IO160" i="17" s="1"/>
  <c r="GT160" i="17"/>
  <c r="HV160" i="17" s="1"/>
  <c r="HH160" i="17"/>
  <c r="IJ160" i="17" s="1"/>
  <c r="HC160" i="17"/>
  <c r="IE160" i="17" s="1"/>
  <c r="GX160" i="17"/>
  <c r="HZ160" i="17" s="1"/>
  <c r="HK160" i="17"/>
  <c r="IM160" i="17" s="1"/>
  <c r="GR160" i="17"/>
  <c r="HT160" i="17" s="1"/>
  <c r="HG160" i="17"/>
  <c r="II160" i="17" s="1"/>
  <c r="AV161" i="17"/>
  <c r="C161" i="17"/>
  <c r="C111" i="17"/>
  <c r="AV93" i="17"/>
  <c r="AV127" i="17"/>
  <c r="HR127" i="17"/>
  <c r="IT127" i="17" s="1"/>
  <c r="HB127" i="17"/>
  <c r="ID127" i="17" s="1"/>
  <c r="GU127" i="17"/>
  <c r="HW127" i="17" s="1"/>
  <c r="HG127" i="17"/>
  <c r="II127" i="17" s="1"/>
  <c r="HN127" i="17"/>
  <c r="IP127" i="17" s="1"/>
  <c r="HP127" i="17"/>
  <c r="IR127" i="17" s="1"/>
  <c r="GZ127" i="17"/>
  <c r="IB127" i="17" s="1"/>
  <c r="HL127" i="17"/>
  <c r="IN127" i="17" s="1"/>
  <c r="HM127" i="17"/>
  <c r="IO127" i="17" s="1"/>
  <c r="GT127" i="17"/>
  <c r="HV127" i="17" s="1"/>
  <c r="HK127" i="17"/>
  <c r="IM127" i="17" s="1"/>
  <c r="HO127" i="17"/>
  <c r="IQ127" i="17" s="1"/>
  <c r="GY127" i="17"/>
  <c r="IA127" i="17" s="1"/>
  <c r="HQ127" i="17"/>
  <c r="IS127" i="17" s="1"/>
  <c r="GW127" i="17"/>
  <c r="HY127" i="17" s="1"/>
  <c r="HH127" i="17"/>
  <c r="IJ127" i="17" s="1"/>
  <c r="HJ127" i="17"/>
  <c r="IL127" i="17" s="1"/>
  <c r="HE127" i="17"/>
  <c r="IG127" i="17" s="1"/>
  <c r="HA127" i="17"/>
  <c r="IC127" i="17" s="1"/>
  <c r="HC127" i="17"/>
  <c r="IE127" i="17" s="1"/>
  <c r="GS127" i="17"/>
  <c r="HU127" i="17" s="1"/>
  <c r="HD127" i="17"/>
  <c r="IF127" i="17" s="1"/>
  <c r="GX127" i="17"/>
  <c r="HZ127" i="17" s="1"/>
  <c r="HF127" i="17"/>
  <c r="IH127" i="17" s="1"/>
  <c r="GR253" i="17"/>
  <c r="HT253" i="17" s="1"/>
  <c r="HC253" i="17"/>
  <c r="IE253" i="17" s="1"/>
  <c r="HR253" i="17"/>
  <c r="IT253" i="17" s="1"/>
  <c r="GT253" i="17"/>
  <c r="HV253" i="17" s="1"/>
  <c r="GZ253" i="17"/>
  <c r="IB253" i="17" s="1"/>
  <c r="HG253" i="17"/>
  <c r="II253" i="17" s="1"/>
  <c r="HJ253" i="17"/>
  <c r="IL253" i="17" s="1"/>
  <c r="HD253" i="17"/>
  <c r="IF253" i="17" s="1"/>
  <c r="HO253" i="17"/>
  <c r="IQ253" i="17" s="1"/>
  <c r="GV111" i="17"/>
  <c r="HX111" i="17" s="1"/>
  <c r="HE111" i="17"/>
  <c r="IG111" i="17" s="1"/>
  <c r="GZ111" i="17"/>
  <c r="IB111" i="17" s="1"/>
  <c r="HI111" i="17"/>
  <c r="IK111" i="17" s="1"/>
  <c r="GR111" i="17"/>
  <c r="HT111" i="17" s="1"/>
  <c r="HR111" i="17"/>
  <c r="IT111" i="17" s="1"/>
  <c r="GS111" i="17"/>
  <c r="HU111" i="17" s="1"/>
  <c r="HK111" i="17"/>
  <c r="IM111" i="17" s="1"/>
  <c r="HO111" i="17"/>
  <c r="IQ111" i="17" s="1"/>
  <c r="GU111" i="17"/>
  <c r="HW111" i="17" s="1"/>
  <c r="HJ111" i="17"/>
  <c r="IL111" i="17" s="1"/>
  <c r="HL111" i="17"/>
  <c r="IN111" i="17" s="1"/>
  <c r="HA111" i="17"/>
  <c r="IC111" i="17" s="1"/>
  <c r="HM111" i="17"/>
  <c r="IO111" i="17" s="1"/>
  <c r="GT111" i="17"/>
  <c r="HV111" i="17" s="1"/>
  <c r="HF111" i="17"/>
  <c r="IH111" i="17" s="1"/>
  <c r="HP111" i="17"/>
  <c r="IR111" i="17" s="1"/>
  <c r="HB111" i="17"/>
  <c r="ID111" i="17" s="1"/>
  <c r="HH111" i="17"/>
  <c r="IJ111" i="17" s="1"/>
  <c r="HN111" i="17"/>
  <c r="IP111" i="17" s="1"/>
  <c r="GW111" i="17"/>
  <c r="HY111" i="17" s="1"/>
  <c r="GY111" i="17"/>
  <c r="IA111" i="17" s="1"/>
  <c r="HC111" i="17"/>
  <c r="IE111" i="17" s="1"/>
  <c r="GR127" i="17"/>
  <c r="HT127" i="17" s="1"/>
  <c r="HQ111" i="17"/>
  <c r="IS111" i="17" s="1"/>
  <c r="AV188" i="17"/>
  <c r="C188" i="17"/>
  <c r="HP261" i="17"/>
  <c r="IR261" i="17" s="1"/>
  <c r="AV281" i="17"/>
  <c r="AV245" i="17"/>
  <c r="C41" i="17"/>
  <c r="C249" i="17"/>
  <c r="C204" i="17"/>
  <c r="AV158" i="17"/>
  <c r="C313" i="17"/>
  <c r="AV24" i="17"/>
  <c r="AV38" i="17"/>
  <c r="HJ139" i="17"/>
  <c r="IL139" i="17" s="1"/>
  <c r="HL139" i="17"/>
  <c r="IN139" i="17" s="1"/>
  <c r="GZ139" i="17"/>
  <c r="IB139" i="17" s="1"/>
  <c r="HH139" i="17"/>
  <c r="IJ139" i="17" s="1"/>
  <c r="HC139" i="17"/>
  <c r="IE139" i="17" s="1"/>
  <c r="HE139" i="17"/>
  <c r="IG139" i="17" s="1"/>
  <c r="GS139" i="17"/>
  <c r="HU139" i="17" s="1"/>
  <c r="GV139" i="17"/>
  <c r="HX139" i="17" s="1"/>
  <c r="GY139" i="17"/>
  <c r="IA139" i="17" s="1"/>
  <c r="GR139" i="17"/>
  <c r="HT139" i="17" s="1"/>
  <c r="HG139" i="17"/>
  <c r="II139" i="17" s="1"/>
  <c r="HM139" i="17"/>
  <c r="IO139" i="17" s="1"/>
  <c r="HA139" i="17"/>
  <c r="IC139" i="17" s="1"/>
  <c r="GT139" i="17"/>
  <c r="HV139" i="17" s="1"/>
  <c r="GU139" i="17"/>
  <c r="HW139" i="17" s="1"/>
  <c r="HI139" i="17"/>
  <c r="IK139" i="17" s="1"/>
  <c r="HM158" i="17"/>
  <c r="IO158" i="17" s="1"/>
  <c r="HG158" i="17"/>
  <c r="II158" i="17" s="1"/>
  <c r="GY158" i="17"/>
  <c r="IA158" i="17" s="1"/>
  <c r="HB158" i="17"/>
  <c r="ID158" i="17" s="1"/>
  <c r="HC158" i="17"/>
  <c r="IE158" i="17" s="1"/>
  <c r="HL158" i="17"/>
  <c r="IN158" i="17" s="1"/>
  <c r="GX158" i="17"/>
  <c r="HZ158" i="17" s="1"/>
  <c r="GZ158" i="17"/>
  <c r="IB158" i="17" s="1"/>
  <c r="GV158" i="17"/>
  <c r="HX158" i="17" s="1"/>
  <c r="HE158" i="17"/>
  <c r="IG158" i="17" s="1"/>
  <c r="HP158" i="17"/>
  <c r="IR158" i="17" s="1"/>
  <c r="GU158" i="17"/>
  <c r="HW158" i="17" s="1"/>
  <c r="HQ158" i="17"/>
  <c r="IS158" i="17" s="1"/>
  <c r="HF158" i="17"/>
  <c r="IH158" i="17" s="1"/>
  <c r="HH158" i="17"/>
  <c r="IJ158" i="17" s="1"/>
  <c r="HN158" i="17"/>
  <c r="IP158" i="17" s="1"/>
  <c r="HD158" i="17"/>
  <c r="IF158" i="17" s="1"/>
  <c r="HJ158" i="17"/>
  <c r="IL158" i="17" s="1"/>
  <c r="HA158" i="17"/>
  <c r="IC158" i="17" s="1"/>
  <c r="GR158" i="17"/>
  <c r="HT158" i="17" s="1"/>
  <c r="HO158" i="17"/>
  <c r="IQ158" i="17" s="1"/>
  <c r="GT158" i="17"/>
  <c r="HV158" i="17" s="1"/>
  <c r="HR158" i="17"/>
  <c r="IT158" i="17" s="1"/>
  <c r="HK158" i="17"/>
  <c r="IM158" i="17" s="1"/>
  <c r="GW158" i="17"/>
  <c r="HY158" i="17" s="1"/>
  <c r="GS158" i="17"/>
  <c r="HU158" i="17" s="1"/>
  <c r="HI158" i="17"/>
  <c r="IK158" i="17" s="1"/>
  <c r="HO139" i="17"/>
  <c r="IQ139" i="17" s="1"/>
  <c r="C201" i="17"/>
  <c r="AV330" i="17"/>
  <c r="HL82" i="17"/>
  <c r="IN82" i="17" s="1"/>
  <c r="HA259" i="17"/>
  <c r="IC259" i="17" s="1"/>
  <c r="GY135" i="17"/>
  <c r="IA135" i="17" s="1"/>
  <c r="HJ162" i="17"/>
  <c r="IL162" i="17" s="1"/>
  <c r="HK162" i="17"/>
  <c r="IM162" i="17" s="1"/>
  <c r="GW162" i="17"/>
  <c r="HY162" i="17" s="1"/>
  <c r="HF162" i="17"/>
  <c r="IH162" i="17" s="1"/>
  <c r="GS162" i="17"/>
  <c r="HU162" i="17" s="1"/>
  <c r="HN162" i="17"/>
  <c r="IP162" i="17" s="1"/>
  <c r="HR162" i="17"/>
  <c r="IT162" i="17" s="1"/>
  <c r="HA162" i="17"/>
  <c r="IC162" i="17" s="1"/>
  <c r="GT162" i="17"/>
  <c r="HV162" i="17" s="1"/>
  <c r="HC162" i="17"/>
  <c r="IE162" i="17" s="1"/>
  <c r="GV162" i="17"/>
  <c r="HX162" i="17" s="1"/>
  <c r="HB162" i="17"/>
  <c r="ID162" i="17" s="1"/>
  <c r="HD162" i="17"/>
  <c r="IF162" i="17" s="1"/>
  <c r="GX162" i="17"/>
  <c r="HZ162" i="17" s="1"/>
  <c r="GR162" i="17"/>
  <c r="HT162" i="17" s="1"/>
  <c r="GZ162" i="17"/>
  <c r="IB162" i="17" s="1"/>
  <c r="HG162" i="17"/>
  <c r="II162" i="17" s="1"/>
  <c r="HL162" i="17"/>
  <c r="IN162" i="17" s="1"/>
  <c r="HQ162" i="17"/>
  <c r="IS162" i="17" s="1"/>
  <c r="GY162" i="17"/>
  <c r="IA162" i="17" s="1"/>
  <c r="HH162" i="17"/>
  <c r="IJ162" i="17" s="1"/>
  <c r="HO162" i="17"/>
  <c r="IQ162" i="17" s="1"/>
  <c r="HE162" i="17"/>
  <c r="IG162" i="17" s="1"/>
  <c r="HP162" i="17"/>
  <c r="IR162" i="17" s="1"/>
  <c r="HM162" i="17"/>
  <c r="IO162" i="17" s="1"/>
  <c r="HI162" i="17"/>
  <c r="IK162" i="17" s="1"/>
  <c r="GU162" i="17"/>
  <c r="HW162" i="17" s="1"/>
  <c r="C185" i="17"/>
  <c r="GX259" i="17"/>
  <c r="HZ259" i="17" s="1"/>
  <c r="HL94" i="17"/>
  <c r="IN94" i="17" s="1"/>
  <c r="GX94" i="17"/>
  <c r="HZ94" i="17" s="1"/>
  <c r="HO94" i="17"/>
  <c r="IQ94" i="17" s="1"/>
  <c r="HK94" i="17"/>
  <c r="IM94" i="17" s="1"/>
  <c r="HQ94" i="17"/>
  <c r="IS94" i="17" s="1"/>
  <c r="HP94" i="17"/>
  <c r="IR94" i="17" s="1"/>
  <c r="GS94" i="17"/>
  <c r="HU94" i="17" s="1"/>
  <c r="HE94" i="17"/>
  <c r="IG94" i="17" s="1"/>
  <c r="HI94" i="17"/>
  <c r="IK94" i="17" s="1"/>
  <c r="HG94" i="17"/>
  <c r="II94" i="17" s="1"/>
  <c r="HN94" i="17"/>
  <c r="IP94" i="17" s="1"/>
  <c r="HF94" i="17"/>
  <c r="IH94" i="17" s="1"/>
  <c r="HA94" i="17"/>
  <c r="IC94" i="17" s="1"/>
  <c r="HD94" i="17"/>
  <c r="IF94" i="17" s="1"/>
  <c r="HH94" i="17"/>
  <c r="IJ94" i="17" s="1"/>
  <c r="HB94" i="17"/>
  <c r="ID94" i="17" s="1"/>
  <c r="GY94" i="17"/>
  <c r="IA94" i="17" s="1"/>
  <c r="GW94" i="17"/>
  <c r="HY94" i="17" s="1"/>
  <c r="GT94" i="17"/>
  <c r="HV94" i="17" s="1"/>
  <c r="HM94" i="17"/>
  <c r="IO94" i="17" s="1"/>
  <c r="GV94" i="17"/>
  <c r="HX94" i="17" s="1"/>
  <c r="GU94" i="17"/>
  <c r="HW94" i="17" s="1"/>
  <c r="HC94" i="17"/>
  <c r="IE94" i="17" s="1"/>
  <c r="GZ94" i="17"/>
  <c r="IB94" i="17" s="1"/>
  <c r="GR94" i="17"/>
  <c r="HT94" i="17" s="1"/>
  <c r="HJ94" i="17"/>
  <c r="IL94" i="17" s="1"/>
  <c r="HR94" i="17"/>
  <c r="IT94" i="17" s="1"/>
  <c r="C220" i="17"/>
  <c r="C82" i="17"/>
  <c r="AV74" i="17"/>
  <c r="AV234" i="17"/>
  <c r="GY83" i="17"/>
  <c r="IA83" i="17" s="1"/>
  <c r="C176" i="17"/>
  <c r="HN308" i="17"/>
  <c r="IP308" i="17" s="1"/>
  <c r="C294" i="17"/>
  <c r="C18" i="17"/>
  <c r="C107" i="17"/>
  <c r="GR334" i="17"/>
  <c r="HT334" i="17" s="1"/>
  <c r="HI82" i="17"/>
  <c r="IK82" i="17" s="1"/>
  <c r="GY194" i="17"/>
  <c r="IA194" i="17" s="1"/>
  <c r="HC223" i="17"/>
  <c r="IE223" i="17" s="1"/>
  <c r="HF299" i="17"/>
  <c r="IH299" i="17" s="1"/>
  <c r="HM153" i="17"/>
  <c r="IO153" i="17" s="1"/>
  <c r="HI303" i="17"/>
  <c r="IK303" i="17" s="1"/>
  <c r="GR145" i="17"/>
  <c r="HT145" i="17" s="1"/>
  <c r="HM317" i="17"/>
  <c r="IO317" i="17" s="1"/>
  <c r="HM279" i="17"/>
  <c r="IO279" i="17" s="1"/>
  <c r="HJ256" i="17"/>
  <c r="IL256" i="17" s="1"/>
  <c r="HI113" i="17"/>
  <c r="IK113" i="17" s="1"/>
  <c r="GY113" i="17"/>
  <c r="IA113" i="17" s="1"/>
  <c r="HM106" i="17"/>
  <c r="IO106" i="17" s="1"/>
  <c r="C34" i="17"/>
  <c r="C304" i="17"/>
  <c r="C51" i="17"/>
  <c r="C156" i="17"/>
  <c r="HM184" i="17"/>
  <c r="IO184" i="17" s="1"/>
  <c r="GT303" i="17"/>
  <c r="HV303" i="17" s="1"/>
  <c r="HP259" i="17"/>
  <c r="IR259" i="17" s="1"/>
  <c r="HG259" i="17"/>
  <c r="II259" i="17" s="1"/>
  <c r="HJ5" i="17"/>
  <c r="IL5" i="17" s="1"/>
  <c r="GZ5" i="17"/>
  <c r="IB5" i="17" s="1"/>
  <c r="GR135" i="17"/>
  <c r="HT135" i="17" s="1"/>
  <c r="AV220" i="17"/>
  <c r="GY264" i="17"/>
  <c r="IA264" i="17" s="1"/>
  <c r="GR264" i="17"/>
  <c r="HT264" i="17" s="1"/>
  <c r="HG264" i="17"/>
  <c r="II264" i="17" s="1"/>
  <c r="GU264" i="17"/>
  <c r="HW264" i="17" s="1"/>
  <c r="GT264" i="17"/>
  <c r="HV264" i="17" s="1"/>
  <c r="HJ264" i="17"/>
  <c r="IL264" i="17" s="1"/>
  <c r="HP264" i="17"/>
  <c r="IR264" i="17" s="1"/>
  <c r="HH264" i="17"/>
  <c r="IJ264" i="17" s="1"/>
  <c r="HB264" i="17"/>
  <c r="ID264" i="17" s="1"/>
  <c r="HO264" i="17"/>
  <c r="IQ264" i="17" s="1"/>
  <c r="GZ264" i="17"/>
  <c r="IB264" i="17" s="1"/>
  <c r="HG297" i="17"/>
  <c r="II297" i="17" s="1"/>
  <c r="HK297" i="17"/>
  <c r="IM297" i="17" s="1"/>
  <c r="GT297" i="17"/>
  <c r="HV297" i="17" s="1"/>
  <c r="HD297" i="17"/>
  <c r="IF297" i="17" s="1"/>
  <c r="HR297" i="17"/>
  <c r="IT297" i="17" s="1"/>
  <c r="HI297" i="17"/>
  <c r="IK297" i="17" s="1"/>
  <c r="HF297" i="17"/>
  <c r="IH297" i="17" s="1"/>
  <c r="HL297" i="17"/>
  <c r="IN297" i="17" s="1"/>
  <c r="HP297" i="17"/>
  <c r="IR297" i="17" s="1"/>
  <c r="HN297" i="17"/>
  <c r="IP297" i="17" s="1"/>
  <c r="GW297" i="17"/>
  <c r="HY297" i="17" s="1"/>
  <c r="GR297" i="17"/>
  <c r="HT297" i="17" s="1"/>
  <c r="HE297" i="17"/>
  <c r="IG297" i="17" s="1"/>
  <c r="GZ297" i="17"/>
  <c r="IB297" i="17" s="1"/>
  <c r="HA297" i="17"/>
  <c r="IC297" i="17" s="1"/>
  <c r="HQ297" i="17"/>
  <c r="IS297" i="17" s="1"/>
  <c r="HC297" i="17"/>
  <c r="IE297" i="17" s="1"/>
  <c r="GS297" i="17"/>
  <c r="HU297" i="17" s="1"/>
  <c r="GV297" i="17"/>
  <c r="HX297" i="17" s="1"/>
  <c r="HB297" i="17"/>
  <c r="ID297" i="17" s="1"/>
  <c r="HM297" i="17"/>
  <c r="IO297" i="17" s="1"/>
  <c r="GY297" i="17"/>
  <c r="IA297" i="17" s="1"/>
  <c r="HO297" i="17"/>
  <c r="IQ297" i="17" s="1"/>
  <c r="HH297" i="17"/>
  <c r="IJ297" i="17" s="1"/>
  <c r="GU297" i="17"/>
  <c r="HW297" i="17" s="1"/>
  <c r="HJ297" i="17"/>
  <c r="IL297" i="17" s="1"/>
  <c r="GX297" i="17"/>
  <c r="HZ297" i="17" s="1"/>
  <c r="HF335" i="17"/>
  <c r="IH335" i="17" s="1"/>
  <c r="GT335" i="17"/>
  <c r="HV335" i="17" s="1"/>
  <c r="HC335" i="17"/>
  <c r="IE335" i="17" s="1"/>
  <c r="HG335" i="17"/>
  <c r="II335" i="17" s="1"/>
  <c r="HQ335" i="17"/>
  <c r="IS335" i="17" s="1"/>
  <c r="HD335" i="17"/>
  <c r="IF335" i="17" s="1"/>
  <c r="GR93" i="17"/>
  <c r="HT93" i="17" s="1"/>
  <c r="GX93" i="17"/>
  <c r="HZ93" i="17" s="1"/>
  <c r="HI93" i="17"/>
  <c r="IK93" i="17" s="1"/>
  <c r="GT93" i="17"/>
  <c r="HV93" i="17" s="1"/>
  <c r="HA93" i="17"/>
  <c r="IC93" i="17" s="1"/>
  <c r="HK93" i="17"/>
  <c r="IM93" i="17" s="1"/>
  <c r="GY93" i="17"/>
  <c r="IA93" i="17" s="1"/>
  <c r="HG93" i="17"/>
  <c r="II93" i="17" s="1"/>
  <c r="HN93" i="17"/>
  <c r="IP93" i="17" s="1"/>
  <c r="HF93" i="17"/>
  <c r="IH93" i="17" s="1"/>
  <c r="HL93" i="17"/>
  <c r="IN93" i="17" s="1"/>
  <c r="HJ93" i="17"/>
  <c r="IL93" i="17" s="1"/>
  <c r="HC93" i="17"/>
  <c r="IE93" i="17" s="1"/>
  <c r="HP93" i="17"/>
  <c r="IR93" i="17" s="1"/>
  <c r="HH93" i="17"/>
  <c r="IJ93" i="17" s="1"/>
  <c r="GW93" i="17"/>
  <c r="HY93" i="17" s="1"/>
  <c r="GZ93" i="17"/>
  <c r="IB93" i="17" s="1"/>
  <c r="GS93" i="17"/>
  <c r="HU93" i="17" s="1"/>
  <c r="HO93" i="17"/>
  <c r="IQ93" i="17" s="1"/>
  <c r="HR93" i="17"/>
  <c r="IT93" i="17" s="1"/>
  <c r="HE93" i="17"/>
  <c r="IG93" i="17" s="1"/>
  <c r="HQ93" i="17"/>
  <c r="IS93" i="17" s="1"/>
  <c r="HB93" i="17"/>
  <c r="ID93" i="17" s="1"/>
  <c r="GU93" i="17"/>
  <c r="HW93" i="17" s="1"/>
  <c r="HD93" i="17"/>
  <c r="IF93" i="17" s="1"/>
  <c r="HM93" i="17"/>
  <c r="IO93" i="17" s="1"/>
  <c r="GV93" i="17"/>
  <c r="HX93" i="17" s="1"/>
  <c r="AV246" i="17"/>
  <c r="C303" i="17"/>
  <c r="AV131" i="17"/>
  <c r="AV187" i="17"/>
  <c r="C130" i="17"/>
  <c r="AV130" i="17"/>
  <c r="AV143" i="17"/>
  <c r="AV321" i="17"/>
  <c r="AV255" i="17"/>
  <c r="GT153" i="17"/>
  <c r="HV153" i="17" s="1"/>
  <c r="HJ259" i="17"/>
  <c r="IL259" i="17" s="1"/>
  <c r="GU135" i="17"/>
  <c r="HW135" i="17" s="1"/>
  <c r="HB334" i="17"/>
  <c r="ID334" i="17" s="1"/>
  <c r="HC334" i="17"/>
  <c r="IE334" i="17" s="1"/>
  <c r="HN334" i="17"/>
  <c r="IP334" i="17" s="1"/>
  <c r="HL334" i="17"/>
  <c r="IN334" i="17" s="1"/>
  <c r="HD83" i="17"/>
  <c r="IF83" i="17" s="1"/>
  <c r="GT135" i="17"/>
  <c r="HV135" i="17" s="1"/>
  <c r="GR324" i="17"/>
  <c r="HT324" i="17" s="1"/>
  <c r="GW324" i="17"/>
  <c r="HY324" i="17" s="1"/>
  <c r="GZ324" i="17"/>
  <c r="IB324" i="17" s="1"/>
  <c r="HB324" i="17"/>
  <c r="ID324" i="17" s="1"/>
  <c r="HJ324" i="17"/>
  <c r="IL324" i="17" s="1"/>
  <c r="HG324" i="17"/>
  <c r="II324" i="17" s="1"/>
  <c r="HN324" i="17"/>
  <c r="IP324" i="17" s="1"/>
  <c r="GY324" i="17"/>
  <c r="IA324" i="17" s="1"/>
  <c r="HH324" i="17"/>
  <c r="IJ324" i="17" s="1"/>
  <c r="C262" i="17"/>
  <c r="HB181" i="17"/>
  <c r="ID181" i="17" s="1"/>
  <c r="HE181" i="17"/>
  <c r="IG181" i="17" s="1"/>
  <c r="HK181" i="17"/>
  <c r="IM181" i="17" s="1"/>
  <c r="HN181" i="17"/>
  <c r="IP181" i="17" s="1"/>
  <c r="HD181" i="17"/>
  <c r="IF181" i="17" s="1"/>
  <c r="HM181" i="17"/>
  <c r="IO181" i="17" s="1"/>
  <c r="GW181" i="17"/>
  <c r="HY181" i="17" s="1"/>
  <c r="GT181" i="17"/>
  <c r="HV181" i="17" s="1"/>
  <c r="HG181" i="17"/>
  <c r="II181" i="17" s="1"/>
  <c r="HC181" i="17"/>
  <c r="IE181" i="17" s="1"/>
  <c r="GX181" i="17"/>
  <c r="HZ181" i="17" s="1"/>
  <c r="HL181" i="17"/>
  <c r="IN181" i="17" s="1"/>
  <c r="GU181" i="17"/>
  <c r="HW181" i="17" s="1"/>
  <c r="HF181" i="17"/>
  <c r="IH181" i="17" s="1"/>
  <c r="HO181" i="17"/>
  <c r="IQ181" i="17" s="1"/>
  <c r="GY181" i="17"/>
  <c r="IA181" i="17" s="1"/>
  <c r="HR181" i="17"/>
  <c r="IT181" i="17" s="1"/>
  <c r="GZ181" i="17"/>
  <c r="IB181" i="17" s="1"/>
  <c r="HA181" i="17"/>
  <c r="IC181" i="17" s="1"/>
  <c r="GS181" i="17"/>
  <c r="HU181" i="17" s="1"/>
  <c r="HH181" i="17"/>
  <c r="IJ181" i="17" s="1"/>
  <c r="HQ181" i="17"/>
  <c r="IS181" i="17" s="1"/>
  <c r="HJ181" i="17"/>
  <c r="IL181" i="17" s="1"/>
  <c r="HI181" i="17"/>
  <c r="IK181" i="17" s="1"/>
  <c r="GR181" i="17"/>
  <c r="HT181" i="17" s="1"/>
  <c r="HP181" i="17"/>
  <c r="IR181" i="17" s="1"/>
  <c r="GV181" i="17"/>
  <c r="HX181" i="17" s="1"/>
  <c r="C117" i="17"/>
  <c r="GU223" i="17"/>
  <c r="HW223" i="17" s="1"/>
  <c r="HO303" i="17"/>
  <c r="IQ303" i="17" s="1"/>
  <c r="HC279" i="17"/>
  <c r="IE279" i="17" s="1"/>
  <c r="GU256" i="17"/>
  <c r="HW256" i="17" s="1"/>
  <c r="HD324" i="17"/>
  <c r="IF324" i="17" s="1"/>
  <c r="HF184" i="17"/>
  <c r="IH184" i="17" s="1"/>
  <c r="HB5" i="17"/>
  <c r="ID5" i="17" s="1"/>
  <c r="HG269" i="17"/>
  <c r="II269" i="17" s="1"/>
  <c r="HP269" i="17"/>
  <c r="IR269" i="17" s="1"/>
  <c r="GT269" i="17"/>
  <c r="HV269" i="17" s="1"/>
  <c r="HN269" i="17"/>
  <c r="IP269" i="17" s="1"/>
  <c r="HL269" i="17"/>
  <c r="IN269" i="17" s="1"/>
  <c r="GZ269" i="17"/>
  <c r="IB269" i="17" s="1"/>
  <c r="HD269" i="17"/>
  <c r="IF269" i="17" s="1"/>
  <c r="GX269" i="17"/>
  <c r="HZ269" i="17" s="1"/>
  <c r="HH269" i="17"/>
  <c r="IJ269" i="17" s="1"/>
  <c r="HI269" i="17"/>
  <c r="IK269" i="17" s="1"/>
  <c r="GS269" i="17"/>
  <c r="HU269" i="17" s="1"/>
  <c r="HQ269" i="17"/>
  <c r="IS269" i="17" s="1"/>
  <c r="GR269" i="17"/>
  <c r="HT269" i="17" s="1"/>
  <c r="GW269" i="17"/>
  <c r="HY269" i="17" s="1"/>
  <c r="GY269" i="17"/>
  <c r="IA269" i="17" s="1"/>
  <c r="HC269" i="17"/>
  <c r="IE269" i="17" s="1"/>
  <c r="HR269" i="17"/>
  <c r="IT269" i="17" s="1"/>
  <c r="HE269" i="17"/>
  <c r="IG269" i="17" s="1"/>
  <c r="GX295" i="17"/>
  <c r="HZ295" i="17" s="1"/>
  <c r="HD295" i="17"/>
  <c r="IF295" i="17" s="1"/>
  <c r="HM295" i="17"/>
  <c r="IO295" i="17" s="1"/>
  <c r="HP295" i="17"/>
  <c r="IR295" i="17" s="1"/>
  <c r="GZ295" i="17"/>
  <c r="IB295" i="17" s="1"/>
  <c r="HO295" i="17"/>
  <c r="IQ295" i="17" s="1"/>
  <c r="HK295" i="17"/>
  <c r="IM295" i="17" s="1"/>
  <c r="HH295" i="17"/>
  <c r="IJ295" i="17" s="1"/>
  <c r="HJ295" i="17"/>
  <c r="IL295" i="17" s="1"/>
  <c r="HR295" i="17"/>
  <c r="IT295" i="17" s="1"/>
  <c r="HG295" i="17"/>
  <c r="II295" i="17" s="1"/>
  <c r="HN106" i="17"/>
  <c r="IP106" i="17" s="1"/>
  <c r="HA83" i="17"/>
  <c r="IC83" i="17" s="1"/>
  <c r="HN83" i="17"/>
  <c r="IP83" i="17" s="1"/>
  <c r="HK308" i="17"/>
  <c r="IM308" i="17" s="1"/>
  <c r="GW334" i="17"/>
  <c r="HY334" i="17" s="1"/>
  <c r="GT334" i="17"/>
  <c r="HV334" i="17" s="1"/>
  <c r="GY82" i="17"/>
  <c r="IA82" i="17" s="1"/>
  <c r="GW194" i="17"/>
  <c r="HY194" i="17" s="1"/>
  <c r="HM223" i="17"/>
  <c r="IO223" i="17" s="1"/>
  <c r="HL303" i="17"/>
  <c r="IN303" i="17" s="1"/>
  <c r="HQ317" i="17"/>
  <c r="IS317" i="17" s="1"/>
  <c r="HB256" i="17"/>
  <c r="ID256" i="17" s="1"/>
  <c r="HJ113" i="17"/>
  <c r="IL113" i="17" s="1"/>
  <c r="HC113" i="17"/>
  <c r="IE113" i="17" s="1"/>
  <c r="HN283" i="17"/>
  <c r="IP283" i="17" s="1"/>
  <c r="HC106" i="17"/>
  <c r="IE106" i="17" s="1"/>
  <c r="HA269" i="17"/>
  <c r="IC269" i="17" s="1"/>
  <c r="GV295" i="17"/>
  <c r="HX295" i="17" s="1"/>
  <c r="GW303" i="17"/>
  <c r="HY303" i="17" s="1"/>
  <c r="HD303" i="17"/>
  <c r="IF303" i="17" s="1"/>
  <c r="HE259" i="17"/>
  <c r="IG259" i="17" s="1"/>
  <c r="GS259" i="17"/>
  <c r="HU259" i="17" s="1"/>
  <c r="HR5" i="17"/>
  <c r="IT5" i="17" s="1"/>
  <c r="HD5" i="17"/>
  <c r="IF5" i="17" s="1"/>
  <c r="HN135" i="17"/>
  <c r="IP135" i="17" s="1"/>
  <c r="HH302" i="17"/>
  <c r="IJ302" i="17" s="1"/>
  <c r="HP302" i="17"/>
  <c r="IR302" i="17" s="1"/>
  <c r="GY302" i="17"/>
  <c r="IA302" i="17" s="1"/>
  <c r="HG302" i="17"/>
  <c r="II302" i="17" s="1"/>
  <c r="HO302" i="17"/>
  <c r="IQ302" i="17" s="1"/>
  <c r="HQ302" i="17"/>
  <c r="IS302" i="17" s="1"/>
  <c r="GV302" i="17"/>
  <c r="HX302" i="17" s="1"/>
  <c r="GW302" i="17"/>
  <c r="HY302" i="17" s="1"/>
  <c r="HI302" i="17"/>
  <c r="IK302" i="17" s="1"/>
  <c r="AV95" i="17"/>
  <c r="AV113" i="17"/>
  <c r="AV25" i="17"/>
  <c r="GT114" i="17"/>
  <c r="HV114" i="17" s="1"/>
  <c r="HB114" i="17"/>
  <c r="ID114" i="17" s="1"/>
  <c r="HK114" i="17"/>
  <c r="IM114" i="17" s="1"/>
  <c r="HF114" i="17"/>
  <c r="IH114" i="17" s="1"/>
  <c r="GX114" i="17"/>
  <c r="HZ114" i="17" s="1"/>
  <c r="GZ114" i="17"/>
  <c r="IB114" i="17" s="1"/>
  <c r="HM114" i="17"/>
  <c r="IO114" i="17" s="1"/>
  <c r="GS114" i="17"/>
  <c r="HU114" i="17" s="1"/>
  <c r="GY114" i="17"/>
  <c r="IA114" i="17" s="1"/>
  <c r="HE114" i="17"/>
  <c r="IG114" i="17" s="1"/>
  <c r="HJ114" i="17"/>
  <c r="IL114" i="17" s="1"/>
  <c r="HR114" i="17"/>
  <c r="IT114" i="17" s="1"/>
  <c r="HQ114" i="17"/>
  <c r="IS114" i="17" s="1"/>
  <c r="GU114" i="17"/>
  <c r="HW114" i="17" s="1"/>
  <c r="HA114" i="17"/>
  <c r="IC114" i="17" s="1"/>
  <c r="HL114" i="17"/>
  <c r="IN114" i="17" s="1"/>
  <c r="HP114" i="17"/>
  <c r="IR114" i="17" s="1"/>
  <c r="C162" i="17"/>
  <c r="HD217" i="17"/>
  <c r="IF217" i="17" s="1"/>
  <c r="GT217" i="17"/>
  <c r="HV217" i="17" s="1"/>
  <c r="HK217" i="17"/>
  <c r="IM217" i="17" s="1"/>
  <c r="GZ217" i="17"/>
  <c r="IB217" i="17" s="1"/>
  <c r="HQ217" i="17"/>
  <c r="IS217" i="17" s="1"/>
  <c r="GS217" i="17"/>
  <c r="HU217" i="17" s="1"/>
  <c r="HF217" i="17"/>
  <c r="IH217" i="17" s="1"/>
  <c r="HC217" i="17"/>
  <c r="IE217" i="17" s="1"/>
  <c r="HN217" i="17"/>
  <c r="IP217" i="17" s="1"/>
  <c r="HJ217" i="17"/>
  <c r="IL217" i="17" s="1"/>
  <c r="GU217" i="17"/>
  <c r="HW217" i="17" s="1"/>
  <c r="GV217" i="17"/>
  <c r="HX217" i="17" s="1"/>
  <c r="HM217" i="17"/>
  <c r="IO217" i="17" s="1"/>
  <c r="HB217" i="17"/>
  <c r="ID217" i="17" s="1"/>
  <c r="HE217" i="17"/>
  <c r="IG217" i="17" s="1"/>
  <c r="GW217" i="17"/>
  <c r="HY217" i="17" s="1"/>
  <c r="HI217" i="17"/>
  <c r="IK217" i="17" s="1"/>
  <c r="HR217" i="17"/>
  <c r="IT217" i="17" s="1"/>
  <c r="GY217" i="17"/>
  <c r="IA217" i="17" s="1"/>
  <c r="GX217" i="17"/>
  <c r="HZ217" i="17" s="1"/>
  <c r="HG217" i="17"/>
  <c r="II217" i="17" s="1"/>
  <c r="HO217" i="17"/>
  <c r="IQ217" i="17" s="1"/>
  <c r="HP217" i="17"/>
  <c r="IR217" i="17" s="1"/>
  <c r="HH217" i="17"/>
  <c r="IJ217" i="17" s="1"/>
  <c r="HL217" i="17"/>
  <c r="IN217" i="17" s="1"/>
  <c r="HA217" i="17"/>
  <c r="IC217" i="17" s="1"/>
  <c r="GR217" i="17"/>
  <c r="HT217" i="17" s="1"/>
  <c r="HN218" i="17"/>
  <c r="IP218" i="17" s="1"/>
  <c r="HM218" i="17"/>
  <c r="IO218" i="17" s="1"/>
  <c r="GY218" i="17"/>
  <c r="IA218" i="17" s="1"/>
  <c r="GZ126" i="17"/>
  <c r="IB126" i="17" s="1"/>
  <c r="GY126" i="17"/>
  <c r="IA126" i="17" s="1"/>
  <c r="HI126" i="17"/>
  <c r="IK126" i="17" s="1"/>
  <c r="HQ126" i="17"/>
  <c r="IS126" i="17" s="1"/>
  <c r="HG126" i="17"/>
  <c r="II126" i="17" s="1"/>
  <c r="GT126" i="17"/>
  <c r="HV126" i="17" s="1"/>
  <c r="HA126" i="17"/>
  <c r="IC126" i="17" s="1"/>
  <c r="GR126" i="17"/>
  <c r="HT126" i="17" s="1"/>
  <c r="HL126" i="17"/>
  <c r="IN126" i="17" s="1"/>
  <c r="HC126" i="17"/>
  <c r="IE126" i="17" s="1"/>
  <c r="HK126" i="17"/>
  <c r="IM126" i="17" s="1"/>
  <c r="GS126" i="17"/>
  <c r="HU126" i="17" s="1"/>
  <c r="HM126" i="17"/>
  <c r="IO126" i="17" s="1"/>
  <c r="HH126" i="17"/>
  <c r="IJ126" i="17" s="1"/>
  <c r="GV126" i="17"/>
  <c r="HX126" i="17" s="1"/>
  <c r="GX126" i="17"/>
  <c r="HZ126" i="17" s="1"/>
  <c r="GU126" i="17"/>
  <c r="HW126" i="17" s="1"/>
  <c r="HD126" i="17"/>
  <c r="IF126" i="17" s="1"/>
  <c r="HE126" i="17"/>
  <c r="IG126" i="17" s="1"/>
  <c r="HN126" i="17"/>
  <c r="IP126" i="17" s="1"/>
  <c r="HP126" i="17"/>
  <c r="IR126" i="17" s="1"/>
  <c r="GW126" i="17"/>
  <c r="HY126" i="17" s="1"/>
  <c r="HO126" i="17"/>
  <c r="IQ126" i="17" s="1"/>
  <c r="HR126" i="17"/>
  <c r="IT126" i="17" s="1"/>
  <c r="HF126" i="17"/>
  <c r="IH126" i="17" s="1"/>
  <c r="HJ126" i="17"/>
  <c r="IL126" i="17" s="1"/>
  <c r="HB126" i="17"/>
  <c r="ID126" i="17" s="1"/>
  <c r="GX244" i="17"/>
  <c r="HZ244" i="17" s="1"/>
  <c r="HM244" i="17"/>
  <c r="IO244" i="17" s="1"/>
  <c r="HF244" i="17"/>
  <c r="IH244" i="17" s="1"/>
  <c r="HP244" i="17"/>
  <c r="IR244" i="17" s="1"/>
  <c r="GW246" i="17"/>
  <c r="HY246" i="17" s="1"/>
  <c r="GS246" i="17"/>
  <c r="HU246" i="17" s="1"/>
  <c r="HN246" i="17"/>
  <c r="IP246" i="17" s="1"/>
  <c r="HQ246" i="17"/>
  <c r="IS246" i="17" s="1"/>
  <c r="HP246" i="17"/>
  <c r="IR246" i="17" s="1"/>
  <c r="GT246" i="17"/>
  <c r="HV246" i="17" s="1"/>
  <c r="HD246" i="17"/>
  <c r="IF246" i="17" s="1"/>
  <c r="HG246" i="17"/>
  <c r="II246" i="17" s="1"/>
  <c r="GZ246" i="17"/>
  <c r="IB246" i="17" s="1"/>
  <c r="HO246" i="17"/>
  <c r="IQ246" i="17" s="1"/>
  <c r="GV246" i="17"/>
  <c r="HX246" i="17" s="1"/>
  <c r="HL246" i="17"/>
  <c r="IN246" i="17" s="1"/>
  <c r="HI246" i="17"/>
  <c r="IK246" i="17" s="1"/>
  <c r="HB246" i="17"/>
  <c r="ID246" i="17" s="1"/>
  <c r="HM246" i="17"/>
  <c r="IO246" i="17" s="1"/>
  <c r="GU246" i="17"/>
  <c r="HW246" i="17" s="1"/>
  <c r="HH246" i="17"/>
  <c r="IJ246" i="17" s="1"/>
  <c r="GX246" i="17"/>
  <c r="HZ246" i="17" s="1"/>
  <c r="HR246" i="17"/>
  <c r="IT246" i="17" s="1"/>
  <c r="HF246" i="17"/>
  <c r="IH246" i="17" s="1"/>
  <c r="HE246" i="17"/>
  <c r="IG246" i="17" s="1"/>
  <c r="HK246" i="17"/>
  <c r="IM246" i="17" s="1"/>
  <c r="HJ246" i="17"/>
  <c r="IL246" i="17" s="1"/>
  <c r="HC246" i="17"/>
  <c r="IE246" i="17" s="1"/>
  <c r="GY246" i="17"/>
  <c r="IA246" i="17" s="1"/>
  <c r="GR246" i="17"/>
  <c r="HT246" i="17" s="1"/>
  <c r="HA246" i="17"/>
  <c r="IC246" i="17" s="1"/>
  <c r="HP104" i="17"/>
  <c r="IR104" i="17" s="1"/>
  <c r="GW104" i="17"/>
  <c r="HY104" i="17" s="1"/>
  <c r="GS104" i="17"/>
  <c r="HU104" i="17" s="1"/>
  <c r="HF104" i="17"/>
  <c r="IH104" i="17" s="1"/>
  <c r="HB104" i="17"/>
  <c r="ID104" i="17" s="1"/>
  <c r="GW262" i="17"/>
  <c r="HY262" i="17" s="1"/>
  <c r="GV262" i="17"/>
  <c r="HX262" i="17" s="1"/>
  <c r="HM262" i="17"/>
  <c r="IO262" i="17" s="1"/>
  <c r="HA262" i="17"/>
  <c r="IC262" i="17" s="1"/>
  <c r="HE262" i="17"/>
  <c r="IG262" i="17" s="1"/>
  <c r="HF262" i="17"/>
  <c r="IH262" i="17" s="1"/>
  <c r="HH262" i="17"/>
  <c r="IJ262" i="17" s="1"/>
  <c r="HK262" i="17"/>
  <c r="IM262" i="17" s="1"/>
  <c r="GR262" i="17"/>
  <c r="HT262" i="17" s="1"/>
  <c r="HO262" i="17"/>
  <c r="IQ262" i="17" s="1"/>
  <c r="HJ262" i="17"/>
  <c r="IL262" i="17" s="1"/>
  <c r="GX262" i="17"/>
  <c r="HZ262" i="17" s="1"/>
  <c r="GT262" i="17"/>
  <c r="HV262" i="17" s="1"/>
  <c r="HN262" i="17"/>
  <c r="IP262" i="17" s="1"/>
  <c r="GZ262" i="17"/>
  <c r="IB262" i="17" s="1"/>
  <c r="HB262" i="17"/>
  <c r="ID262" i="17" s="1"/>
  <c r="HC262" i="17"/>
  <c r="IE262" i="17" s="1"/>
  <c r="GY262" i="17"/>
  <c r="IA262" i="17" s="1"/>
  <c r="GU262" i="17"/>
  <c r="HW262" i="17" s="1"/>
  <c r="HP262" i="17"/>
  <c r="IR262" i="17" s="1"/>
  <c r="HR262" i="17"/>
  <c r="IT262" i="17" s="1"/>
  <c r="HG262" i="17"/>
  <c r="II262" i="17" s="1"/>
  <c r="HD262" i="17"/>
  <c r="IF262" i="17" s="1"/>
  <c r="HL262" i="17"/>
  <c r="IN262" i="17" s="1"/>
  <c r="GS262" i="17"/>
  <c r="HU262" i="17" s="1"/>
  <c r="HI262" i="17"/>
  <c r="IK262" i="17" s="1"/>
  <c r="HQ262" i="17"/>
  <c r="IS262" i="17" s="1"/>
  <c r="AV292" i="17"/>
  <c r="HC131" i="17"/>
  <c r="IE131" i="17" s="1"/>
  <c r="HD131" i="17"/>
  <c r="IF131" i="17" s="1"/>
  <c r="GW131" i="17"/>
  <c r="HY131" i="17" s="1"/>
  <c r="HO131" i="17"/>
  <c r="IQ131" i="17" s="1"/>
  <c r="HF131" i="17"/>
  <c r="IH131" i="17" s="1"/>
  <c r="HB131" i="17"/>
  <c r="ID131" i="17" s="1"/>
  <c r="HN131" i="17"/>
  <c r="IP131" i="17" s="1"/>
  <c r="GT131" i="17"/>
  <c r="HV131" i="17" s="1"/>
  <c r="GX131" i="17"/>
  <c r="HZ131" i="17" s="1"/>
  <c r="HI131" i="17"/>
  <c r="IK131" i="17" s="1"/>
  <c r="HH131" i="17"/>
  <c r="IJ131" i="17" s="1"/>
  <c r="GV131" i="17"/>
  <c r="HX131" i="17" s="1"/>
  <c r="HG131" i="17"/>
  <c r="II131" i="17" s="1"/>
  <c r="HL131" i="17"/>
  <c r="IN131" i="17" s="1"/>
  <c r="HM131" i="17"/>
  <c r="IO131" i="17" s="1"/>
  <c r="GS131" i="17"/>
  <c r="HU131" i="17" s="1"/>
  <c r="HK131" i="17"/>
  <c r="IM131" i="17" s="1"/>
  <c r="HR131" i="17"/>
  <c r="IT131" i="17" s="1"/>
  <c r="GU131" i="17"/>
  <c r="HW131" i="17" s="1"/>
  <c r="HJ131" i="17"/>
  <c r="IL131" i="17" s="1"/>
  <c r="GZ131" i="17"/>
  <c r="IB131" i="17" s="1"/>
  <c r="HA131" i="17"/>
  <c r="IC131" i="17" s="1"/>
  <c r="HQ131" i="17"/>
  <c r="IS131" i="17" s="1"/>
  <c r="GY131" i="17"/>
  <c r="IA131" i="17" s="1"/>
  <c r="GR131" i="17"/>
  <c r="HT131" i="17" s="1"/>
  <c r="HP131" i="17"/>
  <c r="IR131" i="17" s="1"/>
  <c r="HE131" i="17"/>
  <c r="IG131" i="17" s="1"/>
  <c r="GW22" i="17"/>
  <c r="HY22" i="17" s="1"/>
  <c r="HB22" i="17"/>
  <c r="ID22" i="17" s="1"/>
  <c r="HG22" i="17"/>
  <c r="II22" i="17" s="1"/>
  <c r="HK22" i="17"/>
  <c r="IM22" i="17" s="1"/>
  <c r="HL22" i="17"/>
  <c r="IN22" i="17" s="1"/>
  <c r="HI22" i="17"/>
  <c r="IK22" i="17" s="1"/>
  <c r="GU22" i="17"/>
  <c r="HW22" i="17" s="1"/>
  <c r="HR22" i="17"/>
  <c r="IT22" i="17" s="1"/>
  <c r="HD22" i="17"/>
  <c r="IF22" i="17" s="1"/>
  <c r="GR22" i="17"/>
  <c r="HT22" i="17" s="1"/>
  <c r="HC22" i="17"/>
  <c r="IE22" i="17" s="1"/>
  <c r="GS22" i="17"/>
  <c r="HU22" i="17" s="1"/>
  <c r="HM22" i="17"/>
  <c r="IO22" i="17" s="1"/>
  <c r="HO22" i="17"/>
  <c r="IQ22" i="17" s="1"/>
  <c r="GV22" i="17"/>
  <c r="HX22" i="17" s="1"/>
  <c r="GX22" i="17"/>
  <c r="HZ22" i="17" s="1"/>
  <c r="HF22" i="17"/>
  <c r="IH22" i="17" s="1"/>
  <c r="HN22" i="17"/>
  <c r="IP22" i="17" s="1"/>
  <c r="HP22" i="17"/>
  <c r="IR22" i="17" s="1"/>
  <c r="GY22" i="17"/>
  <c r="IA22" i="17" s="1"/>
  <c r="HE22" i="17"/>
  <c r="IG22" i="17" s="1"/>
  <c r="HQ22" i="17"/>
  <c r="IS22" i="17" s="1"/>
  <c r="GZ22" i="17"/>
  <c r="IB22" i="17" s="1"/>
  <c r="HJ22" i="17"/>
  <c r="IL22" i="17" s="1"/>
  <c r="GT22" i="17"/>
  <c r="HV22" i="17" s="1"/>
  <c r="HH22" i="17"/>
  <c r="IJ22" i="17" s="1"/>
  <c r="HA22" i="17"/>
  <c r="IC22" i="17" s="1"/>
  <c r="HR321" i="17"/>
  <c r="IT321" i="17" s="1"/>
  <c r="HI321" i="17"/>
  <c r="IK321" i="17" s="1"/>
  <c r="HF321" i="17"/>
  <c r="IH321" i="17" s="1"/>
  <c r="HP321" i="17"/>
  <c r="IR321" i="17" s="1"/>
  <c r="GS321" i="17"/>
  <c r="HU321" i="17" s="1"/>
  <c r="HD321" i="17"/>
  <c r="IF321" i="17" s="1"/>
  <c r="HA321" i="17"/>
  <c r="IC321" i="17" s="1"/>
  <c r="GT321" i="17"/>
  <c r="HV321" i="17" s="1"/>
  <c r="GV321" i="17"/>
  <c r="HX321" i="17" s="1"/>
  <c r="HK321" i="17"/>
  <c r="IM321" i="17" s="1"/>
  <c r="HM321" i="17"/>
  <c r="IO321" i="17" s="1"/>
  <c r="GZ321" i="17"/>
  <c r="IB321" i="17" s="1"/>
  <c r="GU321" i="17"/>
  <c r="HW321" i="17" s="1"/>
  <c r="HE321" i="17"/>
  <c r="IG321" i="17" s="1"/>
  <c r="HQ321" i="17"/>
  <c r="IS321" i="17" s="1"/>
  <c r="HG321" i="17"/>
  <c r="II321" i="17" s="1"/>
  <c r="GW321" i="17"/>
  <c r="HY321" i="17" s="1"/>
  <c r="HJ321" i="17"/>
  <c r="IL321" i="17" s="1"/>
  <c r="HH321" i="17"/>
  <c r="IJ321" i="17" s="1"/>
  <c r="GR321" i="17"/>
  <c r="HT321" i="17" s="1"/>
  <c r="HB321" i="17"/>
  <c r="ID321" i="17" s="1"/>
  <c r="GX321" i="17"/>
  <c r="HZ321" i="17" s="1"/>
  <c r="HC321" i="17"/>
  <c r="IE321" i="17" s="1"/>
  <c r="GY321" i="17"/>
  <c r="IA321" i="17" s="1"/>
  <c r="HN321" i="17"/>
  <c r="IP321" i="17" s="1"/>
  <c r="HO321" i="17"/>
  <c r="IQ321" i="17" s="1"/>
  <c r="HL321" i="17"/>
  <c r="IN321" i="17" s="1"/>
  <c r="GQ179" i="17"/>
  <c r="AV179" i="17"/>
  <c r="AV56" i="17"/>
  <c r="HQ279" i="17"/>
  <c r="IS279" i="17" s="1"/>
  <c r="GT279" i="17"/>
  <c r="HV279" i="17" s="1"/>
  <c r="HR279" i="17"/>
  <c r="IT279" i="17" s="1"/>
  <c r="GU279" i="17"/>
  <c r="HW279" i="17" s="1"/>
  <c r="HE279" i="17"/>
  <c r="IG279" i="17" s="1"/>
  <c r="C110" i="17"/>
  <c r="HI83" i="17"/>
  <c r="IK83" i="17" s="1"/>
  <c r="HF279" i="17"/>
  <c r="IH279" i="17" s="1"/>
  <c r="C56" i="17"/>
  <c r="GT83" i="17"/>
  <c r="HV83" i="17" s="1"/>
  <c r="GZ223" i="17"/>
  <c r="IB223" i="17" s="1"/>
  <c r="HB135" i="17"/>
  <c r="ID135" i="17" s="1"/>
  <c r="HB279" i="17"/>
  <c r="ID279" i="17" s="1"/>
  <c r="HR135" i="17"/>
  <c r="IT135" i="17" s="1"/>
  <c r="C215" i="17"/>
  <c r="GY334" i="17"/>
  <c r="IA334" i="17" s="1"/>
  <c r="HP256" i="17"/>
  <c r="IR256" i="17" s="1"/>
  <c r="HK5" i="17"/>
  <c r="IM5" i="17" s="1"/>
  <c r="HA145" i="17"/>
  <c r="IC145" i="17" s="1"/>
  <c r="HL145" i="17"/>
  <c r="IN145" i="17" s="1"/>
  <c r="GU145" i="17"/>
  <c r="HW145" i="17" s="1"/>
  <c r="HG145" i="17"/>
  <c r="II145" i="17" s="1"/>
  <c r="HD145" i="17"/>
  <c r="IF145" i="17" s="1"/>
  <c r="HQ145" i="17"/>
  <c r="IS145" i="17" s="1"/>
  <c r="HB145" i="17"/>
  <c r="ID145" i="17" s="1"/>
  <c r="HC145" i="17"/>
  <c r="IE145" i="17" s="1"/>
  <c r="HE145" i="17"/>
  <c r="IG145" i="17" s="1"/>
  <c r="HN145" i="17"/>
  <c r="IP145" i="17" s="1"/>
  <c r="GZ145" i="17"/>
  <c r="IB145" i="17" s="1"/>
  <c r="HI145" i="17"/>
  <c r="IK145" i="17" s="1"/>
  <c r="GW145" i="17"/>
  <c r="HY145" i="17" s="1"/>
  <c r="GS145" i="17"/>
  <c r="HU145" i="17" s="1"/>
  <c r="HJ145" i="17"/>
  <c r="IL145" i="17" s="1"/>
  <c r="GT145" i="17"/>
  <c r="HV145" i="17" s="1"/>
  <c r="GV145" i="17"/>
  <c r="HX145" i="17" s="1"/>
  <c r="GY145" i="17"/>
  <c r="IA145" i="17" s="1"/>
  <c r="GX145" i="17"/>
  <c r="HZ145" i="17" s="1"/>
  <c r="HF145" i="17"/>
  <c r="IH145" i="17" s="1"/>
  <c r="AV280" i="17"/>
  <c r="HP334" i="17"/>
  <c r="IR334" i="17" s="1"/>
  <c r="HI194" i="17"/>
  <c r="IK194" i="17" s="1"/>
  <c r="HG153" i="17"/>
  <c r="II153" i="17" s="1"/>
  <c r="HH145" i="17"/>
  <c r="IJ145" i="17" s="1"/>
  <c r="C85" i="17"/>
  <c r="C194" i="17"/>
  <c r="C15" i="17"/>
  <c r="HM259" i="17"/>
  <c r="IO259" i="17" s="1"/>
  <c r="GW135" i="17"/>
  <c r="HY135" i="17" s="1"/>
  <c r="GW56" i="17"/>
  <c r="HY56" i="17" s="1"/>
  <c r="HK56" i="17"/>
  <c r="IM56" i="17" s="1"/>
  <c r="HR56" i="17"/>
  <c r="IT56" i="17" s="1"/>
  <c r="HQ56" i="17"/>
  <c r="IS56" i="17" s="1"/>
  <c r="HJ56" i="17"/>
  <c r="IL56" i="17" s="1"/>
  <c r="HL56" i="17"/>
  <c r="IN56" i="17" s="1"/>
  <c r="HF56" i="17"/>
  <c r="IH56" i="17" s="1"/>
  <c r="HP56" i="17"/>
  <c r="IR56" i="17" s="1"/>
  <c r="GX56" i="17"/>
  <c r="HZ56" i="17" s="1"/>
  <c r="HO56" i="17"/>
  <c r="IQ56" i="17" s="1"/>
  <c r="HI56" i="17"/>
  <c r="IK56" i="17" s="1"/>
  <c r="GS56" i="17"/>
  <c r="HU56" i="17" s="1"/>
  <c r="HG56" i="17"/>
  <c r="II56" i="17" s="1"/>
  <c r="HM56" i="17"/>
  <c r="IO56" i="17" s="1"/>
  <c r="GT56" i="17"/>
  <c r="HV56" i="17" s="1"/>
  <c r="GV56" i="17"/>
  <c r="HX56" i="17" s="1"/>
  <c r="HA56" i="17"/>
  <c r="IC56" i="17" s="1"/>
  <c r="GY56" i="17"/>
  <c r="IA56" i="17" s="1"/>
  <c r="HH56" i="17"/>
  <c r="IJ56" i="17" s="1"/>
  <c r="HB56" i="17"/>
  <c r="ID56" i="17" s="1"/>
  <c r="HD56" i="17"/>
  <c r="IF56" i="17" s="1"/>
  <c r="HC56" i="17"/>
  <c r="IE56" i="17" s="1"/>
  <c r="GR56" i="17"/>
  <c r="HT56" i="17" s="1"/>
  <c r="HE56" i="17"/>
  <c r="IG56" i="17" s="1"/>
  <c r="GZ56" i="17"/>
  <c r="IB56" i="17" s="1"/>
  <c r="GU56" i="17"/>
  <c r="HW56" i="17" s="1"/>
  <c r="HN56" i="17"/>
  <c r="IP56" i="17" s="1"/>
  <c r="HO202" i="17"/>
  <c r="IQ202" i="17" s="1"/>
  <c r="HA202" i="17"/>
  <c r="IC202" i="17" s="1"/>
  <c r="HB202" i="17"/>
  <c r="ID202" i="17" s="1"/>
  <c r="HE202" i="17"/>
  <c r="IG202" i="17" s="1"/>
  <c r="HN202" i="17"/>
  <c r="IP202" i="17" s="1"/>
  <c r="GT202" i="17"/>
  <c r="HV202" i="17" s="1"/>
  <c r="GU202" i="17"/>
  <c r="HW202" i="17" s="1"/>
  <c r="HR202" i="17"/>
  <c r="IT202" i="17" s="1"/>
  <c r="GV202" i="17"/>
  <c r="HX202" i="17" s="1"/>
  <c r="HQ202" i="17"/>
  <c r="IS202" i="17" s="1"/>
  <c r="HH202" i="17"/>
  <c r="IJ202" i="17" s="1"/>
  <c r="GZ202" i="17"/>
  <c r="IB202" i="17" s="1"/>
  <c r="HL202" i="17"/>
  <c r="IN202" i="17" s="1"/>
  <c r="HC202" i="17"/>
  <c r="IE202" i="17" s="1"/>
  <c r="HM202" i="17"/>
  <c r="IO202" i="17" s="1"/>
  <c r="GY202" i="17"/>
  <c r="IA202" i="17" s="1"/>
  <c r="GS202" i="17"/>
  <c r="HU202" i="17" s="1"/>
  <c r="GR202" i="17"/>
  <c r="HT202" i="17" s="1"/>
  <c r="HK202" i="17"/>
  <c r="IM202" i="17" s="1"/>
  <c r="HI202" i="17"/>
  <c r="IK202" i="17" s="1"/>
  <c r="HJ202" i="17"/>
  <c r="IL202" i="17" s="1"/>
  <c r="HG202" i="17"/>
  <c r="II202" i="17" s="1"/>
  <c r="HD202" i="17"/>
  <c r="IF202" i="17" s="1"/>
  <c r="GX202" i="17"/>
  <c r="HZ202" i="17" s="1"/>
  <c r="HF202" i="17"/>
  <c r="IH202" i="17" s="1"/>
  <c r="GW202" i="17"/>
  <c r="HY202" i="17" s="1"/>
  <c r="HP202" i="17"/>
  <c r="IR202" i="17" s="1"/>
  <c r="C74" i="17"/>
  <c r="GX106" i="17"/>
  <c r="HZ106" i="17" s="1"/>
  <c r="HG83" i="17"/>
  <c r="II83" i="17" s="1"/>
  <c r="HM83" i="17"/>
  <c r="IO83" i="17" s="1"/>
  <c r="GV334" i="17"/>
  <c r="HX334" i="17" s="1"/>
  <c r="HF334" i="17"/>
  <c r="IH334" i="17" s="1"/>
  <c r="HC82" i="17"/>
  <c r="IE82" i="17" s="1"/>
  <c r="HD194" i="17"/>
  <c r="IF194" i="17" s="1"/>
  <c r="GX223" i="17"/>
  <c r="HZ223" i="17" s="1"/>
  <c r="HN303" i="17"/>
  <c r="IP303" i="17" s="1"/>
  <c r="HR145" i="17"/>
  <c r="IT145" i="17" s="1"/>
  <c r="HH279" i="17"/>
  <c r="IJ279" i="17" s="1"/>
  <c r="GR256" i="17"/>
  <c r="HT256" i="17" s="1"/>
  <c r="HH256" i="17"/>
  <c r="IJ256" i="17" s="1"/>
  <c r="HR113" i="17"/>
  <c r="IT113" i="17" s="1"/>
  <c r="GV113" i="17"/>
  <c r="HX113" i="17" s="1"/>
  <c r="C49" i="17"/>
  <c r="HF269" i="17"/>
  <c r="IH269" i="17" s="1"/>
  <c r="HH143" i="17"/>
  <c r="IJ143" i="17" s="1"/>
  <c r="HI324" i="17"/>
  <c r="IK324" i="17" s="1"/>
  <c r="HN264" i="17"/>
  <c r="IP264" i="17" s="1"/>
  <c r="GS295" i="17"/>
  <c r="HU295" i="17" s="1"/>
  <c r="GT302" i="17"/>
  <c r="HV302" i="17" s="1"/>
  <c r="GU302" i="17"/>
  <c r="HW302" i="17" s="1"/>
  <c r="HH259" i="17"/>
  <c r="IJ259" i="17" s="1"/>
  <c r="HC259" i="17"/>
  <c r="IE259" i="17" s="1"/>
  <c r="HC5" i="17"/>
  <c r="IE5" i="17" s="1"/>
  <c r="GY5" i="17"/>
  <c r="IA5" i="17" s="1"/>
  <c r="HK135" i="17"/>
  <c r="IM135" i="17" s="1"/>
  <c r="C113" i="17"/>
  <c r="AV145" i="17"/>
  <c r="GU221" i="17"/>
  <c r="HW221" i="17" s="1"/>
  <c r="GR221" i="17"/>
  <c r="HT221" i="17" s="1"/>
  <c r="GV221" i="17"/>
  <c r="HX221" i="17" s="1"/>
  <c r="HK221" i="17"/>
  <c r="IM221" i="17" s="1"/>
  <c r="HM221" i="17"/>
  <c r="IO221" i="17" s="1"/>
  <c r="HO221" i="17"/>
  <c r="IQ221" i="17" s="1"/>
  <c r="AV185" i="17"/>
  <c r="AV92" i="17"/>
  <c r="AV6" i="17"/>
  <c r="GU110" i="17"/>
  <c r="HW110" i="17" s="1"/>
  <c r="HI110" i="17"/>
  <c r="IK110" i="17" s="1"/>
  <c r="HL110" i="17"/>
  <c r="IN110" i="17" s="1"/>
  <c r="HD110" i="17"/>
  <c r="IF110" i="17" s="1"/>
  <c r="HR110" i="17"/>
  <c r="IT110" i="17" s="1"/>
  <c r="HB110" i="17"/>
  <c r="ID110" i="17" s="1"/>
  <c r="GR110" i="17"/>
  <c r="HT110" i="17" s="1"/>
  <c r="HN110" i="17"/>
  <c r="IP110" i="17" s="1"/>
  <c r="HM110" i="17"/>
  <c r="IO110" i="17" s="1"/>
  <c r="GZ110" i="17"/>
  <c r="IB110" i="17" s="1"/>
  <c r="HG110" i="17"/>
  <c r="II110" i="17" s="1"/>
  <c r="HA110" i="17"/>
  <c r="IC110" i="17" s="1"/>
  <c r="C202" i="17"/>
  <c r="C108" i="17"/>
  <c r="AV277" i="17"/>
  <c r="AV184" i="17"/>
  <c r="C248" i="17"/>
  <c r="AV248" i="17"/>
  <c r="AV162" i="17"/>
  <c r="HQ334" i="17"/>
  <c r="IS334" i="17" s="1"/>
  <c r="HM299" i="17"/>
  <c r="IO299" i="17" s="1"/>
  <c r="HA135" i="17"/>
  <c r="IC135" i="17" s="1"/>
  <c r="HO279" i="17"/>
  <c r="IQ279" i="17" s="1"/>
  <c r="HN163" i="17"/>
  <c r="IP163" i="17" s="1"/>
  <c r="HD163" i="17"/>
  <c r="IF163" i="17" s="1"/>
  <c r="GZ163" i="17"/>
  <c r="IB163" i="17" s="1"/>
  <c r="GX163" i="17"/>
  <c r="HZ163" i="17" s="1"/>
  <c r="HG163" i="17"/>
  <c r="II163" i="17" s="1"/>
  <c r="HJ163" i="17"/>
  <c r="IL163" i="17" s="1"/>
  <c r="HR163" i="17"/>
  <c r="IT163" i="17" s="1"/>
  <c r="HB163" i="17"/>
  <c r="ID163" i="17" s="1"/>
  <c r="GV163" i="17"/>
  <c r="HX163" i="17" s="1"/>
  <c r="HK163" i="17"/>
  <c r="IM163" i="17" s="1"/>
  <c r="HA163" i="17"/>
  <c r="IC163" i="17" s="1"/>
  <c r="GT163" i="17"/>
  <c r="HV163" i="17" s="1"/>
  <c r="HQ163" i="17"/>
  <c r="IS163" i="17" s="1"/>
  <c r="HE163" i="17"/>
  <c r="IG163" i="17" s="1"/>
  <c r="HC163" i="17"/>
  <c r="IE163" i="17" s="1"/>
  <c r="HI163" i="17"/>
  <c r="IK163" i="17" s="1"/>
  <c r="HL163" i="17"/>
  <c r="IN163" i="17" s="1"/>
  <c r="GU163" i="17"/>
  <c r="HW163" i="17" s="1"/>
  <c r="HM163" i="17"/>
  <c r="IO163" i="17" s="1"/>
  <c r="GR163" i="17"/>
  <c r="HT163" i="17" s="1"/>
  <c r="GY163" i="17"/>
  <c r="IA163" i="17" s="1"/>
  <c r="HH163" i="17"/>
  <c r="IJ163" i="17" s="1"/>
  <c r="GW163" i="17"/>
  <c r="HY163" i="17" s="1"/>
  <c r="HF163" i="17"/>
  <c r="IH163" i="17" s="1"/>
  <c r="HO163" i="17"/>
  <c r="IQ163" i="17" s="1"/>
  <c r="GS163" i="17"/>
  <c r="HU163" i="17" s="1"/>
  <c r="HP163" i="17"/>
  <c r="IR163" i="17" s="1"/>
  <c r="HG142" i="17"/>
  <c r="II142" i="17" s="1"/>
  <c r="HD142" i="17"/>
  <c r="IF142" i="17" s="1"/>
  <c r="GY142" i="17"/>
  <c r="IA142" i="17" s="1"/>
  <c r="GV142" i="17"/>
  <c r="HX142" i="17" s="1"/>
  <c r="HH142" i="17"/>
  <c r="IJ142" i="17" s="1"/>
  <c r="HR142" i="17"/>
  <c r="IT142" i="17" s="1"/>
  <c r="HQ142" i="17"/>
  <c r="IS142" i="17" s="1"/>
  <c r="GR142" i="17"/>
  <c r="HT142" i="17" s="1"/>
  <c r="HA142" i="17"/>
  <c r="IC142" i="17" s="1"/>
  <c r="HP142" i="17"/>
  <c r="IR142" i="17" s="1"/>
  <c r="GZ142" i="17"/>
  <c r="IB142" i="17" s="1"/>
  <c r="HI142" i="17"/>
  <c r="IK142" i="17" s="1"/>
  <c r="GU142" i="17"/>
  <c r="HW142" i="17" s="1"/>
  <c r="HB142" i="17"/>
  <c r="ID142" i="17" s="1"/>
  <c r="HF142" i="17"/>
  <c r="IH142" i="17" s="1"/>
  <c r="HM142" i="17"/>
  <c r="IO142" i="17" s="1"/>
  <c r="HJ142" i="17"/>
  <c r="IL142" i="17" s="1"/>
  <c r="GW142" i="17"/>
  <c r="HY142" i="17" s="1"/>
  <c r="HE142" i="17"/>
  <c r="IG142" i="17" s="1"/>
  <c r="HN142" i="17"/>
  <c r="IP142" i="17" s="1"/>
  <c r="GT142" i="17"/>
  <c r="HV142" i="17" s="1"/>
  <c r="GX142" i="17"/>
  <c r="HZ142" i="17" s="1"/>
  <c r="HK142" i="17"/>
  <c r="IM142" i="17" s="1"/>
  <c r="HL142" i="17"/>
  <c r="IN142" i="17" s="1"/>
  <c r="HO142" i="17"/>
  <c r="IQ142" i="17" s="1"/>
  <c r="HC142" i="17"/>
  <c r="IE142" i="17" s="1"/>
  <c r="GS142" i="17"/>
  <c r="HU142" i="17" s="1"/>
  <c r="AV201" i="17"/>
  <c r="HC83" i="17"/>
  <c r="IE83" i="17" s="1"/>
  <c r="GR82" i="17"/>
  <c r="HT82" i="17" s="1"/>
  <c r="C62" i="17"/>
  <c r="AV163" i="17"/>
  <c r="AV323" i="17"/>
  <c r="HF308" i="17"/>
  <c r="IH308" i="17" s="1"/>
  <c r="HR308" i="17"/>
  <c r="IT308" i="17" s="1"/>
  <c r="GT308" i="17"/>
  <c r="HV308" i="17" s="1"/>
  <c r="HQ308" i="17"/>
  <c r="IS308" i="17" s="1"/>
  <c r="HC308" i="17"/>
  <c r="IE308" i="17" s="1"/>
  <c r="GV308" i="17"/>
  <c r="HX308" i="17" s="1"/>
  <c r="HD308" i="17"/>
  <c r="IF308" i="17" s="1"/>
  <c r="HH308" i="17"/>
  <c r="IJ308" i="17" s="1"/>
  <c r="AV262" i="17"/>
  <c r="GU317" i="17"/>
  <c r="HW317" i="17" s="1"/>
  <c r="HL317" i="17"/>
  <c r="IN317" i="17" s="1"/>
  <c r="HD317" i="17"/>
  <c r="IF317" i="17" s="1"/>
  <c r="HJ317" i="17"/>
  <c r="IL317" i="17" s="1"/>
  <c r="HK317" i="17"/>
  <c r="IM317" i="17" s="1"/>
  <c r="HH317" i="17"/>
  <c r="IJ317" i="17" s="1"/>
  <c r="HF317" i="17"/>
  <c r="IH317" i="17" s="1"/>
  <c r="HE317" i="17"/>
  <c r="IG317" i="17" s="1"/>
  <c r="GW317" i="17"/>
  <c r="HY317" i="17" s="1"/>
  <c r="GV317" i="17"/>
  <c r="HX317" i="17" s="1"/>
  <c r="GZ83" i="17"/>
  <c r="IB83" i="17" s="1"/>
  <c r="HH83" i="17"/>
  <c r="IJ83" i="17" s="1"/>
  <c r="C134" i="17"/>
  <c r="HG308" i="17"/>
  <c r="II308" i="17" s="1"/>
  <c r="GW308" i="17"/>
  <c r="HY308" i="17" s="1"/>
  <c r="HG334" i="17"/>
  <c r="II334" i="17" s="1"/>
  <c r="HB82" i="17"/>
  <c r="ID82" i="17" s="1"/>
  <c r="HR82" i="17"/>
  <c r="IT82" i="17" s="1"/>
  <c r="HJ194" i="17"/>
  <c r="IL194" i="17" s="1"/>
  <c r="HG223" i="17"/>
  <c r="II223" i="17" s="1"/>
  <c r="HC303" i="17"/>
  <c r="IE303" i="17" s="1"/>
  <c r="HM145" i="17"/>
  <c r="IO145" i="17" s="1"/>
  <c r="GZ317" i="17"/>
  <c r="IB317" i="17" s="1"/>
  <c r="HI279" i="17"/>
  <c r="IK279" i="17" s="1"/>
  <c r="HM256" i="17"/>
  <c r="IO256" i="17" s="1"/>
  <c r="GW256" i="17"/>
  <c r="HY256" i="17" s="1"/>
  <c r="HK113" i="17"/>
  <c r="IM113" i="17" s="1"/>
  <c r="AV243" i="17"/>
  <c r="AV68" i="17"/>
  <c r="C99" i="17"/>
  <c r="GV269" i="17"/>
  <c r="HX269" i="17" s="1"/>
  <c r="HK324" i="17"/>
  <c r="IM324" i="17" s="1"/>
  <c r="HD264" i="17"/>
  <c r="IF264" i="17" s="1"/>
  <c r="HQ295" i="17"/>
  <c r="IS295" i="17" s="1"/>
  <c r="HK139" i="17"/>
  <c r="IM139" i="17" s="1"/>
  <c r="HP324" i="17"/>
  <c r="IR324" i="17" s="1"/>
  <c r="HA302" i="17"/>
  <c r="IC302" i="17" s="1"/>
  <c r="HK302" i="17"/>
  <c r="IM302" i="17" s="1"/>
  <c r="HM135" i="17"/>
  <c r="IO135" i="17" s="1"/>
  <c r="GW259" i="17"/>
  <c r="HY259" i="17" s="1"/>
  <c r="HN259" i="17"/>
  <c r="IP259" i="17" s="1"/>
  <c r="GS5" i="17"/>
  <c r="HU5" i="17" s="1"/>
  <c r="GU5" i="17"/>
  <c r="HW5" i="17" s="1"/>
  <c r="HP135" i="17"/>
  <c r="IR135" i="17" s="1"/>
  <c r="GX8" i="17"/>
  <c r="HZ8" i="17" s="1"/>
  <c r="HH8" i="17"/>
  <c r="IJ8" i="17" s="1"/>
  <c r="HM8" i="17"/>
  <c r="IO8" i="17" s="1"/>
  <c r="GT8" i="17"/>
  <c r="HV8" i="17" s="1"/>
  <c r="HA8" i="17"/>
  <c r="IC8" i="17" s="1"/>
  <c r="GV8" i="17"/>
  <c r="HX8" i="17" s="1"/>
  <c r="HB8" i="17"/>
  <c r="ID8" i="17" s="1"/>
  <c r="GU8" i="17"/>
  <c r="HW8" i="17" s="1"/>
  <c r="HF8" i="17"/>
  <c r="IH8" i="17" s="1"/>
  <c r="HJ8" i="17"/>
  <c r="IL8" i="17" s="1"/>
  <c r="HG8" i="17"/>
  <c r="II8" i="17" s="1"/>
  <c r="HL8" i="17"/>
  <c r="IN8" i="17" s="1"/>
  <c r="HI8" i="17"/>
  <c r="IK8" i="17" s="1"/>
  <c r="GR8" i="17"/>
  <c r="HT8" i="17" s="1"/>
  <c r="HP8" i="17"/>
  <c r="IR8" i="17" s="1"/>
  <c r="GT95" i="17"/>
  <c r="HV95" i="17" s="1"/>
  <c r="HI95" i="17"/>
  <c r="IK95" i="17" s="1"/>
  <c r="HC95" i="17"/>
  <c r="IE95" i="17" s="1"/>
  <c r="GR95" i="17"/>
  <c r="HT95" i="17" s="1"/>
  <c r="HN95" i="17"/>
  <c r="IP95" i="17" s="1"/>
  <c r="HA95" i="17"/>
  <c r="IC95" i="17" s="1"/>
  <c r="HF95" i="17"/>
  <c r="IH95" i="17" s="1"/>
  <c r="HH95" i="17"/>
  <c r="IJ95" i="17" s="1"/>
  <c r="GS95" i="17"/>
  <c r="HU95" i="17" s="1"/>
  <c r="HK95" i="17"/>
  <c r="IM95" i="17" s="1"/>
  <c r="HE95" i="17"/>
  <c r="IG95" i="17" s="1"/>
  <c r="HO95" i="17"/>
  <c r="IQ95" i="17" s="1"/>
  <c r="HJ95" i="17"/>
  <c r="IL95" i="17" s="1"/>
  <c r="HG95" i="17"/>
  <c r="II95" i="17" s="1"/>
  <c r="HL95" i="17"/>
  <c r="IN95" i="17" s="1"/>
  <c r="HR95" i="17"/>
  <c r="IT95" i="17" s="1"/>
  <c r="HM95" i="17"/>
  <c r="IO95" i="17" s="1"/>
  <c r="HB95" i="17"/>
  <c r="ID95" i="17" s="1"/>
  <c r="GU95" i="17"/>
  <c r="HW95" i="17" s="1"/>
  <c r="GV95" i="17"/>
  <c r="HX95" i="17" s="1"/>
  <c r="GZ95" i="17"/>
  <c r="IB95" i="17" s="1"/>
  <c r="HD95" i="17"/>
  <c r="IF95" i="17" s="1"/>
  <c r="GW95" i="17"/>
  <c r="HY95" i="17" s="1"/>
  <c r="HP95" i="17"/>
  <c r="IR95" i="17" s="1"/>
  <c r="GY95" i="17"/>
  <c r="IA95" i="17" s="1"/>
  <c r="GX95" i="17"/>
  <c r="HZ95" i="17" s="1"/>
  <c r="HQ95" i="17"/>
  <c r="IS95" i="17" s="1"/>
  <c r="AV264" i="17"/>
  <c r="C221" i="17"/>
  <c r="AV265" i="17"/>
  <c r="GV214" i="17"/>
  <c r="HX214" i="17" s="1"/>
  <c r="GS214" i="17"/>
  <c r="HU214" i="17" s="1"/>
  <c r="GU214" i="17"/>
  <c r="HW214" i="17" s="1"/>
  <c r="HF214" i="17"/>
  <c r="IH214" i="17" s="1"/>
  <c r="HG214" i="17"/>
  <c r="II214" i="17" s="1"/>
  <c r="GT214" i="17"/>
  <c r="HV214" i="17" s="1"/>
  <c r="GY214" i="17"/>
  <c r="IA214" i="17" s="1"/>
  <c r="HO214" i="17"/>
  <c r="IQ214" i="17" s="1"/>
  <c r="GZ214" i="17"/>
  <c r="IB214" i="17" s="1"/>
  <c r="HP214" i="17"/>
  <c r="IR214" i="17" s="1"/>
  <c r="HE214" i="17"/>
  <c r="IG214" i="17" s="1"/>
  <c r="HN214" i="17"/>
  <c r="IP214" i="17" s="1"/>
  <c r="HQ214" i="17"/>
  <c r="IS214" i="17" s="1"/>
  <c r="HI214" i="17"/>
  <c r="IK214" i="17" s="1"/>
  <c r="C217" i="17"/>
  <c r="AV217" i="17"/>
  <c r="AV22" i="17"/>
  <c r="GZ185" i="17"/>
  <c r="IB185" i="17" s="1"/>
  <c r="HA185" i="17"/>
  <c r="IC185" i="17" s="1"/>
  <c r="HD185" i="17"/>
  <c r="IF185" i="17" s="1"/>
  <c r="GR185" i="17"/>
  <c r="HT185" i="17" s="1"/>
  <c r="GS277" i="17"/>
  <c r="HU277" i="17" s="1"/>
  <c r="HQ277" i="17"/>
  <c r="IS277" i="17" s="1"/>
  <c r="HF277" i="17"/>
  <c r="IH277" i="17" s="1"/>
  <c r="GU6" i="17"/>
  <c r="HW6" i="17" s="1"/>
  <c r="GT6" i="17"/>
  <c r="HV6" i="17" s="1"/>
  <c r="HM6" i="17"/>
  <c r="IO6" i="17" s="1"/>
  <c r="GV6" i="17"/>
  <c r="HX6" i="17" s="1"/>
  <c r="HD6" i="17"/>
  <c r="IF6" i="17" s="1"/>
  <c r="HQ6" i="17"/>
  <c r="IS6" i="17" s="1"/>
  <c r="GZ6" i="17"/>
  <c r="IB6" i="17" s="1"/>
  <c r="HE6" i="17"/>
  <c r="IG6" i="17" s="1"/>
  <c r="HF6" i="17"/>
  <c r="IH6" i="17" s="1"/>
  <c r="HJ6" i="17"/>
  <c r="IL6" i="17" s="1"/>
  <c r="HA6" i="17"/>
  <c r="IC6" i="17" s="1"/>
  <c r="HK6" i="17"/>
  <c r="IM6" i="17" s="1"/>
  <c r="HB6" i="17"/>
  <c r="ID6" i="17" s="1"/>
  <c r="GS6" i="17"/>
  <c r="HU6" i="17" s="1"/>
  <c r="HN6" i="17"/>
  <c r="IP6" i="17" s="1"/>
  <c r="HO6" i="17"/>
  <c r="IQ6" i="17" s="1"/>
  <c r="HC6" i="17"/>
  <c r="IE6" i="17" s="1"/>
  <c r="HL6" i="17"/>
  <c r="IN6" i="17" s="1"/>
  <c r="GR6" i="17"/>
  <c r="HT6" i="17" s="1"/>
  <c r="HG6" i="17"/>
  <c r="II6" i="17" s="1"/>
  <c r="HH6" i="17"/>
  <c r="IJ6" i="17" s="1"/>
  <c r="GX6" i="17"/>
  <c r="HZ6" i="17" s="1"/>
  <c r="HI6" i="17"/>
  <c r="IK6" i="17" s="1"/>
  <c r="HP6" i="17"/>
  <c r="IR6" i="17" s="1"/>
  <c r="GW6" i="17"/>
  <c r="HY6" i="17" s="1"/>
  <c r="GY6" i="17"/>
  <c r="IA6" i="17" s="1"/>
  <c r="HR6" i="17"/>
  <c r="IT6" i="17" s="1"/>
  <c r="AV147" i="17"/>
  <c r="AV110" i="17"/>
  <c r="GS233" i="17"/>
  <c r="HU233" i="17" s="1"/>
  <c r="HE233" i="17"/>
  <c r="IG233" i="17" s="1"/>
  <c r="HR233" i="17"/>
  <c r="IT233" i="17" s="1"/>
  <c r="GX233" i="17"/>
  <c r="HZ233" i="17" s="1"/>
  <c r="GZ233" i="17"/>
  <c r="IB233" i="17" s="1"/>
  <c r="GU233" i="17"/>
  <c r="HW233" i="17" s="1"/>
  <c r="GT233" i="17"/>
  <c r="HV233" i="17" s="1"/>
  <c r="GW233" i="17"/>
  <c r="HY233" i="17" s="1"/>
  <c r="HL233" i="17"/>
  <c r="IN233" i="17" s="1"/>
  <c r="HA233" i="17"/>
  <c r="IC233" i="17" s="1"/>
  <c r="HF233" i="17"/>
  <c r="IH233" i="17" s="1"/>
  <c r="GV233" i="17"/>
  <c r="HX233" i="17" s="1"/>
  <c r="HP233" i="17"/>
  <c r="IR233" i="17" s="1"/>
  <c r="HM233" i="17"/>
  <c r="IO233" i="17" s="1"/>
  <c r="HB233" i="17"/>
  <c r="ID233" i="17" s="1"/>
  <c r="HO233" i="17"/>
  <c r="IQ233" i="17" s="1"/>
  <c r="HK233" i="17"/>
  <c r="IM233" i="17" s="1"/>
  <c r="HN233" i="17"/>
  <c r="IP233" i="17" s="1"/>
  <c r="HI233" i="17"/>
  <c r="IK233" i="17" s="1"/>
  <c r="HC233" i="17"/>
  <c r="IE233" i="17" s="1"/>
  <c r="HG233" i="17"/>
  <c r="II233" i="17" s="1"/>
  <c r="GY233" i="17"/>
  <c r="IA233" i="17" s="1"/>
  <c r="HD233" i="17"/>
  <c r="IF233" i="17" s="1"/>
  <c r="HH233" i="17"/>
  <c r="IJ233" i="17" s="1"/>
  <c r="GR233" i="17"/>
  <c r="HT233" i="17" s="1"/>
  <c r="HQ233" i="17"/>
  <c r="IS233" i="17" s="1"/>
  <c r="HJ233" i="17"/>
  <c r="IL233" i="17" s="1"/>
  <c r="HP223" i="17"/>
  <c r="IR223" i="17" s="1"/>
  <c r="C4" i="17"/>
  <c r="AV189" i="17"/>
  <c r="HF55" i="17"/>
  <c r="IH55" i="17" s="1"/>
  <c r="HC55" i="17"/>
  <c r="IE55" i="17" s="1"/>
  <c r="HI55" i="17"/>
  <c r="IK55" i="17" s="1"/>
  <c r="HE55" i="17"/>
  <c r="IG55" i="17" s="1"/>
  <c r="GV55" i="17"/>
  <c r="HX55" i="17" s="1"/>
  <c r="HO55" i="17"/>
  <c r="IQ55" i="17" s="1"/>
  <c r="HQ55" i="17"/>
  <c r="IS55" i="17" s="1"/>
  <c r="GU55" i="17"/>
  <c r="HW55" i="17" s="1"/>
  <c r="GS55" i="17"/>
  <c r="HU55" i="17" s="1"/>
  <c r="HP55" i="17"/>
  <c r="IR55" i="17" s="1"/>
  <c r="GW55" i="17"/>
  <c r="HY55" i="17" s="1"/>
  <c r="HH55" i="17"/>
  <c r="IJ55" i="17" s="1"/>
  <c r="HK55" i="17"/>
  <c r="IM55" i="17" s="1"/>
  <c r="HA55" i="17"/>
  <c r="IC55" i="17" s="1"/>
  <c r="HB55" i="17"/>
  <c r="ID55" i="17" s="1"/>
  <c r="HM55" i="17"/>
  <c r="IO55" i="17" s="1"/>
  <c r="HJ55" i="17"/>
  <c r="IL55" i="17" s="1"/>
  <c r="GY55" i="17"/>
  <c r="IA55" i="17" s="1"/>
  <c r="GX55" i="17"/>
  <c r="HZ55" i="17" s="1"/>
  <c r="GZ55" i="17"/>
  <c r="IB55" i="17" s="1"/>
  <c r="HL55" i="17"/>
  <c r="IN55" i="17" s="1"/>
  <c r="GT55" i="17"/>
  <c r="HV55" i="17" s="1"/>
  <c r="GR55" i="17"/>
  <c r="HT55" i="17" s="1"/>
  <c r="HD55" i="17"/>
  <c r="IF55" i="17" s="1"/>
  <c r="HR55" i="17"/>
  <c r="IT55" i="17" s="1"/>
  <c r="HN55" i="17"/>
  <c r="IP55" i="17" s="1"/>
  <c r="HG55" i="17"/>
  <c r="II55" i="17" s="1"/>
  <c r="AV142" i="17"/>
  <c r="HG143" i="17"/>
  <c r="II143" i="17" s="1"/>
  <c r="HQ143" i="17"/>
  <c r="IS143" i="17" s="1"/>
  <c r="HE143" i="17"/>
  <c r="IG143" i="17" s="1"/>
  <c r="HI143" i="17"/>
  <c r="IK143" i="17" s="1"/>
  <c r="HK143" i="17"/>
  <c r="IM143" i="17" s="1"/>
  <c r="HB143" i="17"/>
  <c r="ID143" i="17" s="1"/>
  <c r="HN143" i="17"/>
  <c r="IP143" i="17" s="1"/>
  <c r="GU143" i="17"/>
  <c r="HW143" i="17" s="1"/>
  <c r="GT143" i="17"/>
  <c r="HV143" i="17" s="1"/>
  <c r="HO143" i="17"/>
  <c r="IQ143" i="17" s="1"/>
  <c r="GX143" i="17"/>
  <c r="HZ143" i="17" s="1"/>
  <c r="HP143" i="17"/>
  <c r="IR143" i="17" s="1"/>
  <c r="GW143" i="17"/>
  <c r="HY143" i="17" s="1"/>
  <c r="HJ143" i="17"/>
  <c r="IL143" i="17" s="1"/>
  <c r="HL143" i="17"/>
  <c r="IN143" i="17" s="1"/>
  <c r="HR143" i="17"/>
  <c r="IT143" i="17" s="1"/>
  <c r="HF143" i="17"/>
  <c r="IH143" i="17" s="1"/>
  <c r="GY143" i="17"/>
  <c r="IA143" i="17" s="1"/>
  <c r="HM143" i="17"/>
  <c r="IO143" i="17" s="1"/>
  <c r="GV143" i="17"/>
  <c r="HX143" i="17" s="1"/>
  <c r="GZ184" i="17"/>
  <c r="IB184" i="17" s="1"/>
  <c r="HL184" i="17"/>
  <c r="IN184" i="17" s="1"/>
  <c r="HN184" i="17"/>
  <c r="IP184" i="17" s="1"/>
  <c r="HH184" i="17"/>
  <c r="IJ184" i="17" s="1"/>
  <c r="HP184" i="17"/>
  <c r="IR184" i="17" s="1"/>
  <c r="HQ184" i="17"/>
  <c r="IS184" i="17" s="1"/>
  <c r="HI184" i="17"/>
  <c r="IK184" i="17" s="1"/>
  <c r="HO184" i="17"/>
  <c r="IQ184" i="17" s="1"/>
  <c r="GS184" i="17"/>
  <c r="HU184" i="17" s="1"/>
  <c r="GW184" i="17"/>
  <c r="HY184" i="17" s="1"/>
  <c r="AV335" i="17"/>
  <c r="C203" i="17"/>
  <c r="HF223" i="17"/>
  <c r="IH223" i="17" s="1"/>
  <c r="HP303" i="17"/>
  <c r="IR303" i="17" s="1"/>
  <c r="HI5" i="17"/>
  <c r="IK5" i="17" s="1"/>
  <c r="HI54" i="17"/>
  <c r="IK54" i="17" s="1"/>
  <c r="HG54" i="17"/>
  <c r="II54" i="17" s="1"/>
  <c r="HE54" i="17"/>
  <c r="IG54" i="17" s="1"/>
  <c r="GR54" i="17"/>
  <c r="HT54" i="17" s="1"/>
  <c r="GT54" i="17"/>
  <c r="HV54" i="17" s="1"/>
  <c r="HF54" i="17"/>
  <c r="IH54" i="17" s="1"/>
  <c r="HN54" i="17"/>
  <c r="IP54" i="17" s="1"/>
  <c r="GU54" i="17"/>
  <c r="HW54" i="17" s="1"/>
  <c r="HC54" i="17"/>
  <c r="IE54" i="17" s="1"/>
  <c r="HD54" i="17"/>
  <c r="IF54" i="17" s="1"/>
  <c r="GX54" i="17"/>
  <c r="HZ54" i="17" s="1"/>
  <c r="HL54" i="17"/>
  <c r="IN54" i="17" s="1"/>
  <c r="HO54" i="17"/>
  <c r="IQ54" i="17" s="1"/>
  <c r="GZ54" i="17"/>
  <c r="IB54" i="17" s="1"/>
  <c r="HA54" i="17"/>
  <c r="IC54" i="17" s="1"/>
  <c r="HH54" i="17"/>
  <c r="IJ54" i="17" s="1"/>
  <c r="HQ54" i="17"/>
  <c r="IS54" i="17" s="1"/>
  <c r="HP54" i="17"/>
  <c r="IR54" i="17" s="1"/>
  <c r="HM54" i="17"/>
  <c r="IO54" i="17" s="1"/>
  <c r="GV54" i="17"/>
  <c r="HX54" i="17" s="1"/>
  <c r="HJ54" i="17"/>
  <c r="IL54" i="17" s="1"/>
  <c r="HB54" i="17"/>
  <c r="ID54" i="17" s="1"/>
  <c r="GY54" i="17"/>
  <c r="IA54" i="17" s="1"/>
  <c r="HK54" i="17"/>
  <c r="IM54" i="17" s="1"/>
  <c r="GW54" i="17"/>
  <c r="HY54" i="17" s="1"/>
  <c r="GS54" i="17"/>
  <c r="HU54" i="17" s="1"/>
  <c r="HR54" i="17"/>
  <c r="IT54" i="17" s="1"/>
  <c r="GW38" i="17"/>
  <c r="HY38" i="17" s="1"/>
  <c r="GX38" i="17"/>
  <c r="HZ38" i="17" s="1"/>
  <c r="GU38" i="17"/>
  <c r="HW38" i="17" s="1"/>
  <c r="HM38" i="17"/>
  <c r="IO38" i="17" s="1"/>
  <c r="HI38" i="17"/>
  <c r="IK38" i="17" s="1"/>
  <c r="GT38" i="17"/>
  <c r="HV38" i="17" s="1"/>
  <c r="HF38" i="17"/>
  <c r="IH38" i="17" s="1"/>
  <c r="HA38" i="17"/>
  <c r="IC38" i="17" s="1"/>
  <c r="HN38" i="17"/>
  <c r="IP38" i="17" s="1"/>
  <c r="GZ38" i="17"/>
  <c r="IB38" i="17" s="1"/>
  <c r="HK38" i="17"/>
  <c r="IM38" i="17" s="1"/>
  <c r="GY38" i="17"/>
  <c r="IA38" i="17" s="1"/>
  <c r="HP38" i="17"/>
  <c r="IR38" i="17" s="1"/>
  <c r="HC38" i="17"/>
  <c r="IE38" i="17" s="1"/>
  <c r="HB38" i="17"/>
  <c r="ID38" i="17" s="1"/>
  <c r="HJ38" i="17"/>
  <c r="IL38" i="17" s="1"/>
  <c r="GV38" i="17"/>
  <c r="HX38" i="17" s="1"/>
  <c r="HD38" i="17"/>
  <c r="IF38" i="17" s="1"/>
  <c r="HL38" i="17"/>
  <c r="IN38" i="17" s="1"/>
  <c r="HR38" i="17"/>
  <c r="IT38" i="17" s="1"/>
  <c r="GS38" i="17"/>
  <c r="HU38" i="17" s="1"/>
  <c r="HQ38" i="17"/>
  <c r="IS38" i="17" s="1"/>
  <c r="HG38" i="17"/>
  <c r="II38" i="17" s="1"/>
  <c r="GR38" i="17"/>
  <c r="HT38" i="17" s="1"/>
  <c r="HH38" i="17"/>
  <c r="IJ38" i="17" s="1"/>
  <c r="HO38" i="17"/>
  <c r="IQ38" i="17" s="1"/>
  <c r="HE38" i="17"/>
  <c r="IG38" i="17" s="1"/>
  <c r="C272" i="17"/>
  <c r="HO324" i="17"/>
  <c r="IQ324" i="17" s="1"/>
  <c r="C280" i="17"/>
  <c r="HB83" i="17"/>
  <c r="ID83" i="17" s="1"/>
  <c r="GU83" i="17"/>
  <c r="HW83" i="17" s="1"/>
  <c r="HB308" i="17"/>
  <c r="ID308" i="17" s="1"/>
  <c r="GX308" i="17"/>
  <c r="HZ308" i="17" s="1"/>
  <c r="C123" i="17"/>
  <c r="GS334" i="17"/>
  <c r="HU334" i="17" s="1"/>
  <c r="HN82" i="17"/>
  <c r="IP82" i="17" s="1"/>
  <c r="GW82" i="17"/>
  <c r="HY82" i="17" s="1"/>
  <c r="HM194" i="17"/>
  <c r="IO194" i="17" s="1"/>
  <c r="HO223" i="17"/>
  <c r="IQ223" i="17" s="1"/>
  <c r="GY303" i="17"/>
  <c r="IA303" i="17" s="1"/>
  <c r="GT317" i="17"/>
  <c r="HV317" i="17" s="1"/>
  <c r="GY279" i="17"/>
  <c r="IA279" i="17" s="1"/>
  <c r="HF256" i="17"/>
  <c r="IH256" i="17" s="1"/>
  <c r="HA256" i="17"/>
  <c r="IC256" i="17" s="1"/>
  <c r="HG113" i="17"/>
  <c r="II113" i="17" s="1"/>
  <c r="AV77" i="17"/>
  <c r="AV235" i="17"/>
  <c r="HA143" i="17"/>
  <c r="IC143" i="17" s="1"/>
  <c r="GU324" i="17"/>
  <c r="HW324" i="17" s="1"/>
  <c r="HA264" i="17"/>
  <c r="IC264" i="17" s="1"/>
  <c r="HL295" i="17"/>
  <c r="IN295" i="17" s="1"/>
  <c r="HQ139" i="17"/>
  <c r="IS139" i="17" s="1"/>
  <c r="GS302" i="17"/>
  <c r="HU302" i="17" s="1"/>
  <c r="HC324" i="17"/>
  <c r="IE324" i="17" s="1"/>
  <c r="HB259" i="17"/>
  <c r="ID259" i="17" s="1"/>
  <c r="GZ259" i="17"/>
  <c r="IB259" i="17" s="1"/>
  <c r="HH5" i="17"/>
  <c r="IJ5" i="17" s="1"/>
  <c r="GV135" i="17"/>
  <c r="HX135" i="17" s="1"/>
  <c r="C8" i="17"/>
  <c r="AV297" i="17"/>
  <c r="AV9" i="17"/>
  <c r="HA57" i="17"/>
  <c r="IC57" i="17" s="1"/>
  <c r="HB57" i="17"/>
  <c r="ID57" i="17" s="1"/>
  <c r="GU57" i="17"/>
  <c r="HW57" i="17" s="1"/>
  <c r="HI57" i="17"/>
  <c r="IK57" i="17" s="1"/>
  <c r="HM57" i="17"/>
  <c r="IO57" i="17" s="1"/>
  <c r="GS57" i="17"/>
  <c r="HU57" i="17" s="1"/>
  <c r="HN57" i="17"/>
  <c r="IP57" i="17" s="1"/>
  <c r="HF57" i="17"/>
  <c r="IH57" i="17" s="1"/>
  <c r="HC57" i="17"/>
  <c r="IE57" i="17" s="1"/>
  <c r="GR57" i="17"/>
  <c r="HT57" i="17" s="1"/>
  <c r="HD57" i="17"/>
  <c r="IF57" i="17" s="1"/>
  <c r="HO57" i="17"/>
  <c r="IQ57" i="17" s="1"/>
  <c r="GX57" i="17"/>
  <c r="HZ57" i="17" s="1"/>
  <c r="HL57" i="17"/>
  <c r="IN57" i="17" s="1"/>
  <c r="HH57" i="17"/>
  <c r="IJ57" i="17" s="1"/>
  <c r="HE57" i="17"/>
  <c r="IG57" i="17" s="1"/>
  <c r="GT57" i="17"/>
  <c r="HV57" i="17" s="1"/>
  <c r="HJ57" i="17"/>
  <c r="IL57" i="17" s="1"/>
  <c r="GW57" i="17"/>
  <c r="HY57" i="17" s="1"/>
  <c r="GV57" i="17"/>
  <c r="HX57" i="17" s="1"/>
  <c r="HK57" i="17"/>
  <c r="IM57" i="17" s="1"/>
  <c r="HR57" i="17"/>
  <c r="IT57" i="17" s="1"/>
  <c r="HP57" i="17"/>
  <c r="IR57" i="17" s="1"/>
  <c r="HQ57" i="17"/>
  <c r="IS57" i="17" s="1"/>
  <c r="HG57" i="17"/>
  <c r="II57" i="17" s="1"/>
  <c r="GY57" i="17"/>
  <c r="IA57" i="17" s="1"/>
  <c r="GZ57" i="17"/>
  <c r="IB57" i="17" s="1"/>
  <c r="C22" i="17"/>
  <c r="AV233" i="17"/>
  <c r="HC289" i="17"/>
  <c r="IE289" i="17" s="1"/>
  <c r="GX289" i="17"/>
  <c r="HZ289" i="17" s="1"/>
  <c r="HE289" i="17"/>
  <c r="IG289" i="17" s="1"/>
  <c r="GV289" i="17"/>
  <c r="HX289" i="17" s="1"/>
  <c r="HN289" i="17"/>
  <c r="IP289" i="17" s="1"/>
  <c r="GY289" i="17"/>
  <c r="IA289" i="17" s="1"/>
  <c r="HQ289" i="17"/>
  <c r="IS289" i="17" s="1"/>
  <c r="C299" i="17"/>
  <c r="AV239" i="17"/>
  <c r="HP279" i="17"/>
  <c r="IR279" i="17" s="1"/>
  <c r="HF259" i="17"/>
  <c r="IH259" i="17" s="1"/>
  <c r="GS106" i="17"/>
  <c r="HU106" i="17" s="1"/>
  <c r="HO106" i="17"/>
  <c r="IQ106" i="17" s="1"/>
  <c r="GV106" i="17"/>
  <c r="HX106" i="17" s="1"/>
  <c r="HR106" i="17"/>
  <c r="IT106" i="17" s="1"/>
  <c r="GW106" i="17"/>
  <c r="HY106" i="17" s="1"/>
  <c r="HA106" i="17"/>
  <c r="IC106" i="17" s="1"/>
  <c r="HQ106" i="17"/>
  <c r="IS106" i="17" s="1"/>
  <c r="HE106" i="17"/>
  <c r="IG106" i="17" s="1"/>
  <c r="HP106" i="17"/>
  <c r="IR106" i="17" s="1"/>
  <c r="HJ106" i="17"/>
  <c r="IL106" i="17" s="1"/>
  <c r="HL106" i="17"/>
  <c r="IN106" i="17" s="1"/>
  <c r="GR106" i="17"/>
  <c r="HT106" i="17" s="1"/>
  <c r="HI106" i="17"/>
  <c r="IK106" i="17" s="1"/>
  <c r="GZ106" i="17"/>
  <c r="IB106" i="17" s="1"/>
  <c r="HH106" i="17"/>
  <c r="IJ106" i="17" s="1"/>
  <c r="HK106" i="17"/>
  <c r="IM106" i="17" s="1"/>
  <c r="HG106" i="17"/>
  <c r="II106" i="17" s="1"/>
  <c r="GT106" i="17"/>
  <c r="HV106" i="17" s="1"/>
  <c r="C205" i="17"/>
  <c r="AV205" i="17"/>
  <c r="HB106" i="17"/>
  <c r="ID106" i="17" s="1"/>
  <c r="C180" i="17"/>
  <c r="HB303" i="17"/>
  <c r="ID303" i="17" s="1"/>
  <c r="GY106" i="17"/>
  <c r="IA106" i="17" s="1"/>
  <c r="GY184" i="17"/>
  <c r="IA184" i="17" s="1"/>
  <c r="HO220" i="17"/>
  <c r="IQ220" i="17" s="1"/>
  <c r="GU220" i="17"/>
  <c r="HW220" i="17" s="1"/>
  <c r="HC220" i="17"/>
  <c r="IE220" i="17" s="1"/>
  <c r="GS220" i="17"/>
  <c r="HU220" i="17" s="1"/>
  <c r="HL220" i="17"/>
  <c r="IN220" i="17" s="1"/>
  <c r="HG220" i="17"/>
  <c r="II220" i="17" s="1"/>
  <c r="GT220" i="17"/>
  <c r="HV220" i="17" s="1"/>
  <c r="GX220" i="17"/>
  <c r="HZ220" i="17" s="1"/>
  <c r="HR220" i="17"/>
  <c r="IT220" i="17" s="1"/>
  <c r="HF220" i="17"/>
  <c r="IH220" i="17" s="1"/>
  <c r="HI220" i="17"/>
  <c r="IK220" i="17" s="1"/>
  <c r="HA220" i="17"/>
  <c r="IC220" i="17" s="1"/>
  <c r="GY220" i="17"/>
  <c r="IA220" i="17" s="1"/>
  <c r="HQ220" i="17"/>
  <c r="IS220" i="17" s="1"/>
  <c r="GV220" i="17"/>
  <c r="HX220" i="17" s="1"/>
  <c r="HN220" i="17"/>
  <c r="IP220" i="17" s="1"/>
  <c r="HK220" i="17"/>
  <c r="IM220" i="17" s="1"/>
  <c r="HP220" i="17"/>
  <c r="IR220" i="17" s="1"/>
  <c r="HB220" i="17"/>
  <c r="ID220" i="17" s="1"/>
  <c r="GW220" i="17"/>
  <c r="HY220" i="17" s="1"/>
  <c r="AV276" i="17"/>
  <c r="GZ334" i="17"/>
  <c r="IB334" i="17" s="1"/>
  <c r="GV303" i="17"/>
  <c r="HX303" i="17" s="1"/>
  <c r="HE5" i="17"/>
  <c r="IG5" i="17" s="1"/>
  <c r="C24" i="17"/>
  <c r="GX83" i="17"/>
  <c r="HZ83" i="17" s="1"/>
  <c r="HE308" i="17"/>
  <c r="IG308" i="17" s="1"/>
  <c r="HO308" i="17"/>
  <c r="IQ308" i="17" s="1"/>
  <c r="HK334" i="17"/>
  <c r="IM334" i="17" s="1"/>
  <c r="HE82" i="17"/>
  <c r="IG82" i="17" s="1"/>
  <c r="HO317" i="17"/>
  <c r="IQ317" i="17" s="1"/>
  <c r="HD279" i="17"/>
  <c r="IF279" i="17" s="1"/>
  <c r="HO256" i="17"/>
  <c r="IQ256" i="17" s="1"/>
  <c r="HD113" i="17"/>
  <c r="IF113" i="17" s="1"/>
  <c r="C5" i="17"/>
  <c r="C77" i="17"/>
  <c r="C238" i="17"/>
  <c r="C12" i="17"/>
  <c r="GR143" i="17"/>
  <c r="HT143" i="17" s="1"/>
  <c r="GV324" i="17"/>
  <c r="HX324" i="17" s="1"/>
  <c r="HM264" i="17"/>
  <c r="IO264" i="17" s="1"/>
  <c r="HA295" i="17"/>
  <c r="IC295" i="17" s="1"/>
  <c r="GW139" i="17"/>
  <c r="HY139" i="17" s="1"/>
  <c r="GR302" i="17"/>
  <c r="HT302" i="17" s="1"/>
  <c r="GV259" i="17"/>
  <c r="HX259" i="17" s="1"/>
  <c r="GT259" i="17"/>
  <c r="HV259" i="17" s="1"/>
  <c r="HG5" i="17"/>
  <c r="II5" i="17" s="1"/>
  <c r="HF135" i="17"/>
  <c r="IH135" i="17" s="1"/>
  <c r="AV8" i="17"/>
  <c r="AV40" i="17"/>
  <c r="HP187" i="17"/>
  <c r="IR187" i="17" s="1"/>
  <c r="HI187" i="17"/>
  <c r="IK187" i="17" s="1"/>
  <c r="HQ187" i="17"/>
  <c r="IS187" i="17" s="1"/>
  <c r="GR187" i="17"/>
  <c r="HT187" i="17" s="1"/>
  <c r="HB187" i="17"/>
  <c r="ID187" i="17" s="1"/>
  <c r="HD187" i="17"/>
  <c r="IF187" i="17" s="1"/>
  <c r="HO187" i="17"/>
  <c r="IQ187" i="17" s="1"/>
  <c r="GW187" i="17"/>
  <c r="HY187" i="17" s="1"/>
  <c r="HJ187" i="17"/>
  <c r="IL187" i="17" s="1"/>
  <c r="HM187" i="17"/>
  <c r="IO187" i="17" s="1"/>
  <c r="GZ187" i="17"/>
  <c r="IB187" i="17" s="1"/>
  <c r="AV279" i="17"/>
  <c r="AV146" i="17"/>
  <c r="AV221" i="17"/>
  <c r="HI265" i="17"/>
  <c r="IK265" i="17" s="1"/>
  <c r="HQ265" i="17"/>
  <c r="IS265" i="17" s="1"/>
  <c r="GZ265" i="17"/>
  <c r="IB265" i="17" s="1"/>
  <c r="HK265" i="17"/>
  <c r="IM265" i="17" s="1"/>
  <c r="GY265" i="17"/>
  <c r="IA265" i="17" s="1"/>
  <c r="HR265" i="17"/>
  <c r="IT265" i="17" s="1"/>
  <c r="HF265" i="17"/>
  <c r="IH265" i="17" s="1"/>
  <c r="HJ265" i="17"/>
  <c r="IL265" i="17" s="1"/>
  <c r="HA265" i="17"/>
  <c r="IC265" i="17" s="1"/>
  <c r="GX265" i="17"/>
  <c r="HZ265" i="17" s="1"/>
  <c r="HL265" i="17"/>
  <c r="IN265" i="17" s="1"/>
  <c r="HO265" i="17"/>
  <c r="IQ265" i="17" s="1"/>
  <c r="GU265" i="17"/>
  <c r="HW265" i="17" s="1"/>
  <c r="HC265" i="17"/>
  <c r="IE265" i="17" s="1"/>
  <c r="HG265" i="17"/>
  <c r="II265" i="17" s="1"/>
  <c r="AV111" i="17"/>
  <c r="C276" i="17"/>
  <c r="AV261" i="17"/>
  <c r="AV159" i="17"/>
  <c r="C246" i="17"/>
  <c r="GX225" i="17"/>
  <c r="HZ225" i="17" s="1"/>
  <c r="HE225" i="17"/>
  <c r="IG225" i="17" s="1"/>
  <c r="GY225" i="17"/>
  <c r="IA225" i="17" s="1"/>
  <c r="HA225" i="17"/>
  <c r="IC225" i="17" s="1"/>
  <c r="HP225" i="17"/>
  <c r="IR225" i="17" s="1"/>
  <c r="GT225" i="17"/>
  <c r="HV225" i="17" s="1"/>
  <c r="GW225" i="17"/>
  <c r="HY225" i="17" s="1"/>
  <c r="HH225" i="17"/>
  <c r="IJ225" i="17" s="1"/>
  <c r="HJ225" i="17"/>
  <c r="IL225" i="17" s="1"/>
  <c r="HL225" i="17"/>
  <c r="IN225" i="17" s="1"/>
  <c r="GS225" i="17"/>
  <c r="HU225" i="17" s="1"/>
  <c r="HD225" i="17"/>
  <c r="IF225" i="17" s="1"/>
  <c r="GZ225" i="17"/>
  <c r="IB225" i="17" s="1"/>
  <c r="HI225" i="17"/>
  <c r="IK225" i="17" s="1"/>
  <c r="HM225" i="17"/>
  <c r="IO225" i="17" s="1"/>
  <c r="HQ225" i="17"/>
  <c r="IS225" i="17" s="1"/>
  <c r="HF225" i="17"/>
  <c r="IH225" i="17" s="1"/>
  <c r="HO225" i="17"/>
  <c r="IQ225" i="17" s="1"/>
  <c r="GU225" i="17"/>
  <c r="HW225" i="17" s="1"/>
  <c r="HN225" i="17"/>
  <c r="IP225" i="17" s="1"/>
  <c r="GV225" i="17"/>
  <c r="HX225" i="17" s="1"/>
  <c r="HR225" i="17"/>
  <c r="IT225" i="17" s="1"/>
  <c r="HB225" i="17"/>
  <c r="ID225" i="17" s="1"/>
  <c r="HK225" i="17"/>
  <c r="IM225" i="17" s="1"/>
  <c r="HC225" i="17"/>
  <c r="IE225" i="17" s="1"/>
  <c r="GR225" i="17"/>
  <c r="HT225" i="17" s="1"/>
  <c r="HG225" i="17"/>
  <c r="II225" i="17" s="1"/>
  <c r="AV238" i="17"/>
  <c r="AV311" i="17"/>
  <c r="C13" i="17"/>
  <c r="HQ81" i="17"/>
  <c r="IS81" i="17" s="1"/>
  <c r="HD272" i="17"/>
  <c r="IF272" i="17" s="1"/>
  <c r="HF272" i="17"/>
  <c r="IH272" i="17" s="1"/>
  <c r="HH272" i="17"/>
  <c r="IJ272" i="17" s="1"/>
  <c r="HE272" i="17"/>
  <c r="IG272" i="17" s="1"/>
  <c r="GZ272" i="17"/>
  <c r="IB272" i="17" s="1"/>
  <c r="HL272" i="17"/>
  <c r="IN272" i="17" s="1"/>
  <c r="GY272" i="17"/>
  <c r="IA272" i="17" s="1"/>
  <c r="GW272" i="17"/>
  <c r="HY272" i="17" s="1"/>
  <c r="HP272" i="17"/>
  <c r="IR272" i="17" s="1"/>
  <c r="GR272" i="17"/>
  <c r="HT272" i="17" s="1"/>
  <c r="HB272" i="17"/>
  <c r="ID272" i="17" s="1"/>
  <c r="HO272" i="17"/>
  <c r="IQ272" i="17" s="1"/>
  <c r="GS272" i="17"/>
  <c r="HU272" i="17" s="1"/>
  <c r="GT272" i="17"/>
  <c r="HV272" i="17" s="1"/>
  <c r="HN272" i="17"/>
  <c r="IP272" i="17" s="1"/>
  <c r="HA272" i="17"/>
  <c r="IC272" i="17" s="1"/>
  <c r="HK272" i="17"/>
  <c r="IM272" i="17" s="1"/>
  <c r="HG272" i="17"/>
  <c r="II272" i="17" s="1"/>
  <c r="GX272" i="17"/>
  <c r="HZ272" i="17" s="1"/>
  <c r="HJ272" i="17"/>
  <c r="IL272" i="17" s="1"/>
  <c r="HQ272" i="17"/>
  <c r="IS272" i="17" s="1"/>
  <c r="GU272" i="17"/>
  <c r="HW272" i="17" s="1"/>
  <c r="HM272" i="17"/>
  <c r="IO272" i="17" s="1"/>
  <c r="HC272" i="17"/>
  <c r="IE272" i="17" s="1"/>
  <c r="GV272" i="17"/>
  <c r="HX272" i="17" s="1"/>
  <c r="HR272" i="17"/>
  <c r="IT272" i="17" s="1"/>
  <c r="HI272" i="17"/>
  <c r="IK272" i="17" s="1"/>
  <c r="AV271" i="17"/>
  <c r="GS70" i="17"/>
  <c r="HU70" i="17" s="1"/>
  <c r="HP70" i="17"/>
  <c r="IR70" i="17" s="1"/>
  <c r="HA70" i="17"/>
  <c r="IC70" i="17" s="1"/>
  <c r="HM70" i="17"/>
  <c r="IO70" i="17" s="1"/>
  <c r="GW70" i="17"/>
  <c r="HY70" i="17" s="1"/>
  <c r="GU70" i="17"/>
  <c r="HW70" i="17" s="1"/>
  <c r="HD70" i="17"/>
  <c r="IF70" i="17" s="1"/>
  <c r="HK70" i="17"/>
  <c r="IM70" i="17" s="1"/>
  <c r="GY70" i="17"/>
  <c r="IA70" i="17" s="1"/>
  <c r="HR70" i="17"/>
  <c r="IT70" i="17" s="1"/>
  <c r="HJ70" i="17"/>
  <c r="IL70" i="17" s="1"/>
  <c r="HH70" i="17"/>
  <c r="IJ70" i="17" s="1"/>
  <c r="HN70" i="17"/>
  <c r="IP70" i="17" s="1"/>
  <c r="GZ70" i="17"/>
  <c r="IB70" i="17" s="1"/>
  <c r="HL70" i="17"/>
  <c r="IN70" i="17" s="1"/>
  <c r="GT70" i="17"/>
  <c r="HV70" i="17" s="1"/>
  <c r="HC70" i="17"/>
  <c r="IE70" i="17" s="1"/>
  <c r="HI70" i="17"/>
  <c r="IK70" i="17" s="1"/>
  <c r="HJ252" i="17"/>
  <c r="IL252" i="17" s="1"/>
  <c r="HI252" i="17"/>
  <c r="IK252" i="17" s="1"/>
  <c r="GX252" i="17"/>
  <c r="HZ252" i="17" s="1"/>
  <c r="GY252" i="17"/>
  <c r="IA252" i="17" s="1"/>
  <c r="GZ252" i="17"/>
  <c r="IB252" i="17" s="1"/>
  <c r="HG252" i="17"/>
  <c r="II252" i="17" s="1"/>
  <c r="HK252" i="17"/>
  <c r="IM252" i="17" s="1"/>
  <c r="HL252" i="17"/>
  <c r="IN252" i="17" s="1"/>
  <c r="HO252" i="17"/>
  <c r="IQ252" i="17" s="1"/>
  <c r="HC252" i="17"/>
  <c r="IE252" i="17" s="1"/>
  <c r="HF252" i="17"/>
  <c r="IH252" i="17" s="1"/>
  <c r="HM252" i="17"/>
  <c r="IO252" i="17" s="1"/>
  <c r="HH252" i="17"/>
  <c r="IJ252" i="17" s="1"/>
  <c r="GV252" i="17"/>
  <c r="HX252" i="17" s="1"/>
  <c r="HD252" i="17"/>
  <c r="IF252" i="17" s="1"/>
  <c r="HP252" i="17"/>
  <c r="IR252" i="17" s="1"/>
  <c r="GW252" i="17"/>
  <c r="HY252" i="17" s="1"/>
  <c r="HE252" i="17"/>
  <c r="IG252" i="17" s="1"/>
  <c r="HA252" i="17"/>
  <c r="IC252" i="17" s="1"/>
  <c r="HQ252" i="17"/>
  <c r="IS252" i="17" s="1"/>
  <c r="GT252" i="17"/>
  <c r="HV252" i="17" s="1"/>
  <c r="HB252" i="17"/>
  <c r="ID252" i="17" s="1"/>
  <c r="GU252" i="17"/>
  <c r="HW252" i="17" s="1"/>
  <c r="GS252" i="17"/>
  <c r="HU252" i="17" s="1"/>
  <c r="HN252" i="17"/>
  <c r="IP252" i="17" s="1"/>
  <c r="HR252" i="17"/>
  <c r="IT252" i="17" s="1"/>
  <c r="GR252" i="17"/>
  <c r="HT252" i="17" s="1"/>
  <c r="HP192" i="17"/>
  <c r="IR192" i="17" s="1"/>
  <c r="GZ283" i="17"/>
  <c r="IB283" i="17" s="1"/>
  <c r="AV18" i="17"/>
  <c r="HO151" i="17"/>
  <c r="IQ151" i="17" s="1"/>
  <c r="C198" i="17"/>
  <c r="HQ151" i="17"/>
  <c r="IS151" i="17" s="1"/>
  <c r="HB283" i="17"/>
  <c r="ID283" i="17" s="1"/>
  <c r="C309" i="17"/>
  <c r="HC316" i="17"/>
  <c r="IE316" i="17" s="1"/>
  <c r="HM316" i="17"/>
  <c r="IO316" i="17" s="1"/>
  <c r="HE316" i="17"/>
  <c r="IG316" i="17" s="1"/>
  <c r="GX316" i="17"/>
  <c r="HZ316" i="17" s="1"/>
  <c r="GR316" i="17"/>
  <c r="HT316" i="17" s="1"/>
  <c r="HB316" i="17"/>
  <c r="ID316" i="17" s="1"/>
  <c r="GV316" i="17"/>
  <c r="HX316" i="17" s="1"/>
  <c r="HH316" i="17"/>
  <c r="IJ316" i="17" s="1"/>
  <c r="GZ316" i="17"/>
  <c r="IB316" i="17" s="1"/>
  <c r="HN316" i="17"/>
  <c r="IP316" i="17" s="1"/>
  <c r="HQ316" i="17"/>
  <c r="IS316" i="17" s="1"/>
  <c r="HK316" i="17"/>
  <c r="IM316" i="17" s="1"/>
  <c r="HI316" i="17"/>
  <c r="IK316" i="17" s="1"/>
  <c r="HR316" i="17"/>
  <c r="IT316" i="17" s="1"/>
  <c r="GU316" i="17"/>
  <c r="HW316" i="17" s="1"/>
  <c r="GY316" i="17"/>
  <c r="IA316" i="17" s="1"/>
  <c r="HG316" i="17"/>
  <c r="II316" i="17" s="1"/>
  <c r="HO316" i="17"/>
  <c r="IQ316" i="17" s="1"/>
  <c r="HD316" i="17"/>
  <c r="IF316" i="17" s="1"/>
  <c r="HJ316" i="17"/>
  <c r="IL316" i="17" s="1"/>
  <c r="GT316" i="17"/>
  <c r="HV316" i="17" s="1"/>
  <c r="GW316" i="17"/>
  <c r="HY316" i="17" s="1"/>
  <c r="HL316" i="17"/>
  <c r="IN316" i="17" s="1"/>
  <c r="HA316" i="17"/>
  <c r="IC316" i="17" s="1"/>
  <c r="HF316" i="17"/>
  <c r="IH316" i="17" s="1"/>
  <c r="HP316" i="17"/>
  <c r="IR316" i="17" s="1"/>
  <c r="GS316" i="17"/>
  <c r="HU316" i="17" s="1"/>
  <c r="GU19" i="17"/>
  <c r="HW19" i="17" s="1"/>
  <c r="GV19" i="17"/>
  <c r="HX19" i="17" s="1"/>
  <c r="HL19" i="17"/>
  <c r="IN19" i="17" s="1"/>
  <c r="GX19" i="17"/>
  <c r="HZ19" i="17" s="1"/>
  <c r="HO19" i="17"/>
  <c r="IQ19" i="17" s="1"/>
  <c r="GY19" i="17"/>
  <c r="IA19" i="17" s="1"/>
  <c r="HB19" i="17"/>
  <c r="ID19" i="17" s="1"/>
  <c r="HK19" i="17"/>
  <c r="IM19" i="17" s="1"/>
  <c r="HJ19" i="17"/>
  <c r="IL19" i="17" s="1"/>
  <c r="GR19" i="17"/>
  <c r="HT19" i="17" s="1"/>
  <c r="HC19" i="17"/>
  <c r="IE19" i="17" s="1"/>
  <c r="HP19" i="17"/>
  <c r="IR19" i="17" s="1"/>
  <c r="HE19" i="17"/>
  <c r="IG19" i="17" s="1"/>
  <c r="GT19" i="17"/>
  <c r="HV19" i="17" s="1"/>
  <c r="HH19" i="17"/>
  <c r="IJ19" i="17" s="1"/>
  <c r="HG208" i="17"/>
  <c r="II208" i="17" s="1"/>
  <c r="GZ208" i="17"/>
  <c r="IB208" i="17" s="1"/>
  <c r="HH208" i="17"/>
  <c r="IJ208" i="17" s="1"/>
  <c r="GY208" i="17"/>
  <c r="IA208" i="17" s="1"/>
  <c r="HK208" i="17"/>
  <c r="IM208" i="17" s="1"/>
  <c r="GU208" i="17"/>
  <c r="HW208" i="17" s="1"/>
  <c r="GT208" i="17"/>
  <c r="HV208" i="17" s="1"/>
  <c r="GW208" i="17"/>
  <c r="HY208" i="17" s="1"/>
  <c r="HM208" i="17"/>
  <c r="IO208" i="17" s="1"/>
  <c r="HA208" i="17"/>
  <c r="IC208" i="17" s="1"/>
  <c r="HJ208" i="17"/>
  <c r="IL208" i="17" s="1"/>
  <c r="HC208" i="17"/>
  <c r="IE208" i="17" s="1"/>
  <c r="HN208" i="17"/>
  <c r="IP208" i="17" s="1"/>
  <c r="GV208" i="17"/>
  <c r="HX208" i="17" s="1"/>
  <c r="GS208" i="17"/>
  <c r="HU208" i="17" s="1"/>
  <c r="HB208" i="17"/>
  <c r="ID208" i="17" s="1"/>
  <c r="HR208" i="17"/>
  <c r="IT208" i="17" s="1"/>
  <c r="HE208" i="17"/>
  <c r="IG208" i="17" s="1"/>
  <c r="HF208" i="17"/>
  <c r="IH208" i="17" s="1"/>
  <c r="HP208" i="17"/>
  <c r="IR208" i="17" s="1"/>
  <c r="HD208" i="17"/>
  <c r="IF208" i="17" s="1"/>
  <c r="HO208" i="17"/>
  <c r="IQ208" i="17" s="1"/>
  <c r="HL208" i="17"/>
  <c r="IN208" i="17" s="1"/>
  <c r="GR208" i="17"/>
  <c r="HT208" i="17" s="1"/>
  <c r="HI208" i="17"/>
  <c r="IK208" i="17" s="1"/>
  <c r="GX208" i="17"/>
  <c r="HZ208" i="17" s="1"/>
  <c r="HQ208" i="17"/>
  <c r="IS208" i="17" s="1"/>
  <c r="HQ227" i="17"/>
  <c r="IS227" i="17" s="1"/>
  <c r="HL227" i="17"/>
  <c r="IN227" i="17" s="1"/>
  <c r="GS227" i="17"/>
  <c r="HU227" i="17" s="1"/>
  <c r="GZ227" i="17"/>
  <c r="IB227" i="17" s="1"/>
  <c r="HM227" i="17"/>
  <c r="IO227" i="17" s="1"/>
  <c r="HF227" i="17"/>
  <c r="IH227" i="17" s="1"/>
  <c r="HB227" i="17"/>
  <c r="ID227" i="17" s="1"/>
  <c r="GV227" i="17"/>
  <c r="HX227" i="17" s="1"/>
  <c r="HG227" i="17"/>
  <c r="II227" i="17" s="1"/>
  <c r="HE227" i="17"/>
  <c r="IG227" i="17" s="1"/>
  <c r="GR227" i="17"/>
  <c r="HT227" i="17" s="1"/>
  <c r="GX227" i="17"/>
  <c r="HZ227" i="17" s="1"/>
  <c r="GT227" i="17"/>
  <c r="HV227" i="17" s="1"/>
  <c r="HA227" i="17"/>
  <c r="IC227" i="17" s="1"/>
  <c r="HN227" i="17"/>
  <c r="IP227" i="17" s="1"/>
  <c r="HD227" i="17"/>
  <c r="IF227" i="17" s="1"/>
  <c r="GY227" i="17"/>
  <c r="IA227" i="17" s="1"/>
  <c r="HR227" i="17"/>
  <c r="IT227" i="17" s="1"/>
  <c r="HI227" i="17"/>
  <c r="IK227" i="17" s="1"/>
  <c r="HO227" i="17"/>
  <c r="IQ227" i="17" s="1"/>
  <c r="GW227" i="17"/>
  <c r="HY227" i="17" s="1"/>
  <c r="HH227" i="17"/>
  <c r="IJ227" i="17" s="1"/>
  <c r="HJ227" i="17"/>
  <c r="IL227" i="17" s="1"/>
  <c r="HK227" i="17"/>
  <c r="IM227" i="17" s="1"/>
  <c r="HP227" i="17"/>
  <c r="IR227" i="17" s="1"/>
  <c r="GU227" i="17"/>
  <c r="HW227" i="17" s="1"/>
  <c r="HC227" i="17"/>
  <c r="IE227" i="17" s="1"/>
  <c r="GS44" i="17"/>
  <c r="HU44" i="17" s="1"/>
  <c r="HR44" i="17"/>
  <c r="IT44" i="17" s="1"/>
  <c r="HE44" i="17"/>
  <c r="IG44" i="17" s="1"/>
  <c r="GZ44" i="17"/>
  <c r="IB44" i="17" s="1"/>
  <c r="HK44" i="17"/>
  <c r="IM44" i="17" s="1"/>
  <c r="HP44" i="17"/>
  <c r="IR44" i="17" s="1"/>
  <c r="HQ44" i="17"/>
  <c r="IS44" i="17" s="1"/>
  <c r="GU44" i="17"/>
  <c r="HW44" i="17" s="1"/>
  <c r="HF44" i="17"/>
  <c r="IH44" i="17" s="1"/>
  <c r="HM44" i="17"/>
  <c r="IO44" i="17" s="1"/>
  <c r="GR44" i="17"/>
  <c r="HT44" i="17" s="1"/>
  <c r="GX44" i="17"/>
  <c r="HZ44" i="17" s="1"/>
  <c r="GV44" i="17"/>
  <c r="HX44" i="17" s="1"/>
  <c r="GT44" i="17"/>
  <c r="HV44" i="17" s="1"/>
  <c r="HD44" i="17"/>
  <c r="IF44" i="17" s="1"/>
  <c r="HA44" i="17"/>
  <c r="IC44" i="17" s="1"/>
  <c r="HG44" i="17"/>
  <c r="II44" i="17" s="1"/>
  <c r="HO44" i="17"/>
  <c r="IQ44" i="17" s="1"/>
  <c r="HI44" i="17"/>
  <c r="IK44" i="17" s="1"/>
  <c r="HB44" i="17"/>
  <c r="ID44" i="17" s="1"/>
  <c r="HC44" i="17"/>
  <c r="IE44" i="17" s="1"/>
  <c r="GY44" i="17"/>
  <c r="IA44" i="17" s="1"/>
  <c r="HJ44" i="17"/>
  <c r="IL44" i="17" s="1"/>
  <c r="HL44" i="17"/>
  <c r="IN44" i="17" s="1"/>
  <c r="GW44" i="17"/>
  <c r="HY44" i="17" s="1"/>
  <c r="HH44" i="17"/>
  <c r="IJ44" i="17" s="1"/>
  <c r="HN44" i="17"/>
  <c r="IP44" i="17" s="1"/>
  <c r="C212" i="17"/>
  <c r="HC283" i="17"/>
  <c r="IE283" i="17" s="1"/>
  <c r="AV3" i="17"/>
  <c r="GZ73" i="17"/>
  <c r="IB73" i="17" s="1"/>
  <c r="HF73" i="17"/>
  <c r="IH73" i="17" s="1"/>
  <c r="HP73" i="17"/>
  <c r="IR73" i="17" s="1"/>
  <c r="HN73" i="17"/>
  <c r="IP73" i="17" s="1"/>
  <c r="HG73" i="17"/>
  <c r="II73" i="17" s="1"/>
  <c r="HA73" i="17"/>
  <c r="IC73" i="17" s="1"/>
  <c r="GR73" i="17"/>
  <c r="HT73" i="17" s="1"/>
  <c r="HQ73" i="17"/>
  <c r="IS73" i="17" s="1"/>
  <c r="HH73" i="17"/>
  <c r="IJ73" i="17" s="1"/>
  <c r="HK73" i="17"/>
  <c r="IM73" i="17" s="1"/>
  <c r="GW73" i="17"/>
  <c r="HY73" i="17" s="1"/>
  <c r="HL73" i="17"/>
  <c r="IN73" i="17" s="1"/>
  <c r="GS73" i="17"/>
  <c r="HU73" i="17" s="1"/>
  <c r="HM73" i="17"/>
  <c r="IO73" i="17" s="1"/>
  <c r="GX73" i="17"/>
  <c r="HZ73" i="17" s="1"/>
  <c r="GY73" i="17"/>
  <c r="IA73" i="17" s="1"/>
  <c r="HD73" i="17"/>
  <c r="IF73" i="17" s="1"/>
  <c r="HO73" i="17"/>
  <c r="IQ73" i="17" s="1"/>
  <c r="HB73" i="17"/>
  <c r="ID73" i="17" s="1"/>
  <c r="HR73" i="17"/>
  <c r="IT73" i="17" s="1"/>
  <c r="HC73" i="17"/>
  <c r="IE73" i="17" s="1"/>
  <c r="GV73" i="17"/>
  <c r="HX73" i="17" s="1"/>
  <c r="HE73" i="17"/>
  <c r="IG73" i="17" s="1"/>
  <c r="HI73" i="17"/>
  <c r="IK73" i="17" s="1"/>
  <c r="HJ73" i="17"/>
  <c r="IL73" i="17" s="1"/>
  <c r="GT73" i="17"/>
  <c r="HV73" i="17" s="1"/>
  <c r="GU73" i="17"/>
  <c r="HW73" i="17" s="1"/>
  <c r="GV213" i="17"/>
  <c r="HX213" i="17" s="1"/>
  <c r="HC213" i="17"/>
  <c r="IE213" i="17" s="1"/>
  <c r="HM213" i="17"/>
  <c r="IO213" i="17" s="1"/>
  <c r="HB213" i="17"/>
  <c r="ID213" i="17" s="1"/>
  <c r="HP213" i="17"/>
  <c r="IR213" i="17" s="1"/>
  <c r="HQ213" i="17"/>
  <c r="IS213" i="17" s="1"/>
  <c r="HA213" i="17"/>
  <c r="IC213" i="17" s="1"/>
  <c r="GU213" i="17"/>
  <c r="HW213" i="17" s="1"/>
  <c r="GY213" i="17"/>
  <c r="IA213" i="17" s="1"/>
  <c r="GZ213" i="17"/>
  <c r="IB213" i="17" s="1"/>
  <c r="HJ213" i="17"/>
  <c r="IL213" i="17" s="1"/>
  <c r="HN213" i="17"/>
  <c r="IP213" i="17" s="1"/>
  <c r="HG81" i="17"/>
  <c r="II81" i="17" s="1"/>
  <c r="GR70" i="17"/>
  <c r="HT70" i="17" s="1"/>
  <c r="HD213" i="17"/>
  <c r="IF213" i="17" s="1"/>
  <c r="AV305" i="17"/>
  <c r="HF213" i="17"/>
  <c r="IH213" i="17" s="1"/>
  <c r="C241" i="17"/>
  <c r="GX70" i="17"/>
  <c r="HZ70" i="17" s="1"/>
  <c r="AV175" i="17"/>
  <c r="C300" i="17"/>
  <c r="C225" i="17"/>
  <c r="HB152" i="17"/>
  <c r="ID152" i="17" s="1"/>
  <c r="HR19" i="17"/>
  <c r="IT19" i="17" s="1"/>
  <c r="HJ81" i="17"/>
  <c r="IL81" i="17" s="1"/>
  <c r="GS213" i="17"/>
  <c r="HU213" i="17" s="1"/>
  <c r="GZ271" i="17"/>
  <c r="IB271" i="17" s="1"/>
  <c r="HN151" i="17"/>
  <c r="IP151" i="17" s="1"/>
  <c r="HP283" i="17"/>
  <c r="IR283" i="17" s="1"/>
  <c r="HI283" i="17"/>
  <c r="IK283" i="17" s="1"/>
  <c r="HJ283" i="17"/>
  <c r="IL283" i="17" s="1"/>
  <c r="AV337" i="17"/>
  <c r="AV178" i="17"/>
  <c r="GX309" i="17"/>
  <c r="HZ309" i="17" s="1"/>
  <c r="HF309" i="17"/>
  <c r="IH309" i="17" s="1"/>
  <c r="HL309" i="17"/>
  <c r="IN309" i="17" s="1"/>
  <c r="HG309" i="17"/>
  <c r="II309" i="17" s="1"/>
  <c r="HH309" i="17"/>
  <c r="IJ309" i="17" s="1"/>
  <c r="HQ309" i="17"/>
  <c r="IS309" i="17" s="1"/>
  <c r="HB309" i="17"/>
  <c r="ID309" i="17" s="1"/>
  <c r="HC309" i="17"/>
  <c r="IE309" i="17" s="1"/>
  <c r="HN309" i="17"/>
  <c r="IP309" i="17" s="1"/>
  <c r="HE309" i="17"/>
  <c r="IG309" i="17" s="1"/>
  <c r="HP309" i="17"/>
  <c r="IR309" i="17" s="1"/>
  <c r="HO309" i="17"/>
  <c r="IQ309" i="17" s="1"/>
  <c r="HM309" i="17"/>
  <c r="IO309" i="17" s="1"/>
  <c r="GT309" i="17"/>
  <c r="HV309" i="17" s="1"/>
  <c r="GR309" i="17"/>
  <c r="HT309" i="17" s="1"/>
  <c r="GV309" i="17"/>
  <c r="HX309" i="17" s="1"/>
  <c r="HK309" i="17"/>
  <c r="IM309" i="17" s="1"/>
  <c r="GW309" i="17"/>
  <c r="HY309" i="17" s="1"/>
  <c r="GS309" i="17"/>
  <c r="HU309" i="17" s="1"/>
  <c r="GU309" i="17"/>
  <c r="HW309" i="17" s="1"/>
  <c r="HI309" i="17"/>
  <c r="IK309" i="17" s="1"/>
  <c r="HJ309" i="17"/>
  <c r="IL309" i="17" s="1"/>
  <c r="GY309" i="17"/>
  <c r="IA309" i="17" s="1"/>
  <c r="GZ309" i="17"/>
  <c r="IB309" i="17" s="1"/>
  <c r="HR309" i="17"/>
  <c r="IT309" i="17" s="1"/>
  <c r="HA309" i="17"/>
  <c r="IC309" i="17" s="1"/>
  <c r="HD309" i="17"/>
  <c r="IF309" i="17" s="1"/>
  <c r="AV290" i="17"/>
  <c r="HM30" i="17"/>
  <c r="IO30" i="17" s="1"/>
  <c r="GY30" i="17"/>
  <c r="IA30" i="17" s="1"/>
  <c r="HE30" i="17"/>
  <c r="IG30" i="17" s="1"/>
  <c r="GS30" i="17"/>
  <c r="HU30" i="17" s="1"/>
  <c r="HI30" i="17"/>
  <c r="IK30" i="17" s="1"/>
  <c r="HL30" i="17"/>
  <c r="IN30" i="17" s="1"/>
  <c r="GT30" i="17"/>
  <c r="HV30" i="17" s="1"/>
  <c r="GZ30" i="17"/>
  <c r="IB30" i="17" s="1"/>
  <c r="GX30" i="17"/>
  <c r="HZ30" i="17" s="1"/>
  <c r="HA30" i="17"/>
  <c r="IC30" i="17" s="1"/>
  <c r="HQ30" i="17"/>
  <c r="IS30" i="17" s="1"/>
  <c r="GW30" i="17"/>
  <c r="HY30" i="17" s="1"/>
  <c r="HF30" i="17"/>
  <c r="IH30" i="17" s="1"/>
  <c r="HC30" i="17"/>
  <c r="IE30" i="17" s="1"/>
  <c r="HB30" i="17"/>
  <c r="ID30" i="17" s="1"/>
  <c r="HH30" i="17"/>
  <c r="IJ30" i="17" s="1"/>
  <c r="HJ30" i="17"/>
  <c r="IL30" i="17" s="1"/>
  <c r="HG30" i="17"/>
  <c r="II30" i="17" s="1"/>
  <c r="HR30" i="17"/>
  <c r="IT30" i="17" s="1"/>
  <c r="GU30" i="17"/>
  <c r="HW30" i="17" s="1"/>
  <c r="HN30" i="17"/>
  <c r="IP30" i="17" s="1"/>
  <c r="HD30" i="17"/>
  <c r="IF30" i="17" s="1"/>
  <c r="GV30" i="17"/>
  <c r="HX30" i="17" s="1"/>
  <c r="HK30" i="17"/>
  <c r="IM30" i="17" s="1"/>
  <c r="GR30" i="17"/>
  <c r="HT30" i="17" s="1"/>
  <c r="HP30" i="17"/>
  <c r="IR30" i="17" s="1"/>
  <c r="HO30" i="17"/>
  <c r="IQ30" i="17" s="1"/>
  <c r="GR149" i="17"/>
  <c r="HT149" i="17" s="1"/>
  <c r="HE149" i="17"/>
  <c r="IG149" i="17" s="1"/>
  <c r="HL149" i="17"/>
  <c r="IN149" i="17" s="1"/>
  <c r="HF149" i="17"/>
  <c r="IH149" i="17" s="1"/>
  <c r="HG149" i="17"/>
  <c r="II149" i="17" s="1"/>
  <c r="GT149" i="17"/>
  <c r="HV149" i="17" s="1"/>
  <c r="HN149" i="17"/>
  <c r="IP149" i="17" s="1"/>
  <c r="GX149" i="17"/>
  <c r="HZ149" i="17" s="1"/>
  <c r="HO149" i="17"/>
  <c r="IQ149" i="17" s="1"/>
  <c r="HA149" i="17"/>
  <c r="IC149" i="17" s="1"/>
  <c r="GS149" i="17"/>
  <c r="HU149" i="17" s="1"/>
  <c r="HD149" i="17"/>
  <c r="IF149" i="17" s="1"/>
  <c r="HK149" i="17"/>
  <c r="IM149" i="17" s="1"/>
  <c r="GU149" i="17"/>
  <c r="HW149" i="17" s="1"/>
  <c r="HB149" i="17"/>
  <c r="ID149" i="17" s="1"/>
  <c r="HJ149" i="17"/>
  <c r="IL149" i="17" s="1"/>
  <c r="GZ149" i="17"/>
  <c r="IB149" i="17" s="1"/>
  <c r="HP149" i="17"/>
  <c r="IR149" i="17" s="1"/>
  <c r="GY149" i="17"/>
  <c r="IA149" i="17" s="1"/>
  <c r="HM149" i="17"/>
  <c r="IO149" i="17" s="1"/>
  <c r="GV149" i="17"/>
  <c r="HX149" i="17" s="1"/>
  <c r="HR149" i="17"/>
  <c r="IT149" i="17" s="1"/>
  <c r="HC149" i="17"/>
  <c r="IE149" i="17" s="1"/>
  <c r="GW149" i="17"/>
  <c r="HY149" i="17" s="1"/>
  <c r="HI149" i="17"/>
  <c r="IK149" i="17" s="1"/>
  <c r="HH149" i="17"/>
  <c r="IJ149" i="17" s="1"/>
  <c r="HQ149" i="17"/>
  <c r="IS149" i="17" s="1"/>
  <c r="GY300" i="17"/>
  <c r="IA300" i="17" s="1"/>
  <c r="HI300" i="17"/>
  <c r="IK300" i="17" s="1"/>
  <c r="GR300" i="17"/>
  <c r="HT300" i="17" s="1"/>
  <c r="GU300" i="17"/>
  <c r="HW300" i="17" s="1"/>
  <c r="HL300" i="17"/>
  <c r="IN300" i="17" s="1"/>
  <c r="HQ300" i="17"/>
  <c r="IS300" i="17" s="1"/>
  <c r="GT300" i="17"/>
  <c r="HV300" i="17" s="1"/>
  <c r="HP300" i="17"/>
  <c r="IR300" i="17" s="1"/>
  <c r="GW300" i="17"/>
  <c r="HY300" i="17" s="1"/>
  <c r="GS300" i="17"/>
  <c r="HU300" i="17" s="1"/>
  <c r="HC300" i="17"/>
  <c r="IE300" i="17" s="1"/>
  <c r="HB300" i="17"/>
  <c r="ID300" i="17" s="1"/>
  <c r="GV300" i="17"/>
  <c r="HX300" i="17" s="1"/>
  <c r="HG300" i="17"/>
  <c r="II300" i="17" s="1"/>
  <c r="HN300" i="17"/>
  <c r="IP300" i="17" s="1"/>
  <c r="HE300" i="17"/>
  <c r="IG300" i="17" s="1"/>
  <c r="HD300" i="17"/>
  <c r="IF300" i="17" s="1"/>
  <c r="HO300" i="17"/>
  <c r="IQ300" i="17" s="1"/>
  <c r="GZ300" i="17"/>
  <c r="IB300" i="17" s="1"/>
  <c r="HM300" i="17"/>
  <c r="IO300" i="17" s="1"/>
  <c r="HA300" i="17"/>
  <c r="IC300" i="17" s="1"/>
  <c r="HJ300" i="17"/>
  <c r="IL300" i="17" s="1"/>
  <c r="HR300" i="17"/>
  <c r="IT300" i="17" s="1"/>
  <c r="HH300" i="17"/>
  <c r="IJ300" i="17" s="1"/>
  <c r="HF300" i="17"/>
  <c r="IH300" i="17" s="1"/>
  <c r="HK300" i="17"/>
  <c r="IM300" i="17" s="1"/>
  <c r="GX300" i="17"/>
  <c r="HZ300" i="17" s="1"/>
  <c r="C150" i="17"/>
  <c r="C119" i="17"/>
  <c r="HR168" i="17"/>
  <c r="IT168" i="17" s="1"/>
  <c r="HE168" i="17"/>
  <c r="IG168" i="17" s="1"/>
  <c r="GR168" i="17"/>
  <c r="HT168" i="17" s="1"/>
  <c r="GX168" i="17"/>
  <c r="HZ168" i="17" s="1"/>
  <c r="GY168" i="17"/>
  <c r="IA168" i="17" s="1"/>
  <c r="HD168" i="17"/>
  <c r="IF168" i="17" s="1"/>
  <c r="HB168" i="17"/>
  <c r="ID168" i="17" s="1"/>
  <c r="HL168" i="17"/>
  <c r="IN168" i="17" s="1"/>
  <c r="HC168" i="17"/>
  <c r="IE168" i="17" s="1"/>
  <c r="HO168" i="17"/>
  <c r="IQ168" i="17" s="1"/>
  <c r="GS168" i="17"/>
  <c r="HU168" i="17" s="1"/>
  <c r="HF168" i="17"/>
  <c r="IH168" i="17" s="1"/>
  <c r="HP168" i="17"/>
  <c r="IR168" i="17" s="1"/>
  <c r="HG330" i="17"/>
  <c r="II330" i="17" s="1"/>
  <c r="HB330" i="17"/>
  <c r="ID330" i="17" s="1"/>
  <c r="HO330" i="17"/>
  <c r="IQ330" i="17" s="1"/>
  <c r="HP330" i="17"/>
  <c r="IR330" i="17" s="1"/>
  <c r="GU330" i="17"/>
  <c r="HW330" i="17" s="1"/>
  <c r="HA330" i="17"/>
  <c r="IC330" i="17" s="1"/>
  <c r="HD330" i="17"/>
  <c r="IF330" i="17" s="1"/>
  <c r="HC330" i="17"/>
  <c r="IE330" i="17" s="1"/>
  <c r="GS330" i="17"/>
  <c r="HU330" i="17" s="1"/>
  <c r="GV330" i="17"/>
  <c r="HX330" i="17" s="1"/>
  <c r="GX330" i="17"/>
  <c r="HZ330" i="17" s="1"/>
  <c r="HL330" i="17"/>
  <c r="IN330" i="17" s="1"/>
  <c r="HI330" i="17"/>
  <c r="IK330" i="17" s="1"/>
  <c r="HH330" i="17"/>
  <c r="IJ330" i="17" s="1"/>
  <c r="HR330" i="17"/>
  <c r="IT330" i="17" s="1"/>
  <c r="GY330" i="17"/>
  <c r="IA330" i="17" s="1"/>
  <c r="HJ330" i="17"/>
  <c r="IL330" i="17" s="1"/>
  <c r="HQ330" i="17"/>
  <c r="IS330" i="17" s="1"/>
  <c r="HM330" i="17"/>
  <c r="IO330" i="17" s="1"/>
  <c r="HF330" i="17"/>
  <c r="IH330" i="17" s="1"/>
  <c r="GW330" i="17"/>
  <c r="HY330" i="17" s="1"/>
  <c r="HK330" i="17"/>
  <c r="IM330" i="17" s="1"/>
  <c r="HE330" i="17"/>
  <c r="IG330" i="17" s="1"/>
  <c r="GT330" i="17"/>
  <c r="HV330" i="17" s="1"/>
  <c r="GR330" i="17"/>
  <c r="HT330" i="17" s="1"/>
  <c r="GZ330" i="17"/>
  <c r="IB330" i="17" s="1"/>
  <c r="HN330" i="17"/>
  <c r="IP330" i="17" s="1"/>
  <c r="C70" i="17"/>
  <c r="AV192" i="17"/>
  <c r="HI213" i="17"/>
  <c r="IK213" i="17" s="1"/>
  <c r="C101" i="17"/>
  <c r="HG192" i="17"/>
  <c r="II192" i="17" s="1"/>
  <c r="HQ192" i="17"/>
  <c r="IS192" i="17" s="1"/>
  <c r="HI192" i="17"/>
  <c r="IK192" i="17" s="1"/>
  <c r="HH192" i="17"/>
  <c r="IJ192" i="17" s="1"/>
  <c r="HL192" i="17"/>
  <c r="IN192" i="17" s="1"/>
  <c r="HD192" i="17"/>
  <c r="IF192" i="17" s="1"/>
  <c r="GY192" i="17"/>
  <c r="IA192" i="17" s="1"/>
  <c r="HN192" i="17"/>
  <c r="IP192" i="17" s="1"/>
  <c r="HK192" i="17"/>
  <c r="IM192" i="17" s="1"/>
  <c r="GU192" i="17"/>
  <c r="HW192" i="17" s="1"/>
  <c r="HE192" i="17"/>
  <c r="IG192" i="17" s="1"/>
  <c r="HO192" i="17"/>
  <c r="IQ192" i="17" s="1"/>
  <c r="GV192" i="17"/>
  <c r="HX192" i="17" s="1"/>
  <c r="HR192" i="17"/>
  <c r="IT192" i="17" s="1"/>
  <c r="GT192" i="17"/>
  <c r="HV192" i="17" s="1"/>
  <c r="HB192" i="17"/>
  <c r="ID192" i="17" s="1"/>
  <c r="GX192" i="17"/>
  <c r="HZ192" i="17" s="1"/>
  <c r="GZ192" i="17"/>
  <c r="IB192" i="17" s="1"/>
  <c r="GW192" i="17"/>
  <c r="HY192" i="17" s="1"/>
  <c r="HE70" i="17"/>
  <c r="IG70" i="17" s="1"/>
  <c r="C267" i="17"/>
  <c r="GY81" i="17"/>
  <c r="IA81" i="17" s="1"/>
  <c r="C314" i="17"/>
  <c r="AV304" i="17"/>
  <c r="C271" i="17"/>
  <c r="HJ271" i="17"/>
  <c r="IL271" i="17" s="1"/>
  <c r="C149" i="17"/>
  <c r="AV336" i="17"/>
  <c r="C11" i="17"/>
  <c r="HF192" i="17"/>
  <c r="IH192" i="17" s="1"/>
  <c r="HC152" i="17"/>
  <c r="IE152" i="17" s="1"/>
  <c r="HD19" i="17"/>
  <c r="IF19" i="17" s="1"/>
  <c r="HN81" i="17"/>
  <c r="IP81" i="17" s="1"/>
  <c r="GW271" i="17"/>
  <c r="HY271" i="17" s="1"/>
  <c r="HC151" i="17"/>
  <c r="IE151" i="17" s="1"/>
  <c r="GY283" i="17"/>
  <c r="IA283" i="17" s="1"/>
  <c r="HC89" i="17"/>
  <c r="IE89" i="17" s="1"/>
  <c r="HH89" i="17"/>
  <c r="IJ89" i="17" s="1"/>
  <c r="HN89" i="17"/>
  <c r="IP89" i="17" s="1"/>
  <c r="GR89" i="17"/>
  <c r="HT89" i="17" s="1"/>
  <c r="HL89" i="17"/>
  <c r="IN89" i="17" s="1"/>
  <c r="HE89" i="17"/>
  <c r="IG89" i="17" s="1"/>
  <c r="HM89" i="17"/>
  <c r="IO89" i="17" s="1"/>
  <c r="HA89" i="17"/>
  <c r="IC89" i="17" s="1"/>
  <c r="HR89" i="17"/>
  <c r="IT89" i="17" s="1"/>
  <c r="HF89" i="17"/>
  <c r="IH89" i="17" s="1"/>
  <c r="HG89" i="17"/>
  <c r="II89" i="17" s="1"/>
  <c r="HP89" i="17"/>
  <c r="IR89" i="17" s="1"/>
  <c r="GZ89" i="17"/>
  <c r="IB89" i="17" s="1"/>
  <c r="GW89" i="17"/>
  <c r="HY89" i="17" s="1"/>
  <c r="GU89" i="17"/>
  <c r="HW89" i="17" s="1"/>
  <c r="HJ89" i="17"/>
  <c r="IL89" i="17" s="1"/>
  <c r="GT89" i="17"/>
  <c r="HV89" i="17" s="1"/>
  <c r="GX89" i="17"/>
  <c r="HZ89" i="17" s="1"/>
  <c r="HI89" i="17"/>
  <c r="IK89" i="17" s="1"/>
  <c r="HD89" i="17"/>
  <c r="IF89" i="17" s="1"/>
  <c r="HO89" i="17"/>
  <c r="IQ89" i="17" s="1"/>
  <c r="GY89" i="17"/>
  <c r="IA89" i="17" s="1"/>
  <c r="HK89" i="17"/>
  <c r="IM89" i="17" s="1"/>
  <c r="HB89" i="17"/>
  <c r="ID89" i="17" s="1"/>
  <c r="HQ89" i="17"/>
  <c r="IS89" i="17" s="1"/>
  <c r="GS89" i="17"/>
  <c r="HU89" i="17" s="1"/>
  <c r="GV89" i="17"/>
  <c r="HX89" i="17" s="1"/>
  <c r="GR148" i="17"/>
  <c r="HT148" i="17" s="1"/>
  <c r="HB148" i="17"/>
  <c r="ID148" i="17" s="1"/>
  <c r="HM148" i="17"/>
  <c r="IO148" i="17" s="1"/>
  <c r="HG148" i="17"/>
  <c r="II148" i="17" s="1"/>
  <c r="HL148" i="17"/>
  <c r="IN148" i="17" s="1"/>
  <c r="HK148" i="17"/>
  <c r="IM148" i="17" s="1"/>
  <c r="HF148" i="17"/>
  <c r="IH148" i="17" s="1"/>
  <c r="HQ148" i="17"/>
  <c r="IS148" i="17" s="1"/>
  <c r="GY148" i="17"/>
  <c r="IA148" i="17" s="1"/>
  <c r="GX148" i="17"/>
  <c r="HZ148" i="17" s="1"/>
  <c r="GT148" i="17"/>
  <c r="HV148" i="17" s="1"/>
  <c r="HE148" i="17"/>
  <c r="IG148" i="17" s="1"/>
  <c r="GW148" i="17"/>
  <c r="HY148" i="17" s="1"/>
  <c r="HA148" i="17"/>
  <c r="IC148" i="17" s="1"/>
  <c r="HJ148" i="17"/>
  <c r="IL148" i="17" s="1"/>
  <c r="HP148" i="17"/>
  <c r="IR148" i="17" s="1"/>
  <c r="GU148" i="17"/>
  <c r="HW148" i="17" s="1"/>
  <c r="HR148" i="17"/>
  <c r="IT148" i="17" s="1"/>
  <c r="HD148" i="17"/>
  <c r="IF148" i="17" s="1"/>
  <c r="HO148" i="17"/>
  <c r="IQ148" i="17" s="1"/>
  <c r="GZ148" i="17"/>
  <c r="IB148" i="17" s="1"/>
  <c r="GS148" i="17"/>
  <c r="HU148" i="17" s="1"/>
  <c r="HI148" i="17"/>
  <c r="IK148" i="17" s="1"/>
  <c r="HN148" i="17"/>
  <c r="IP148" i="17" s="1"/>
  <c r="GV148" i="17"/>
  <c r="HX148" i="17" s="1"/>
  <c r="HH148" i="17"/>
  <c r="IJ148" i="17" s="1"/>
  <c r="HC148" i="17"/>
  <c r="IE148" i="17" s="1"/>
  <c r="HC107" i="17"/>
  <c r="IE107" i="17" s="1"/>
  <c r="HR107" i="17"/>
  <c r="IT107" i="17" s="1"/>
  <c r="HL107" i="17"/>
  <c r="IN107" i="17" s="1"/>
  <c r="HG107" i="17"/>
  <c r="II107" i="17" s="1"/>
  <c r="GZ107" i="17"/>
  <c r="IB107" i="17" s="1"/>
  <c r="HA107" i="17"/>
  <c r="IC107" i="17" s="1"/>
  <c r="HP107" i="17"/>
  <c r="IR107" i="17" s="1"/>
  <c r="GY107" i="17"/>
  <c r="IA107" i="17" s="1"/>
  <c r="HH107" i="17"/>
  <c r="IJ107" i="17" s="1"/>
  <c r="HJ107" i="17"/>
  <c r="IL107" i="17" s="1"/>
  <c r="GS107" i="17"/>
  <c r="HU107" i="17" s="1"/>
  <c r="HM107" i="17"/>
  <c r="IO107" i="17" s="1"/>
  <c r="GX107" i="17"/>
  <c r="HZ107" i="17" s="1"/>
  <c r="HI107" i="17"/>
  <c r="IK107" i="17" s="1"/>
  <c r="HB107" i="17"/>
  <c r="ID107" i="17" s="1"/>
  <c r="HO107" i="17"/>
  <c r="IQ107" i="17" s="1"/>
  <c r="GR107" i="17"/>
  <c r="HT107" i="17" s="1"/>
  <c r="GW107" i="17"/>
  <c r="HY107" i="17" s="1"/>
  <c r="HD107" i="17"/>
  <c r="IF107" i="17" s="1"/>
  <c r="HK35" i="17"/>
  <c r="IM35" i="17" s="1"/>
  <c r="HF35" i="17"/>
  <c r="IH35" i="17" s="1"/>
  <c r="HP35" i="17"/>
  <c r="IR35" i="17" s="1"/>
  <c r="GT35" i="17"/>
  <c r="HV35" i="17" s="1"/>
  <c r="HG35" i="17"/>
  <c r="II35" i="17" s="1"/>
  <c r="HO35" i="17"/>
  <c r="IQ35" i="17" s="1"/>
  <c r="C301" i="17"/>
  <c r="HE169" i="17"/>
  <c r="IG169" i="17" s="1"/>
  <c r="GT169" i="17"/>
  <c r="HV169" i="17" s="1"/>
  <c r="HI169" i="17"/>
  <c r="IK169" i="17" s="1"/>
  <c r="HC169" i="17"/>
  <c r="IE169" i="17" s="1"/>
  <c r="HF169" i="17"/>
  <c r="IH169" i="17" s="1"/>
  <c r="HD169" i="17"/>
  <c r="IF169" i="17" s="1"/>
  <c r="HO169" i="17"/>
  <c r="IQ169" i="17" s="1"/>
  <c r="HM169" i="17"/>
  <c r="IO169" i="17" s="1"/>
  <c r="GX169" i="17"/>
  <c r="HZ169" i="17" s="1"/>
  <c r="GR169" i="17"/>
  <c r="HT169" i="17" s="1"/>
  <c r="HG169" i="17"/>
  <c r="II169" i="17" s="1"/>
  <c r="HL169" i="17"/>
  <c r="IN169" i="17" s="1"/>
  <c r="GU169" i="17"/>
  <c r="HW169" i="17" s="1"/>
  <c r="HB169" i="17"/>
  <c r="ID169" i="17" s="1"/>
  <c r="HR169" i="17"/>
  <c r="IT169" i="17" s="1"/>
  <c r="GZ169" i="17"/>
  <c r="IB169" i="17" s="1"/>
  <c r="HA169" i="17"/>
  <c r="IC169" i="17" s="1"/>
  <c r="GS169" i="17"/>
  <c r="HU169" i="17" s="1"/>
  <c r="GV169" i="17"/>
  <c r="HX169" i="17" s="1"/>
  <c r="HJ169" i="17"/>
  <c r="IL169" i="17" s="1"/>
  <c r="HK169" i="17"/>
  <c r="IM169" i="17" s="1"/>
  <c r="HQ169" i="17"/>
  <c r="IS169" i="17" s="1"/>
  <c r="GW169" i="17"/>
  <c r="HY169" i="17" s="1"/>
  <c r="GY169" i="17"/>
  <c r="IA169" i="17" s="1"/>
  <c r="HH169" i="17"/>
  <c r="IJ169" i="17" s="1"/>
  <c r="HN169" i="17"/>
  <c r="IP169" i="17" s="1"/>
  <c r="HP169" i="17"/>
  <c r="IR169" i="17" s="1"/>
  <c r="C290" i="17"/>
  <c r="HA283" i="17"/>
  <c r="IC283" i="17" s="1"/>
  <c r="GT283" i="17"/>
  <c r="HV283" i="17" s="1"/>
  <c r="HR283" i="17"/>
  <c r="IT283" i="17" s="1"/>
  <c r="GW283" i="17"/>
  <c r="HY283" i="17" s="1"/>
  <c r="HK283" i="17"/>
  <c r="IM283" i="17" s="1"/>
  <c r="HD283" i="17"/>
  <c r="IF283" i="17" s="1"/>
  <c r="GU283" i="17"/>
  <c r="HW283" i="17" s="1"/>
  <c r="GW81" i="17"/>
  <c r="HY81" i="17" s="1"/>
  <c r="GV61" i="17"/>
  <c r="HX61" i="17" s="1"/>
  <c r="HH61" i="17"/>
  <c r="IJ61" i="17" s="1"/>
  <c r="HF61" i="17"/>
  <c r="IH61" i="17" s="1"/>
  <c r="HJ61" i="17"/>
  <c r="IL61" i="17" s="1"/>
  <c r="HC61" i="17"/>
  <c r="IE61" i="17" s="1"/>
  <c r="GW61" i="17"/>
  <c r="HY61" i="17" s="1"/>
  <c r="HK61" i="17"/>
  <c r="IM61" i="17" s="1"/>
  <c r="HA61" i="17"/>
  <c r="IC61" i="17" s="1"/>
  <c r="HM61" i="17"/>
  <c r="IO61" i="17" s="1"/>
  <c r="GX61" i="17"/>
  <c r="HZ61" i="17" s="1"/>
  <c r="HQ61" i="17"/>
  <c r="IS61" i="17" s="1"/>
  <c r="HN61" i="17"/>
  <c r="IP61" i="17" s="1"/>
  <c r="HP61" i="17"/>
  <c r="IR61" i="17" s="1"/>
  <c r="GY61" i="17"/>
  <c r="IA61" i="17" s="1"/>
  <c r="HR61" i="17"/>
  <c r="IT61" i="17" s="1"/>
  <c r="HO61" i="17"/>
  <c r="IQ61" i="17" s="1"/>
  <c r="GS61" i="17"/>
  <c r="HU61" i="17" s="1"/>
  <c r="HI61" i="17"/>
  <c r="IK61" i="17" s="1"/>
  <c r="GR61" i="17"/>
  <c r="HT61" i="17" s="1"/>
  <c r="GT61" i="17"/>
  <c r="HV61" i="17" s="1"/>
  <c r="GU61" i="17"/>
  <c r="HW61" i="17" s="1"/>
  <c r="GZ61" i="17"/>
  <c r="IB61" i="17" s="1"/>
  <c r="HB61" i="17"/>
  <c r="ID61" i="17" s="1"/>
  <c r="HL61" i="17"/>
  <c r="IN61" i="17" s="1"/>
  <c r="HG61" i="17"/>
  <c r="II61" i="17" s="1"/>
  <c r="HD61" i="17"/>
  <c r="IF61" i="17" s="1"/>
  <c r="HE61" i="17"/>
  <c r="IG61" i="17" s="1"/>
  <c r="GW314" i="17"/>
  <c r="HY314" i="17" s="1"/>
  <c r="GZ314" i="17"/>
  <c r="IB314" i="17" s="1"/>
  <c r="HP314" i="17"/>
  <c r="IR314" i="17" s="1"/>
  <c r="HR314" i="17"/>
  <c r="IT314" i="17" s="1"/>
  <c r="HK314" i="17"/>
  <c r="IM314" i="17" s="1"/>
  <c r="GS314" i="17"/>
  <c r="HU314" i="17" s="1"/>
  <c r="GX314" i="17"/>
  <c r="HZ314" i="17" s="1"/>
  <c r="GY314" i="17"/>
  <c r="IA314" i="17" s="1"/>
  <c r="HQ314" i="17"/>
  <c r="IS314" i="17" s="1"/>
  <c r="HM314" i="17"/>
  <c r="IO314" i="17" s="1"/>
  <c r="GR314" i="17"/>
  <c r="HT314" i="17" s="1"/>
  <c r="HA314" i="17"/>
  <c r="IC314" i="17" s="1"/>
  <c r="HG314" i="17"/>
  <c r="II314" i="17" s="1"/>
  <c r="HH314" i="17"/>
  <c r="IJ314" i="17" s="1"/>
  <c r="HI314" i="17"/>
  <c r="IK314" i="17" s="1"/>
  <c r="HF314" i="17"/>
  <c r="IH314" i="17" s="1"/>
  <c r="HJ314" i="17"/>
  <c r="IL314" i="17" s="1"/>
  <c r="HO314" i="17"/>
  <c r="IQ314" i="17" s="1"/>
  <c r="HE314" i="17"/>
  <c r="IG314" i="17" s="1"/>
  <c r="HN314" i="17"/>
  <c r="IP314" i="17" s="1"/>
  <c r="GT314" i="17"/>
  <c r="HV314" i="17" s="1"/>
  <c r="HB314" i="17"/>
  <c r="ID314" i="17" s="1"/>
  <c r="HD314" i="17"/>
  <c r="IF314" i="17" s="1"/>
  <c r="HL314" i="17"/>
  <c r="IN314" i="17" s="1"/>
  <c r="HC314" i="17"/>
  <c r="IE314" i="17" s="1"/>
  <c r="GV314" i="17"/>
  <c r="HX314" i="17" s="1"/>
  <c r="GU314" i="17"/>
  <c r="HW314" i="17" s="1"/>
  <c r="HJ29" i="17"/>
  <c r="IL29" i="17" s="1"/>
  <c r="HH271" i="17"/>
  <c r="IJ271" i="17" s="1"/>
  <c r="C63" i="17"/>
  <c r="C181" i="17"/>
  <c r="HJ151" i="17"/>
  <c r="IL151" i="17" s="1"/>
  <c r="HE283" i="17"/>
  <c r="IG283" i="17" s="1"/>
  <c r="GS283" i="17"/>
  <c r="HU283" i="17" s="1"/>
  <c r="HP28" i="17"/>
  <c r="IR28" i="17" s="1"/>
  <c r="GY28" i="17"/>
  <c r="IA28" i="17" s="1"/>
  <c r="GV28" i="17"/>
  <c r="HX28" i="17" s="1"/>
  <c r="HD28" i="17"/>
  <c r="IF28" i="17" s="1"/>
  <c r="GZ28" i="17"/>
  <c r="IB28" i="17" s="1"/>
  <c r="GW28" i="17"/>
  <c r="HY28" i="17" s="1"/>
  <c r="HK28" i="17"/>
  <c r="IM28" i="17" s="1"/>
  <c r="HN28" i="17"/>
  <c r="IP28" i="17" s="1"/>
  <c r="HR28" i="17"/>
  <c r="IT28" i="17" s="1"/>
  <c r="GT28" i="17"/>
  <c r="HV28" i="17" s="1"/>
  <c r="HO28" i="17"/>
  <c r="IQ28" i="17" s="1"/>
  <c r="GR28" i="17"/>
  <c r="HT28" i="17" s="1"/>
  <c r="HF28" i="17"/>
  <c r="IH28" i="17" s="1"/>
  <c r="HC28" i="17"/>
  <c r="IE28" i="17" s="1"/>
  <c r="GX28" i="17"/>
  <c r="HZ28" i="17" s="1"/>
  <c r="HG28" i="17"/>
  <c r="II28" i="17" s="1"/>
  <c r="HA28" i="17"/>
  <c r="IC28" i="17" s="1"/>
  <c r="HB28" i="17"/>
  <c r="ID28" i="17" s="1"/>
  <c r="GU28" i="17"/>
  <c r="HW28" i="17" s="1"/>
  <c r="HJ28" i="17"/>
  <c r="IL28" i="17" s="1"/>
  <c r="HE28" i="17"/>
  <c r="IG28" i="17" s="1"/>
  <c r="HH28" i="17"/>
  <c r="IJ28" i="17" s="1"/>
  <c r="HQ28" i="17"/>
  <c r="IS28" i="17" s="1"/>
  <c r="HI28" i="17"/>
  <c r="IK28" i="17" s="1"/>
  <c r="GS28" i="17"/>
  <c r="HU28" i="17" s="1"/>
  <c r="HL28" i="17"/>
  <c r="IN28" i="17" s="1"/>
  <c r="HM28" i="17"/>
  <c r="IO28" i="17" s="1"/>
  <c r="AV181" i="17"/>
  <c r="GX283" i="17"/>
  <c r="HZ283" i="17" s="1"/>
  <c r="HO152" i="17"/>
  <c r="IQ152" i="17" s="1"/>
  <c r="HB81" i="17"/>
  <c r="ID81" i="17" s="1"/>
  <c r="HQ283" i="17"/>
  <c r="IS283" i="17" s="1"/>
  <c r="HK167" i="17"/>
  <c r="IM167" i="17" s="1"/>
  <c r="HR167" i="17"/>
  <c r="IT167" i="17" s="1"/>
  <c r="GT167" i="17"/>
  <c r="HV167" i="17" s="1"/>
  <c r="HL167" i="17"/>
  <c r="IN167" i="17" s="1"/>
  <c r="GU167" i="17"/>
  <c r="HW167" i="17" s="1"/>
  <c r="HF167" i="17"/>
  <c r="IH167" i="17" s="1"/>
  <c r="HC167" i="17"/>
  <c r="IE167" i="17" s="1"/>
  <c r="HD167" i="17"/>
  <c r="IF167" i="17" s="1"/>
  <c r="HA167" i="17"/>
  <c r="IC167" i="17" s="1"/>
  <c r="HM167" i="17"/>
  <c r="IO167" i="17" s="1"/>
  <c r="GV167" i="17"/>
  <c r="HX167" i="17" s="1"/>
  <c r="GY167" i="17"/>
  <c r="IA167" i="17" s="1"/>
  <c r="HH167" i="17"/>
  <c r="IJ167" i="17" s="1"/>
  <c r="GW167" i="17"/>
  <c r="HY167" i="17" s="1"/>
  <c r="HO167" i="17"/>
  <c r="IQ167" i="17" s="1"/>
  <c r="GS167" i="17"/>
  <c r="HU167" i="17" s="1"/>
  <c r="HQ167" i="17"/>
  <c r="IS167" i="17" s="1"/>
  <c r="GZ167" i="17"/>
  <c r="IB167" i="17" s="1"/>
  <c r="HJ167" i="17"/>
  <c r="IL167" i="17" s="1"/>
  <c r="GX167" i="17"/>
  <c r="HZ167" i="17" s="1"/>
  <c r="HG167" i="17"/>
  <c r="II167" i="17" s="1"/>
  <c r="HP167" i="17"/>
  <c r="IR167" i="17" s="1"/>
  <c r="HI167" i="17"/>
  <c r="IK167" i="17" s="1"/>
  <c r="HB167" i="17"/>
  <c r="ID167" i="17" s="1"/>
  <c r="HE167" i="17"/>
  <c r="IG167" i="17" s="1"/>
  <c r="HN167" i="17"/>
  <c r="IP167" i="17" s="1"/>
  <c r="GR167" i="17"/>
  <c r="HT167" i="17" s="1"/>
  <c r="C175" i="17"/>
  <c r="AV134" i="17"/>
  <c r="C253" i="17"/>
  <c r="AV29" i="17"/>
  <c r="C135" i="17"/>
  <c r="AV210" i="17"/>
  <c r="AV198" i="17"/>
  <c r="GS192" i="17"/>
  <c r="HU192" i="17" s="1"/>
  <c r="AV39" i="17"/>
  <c r="C94" i="17"/>
  <c r="AV144" i="17"/>
  <c r="AV219" i="17"/>
  <c r="HG152" i="17"/>
  <c r="II152" i="17" s="1"/>
  <c r="GZ19" i="17"/>
  <c r="IB19" i="17" s="1"/>
  <c r="HD81" i="17"/>
  <c r="IF81" i="17" s="1"/>
  <c r="HL213" i="17"/>
  <c r="IN213" i="17" s="1"/>
  <c r="HP271" i="17"/>
  <c r="IR271" i="17" s="1"/>
  <c r="HL283" i="17"/>
  <c r="IN283" i="17" s="1"/>
  <c r="HG283" i="17"/>
  <c r="II283" i="17" s="1"/>
  <c r="HG299" i="17"/>
  <c r="II299" i="17" s="1"/>
  <c r="GS299" i="17"/>
  <c r="HU299" i="17" s="1"/>
  <c r="HI299" i="17"/>
  <c r="IK299" i="17" s="1"/>
  <c r="GY299" i="17"/>
  <c r="IA299" i="17" s="1"/>
  <c r="GV299" i="17"/>
  <c r="HX299" i="17" s="1"/>
  <c r="HC299" i="17"/>
  <c r="IE299" i="17" s="1"/>
  <c r="HN299" i="17"/>
  <c r="IP299" i="17" s="1"/>
  <c r="GW299" i="17"/>
  <c r="HY299" i="17" s="1"/>
  <c r="HQ299" i="17"/>
  <c r="IS299" i="17" s="1"/>
  <c r="HR299" i="17"/>
  <c r="IT299" i="17" s="1"/>
  <c r="HH299" i="17"/>
  <c r="IJ299" i="17" s="1"/>
  <c r="GU299" i="17"/>
  <c r="HW299" i="17" s="1"/>
  <c r="HJ299" i="17"/>
  <c r="IL299" i="17" s="1"/>
  <c r="GX299" i="17"/>
  <c r="HZ299" i="17" s="1"/>
  <c r="HA299" i="17"/>
  <c r="IC299" i="17" s="1"/>
  <c r="HP299" i="17"/>
  <c r="IR299" i="17" s="1"/>
  <c r="HK299" i="17"/>
  <c r="IM299" i="17" s="1"/>
  <c r="GR299" i="17"/>
  <c r="HT299" i="17" s="1"/>
  <c r="HD299" i="17"/>
  <c r="IF299" i="17" s="1"/>
  <c r="HL299" i="17"/>
  <c r="IN299" i="17" s="1"/>
  <c r="HO299" i="17"/>
  <c r="IQ299" i="17" s="1"/>
  <c r="HE299" i="17"/>
  <c r="IG299" i="17" s="1"/>
  <c r="GZ299" i="17"/>
  <c r="IB299" i="17" s="1"/>
  <c r="HB299" i="17"/>
  <c r="ID299" i="17" s="1"/>
  <c r="GW18" i="17"/>
  <c r="HY18" i="17" s="1"/>
  <c r="HA18" i="17"/>
  <c r="IC18" i="17" s="1"/>
  <c r="HI18" i="17"/>
  <c r="IK18" i="17" s="1"/>
  <c r="HO18" i="17"/>
  <c r="IQ18" i="17" s="1"/>
  <c r="HM18" i="17"/>
  <c r="IO18" i="17" s="1"/>
  <c r="HC18" i="17"/>
  <c r="IE18" i="17" s="1"/>
  <c r="HF18" i="17"/>
  <c r="IH18" i="17" s="1"/>
  <c r="HP18" i="17"/>
  <c r="IR18" i="17" s="1"/>
  <c r="GR18" i="17"/>
  <c r="HT18" i="17" s="1"/>
  <c r="HD18" i="17"/>
  <c r="IF18" i="17" s="1"/>
  <c r="HG18" i="17"/>
  <c r="II18" i="17" s="1"/>
  <c r="HR18" i="17"/>
  <c r="IT18" i="17" s="1"/>
  <c r="GV18" i="17"/>
  <c r="HX18" i="17" s="1"/>
  <c r="HH18" i="17"/>
  <c r="IJ18" i="17" s="1"/>
  <c r="HK18" i="17"/>
  <c r="IM18" i="17" s="1"/>
  <c r="GS18" i="17"/>
  <c r="HU18" i="17" s="1"/>
  <c r="HL18" i="17"/>
  <c r="IN18" i="17" s="1"/>
  <c r="GY18" i="17"/>
  <c r="IA18" i="17" s="1"/>
  <c r="HB18" i="17"/>
  <c r="ID18" i="17" s="1"/>
  <c r="GZ18" i="17"/>
  <c r="IB18" i="17" s="1"/>
  <c r="HE18" i="17"/>
  <c r="IG18" i="17" s="1"/>
  <c r="HQ18" i="17"/>
  <c r="IS18" i="17" s="1"/>
  <c r="HJ18" i="17"/>
  <c r="IL18" i="17" s="1"/>
  <c r="GT18" i="17"/>
  <c r="HV18" i="17" s="1"/>
  <c r="GX18" i="17"/>
  <c r="HZ18" i="17" s="1"/>
  <c r="HN18" i="17"/>
  <c r="IP18" i="17" s="1"/>
  <c r="GU18" i="17"/>
  <c r="HW18" i="17" s="1"/>
  <c r="HG215" i="17"/>
  <c r="II215" i="17" s="1"/>
  <c r="GS215" i="17"/>
  <c r="HU215" i="17" s="1"/>
  <c r="GR215" i="17"/>
  <c r="HT215" i="17" s="1"/>
  <c r="HK215" i="17"/>
  <c r="IM215" i="17" s="1"/>
  <c r="HH215" i="17"/>
  <c r="IJ215" i="17" s="1"/>
  <c r="GV215" i="17"/>
  <c r="HX215" i="17" s="1"/>
  <c r="HF215" i="17"/>
  <c r="IH215" i="17" s="1"/>
  <c r="GW215" i="17"/>
  <c r="HY215" i="17" s="1"/>
  <c r="HR215" i="17"/>
  <c r="IT215" i="17" s="1"/>
  <c r="HD215" i="17"/>
  <c r="IF215" i="17" s="1"/>
  <c r="HI215" i="17"/>
  <c r="IK215" i="17" s="1"/>
  <c r="GT215" i="17"/>
  <c r="HV215" i="17" s="1"/>
  <c r="GX215" i="17"/>
  <c r="HZ215" i="17" s="1"/>
  <c r="HJ215" i="17"/>
  <c r="IL215" i="17" s="1"/>
  <c r="HM215" i="17"/>
  <c r="IO215" i="17" s="1"/>
  <c r="GY215" i="17"/>
  <c r="IA215" i="17" s="1"/>
  <c r="HN215" i="17"/>
  <c r="IP215" i="17" s="1"/>
  <c r="HC215" i="17"/>
  <c r="IE215" i="17" s="1"/>
  <c r="HB215" i="17"/>
  <c r="ID215" i="17" s="1"/>
  <c r="HE215" i="17"/>
  <c r="IG215" i="17" s="1"/>
  <c r="GU215" i="17"/>
  <c r="HW215" i="17" s="1"/>
  <c r="HP215" i="17"/>
  <c r="IR215" i="17" s="1"/>
  <c r="HA215" i="17"/>
  <c r="IC215" i="17" s="1"/>
  <c r="GZ215" i="17"/>
  <c r="IB215" i="17" s="1"/>
  <c r="HO215" i="17"/>
  <c r="IQ215" i="17" s="1"/>
  <c r="HL215" i="17"/>
  <c r="IN215" i="17" s="1"/>
  <c r="HQ215" i="17"/>
  <c r="IS215" i="17" s="1"/>
  <c r="GZ100" i="17"/>
  <c r="IB100" i="17" s="1"/>
  <c r="HO100" i="17"/>
  <c r="IQ100" i="17" s="1"/>
  <c r="HB100" i="17"/>
  <c r="ID100" i="17" s="1"/>
  <c r="HL100" i="17"/>
  <c r="IN100" i="17" s="1"/>
  <c r="HJ100" i="17"/>
  <c r="IL100" i="17" s="1"/>
  <c r="GW100" i="17"/>
  <c r="HY100" i="17" s="1"/>
  <c r="HR100" i="17"/>
  <c r="IT100" i="17" s="1"/>
  <c r="GV100" i="17"/>
  <c r="HX100" i="17" s="1"/>
  <c r="HA100" i="17"/>
  <c r="IC100" i="17" s="1"/>
  <c r="HE100" i="17"/>
  <c r="IG100" i="17" s="1"/>
  <c r="HH100" i="17"/>
  <c r="IJ100" i="17" s="1"/>
  <c r="GR100" i="17"/>
  <c r="HT100" i="17" s="1"/>
  <c r="HG100" i="17"/>
  <c r="II100" i="17" s="1"/>
  <c r="GY100" i="17"/>
  <c r="IA100" i="17" s="1"/>
  <c r="GT100" i="17"/>
  <c r="HV100" i="17" s="1"/>
  <c r="HP100" i="17"/>
  <c r="IR100" i="17" s="1"/>
  <c r="HI100" i="17"/>
  <c r="IK100" i="17" s="1"/>
  <c r="GU100" i="17"/>
  <c r="HW100" i="17" s="1"/>
  <c r="HC100" i="17"/>
  <c r="IE100" i="17" s="1"/>
  <c r="HK100" i="17"/>
  <c r="IM100" i="17" s="1"/>
  <c r="HF100" i="17"/>
  <c r="IH100" i="17" s="1"/>
  <c r="HD100" i="17"/>
  <c r="IF100" i="17" s="1"/>
  <c r="GS100" i="17"/>
  <c r="HU100" i="17" s="1"/>
  <c r="GX100" i="17"/>
  <c r="HZ100" i="17" s="1"/>
  <c r="HQ100" i="17"/>
  <c r="IS100" i="17" s="1"/>
  <c r="HN100" i="17"/>
  <c r="IP100" i="17" s="1"/>
  <c r="HM100" i="17"/>
  <c r="IO100" i="17" s="1"/>
  <c r="C118" i="17"/>
  <c r="GS120" i="17"/>
  <c r="HU120" i="17" s="1"/>
  <c r="HD120" i="17"/>
  <c r="IF120" i="17" s="1"/>
  <c r="HE120" i="17"/>
  <c r="IG120" i="17" s="1"/>
  <c r="HL120" i="17"/>
  <c r="IN120" i="17" s="1"/>
  <c r="HA120" i="17"/>
  <c r="IC120" i="17" s="1"/>
  <c r="GY120" i="17"/>
  <c r="IA120" i="17" s="1"/>
  <c r="HF120" i="17"/>
  <c r="IH120" i="17" s="1"/>
  <c r="HI120" i="17"/>
  <c r="IK120" i="17" s="1"/>
  <c r="HO120" i="17"/>
  <c r="IQ120" i="17" s="1"/>
  <c r="GR120" i="17"/>
  <c r="HT120" i="17" s="1"/>
  <c r="HN120" i="17"/>
  <c r="IP120" i="17" s="1"/>
  <c r="HQ120" i="17"/>
  <c r="IS120" i="17" s="1"/>
  <c r="GT120" i="17"/>
  <c r="HV120" i="17" s="1"/>
  <c r="GW120" i="17"/>
  <c r="HY120" i="17" s="1"/>
  <c r="HG120" i="17"/>
  <c r="II120" i="17" s="1"/>
  <c r="HM120" i="17"/>
  <c r="IO120" i="17" s="1"/>
  <c r="HP120" i="17"/>
  <c r="IR120" i="17" s="1"/>
  <c r="HK120" i="17"/>
  <c r="IM120" i="17" s="1"/>
  <c r="GV120" i="17"/>
  <c r="HX120" i="17" s="1"/>
  <c r="HH120" i="17"/>
  <c r="IJ120" i="17" s="1"/>
  <c r="GX120" i="17"/>
  <c r="HZ120" i="17" s="1"/>
  <c r="GZ120" i="17"/>
  <c r="IB120" i="17" s="1"/>
  <c r="HJ120" i="17"/>
  <c r="IL120" i="17" s="1"/>
  <c r="HB120" i="17"/>
  <c r="ID120" i="17" s="1"/>
  <c r="HR120" i="17"/>
  <c r="IT120" i="17" s="1"/>
  <c r="GU120" i="17"/>
  <c r="HW120" i="17" s="1"/>
  <c r="HC120" i="17"/>
  <c r="IE120" i="17" s="1"/>
  <c r="GY241" i="17"/>
  <c r="IA241" i="17" s="1"/>
  <c r="GW241" i="17"/>
  <c r="HY241" i="17" s="1"/>
  <c r="HH241" i="17"/>
  <c r="IJ241" i="17" s="1"/>
  <c r="HG241" i="17"/>
  <c r="II241" i="17" s="1"/>
  <c r="HR241" i="17"/>
  <c r="IT241" i="17" s="1"/>
  <c r="HE241" i="17"/>
  <c r="IG241" i="17" s="1"/>
  <c r="HO241" i="17"/>
  <c r="IQ241" i="17" s="1"/>
  <c r="HI241" i="17"/>
  <c r="IK241" i="17" s="1"/>
  <c r="HA241" i="17"/>
  <c r="IC241" i="17" s="1"/>
  <c r="GS241" i="17"/>
  <c r="HU241" i="17" s="1"/>
  <c r="GX241" i="17"/>
  <c r="HZ241" i="17" s="1"/>
  <c r="GT241" i="17"/>
  <c r="HV241" i="17" s="1"/>
  <c r="HN241" i="17"/>
  <c r="IP241" i="17" s="1"/>
  <c r="HP241" i="17"/>
  <c r="IR241" i="17" s="1"/>
  <c r="GZ241" i="17"/>
  <c r="IB241" i="17" s="1"/>
  <c r="GU241" i="17"/>
  <c r="HW241" i="17" s="1"/>
  <c r="HD241" i="17"/>
  <c r="IF241" i="17" s="1"/>
  <c r="HQ241" i="17"/>
  <c r="IS241" i="17" s="1"/>
  <c r="HB241" i="17"/>
  <c r="ID241" i="17" s="1"/>
  <c r="HC241" i="17"/>
  <c r="IE241" i="17" s="1"/>
  <c r="HK13" i="17"/>
  <c r="IM13" i="17" s="1"/>
  <c r="HQ13" i="17"/>
  <c r="IS13" i="17" s="1"/>
  <c r="GX13" i="17"/>
  <c r="HZ13" i="17" s="1"/>
  <c r="HE13" i="17"/>
  <c r="IG13" i="17" s="1"/>
  <c r="HA13" i="17"/>
  <c r="IC13" i="17" s="1"/>
  <c r="HJ13" i="17"/>
  <c r="IL13" i="17" s="1"/>
  <c r="GU13" i="17"/>
  <c r="HW13" i="17" s="1"/>
  <c r="HR13" i="17"/>
  <c r="IT13" i="17" s="1"/>
  <c r="HP13" i="17"/>
  <c r="IR13" i="17" s="1"/>
  <c r="GR13" i="17"/>
  <c r="HT13" i="17" s="1"/>
  <c r="HG13" i="17"/>
  <c r="II13" i="17" s="1"/>
  <c r="GV13" i="17"/>
  <c r="HX13" i="17" s="1"/>
  <c r="GS13" i="17"/>
  <c r="HU13" i="17" s="1"/>
  <c r="GZ13" i="17"/>
  <c r="IB13" i="17" s="1"/>
  <c r="HF13" i="17"/>
  <c r="IH13" i="17" s="1"/>
  <c r="GT13" i="17"/>
  <c r="HV13" i="17" s="1"/>
  <c r="GY13" i="17"/>
  <c r="IA13" i="17" s="1"/>
  <c r="HL13" i="17"/>
  <c r="IN13" i="17" s="1"/>
  <c r="HD13" i="17"/>
  <c r="IF13" i="17" s="1"/>
  <c r="HC13" i="17"/>
  <c r="IE13" i="17" s="1"/>
  <c r="HB13" i="17"/>
  <c r="ID13" i="17" s="1"/>
  <c r="HN13" i="17"/>
  <c r="IP13" i="17" s="1"/>
  <c r="HM13" i="17"/>
  <c r="IO13" i="17" s="1"/>
  <c r="HH13" i="17"/>
  <c r="IJ13" i="17" s="1"/>
  <c r="HI13" i="17"/>
  <c r="IK13" i="17" s="1"/>
  <c r="HO13" i="17"/>
  <c r="IQ13" i="17" s="1"/>
  <c r="GW13" i="17"/>
  <c r="HY13" i="17" s="1"/>
  <c r="HD134" i="17"/>
  <c r="IF134" i="17" s="1"/>
  <c r="HH134" i="17"/>
  <c r="IJ134" i="17" s="1"/>
  <c r="HM134" i="17"/>
  <c r="IO134" i="17" s="1"/>
  <c r="HQ134" i="17"/>
  <c r="IS134" i="17" s="1"/>
  <c r="HI134" i="17"/>
  <c r="IK134" i="17" s="1"/>
  <c r="HE134" i="17"/>
  <c r="IG134" i="17" s="1"/>
  <c r="GV134" i="17"/>
  <c r="HX134" i="17" s="1"/>
  <c r="HA134" i="17"/>
  <c r="IC134" i="17" s="1"/>
  <c r="HN134" i="17"/>
  <c r="IP134" i="17" s="1"/>
  <c r="HR134" i="17"/>
  <c r="IT134" i="17" s="1"/>
  <c r="GW134" i="17"/>
  <c r="HY134" i="17" s="1"/>
  <c r="HJ134" i="17"/>
  <c r="IL134" i="17" s="1"/>
  <c r="HK134" i="17"/>
  <c r="IM134" i="17" s="1"/>
  <c r="GT134" i="17"/>
  <c r="HV134" i="17" s="1"/>
  <c r="GS134" i="17"/>
  <c r="HU134" i="17" s="1"/>
  <c r="GR134" i="17"/>
  <c r="HT134" i="17" s="1"/>
  <c r="HC134" i="17"/>
  <c r="IE134" i="17" s="1"/>
  <c r="HB134" i="17"/>
  <c r="ID134" i="17" s="1"/>
  <c r="HL134" i="17"/>
  <c r="IN134" i="17" s="1"/>
  <c r="HG134" i="17"/>
  <c r="II134" i="17" s="1"/>
  <c r="HP134" i="17"/>
  <c r="IR134" i="17" s="1"/>
  <c r="GY134" i="17"/>
  <c r="IA134" i="17" s="1"/>
  <c r="GZ134" i="17"/>
  <c r="IB134" i="17" s="1"/>
  <c r="GX134" i="17"/>
  <c r="HZ134" i="17" s="1"/>
  <c r="GU134" i="17"/>
  <c r="HW134" i="17" s="1"/>
  <c r="HF134" i="17"/>
  <c r="IH134" i="17" s="1"/>
  <c r="HO134" i="17"/>
  <c r="IQ134" i="17" s="1"/>
  <c r="HA151" i="17"/>
  <c r="IC151" i="17" s="1"/>
  <c r="HE151" i="17"/>
  <c r="IG151" i="17" s="1"/>
  <c r="HG151" i="17"/>
  <c r="II151" i="17" s="1"/>
  <c r="HD151" i="17"/>
  <c r="IF151" i="17" s="1"/>
  <c r="GS151" i="17"/>
  <c r="HU151" i="17" s="1"/>
  <c r="HB151" i="17"/>
  <c r="ID151" i="17" s="1"/>
  <c r="HL151" i="17"/>
  <c r="IN151" i="17" s="1"/>
  <c r="GX151" i="17"/>
  <c r="HZ151" i="17" s="1"/>
  <c r="GZ151" i="17"/>
  <c r="IB151" i="17" s="1"/>
  <c r="HH151" i="17"/>
  <c r="IJ151" i="17" s="1"/>
  <c r="HR151" i="17"/>
  <c r="IT151" i="17" s="1"/>
  <c r="AV334" i="17"/>
  <c r="GU151" i="17"/>
  <c r="HW151" i="17" s="1"/>
  <c r="GS156" i="17"/>
  <c r="HU156" i="17" s="1"/>
  <c r="HE156" i="17"/>
  <c r="IG156" i="17" s="1"/>
  <c r="HP156" i="17"/>
  <c r="IR156" i="17" s="1"/>
  <c r="GU156" i="17"/>
  <c r="HW156" i="17" s="1"/>
  <c r="GY156" i="17"/>
  <c r="IA156" i="17" s="1"/>
  <c r="HM156" i="17"/>
  <c r="IO156" i="17" s="1"/>
  <c r="HQ156" i="17"/>
  <c r="IS156" i="17" s="1"/>
  <c r="HK156" i="17"/>
  <c r="IM156" i="17" s="1"/>
  <c r="HC156" i="17"/>
  <c r="IE156" i="17" s="1"/>
  <c r="HG156" i="17"/>
  <c r="II156" i="17" s="1"/>
  <c r="GT156" i="17"/>
  <c r="HV156" i="17" s="1"/>
  <c r="GZ156" i="17"/>
  <c r="IB156" i="17" s="1"/>
  <c r="HJ156" i="17"/>
  <c r="IL156" i="17" s="1"/>
  <c r="GX156" i="17"/>
  <c r="HZ156" i="17" s="1"/>
  <c r="HR156" i="17"/>
  <c r="IT156" i="17" s="1"/>
  <c r="HD156" i="17"/>
  <c r="IF156" i="17" s="1"/>
  <c r="HB156" i="17"/>
  <c r="ID156" i="17" s="1"/>
  <c r="HL156" i="17"/>
  <c r="IN156" i="17" s="1"/>
  <c r="HA156" i="17"/>
  <c r="IC156" i="17" s="1"/>
  <c r="GW156" i="17"/>
  <c r="HY156" i="17" s="1"/>
  <c r="GV156" i="17"/>
  <c r="HX156" i="17" s="1"/>
  <c r="HF156" i="17"/>
  <c r="IH156" i="17" s="1"/>
  <c r="HN156" i="17"/>
  <c r="IP156" i="17" s="1"/>
  <c r="HI156" i="17"/>
  <c r="IK156" i="17" s="1"/>
  <c r="GR156" i="17"/>
  <c r="HT156" i="17" s="1"/>
  <c r="HH156" i="17"/>
  <c r="IJ156" i="17" s="1"/>
  <c r="HO156" i="17"/>
  <c r="IQ156" i="17" s="1"/>
  <c r="HM283" i="17"/>
  <c r="IO283" i="17" s="1"/>
  <c r="GT271" i="17"/>
  <c r="HV271" i="17" s="1"/>
  <c r="HA102" i="17"/>
  <c r="IC102" i="17" s="1"/>
  <c r="HR102" i="17"/>
  <c r="IT102" i="17" s="1"/>
  <c r="GY102" i="17"/>
  <c r="IA102" i="17" s="1"/>
  <c r="HL102" i="17"/>
  <c r="IN102" i="17" s="1"/>
  <c r="HG102" i="17"/>
  <c r="II102" i="17" s="1"/>
  <c r="HN102" i="17"/>
  <c r="IP102" i="17" s="1"/>
  <c r="HI102" i="17"/>
  <c r="IK102" i="17" s="1"/>
  <c r="HE102" i="17"/>
  <c r="IG102" i="17" s="1"/>
  <c r="HJ102" i="17"/>
  <c r="IL102" i="17" s="1"/>
  <c r="HM102" i="17"/>
  <c r="IO102" i="17" s="1"/>
  <c r="HQ102" i="17"/>
  <c r="IS102" i="17" s="1"/>
  <c r="HK102" i="17"/>
  <c r="IM102" i="17" s="1"/>
  <c r="GV102" i="17"/>
  <c r="HX102" i="17" s="1"/>
  <c r="HC102" i="17"/>
  <c r="IE102" i="17" s="1"/>
  <c r="HD102" i="17"/>
  <c r="IF102" i="17" s="1"/>
  <c r="GT102" i="17"/>
  <c r="HV102" i="17" s="1"/>
  <c r="GU102" i="17"/>
  <c r="HW102" i="17" s="1"/>
  <c r="HO102" i="17"/>
  <c r="IQ102" i="17" s="1"/>
  <c r="HF102" i="17"/>
  <c r="IH102" i="17" s="1"/>
  <c r="HP102" i="17"/>
  <c r="IR102" i="17" s="1"/>
  <c r="HD271" i="17"/>
  <c r="IF271" i="17" s="1"/>
  <c r="AV269" i="17"/>
  <c r="AV107" i="17"/>
  <c r="C59" i="17"/>
  <c r="GV271" i="17"/>
  <c r="HX271" i="17" s="1"/>
  <c r="HJ285" i="17"/>
  <c r="IL285" i="17" s="1"/>
  <c r="HO285" i="17"/>
  <c r="IQ285" i="17" s="1"/>
  <c r="GZ285" i="17"/>
  <c r="IB285" i="17" s="1"/>
  <c r="HA285" i="17"/>
  <c r="IC285" i="17" s="1"/>
  <c r="HK285" i="17"/>
  <c r="IM285" i="17" s="1"/>
  <c r="GU285" i="17"/>
  <c r="HW285" i="17" s="1"/>
  <c r="HH285" i="17"/>
  <c r="IJ285" i="17" s="1"/>
  <c r="HF285" i="17"/>
  <c r="IH285" i="17" s="1"/>
  <c r="HP285" i="17"/>
  <c r="IR285" i="17" s="1"/>
  <c r="HB285" i="17"/>
  <c r="ID285" i="17" s="1"/>
  <c r="HQ285" i="17"/>
  <c r="IS285" i="17" s="1"/>
  <c r="GT285" i="17"/>
  <c r="HV285" i="17" s="1"/>
  <c r="HE285" i="17"/>
  <c r="IG285" i="17" s="1"/>
  <c r="GX285" i="17"/>
  <c r="HZ285" i="17" s="1"/>
  <c r="HG285" i="17"/>
  <c r="II285" i="17" s="1"/>
  <c r="GV285" i="17"/>
  <c r="HX285" i="17" s="1"/>
  <c r="HI285" i="17"/>
  <c r="IK285" i="17" s="1"/>
  <c r="HD285" i="17"/>
  <c r="IF285" i="17" s="1"/>
  <c r="GY285" i="17"/>
  <c r="IA285" i="17" s="1"/>
  <c r="HL285" i="17"/>
  <c r="IN285" i="17" s="1"/>
  <c r="GR285" i="17"/>
  <c r="HT285" i="17" s="1"/>
  <c r="HM285" i="17"/>
  <c r="IO285" i="17" s="1"/>
  <c r="GW285" i="17"/>
  <c r="HY285" i="17" s="1"/>
  <c r="GS285" i="17"/>
  <c r="HU285" i="17" s="1"/>
  <c r="HN285" i="17"/>
  <c r="IP285" i="17" s="1"/>
  <c r="HC285" i="17"/>
  <c r="IE285" i="17" s="1"/>
  <c r="HR285" i="17"/>
  <c r="IT285" i="17" s="1"/>
  <c r="HF70" i="17"/>
  <c r="IH70" i="17" s="1"/>
  <c r="C244" i="17"/>
  <c r="AV45" i="17"/>
  <c r="C67" i="17"/>
  <c r="AV124" i="17"/>
  <c r="AV182" i="17"/>
  <c r="C231" i="17"/>
  <c r="AV98" i="17"/>
  <c r="C223" i="17"/>
  <c r="AV313" i="17"/>
  <c r="GV253" i="17"/>
  <c r="HX253" i="17" s="1"/>
  <c r="HE152" i="17"/>
  <c r="IG152" i="17" s="1"/>
  <c r="HA19" i="17"/>
  <c r="IC19" i="17" s="1"/>
  <c r="HA81" i="17"/>
  <c r="IC81" i="17" s="1"/>
  <c r="GX213" i="17"/>
  <c r="HZ213" i="17" s="1"/>
  <c r="HB271" i="17"/>
  <c r="ID271" i="17" s="1"/>
  <c r="GY151" i="17"/>
  <c r="IA151" i="17" s="1"/>
  <c r="HH283" i="17"/>
  <c r="IJ283" i="17" s="1"/>
  <c r="HM76" i="17"/>
  <c r="IO76" i="17" s="1"/>
  <c r="GY76" i="17"/>
  <c r="IA76" i="17" s="1"/>
  <c r="HI76" i="17"/>
  <c r="IK76" i="17" s="1"/>
  <c r="HC76" i="17"/>
  <c r="IE76" i="17" s="1"/>
  <c r="HK76" i="17"/>
  <c r="IM76" i="17" s="1"/>
  <c r="GX76" i="17"/>
  <c r="HZ76" i="17" s="1"/>
  <c r="HL76" i="17"/>
  <c r="IN76" i="17" s="1"/>
  <c r="HN76" i="17"/>
  <c r="IP76" i="17" s="1"/>
  <c r="GR76" i="17"/>
  <c r="HT76" i="17" s="1"/>
  <c r="HA76" i="17"/>
  <c r="IC76" i="17" s="1"/>
  <c r="GW76" i="17"/>
  <c r="HY76" i="17" s="1"/>
  <c r="HQ76" i="17"/>
  <c r="IS76" i="17" s="1"/>
  <c r="HB76" i="17"/>
  <c r="ID76" i="17" s="1"/>
  <c r="GR223" i="17"/>
  <c r="HT223" i="17" s="1"/>
  <c r="GT223" i="17"/>
  <c r="HV223" i="17" s="1"/>
  <c r="GY223" i="17"/>
  <c r="IA223" i="17" s="1"/>
  <c r="HH223" i="17"/>
  <c r="IJ223" i="17" s="1"/>
  <c r="HR223" i="17"/>
  <c r="IT223" i="17" s="1"/>
  <c r="HD223" i="17"/>
  <c r="IF223" i="17" s="1"/>
  <c r="GS223" i="17"/>
  <c r="HU223" i="17" s="1"/>
  <c r="GV223" i="17"/>
  <c r="HX223" i="17" s="1"/>
  <c r="HK223" i="17"/>
  <c r="IM223" i="17" s="1"/>
  <c r="HJ223" i="17"/>
  <c r="IL223" i="17" s="1"/>
  <c r="HA223" i="17"/>
  <c r="IC223" i="17" s="1"/>
  <c r="GW223" i="17"/>
  <c r="HY223" i="17" s="1"/>
  <c r="HN223" i="17"/>
  <c r="IP223" i="17" s="1"/>
  <c r="HL223" i="17"/>
  <c r="IN223" i="17" s="1"/>
  <c r="GU45" i="17"/>
  <c r="HW45" i="17" s="1"/>
  <c r="GY45" i="17"/>
  <c r="IA45" i="17" s="1"/>
  <c r="HG45" i="17"/>
  <c r="II45" i="17" s="1"/>
  <c r="HM45" i="17"/>
  <c r="IO45" i="17" s="1"/>
  <c r="HI45" i="17"/>
  <c r="IK45" i="17" s="1"/>
  <c r="HQ45" i="17"/>
  <c r="IS45" i="17" s="1"/>
  <c r="GV45" i="17"/>
  <c r="HX45" i="17" s="1"/>
  <c r="HB45" i="17"/>
  <c r="ID45" i="17" s="1"/>
  <c r="GX45" i="17"/>
  <c r="HZ45" i="17" s="1"/>
  <c r="HJ45" i="17"/>
  <c r="IL45" i="17" s="1"/>
  <c r="HA45" i="17"/>
  <c r="IC45" i="17" s="1"/>
  <c r="GR45" i="17"/>
  <c r="HT45" i="17" s="1"/>
  <c r="HH45" i="17"/>
  <c r="IJ45" i="17" s="1"/>
  <c r="HN45" i="17"/>
  <c r="IP45" i="17" s="1"/>
  <c r="HK45" i="17"/>
  <c r="IM45" i="17" s="1"/>
  <c r="HD45" i="17"/>
  <c r="IF45" i="17" s="1"/>
  <c r="HF45" i="17"/>
  <c r="IH45" i="17" s="1"/>
  <c r="HP45" i="17"/>
  <c r="IR45" i="17" s="1"/>
  <c r="HR45" i="17"/>
  <c r="IT45" i="17" s="1"/>
  <c r="GZ45" i="17"/>
  <c r="IB45" i="17" s="1"/>
  <c r="GW45" i="17"/>
  <c r="HY45" i="17" s="1"/>
  <c r="HE45" i="17"/>
  <c r="IG45" i="17" s="1"/>
  <c r="GS45" i="17"/>
  <c r="HU45" i="17" s="1"/>
  <c r="HC45" i="17"/>
  <c r="IE45" i="17" s="1"/>
  <c r="HO45" i="17"/>
  <c r="IQ45" i="17" s="1"/>
  <c r="HL45" i="17"/>
  <c r="IN45" i="17" s="1"/>
  <c r="GT45" i="17"/>
  <c r="HV45" i="17" s="1"/>
  <c r="GS270" i="17"/>
  <c r="HU270" i="17" s="1"/>
  <c r="HL270" i="17"/>
  <c r="IN270" i="17" s="1"/>
  <c r="HH270" i="17"/>
  <c r="IJ270" i="17" s="1"/>
  <c r="GW270" i="17"/>
  <c r="HY270" i="17" s="1"/>
  <c r="GU270" i="17"/>
  <c r="HW270" i="17" s="1"/>
  <c r="GR270" i="17"/>
  <c r="HT270" i="17" s="1"/>
  <c r="GX270" i="17"/>
  <c r="HZ270" i="17" s="1"/>
  <c r="HQ270" i="17"/>
  <c r="IS270" i="17" s="1"/>
  <c r="HB270" i="17"/>
  <c r="ID270" i="17" s="1"/>
  <c r="HA270" i="17"/>
  <c r="IC270" i="17" s="1"/>
  <c r="GZ270" i="17"/>
  <c r="IB270" i="17" s="1"/>
  <c r="HC270" i="17"/>
  <c r="IE270" i="17" s="1"/>
  <c r="HJ270" i="17"/>
  <c r="IL270" i="17" s="1"/>
  <c r="HO270" i="17"/>
  <c r="IQ270" i="17" s="1"/>
  <c r="HG270" i="17"/>
  <c r="II270" i="17" s="1"/>
  <c r="HI270" i="17"/>
  <c r="IK270" i="17" s="1"/>
  <c r="HF270" i="17"/>
  <c r="IH270" i="17" s="1"/>
  <c r="GV270" i="17"/>
  <c r="HX270" i="17" s="1"/>
  <c r="HK270" i="17"/>
  <c r="IM270" i="17" s="1"/>
  <c r="GY270" i="17"/>
  <c r="IA270" i="17" s="1"/>
  <c r="HM270" i="17"/>
  <c r="IO270" i="17" s="1"/>
  <c r="HR270" i="17"/>
  <c r="IT270" i="17" s="1"/>
  <c r="HN270" i="17"/>
  <c r="IP270" i="17" s="1"/>
  <c r="HD270" i="17"/>
  <c r="IF270" i="17" s="1"/>
  <c r="HP270" i="17"/>
  <c r="IR270" i="17" s="1"/>
  <c r="GT270" i="17"/>
  <c r="HV270" i="17" s="1"/>
  <c r="HE270" i="17"/>
  <c r="IG270" i="17" s="1"/>
  <c r="HO283" i="17"/>
  <c r="IQ283" i="17" s="1"/>
  <c r="AV314" i="17"/>
  <c r="HH81" i="17"/>
  <c r="IJ81" i="17" s="1"/>
  <c r="HO271" i="17"/>
  <c r="IQ271" i="17" s="1"/>
  <c r="GR213" i="17"/>
  <c r="HT213" i="17" s="1"/>
  <c r="GT81" i="17"/>
  <c r="HV81" i="17" s="1"/>
  <c r="HA99" i="17"/>
  <c r="IC99" i="17" s="1"/>
  <c r="HH99" i="17"/>
  <c r="IJ99" i="17" s="1"/>
  <c r="HJ99" i="17"/>
  <c r="IL99" i="17" s="1"/>
  <c r="HB99" i="17"/>
  <c r="ID99" i="17" s="1"/>
  <c r="HQ99" i="17"/>
  <c r="IS99" i="17" s="1"/>
  <c r="GS99" i="17"/>
  <c r="HU99" i="17" s="1"/>
  <c r="HN99" i="17"/>
  <c r="IP99" i="17" s="1"/>
  <c r="HK99" i="17"/>
  <c r="IM99" i="17" s="1"/>
  <c r="GT99" i="17"/>
  <c r="HV99" i="17" s="1"/>
  <c r="HG99" i="17"/>
  <c r="II99" i="17" s="1"/>
  <c r="HP99" i="17"/>
  <c r="IR99" i="17" s="1"/>
  <c r="HL99" i="17"/>
  <c r="IN99" i="17" s="1"/>
  <c r="GV99" i="17"/>
  <c r="HX99" i="17" s="1"/>
  <c r="GY99" i="17"/>
  <c r="IA99" i="17" s="1"/>
  <c r="HD99" i="17"/>
  <c r="IF99" i="17" s="1"/>
  <c r="GZ99" i="17"/>
  <c r="IB99" i="17" s="1"/>
  <c r="HE99" i="17"/>
  <c r="IG99" i="17" s="1"/>
  <c r="GU99" i="17"/>
  <c r="HW99" i="17" s="1"/>
  <c r="HM99" i="17"/>
  <c r="IO99" i="17" s="1"/>
  <c r="HI99" i="17"/>
  <c r="IK99" i="17" s="1"/>
  <c r="HF99" i="17"/>
  <c r="IH99" i="17" s="1"/>
  <c r="HR99" i="17"/>
  <c r="IT99" i="17" s="1"/>
  <c r="HC99" i="17"/>
  <c r="IE99" i="17" s="1"/>
  <c r="GW99" i="17"/>
  <c r="HY99" i="17" s="1"/>
  <c r="HO99" i="17"/>
  <c r="IQ99" i="17" s="1"/>
  <c r="GX99" i="17"/>
  <c r="HZ99" i="17" s="1"/>
  <c r="GR99" i="17"/>
  <c r="HT99" i="17" s="1"/>
  <c r="HF283" i="17"/>
  <c r="IH283" i="17" s="1"/>
  <c r="AV87" i="17"/>
  <c r="C60" i="17"/>
  <c r="AV149" i="17"/>
  <c r="AV224" i="17"/>
  <c r="C61" i="17"/>
  <c r="HH253" i="17"/>
  <c r="IJ253" i="17" s="1"/>
  <c r="HG19" i="17"/>
  <c r="II19" i="17" s="1"/>
  <c r="GX81" i="17"/>
  <c r="HZ81" i="17" s="1"/>
  <c r="GW213" i="17"/>
  <c r="HY213" i="17" s="1"/>
  <c r="HM151" i="17"/>
  <c r="IO151" i="17" s="1"/>
  <c r="GS77" i="17"/>
  <c r="HU77" i="17" s="1"/>
  <c r="HA77" i="17"/>
  <c r="IC77" i="17" s="1"/>
  <c r="GU77" i="17"/>
  <c r="HW77" i="17" s="1"/>
  <c r="GX77" i="17"/>
  <c r="HZ77" i="17" s="1"/>
  <c r="GY77" i="17"/>
  <c r="IA77" i="17" s="1"/>
  <c r="GW77" i="17"/>
  <c r="HY77" i="17" s="1"/>
  <c r="HP77" i="17"/>
  <c r="IR77" i="17" s="1"/>
  <c r="HN77" i="17"/>
  <c r="IP77" i="17" s="1"/>
  <c r="HO77" i="17"/>
  <c r="IQ77" i="17" s="1"/>
  <c r="HG77" i="17"/>
  <c r="II77" i="17" s="1"/>
  <c r="HC77" i="17"/>
  <c r="IE77" i="17" s="1"/>
  <c r="HM77" i="17"/>
  <c r="IO77" i="17" s="1"/>
  <c r="GR77" i="17"/>
  <c r="HT77" i="17" s="1"/>
  <c r="HD77" i="17"/>
  <c r="IF77" i="17" s="1"/>
  <c r="GT77" i="17"/>
  <c r="HV77" i="17" s="1"/>
  <c r="GV77" i="17"/>
  <c r="HX77" i="17" s="1"/>
  <c r="HE77" i="17"/>
  <c r="IG77" i="17" s="1"/>
  <c r="HF77" i="17"/>
  <c r="IH77" i="17" s="1"/>
  <c r="HL77" i="17"/>
  <c r="IN77" i="17" s="1"/>
  <c r="HB77" i="17"/>
  <c r="ID77" i="17" s="1"/>
  <c r="HK77" i="17"/>
  <c r="IM77" i="17" s="1"/>
  <c r="GZ77" i="17"/>
  <c r="IB77" i="17" s="1"/>
  <c r="HH77" i="17"/>
  <c r="IJ77" i="17" s="1"/>
  <c r="HQ77" i="17"/>
  <c r="IS77" i="17" s="1"/>
  <c r="HI77" i="17"/>
  <c r="IK77" i="17" s="1"/>
  <c r="HJ77" i="17"/>
  <c r="IL77" i="17" s="1"/>
  <c r="HR77" i="17"/>
  <c r="IT77" i="17" s="1"/>
  <c r="AV209" i="17"/>
  <c r="C209" i="17"/>
  <c r="HF14" i="17"/>
  <c r="IH14" i="17" s="1"/>
  <c r="HM14" i="17"/>
  <c r="IO14" i="17" s="1"/>
  <c r="HC14" i="17"/>
  <c r="IE14" i="17" s="1"/>
  <c r="HK14" i="17"/>
  <c r="IM14" i="17" s="1"/>
  <c r="HP14" i="17"/>
  <c r="IR14" i="17" s="1"/>
  <c r="GR14" i="17"/>
  <c r="HT14" i="17" s="1"/>
  <c r="GY14" i="17"/>
  <c r="IA14" i="17" s="1"/>
  <c r="GW14" i="17"/>
  <c r="HY14" i="17" s="1"/>
  <c r="GZ14" i="17"/>
  <c r="IB14" i="17" s="1"/>
  <c r="HD14" i="17"/>
  <c r="IF14" i="17" s="1"/>
  <c r="HO14" i="17"/>
  <c r="IQ14" i="17" s="1"/>
  <c r="HQ14" i="17"/>
  <c r="IS14" i="17" s="1"/>
  <c r="GV14" i="17"/>
  <c r="HX14" i="17" s="1"/>
  <c r="HR14" i="17"/>
  <c r="IT14" i="17" s="1"/>
  <c r="HG14" i="17"/>
  <c r="II14" i="17" s="1"/>
  <c r="HB14" i="17"/>
  <c r="ID14" i="17" s="1"/>
  <c r="HJ14" i="17"/>
  <c r="IL14" i="17" s="1"/>
  <c r="GU14" i="17"/>
  <c r="HW14" i="17" s="1"/>
  <c r="GS14" i="17"/>
  <c r="HU14" i="17" s="1"/>
  <c r="GT14" i="17"/>
  <c r="HV14" i="17" s="1"/>
  <c r="HA14" i="17"/>
  <c r="IC14" i="17" s="1"/>
  <c r="GX14" i="17"/>
  <c r="HZ14" i="17" s="1"/>
  <c r="HL14" i="17"/>
  <c r="IN14" i="17" s="1"/>
  <c r="HN14" i="17"/>
  <c r="IP14" i="17" s="1"/>
  <c r="HI14" i="17"/>
  <c r="IK14" i="17" s="1"/>
  <c r="HE14" i="17"/>
  <c r="IG14" i="17" s="1"/>
  <c r="HH14" i="17"/>
  <c r="IJ14" i="17" s="1"/>
  <c r="HF194" i="17"/>
  <c r="IH194" i="17" s="1"/>
  <c r="HG194" i="17"/>
  <c r="II194" i="17" s="1"/>
  <c r="GX194" i="17"/>
  <c r="HZ194" i="17" s="1"/>
  <c r="HH194" i="17"/>
  <c r="IJ194" i="17" s="1"/>
  <c r="GT194" i="17"/>
  <c r="HV194" i="17" s="1"/>
  <c r="HQ194" i="17"/>
  <c r="IS194" i="17" s="1"/>
  <c r="HR194" i="17"/>
  <c r="IT194" i="17" s="1"/>
  <c r="HA194" i="17"/>
  <c r="IC194" i="17" s="1"/>
  <c r="GS194" i="17"/>
  <c r="HU194" i="17" s="1"/>
  <c r="GZ194" i="17"/>
  <c r="IB194" i="17" s="1"/>
  <c r="HE194" i="17"/>
  <c r="IG194" i="17" s="1"/>
  <c r="GU194" i="17"/>
  <c r="HW194" i="17" s="1"/>
  <c r="HO194" i="17"/>
  <c r="IQ194" i="17" s="1"/>
  <c r="HL194" i="17"/>
  <c r="IN194" i="17" s="1"/>
  <c r="HN194" i="17"/>
  <c r="IP194" i="17" s="1"/>
  <c r="GV194" i="17"/>
  <c r="HX194" i="17" s="1"/>
  <c r="HK194" i="17"/>
  <c r="IM194" i="17" s="1"/>
  <c r="HC194" i="17"/>
  <c r="IE194" i="17" s="1"/>
  <c r="HB194" i="17"/>
  <c r="ID194" i="17" s="1"/>
  <c r="HB153" i="17"/>
  <c r="ID153" i="17" s="1"/>
  <c r="HP153" i="17"/>
  <c r="IR153" i="17" s="1"/>
  <c r="HF153" i="17"/>
  <c r="IH153" i="17" s="1"/>
  <c r="GW153" i="17"/>
  <c r="HY153" i="17" s="1"/>
  <c r="HN153" i="17"/>
  <c r="IP153" i="17" s="1"/>
  <c r="GZ153" i="17"/>
  <c r="IB153" i="17" s="1"/>
  <c r="HL153" i="17"/>
  <c r="IN153" i="17" s="1"/>
  <c r="GS153" i="17"/>
  <c r="HU153" i="17" s="1"/>
  <c r="HK153" i="17"/>
  <c r="IM153" i="17" s="1"/>
  <c r="GR153" i="17"/>
  <c r="HT153" i="17" s="1"/>
  <c r="HC153" i="17"/>
  <c r="IE153" i="17" s="1"/>
  <c r="GX153" i="17"/>
  <c r="HZ153" i="17" s="1"/>
  <c r="GY153" i="17"/>
  <c r="IA153" i="17" s="1"/>
  <c r="HI153" i="17"/>
  <c r="IK153" i="17" s="1"/>
  <c r="GU153" i="17"/>
  <c r="HW153" i="17" s="1"/>
  <c r="HD153" i="17"/>
  <c r="IF153" i="17" s="1"/>
  <c r="HO153" i="17"/>
  <c r="IQ153" i="17" s="1"/>
  <c r="GV153" i="17"/>
  <c r="HX153" i="17" s="1"/>
  <c r="HR153" i="17"/>
  <c r="IT153" i="17" s="1"/>
  <c r="HH153" i="17"/>
  <c r="IJ153" i="17" s="1"/>
  <c r="HE153" i="17"/>
  <c r="IG153" i="17" s="1"/>
  <c r="GR83" i="17"/>
  <c r="HT83" i="17" s="1"/>
  <c r="GS83" i="17"/>
  <c r="HU83" i="17" s="1"/>
  <c r="HR83" i="17"/>
  <c r="IT83" i="17" s="1"/>
  <c r="HO83" i="17"/>
  <c r="IQ83" i="17" s="1"/>
  <c r="HJ83" i="17"/>
  <c r="IL83" i="17" s="1"/>
  <c r="HF83" i="17"/>
  <c r="IH83" i="17" s="1"/>
  <c r="GR283" i="17"/>
  <c r="HT283" i="17" s="1"/>
  <c r="GZ238" i="17"/>
  <c r="IB238" i="17" s="1"/>
  <c r="HK238" i="17"/>
  <c r="IM238" i="17" s="1"/>
  <c r="HJ238" i="17"/>
  <c r="IL238" i="17" s="1"/>
  <c r="HP238" i="17"/>
  <c r="IR238" i="17" s="1"/>
  <c r="HO238" i="17"/>
  <c r="IQ238" i="17" s="1"/>
  <c r="GW238" i="17"/>
  <c r="HY238" i="17" s="1"/>
  <c r="HH238" i="17"/>
  <c r="IJ238" i="17" s="1"/>
  <c r="GT238" i="17"/>
  <c r="HV238" i="17" s="1"/>
  <c r="HG238" i="17"/>
  <c r="II238" i="17" s="1"/>
  <c r="HB238" i="17"/>
  <c r="ID238" i="17" s="1"/>
  <c r="HI238" i="17"/>
  <c r="IK238" i="17" s="1"/>
  <c r="GR238" i="17"/>
  <c r="HT238" i="17" s="1"/>
  <c r="HA238" i="17"/>
  <c r="IC238" i="17" s="1"/>
  <c r="HL238" i="17"/>
  <c r="IN238" i="17" s="1"/>
  <c r="HC238" i="17"/>
  <c r="IE238" i="17" s="1"/>
  <c r="HR238" i="17"/>
  <c r="IT238" i="17" s="1"/>
  <c r="HF238" i="17"/>
  <c r="IH238" i="17" s="1"/>
  <c r="HM238" i="17"/>
  <c r="IO238" i="17" s="1"/>
  <c r="HE238" i="17"/>
  <c r="IG238" i="17" s="1"/>
  <c r="GU238" i="17"/>
  <c r="HW238" i="17" s="1"/>
  <c r="HN238" i="17"/>
  <c r="IP238" i="17" s="1"/>
  <c r="HD238" i="17"/>
  <c r="IF238" i="17" s="1"/>
  <c r="GS238" i="17"/>
  <c r="HU238" i="17" s="1"/>
  <c r="GX238" i="17"/>
  <c r="HZ238" i="17" s="1"/>
  <c r="GY238" i="17"/>
  <c r="IA238" i="17" s="1"/>
  <c r="HQ238" i="17"/>
  <c r="IS238" i="17" s="1"/>
  <c r="GV238" i="17"/>
  <c r="HX238" i="17" s="1"/>
  <c r="GS284" i="17"/>
  <c r="HU284" i="17" s="1"/>
  <c r="HD284" i="17"/>
  <c r="IF284" i="17" s="1"/>
  <c r="HK284" i="17"/>
  <c r="IM284" i="17" s="1"/>
  <c r="HL284" i="17"/>
  <c r="IN284" i="17" s="1"/>
  <c r="HJ284" i="17"/>
  <c r="IL284" i="17" s="1"/>
  <c r="GU284" i="17"/>
  <c r="HW284" i="17" s="1"/>
  <c r="GT284" i="17"/>
  <c r="HV284" i="17" s="1"/>
  <c r="GR284" i="17"/>
  <c r="HT284" i="17" s="1"/>
  <c r="GY284" i="17"/>
  <c r="IA284" i="17" s="1"/>
  <c r="HN284" i="17"/>
  <c r="IP284" i="17" s="1"/>
  <c r="HM284" i="17"/>
  <c r="IO284" i="17" s="1"/>
  <c r="HH284" i="17"/>
  <c r="IJ284" i="17" s="1"/>
  <c r="HG284" i="17"/>
  <c r="II284" i="17" s="1"/>
  <c r="HP284" i="17"/>
  <c r="IR284" i="17" s="1"/>
  <c r="GW284" i="17"/>
  <c r="HY284" i="17" s="1"/>
  <c r="GV284" i="17"/>
  <c r="HX284" i="17" s="1"/>
  <c r="HA284" i="17"/>
  <c r="IC284" i="17" s="1"/>
  <c r="GX284" i="17"/>
  <c r="HZ284" i="17" s="1"/>
  <c r="HR284" i="17"/>
  <c r="IT284" i="17" s="1"/>
  <c r="HI284" i="17"/>
  <c r="IK284" i="17" s="1"/>
  <c r="GZ284" i="17"/>
  <c r="IB284" i="17" s="1"/>
  <c r="HO284" i="17"/>
  <c r="IQ284" i="17" s="1"/>
  <c r="HQ284" i="17"/>
  <c r="IS284" i="17" s="1"/>
  <c r="HB284" i="17"/>
  <c r="ID284" i="17" s="1"/>
  <c r="HC284" i="17"/>
  <c r="IE284" i="17" s="1"/>
  <c r="HE284" i="17"/>
  <c r="IG284" i="17" s="1"/>
  <c r="HF284" i="17"/>
  <c r="IH284" i="17" s="1"/>
  <c r="GX271" i="17"/>
  <c r="HZ271" i="17" s="1"/>
  <c r="HK271" i="17"/>
  <c r="IM271" i="17" s="1"/>
  <c r="GY271" i="17"/>
  <c r="IA271" i="17" s="1"/>
  <c r="HR271" i="17"/>
  <c r="IT271" i="17" s="1"/>
  <c r="HN271" i="17"/>
  <c r="IP271" i="17" s="1"/>
  <c r="HA271" i="17"/>
  <c r="IC271" i="17" s="1"/>
  <c r="HI271" i="17"/>
  <c r="IK271" i="17" s="1"/>
  <c r="HQ271" i="17"/>
  <c r="IS271" i="17" s="1"/>
  <c r="HG271" i="17"/>
  <c r="II271" i="17" s="1"/>
  <c r="GR271" i="17"/>
  <c r="HT271" i="17" s="1"/>
  <c r="AV106" i="17"/>
  <c r="HK29" i="17"/>
  <c r="IM29" i="17" s="1"/>
  <c r="HI29" i="17"/>
  <c r="IK29" i="17" s="1"/>
  <c r="GW29" i="17"/>
  <c r="HY29" i="17" s="1"/>
  <c r="HL29" i="17"/>
  <c r="IN29" i="17" s="1"/>
  <c r="HA29" i="17"/>
  <c r="IC29" i="17" s="1"/>
  <c r="GY29" i="17"/>
  <c r="IA29" i="17" s="1"/>
  <c r="HO29" i="17"/>
  <c r="IQ29" i="17" s="1"/>
  <c r="GU29" i="17"/>
  <c r="HW29" i="17" s="1"/>
  <c r="HM29" i="17"/>
  <c r="IO29" i="17" s="1"/>
  <c r="HR29" i="17"/>
  <c r="IT29" i="17" s="1"/>
  <c r="GR29" i="17"/>
  <c r="HT29" i="17" s="1"/>
  <c r="HD29" i="17"/>
  <c r="IF29" i="17" s="1"/>
  <c r="GX29" i="17"/>
  <c r="HZ29" i="17" s="1"/>
  <c r="GS29" i="17"/>
  <c r="HU29" i="17" s="1"/>
  <c r="HE29" i="17"/>
  <c r="IG29" i="17" s="1"/>
  <c r="HN29" i="17"/>
  <c r="IP29" i="17" s="1"/>
  <c r="HC29" i="17"/>
  <c r="IE29" i="17" s="1"/>
  <c r="HQ29" i="17"/>
  <c r="IS29" i="17" s="1"/>
  <c r="HB29" i="17"/>
  <c r="ID29" i="17" s="1"/>
  <c r="GV29" i="17"/>
  <c r="HX29" i="17" s="1"/>
  <c r="HP152" i="17"/>
  <c r="IR152" i="17" s="1"/>
  <c r="GS152" i="17"/>
  <c r="HU152" i="17" s="1"/>
  <c r="HM152" i="17"/>
  <c r="IO152" i="17" s="1"/>
  <c r="GW152" i="17"/>
  <c r="HY152" i="17" s="1"/>
  <c r="GT152" i="17"/>
  <c r="HV152" i="17" s="1"/>
  <c r="HL152" i="17"/>
  <c r="IN152" i="17" s="1"/>
  <c r="GU152" i="17"/>
  <c r="HW152" i="17" s="1"/>
  <c r="HR152" i="17"/>
  <c r="IT152" i="17" s="1"/>
  <c r="GV152" i="17"/>
  <c r="HX152" i="17" s="1"/>
  <c r="HD152" i="17"/>
  <c r="IF152" i="17" s="1"/>
  <c r="HJ152" i="17"/>
  <c r="IL152" i="17" s="1"/>
  <c r="HN152" i="17"/>
  <c r="IP152" i="17" s="1"/>
  <c r="GX152" i="17"/>
  <c r="HZ152" i="17" s="1"/>
  <c r="HA152" i="17"/>
  <c r="IC152" i="17" s="1"/>
  <c r="GZ152" i="17"/>
  <c r="IB152" i="17" s="1"/>
  <c r="HH152" i="17"/>
  <c r="IJ152" i="17" s="1"/>
  <c r="HK152" i="17"/>
  <c r="IM152" i="17" s="1"/>
  <c r="HF152" i="17"/>
  <c r="IH152" i="17" s="1"/>
  <c r="HQ152" i="17"/>
  <c r="IS152" i="17" s="1"/>
  <c r="GY152" i="17"/>
  <c r="IA152" i="17" s="1"/>
  <c r="HF81" i="17"/>
  <c r="IH81" i="17" s="1"/>
  <c r="GZ81" i="17"/>
  <c r="IB81" i="17" s="1"/>
  <c r="AV103" i="17"/>
  <c r="HB102" i="17"/>
  <c r="ID102" i="17" s="1"/>
  <c r="GR4" i="17"/>
  <c r="HT4" i="17" s="1"/>
  <c r="GT4" i="17"/>
  <c r="HV4" i="17" s="1"/>
  <c r="HO4" i="17"/>
  <c r="IQ4" i="17" s="1"/>
  <c r="HD4" i="17"/>
  <c r="IF4" i="17" s="1"/>
  <c r="GW4" i="17"/>
  <c r="HY4" i="17" s="1"/>
  <c r="HN4" i="17"/>
  <c r="IP4" i="17" s="1"/>
  <c r="HF4" i="17"/>
  <c r="IH4" i="17" s="1"/>
  <c r="HM4" i="17"/>
  <c r="IO4" i="17" s="1"/>
  <c r="HQ4" i="17"/>
  <c r="IS4" i="17" s="1"/>
  <c r="HP4" i="17"/>
  <c r="IR4" i="17" s="1"/>
  <c r="HK4" i="17"/>
  <c r="IM4" i="17" s="1"/>
  <c r="HR4" i="17"/>
  <c r="IT4" i="17" s="1"/>
  <c r="HI4" i="17"/>
  <c r="IK4" i="17" s="1"/>
  <c r="HL4" i="17"/>
  <c r="IN4" i="17" s="1"/>
  <c r="GV4" i="17"/>
  <c r="HX4" i="17" s="1"/>
  <c r="GU4" i="17"/>
  <c r="HW4" i="17" s="1"/>
  <c r="GX4" i="17"/>
  <c r="HZ4" i="17" s="1"/>
  <c r="GY4" i="17"/>
  <c r="IA4" i="17" s="1"/>
  <c r="HG4" i="17"/>
  <c r="II4" i="17" s="1"/>
  <c r="HH4" i="17"/>
  <c r="IJ4" i="17" s="1"/>
  <c r="HB4" i="17"/>
  <c r="ID4" i="17" s="1"/>
  <c r="HC4" i="17"/>
  <c r="IE4" i="17" s="1"/>
  <c r="GS4" i="17"/>
  <c r="HU4" i="17" s="1"/>
  <c r="HJ4" i="17"/>
  <c r="IL4" i="17" s="1"/>
  <c r="HA4" i="17"/>
  <c r="IC4" i="17" s="1"/>
  <c r="GZ4" i="17"/>
  <c r="IB4" i="17" s="1"/>
  <c r="HE4" i="17"/>
  <c r="IG4" i="17" s="1"/>
  <c r="C28" i="17"/>
  <c r="HI152" i="17"/>
  <c r="IK152" i="17" s="1"/>
  <c r="HJ290" i="17"/>
  <c r="IL290" i="17" s="1"/>
  <c r="GR290" i="17"/>
  <c r="HT290" i="17" s="1"/>
  <c r="HB290" i="17"/>
  <c r="ID290" i="17" s="1"/>
  <c r="HF290" i="17"/>
  <c r="IH290" i="17" s="1"/>
  <c r="HP290" i="17"/>
  <c r="IR290" i="17" s="1"/>
  <c r="HL290" i="17"/>
  <c r="IN290" i="17" s="1"/>
  <c r="GW290" i="17"/>
  <c r="HY290" i="17" s="1"/>
  <c r="HK290" i="17"/>
  <c r="IM290" i="17" s="1"/>
  <c r="GX290" i="17"/>
  <c r="HZ290" i="17" s="1"/>
  <c r="HO290" i="17"/>
  <c r="IQ290" i="17" s="1"/>
  <c r="HA290" i="17"/>
  <c r="IC290" i="17" s="1"/>
  <c r="GS290" i="17"/>
  <c r="HU290" i="17" s="1"/>
  <c r="HR290" i="17"/>
  <c r="IT290" i="17" s="1"/>
  <c r="HN290" i="17"/>
  <c r="IP290" i="17" s="1"/>
  <c r="HE290" i="17"/>
  <c r="IG290" i="17" s="1"/>
  <c r="GV290" i="17"/>
  <c r="HX290" i="17" s="1"/>
  <c r="HI290" i="17"/>
  <c r="IK290" i="17" s="1"/>
  <c r="GU290" i="17"/>
  <c r="HW290" i="17" s="1"/>
  <c r="GT290" i="17"/>
  <c r="HV290" i="17" s="1"/>
  <c r="HC290" i="17"/>
  <c r="IE290" i="17" s="1"/>
  <c r="HG290" i="17"/>
  <c r="II290" i="17" s="1"/>
  <c r="GY290" i="17"/>
  <c r="IA290" i="17" s="1"/>
  <c r="HM290" i="17"/>
  <c r="IO290" i="17" s="1"/>
  <c r="HH290" i="17"/>
  <c r="IJ290" i="17" s="1"/>
  <c r="HQ290" i="17"/>
  <c r="IS290" i="17" s="1"/>
  <c r="GZ290" i="17"/>
  <c r="IB290" i="17" s="1"/>
  <c r="HD290" i="17"/>
  <c r="IF290" i="17" s="1"/>
  <c r="HA192" i="17"/>
  <c r="IC192" i="17" s="1"/>
  <c r="AV83" i="17"/>
  <c r="C311" i="17"/>
  <c r="C168" i="17"/>
  <c r="C166" i="17"/>
  <c r="C302" i="17"/>
  <c r="C229" i="17"/>
  <c r="C87" i="17"/>
  <c r="C148" i="17"/>
  <c r="C23" i="17"/>
  <c r="HN19" i="17"/>
  <c r="IP19" i="17" s="1"/>
  <c r="HG213" i="17"/>
  <c r="II213" i="17" s="1"/>
  <c r="HL271" i="17"/>
  <c r="IN271" i="17" s="1"/>
  <c r="GR151" i="17"/>
  <c r="HT151" i="17" s="1"/>
  <c r="HM82" i="17"/>
  <c r="IO82" i="17" s="1"/>
  <c r="HQ82" i="17"/>
  <c r="IS82" i="17" s="1"/>
  <c r="GX82" i="17"/>
  <c r="HZ82" i="17" s="1"/>
  <c r="GU82" i="17"/>
  <c r="HW82" i="17" s="1"/>
  <c r="HG82" i="17"/>
  <c r="II82" i="17" s="1"/>
  <c r="GV82" i="17"/>
  <c r="HX82" i="17" s="1"/>
  <c r="AV309" i="17"/>
  <c r="HB197" i="17"/>
  <c r="ID197" i="17" s="1"/>
  <c r="GU197" i="17"/>
  <c r="HW197" i="17" s="1"/>
  <c r="HI197" i="17"/>
  <c r="IK197" i="17" s="1"/>
  <c r="HN197" i="17"/>
  <c r="IP197" i="17" s="1"/>
  <c r="HJ197" i="17"/>
  <c r="IL197" i="17" s="1"/>
  <c r="GZ197" i="17"/>
  <c r="IB197" i="17" s="1"/>
  <c r="HH197" i="17"/>
  <c r="IJ197" i="17" s="1"/>
  <c r="HK197" i="17"/>
  <c r="IM197" i="17" s="1"/>
  <c r="HR197" i="17"/>
  <c r="IT197" i="17" s="1"/>
  <c r="HM197" i="17"/>
  <c r="IO197" i="17" s="1"/>
  <c r="HG197" i="17"/>
  <c r="II197" i="17" s="1"/>
  <c r="GS197" i="17"/>
  <c r="HU197" i="17" s="1"/>
  <c r="GR197" i="17"/>
  <c r="HT197" i="17" s="1"/>
  <c r="HD197" i="17"/>
  <c r="IF197" i="17" s="1"/>
  <c r="HE197" i="17"/>
  <c r="IG197" i="17" s="1"/>
  <c r="HP197" i="17"/>
  <c r="IR197" i="17" s="1"/>
  <c r="HA197" i="17"/>
  <c r="IC197" i="17" s="1"/>
  <c r="HF197" i="17"/>
  <c r="IH197" i="17" s="1"/>
  <c r="HL197" i="17"/>
  <c r="IN197" i="17" s="1"/>
  <c r="GT197" i="17"/>
  <c r="HV197" i="17" s="1"/>
  <c r="HC197" i="17"/>
  <c r="IE197" i="17" s="1"/>
  <c r="GV197" i="17"/>
  <c r="HX197" i="17" s="1"/>
  <c r="HQ197" i="17"/>
  <c r="IS197" i="17" s="1"/>
  <c r="GW197" i="17"/>
  <c r="HY197" i="17" s="1"/>
  <c r="HO197" i="17"/>
  <c r="IQ197" i="17" s="1"/>
  <c r="GY197" i="17"/>
  <c r="IA197" i="17" s="1"/>
  <c r="GX197" i="17"/>
  <c r="HZ197" i="17" s="1"/>
  <c r="AV34" i="17"/>
  <c r="HP51" i="17"/>
  <c r="IR51" i="17" s="1"/>
  <c r="HK51" i="17"/>
  <c r="IM51" i="17" s="1"/>
  <c r="HN51" i="17"/>
  <c r="IP51" i="17" s="1"/>
  <c r="HI51" i="17"/>
  <c r="IK51" i="17" s="1"/>
  <c r="GW51" i="17"/>
  <c r="HY51" i="17" s="1"/>
  <c r="HJ51" i="17"/>
  <c r="IL51" i="17" s="1"/>
  <c r="HO51" i="17"/>
  <c r="IQ51" i="17" s="1"/>
  <c r="HQ51" i="17"/>
  <c r="IS51" i="17" s="1"/>
  <c r="HF51" i="17"/>
  <c r="IH51" i="17" s="1"/>
  <c r="GY51" i="17"/>
  <c r="IA51" i="17" s="1"/>
  <c r="HR51" i="17"/>
  <c r="IT51" i="17" s="1"/>
  <c r="GZ51" i="17"/>
  <c r="IB51" i="17" s="1"/>
  <c r="HD51" i="17"/>
  <c r="IF51" i="17" s="1"/>
  <c r="GT51" i="17"/>
  <c r="HV51" i="17" s="1"/>
  <c r="HG51" i="17"/>
  <c r="II51" i="17" s="1"/>
  <c r="HA51" i="17"/>
  <c r="IC51" i="17" s="1"/>
  <c r="HL51" i="17"/>
  <c r="IN51" i="17" s="1"/>
  <c r="GU51" i="17"/>
  <c r="HW51" i="17" s="1"/>
  <c r="HB51" i="17"/>
  <c r="ID51" i="17" s="1"/>
  <c r="HE51" i="17"/>
  <c r="IG51" i="17" s="1"/>
  <c r="HH51" i="17"/>
  <c r="IJ51" i="17" s="1"/>
  <c r="HM51" i="17"/>
  <c r="IO51" i="17" s="1"/>
  <c r="HC51" i="17"/>
  <c r="IE51" i="17" s="1"/>
  <c r="GS51" i="17"/>
  <c r="HU51" i="17" s="1"/>
  <c r="GR51" i="17"/>
  <c r="HT51" i="17" s="1"/>
  <c r="GV51" i="17"/>
  <c r="HX51" i="17" s="1"/>
  <c r="GX51" i="17"/>
  <c r="HZ51" i="17" s="1"/>
  <c r="GU140" i="17"/>
  <c r="HW140" i="17" s="1"/>
  <c r="HJ140" i="17"/>
  <c r="IL140" i="17" s="1"/>
  <c r="HD140" i="17"/>
  <c r="IF140" i="17" s="1"/>
  <c r="GY140" i="17"/>
  <c r="IA140" i="17" s="1"/>
  <c r="HB140" i="17"/>
  <c r="ID140" i="17" s="1"/>
  <c r="HM140" i="17"/>
  <c r="IO140" i="17" s="1"/>
  <c r="GV140" i="17"/>
  <c r="HX140" i="17" s="1"/>
  <c r="HH140" i="17"/>
  <c r="IJ140" i="17" s="1"/>
  <c r="HR140" i="17"/>
  <c r="IT140" i="17" s="1"/>
  <c r="HQ140" i="17"/>
  <c r="IS140" i="17" s="1"/>
  <c r="HN140" i="17"/>
  <c r="IP140" i="17" s="1"/>
  <c r="HK140" i="17"/>
  <c r="IM140" i="17" s="1"/>
  <c r="GW140" i="17"/>
  <c r="HY140" i="17" s="1"/>
  <c r="GS140" i="17"/>
  <c r="HU140" i="17" s="1"/>
  <c r="HF140" i="17"/>
  <c r="IH140" i="17" s="1"/>
  <c r="HC140" i="17"/>
  <c r="IE140" i="17" s="1"/>
  <c r="HO140" i="17"/>
  <c r="IQ140" i="17" s="1"/>
  <c r="HL140" i="17"/>
  <c r="IN140" i="17" s="1"/>
  <c r="GX140" i="17"/>
  <c r="HZ140" i="17" s="1"/>
  <c r="HG140" i="17"/>
  <c r="II140" i="17" s="1"/>
  <c r="GT140" i="17"/>
  <c r="HV140" i="17" s="1"/>
  <c r="GZ140" i="17"/>
  <c r="IB140" i="17" s="1"/>
  <c r="HE140" i="17"/>
  <c r="IG140" i="17" s="1"/>
  <c r="HP140" i="17"/>
  <c r="IR140" i="17" s="1"/>
  <c r="HA140" i="17"/>
  <c r="IC140" i="17" s="1"/>
  <c r="HI140" i="17"/>
  <c r="IK140" i="17" s="1"/>
  <c r="GR140" i="17"/>
  <c r="HT140" i="17" s="1"/>
  <c r="AV99" i="17"/>
  <c r="C224" i="17"/>
  <c r="HO166" i="17"/>
  <c r="IQ166" i="17" s="1"/>
  <c r="HC166" i="17"/>
  <c r="IE166" i="17" s="1"/>
  <c r="HJ166" i="17"/>
  <c r="IL166" i="17" s="1"/>
  <c r="GX166" i="17"/>
  <c r="HZ166" i="17" s="1"/>
  <c r="GW166" i="17"/>
  <c r="HY166" i="17" s="1"/>
  <c r="HQ166" i="17"/>
  <c r="IS166" i="17" s="1"/>
  <c r="HM166" i="17"/>
  <c r="IO166" i="17" s="1"/>
  <c r="HE166" i="17"/>
  <c r="IG166" i="17" s="1"/>
  <c r="HD166" i="17"/>
  <c r="IF166" i="17" s="1"/>
  <c r="GY166" i="17"/>
  <c r="IA166" i="17" s="1"/>
  <c r="HH166" i="17"/>
  <c r="IJ166" i="17" s="1"/>
  <c r="HP166" i="17"/>
  <c r="IR166" i="17" s="1"/>
  <c r="GT166" i="17"/>
  <c r="HV166" i="17" s="1"/>
  <c r="GR166" i="17"/>
  <c r="HT166" i="17" s="1"/>
  <c r="HI166" i="17"/>
  <c r="IK166" i="17" s="1"/>
  <c r="GU166" i="17"/>
  <c r="HW166" i="17" s="1"/>
  <c r="HK166" i="17"/>
  <c r="IM166" i="17" s="1"/>
  <c r="HG166" i="17"/>
  <c r="II166" i="17" s="1"/>
  <c r="HB166" i="17"/>
  <c r="ID166" i="17" s="1"/>
  <c r="HL166" i="17"/>
  <c r="IN166" i="17" s="1"/>
  <c r="HA166" i="17"/>
  <c r="IC166" i="17" s="1"/>
  <c r="GS166" i="17"/>
  <c r="HU166" i="17" s="1"/>
  <c r="HR166" i="17"/>
  <c r="IT166" i="17" s="1"/>
  <c r="HF166" i="17"/>
  <c r="IH166" i="17" s="1"/>
  <c r="HN166" i="17"/>
  <c r="IP166" i="17" s="1"/>
  <c r="GZ166" i="17"/>
  <c r="IB166" i="17" s="1"/>
  <c r="GV166" i="17"/>
  <c r="HX166" i="17" s="1"/>
  <c r="GV209" i="17"/>
  <c r="HX209" i="17" s="1"/>
  <c r="GW209" i="17"/>
  <c r="HY209" i="17" s="1"/>
  <c r="HI209" i="17"/>
  <c r="IK209" i="17" s="1"/>
  <c r="HO209" i="17"/>
  <c r="IQ209" i="17" s="1"/>
  <c r="HF209" i="17"/>
  <c r="IH209" i="17" s="1"/>
  <c r="HH209" i="17"/>
  <c r="IJ209" i="17" s="1"/>
  <c r="GU209" i="17"/>
  <c r="HW209" i="17" s="1"/>
  <c r="GX209" i="17"/>
  <c r="HZ209" i="17" s="1"/>
  <c r="GT209" i="17"/>
  <c r="HV209" i="17" s="1"/>
  <c r="GR209" i="17"/>
  <c r="HT209" i="17" s="1"/>
  <c r="HP209" i="17"/>
  <c r="IR209" i="17" s="1"/>
  <c r="GZ209" i="17"/>
  <c r="IB209" i="17" s="1"/>
  <c r="HQ209" i="17"/>
  <c r="IS209" i="17" s="1"/>
  <c r="GS209" i="17"/>
  <c r="HU209" i="17" s="1"/>
  <c r="HG209" i="17"/>
  <c r="II209" i="17" s="1"/>
  <c r="HN209" i="17"/>
  <c r="IP209" i="17" s="1"/>
  <c r="HE209" i="17"/>
  <c r="IG209" i="17" s="1"/>
  <c r="HJ209" i="17"/>
  <c r="IL209" i="17" s="1"/>
  <c r="HC209" i="17"/>
  <c r="IE209" i="17" s="1"/>
  <c r="HK209" i="17"/>
  <c r="IM209" i="17" s="1"/>
  <c r="HA209" i="17"/>
  <c r="IC209" i="17" s="1"/>
  <c r="HR209" i="17"/>
  <c r="IT209" i="17" s="1"/>
  <c r="HL209" i="17"/>
  <c r="IN209" i="17" s="1"/>
  <c r="HM209" i="17"/>
  <c r="IO209" i="17" s="1"/>
  <c r="HD209" i="17"/>
  <c r="IF209" i="17" s="1"/>
  <c r="GY209" i="17"/>
  <c r="IA209" i="17" s="1"/>
  <c r="HB209" i="17"/>
  <c r="ID209" i="17" s="1"/>
  <c r="GZ256" i="17"/>
  <c r="IB256" i="17" s="1"/>
  <c r="HE256" i="17"/>
  <c r="IG256" i="17" s="1"/>
  <c r="HI256" i="17"/>
  <c r="IK256" i="17" s="1"/>
  <c r="GV256" i="17"/>
  <c r="HX256" i="17" s="1"/>
  <c r="GU81" i="17"/>
  <c r="HW81" i="17" s="1"/>
  <c r="HP81" i="17"/>
  <c r="IR81" i="17" s="1"/>
  <c r="GS81" i="17"/>
  <c r="HU81" i="17" s="1"/>
  <c r="HO81" i="17"/>
  <c r="IQ81" i="17" s="1"/>
  <c r="GY34" i="17"/>
  <c r="IA34" i="17" s="1"/>
  <c r="HQ34" i="17"/>
  <c r="IS34" i="17" s="1"/>
  <c r="HE34" i="17"/>
  <c r="IG34" i="17" s="1"/>
  <c r="HK34" i="17"/>
  <c r="IM34" i="17" s="1"/>
  <c r="HL34" i="17"/>
  <c r="IN34" i="17" s="1"/>
  <c r="HJ34" i="17"/>
  <c r="IL34" i="17" s="1"/>
  <c r="HC34" i="17"/>
  <c r="IE34" i="17" s="1"/>
  <c r="HR34" i="17"/>
  <c r="IT34" i="17" s="1"/>
  <c r="HA34" i="17"/>
  <c r="IC34" i="17" s="1"/>
  <c r="GR34" i="17"/>
  <c r="HT34" i="17" s="1"/>
  <c r="HH34" i="17"/>
  <c r="IJ34" i="17" s="1"/>
  <c r="HB34" i="17"/>
  <c r="ID34" i="17" s="1"/>
  <c r="HN34" i="17"/>
  <c r="IP34" i="17" s="1"/>
  <c r="GS34" i="17"/>
  <c r="HU34" i="17" s="1"/>
  <c r="HO34" i="17"/>
  <c r="IQ34" i="17" s="1"/>
  <c r="GU34" i="17"/>
  <c r="HW34" i="17" s="1"/>
  <c r="GV34" i="17"/>
  <c r="HX34" i="17" s="1"/>
  <c r="HP34" i="17"/>
  <c r="IR34" i="17" s="1"/>
  <c r="HM34" i="17"/>
  <c r="IO34" i="17" s="1"/>
  <c r="HD34" i="17"/>
  <c r="IF34" i="17" s="1"/>
  <c r="HG34" i="17"/>
  <c r="II34" i="17" s="1"/>
  <c r="GX34" i="17"/>
  <c r="HZ34" i="17" s="1"/>
  <c r="GW34" i="17"/>
  <c r="HY34" i="17" s="1"/>
  <c r="HI34" i="17"/>
  <c r="IK34" i="17" s="1"/>
  <c r="GZ34" i="17"/>
  <c r="IB34" i="17" s="1"/>
  <c r="HF34" i="17"/>
  <c r="IH34" i="17" s="1"/>
  <c r="GT34" i="17"/>
  <c r="HV34" i="17" s="1"/>
  <c r="HI151" i="17"/>
  <c r="IK151" i="17" s="1"/>
  <c r="C81" i="17"/>
  <c r="C269" i="17"/>
  <c r="HG29" i="17"/>
  <c r="II29" i="17" s="1"/>
  <c r="GT311" i="17"/>
  <c r="HV311" i="17" s="1"/>
  <c r="HO311" i="17"/>
  <c r="IQ311" i="17" s="1"/>
  <c r="HI311" i="17"/>
  <c r="IK311" i="17" s="1"/>
  <c r="HJ311" i="17"/>
  <c r="IL311" i="17" s="1"/>
  <c r="GZ311" i="17"/>
  <c r="IB311" i="17" s="1"/>
  <c r="HK311" i="17"/>
  <c r="IM311" i="17" s="1"/>
  <c r="GV311" i="17"/>
  <c r="HX311" i="17" s="1"/>
  <c r="HP311" i="17"/>
  <c r="IR311" i="17" s="1"/>
  <c r="HL311" i="17"/>
  <c r="IN311" i="17" s="1"/>
  <c r="HF311" i="17"/>
  <c r="IH311" i="17" s="1"/>
  <c r="GW311" i="17"/>
  <c r="HY311" i="17" s="1"/>
  <c r="HG311" i="17"/>
  <c r="II311" i="17" s="1"/>
  <c r="HM311" i="17"/>
  <c r="IO311" i="17" s="1"/>
  <c r="GX311" i="17"/>
  <c r="HZ311" i="17" s="1"/>
  <c r="GS311" i="17"/>
  <c r="HU311" i="17" s="1"/>
  <c r="HN311" i="17"/>
  <c r="IP311" i="17" s="1"/>
  <c r="GU311" i="17"/>
  <c r="HW311" i="17" s="1"/>
  <c r="HR311" i="17"/>
  <c r="IT311" i="17" s="1"/>
  <c r="GR311" i="17"/>
  <c r="HT311" i="17" s="1"/>
  <c r="HA311" i="17"/>
  <c r="IC311" i="17" s="1"/>
  <c r="HC311" i="17"/>
  <c r="IE311" i="17" s="1"/>
  <c r="HD311" i="17"/>
  <c r="IF311" i="17" s="1"/>
  <c r="HE311" i="17"/>
  <c r="IG311" i="17" s="1"/>
  <c r="HH311" i="17"/>
  <c r="IJ311" i="17" s="1"/>
  <c r="HQ311" i="17"/>
  <c r="IS311" i="17" s="1"/>
  <c r="HB311" i="17"/>
  <c r="ID311" i="17" s="1"/>
  <c r="GY311" i="17"/>
  <c r="IA311" i="17" s="1"/>
  <c r="HR213" i="17"/>
  <c r="IT213" i="17" s="1"/>
  <c r="HF151" i="17"/>
  <c r="IH151" i="17" s="1"/>
  <c r="HH182" i="17"/>
  <c r="IJ182" i="17" s="1"/>
  <c r="HK182" i="17"/>
  <c r="IM182" i="17" s="1"/>
  <c r="HP182" i="17"/>
  <c r="IR182" i="17" s="1"/>
  <c r="HF182" i="17"/>
  <c r="IH182" i="17" s="1"/>
  <c r="GW182" i="17"/>
  <c r="HY182" i="17" s="1"/>
  <c r="GY182" i="17"/>
  <c r="IA182" i="17" s="1"/>
  <c r="GS182" i="17"/>
  <c r="HU182" i="17" s="1"/>
  <c r="HI182" i="17"/>
  <c r="IK182" i="17" s="1"/>
  <c r="HQ182" i="17"/>
  <c r="IS182" i="17" s="1"/>
  <c r="HG182" i="17"/>
  <c r="II182" i="17" s="1"/>
  <c r="GU182" i="17"/>
  <c r="HW182" i="17" s="1"/>
  <c r="HB182" i="17"/>
  <c r="ID182" i="17" s="1"/>
  <c r="HR182" i="17"/>
  <c r="IT182" i="17" s="1"/>
  <c r="HM182" i="17"/>
  <c r="IO182" i="17" s="1"/>
  <c r="HN182" i="17"/>
  <c r="IP182" i="17" s="1"/>
  <c r="HO182" i="17"/>
  <c r="IQ182" i="17" s="1"/>
  <c r="HJ182" i="17"/>
  <c r="IL182" i="17" s="1"/>
  <c r="HD182" i="17"/>
  <c r="IF182" i="17" s="1"/>
  <c r="GX182" i="17"/>
  <c r="HZ182" i="17" s="1"/>
  <c r="GZ182" i="17"/>
  <c r="IB182" i="17" s="1"/>
  <c r="GT182" i="17"/>
  <c r="HV182" i="17" s="1"/>
  <c r="HL182" i="17"/>
  <c r="IN182" i="17" s="1"/>
  <c r="HC182" i="17"/>
  <c r="IE182" i="17" s="1"/>
  <c r="GV182" i="17"/>
  <c r="HX182" i="17" s="1"/>
  <c r="HA182" i="17"/>
  <c r="IC182" i="17" s="1"/>
  <c r="HE182" i="17"/>
  <c r="IG182" i="17" s="1"/>
  <c r="GR182" i="17"/>
  <c r="HT182" i="17" s="1"/>
  <c r="HK46" i="17"/>
  <c r="IM46" i="17" s="1"/>
  <c r="HA46" i="17"/>
  <c r="IC46" i="17" s="1"/>
  <c r="HH46" i="17"/>
  <c r="IJ46" i="17" s="1"/>
  <c r="GY46" i="17"/>
  <c r="IA46" i="17" s="1"/>
  <c r="HI46" i="17"/>
  <c r="IK46" i="17" s="1"/>
  <c r="HQ46" i="17"/>
  <c r="IS46" i="17" s="1"/>
  <c r="HP46" i="17"/>
  <c r="IR46" i="17" s="1"/>
  <c r="HC46" i="17"/>
  <c r="IE46" i="17" s="1"/>
  <c r="HO46" i="17"/>
  <c r="IQ46" i="17" s="1"/>
  <c r="GR46" i="17"/>
  <c r="HT46" i="17" s="1"/>
  <c r="GT46" i="17"/>
  <c r="HV46" i="17" s="1"/>
  <c r="HR46" i="17"/>
  <c r="IT46" i="17" s="1"/>
  <c r="GS46" i="17"/>
  <c r="HU46" i="17" s="1"/>
  <c r="HE46" i="17"/>
  <c r="IG46" i="17" s="1"/>
  <c r="HN46" i="17"/>
  <c r="IP46" i="17" s="1"/>
  <c r="GZ46" i="17"/>
  <c r="IB46" i="17" s="1"/>
  <c r="GV46" i="17"/>
  <c r="HX46" i="17" s="1"/>
  <c r="HB46" i="17"/>
  <c r="ID46" i="17" s="1"/>
  <c r="HG46" i="17"/>
  <c r="II46" i="17" s="1"/>
  <c r="GX46" i="17"/>
  <c r="HZ46" i="17" s="1"/>
  <c r="HJ46" i="17"/>
  <c r="IL46" i="17" s="1"/>
  <c r="HF46" i="17"/>
  <c r="IH46" i="17" s="1"/>
  <c r="HD46" i="17"/>
  <c r="IF46" i="17" s="1"/>
  <c r="HL46" i="17"/>
  <c r="IN46" i="17" s="1"/>
  <c r="HM46" i="17"/>
  <c r="IO46" i="17" s="1"/>
  <c r="GU46" i="17"/>
  <c r="HW46" i="17" s="1"/>
  <c r="GW46" i="17"/>
  <c r="HY46" i="17" s="1"/>
  <c r="GR192" i="17"/>
  <c r="HT192" i="17" s="1"/>
  <c r="HC81" i="17"/>
  <c r="IE81" i="17" s="1"/>
  <c r="HO88" i="17"/>
  <c r="IQ88" i="17" s="1"/>
  <c r="HG88" i="17"/>
  <c r="II88" i="17" s="1"/>
  <c r="GV88" i="17"/>
  <c r="HX88" i="17" s="1"/>
  <c r="GU88" i="17"/>
  <c r="HW88" i="17" s="1"/>
  <c r="HA88" i="17"/>
  <c r="IC88" i="17" s="1"/>
  <c r="HL88" i="17"/>
  <c r="IN88" i="17" s="1"/>
  <c r="HF88" i="17"/>
  <c r="IH88" i="17" s="1"/>
  <c r="GX88" i="17"/>
  <c r="HZ88" i="17" s="1"/>
  <c r="HI88" i="17"/>
  <c r="IK88" i="17" s="1"/>
  <c r="GZ88" i="17"/>
  <c r="IB88" i="17" s="1"/>
  <c r="HK88" i="17"/>
  <c r="IM88" i="17" s="1"/>
  <c r="GS88" i="17"/>
  <c r="HU88" i="17" s="1"/>
  <c r="HH88" i="17"/>
  <c r="IJ88" i="17" s="1"/>
  <c r="HM88" i="17"/>
  <c r="IO88" i="17" s="1"/>
  <c r="HJ88" i="17"/>
  <c r="IL88" i="17" s="1"/>
  <c r="HQ88" i="17"/>
  <c r="IS88" i="17" s="1"/>
  <c r="HN88" i="17"/>
  <c r="IP88" i="17" s="1"/>
  <c r="HP88" i="17"/>
  <c r="IR88" i="17" s="1"/>
  <c r="GY88" i="17"/>
  <c r="IA88" i="17" s="1"/>
  <c r="HC88" i="17"/>
  <c r="IE88" i="17" s="1"/>
  <c r="HD88" i="17"/>
  <c r="IF88" i="17" s="1"/>
  <c r="HE88" i="17"/>
  <c r="IG88" i="17" s="1"/>
  <c r="GT88" i="17"/>
  <c r="HV88" i="17" s="1"/>
  <c r="GW88" i="17"/>
  <c r="HY88" i="17" s="1"/>
  <c r="HB88" i="17"/>
  <c r="ID88" i="17" s="1"/>
  <c r="HR88" i="17"/>
  <c r="IT88" i="17" s="1"/>
  <c r="GR88" i="17"/>
  <c r="HT88" i="17" s="1"/>
  <c r="GS253" i="17"/>
  <c r="HU253" i="17" s="1"/>
  <c r="GX253" i="17"/>
  <c r="HZ253" i="17" s="1"/>
  <c r="HK253" i="17"/>
  <c r="IM253" i="17" s="1"/>
  <c r="HM253" i="17"/>
  <c r="IO253" i="17" s="1"/>
  <c r="HL253" i="17"/>
  <c r="IN253" i="17" s="1"/>
  <c r="HP253" i="17"/>
  <c r="IR253" i="17" s="1"/>
  <c r="HF253" i="17"/>
  <c r="IH253" i="17" s="1"/>
  <c r="HI253" i="17"/>
  <c r="IK253" i="17" s="1"/>
  <c r="HB253" i="17"/>
  <c r="ID253" i="17" s="1"/>
  <c r="HQ253" i="17"/>
  <c r="IS253" i="17" s="1"/>
  <c r="GU253" i="17"/>
  <c r="HW253" i="17" s="1"/>
  <c r="GW253" i="17"/>
  <c r="HY253" i="17" s="1"/>
  <c r="GY253" i="17"/>
  <c r="IA253" i="17" s="1"/>
  <c r="HA253" i="17"/>
  <c r="IC253" i="17" s="1"/>
  <c r="HN253" i="17"/>
  <c r="IP253" i="17" s="1"/>
  <c r="HQ70" i="17"/>
  <c r="IS70" i="17" s="1"/>
  <c r="AV119" i="17"/>
  <c r="AV310" i="17"/>
  <c r="AV227" i="17"/>
  <c r="AV272" i="17"/>
  <c r="C282" i="17"/>
  <c r="AV278" i="17"/>
  <c r="HE253" i="17"/>
  <c r="IG253" i="17" s="1"/>
  <c r="HR81" i="17"/>
  <c r="IT81" i="17" s="1"/>
  <c r="C121" i="17"/>
  <c r="HH213" i="17"/>
  <c r="IJ213" i="17" s="1"/>
  <c r="HM271" i="17"/>
  <c r="IO271" i="17" s="1"/>
  <c r="HK151" i="17"/>
  <c r="IM151" i="17" s="1"/>
  <c r="HB191" i="17"/>
  <c r="ID191" i="17" s="1"/>
  <c r="HE191" i="17"/>
  <c r="IG191" i="17" s="1"/>
  <c r="GZ191" i="17"/>
  <c r="IB191" i="17" s="1"/>
  <c r="HM191" i="17"/>
  <c r="IO191" i="17" s="1"/>
  <c r="HG191" i="17"/>
  <c r="II191" i="17" s="1"/>
  <c r="GS191" i="17"/>
  <c r="HU191" i="17" s="1"/>
  <c r="HK191" i="17"/>
  <c r="IM191" i="17" s="1"/>
  <c r="HJ191" i="17"/>
  <c r="IL191" i="17" s="1"/>
  <c r="HF191" i="17"/>
  <c r="IH191" i="17" s="1"/>
  <c r="HC191" i="17"/>
  <c r="IE191" i="17" s="1"/>
  <c r="HQ191" i="17"/>
  <c r="IS191" i="17" s="1"/>
  <c r="GR191" i="17"/>
  <c r="HT191" i="17" s="1"/>
  <c r="HI191" i="17"/>
  <c r="IK191" i="17" s="1"/>
  <c r="HO191" i="17"/>
  <c r="IQ191" i="17" s="1"/>
  <c r="GX191" i="17"/>
  <c r="HZ191" i="17" s="1"/>
  <c r="GT191" i="17"/>
  <c r="HV191" i="17" s="1"/>
  <c r="HA191" i="17"/>
  <c r="IC191" i="17" s="1"/>
  <c r="GU191" i="17"/>
  <c r="HW191" i="17" s="1"/>
  <c r="HR191" i="17"/>
  <c r="IT191" i="17" s="1"/>
  <c r="GV191" i="17"/>
  <c r="HX191" i="17" s="1"/>
  <c r="HN191" i="17"/>
  <c r="IP191" i="17" s="1"/>
  <c r="GY191" i="17"/>
  <c r="IA191" i="17" s="1"/>
  <c r="HD191" i="17"/>
  <c r="IF191" i="17" s="1"/>
  <c r="HL191" i="17"/>
  <c r="IN191" i="17" s="1"/>
  <c r="GW191" i="17"/>
  <c r="HY191" i="17" s="1"/>
  <c r="HP191" i="17"/>
  <c r="IR191" i="17" s="1"/>
  <c r="HH191" i="17"/>
  <c r="IJ191" i="17" s="1"/>
  <c r="HF49" i="17"/>
  <c r="IH49" i="17" s="1"/>
  <c r="GU49" i="17"/>
  <c r="HW49" i="17" s="1"/>
  <c r="HC49" i="17"/>
  <c r="IE49" i="17" s="1"/>
  <c r="HA49" i="17"/>
  <c r="IC49" i="17" s="1"/>
  <c r="GX49" i="17"/>
  <c r="HZ49" i="17" s="1"/>
  <c r="GY49" i="17"/>
  <c r="IA49" i="17" s="1"/>
  <c r="GV49" i="17"/>
  <c r="HX49" i="17" s="1"/>
  <c r="GW49" i="17"/>
  <c r="HY49" i="17" s="1"/>
  <c r="GZ49" i="17"/>
  <c r="IB49" i="17" s="1"/>
  <c r="HG49" i="17"/>
  <c r="II49" i="17" s="1"/>
  <c r="HR49" i="17"/>
  <c r="IT49" i="17" s="1"/>
  <c r="HE49" i="17"/>
  <c r="IG49" i="17" s="1"/>
  <c r="HD49" i="17"/>
  <c r="IF49" i="17" s="1"/>
  <c r="HI49" i="17"/>
  <c r="IK49" i="17" s="1"/>
  <c r="HJ49" i="17"/>
  <c r="IL49" i="17" s="1"/>
  <c r="HO49" i="17"/>
  <c r="IQ49" i="17" s="1"/>
  <c r="HK49" i="17"/>
  <c r="IM49" i="17" s="1"/>
  <c r="GR49" i="17"/>
  <c r="HT49" i="17" s="1"/>
  <c r="GT49" i="17"/>
  <c r="HV49" i="17" s="1"/>
  <c r="HM49" i="17"/>
  <c r="IO49" i="17" s="1"/>
  <c r="HH49" i="17"/>
  <c r="IJ49" i="17" s="1"/>
  <c r="HB49" i="17"/>
  <c r="ID49" i="17" s="1"/>
  <c r="HN49" i="17"/>
  <c r="IP49" i="17" s="1"/>
  <c r="HP49" i="17"/>
  <c r="IR49" i="17" s="1"/>
  <c r="GS49" i="17"/>
  <c r="HU49" i="17" s="1"/>
  <c r="HQ49" i="17"/>
  <c r="IS49" i="17" s="1"/>
  <c r="HL49" i="17"/>
  <c r="IN49" i="17" s="1"/>
  <c r="C68" i="17"/>
  <c r="C45" i="17"/>
  <c r="HB254" i="17"/>
  <c r="ID254" i="17" s="1"/>
  <c r="HA254" i="17"/>
  <c r="IC254" i="17" s="1"/>
  <c r="GT254" i="17"/>
  <c r="HV254" i="17" s="1"/>
  <c r="HF254" i="17"/>
  <c r="IH254" i="17" s="1"/>
  <c r="GW254" i="17"/>
  <c r="HY254" i="17" s="1"/>
  <c r="HI254" i="17"/>
  <c r="IK254" i="17" s="1"/>
  <c r="GV254" i="17"/>
  <c r="HX254" i="17" s="1"/>
  <c r="HR254" i="17"/>
  <c r="IT254" i="17" s="1"/>
  <c r="HP254" i="17"/>
  <c r="IR254" i="17" s="1"/>
  <c r="HJ254" i="17"/>
  <c r="IL254" i="17" s="1"/>
  <c r="HM254" i="17"/>
  <c r="IO254" i="17" s="1"/>
  <c r="HN254" i="17"/>
  <c r="IP254" i="17" s="1"/>
  <c r="HH254" i="17"/>
  <c r="IJ254" i="17" s="1"/>
  <c r="GZ254" i="17"/>
  <c r="IB254" i="17" s="1"/>
  <c r="GX254" i="17"/>
  <c r="HZ254" i="17" s="1"/>
  <c r="HO254" i="17"/>
  <c r="IQ254" i="17" s="1"/>
  <c r="HE254" i="17"/>
  <c r="IG254" i="17" s="1"/>
  <c r="GS254" i="17"/>
  <c r="HU254" i="17" s="1"/>
  <c r="GR254" i="17"/>
  <c r="HT254" i="17" s="1"/>
  <c r="GU254" i="17"/>
  <c r="HW254" i="17" s="1"/>
  <c r="HK254" i="17"/>
  <c r="IM254" i="17" s="1"/>
  <c r="HL254" i="17"/>
  <c r="IN254" i="17" s="1"/>
  <c r="HG254" i="17"/>
  <c r="II254" i="17" s="1"/>
  <c r="GY254" i="17"/>
  <c r="IA254" i="17" s="1"/>
  <c r="HC254" i="17"/>
  <c r="IE254" i="17" s="1"/>
  <c r="HQ254" i="17"/>
  <c r="IS254" i="17" s="1"/>
  <c r="HD254" i="17"/>
  <c r="IF254" i="17" s="1"/>
  <c r="GR150" i="17"/>
  <c r="HT150" i="17" s="1"/>
  <c r="HQ150" i="17"/>
  <c r="IS150" i="17" s="1"/>
  <c r="GV150" i="17"/>
  <c r="HX150" i="17" s="1"/>
  <c r="HC150" i="17"/>
  <c r="IE150" i="17" s="1"/>
  <c r="HH150" i="17"/>
  <c r="IJ150" i="17" s="1"/>
  <c r="GZ150" i="17"/>
  <c r="IB150" i="17" s="1"/>
  <c r="GU150" i="17"/>
  <c r="HW150" i="17" s="1"/>
  <c r="GT150" i="17"/>
  <c r="HV150" i="17" s="1"/>
  <c r="GX150" i="17"/>
  <c r="HZ150" i="17" s="1"/>
  <c r="HL150" i="17"/>
  <c r="IN150" i="17" s="1"/>
  <c r="HA150" i="17"/>
  <c r="IC150" i="17" s="1"/>
  <c r="GW150" i="17"/>
  <c r="HY150" i="17" s="1"/>
  <c r="HP150" i="17"/>
  <c r="IR150" i="17" s="1"/>
  <c r="HK150" i="17"/>
  <c r="IM150" i="17" s="1"/>
  <c r="HG150" i="17"/>
  <c r="II150" i="17" s="1"/>
  <c r="HE150" i="17"/>
  <c r="IG150" i="17" s="1"/>
  <c r="HD150" i="17"/>
  <c r="IF150" i="17" s="1"/>
  <c r="GY150" i="17"/>
  <c r="IA150" i="17" s="1"/>
  <c r="HJ150" i="17"/>
  <c r="IL150" i="17" s="1"/>
  <c r="HN150" i="17"/>
  <c r="IP150" i="17" s="1"/>
  <c r="HI150" i="17"/>
  <c r="IK150" i="17" s="1"/>
  <c r="HF150" i="17"/>
  <c r="IH150" i="17" s="1"/>
  <c r="GS150" i="17"/>
  <c r="HU150" i="17" s="1"/>
  <c r="HM150" i="17"/>
  <c r="IO150" i="17" s="1"/>
  <c r="HR150" i="17"/>
  <c r="IT150" i="17" s="1"/>
  <c r="HB150" i="17"/>
  <c r="ID150" i="17" s="1"/>
  <c r="HO150" i="17"/>
  <c r="IQ150" i="17" s="1"/>
  <c r="GU15" i="17"/>
  <c r="HW15" i="17" s="1"/>
  <c r="HM15" i="17"/>
  <c r="IO15" i="17" s="1"/>
  <c r="HG15" i="17"/>
  <c r="II15" i="17" s="1"/>
  <c r="GT15" i="17"/>
  <c r="HV15" i="17" s="1"/>
  <c r="HA15" i="17"/>
  <c r="IC15" i="17" s="1"/>
  <c r="GV15" i="17"/>
  <c r="HX15" i="17" s="1"/>
  <c r="HP15" i="17"/>
  <c r="IR15" i="17" s="1"/>
  <c r="HB15" i="17"/>
  <c r="ID15" i="17" s="1"/>
  <c r="HK15" i="17"/>
  <c r="IM15" i="17" s="1"/>
  <c r="HE15" i="17"/>
  <c r="IG15" i="17" s="1"/>
  <c r="GY15" i="17"/>
  <c r="IA15" i="17" s="1"/>
  <c r="HJ15" i="17"/>
  <c r="IL15" i="17" s="1"/>
  <c r="HL15" i="17"/>
  <c r="IN15" i="17" s="1"/>
  <c r="GZ15" i="17"/>
  <c r="IB15" i="17" s="1"/>
  <c r="HF15" i="17"/>
  <c r="IH15" i="17" s="1"/>
  <c r="GS15" i="17"/>
  <c r="HU15" i="17" s="1"/>
  <c r="HH15" i="17"/>
  <c r="IJ15" i="17" s="1"/>
  <c r="HI15" i="17"/>
  <c r="IK15" i="17" s="1"/>
  <c r="GW15" i="17"/>
  <c r="HY15" i="17" s="1"/>
  <c r="HD15" i="17"/>
  <c r="IF15" i="17" s="1"/>
  <c r="HQ15" i="17"/>
  <c r="IS15" i="17" s="1"/>
  <c r="HN15" i="17"/>
  <c r="IP15" i="17" s="1"/>
  <c r="HR15" i="17"/>
  <c r="IT15" i="17" s="1"/>
  <c r="GR15" i="17"/>
  <c r="HT15" i="17" s="1"/>
  <c r="HO15" i="17"/>
  <c r="IQ15" i="17" s="1"/>
  <c r="HC15" i="17"/>
  <c r="IE15" i="17" s="1"/>
  <c r="GX15" i="17"/>
  <c r="HZ15" i="17" s="1"/>
  <c r="HF242" i="17"/>
  <c r="IH242" i="17" s="1"/>
  <c r="GZ242" i="17"/>
  <c r="IB242" i="17" s="1"/>
  <c r="HE242" i="17"/>
  <c r="IG242" i="17" s="1"/>
  <c r="GY242" i="17"/>
  <c r="IA242" i="17" s="1"/>
  <c r="GT242" i="17"/>
  <c r="HV242" i="17" s="1"/>
  <c r="HG242" i="17"/>
  <c r="II242" i="17" s="1"/>
  <c r="HR242" i="17"/>
  <c r="IT242" i="17" s="1"/>
  <c r="GX242" i="17"/>
  <c r="HZ242" i="17" s="1"/>
  <c r="HI242" i="17"/>
  <c r="IK242" i="17" s="1"/>
  <c r="HQ242" i="17"/>
  <c r="IS242" i="17" s="1"/>
  <c r="HJ242" i="17"/>
  <c r="IL242" i="17" s="1"/>
  <c r="HK242" i="17"/>
  <c r="IM242" i="17" s="1"/>
  <c r="HN242" i="17"/>
  <c r="IP242" i="17" s="1"/>
  <c r="GW242" i="17"/>
  <c r="HY242" i="17" s="1"/>
  <c r="HM242" i="17"/>
  <c r="IO242" i="17" s="1"/>
  <c r="HP242" i="17"/>
  <c r="IR242" i="17" s="1"/>
  <c r="HO242" i="17"/>
  <c r="IQ242" i="17" s="1"/>
  <c r="HB242" i="17"/>
  <c r="ID242" i="17" s="1"/>
  <c r="HC242" i="17"/>
  <c r="IE242" i="17" s="1"/>
  <c r="HL242" i="17"/>
  <c r="IN242" i="17" s="1"/>
  <c r="GV242" i="17"/>
  <c r="HX242" i="17" s="1"/>
  <c r="HH242" i="17"/>
  <c r="IJ242" i="17" s="1"/>
  <c r="GR242" i="17"/>
  <c r="HT242" i="17" s="1"/>
  <c r="HA242" i="17"/>
  <c r="IC242" i="17" s="1"/>
  <c r="GS242" i="17"/>
  <c r="HU242" i="17" s="1"/>
  <c r="GU242" i="17"/>
  <c r="HW242" i="17" s="1"/>
  <c r="HD242" i="17"/>
  <c r="IF242" i="17" s="1"/>
  <c r="C98" i="17"/>
  <c r="C151" i="17"/>
  <c r="AV151" i="17"/>
  <c r="C50" i="17"/>
  <c r="C103" i="17"/>
  <c r="C165" i="17"/>
  <c r="AV19" i="17"/>
  <c r="HK251" i="17"/>
  <c r="IM251" i="17" s="1"/>
  <c r="GZ251" i="17"/>
  <c r="IB251" i="17" s="1"/>
  <c r="HE251" i="17"/>
  <c r="IG251" i="17" s="1"/>
  <c r="HI251" i="17"/>
  <c r="IK251" i="17" s="1"/>
  <c r="HN251" i="17"/>
  <c r="IP251" i="17" s="1"/>
  <c r="HB251" i="17"/>
  <c r="ID251" i="17" s="1"/>
  <c r="GS251" i="17"/>
  <c r="HU251" i="17" s="1"/>
  <c r="GU251" i="17"/>
  <c r="HW251" i="17" s="1"/>
  <c r="HH251" i="17"/>
  <c r="IJ251" i="17" s="1"/>
  <c r="HL251" i="17"/>
  <c r="IN251" i="17" s="1"/>
  <c r="HQ251" i="17"/>
  <c r="IS251" i="17" s="1"/>
  <c r="HJ251" i="17"/>
  <c r="IL251" i="17" s="1"/>
  <c r="HF251" i="17"/>
  <c r="IH251" i="17" s="1"/>
  <c r="HM251" i="17"/>
  <c r="IO251" i="17" s="1"/>
  <c r="HR251" i="17"/>
  <c r="IT251" i="17" s="1"/>
  <c r="HP251" i="17"/>
  <c r="IR251" i="17" s="1"/>
  <c r="GV251" i="17"/>
  <c r="HX251" i="17" s="1"/>
  <c r="GX251" i="17"/>
  <c r="HZ251" i="17" s="1"/>
  <c r="HC251" i="17"/>
  <c r="IE251" i="17" s="1"/>
  <c r="HA251" i="17"/>
  <c r="IC251" i="17" s="1"/>
  <c r="HG251" i="17"/>
  <c r="II251" i="17" s="1"/>
  <c r="GR251" i="17"/>
  <c r="HT251" i="17" s="1"/>
  <c r="GT251" i="17"/>
  <c r="HV251" i="17" s="1"/>
  <c r="GW251" i="17"/>
  <c r="HY251" i="17" s="1"/>
  <c r="HO251" i="17"/>
  <c r="IQ251" i="17" s="1"/>
  <c r="HD251" i="17"/>
  <c r="IF251" i="17" s="1"/>
  <c r="GY251" i="17"/>
  <c r="IA251" i="17" s="1"/>
  <c r="HE189" i="17"/>
  <c r="IG189" i="17" s="1"/>
  <c r="GX189" i="17"/>
  <c r="HZ189" i="17" s="1"/>
  <c r="HQ189" i="17"/>
  <c r="IS189" i="17" s="1"/>
  <c r="GS189" i="17"/>
  <c r="HU189" i="17" s="1"/>
  <c r="HR189" i="17"/>
  <c r="IT189" i="17" s="1"/>
  <c r="HK189" i="17"/>
  <c r="IM189" i="17" s="1"/>
  <c r="GR189" i="17"/>
  <c r="HT189" i="17" s="1"/>
  <c r="HA189" i="17"/>
  <c r="IC189" i="17" s="1"/>
  <c r="GT189" i="17"/>
  <c r="HV189" i="17" s="1"/>
  <c r="GY189" i="17"/>
  <c r="IA189" i="17" s="1"/>
  <c r="GV189" i="17"/>
  <c r="HX189" i="17" s="1"/>
  <c r="HI189" i="17"/>
  <c r="IK189" i="17" s="1"/>
  <c r="HM189" i="17"/>
  <c r="IO189" i="17" s="1"/>
  <c r="HL189" i="17"/>
  <c r="IN189" i="17" s="1"/>
  <c r="HB189" i="17"/>
  <c r="ID189" i="17" s="1"/>
  <c r="HP189" i="17"/>
  <c r="IR189" i="17" s="1"/>
  <c r="HC189" i="17"/>
  <c r="IE189" i="17" s="1"/>
  <c r="GW189" i="17"/>
  <c r="HY189" i="17" s="1"/>
  <c r="HD189" i="17"/>
  <c r="IF189" i="17" s="1"/>
  <c r="HO189" i="17"/>
  <c r="IQ189" i="17" s="1"/>
  <c r="HH189" i="17"/>
  <c r="IJ189" i="17" s="1"/>
  <c r="HG189" i="17"/>
  <c r="II189" i="17" s="1"/>
  <c r="GZ189" i="17"/>
  <c r="IB189" i="17" s="1"/>
  <c r="HJ189" i="17"/>
  <c r="IL189" i="17" s="1"/>
  <c r="HF189" i="17"/>
  <c r="IH189" i="17" s="1"/>
  <c r="GU189" i="17"/>
  <c r="HW189" i="17" s="1"/>
  <c r="HN189" i="17"/>
  <c r="IP189" i="17" s="1"/>
  <c r="HM286" i="17"/>
  <c r="IO286" i="17" s="1"/>
  <c r="HK286" i="17"/>
  <c r="IM286" i="17" s="1"/>
  <c r="HF286" i="17"/>
  <c r="IH286" i="17" s="1"/>
  <c r="HE286" i="17"/>
  <c r="IG286" i="17" s="1"/>
  <c r="GS286" i="17"/>
  <c r="HU286" i="17" s="1"/>
  <c r="GV286" i="17"/>
  <c r="HX286" i="17" s="1"/>
  <c r="GR286" i="17"/>
  <c r="HT286" i="17" s="1"/>
  <c r="HP286" i="17"/>
  <c r="IR286" i="17" s="1"/>
  <c r="HN286" i="17"/>
  <c r="IP286" i="17" s="1"/>
  <c r="HD286" i="17"/>
  <c r="IF286" i="17" s="1"/>
  <c r="HG286" i="17"/>
  <c r="II286" i="17" s="1"/>
  <c r="GT286" i="17"/>
  <c r="HV286" i="17" s="1"/>
  <c r="GX286" i="17"/>
  <c r="HZ286" i="17" s="1"/>
  <c r="GY286" i="17"/>
  <c r="IA286" i="17" s="1"/>
  <c r="HA286" i="17"/>
  <c r="IC286" i="17" s="1"/>
  <c r="HR286" i="17"/>
  <c r="IT286" i="17" s="1"/>
  <c r="HB286" i="17"/>
  <c r="ID286" i="17" s="1"/>
  <c r="GU286" i="17"/>
  <c r="HW286" i="17" s="1"/>
  <c r="GZ286" i="17"/>
  <c r="IB286" i="17" s="1"/>
  <c r="GW286" i="17"/>
  <c r="HY286" i="17" s="1"/>
  <c r="HH286" i="17"/>
  <c r="IJ286" i="17" s="1"/>
  <c r="HJ286" i="17"/>
  <c r="IL286" i="17" s="1"/>
  <c r="HO286" i="17"/>
  <c r="IQ286" i="17" s="1"/>
  <c r="HL286" i="17"/>
  <c r="IN286" i="17" s="1"/>
  <c r="HC286" i="17"/>
  <c r="IE286" i="17" s="1"/>
  <c r="HQ286" i="17"/>
  <c r="IS286" i="17" s="1"/>
  <c r="HI286" i="17"/>
  <c r="IK286" i="17" s="1"/>
  <c r="C104" i="17"/>
  <c r="AV303" i="17"/>
  <c r="AV136" i="17"/>
  <c r="GX43" i="17"/>
  <c r="HZ43" i="17" s="1"/>
  <c r="HP43" i="17"/>
  <c r="IR43" i="17" s="1"/>
  <c r="HD43" i="17"/>
  <c r="IF43" i="17" s="1"/>
  <c r="HK43" i="17"/>
  <c r="IM43" i="17" s="1"/>
  <c r="HB43" i="17"/>
  <c r="ID43" i="17" s="1"/>
  <c r="HC43" i="17"/>
  <c r="IE43" i="17" s="1"/>
  <c r="HJ43" i="17"/>
  <c r="IL43" i="17" s="1"/>
  <c r="HF43" i="17"/>
  <c r="IH43" i="17" s="1"/>
  <c r="GW43" i="17"/>
  <c r="HY43" i="17" s="1"/>
  <c r="GY43" i="17"/>
  <c r="IA43" i="17" s="1"/>
  <c r="HM43" i="17"/>
  <c r="IO43" i="17" s="1"/>
  <c r="HI43" i="17"/>
  <c r="IK43" i="17" s="1"/>
  <c r="GT43" i="17"/>
  <c r="HV43" i="17" s="1"/>
  <c r="GU43" i="17"/>
  <c r="HW43" i="17" s="1"/>
  <c r="GV43" i="17"/>
  <c r="HX43" i="17" s="1"/>
  <c r="HQ43" i="17"/>
  <c r="IS43" i="17" s="1"/>
  <c r="HO43" i="17"/>
  <c r="IQ43" i="17" s="1"/>
  <c r="HR43" i="17"/>
  <c r="IT43" i="17" s="1"/>
  <c r="GZ43" i="17"/>
  <c r="IB43" i="17" s="1"/>
  <c r="HG43" i="17"/>
  <c r="II43" i="17" s="1"/>
  <c r="HN43" i="17"/>
  <c r="IP43" i="17" s="1"/>
  <c r="GS43" i="17"/>
  <c r="HU43" i="17" s="1"/>
  <c r="GR43" i="17"/>
  <c r="HT43" i="17" s="1"/>
  <c r="HA43" i="17"/>
  <c r="IC43" i="17" s="1"/>
  <c r="HE43" i="17"/>
  <c r="IG43" i="17" s="1"/>
  <c r="HL43" i="17"/>
  <c r="IN43" i="17" s="1"/>
  <c r="HH43" i="17"/>
  <c r="IJ43" i="17" s="1"/>
  <c r="HA278" i="17"/>
  <c r="IC278" i="17" s="1"/>
  <c r="HG278" i="17"/>
  <c r="II278" i="17" s="1"/>
  <c r="GZ278" i="17"/>
  <c r="IB278" i="17" s="1"/>
  <c r="HN278" i="17"/>
  <c r="IP278" i="17" s="1"/>
  <c r="GT278" i="17"/>
  <c r="HV278" i="17" s="1"/>
  <c r="GV278" i="17"/>
  <c r="HX278" i="17" s="1"/>
  <c r="GX278" i="17"/>
  <c r="HZ278" i="17" s="1"/>
  <c r="GU278" i="17"/>
  <c r="HW278" i="17" s="1"/>
  <c r="GY278" i="17"/>
  <c r="IA278" i="17" s="1"/>
  <c r="HK278" i="17"/>
  <c r="IM278" i="17" s="1"/>
  <c r="HJ278" i="17"/>
  <c r="IL278" i="17" s="1"/>
  <c r="HB278" i="17"/>
  <c r="ID278" i="17" s="1"/>
  <c r="GW278" i="17"/>
  <c r="HY278" i="17" s="1"/>
  <c r="HE278" i="17"/>
  <c r="IG278" i="17" s="1"/>
  <c r="HO278" i="17"/>
  <c r="IQ278" i="17" s="1"/>
  <c r="HM278" i="17"/>
  <c r="IO278" i="17" s="1"/>
  <c r="GR278" i="17"/>
  <c r="HT278" i="17" s="1"/>
  <c r="HH278" i="17"/>
  <c r="IJ278" i="17" s="1"/>
  <c r="GS278" i="17"/>
  <c r="HU278" i="17" s="1"/>
  <c r="HQ278" i="17"/>
  <c r="IS278" i="17" s="1"/>
  <c r="HF278" i="17"/>
  <c r="IH278" i="17" s="1"/>
  <c r="HL278" i="17"/>
  <c r="IN278" i="17" s="1"/>
  <c r="HR278" i="17"/>
  <c r="IT278" i="17" s="1"/>
  <c r="HD278" i="17"/>
  <c r="IF278" i="17" s="1"/>
  <c r="HI278" i="17"/>
  <c r="IK278" i="17" s="1"/>
  <c r="HP278" i="17"/>
  <c r="IR278" i="17" s="1"/>
  <c r="HC278" i="17"/>
  <c r="IE278" i="17" s="1"/>
  <c r="AV82" i="17"/>
  <c r="AV307" i="17"/>
  <c r="AV117" i="17"/>
  <c r="C100" i="17"/>
  <c r="C284" i="17"/>
  <c r="AV284" i="17"/>
  <c r="C167" i="17"/>
  <c r="AV167" i="17"/>
  <c r="C254" i="17"/>
  <c r="AV254" i="17"/>
  <c r="AV120" i="17"/>
  <c r="C120" i="17"/>
  <c r="AV229" i="17"/>
  <c r="AV230" i="17"/>
  <c r="AV273" i="17"/>
  <c r="GS108" i="17"/>
  <c r="HU108" i="17" s="1"/>
  <c r="HC108" i="17"/>
  <c r="IE108" i="17" s="1"/>
  <c r="GX108" i="17"/>
  <c r="HZ108" i="17" s="1"/>
  <c r="HM108" i="17"/>
  <c r="IO108" i="17" s="1"/>
  <c r="HF108" i="17"/>
  <c r="IH108" i="17" s="1"/>
  <c r="HJ108" i="17"/>
  <c r="IL108" i="17" s="1"/>
  <c r="HE108" i="17"/>
  <c r="IG108" i="17" s="1"/>
  <c r="HK108" i="17"/>
  <c r="IM108" i="17" s="1"/>
  <c r="GY108" i="17"/>
  <c r="IA108" i="17" s="1"/>
  <c r="GW108" i="17"/>
  <c r="HY108" i="17" s="1"/>
  <c r="HP108" i="17"/>
  <c r="IR108" i="17" s="1"/>
  <c r="HB108" i="17"/>
  <c r="ID108" i="17" s="1"/>
  <c r="GZ108" i="17"/>
  <c r="IB108" i="17" s="1"/>
  <c r="HA108" i="17"/>
  <c r="IC108" i="17" s="1"/>
  <c r="GU108" i="17"/>
  <c r="HW108" i="17" s="1"/>
  <c r="HH108" i="17"/>
  <c r="IJ108" i="17" s="1"/>
  <c r="HQ108" i="17"/>
  <c r="IS108" i="17" s="1"/>
  <c r="GV108" i="17"/>
  <c r="HX108" i="17" s="1"/>
  <c r="HG108" i="17"/>
  <c r="II108" i="17" s="1"/>
  <c r="HL108" i="17"/>
  <c r="IN108" i="17" s="1"/>
  <c r="HI108" i="17"/>
  <c r="IK108" i="17" s="1"/>
  <c r="HD108" i="17"/>
  <c r="IF108" i="17" s="1"/>
  <c r="GT108" i="17"/>
  <c r="HV108" i="17" s="1"/>
  <c r="HN108" i="17"/>
  <c r="IP108" i="17" s="1"/>
  <c r="GR108" i="17"/>
  <c r="HT108" i="17" s="1"/>
  <c r="HR108" i="17"/>
  <c r="IT108" i="17" s="1"/>
  <c r="HO108" i="17"/>
  <c r="IQ108" i="17" s="1"/>
  <c r="HQ11" i="17"/>
  <c r="IS11" i="17" s="1"/>
  <c r="HG11" i="17"/>
  <c r="II11" i="17" s="1"/>
  <c r="HM11" i="17"/>
  <c r="IO11" i="17" s="1"/>
  <c r="HA11" i="17"/>
  <c r="IC11" i="17" s="1"/>
  <c r="GR11" i="17"/>
  <c r="HT11" i="17" s="1"/>
  <c r="HP11" i="17"/>
  <c r="IR11" i="17" s="1"/>
  <c r="HD11" i="17"/>
  <c r="IF11" i="17" s="1"/>
  <c r="GW11" i="17"/>
  <c r="HY11" i="17" s="1"/>
  <c r="GT11" i="17"/>
  <c r="HV11" i="17" s="1"/>
  <c r="GZ11" i="17"/>
  <c r="IB11" i="17" s="1"/>
  <c r="HL11" i="17"/>
  <c r="IN11" i="17" s="1"/>
  <c r="HF11" i="17"/>
  <c r="IH11" i="17" s="1"/>
  <c r="HJ11" i="17"/>
  <c r="IL11" i="17" s="1"/>
  <c r="HN11" i="17"/>
  <c r="IP11" i="17" s="1"/>
  <c r="HE11" i="17"/>
  <c r="IG11" i="17" s="1"/>
  <c r="HB11" i="17"/>
  <c r="ID11" i="17" s="1"/>
  <c r="HO11" i="17"/>
  <c r="IQ11" i="17" s="1"/>
  <c r="HI11" i="17"/>
  <c r="IK11" i="17" s="1"/>
  <c r="GX11" i="17"/>
  <c r="HZ11" i="17" s="1"/>
  <c r="GV11" i="17"/>
  <c r="HX11" i="17" s="1"/>
  <c r="HR11" i="17"/>
  <c r="IT11" i="17" s="1"/>
  <c r="HH11" i="17"/>
  <c r="IJ11" i="17" s="1"/>
  <c r="HC11" i="17"/>
  <c r="IE11" i="17" s="1"/>
  <c r="HK11" i="17"/>
  <c r="IM11" i="17" s="1"/>
  <c r="GS11" i="17"/>
  <c r="HU11" i="17" s="1"/>
  <c r="GY11" i="17"/>
  <c r="IA11" i="17" s="1"/>
  <c r="GU11" i="17"/>
  <c r="HW11" i="17" s="1"/>
  <c r="AV207" i="17"/>
  <c r="C251" i="17"/>
  <c r="AV171" i="17"/>
  <c r="C171" i="17"/>
  <c r="C112" i="17"/>
  <c r="HD203" i="17"/>
  <c r="IF203" i="17" s="1"/>
  <c r="GY203" i="17"/>
  <c r="IA203" i="17" s="1"/>
  <c r="HL203" i="17"/>
  <c r="IN203" i="17" s="1"/>
  <c r="GR203" i="17"/>
  <c r="HT203" i="17" s="1"/>
  <c r="HN203" i="17"/>
  <c r="IP203" i="17" s="1"/>
  <c r="GU203" i="17"/>
  <c r="HW203" i="17" s="1"/>
  <c r="HG203" i="17"/>
  <c r="II203" i="17" s="1"/>
  <c r="HC203" i="17"/>
  <c r="IE203" i="17" s="1"/>
  <c r="HR203" i="17"/>
  <c r="IT203" i="17" s="1"/>
  <c r="GS203" i="17"/>
  <c r="HU203" i="17" s="1"/>
  <c r="HP203" i="17"/>
  <c r="IR203" i="17" s="1"/>
  <c r="HE203" i="17"/>
  <c r="IG203" i="17" s="1"/>
  <c r="HF203" i="17"/>
  <c r="IH203" i="17" s="1"/>
  <c r="HQ203" i="17"/>
  <c r="IS203" i="17" s="1"/>
  <c r="GT203" i="17"/>
  <c r="HV203" i="17" s="1"/>
  <c r="HB203" i="17"/>
  <c r="ID203" i="17" s="1"/>
  <c r="HO203" i="17"/>
  <c r="IQ203" i="17" s="1"/>
  <c r="GV203" i="17"/>
  <c r="HX203" i="17" s="1"/>
  <c r="HI203" i="17"/>
  <c r="IK203" i="17" s="1"/>
  <c r="GZ203" i="17"/>
  <c r="IB203" i="17" s="1"/>
  <c r="HA203" i="17"/>
  <c r="IC203" i="17" s="1"/>
  <c r="HJ203" i="17"/>
  <c r="IL203" i="17" s="1"/>
  <c r="HM203" i="17"/>
  <c r="IO203" i="17" s="1"/>
  <c r="HK203" i="17"/>
  <c r="IM203" i="17" s="1"/>
  <c r="GX203" i="17"/>
  <c r="HZ203" i="17" s="1"/>
  <c r="HH203" i="17"/>
  <c r="IJ203" i="17" s="1"/>
  <c r="GW203" i="17"/>
  <c r="HY203" i="17" s="1"/>
  <c r="HK296" i="17"/>
  <c r="IM296" i="17" s="1"/>
  <c r="HD296" i="17"/>
  <c r="IF296" i="17" s="1"/>
  <c r="HR296" i="17"/>
  <c r="IT296" i="17" s="1"/>
  <c r="GX296" i="17"/>
  <c r="HZ296" i="17" s="1"/>
  <c r="GR296" i="17"/>
  <c r="HT296" i="17" s="1"/>
  <c r="HM296" i="17"/>
  <c r="IO296" i="17" s="1"/>
  <c r="HN296" i="17"/>
  <c r="IP296" i="17" s="1"/>
  <c r="GS296" i="17"/>
  <c r="HU296" i="17" s="1"/>
  <c r="GU296" i="17"/>
  <c r="HW296" i="17" s="1"/>
  <c r="HQ296" i="17"/>
  <c r="IS296" i="17" s="1"/>
  <c r="HH296" i="17"/>
  <c r="IJ296" i="17" s="1"/>
  <c r="HF296" i="17"/>
  <c r="IH296" i="17" s="1"/>
  <c r="HP296" i="17"/>
  <c r="IR296" i="17" s="1"/>
  <c r="HI296" i="17"/>
  <c r="IK296" i="17" s="1"/>
  <c r="HJ296" i="17"/>
  <c r="IL296" i="17" s="1"/>
  <c r="HL296" i="17"/>
  <c r="IN296" i="17" s="1"/>
  <c r="GZ296" i="17"/>
  <c r="IB296" i="17" s="1"/>
  <c r="HG296" i="17"/>
  <c r="II296" i="17" s="1"/>
  <c r="HA296" i="17"/>
  <c r="IC296" i="17" s="1"/>
  <c r="GV296" i="17"/>
  <c r="HX296" i="17" s="1"/>
  <c r="GT296" i="17"/>
  <c r="HV296" i="17" s="1"/>
  <c r="GY296" i="17"/>
  <c r="IA296" i="17" s="1"/>
  <c r="GW296" i="17"/>
  <c r="HY296" i="17" s="1"/>
  <c r="HO296" i="17"/>
  <c r="IQ296" i="17" s="1"/>
  <c r="HE296" i="17"/>
  <c r="IG296" i="17" s="1"/>
  <c r="HB296" i="17"/>
  <c r="ID296" i="17" s="1"/>
  <c r="HC296" i="17"/>
  <c r="IE296" i="17" s="1"/>
  <c r="GR32" i="17"/>
  <c r="HT32" i="17" s="1"/>
  <c r="GY32" i="17"/>
  <c r="IA32" i="17" s="1"/>
  <c r="HH32" i="17"/>
  <c r="IJ32" i="17" s="1"/>
  <c r="GT32" i="17"/>
  <c r="HV32" i="17" s="1"/>
  <c r="GZ32" i="17"/>
  <c r="IB32" i="17" s="1"/>
  <c r="HG32" i="17"/>
  <c r="II32" i="17" s="1"/>
  <c r="HE32" i="17"/>
  <c r="IG32" i="17" s="1"/>
  <c r="HJ32" i="17"/>
  <c r="IL32" i="17" s="1"/>
  <c r="GU32" i="17"/>
  <c r="HW32" i="17" s="1"/>
  <c r="HP32" i="17"/>
  <c r="IR32" i="17" s="1"/>
  <c r="HI32" i="17"/>
  <c r="IK32" i="17" s="1"/>
  <c r="HQ32" i="17"/>
  <c r="IS32" i="17" s="1"/>
  <c r="HB32" i="17"/>
  <c r="ID32" i="17" s="1"/>
  <c r="HK32" i="17"/>
  <c r="IM32" i="17" s="1"/>
  <c r="HF32" i="17"/>
  <c r="IH32" i="17" s="1"/>
  <c r="GS32" i="17"/>
  <c r="HU32" i="17" s="1"/>
  <c r="HA32" i="17"/>
  <c r="IC32" i="17" s="1"/>
  <c r="GV32" i="17"/>
  <c r="HX32" i="17" s="1"/>
  <c r="GW32" i="17"/>
  <c r="HY32" i="17" s="1"/>
  <c r="HL32" i="17"/>
  <c r="IN32" i="17" s="1"/>
  <c r="HN32" i="17"/>
  <c r="IP32" i="17" s="1"/>
  <c r="HD32" i="17"/>
  <c r="IF32" i="17" s="1"/>
  <c r="HO32" i="17"/>
  <c r="IQ32" i="17" s="1"/>
  <c r="HM32" i="17"/>
  <c r="IO32" i="17" s="1"/>
  <c r="HR32" i="17"/>
  <c r="IT32" i="17" s="1"/>
  <c r="GX32" i="17"/>
  <c r="HZ32" i="17" s="1"/>
  <c r="HC32" i="17"/>
  <c r="IE32" i="17" s="1"/>
  <c r="C48" i="17"/>
  <c r="AV169" i="17"/>
  <c r="HC287" i="17"/>
  <c r="IE287" i="17" s="1"/>
  <c r="HD287" i="17"/>
  <c r="IF287" i="17" s="1"/>
  <c r="GZ287" i="17"/>
  <c r="IB287" i="17" s="1"/>
  <c r="HP287" i="17"/>
  <c r="IR287" i="17" s="1"/>
  <c r="HI287" i="17"/>
  <c r="IK287" i="17" s="1"/>
  <c r="HH287" i="17"/>
  <c r="IJ287" i="17" s="1"/>
  <c r="HR287" i="17"/>
  <c r="IT287" i="17" s="1"/>
  <c r="GX287" i="17"/>
  <c r="HZ287" i="17" s="1"/>
  <c r="HK287" i="17"/>
  <c r="IM287" i="17" s="1"/>
  <c r="HQ287" i="17"/>
  <c r="IS287" i="17" s="1"/>
  <c r="GY287" i="17"/>
  <c r="IA287" i="17" s="1"/>
  <c r="GR287" i="17"/>
  <c r="HT287" i="17" s="1"/>
  <c r="HJ287" i="17"/>
  <c r="IL287" i="17" s="1"/>
  <c r="HM287" i="17"/>
  <c r="IO287" i="17" s="1"/>
  <c r="HO287" i="17"/>
  <c r="IQ287" i="17" s="1"/>
  <c r="GU287" i="17"/>
  <c r="HW287" i="17" s="1"/>
  <c r="GV287" i="17"/>
  <c r="HX287" i="17" s="1"/>
  <c r="HG287" i="17"/>
  <c r="II287" i="17" s="1"/>
  <c r="GW287" i="17"/>
  <c r="HY287" i="17" s="1"/>
  <c r="HA287" i="17"/>
  <c r="IC287" i="17" s="1"/>
  <c r="HL287" i="17"/>
  <c r="IN287" i="17" s="1"/>
  <c r="HE287" i="17"/>
  <c r="IG287" i="17" s="1"/>
  <c r="GS287" i="17"/>
  <c r="HU287" i="17" s="1"/>
  <c r="GT287" i="17"/>
  <c r="HV287" i="17" s="1"/>
  <c r="HF287" i="17"/>
  <c r="IH287" i="17" s="1"/>
  <c r="HN287" i="17"/>
  <c r="IP287" i="17" s="1"/>
  <c r="HB287" i="17"/>
  <c r="ID287" i="17" s="1"/>
  <c r="AV191" i="17"/>
  <c r="C219" i="17"/>
  <c r="HG228" i="17"/>
  <c r="II228" i="17" s="1"/>
  <c r="GS228" i="17"/>
  <c r="HU228" i="17" s="1"/>
  <c r="HM228" i="17"/>
  <c r="IO228" i="17" s="1"/>
  <c r="HH228" i="17"/>
  <c r="IJ228" i="17" s="1"/>
  <c r="GZ228" i="17"/>
  <c r="IB228" i="17" s="1"/>
  <c r="HK228" i="17"/>
  <c r="IM228" i="17" s="1"/>
  <c r="HP228" i="17"/>
  <c r="IR228" i="17" s="1"/>
  <c r="GX228" i="17"/>
  <c r="HZ228" i="17" s="1"/>
  <c r="HR228" i="17"/>
  <c r="IT228" i="17" s="1"/>
  <c r="HD228" i="17"/>
  <c r="IF228" i="17" s="1"/>
  <c r="HO228" i="17"/>
  <c r="IQ228" i="17" s="1"/>
  <c r="GR228" i="17"/>
  <c r="HT228" i="17" s="1"/>
  <c r="GV228" i="17"/>
  <c r="HX228" i="17" s="1"/>
  <c r="HF228" i="17"/>
  <c r="IH228" i="17" s="1"/>
  <c r="HA228" i="17"/>
  <c r="IC228" i="17" s="1"/>
  <c r="HJ228" i="17"/>
  <c r="IL228" i="17" s="1"/>
  <c r="GT228" i="17"/>
  <c r="HV228" i="17" s="1"/>
  <c r="HB228" i="17"/>
  <c r="ID228" i="17" s="1"/>
  <c r="GU228" i="17"/>
  <c r="HW228" i="17" s="1"/>
  <c r="HN228" i="17"/>
  <c r="IP228" i="17" s="1"/>
  <c r="HQ228" i="17"/>
  <c r="IS228" i="17" s="1"/>
  <c r="HL228" i="17"/>
  <c r="IN228" i="17" s="1"/>
  <c r="HE228" i="17"/>
  <c r="IG228" i="17" s="1"/>
  <c r="GY228" i="17"/>
  <c r="IA228" i="17" s="1"/>
  <c r="GW228" i="17"/>
  <c r="HY228" i="17" s="1"/>
  <c r="HC228" i="17"/>
  <c r="IE228" i="17" s="1"/>
  <c r="HI228" i="17"/>
  <c r="IK228" i="17" s="1"/>
  <c r="AV78" i="17"/>
  <c r="C78" i="17"/>
  <c r="C214" i="17"/>
  <c r="HQ98" i="17"/>
  <c r="IS98" i="17" s="1"/>
  <c r="HE98" i="17"/>
  <c r="IG98" i="17" s="1"/>
  <c r="HI98" i="17"/>
  <c r="IK98" i="17" s="1"/>
  <c r="HD98" i="17"/>
  <c r="IF98" i="17" s="1"/>
  <c r="HG98" i="17"/>
  <c r="II98" i="17" s="1"/>
  <c r="GX98" i="17"/>
  <c r="HZ98" i="17" s="1"/>
  <c r="HL98" i="17"/>
  <c r="IN98" i="17" s="1"/>
  <c r="GY98" i="17"/>
  <c r="IA98" i="17" s="1"/>
  <c r="HA98" i="17"/>
  <c r="IC98" i="17" s="1"/>
  <c r="HF98" i="17"/>
  <c r="IH98" i="17" s="1"/>
  <c r="GR98" i="17"/>
  <c r="HT98" i="17" s="1"/>
  <c r="GT98" i="17"/>
  <c r="HV98" i="17" s="1"/>
  <c r="GS98" i="17"/>
  <c r="HU98" i="17" s="1"/>
  <c r="HN98" i="17"/>
  <c r="IP98" i="17" s="1"/>
  <c r="HK98" i="17"/>
  <c r="IM98" i="17" s="1"/>
  <c r="HR98" i="17"/>
  <c r="IT98" i="17" s="1"/>
  <c r="HM98" i="17"/>
  <c r="IO98" i="17" s="1"/>
  <c r="HH98" i="17"/>
  <c r="IJ98" i="17" s="1"/>
  <c r="GZ98" i="17"/>
  <c r="IB98" i="17" s="1"/>
  <c r="HB98" i="17"/>
  <c r="ID98" i="17" s="1"/>
  <c r="HJ98" i="17"/>
  <c r="IL98" i="17" s="1"/>
  <c r="HP98" i="17"/>
  <c r="IR98" i="17" s="1"/>
  <c r="GU98" i="17"/>
  <c r="HW98" i="17" s="1"/>
  <c r="HO98" i="17"/>
  <c r="IQ98" i="17" s="1"/>
  <c r="GV98" i="17"/>
  <c r="HX98" i="17" s="1"/>
  <c r="GW98" i="17"/>
  <c r="HY98" i="17" s="1"/>
  <c r="HC98" i="17"/>
  <c r="IE98" i="17" s="1"/>
  <c r="GQ63" i="17"/>
  <c r="AV63" i="17"/>
  <c r="C237" i="17"/>
  <c r="HP230" i="17"/>
  <c r="IR230" i="17" s="1"/>
  <c r="HQ230" i="17"/>
  <c r="IS230" i="17" s="1"/>
  <c r="HF230" i="17"/>
  <c r="IH230" i="17" s="1"/>
  <c r="GW230" i="17"/>
  <c r="HY230" i="17" s="1"/>
  <c r="HB230" i="17"/>
  <c r="ID230" i="17" s="1"/>
  <c r="GY230" i="17"/>
  <c r="IA230" i="17" s="1"/>
  <c r="HC230" i="17"/>
  <c r="IE230" i="17" s="1"/>
  <c r="GS230" i="17"/>
  <c r="HU230" i="17" s="1"/>
  <c r="HM230" i="17"/>
  <c r="IO230" i="17" s="1"/>
  <c r="HN230" i="17"/>
  <c r="IP230" i="17" s="1"/>
  <c r="GZ230" i="17"/>
  <c r="IB230" i="17" s="1"/>
  <c r="HL230" i="17"/>
  <c r="IN230" i="17" s="1"/>
  <c r="GU230" i="17"/>
  <c r="HW230" i="17" s="1"/>
  <c r="HH230" i="17"/>
  <c r="IJ230" i="17" s="1"/>
  <c r="HJ230" i="17"/>
  <c r="IL230" i="17" s="1"/>
  <c r="HE230" i="17"/>
  <c r="IG230" i="17" s="1"/>
  <c r="HI230" i="17"/>
  <c r="IK230" i="17" s="1"/>
  <c r="GX230" i="17"/>
  <c r="HZ230" i="17" s="1"/>
  <c r="GR230" i="17"/>
  <c r="HT230" i="17" s="1"/>
  <c r="HK230" i="17"/>
  <c r="IM230" i="17" s="1"/>
  <c r="HO230" i="17"/>
  <c r="IQ230" i="17" s="1"/>
  <c r="GV230" i="17"/>
  <c r="HX230" i="17" s="1"/>
  <c r="HR230" i="17"/>
  <c r="IT230" i="17" s="1"/>
  <c r="HD230" i="17"/>
  <c r="IF230" i="17" s="1"/>
  <c r="HA230" i="17"/>
  <c r="IC230" i="17" s="1"/>
  <c r="HG230" i="17"/>
  <c r="II230" i="17" s="1"/>
  <c r="GT230" i="17"/>
  <c r="HV230" i="17" s="1"/>
  <c r="C189" i="17"/>
  <c r="AV251" i="17"/>
  <c r="AV69" i="17"/>
  <c r="AV241" i="17"/>
  <c r="C86" i="17"/>
  <c r="AV75" i="17"/>
  <c r="C307" i="17"/>
  <c r="HL118" i="17"/>
  <c r="IN118" i="17" s="1"/>
  <c r="GW118" i="17"/>
  <c r="HY118" i="17" s="1"/>
  <c r="HA118" i="17"/>
  <c r="IC118" i="17" s="1"/>
  <c r="GT118" i="17"/>
  <c r="HV118" i="17" s="1"/>
  <c r="HQ118" i="17"/>
  <c r="IS118" i="17" s="1"/>
  <c r="HR118" i="17"/>
  <c r="IT118" i="17" s="1"/>
  <c r="HO118" i="17"/>
  <c r="IQ118" i="17" s="1"/>
  <c r="HC118" i="17"/>
  <c r="IE118" i="17" s="1"/>
  <c r="HK118" i="17"/>
  <c r="IM118" i="17" s="1"/>
  <c r="HE118" i="17"/>
  <c r="IG118" i="17" s="1"/>
  <c r="HM118" i="17"/>
  <c r="IO118" i="17" s="1"/>
  <c r="GY118" i="17"/>
  <c r="IA118" i="17" s="1"/>
  <c r="HG118" i="17"/>
  <c r="II118" i="17" s="1"/>
  <c r="HP118" i="17"/>
  <c r="IR118" i="17" s="1"/>
  <c r="HI118" i="17"/>
  <c r="IK118" i="17" s="1"/>
  <c r="GU118" i="17"/>
  <c r="HW118" i="17" s="1"/>
  <c r="GZ118" i="17"/>
  <c r="IB118" i="17" s="1"/>
  <c r="HB118" i="17"/>
  <c r="ID118" i="17" s="1"/>
  <c r="GV118" i="17"/>
  <c r="HX118" i="17" s="1"/>
  <c r="HF118" i="17"/>
  <c r="IH118" i="17" s="1"/>
  <c r="HH118" i="17"/>
  <c r="IJ118" i="17" s="1"/>
  <c r="GR118" i="17"/>
  <c r="HT118" i="17" s="1"/>
  <c r="HJ118" i="17"/>
  <c r="IL118" i="17" s="1"/>
  <c r="GS118" i="17"/>
  <c r="HU118" i="17" s="1"/>
  <c r="HD118" i="17"/>
  <c r="IF118" i="17" s="1"/>
  <c r="GX118" i="17"/>
  <c r="HZ118" i="17" s="1"/>
  <c r="HN118" i="17"/>
  <c r="IP118" i="17" s="1"/>
  <c r="AV101" i="17"/>
  <c r="AV47" i="17"/>
  <c r="GU255" i="17"/>
  <c r="HW255" i="17" s="1"/>
  <c r="HD255" i="17"/>
  <c r="IF255" i="17" s="1"/>
  <c r="GS255" i="17"/>
  <c r="HU255" i="17" s="1"/>
  <c r="HN255" i="17"/>
  <c r="IP255" i="17" s="1"/>
  <c r="HC255" i="17"/>
  <c r="IE255" i="17" s="1"/>
  <c r="HJ255" i="17"/>
  <c r="IL255" i="17" s="1"/>
  <c r="HK255" i="17"/>
  <c r="IM255" i="17" s="1"/>
  <c r="HA255" i="17"/>
  <c r="IC255" i="17" s="1"/>
  <c r="HE255" i="17"/>
  <c r="IG255" i="17" s="1"/>
  <c r="HI255" i="17"/>
  <c r="IK255" i="17" s="1"/>
  <c r="HO255" i="17"/>
  <c r="IQ255" i="17" s="1"/>
  <c r="HF255" i="17"/>
  <c r="IH255" i="17" s="1"/>
  <c r="HQ255" i="17"/>
  <c r="IS255" i="17" s="1"/>
  <c r="HM255" i="17"/>
  <c r="IO255" i="17" s="1"/>
  <c r="HR255" i="17"/>
  <c r="IT255" i="17" s="1"/>
  <c r="GX255" i="17"/>
  <c r="HZ255" i="17" s="1"/>
  <c r="HG255" i="17"/>
  <c r="II255" i="17" s="1"/>
  <c r="GZ255" i="17"/>
  <c r="IB255" i="17" s="1"/>
  <c r="HB255" i="17"/>
  <c r="ID255" i="17" s="1"/>
  <c r="GW255" i="17"/>
  <c r="HY255" i="17" s="1"/>
  <c r="HL255" i="17"/>
  <c r="IN255" i="17" s="1"/>
  <c r="GT255" i="17"/>
  <c r="HV255" i="17" s="1"/>
  <c r="GV255" i="17"/>
  <c r="HX255" i="17" s="1"/>
  <c r="GR255" i="17"/>
  <c r="HT255" i="17" s="1"/>
  <c r="GY255" i="17"/>
  <c r="IA255" i="17" s="1"/>
  <c r="HH255" i="17"/>
  <c r="IJ255" i="17" s="1"/>
  <c r="HP255" i="17"/>
  <c r="IR255" i="17" s="1"/>
  <c r="GV65" i="17"/>
  <c r="HX65" i="17" s="1"/>
  <c r="GT65" i="17"/>
  <c r="HV65" i="17" s="1"/>
  <c r="GS65" i="17"/>
  <c r="HU65" i="17" s="1"/>
  <c r="HF65" i="17"/>
  <c r="IH65" i="17" s="1"/>
  <c r="GX65" i="17"/>
  <c r="HZ65" i="17" s="1"/>
  <c r="GW65" i="17"/>
  <c r="HY65" i="17" s="1"/>
  <c r="GU65" i="17"/>
  <c r="HW65" i="17" s="1"/>
  <c r="GY65" i="17"/>
  <c r="IA65" i="17" s="1"/>
  <c r="GZ65" i="17"/>
  <c r="IB65" i="17" s="1"/>
  <c r="HP65" i="17"/>
  <c r="IR65" i="17" s="1"/>
  <c r="HN65" i="17"/>
  <c r="IP65" i="17" s="1"/>
  <c r="HL65" i="17"/>
  <c r="IN65" i="17" s="1"/>
  <c r="HG65" i="17"/>
  <c r="II65" i="17" s="1"/>
  <c r="HB65" i="17"/>
  <c r="ID65" i="17" s="1"/>
  <c r="HQ65" i="17"/>
  <c r="IS65" i="17" s="1"/>
  <c r="HI65" i="17"/>
  <c r="IK65" i="17" s="1"/>
  <c r="HR65" i="17"/>
  <c r="IT65" i="17" s="1"/>
  <c r="HA65" i="17"/>
  <c r="IC65" i="17" s="1"/>
  <c r="HH65" i="17"/>
  <c r="IJ65" i="17" s="1"/>
  <c r="HJ65" i="17"/>
  <c r="IL65" i="17" s="1"/>
  <c r="HM65" i="17"/>
  <c r="IO65" i="17" s="1"/>
  <c r="HC65" i="17"/>
  <c r="IE65" i="17" s="1"/>
  <c r="HD65" i="17"/>
  <c r="IF65" i="17" s="1"/>
  <c r="HK65" i="17"/>
  <c r="IM65" i="17" s="1"/>
  <c r="HE65" i="17"/>
  <c r="IG65" i="17" s="1"/>
  <c r="GR65" i="17"/>
  <c r="HT65" i="17" s="1"/>
  <c r="HO65" i="17"/>
  <c r="IQ65" i="17" s="1"/>
  <c r="HP257" i="17"/>
  <c r="IR257" i="17" s="1"/>
  <c r="GU257" i="17"/>
  <c r="HW257" i="17" s="1"/>
  <c r="GV257" i="17"/>
  <c r="HX257" i="17" s="1"/>
  <c r="GZ257" i="17"/>
  <c r="IB257" i="17" s="1"/>
  <c r="HA257" i="17"/>
  <c r="IC257" i="17" s="1"/>
  <c r="GY257" i="17"/>
  <c r="IA257" i="17" s="1"/>
  <c r="HR257" i="17"/>
  <c r="IT257" i="17" s="1"/>
  <c r="HI257" i="17"/>
  <c r="IK257" i="17" s="1"/>
  <c r="HF257" i="17"/>
  <c r="IH257" i="17" s="1"/>
  <c r="GS257" i="17"/>
  <c r="HU257" i="17" s="1"/>
  <c r="HE257" i="17"/>
  <c r="IG257" i="17" s="1"/>
  <c r="GX257" i="17"/>
  <c r="HZ257" i="17" s="1"/>
  <c r="HN257" i="17"/>
  <c r="IP257" i="17" s="1"/>
  <c r="HM257" i="17"/>
  <c r="IO257" i="17" s="1"/>
  <c r="HC257" i="17"/>
  <c r="IE257" i="17" s="1"/>
  <c r="GR257" i="17"/>
  <c r="HT257" i="17" s="1"/>
  <c r="HK257" i="17"/>
  <c r="IM257" i="17" s="1"/>
  <c r="GW257" i="17"/>
  <c r="HY257" i="17" s="1"/>
  <c r="HH257" i="17"/>
  <c r="IJ257" i="17" s="1"/>
  <c r="HD257" i="17"/>
  <c r="IF257" i="17" s="1"/>
  <c r="HO257" i="17"/>
  <c r="IQ257" i="17" s="1"/>
  <c r="HG257" i="17"/>
  <c r="II257" i="17" s="1"/>
  <c r="HB257" i="17"/>
  <c r="ID257" i="17" s="1"/>
  <c r="HJ257" i="17"/>
  <c r="IL257" i="17" s="1"/>
  <c r="HQ257" i="17"/>
  <c r="IS257" i="17" s="1"/>
  <c r="HL257" i="17"/>
  <c r="IN257" i="17" s="1"/>
  <c r="GT257" i="17"/>
  <c r="HV257" i="17" s="1"/>
  <c r="C230" i="17"/>
  <c r="C273" i="17"/>
  <c r="AV156" i="17"/>
  <c r="AV215" i="17"/>
  <c r="C274" i="17"/>
  <c r="GY267" i="17"/>
  <c r="IA267" i="17" s="1"/>
  <c r="HD267" i="17"/>
  <c r="IF267" i="17" s="1"/>
  <c r="HG267" i="17"/>
  <c r="II267" i="17" s="1"/>
  <c r="HI267" i="17"/>
  <c r="IK267" i="17" s="1"/>
  <c r="HF267" i="17"/>
  <c r="IH267" i="17" s="1"/>
  <c r="HH267" i="17"/>
  <c r="IJ267" i="17" s="1"/>
  <c r="GW267" i="17"/>
  <c r="HY267" i="17" s="1"/>
  <c r="GX267" i="17"/>
  <c r="HZ267" i="17" s="1"/>
  <c r="HK267" i="17"/>
  <c r="IM267" i="17" s="1"/>
  <c r="HN267" i="17"/>
  <c r="IP267" i="17" s="1"/>
  <c r="HO267" i="17"/>
  <c r="IQ267" i="17" s="1"/>
  <c r="GU267" i="17"/>
  <c r="HW267" i="17" s="1"/>
  <c r="HB267" i="17"/>
  <c r="ID267" i="17" s="1"/>
  <c r="HM267" i="17"/>
  <c r="IO267" i="17" s="1"/>
  <c r="GR267" i="17"/>
  <c r="HT267" i="17" s="1"/>
  <c r="HC267" i="17"/>
  <c r="IE267" i="17" s="1"/>
  <c r="HP267" i="17"/>
  <c r="IR267" i="17" s="1"/>
  <c r="HL267" i="17"/>
  <c r="IN267" i="17" s="1"/>
  <c r="GV267" i="17"/>
  <c r="HX267" i="17" s="1"/>
  <c r="HE267" i="17"/>
  <c r="IG267" i="17" s="1"/>
  <c r="GS267" i="17"/>
  <c r="HU267" i="17" s="1"/>
  <c r="HR267" i="17"/>
  <c r="IT267" i="17" s="1"/>
  <c r="HJ267" i="17"/>
  <c r="IL267" i="17" s="1"/>
  <c r="GZ267" i="17"/>
  <c r="IB267" i="17" s="1"/>
  <c r="HQ267" i="17"/>
  <c r="IS267" i="17" s="1"/>
  <c r="HA267" i="17"/>
  <c r="IC267" i="17" s="1"/>
  <c r="GT267" i="17"/>
  <c r="HV267" i="17" s="1"/>
  <c r="AV7" i="17"/>
  <c r="C55" i="17"/>
  <c r="C128" i="17"/>
  <c r="HM247" i="17"/>
  <c r="IO247" i="17" s="1"/>
  <c r="HH247" i="17"/>
  <c r="IJ247" i="17" s="1"/>
  <c r="HL247" i="17"/>
  <c r="IN247" i="17" s="1"/>
  <c r="GU247" i="17"/>
  <c r="HW247" i="17" s="1"/>
  <c r="HK247" i="17"/>
  <c r="IM247" i="17" s="1"/>
  <c r="HJ247" i="17"/>
  <c r="IL247" i="17" s="1"/>
  <c r="HC247" i="17"/>
  <c r="IE247" i="17" s="1"/>
  <c r="GR247" i="17"/>
  <c r="HT247" i="17" s="1"/>
  <c r="HR247" i="17"/>
  <c r="IT247" i="17" s="1"/>
  <c r="GS247" i="17"/>
  <c r="HU247" i="17" s="1"/>
  <c r="GT247" i="17"/>
  <c r="HV247" i="17" s="1"/>
  <c r="HE247" i="17"/>
  <c r="IG247" i="17" s="1"/>
  <c r="GV247" i="17"/>
  <c r="HX247" i="17" s="1"/>
  <c r="HO247" i="17"/>
  <c r="IQ247" i="17" s="1"/>
  <c r="HG247" i="17"/>
  <c r="II247" i="17" s="1"/>
  <c r="HD247" i="17"/>
  <c r="IF247" i="17" s="1"/>
  <c r="GX247" i="17"/>
  <c r="HZ247" i="17" s="1"/>
  <c r="HA247" i="17"/>
  <c r="IC247" i="17" s="1"/>
  <c r="HB247" i="17"/>
  <c r="ID247" i="17" s="1"/>
  <c r="HP247" i="17"/>
  <c r="IR247" i="17" s="1"/>
  <c r="HF247" i="17"/>
  <c r="IH247" i="17" s="1"/>
  <c r="HI247" i="17"/>
  <c r="IK247" i="17" s="1"/>
  <c r="HN247" i="17"/>
  <c r="IP247" i="17" s="1"/>
  <c r="GZ247" i="17"/>
  <c r="IB247" i="17" s="1"/>
  <c r="GW247" i="17"/>
  <c r="HY247" i="17" s="1"/>
  <c r="HQ247" i="17"/>
  <c r="IS247" i="17" s="1"/>
  <c r="GY247" i="17"/>
  <c r="IA247" i="17" s="1"/>
  <c r="HA90" i="17"/>
  <c r="IC90" i="17" s="1"/>
  <c r="HM90" i="17"/>
  <c r="IO90" i="17" s="1"/>
  <c r="HC90" i="17"/>
  <c r="IE90" i="17" s="1"/>
  <c r="GS90" i="17"/>
  <c r="HU90" i="17" s="1"/>
  <c r="HB90" i="17"/>
  <c r="ID90" i="17" s="1"/>
  <c r="HJ90" i="17"/>
  <c r="IL90" i="17" s="1"/>
  <c r="GR90" i="17"/>
  <c r="HT90" i="17" s="1"/>
  <c r="GU90" i="17"/>
  <c r="HW90" i="17" s="1"/>
  <c r="HP90" i="17"/>
  <c r="IR90" i="17" s="1"/>
  <c r="GV90" i="17"/>
  <c r="HX90" i="17" s="1"/>
  <c r="HL90" i="17"/>
  <c r="IN90" i="17" s="1"/>
  <c r="GW90" i="17"/>
  <c r="HY90" i="17" s="1"/>
  <c r="HD90" i="17"/>
  <c r="IF90" i="17" s="1"/>
  <c r="HF90" i="17"/>
  <c r="IH90" i="17" s="1"/>
  <c r="GY90" i="17"/>
  <c r="IA90" i="17" s="1"/>
  <c r="GX90" i="17"/>
  <c r="HZ90" i="17" s="1"/>
  <c r="HH90" i="17"/>
  <c r="IJ90" i="17" s="1"/>
  <c r="HN90" i="17"/>
  <c r="IP90" i="17" s="1"/>
  <c r="HG90" i="17"/>
  <c r="II90" i="17" s="1"/>
  <c r="HI90" i="17"/>
  <c r="IK90" i="17" s="1"/>
  <c r="HQ90" i="17"/>
  <c r="IS90" i="17" s="1"/>
  <c r="HE90" i="17"/>
  <c r="IG90" i="17" s="1"/>
  <c r="GT90" i="17"/>
  <c r="HV90" i="17" s="1"/>
  <c r="HR90" i="17"/>
  <c r="IT90" i="17" s="1"/>
  <c r="HK90" i="17"/>
  <c r="IM90" i="17" s="1"/>
  <c r="GZ90" i="17"/>
  <c r="IB90" i="17" s="1"/>
  <c r="HO90" i="17"/>
  <c r="IQ90" i="17" s="1"/>
  <c r="AV121" i="17"/>
  <c r="AV137" i="17"/>
  <c r="C169" i="17"/>
  <c r="C207" i="17"/>
  <c r="HD78" i="17"/>
  <c r="IF78" i="17" s="1"/>
  <c r="GX78" i="17"/>
  <c r="HZ78" i="17" s="1"/>
  <c r="GR78" i="17"/>
  <c r="HT78" i="17" s="1"/>
  <c r="GZ78" i="17"/>
  <c r="IB78" i="17" s="1"/>
  <c r="HJ78" i="17"/>
  <c r="IL78" i="17" s="1"/>
  <c r="HO78" i="17"/>
  <c r="IQ78" i="17" s="1"/>
  <c r="GS78" i="17"/>
  <c r="HU78" i="17" s="1"/>
  <c r="GV78" i="17"/>
  <c r="HX78" i="17" s="1"/>
  <c r="HN78" i="17"/>
  <c r="IP78" i="17" s="1"/>
  <c r="GY78" i="17"/>
  <c r="IA78" i="17" s="1"/>
  <c r="GW78" i="17"/>
  <c r="HY78" i="17" s="1"/>
  <c r="HP78" i="17"/>
  <c r="IR78" i="17" s="1"/>
  <c r="HL78" i="17"/>
  <c r="IN78" i="17" s="1"/>
  <c r="HQ78" i="17"/>
  <c r="IS78" i="17" s="1"/>
  <c r="HA78" i="17"/>
  <c r="IC78" i="17" s="1"/>
  <c r="HE78" i="17"/>
  <c r="IG78" i="17" s="1"/>
  <c r="HG78" i="17"/>
  <c r="II78" i="17" s="1"/>
  <c r="GT78" i="17"/>
  <c r="HV78" i="17" s="1"/>
  <c r="HM78" i="17"/>
  <c r="IO78" i="17" s="1"/>
  <c r="GU78" i="17"/>
  <c r="HW78" i="17" s="1"/>
  <c r="HI78" i="17"/>
  <c r="IK78" i="17" s="1"/>
  <c r="HK78" i="17"/>
  <c r="IM78" i="17" s="1"/>
  <c r="HB78" i="17"/>
  <c r="ID78" i="17" s="1"/>
  <c r="HC78" i="17"/>
  <c r="IE78" i="17" s="1"/>
  <c r="HF78" i="17"/>
  <c r="IH78" i="17" s="1"/>
  <c r="HR78" i="17"/>
  <c r="IT78" i="17" s="1"/>
  <c r="HH78" i="17"/>
  <c r="IJ78" i="17" s="1"/>
  <c r="GQ211" i="17"/>
  <c r="AV211" i="17"/>
  <c r="HG226" i="17"/>
  <c r="II226" i="17" s="1"/>
  <c r="HL226" i="17"/>
  <c r="IN226" i="17" s="1"/>
  <c r="HI226" i="17"/>
  <c r="IK226" i="17" s="1"/>
  <c r="HF226" i="17"/>
  <c r="IH226" i="17" s="1"/>
  <c r="HC226" i="17"/>
  <c r="IE226" i="17" s="1"/>
  <c r="HH226" i="17"/>
  <c r="IJ226" i="17" s="1"/>
  <c r="HQ226" i="17"/>
  <c r="IS226" i="17" s="1"/>
  <c r="GY226" i="17"/>
  <c r="IA226" i="17" s="1"/>
  <c r="GX226" i="17"/>
  <c r="HZ226" i="17" s="1"/>
  <c r="GU226" i="17"/>
  <c r="HW226" i="17" s="1"/>
  <c r="HP226" i="17"/>
  <c r="IR226" i="17" s="1"/>
  <c r="GS226" i="17"/>
  <c r="HU226" i="17" s="1"/>
  <c r="HE226" i="17"/>
  <c r="IG226" i="17" s="1"/>
  <c r="HB226" i="17"/>
  <c r="ID226" i="17" s="1"/>
  <c r="GV226" i="17"/>
  <c r="HX226" i="17" s="1"/>
  <c r="HK226" i="17"/>
  <c r="IM226" i="17" s="1"/>
  <c r="HO226" i="17"/>
  <c r="IQ226" i="17" s="1"/>
  <c r="HD226" i="17"/>
  <c r="IF226" i="17" s="1"/>
  <c r="GR226" i="17"/>
  <c r="HT226" i="17" s="1"/>
  <c r="HA226" i="17"/>
  <c r="IC226" i="17" s="1"/>
  <c r="HR226" i="17"/>
  <c r="IT226" i="17" s="1"/>
  <c r="GZ226" i="17"/>
  <c r="IB226" i="17" s="1"/>
  <c r="HN226" i="17"/>
  <c r="IP226" i="17" s="1"/>
  <c r="GT226" i="17"/>
  <c r="HV226" i="17" s="1"/>
  <c r="HM226" i="17"/>
  <c r="IO226" i="17" s="1"/>
  <c r="GW226" i="17"/>
  <c r="HY226" i="17" s="1"/>
  <c r="HJ226" i="17"/>
  <c r="IL226" i="17" s="1"/>
  <c r="GU132" i="17"/>
  <c r="HW132" i="17" s="1"/>
  <c r="HD132" i="17"/>
  <c r="IF132" i="17" s="1"/>
  <c r="HQ132" i="17"/>
  <c r="IS132" i="17" s="1"/>
  <c r="GT132" i="17"/>
  <c r="HV132" i="17" s="1"/>
  <c r="HI132" i="17"/>
  <c r="IK132" i="17" s="1"/>
  <c r="HN132" i="17"/>
  <c r="IP132" i="17" s="1"/>
  <c r="HR132" i="17"/>
  <c r="IT132" i="17" s="1"/>
  <c r="GV132" i="17"/>
  <c r="HX132" i="17" s="1"/>
  <c r="HG132" i="17"/>
  <c r="II132" i="17" s="1"/>
  <c r="HK132" i="17"/>
  <c r="IM132" i="17" s="1"/>
  <c r="HP132" i="17"/>
  <c r="IR132" i="17" s="1"/>
  <c r="GS132" i="17"/>
  <c r="HU132" i="17" s="1"/>
  <c r="GR132" i="17"/>
  <c r="HT132" i="17" s="1"/>
  <c r="HC132" i="17"/>
  <c r="IE132" i="17" s="1"/>
  <c r="HH132" i="17"/>
  <c r="IJ132" i="17" s="1"/>
  <c r="GZ132" i="17"/>
  <c r="IB132" i="17" s="1"/>
  <c r="HJ132" i="17"/>
  <c r="IL132" i="17" s="1"/>
  <c r="HL132" i="17"/>
  <c r="IN132" i="17" s="1"/>
  <c r="HA132" i="17"/>
  <c r="IC132" i="17" s="1"/>
  <c r="GX132" i="17"/>
  <c r="HZ132" i="17" s="1"/>
  <c r="GY132" i="17"/>
  <c r="IA132" i="17" s="1"/>
  <c r="HM132" i="17"/>
  <c r="IO132" i="17" s="1"/>
  <c r="GW132" i="17"/>
  <c r="HY132" i="17" s="1"/>
  <c r="HO132" i="17"/>
  <c r="IQ132" i="17" s="1"/>
  <c r="HB132" i="17"/>
  <c r="ID132" i="17" s="1"/>
  <c r="HF132" i="17"/>
  <c r="IH132" i="17" s="1"/>
  <c r="HE132" i="17"/>
  <c r="IG132" i="17" s="1"/>
  <c r="AV263" i="17"/>
  <c r="AV71" i="17"/>
  <c r="AV72" i="17"/>
  <c r="AV289" i="17"/>
  <c r="AV153" i="17"/>
  <c r="AV73" i="17"/>
  <c r="AV81" i="17"/>
  <c r="AV306" i="17"/>
  <c r="GX27" i="17"/>
  <c r="HZ27" i="17" s="1"/>
  <c r="HL27" i="17"/>
  <c r="IN27" i="17" s="1"/>
  <c r="HP27" i="17"/>
  <c r="IR27" i="17" s="1"/>
  <c r="HB27" i="17"/>
  <c r="ID27" i="17" s="1"/>
  <c r="HO27" i="17"/>
  <c r="IQ27" i="17" s="1"/>
  <c r="HI27" i="17"/>
  <c r="IK27" i="17" s="1"/>
  <c r="GU27" i="17"/>
  <c r="HW27" i="17" s="1"/>
  <c r="GZ27" i="17"/>
  <c r="IB27" i="17" s="1"/>
  <c r="GY27" i="17"/>
  <c r="IA27" i="17" s="1"/>
  <c r="GW27" i="17"/>
  <c r="HY27" i="17" s="1"/>
  <c r="GT27" i="17"/>
  <c r="HV27" i="17" s="1"/>
  <c r="HM27" i="17"/>
  <c r="IO27" i="17" s="1"/>
  <c r="HK27" i="17"/>
  <c r="IM27" i="17" s="1"/>
  <c r="HG27" i="17"/>
  <c r="II27" i="17" s="1"/>
  <c r="GS27" i="17"/>
  <c r="HU27" i="17" s="1"/>
  <c r="HH27" i="17"/>
  <c r="IJ27" i="17" s="1"/>
  <c r="HR27" i="17"/>
  <c r="IT27" i="17" s="1"/>
  <c r="HA27" i="17"/>
  <c r="IC27" i="17" s="1"/>
  <c r="GR27" i="17"/>
  <c r="HT27" i="17" s="1"/>
  <c r="HF27" i="17"/>
  <c r="IH27" i="17" s="1"/>
  <c r="GV27" i="17"/>
  <c r="HX27" i="17" s="1"/>
  <c r="HC27" i="17"/>
  <c r="IE27" i="17" s="1"/>
  <c r="HN27" i="17"/>
  <c r="IP27" i="17" s="1"/>
  <c r="HE27" i="17"/>
  <c r="IG27" i="17" s="1"/>
  <c r="HD27" i="17"/>
  <c r="IF27" i="17" s="1"/>
  <c r="HJ27" i="17"/>
  <c r="IL27" i="17" s="1"/>
  <c r="HQ27" i="17"/>
  <c r="IS27" i="17" s="1"/>
  <c r="HN60" i="17"/>
  <c r="IP60" i="17" s="1"/>
  <c r="GY60" i="17"/>
  <c r="IA60" i="17" s="1"/>
  <c r="HH60" i="17"/>
  <c r="IJ60" i="17" s="1"/>
  <c r="GU60" i="17"/>
  <c r="HW60" i="17" s="1"/>
  <c r="HQ60" i="17"/>
  <c r="IS60" i="17" s="1"/>
  <c r="HI60" i="17"/>
  <c r="IK60" i="17" s="1"/>
  <c r="GS60" i="17"/>
  <c r="HU60" i="17" s="1"/>
  <c r="HK60" i="17"/>
  <c r="IM60" i="17" s="1"/>
  <c r="HL60" i="17"/>
  <c r="IN60" i="17" s="1"/>
  <c r="HC60" i="17"/>
  <c r="IE60" i="17" s="1"/>
  <c r="GV60" i="17"/>
  <c r="HX60" i="17" s="1"/>
  <c r="HF60" i="17"/>
  <c r="IH60" i="17" s="1"/>
  <c r="HP60" i="17"/>
  <c r="IR60" i="17" s="1"/>
  <c r="GW60" i="17"/>
  <c r="HY60" i="17" s="1"/>
  <c r="GZ60" i="17"/>
  <c r="IB60" i="17" s="1"/>
  <c r="HM60" i="17"/>
  <c r="IO60" i="17" s="1"/>
  <c r="HR60" i="17"/>
  <c r="IT60" i="17" s="1"/>
  <c r="HB60" i="17"/>
  <c r="ID60" i="17" s="1"/>
  <c r="HJ60" i="17"/>
  <c r="IL60" i="17" s="1"/>
  <c r="GR60" i="17"/>
  <c r="HT60" i="17" s="1"/>
  <c r="GT60" i="17"/>
  <c r="HV60" i="17" s="1"/>
  <c r="HD60" i="17"/>
  <c r="IF60" i="17" s="1"/>
  <c r="HG60" i="17"/>
  <c r="II60" i="17" s="1"/>
  <c r="HE60" i="17"/>
  <c r="IG60" i="17" s="1"/>
  <c r="GX60" i="17"/>
  <c r="HZ60" i="17" s="1"/>
  <c r="HO60" i="17"/>
  <c r="IQ60" i="17" s="1"/>
  <c r="HA60" i="17"/>
  <c r="IC60" i="17" s="1"/>
  <c r="HI136" i="17"/>
  <c r="IK136" i="17" s="1"/>
  <c r="HD136" i="17"/>
  <c r="IF136" i="17" s="1"/>
  <c r="GX136" i="17"/>
  <c r="HZ136" i="17" s="1"/>
  <c r="HB136" i="17"/>
  <c r="ID136" i="17" s="1"/>
  <c r="GR136" i="17"/>
  <c r="HT136" i="17" s="1"/>
  <c r="HE136" i="17"/>
  <c r="IG136" i="17" s="1"/>
  <c r="HQ136" i="17"/>
  <c r="IS136" i="17" s="1"/>
  <c r="HF136" i="17"/>
  <c r="IH136" i="17" s="1"/>
  <c r="HL136" i="17"/>
  <c r="IN136" i="17" s="1"/>
  <c r="HA136" i="17"/>
  <c r="IC136" i="17" s="1"/>
  <c r="HN136" i="17"/>
  <c r="IP136" i="17" s="1"/>
  <c r="HR136" i="17"/>
  <c r="IT136" i="17" s="1"/>
  <c r="GS136" i="17"/>
  <c r="HU136" i="17" s="1"/>
  <c r="HC136" i="17"/>
  <c r="IE136" i="17" s="1"/>
  <c r="HM136" i="17"/>
  <c r="IO136" i="17" s="1"/>
  <c r="HJ136" i="17"/>
  <c r="IL136" i="17" s="1"/>
  <c r="HG136" i="17"/>
  <c r="II136" i="17" s="1"/>
  <c r="HK136" i="17"/>
  <c r="IM136" i="17" s="1"/>
  <c r="GW136" i="17"/>
  <c r="HY136" i="17" s="1"/>
  <c r="HO136" i="17"/>
  <c r="IQ136" i="17" s="1"/>
  <c r="HP136" i="17"/>
  <c r="IR136" i="17" s="1"/>
  <c r="GU136" i="17"/>
  <c r="HW136" i="17" s="1"/>
  <c r="GY136" i="17"/>
  <c r="IA136" i="17" s="1"/>
  <c r="HH136" i="17"/>
  <c r="IJ136" i="17" s="1"/>
  <c r="GZ136" i="17"/>
  <c r="IB136" i="17" s="1"/>
  <c r="GT136" i="17"/>
  <c r="HV136" i="17" s="1"/>
  <c r="GV136" i="17"/>
  <c r="HX136" i="17" s="1"/>
  <c r="GW237" i="17"/>
  <c r="HY237" i="17" s="1"/>
  <c r="HG237" i="17"/>
  <c r="II237" i="17" s="1"/>
  <c r="HP237" i="17"/>
  <c r="IR237" i="17" s="1"/>
  <c r="HI237" i="17"/>
  <c r="IK237" i="17" s="1"/>
  <c r="GR237" i="17"/>
  <c r="HT237" i="17" s="1"/>
  <c r="GX237" i="17"/>
  <c r="HZ237" i="17" s="1"/>
  <c r="GY237" i="17"/>
  <c r="IA237" i="17" s="1"/>
  <c r="GU237" i="17"/>
  <c r="HW237" i="17" s="1"/>
  <c r="GS237" i="17"/>
  <c r="HU237" i="17" s="1"/>
  <c r="HM237" i="17"/>
  <c r="IO237" i="17" s="1"/>
  <c r="HH237" i="17"/>
  <c r="IJ237" i="17" s="1"/>
  <c r="GT237" i="17"/>
  <c r="HV237" i="17" s="1"/>
  <c r="HE237" i="17"/>
  <c r="IG237" i="17" s="1"/>
  <c r="HO237" i="17"/>
  <c r="IQ237" i="17" s="1"/>
  <c r="HR237" i="17"/>
  <c r="IT237" i="17" s="1"/>
  <c r="HB237" i="17"/>
  <c r="ID237" i="17" s="1"/>
  <c r="HF237" i="17"/>
  <c r="IH237" i="17" s="1"/>
  <c r="HC237" i="17"/>
  <c r="IE237" i="17" s="1"/>
  <c r="HA237" i="17"/>
  <c r="IC237" i="17" s="1"/>
  <c r="HD237" i="17"/>
  <c r="IF237" i="17" s="1"/>
  <c r="HQ237" i="17"/>
  <c r="IS237" i="17" s="1"/>
  <c r="HJ237" i="17"/>
  <c r="IL237" i="17" s="1"/>
  <c r="HN237" i="17"/>
  <c r="IP237" i="17" s="1"/>
  <c r="HL237" i="17"/>
  <c r="IN237" i="17" s="1"/>
  <c r="GV237" i="17"/>
  <c r="HX237" i="17" s="1"/>
  <c r="GZ237" i="17"/>
  <c r="IB237" i="17" s="1"/>
  <c r="HK237" i="17"/>
  <c r="IM237" i="17" s="1"/>
  <c r="AV100" i="17"/>
  <c r="AV86" i="17"/>
  <c r="C247" i="17"/>
  <c r="C83" i="17"/>
  <c r="GY310" i="17"/>
  <c r="IA310" i="17" s="1"/>
  <c r="GT310" i="17"/>
  <c r="HV310" i="17" s="1"/>
  <c r="HN310" i="17"/>
  <c r="IP310" i="17" s="1"/>
  <c r="HA310" i="17"/>
  <c r="IC310" i="17" s="1"/>
  <c r="HL310" i="17"/>
  <c r="IN310" i="17" s="1"/>
  <c r="HC310" i="17"/>
  <c r="IE310" i="17" s="1"/>
  <c r="HH310" i="17"/>
  <c r="IJ310" i="17" s="1"/>
  <c r="HG310" i="17"/>
  <c r="II310" i="17" s="1"/>
  <c r="HJ310" i="17"/>
  <c r="IL310" i="17" s="1"/>
  <c r="GR310" i="17"/>
  <c r="HT310" i="17" s="1"/>
  <c r="HB310" i="17"/>
  <c r="ID310" i="17" s="1"/>
  <c r="HO310" i="17"/>
  <c r="IQ310" i="17" s="1"/>
  <c r="HR310" i="17"/>
  <c r="IT310" i="17" s="1"/>
  <c r="HF310" i="17"/>
  <c r="IH310" i="17" s="1"/>
  <c r="GV310" i="17"/>
  <c r="HX310" i="17" s="1"/>
  <c r="HP310" i="17"/>
  <c r="IR310" i="17" s="1"/>
  <c r="GS310" i="17"/>
  <c r="HU310" i="17" s="1"/>
  <c r="GW310" i="17"/>
  <c r="HY310" i="17" s="1"/>
  <c r="HD310" i="17"/>
  <c r="IF310" i="17" s="1"/>
  <c r="GX310" i="17"/>
  <c r="HZ310" i="17" s="1"/>
  <c r="HM310" i="17"/>
  <c r="IO310" i="17" s="1"/>
  <c r="HK310" i="17"/>
  <c r="IM310" i="17" s="1"/>
  <c r="HQ310" i="17"/>
  <c r="IS310" i="17" s="1"/>
  <c r="HE310" i="17"/>
  <c r="IG310" i="17" s="1"/>
  <c r="HI310" i="17"/>
  <c r="IK310" i="17" s="1"/>
  <c r="GZ310" i="17"/>
  <c r="IB310" i="17" s="1"/>
  <c r="GU310" i="17"/>
  <c r="HW310" i="17" s="1"/>
  <c r="C240" i="17"/>
  <c r="AV84" i="17"/>
  <c r="AV30" i="17"/>
  <c r="C208" i="17"/>
  <c r="AV208" i="17"/>
  <c r="AV283" i="17"/>
  <c r="AV176" i="17"/>
  <c r="AV28" i="17"/>
  <c r="AV118" i="17"/>
  <c r="AV193" i="17"/>
  <c r="C47" i="17"/>
  <c r="C152" i="17"/>
  <c r="AV152" i="17"/>
  <c r="AV317" i="17"/>
  <c r="GS124" i="17"/>
  <c r="HU124" i="17" s="1"/>
  <c r="HP124" i="17"/>
  <c r="IR124" i="17" s="1"/>
  <c r="GW124" i="17"/>
  <c r="HY124" i="17" s="1"/>
  <c r="HC124" i="17"/>
  <c r="IE124" i="17" s="1"/>
  <c r="HE124" i="17"/>
  <c r="IG124" i="17" s="1"/>
  <c r="GY124" i="17"/>
  <c r="IA124" i="17" s="1"/>
  <c r="HM124" i="17"/>
  <c r="IO124" i="17" s="1"/>
  <c r="HI124" i="17"/>
  <c r="IK124" i="17" s="1"/>
  <c r="HQ124" i="17"/>
  <c r="IS124" i="17" s="1"/>
  <c r="GX124" i="17"/>
  <c r="HZ124" i="17" s="1"/>
  <c r="GR124" i="17"/>
  <c r="HT124" i="17" s="1"/>
  <c r="HG124" i="17"/>
  <c r="II124" i="17" s="1"/>
  <c r="HJ124" i="17"/>
  <c r="IL124" i="17" s="1"/>
  <c r="GT124" i="17"/>
  <c r="HV124" i="17" s="1"/>
  <c r="HF124" i="17"/>
  <c r="IH124" i="17" s="1"/>
  <c r="GZ124" i="17"/>
  <c r="IB124" i="17" s="1"/>
  <c r="HH124" i="17"/>
  <c r="IJ124" i="17" s="1"/>
  <c r="HA124" i="17"/>
  <c r="IC124" i="17" s="1"/>
  <c r="HN124" i="17"/>
  <c r="IP124" i="17" s="1"/>
  <c r="HK124" i="17"/>
  <c r="IM124" i="17" s="1"/>
  <c r="HL124" i="17"/>
  <c r="IN124" i="17" s="1"/>
  <c r="GU124" i="17"/>
  <c r="HW124" i="17" s="1"/>
  <c r="HD124" i="17"/>
  <c r="IF124" i="17" s="1"/>
  <c r="HB124" i="17"/>
  <c r="ID124" i="17" s="1"/>
  <c r="HR124" i="17"/>
  <c r="IT124" i="17" s="1"/>
  <c r="HO124" i="17"/>
  <c r="IQ124" i="17" s="1"/>
  <c r="GV124" i="17"/>
  <c r="HX124" i="17" s="1"/>
  <c r="AV43" i="17"/>
  <c r="C116" i="17"/>
  <c r="AV116" i="17"/>
  <c r="AV299" i="17"/>
  <c r="HQ137" i="17"/>
  <c r="IS137" i="17" s="1"/>
  <c r="HI137" i="17"/>
  <c r="IK137" i="17" s="1"/>
  <c r="HC137" i="17"/>
  <c r="IE137" i="17" s="1"/>
  <c r="HD137" i="17"/>
  <c r="IF137" i="17" s="1"/>
  <c r="HF137" i="17"/>
  <c r="IH137" i="17" s="1"/>
  <c r="HJ137" i="17"/>
  <c r="IL137" i="17" s="1"/>
  <c r="HB137" i="17"/>
  <c r="ID137" i="17" s="1"/>
  <c r="GV137" i="17"/>
  <c r="HX137" i="17" s="1"/>
  <c r="HN137" i="17"/>
  <c r="IP137" i="17" s="1"/>
  <c r="GS137" i="17"/>
  <c r="HU137" i="17" s="1"/>
  <c r="GZ137" i="17"/>
  <c r="IB137" i="17" s="1"/>
  <c r="HM137" i="17"/>
  <c r="IO137" i="17" s="1"/>
  <c r="HG137" i="17"/>
  <c r="II137" i="17" s="1"/>
  <c r="GW137" i="17"/>
  <c r="HY137" i="17" s="1"/>
  <c r="HR137" i="17"/>
  <c r="IT137" i="17" s="1"/>
  <c r="GU137" i="17"/>
  <c r="HW137" i="17" s="1"/>
  <c r="GY137" i="17"/>
  <c r="IA137" i="17" s="1"/>
  <c r="HP137" i="17"/>
  <c r="IR137" i="17" s="1"/>
  <c r="HE137" i="17"/>
  <c r="IG137" i="17" s="1"/>
  <c r="HA137" i="17"/>
  <c r="IC137" i="17" s="1"/>
  <c r="HL137" i="17"/>
  <c r="IN137" i="17" s="1"/>
  <c r="HO137" i="17"/>
  <c r="IQ137" i="17" s="1"/>
  <c r="HK137" i="17"/>
  <c r="IM137" i="17" s="1"/>
  <c r="GT137" i="17"/>
  <c r="HV137" i="17" s="1"/>
  <c r="GR137" i="17"/>
  <c r="HT137" i="17" s="1"/>
  <c r="HH137" i="17"/>
  <c r="IJ137" i="17" s="1"/>
  <c r="GX137" i="17"/>
  <c r="HZ137" i="17" s="1"/>
  <c r="AV2" i="17"/>
  <c r="AV27" i="17"/>
  <c r="C213" i="17"/>
  <c r="AV213" i="17"/>
  <c r="AV196" i="17"/>
  <c r="HH84" i="17"/>
  <c r="IJ84" i="17" s="1"/>
  <c r="HA84" i="17"/>
  <c r="IC84" i="17" s="1"/>
  <c r="HB84" i="17"/>
  <c r="ID84" i="17" s="1"/>
  <c r="HE84" i="17"/>
  <c r="IG84" i="17" s="1"/>
  <c r="HG84" i="17"/>
  <c r="II84" i="17" s="1"/>
  <c r="GS84" i="17"/>
  <c r="HU84" i="17" s="1"/>
  <c r="HK84" i="17"/>
  <c r="IM84" i="17" s="1"/>
  <c r="HI84" i="17"/>
  <c r="IK84" i="17" s="1"/>
  <c r="GT84" i="17"/>
  <c r="HV84" i="17" s="1"/>
  <c r="HP84" i="17"/>
  <c r="IR84" i="17" s="1"/>
  <c r="GU84" i="17"/>
  <c r="HW84" i="17" s="1"/>
  <c r="HO84" i="17"/>
  <c r="IQ84" i="17" s="1"/>
  <c r="GY84" i="17"/>
  <c r="IA84" i="17" s="1"/>
  <c r="GR84" i="17"/>
  <c r="HT84" i="17" s="1"/>
  <c r="HM84" i="17"/>
  <c r="IO84" i="17" s="1"/>
  <c r="HN84" i="17"/>
  <c r="IP84" i="17" s="1"/>
  <c r="HJ84" i="17"/>
  <c r="IL84" i="17" s="1"/>
  <c r="HF84" i="17"/>
  <c r="IH84" i="17" s="1"/>
  <c r="HL84" i="17"/>
  <c r="IN84" i="17" s="1"/>
  <c r="HR84" i="17"/>
  <c r="IT84" i="17" s="1"/>
  <c r="GZ84" i="17"/>
  <c r="IB84" i="17" s="1"/>
  <c r="HC84" i="17"/>
  <c r="IE84" i="17" s="1"/>
  <c r="HQ84" i="17"/>
  <c r="IS84" i="17" s="1"/>
  <c r="GW84" i="17"/>
  <c r="HY84" i="17" s="1"/>
  <c r="GX84" i="17"/>
  <c r="HZ84" i="17" s="1"/>
  <c r="HD84" i="17"/>
  <c r="IF84" i="17" s="1"/>
  <c r="GV84" i="17"/>
  <c r="HX84" i="17" s="1"/>
  <c r="AV61" i="17"/>
  <c r="AV226" i="17"/>
  <c r="GQ17" i="17"/>
  <c r="AV17" i="17"/>
  <c r="C139" i="17"/>
  <c r="AV139" i="17"/>
  <c r="AV302" i="17"/>
  <c r="AV31" i="17"/>
  <c r="AV55" i="17"/>
  <c r="C259" i="17"/>
  <c r="AV259" i="17"/>
  <c r="AV322" i="17"/>
  <c r="C192" i="17"/>
  <c r="AV62" i="17"/>
  <c r="AV186" i="17"/>
  <c r="HI117" i="17"/>
  <c r="IK117" i="17" s="1"/>
  <c r="GV117" i="17"/>
  <c r="HX117" i="17" s="1"/>
  <c r="GU117" i="17"/>
  <c r="HW117" i="17" s="1"/>
  <c r="HR117" i="17"/>
  <c r="IT117" i="17" s="1"/>
  <c r="HE117" i="17"/>
  <c r="IG117" i="17" s="1"/>
  <c r="GW117" i="17"/>
  <c r="HY117" i="17" s="1"/>
  <c r="GR117" i="17"/>
  <c r="HT117" i="17" s="1"/>
  <c r="HO117" i="17"/>
  <c r="IQ117" i="17" s="1"/>
  <c r="HC117" i="17"/>
  <c r="IE117" i="17" s="1"/>
  <c r="HN117" i="17"/>
  <c r="IP117" i="17" s="1"/>
  <c r="GS117" i="17"/>
  <c r="HU117" i="17" s="1"/>
  <c r="GX117" i="17"/>
  <c r="HZ117" i="17" s="1"/>
  <c r="GZ117" i="17"/>
  <c r="IB117" i="17" s="1"/>
  <c r="HL117" i="17"/>
  <c r="IN117" i="17" s="1"/>
  <c r="HB117" i="17"/>
  <c r="ID117" i="17" s="1"/>
  <c r="HK117" i="17"/>
  <c r="IM117" i="17" s="1"/>
  <c r="HD117" i="17"/>
  <c r="IF117" i="17" s="1"/>
  <c r="HM117" i="17"/>
  <c r="IO117" i="17" s="1"/>
  <c r="HP117" i="17"/>
  <c r="IR117" i="17" s="1"/>
  <c r="GY117" i="17"/>
  <c r="IA117" i="17" s="1"/>
  <c r="HH117" i="17"/>
  <c r="IJ117" i="17" s="1"/>
  <c r="HA117" i="17"/>
  <c r="IC117" i="17" s="1"/>
  <c r="GT117" i="17"/>
  <c r="HV117" i="17" s="1"/>
  <c r="HJ117" i="17"/>
  <c r="IL117" i="17" s="1"/>
  <c r="HG117" i="17"/>
  <c r="II117" i="17" s="1"/>
  <c r="HF117" i="17"/>
  <c r="IH117" i="17" s="1"/>
  <c r="HQ117" i="17"/>
  <c r="IS117" i="17" s="1"/>
  <c r="AV316" i="17"/>
  <c r="AV170" i="17"/>
  <c r="AV282" i="17"/>
  <c r="AV315" i="17"/>
  <c r="HL87" i="17"/>
  <c r="IN87" i="17" s="1"/>
  <c r="GZ87" i="17"/>
  <c r="IB87" i="17" s="1"/>
  <c r="GT87" i="17"/>
  <c r="HV87" i="17" s="1"/>
  <c r="GR87" i="17"/>
  <c r="HT87" i="17" s="1"/>
  <c r="HE87" i="17"/>
  <c r="IG87" i="17" s="1"/>
  <c r="HR87" i="17"/>
  <c r="IT87" i="17" s="1"/>
  <c r="GW87" i="17"/>
  <c r="HY87" i="17" s="1"/>
  <c r="GU87" i="17"/>
  <c r="HW87" i="17" s="1"/>
  <c r="HN87" i="17"/>
  <c r="IP87" i="17" s="1"/>
  <c r="HF87" i="17"/>
  <c r="IH87" i="17" s="1"/>
  <c r="HB87" i="17"/>
  <c r="ID87" i="17" s="1"/>
  <c r="HG87" i="17"/>
  <c r="II87" i="17" s="1"/>
  <c r="GY87" i="17"/>
  <c r="IA87" i="17" s="1"/>
  <c r="HP87" i="17"/>
  <c r="IR87" i="17" s="1"/>
  <c r="HJ87" i="17"/>
  <c r="IL87" i="17" s="1"/>
  <c r="HM87" i="17"/>
  <c r="IO87" i="17" s="1"/>
  <c r="HI87" i="17"/>
  <c r="IK87" i="17" s="1"/>
  <c r="HC87" i="17"/>
  <c r="IE87" i="17" s="1"/>
  <c r="HK87" i="17"/>
  <c r="IM87" i="17" s="1"/>
  <c r="HD87" i="17"/>
  <c r="IF87" i="17" s="1"/>
  <c r="GV87" i="17"/>
  <c r="HX87" i="17" s="1"/>
  <c r="GX87" i="17"/>
  <c r="HZ87" i="17" s="1"/>
  <c r="HA87" i="17"/>
  <c r="IC87" i="17" s="1"/>
  <c r="GS87" i="17"/>
  <c r="HU87" i="17" s="1"/>
  <c r="HO87" i="17"/>
  <c r="IQ87" i="17" s="1"/>
  <c r="HQ87" i="17"/>
  <c r="IS87" i="17" s="1"/>
  <c r="HH87" i="17"/>
  <c r="IJ87" i="17" s="1"/>
  <c r="AV79" i="17"/>
  <c r="HN69" i="17"/>
  <c r="IP69" i="17" s="1"/>
  <c r="HJ69" i="17"/>
  <c r="IL69" i="17" s="1"/>
  <c r="GV69" i="17"/>
  <c r="HX69" i="17" s="1"/>
  <c r="HP69" i="17"/>
  <c r="IR69" i="17" s="1"/>
  <c r="HK69" i="17"/>
  <c r="IM69" i="17" s="1"/>
  <c r="GW69" i="17"/>
  <c r="HY69" i="17" s="1"/>
  <c r="HQ69" i="17"/>
  <c r="IS69" i="17" s="1"/>
  <c r="HI69" i="17"/>
  <c r="IK69" i="17" s="1"/>
  <c r="GZ69" i="17"/>
  <c r="IB69" i="17" s="1"/>
  <c r="GR69" i="17"/>
  <c r="HT69" i="17" s="1"/>
  <c r="HA69" i="17"/>
  <c r="IC69" i="17" s="1"/>
  <c r="HC69" i="17"/>
  <c r="IE69" i="17" s="1"/>
  <c r="HF69" i="17"/>
  <c r="IH69" i="17" s="1"/>
  <c r="GU69" i="17"/>
  <c r="HW69" i="17" s="1"/>
  <c r="HE69" i="17"/>
  <c r="IG69" i="17" s="1"/>
  <c r="GX69" i="17"/>
  <c r="HZ69" i="17" s="1"/>
  <c r="HB69" i="17"/>
  <c r="ID69" i="17" s="1"/>
  <c r="HG69" i="17"/>
  <c r="II69" i="17" s="1"/>
  <c r="HH69" i="17"/>
  <c r="IJ69" i="17" s="1"/>
  <c r="GY69" i="17"/>
  <c r="IA69" i="17" s="1"/>
  <c r="HD69" i="17"/>
  <c r="IF69" i="17" s="1"/>
  <c r="HM69" i="17"/>
  <c r="IO69" i="17" s="1"/>
  <c r="HO69" i="17"/>
  <c r="IQ69" i="17" s="1"/>
  <c r="GS69" i="17"/>
  <c r="HU69" i="17" s="1"/>
  <c r="GT69" i="17"/>
  <c r="HV69" i="17" s="1"/>
  <c r="HR69" i="17"/>
  <c r="IT69" i="17" s="1"/>
  <c r="HL69" i="17"/>
  <c r="IN69" i="17" s="1"/>
  <c r="AV240" i="17"/>
  <c r="GZ336" i="17"/>
  <c r="IB336" i="17" s="1"/>
  <c r="HC336" i="17"/>
  <c r="IE336" i="17" s="1"/>
  <c r="GT336" i="17"/>
  <c r="HV336" i="17" s="1"/>
  <c r="HK336" i="17"/>
  <c r="IM336" i="17" s="1"/>
  <c r="HF336" i="17"/>
  <c r="IH336" i="17" s="1"/>
  <c r="HR336" i="17"/>
  <c r="IT336" i="17" s="1"/>
  <c r="GV336" i="17"/>
  <c r="HX336" i="17" s="1"/>
  <c r="HD336" i="17"/>
  <c r="IF336" i="17" s="1"/>
  <c r="GW336" i="17"/>
  <c r="HY336" i="17" s="1"/>
  <c r="HJ336" i="17"/>
  <c r="IL336" i="17" s="1"/>
  <c r="GX336" i="17"/>
  <c r="HZ336" i="17" s="1"/>
  <c r="HG336" i="17"/>
  <c r="II336" i="17" s="1"/>
  <c r="GY336" i="17"/>
  <c r="IA336" i="17" s="1"/>
  <c r="HL336" i="17"/>
  <c r="IN336" i="17" s="1"/>
  <c r="HO336" i="17"/>
  <c r="IQ336" i="17" s="1"/>
  <c r="HP336" i="17"/>
  <c r="IR336" i="17" s="1"/>
  <c r="HN336" i="17"/>
  <c r="IP336" i="17" s="1"/>
  <c r="HH336" i="17"/>
  <c r="IJ336" i="17" s="1"/>
  <c r="HI336" i="17"/>
  <c r="IK336" i="17" s="1"/>
  <c r="HB336" i="17"/>
  <c r="ID336" i="17" s="1"/>
  <c r="GS336" i="17"/>
  <c r="HU336" i="17" s="1"/>
  <c r="GU336" i="17"/>
  <c r="HW336" i="17" s="1"/>
  <c r="HE336" i="17"/>
  <c r="IG336" i="17" s="1"/>
  <c r="HA336" i="17"/>
  <c r="IC336" i="17" s="1"/>
  <c r="GR336" i="17"/>
  <c r="HT336" i="17" s="1"/>
  <c r="HM336" i="17"/>
  <c r="IO336" i="17" s="1"/>
  <c r="HQ336" i="17"/>
  <c r="IS336" i="17" s="1"/>
  <c r="HB312" i="17"/>
  <c r="ID312" i="17" s="1"/>
  <c r="HC312" i="17"/>
  <c r="IE312" i="17" s="1"/>
  <c r="GV312" i="17"/>
  <c r="HX312" i="17" s="1"/>
  <c r="HF312" i="17"/>
  <c r="IH312" i="17" s="1"/>
  <c r="GY312" i="17"/>
  <c r="IA312" i="17" s="1"/>
  <c r="HM312" i="17"/>
  <c r="IO312" i="17" s="1"/>
  <c r="HE312" i="17"/>
  <c r="IG312" i="17" s="1"/>
  <c r="HK312" i="17"/>
  <c r="IM312" i="17" s="1"/>
  <c r="GX312" i="17"/>
  <c r="HZ312" i="17" s="1"/>
  <c r="HI312" i="17"/>
  <c r="IK312" i="17" s="1"/>
  <c r="HQ312" i="17"/>
  <c r="IS312" i="17" s="1"/>
  <c r="GS312" i="17"/>
  <c r="HU312" i="17" s="1"/>
  <c r="HO312" i="17"/>
  <c r="IQ312" i="17" s="1"/>
  <c r="HN312" i="17"/>
  <c r="IP312" i="17" s="1"/>
  <c r="HJ312" i="17"/>
  <c r="IL312" i="17" s="1"/>
  <c r="GW312" i="17"/>
  <c r="HY312" i="17" s="1"/>
  <c r="GR312" i="17"/>
  <c r="HT312" i="17" s="1"/>
  <c r="HL312" i="17"/>
  <c r="IN312" i="17" s="1"/>
  <c r="GT312" i="17"/>
  <c r="HV312" i="17" s="1"/>
  <c r="GU312" i="17"/>
  <c r="HW312" i="17" s="1"/>
  <c r="GZ312" i="17"/>
  <c r="IB312" i="17" s="1"/>
  <c r="HA312" i="17"/>
  <c r="IC312" i="17" s="1"/>
  <c r="HP312" i="17"/>
  <c r="IR312" i="17" s="1"/>
  <c r="HR312" i="17"/>
  <c r="IT312" i="17" s="1"/>
  <c r="HD312" i="17"/>
  <c r="IF312" i="17" s="1"/>
  <c r="HG312" i="17"/>
  <c r="II312" i="17" s="1"/>
  <c r="HH312" i="17"/>
  <c r="IJ312" i="17" s="1"/>
  <c r="C30" i="17"/>
  <c r="C133" i="17"/>
  <c r="AV133" i="17"/>
  <c r="GS101" i="17"/>
  <c r="HU101" i="17" s="1"/>
  <c r="GU101" i="17"/>
  <c r="HW101" i="17" s="1"/>
  <c r="HC101" i="17"/>
  <c r="IE101" i="17" s="1"/>
  <c r="GX101" i="17"/>
  <c r="HZ101" i="17" s="1"/>
  <c r="HB101" i="17"/>
  <c r="ID101" i="17" s="1"/>
  <c r="HM101" i="17"/>
  <c r="IO101" i="17" s="1"/>
  <c r="HD101" i="17"/>
  <c r="IF101" i="17" s="1"/>
  <c r="HA101" i="17"/>
  <c r="IC101" i="17" s="1"/>
  <c r="GV101" i="17"/>
  <c r="HX101" i="17" s="1"/>
  <c r="HJ101" i="17"/>
  <c r="IL101" i="17" s="1"/>
  <c r="HO101" i="17"/>
  <c r="IQ101" i="17" s="1"/>
  <c r="HP101" i="17"/>
  <c r="IR101" i="17" s="1"/>
  <c r="HF101" i="17"/>
  <c r="IH101" i="17" s="1"/>
  <c r="GZ101" i="17"/>
  <c r="IB101" i="17" s="1"/>
  <c r="GT101" i="17"/>
  <c r="HV101" i="17" s="1"/>
  <c r="HI101" i="17"/>
  <c r="IK101" i="17" s="1"/>
  <c r="HL101" i="17"/>
  <c r="IN101" i="17" s="1"/>
  <c r="GY101" i="17"/>
  <c r="IA101" i="17" s="1"/>
  <c r="HQ101" i="17"/>
  <c r="IS101" i="17" s="1"/>
  <c r="HK101" i="17"/>
  <c r="IM101" i="17" s="1"/>
  <c r="GW101" i="17"/>
  <c r="HY101" i="17" s="1"/>
  <c r="HG101" i="17"/>
  <c r="II101" i="17" s="1"/>
  <c r="HR101" i="17"/>
  <c r="IT101" i="17" s="1"/>
  <c r="HN101" i="17"/>
  <c r="IP101" i="17" s="1"/>
  <c r="GR101" i="17"/>
  <c r="HT101" i="17" s="1"/>
  <c r="HE101" i="17"/>
  <c r="IG101" i="17" s="1"/>
  <c r="HH101" i="17"/>
  <c r="IJ101" i="17" s="1"/>
  <c r="AV194" i="17"/>
  <c r="C122" i="17"/>
  <c r="AV122" i="17"/>
  <c r="C257" i="17"/>
  <c r="AV257" i="17"/>
  <c r="AV172" i="17"/>
  <c r="AV173" i="17"/>
  <c r="GV23" i="17"/>
  <c r="HX23" i="17" s="1"/>
  <c r="GX23" i="17"/>
  <c r="HZ23" i="17" s="1"/>
  <c r="GY23" i="17"/>
  <c r="IA23" i="17" s="1"/>
  <c r="HO23" i="17"/>
  <c r="IQ23" i="17" s="1"/>
  <c r="GZ23" i="17"/>
  <c r="IB23" i="17" s="1"/>
  <c r="HK23" i="17"/>
  <c r="IM23" i="17" s="1"/>
  <c r="HR23" i="17"/>
  <c r="IT23" i="17" s="1"/>
  <c r="HA23" i="17"/>
  <c r="IC23" i="17" s="1"/>
  <c r="HJ23" i="17"/>
  <c r="IL23" i="17" s="1"/>
  <c r="HB23" i="17"/>
  <c r="ID23" i="17" s="1"/>
  <c r="GR23" i="17"/>
  <c r="HT23" i="17" s="1"/>
  <c r="HI23" i="17"/>
  <c r="IK23" i="17" s="1"/>
  <c r="HM23" i="17"/>
  <c r="IO23" i="17" s="1"/>
  <c r="HH23" i="17"/>
  <c r="IJ23" i="17" s="1"/>
  <c r="HG23" i="17"/>
  <c r="II23" i="17" s="1"/>
  <c r="HF23" i="17"/>
  <c r="IH23" i="17" s="1"/>
  <c r="HC23" i="17"/>
  <c r="IE23" i="17" s="1"/>
  <c r="HN23" i="17"/>
  <c r="IP23" i="17" s="1"/>
  <c r="HD23" i="17"/>
  <c r="IF23" i="17" s="1"/>
  <c r="GT23" i="17"/>
  <c r="HV23" i="17" s="1"/>
  <c r="HP23" i="17"/>
  <c r="IR23" i="17" s="1"/>
  <c r="GS23" i="17"/>
  <c r="HU23" i="17" s="1"/>
  <c r="GW23" i="17"/>
  <c r="HY23" i="17" s="1"/>
  <c r="HQ23" i="17"/>
  <c r="IS23" i="17" s="1"/>
  <c r="GU23" i="17"/>
  <c r="HW23" i="17" s="1"/>
  <c r="HL23" i="17"/>
  <c r="IN23" i="17" s="1"/>
  <c r="HE23" i="17"/>
  <c r="IG23" i="17" s="1"/>
  <c r="HL128" i="17"/>
  <c r="IN128" i="17" s="1"/>
  <c r="HQ128" i="17"/>
  <c r="IS128" i="17" s="1"/>
  <c r="GW128" i="17"/>
  <c r="HY128" i="17" s="1"/>
  <c r="GU128" i="17"/>
  <c r="HW128" i="17" s="1"/>
  <c r="GZ128" i="17"/>
  <c r="IB128" i="17" s="1"/>
  <c r="HO128" i="17"/>
  <c r="IQ128" i="17" s="1"/>
  <c r="GV128" i="17"/>
  <c r="HX128" i="17" s="1"/>
  <c r="GX128" i="17"/>
  <c r="HZ128" i="17" s="1"/>
  <c r="GT128" i="17"/>
  <c r="HV128" i="17" s="1"/>
  <c r="HN128" i="17"/>
  <c r="IP128" i="17" s="1"/>
  <c r="HG128" i="17"/>
  <c r="II128" i="17" s="1"/>
  <c r="HR128" i="17"/>
  <c r="IT128" i="17" s="1"/>
  <c r="GR128" i="17"/>
  <c r="HT128" i="17" s="1"/>
  <c r="HP128" i="17"/>
  <c r="IR128" i="17" s="1"/>
  <c r="HJ128" i="17"/>
  <c r="IL128" i="17" s="1"/>
  <c r="GY128" i="17"/>
  <c r="IA128" i="17" s="1"/>
  <c r="HE128" i="17"/>
  <c r="IG128" i="17" s="1"/>
  <c r="HF128" i="17"/>
  <c r="IH128" i="17" s="1"/>
  <c r="HK128" i="17"/>
  <c r="IM128" i="17" s="1"/>
  <c r="GS128" i="17"/>
  <c r="HU128" i="17" s="1"/>
  <c r="HC128" i="17"/>
  <c r="IE128" i="17" s="1"/>
  <c r="HD128" i="17"/>
  <c r="IF128" i="17" s="1"/>
  <c r="HM128" i="17"/>
  <c r="IO128" i="17" s="1"/>
  <c r="HH128" i="17"/>
  <c r="IJ128" i="17" s="1"/>
  <c r="HB128" i="17"/>
  <c r="ID128" i="17" s="1"/>
  <c r="HI128" i="17"/>
  <c r="IK128" i="17" s="1"/>
  <c r="HA128" i="17"/>
  <c r="IC128" i="17" s="1"/>
  <c r="AV203" i="17"/>
  <c r="HH196" i="17"/>
  <c r="IJ196" i="17" s="1"/>
  <c r="HD196" i="17"/>
  <c r="IF196" i="17" s="1"/>
  <c r="HE196" i="17"/>
  <c r="IG196" i="17" s="1"/>
  <c r="HQ196" i="17"/>
  <c r="IS196" i="17" s="1"/>
  <c r="GY196" i="17"/>
  <c r="IA196" i="17" s="1"/>
  <c r="HN196" i="17"/>
  <c r="IP196" i="17" s="1"/>
  <c r="HO196" i="17"/>
  <c r="IQ196" i="17" s="1"/>
  <c r="HK196" i="17"/>
  <c r="IM196" i="17" s="1"/>
  <c r="GV196" i="17"/>
  <c r="HX196" i="17" s="1"/>
  <c r="HI196" i="17"/>
  <c r="IK196" i="17" s="1"/>
  <c r="HC196" i="17"/>
  <c r="IE196" i="17" s="1"/>
  <c r="HM196" i="17"/>
  <c r="IO196" i="17" s="1"/>
  <c r="HA196" i="17"/>
  <c r="IC196" i="17" s="1"/>
  <c r="GR196" i="17"/>
  <c r="HT196" i="17" s="1"/>
  <c r="HR196" i="17"/>
  <c r="IT196" i="17" s="1"/>
  <c r="GZ196" i="17"/>
  <c r="IB196" i="17" s="1"/>
  <c r="HJ196" i="17"/>
  <c r="IL196" i="17" s="1"/>
  <c r="HL196" i="17"/>
  <c r="IN196" i="17" s="1"/>
  <c r="HB196" i="17"/>
  <c r="ID196" i="17" s="1"/>
  <c r="HF196" i="17"/>
  <c r="IH196" i="17" s="1"/>
  <c r="HG196" i="17"/>
  <c r="II196" i="17" s="1"/>
  <c r="GS196" i="17"/>
  <c r="HU196" i="17" s="1"/>
  <c r="GU196" i="17"/>
  <c r="HW196" i="17" s="1"/>
  <c r="HP196" i="17"/>
  <c r="IR196" i="17" s="1"/>
  <c r="GW196" i="17"/>
  <c r="HY196" i="17" s="1"/>
  <c r="GX196" i="17"/>
  <c r="HZ196" i="17" s="1"/>
  <c r="GT196" i="17"/>
  <c r="HV196" i="17" s="1"/>
  <c r="AV212" i="17"/>
  <c r="AV287" i="17"/>
  <c r="C2" i="17"/>
  <c r="GS282" i="17"/>
  <c r="HU282" i="17" s="1"/>
  <c r="HA282" i="17"/>
  <c r="IC282" i="17" s="1"/>
  <c r="GR282" i="17"/>
  <c r="HT282" i="17" s="1"/>
  <c r="HQ282" i="17"/>
  <c r="IS282" i="17" s="1"/>
  <c r="HK282" i="17"/>
  <c r="IM282" i="17" s="1"/>
  <c r="GY282" i="17"/>
  <c r="IA282" i="17" s="1"/>
  <c r="GU282" i="17"/>
  <c r="HW282" i="17" s="1"/>
  <c r="HB282" i="17"/>
  <c r="ID282" i="17" s="1"/>
  <c r="GZ282" i="17"/>
  <c r="IB282" i="17" s="1"/>
  <c r="HG282" i="17"/>
  <c r="II282" i="17" s="1"/>
  <c r="HJ282" i="17"/>
  <c r="IL282" i="17" s="1"/>
  <c r="GV282" i="17"/>
  <c r="HX282" i="17" s="1"/>
  <c r="GT282" i="17"/>
  <c r="HV282" i="17" s="1"/>
  <c r="HM282" i="17"/>
  <c r="IO282" i="17" s="1"/>
  <c r="HE282" i="17"/>
  <c r="IG282" i="17" s="1"/>
  <c r="HC282" i="17"/>
  <c r="IE282" i="17" s="1"/>
  <c r="HL282" i="17"/>
  <c r="IN282" i="17" s="1"/>
  <c r="HI282" i="17"/>
  <c r="IK282" i="17" s="1"/>
  <c r="GX282" i="17"/>
  <c r="HZ282" i="17" s="1"/>
  <c r="HO282" i="17"/>
  <c r="IQ282" i="17" s="1"/>
  <c r="HF282" i="17"/>
  <c r="IH282" i="17" s="1"/>
  <c r="HH282" i="17"/>
  <c r="IJ282" i="17" s="1"/>
  <c r="HN282" i="17"/>
  <c r="IP282" i="17" s="1"/>
  <c r="HR282" i="17"/>
  <c r="IT282" i="17" s="1"/>
  <c r="HP282" i="17"/>
  <c r="IR282" i="17" s="1"/>
  <c r="GW282" i="17"/>
  <c r="HY282" i="17" s="1"/>
  <c r="HD282" i="17"/>
  <c r="IF282" i="17" s="1"/>
  <c r="AV138" i="17"/>
  <c r="AV48" i="17"/>
  <c r="HG313" i="17"/>
  <c r="II313" i="17" s="1"/>
  <c r="GS313" i="17"/>
  <c r="HU313" i="17" s="1"/>
  <c r="HO313" i="17"/>
  <c r="IQ313" i="17" s="1"/>
  <c r="HL313" i="17"/>
  <c r="IN313" i="17" s="1"/>
  <c r="HI313" i="17"/>
  <c r="IK313" i="17" s="1"/>
  <c r="HJ313" i="17"/>
  <c r="IL313" i="17" s="1"/>
  <c r="HR313" i="17"/>
  <c r="IT313" i="17" s="1"/>
  <c r="GY313" i="17"/>
  <c r="IA313" i="17" s="1"/>
  <c r="HD313" i="17"/>
  <c r="IF313" i="17" s="1"/>
  <c r="HK313" i="17"/>
  <c r="IM313" i="17" s="1"/>
  <c r="HA313" i="17"/>
  <c r="IC313" i="17" s="1"/>
  <c r="HB313" i="17"/>
  <c r="ID313" i="17" s="1"/>
  <c r="GX313" i="17"/>
  <c r="HZ313" i="17" s="1"/>
  <c r="GR313" i="17"/>
  <c r="HT313" i="17" s="1"/>
  <c r="GT313" i="17"/>
  <c r="HV313" i="17" s="1"/>
  <c r="HF313" i="17"/>
  <c r="IH313" i="17" s="1"/>
  <c r="GZ313" i="17"/>
  <c r="IB313" i="17" s="1"/>
  <c r="GV313" i="17"/>
  <c r="HX313" i="17" s="1"/>
  <c r="HQ313" i="17"/>
  <c r="IS313" i="17" s="1"/>
  <c r="GW313" i="17"/>
  <c r="HY313" i="17" s="1"/>
  <c r="HC313" i="17"/>
  <c r="IE313" i="17" s="1"/>
  <c r="HP313" i="17"/>
  <c r="IR313" i="17" s="1"/>
  <c r="HH313" i="17"/>
  <c r="IJ313" i="17" s="1"/>
  <c r="HN313" i="17"/>
  <c r="IP313" i="17" s="1"/>
  <c r="HE313" i="17"/>
  <c r="IG313" i="17" s="1"/>
  <c r="HM313" i="17"/>
  <c r="IO313" i="17" s="1"/>
  <c r="GU313" i="17"/>
  <c r="HW313" i="17" s="1"/>
  <c r="C31" i="17"/>
  <c r="C16" i="17"/>
  <c r="HN31" i="17"/>
  <c r="IP31" i="17" s="1"/>
  <c r="HG31" i="17"/>
  <c r="II31" i="17" s="1"/>
  <c r="HB31" i="17"/>
  <c r="ID31" i="17" s="1"/>
  <c r="GU31" i="17"/>
  <c r="HW31" i="17" s="1"/>
  <c r="HL31" i="17"/>
  <c r="IN31" i="17" s="1"/>
  <c r="HJ31" i="17"/>
  <c r="IL31" i="17" s="1"/>
  <c r="GY31" i="17"/>
  <c r="IA31" i="17" s="1"/>
  <c r="GW31" i="17"/>
  <c r="HY31" i="17" s="1"/>
  <c r="GZ31" i="17"/>
  <c r="IB31" i="17" s="1"/>
  <c r="HK31" i="17"/>
  <c r="IM31" i="17" s="1"/>
  <c r="HM31" i="17"/>
  <c r="IO31" i="17" s="1"/>
  <c r="HH31" i="17"/>
  <c r="IJ31" i="17" s="1"/>
  <c r="GS31" i="17"/>
  <c r="HU31" i="17" s="1"/>
  <c r="GX31" i="17"/>
  <c r="HZ31" i="17" s="1"/>
  <c r="HP31" i="17"/>
  <c r="IR31" i="17" s="1"/>
  <c r="HD31" i="17"/>
  <c r="IF31" i="17" s="1"/>
  <c r="GT31" i="17"/>
  <c r="HV31" i="17" s="1"/>
  <c r="HE31" i="17"/>
  <c r="IG31" i="17" s="1"/>
  <c r="HR31" i="17"/>
  <c r="IT31" i="17" s="1"/>
  <c r="HO31" i="17"/>
  <c r="IQ31" i="17" s="1"/>
  <c r="GR31" i="17"/>
  <c r="HT31" i="17" s="1"/>
  <c r="HQ31" i="17"/>
  <c r="IS31" i="17" s="1"/>
  <c r="HC31" i="17"/>
  <c r="IE31" i="17" s="1"/>
  <c r="HA31" i="17"/>
  <c r="IC31" i="17" s="1"/>
  <c r="HI31" i="17"/>
  <c r="IK31" i="17" s="1"/>
  <c r="GV31" i="17"/>
  <c r="HX31" i="17" s="1"/>
  <c r="HF31" i="17"/>
  <c r="IH31" i="17" s="1"/>
  <c r="C46" i="17"/>
  <c r="AV46" i="17"/>
  <c r="C227" i="17"/>
  <c r="AV76" i="17"/>
  <c r="C155" i="17"/>
  <c r="HP263" i="17"/>
  <c r="IR263" i="17" s="1"/>
  <c r="HQ263" i="17"/>
  <c r="IS263" i="17" s="1"/>
  <c r="GV263" i="17"/>
  <c r="HX263" i="17" s="1"/>
  <c r="GZ263" i="17"/>
  <c r="IB263" i="17" s="1"/>
  <c r="HR263" i="17"/>
  <c r="IT263" i="17" s="1"/>
  <c r="HN263" i="17"/>
  <c r="IP263" i="17" s="1"/>
  <c r="GY263" i="17"/>
  <c r="IA263" i="17" s="1"/>
  <c r="HA263" i="17"/>
  <c r="IC263" i="17" s="1"/>
  <c r="HH263" i="17"/>
  <c r="IJ263" i="17" s="1"/>
  <c r="HJ263" i="17"/>
  <c r="IL263" i="17" s="1"/>
  <c r="HI263" i="17"/>
  <c r="IK263" i="17" s="1"/>
  <c r="HO263" i="17"/>
  <c r="IQ263" i="17" s="1"/>
  <c r="GX263" i="17"/>
  <c r="HZ263" i="17" s="1"/>
  <c r="HB263" i="17"/>
  <c r="ID263" i="17" s="1"/>
  <c r="GT263" i="17"/>
  <c r="HV263" i="17" s="1"/>
  <c r="GU263" i="17"/>
  <c r="HW263" i="17" s="1"/>
  <c r="HK263" i="17"/>
  <c r="IM263" i="17" s="1"/>
  <c r="HD263" i="17"/>
  <c r="IF263" i="17" s="1"/>
  <c r="GR263" i="17"/>
  <c r="HT263" i="17" s="1"/>
  <c r="GS263" i="17"/>
  <c r="HU263" i="17" s="1"/>
  <c r="GW263" i="17"/>
  <c r="HY263" i="17" s="1"/>
  <c r="HL263" i="17"/>
  <c r="IN263" i="17" s="1"/>
  <c r="HG263" i="17"/>
  <c r="II263" i="17" s="1"/>
  <c r="HF263" i="17"/>
  <c r="IH263" i="17" s="1"/>
  <c r="HC263" i="17"/>
  <c r="IE263" i="17" s="1"/>
  <c r="HE263" i="17"/>
  <c r="IG263" i="17" s="1"/>
  <c r="HM263" i="17"/>
  <c r="IO263" i="17" s="1"/>
  <c r="AV90" i="17"/>
  <c r="AV104" i="17"/>
  <c r="HN2" i="17"/>
  <c r="IP2" i="17" s="1"/>
  <c r="HR2" i="17"/>
  <c r="IT2" i="17" s="1"/>
  <c r="GS2" i="17"/>
  <c r="HU2" i="17" s="1"/>
  <c r="GW2" i="17"/>
  <c r="HY2" i="17" s="1"/>
  <c r="HP2" i="17"/>
  <c r="IR2" i="17" s="1"/>
  <c r="HF2" i="17"/>
  <c r="IH2" i="17" s="1"/>
  <c r="GU2" i="17"/>
  <c r="HW2" i="17" s="1"/>
  <c r="HJ2" i="17"/>
  <c r="IL2" i="17" s="1"/>
  <c r="HC2" i="17"/>
  <c r="IE2" i="17" s="1"/>
  <c r="HK2" i="17"/>
  <c r="IM2" i="17" s="1"/>
  <c r="HO2" i="17"/>
  <c r="IQ2" i="17" s="1"/>
  <c r="HI2" i="17"/>
  <c r="IK2" i="17" s="1"/>
  <c r="GZ2" i="17"/>
  <c r="IB2" i="17" s="1"/>
  <c r="GT2" i="17"/>
  <c r="HV2" i="17" s="1"/>
  <c r="GV2" i="17"/>
  <c r="HX2" i="17" s="1"/>
  <c r="GX2" i="17"/>
  <c r="HZ2" i="17" s="1"/>
  <c r="HL2" i="17"/>
  <c r="IN2" i="17" s="1"/>
  <c r="GY2" i="17"/>
  <c r="IA2" i="17" s="1"/>
  <c r="HD2" i="17"/>
  <c r="IF2" i="17" s="1"/>
  <c r="HE2" i="17"/>
  <c r="IG2" i="17" s="1"/>
  <c r="HG2" i="17"/>
  <c r="II2" i="17" s="1"/>
  <c r="HT2" i="17"/>
  <c r="HA2" i="17"/>
  <c r="IC2" i="17" s="1"/>
  <c r="HQ2" i="17"/>
  <c r="IS2" i="17" s="1"/>
  <c r="HB2" i="17"/>
  <c r="ID2" i="17" s="1"/>
  <c r="HH2" i="17"/>
  <c r="IJ2" i="17" s="1"/>
  <c r="HM2" i="17"/>
  <c r="IO2" i="17" s="1"/>
  <c r="AV308" i="17"/>
  <c r="C312" i="17"/>
  <c r="HE75" i="17"/>
  <c r="IG75" i="17" s="1"/>
  <c r="HF75" i="17"/>
  <c r="IH75" i="17" s="1"/>
  <c r="GY75" i="17"/>
  <c r="IA75" i="17" s="1"/>
  <c r="HG75" i="17"/>
  <c r="II75" i="17" s="1"/>
  <c r="HB75" i="17"/>
  <c r="ID75" i="17" s="1"/>
  <c r="HO75" i="17"/>
  <c r="IQ75" i="17" s="1"/>
  <c r="HJ75" i="17"/>
  <c r="IL75" i="17" s="1"/>
  <c r="GR75" i="17"/>
  <c r="HT75" i="17" s="1"/>
  <c r="GU75" i="17"/>
  <c r="HW75" i="17" s="1"/>
  <c r="GW75" i="17"/>
  <c r="HY75" i="17" s="1"/>
  <c r="HH75" i="17"/>
  <c r="IJ75" i="17" s="1"/>
  <c r="HP75" i="17"/>
  <c r="IR75" i="17" s="1"/>
  <c r="GV75" i="17"/>
  <c r="HX75" i="17" s="1"/>
  <c r="GT75" i="17"/>
  <c r="HV75" i="17" s="1"/>
  <c r="HQ75" i="17"/>
  <c r="IS75" i="17" s="1"/>
  <c r="HN75" i="17"/>
  <c r="IP75" i="17" s="1"/>
  <c r="HL75" i="17"/>
  <c r="IN75" i="17" s="1"/>
  <c r="HR75" i="17"/>
  <c r="IT75" i="17" s="1"/>
  <c r="GZ75" i="17"/>
  <c r="IB75" i="17" s="1"/>
  <c r="HK75" i="17"/>
  <c r="IM75" i="17" s="1"/>
  <c r="HA75" i="17"/>
  <c r="IC75" i="17" s="1"/>
  <c r="HM75" i="17"/>
  <c r="IO75" i="17" s="1"/>
  <c r="HI75" i="17"/>
  <c r="IK75" i="17" s="1"/>
  <c r="GX75" i="17"/>
  <c r="HZ75" i="17" s="1"/>
  <c r="HC75" i="17"/>
  <c r="IE75" i="17" s="1"/>
  <c r="HD75" i="17"/>
  <c r="IF75" i="17" s="1"/>
  <c r="GS75" i="17"/>
  <c r="HU75" i="17" s="1"/>
  <c r="C73" i="17"/>
  <c r="AV225" i="17"/>
  <c r="C255" i="17"/>
  <c r="C14" i="17"/>
  <c r="AV14" i="17"/>
  <c r="HA122" i="17"/>
  <c r="IC122" i="17" s="1"/>
  <c r="GX122" i="17"/>
  <c r="HZ122" i="17" s="1"/>
  <c r="HO122" i="17"/>
  <c r="IQ122" i="17" s="1"/>
  <c r="HK122" i="17"/>
  <c r="IM122" i="17" s="1"/>
  <c r="HG122" i="17"/>
  <c r="II122" i="17" s="1"/>
  <c r="GV122" i="17"/>
  <c r="HX122" i="17" s="1"/>
  <c r="HM122" i="17"/>
  <c r="IO122" i="17" s="1"/>
  <c r="HJ122" i="17"/>
  <c r="IL122" i="17" s="1"/>
  <c r="HL122" i="17"/>
  <c r="IN122" i="17" s="1"/>
  <c r="GT122" i="17"/>
  <c r="HV122" i="17" s="1"/>
  <c r="HI122" i="17"/>
  <c r="IK122" i="17" s="1"/>
  <c r="HP122" i="17"/>
  <c r="IR122" i="17" s="1"/>
  <c r="HC122" i="17"/>
  <c r="IE122" i="17" s="1"/>
  <c r="HN122" i="17"/>
  <c r="IP122" i="17" s="1"/>
  <c r="HQ122" i="17"/>
  <c r="IS122" i="17" s="1"/>
  <c r="HB122" i="17"/>
  <c r="ID122" i="17" s="1"/>
  <c r="GU122" i="17"/>
  <c r="HW122" i="17" s="1"/>
  <c r="HR122" i="17"/>
  <c r="IT122" i="17" s="1"/>
  <c r="GY122" i="17"/>
  <c r="IA122" i="17" s="1"/>
  <c r="HF122" i="17"/>
  <c r="IH122" i="17" s="1"/>
  <c r="GS122" i="17"/>
  <c r="HU122" i="17" s="1"/>
  <c r="HH122" i="17"/>
  <c r="IJ122" i="17" s="1"/>
  <c r="GR122" i="17"/>
  <c r="HT122" i="17" s="1"/>
  <c r="HE122" i="17"/>
  <c r="IG122" i="17" s="1"/>
  <c r="GW122" i="17"/>
  <c r="HY122" i="17" s="1"/>
  <c r="GZ122" i="17"/>
  <c r="IB122" i="17" s="1"/>
  <c r="HD122" i="17"/>
  <c r="IF122" i="17" s="1"/>
  <c r="HO50" i="17"/>
  <c r="IQ50" i="17" s="1"/>
  <c r="HJ50" i="17"/>
  <c r="IL50" i="17" s="1"/>
  <c r="HQ50" i="17"/>
  <c r="IS50" i="17" s="1"/>
  <c r="HH50" i="17"/>
  <c r="IJ50" i="17" s="1"/>
  <c r="HM50" i="17"/>
  <c r="IO50" i="17" s="1"/>
  <c r="HB50" i="17"/>
  <c r="ID50" i="17" s="1"/>
  <c r="HR50" i="17"/>
  <c r="IT50" i="17" s="1"/>
  <c r="HN50" i="17"/>
  <c r="IP50" i="17" s="1"/>
  <c r="HG50" i="17"/>
  <c r="II50" i="17" s="1"/>
  <c r="GS50" i="17"/>
  <c r="HU50" i="17" s="1"/>
  <c r="GX50" i="17"/>
  <c r="HZ50" i="17" s="1"/>
  <c r="HL50" i="17"/>
  <c r="IN50" i="17" s="1"/>
  <c r="HE50" i="17"/>
  <c r="IG50" i="17" s="1"/>
  <c r="GW50" i="17"/>
  <c r="HY50" i="17" s="1"/>
  <c r="GU50" i="17"/>
  <c r="HW50" i="17" s="1"/>
  <c r="GR50" i="17"/>
  <c r="HT50" i="17" s="1"/>
  <c r="HC50" i="17"/>
  <c r="IE50" i="17" s="1"/>
  <c r="HF50" i="17"/>
  <c r="IH50" i="17" s="1"/>
  <c r="HD50" i="17"/>
  <c r="IF50" i="17" s="1"/>
  <c r="HI50" i="17"/>
  <c r="IK50" i="17" s="1"/>
  <c r="GZ50" i="17"/>
  <c r="IB50" i="17" s="1"/>
  <c r="HP50" i="17"/>
  <c r="IR50" i="17" s="1"/>
  <c r="HA50" i="17"/>
  <c r="IC50" i="17" s="1"/>
  <c r="GY50" i="17"/>
  <c r="IA50" i="17" s="1"/>
  <c r="HK50" i="17"/>
  <c r="IM50" i="17" s="1"/>
  <c r="GT50" i="17"/>
  <c r="HV50" i="17" s="1"/>
  <c r="GV50" i="17"/>
  <c r="HX50" i="17" s="1"/>
  <c r="HO304" i="17"/>
  <c r="IQ304" i="17" s="1"/>
  <c r="HA304" i="17"/>
  <c r="IC304" i="17" s="1"/>
  <c r="GX304" i="17"/>
  <c r="HZ304" i="17" s="1"/>
  <c r="GT304" i="17"/>
  <c r="HV304" i="17" s="1"/>
  <c r="GY304" i="17"/>
  <c r="IA304" i="17" s="1"/>
  <c r="GU304" i="17"/>
  <c r="HW304" i="17" s="1"/>
  <c r="HQ304" i="17"/>
  <c r="IS304" i="17" s="1"/>
  <c r="HG304" i="17"/>
  <c r="II304" i="17" s="1"/>
  <c r="GZ304" i="17"/>
  <c r="IB304" i="17" s="1"/>
  <c r="HI304" i="17"/>
  <c r="IK304" i="17" s="1"/>
  <c r="GW304" i="17"/>
  <c r="HY304" i="17" s="1"/>
  <c r="HB304" i="17"/>
  <c r="ID304" i="17" s="1"/>
  <c r="GV304" i="17"/>
  <c r="HX304" i="17" s="1"/>
  <c r="HD304" i="17"/>
  <c r="IF304" i="17" s="1"/>
  <c r="HE304" i="17"/>
  <c r="IG304" i="17" s="1"/>
  <c r="HF304" i="17"/>
  <c r="IH304" i="17" s="1"/>
  <c r="GS304" i="17"/>
  <c r="HU304" i="17" s="1"/>
  <c r="HP304" i="17"/>
  <c r="IR304" i="17" s="1"/>
  <c r="HJ304" i="17"/>
  <c r="IL304" i="17" s="1"/>
  <c r="GR304" i="17"/>
  <c r="HT304" i="17" s="1"/>
  <c r="HL304" i="17"/>
  <c r="IN304" i="17" s="1"/>
  <c r="HR304" i="17"/>
  <c r="IT304" i="17" s="1"/>
  <c r="HM304" i="17"/>
  <c r="IO304" i="17" s="1"/>
  <c r="HK304" i="17"/>
  <c r="IM304" i="17" s="1"/>
  <c r="HH304" i="17"/>
  <c r="IJ304" i="17" s="1"/>
  <c r="HC304" i="17"/>
  <c r="IE304" i="17" s="1"/>
  <c r="HN304" i="17"/>
  <c r="IP304" i="17" s="1"/>
  <c r="AV51" i="17"/>
  <c r="C124" i="17"/>
  <c r="C182" i="17"/>
  <c r="AV274" i="17"/>
  <c r="HO164" i="17"/>
  <c r="IQ164" i="17" s="1"/>
  <c r="GT164" i="17"/>
  <c r="HV164" i="17" s="1"/>
  <c r="GU164" i="17"/>
  <c r="HW164" i="17" s="1"/>
  <c r="GS164" i="17"/>
  <c r="HU164" i="17" s="1"/>
  <c r="HD164" i="17"/>
  <c r="IF164" i="17" s="1"/>
  <c r="HM164" i="17"/>
  <c r="IO164" i="17" s="1"/>
  <c r="HP164" i="17"/>
  <c r="IR164" i="17" s="1"/>
  <c r="HB164" i="17"/>
  <c r="ID164" i="17" s="1"/>
  <c r="HK164" i="17"/>
  <c r="IM164" i="17" s="1"/>
  <c r="GZ164" i="17"/>
  <c r="IB164" i="17" s="1"/>
  <c r="HN164" i="17"/>
  <c r="IP164" i="17" s="1"/>
  <c r="HH164" i="17"/>
  <c r="IJ164" i="17" s="1"/>
  <c r="HL164" i="17"/>
  <c r="IN164" i="17" s="1"/>
  <c r="HC164" i="17"/>
  <c r="IE164" i="17" s="1"/>
  <c r="HF164" i="17"/>
  <c r="IH164" i="17" s="1"/>
  <c r="GY164" i="17"/>
  <c r="IA164" i="17" s="1"/>
  <c r="HG164" i="17"/>
  <c r="II164" i="17" s="1"/>
  <c r="GV164" i="17"/>
  <c r="HX164" i="17" s="1"/>
  <c r="HQ164" i="17"/>
  <c r="IS164" i="17" s="1"/>
  <c r="GX164" i="17"/>
  <c r="HZ164" i="17" s="1"/>
  <c r="GW164" i="17"/>
  <c r="HY164" i="17" s="1"/>
  <c r="HR164" i="17"/>
  <c r="IT164" i="17" s="1"/>
  <c r="HI164" i="17"/>
  <c r="IK164" i="17" s="1"/>
  <c r="HJ164" i="17"/>
  <c r="IL164" i="17" s="1"/>
  <c r="HA164" i="17"/>
  <c r="IC164" i="17" s="1"/>
  <c r="HE164" i="17"/>
  <c r="IG164" i="17" s="1"/>
  <c r="GR164" i="17"/>
  <c r="HT164" i="17" s="1"/>
  <c r="AV267" i="17"/>
  <c r="C173" i="17"/>
  <c r="AV296" i="17"/>
  <c r="HM121" i="17"/>
  <c r="IO121" i="17" s="1"/>
  <c r="GU121" i="17"/>
  <c r="HW121" i="17" s="1"/>
  <c r="HC121" i="17"/>
  <c r="IE121" i="17" s="1"/>
  <c r="GR121" i="17"/>
  <c r="HT121" i="17" s="1"/>
  <c r="GY121" i="17"/>
  <c r="IA121" i="17" s="1"/>
  <c r="HF121" i="17"/>
  <c r="IH121" i="17" s="1"/>
  <c r="HE121" i="17"/>
  <c r="IG121" i="17" s="1"/>
  <c r="HA121" i="17"/>
  <c r="IC121" i="17" s="1"/>
  <c r="HI121" i="17"/>
  <c r="IK121" i="17" s="1"/>
  <c r="GV121" i="17"/>
  <c r="HX121" i="17" s="1"/>
  <c r="HN121" i="17"/>
  <c r="IP121" i="17" s="1"/>
  <c r="HO121" i="17"/>
  <c r="IQ121" i="17" s="1"/>
  <c r="HH121" i="17"/>
  <c r="IJ121" i="17" s="1"/>
  <c r="HB121" i="17"/>
  <c r="ID121" i="17" s="1"/>
  <c r="HQ121" i="17"/>
  <c r="IS121" i="17" s="1"/>
  <c r="HP121" i="17"/>
  <c r="IR121" i="17" s="1"/>
  <c r="GX121" i="17"/>
  <c r="HZ121" i="17" s="1"/>
  <c r="GT121" i="17"/>
  <c r="HV121" i="17" s="1"/>
  <c r="HD121" i="17"/>
  <c r="IF121" i="17" s="1"/>
  <c r="GS121" i="17"/>
  <c r="HU121" i="17" s="1"/>
  <c r="HJ121" i="17"/>
  <c r="IL121" i="17" s="1"/>
  <c r="GW121" i="17"/>
  <c r="HY121" i="17" s="1"/>
  <c r="HR121" i="17"/>
  <c r="IT121" i="17" s="1"/>
  <c r="HK121" i="17"/>
  <c r="IM121" i="17" s="1"/>
  <c r="HG121" i="17"/>
  <c r="II121" i="17" s="1"/>
  <c r="HL121" i="17"/>
  <c r="IN121" i="17" s="1"/>
  <c r="GZ121" i="17"/>
  <c r="IB121" i="17" s="1"/>
  <c r="C137" i="17"/>
  <c r="AV256" i="17"/>
  <c r="C293" i="17"/>
  <c r="AV150" i="17"/>
  <c r="AV165" i="17"/>
  <c r="GW67" i="17"/>
  <c r="HY67" i="17" s="1"/>
  <c r="HI67" i="17"/>
  <c r="IK67" i="17" s="1"/>
  <c r="GY67" i="17"/>
  <c r="IA67" i="17" s="1"/>
  <c r="HP67" i="17"/>
  <c r="IR67" i="17" s="1"/>
  <c r="GR67" i="17"/>
  <c r="HT67" i="17" s="1"/>
  <c r="HH67" i="17"/>
  <c r="IJ67" i="17" s="1"/>
  <c r="GV67" i="17"/>
  <c r="HX67" i="17" s="1"/>
  <c r="HG67" i="17"/>
  <c r="II67" i="17" s="1"/>
  <c r="HD67" i="17"/>
  <c r="IF67" i="17" s="1"/>
  <c r="HO67" i="17"/>
  <c r="IQ67" i="17" s="1"/>
  <c r="HR67" i="17"/>
  <c r="IT67" i="17" s="1"/>
  <c r="GT67" i="17"/>
  <c r="HV67" i="17" s="1"/>
  <c r="HJ67" i="17"/>
  <c r="IL67" i="17" s="1"/>
  <c r="HA67" i="17"/>
  <c r="IC67" i="17" s="1"/>
  <c r="HB67" i="17"/>
  <c r="ID67" i="17" s="1"/>
  <c r="HF67" i="17"/>
  <c r="IH67" i="17" s="1"/>
  <c r="HK67" i="17"/>
  <c r="IM67" i="17" s="1"/>
  <c r="GZ67" i="17"/>
  <c r="IB67" i="17" s="1"/>
  <c r="GX67" i="17"/>
  <c r="HZ67" i="17" s="1"/>
  <c r="HQ67" i="17"/>
  <c r="IS67" i="17" s="1"/>
  <c r="HM67" i="17"/>
  <c r="IO67" i="17" s="1"/>
  <c r="HE67" i="17"/>
  <c r="IG67" i="17" s="1"/>
  <c r="GS67" i="17"/>
  <c r="HU67" i="17" s="1"/>
  <c r="HC67" i="17"/>
  <c r="IE67" i="17" s="1"/>
  <c r="HL67" i="17"/>
  <c r="IN67" i="17" s="1"/>
  <c r="HN67" i="17"/>
  <c r="IP67" i="17" s="1"/>
  <c r="GU67" i="17"/>
  <c r="HW67" i="17" s="1"/>
  <c r="HQ7" i="17"/>
  <c r="IS7" i="17" s="1"/>
  <c r="HI7" i="17"/>
  <c r="IK7" i="17" s="1"/>
  <c r="HB7" i="17"/>
  <c r="ID7" i="17" s="1"/>
  <c r="HO7" i="17"/>
  <c r="IQ7" i="17" s="1"/>
  <c r="GX7" i="17"/>
  <c r="HZ7" i="17" s="1"/>
  <c r="HP7" i="17"/>
  <c r="IR7" i="17" s="1"/>
  <c r="HD7" i="17"/>
  <c r="IF7" i="17" s="1"/>
  <c r="HK7" i="17"/>
  <c r="IM7" i="17" s="1"/>
  <c r="GT7" i="17"/>
  <c r="HV7" i="17" s="1"/>
  <c r="HL7" i="17"/>
  <c r="IN7" i="17" s="1"/>
  <c r="GV7" i="17"/>
  <c r="HX7" i="17" s="1"/>
  <c r="GZ7" i="17"/>
  <c r="IB7" i="17" s="1"/>
  <c r="HA7" i="17"/>
  <c r="IC7" i="17" s="1"/>
  <c r="HM7" i="17"/>
  <c r="IO7" i="17" s="1"/>
  <c r="HN7" i="17"/>
  <c r="IP7" i="17" s="1"/>
  <c r="HE7" i="17"/>
  <c r="IG7" i="17" s="1"/>
  <c r="GS7" i="17"/>
  <c r="HU7" i="17" s="1"/>
  <c r="HH7" i="17"/>
  <c r="IJ7" i="17" s="1"/>
  <c r="HF7" i="17"/>
  <c r="IH7" i="17" s="1"/>
  <c r="GU7" i="17"/>
  <c r="HW7" i="17" s="1"/>
  <c r="HR7" i="17"/>
  <c r="IT7" i="17" s="1"/>
  <c r="HJ7" i="17"/>
  <c r="IL7" i="17" s="1"/>
  <c r="HG7" i="17"/>
  <c r="II7" i="17" s="1"/>
  <c r="GR7" i="17"/>
  <c r="HT7" i="17" s="1"/>
  <c r="GY7" i="17"/>
  <c r="IA7" i="17" s="1"/>
  <c r="HC7" i="17"/>
  <c r="IE7" i="17" s="1"/>
  <c r="GW7" i="17"/>
  <c r="HY7" i="17" s="1"/>
  <c r="C263" i="17"/>
  <c r="C90" i="17"/>
  <c r="C196" i="17"/>
  <c r="AV286" i="17"/>
  <c r="C154" i="17"/>
  <c r="AV154" i="17"/>
  <c r="GZ231" i="17"/>
  <c r="IB231" i="17" s="1"/>
  <c r="HD231" i="17"/>
  <c r="IF231" i="17" s="1"/>
  <c r="HN231" i="17"/>
  <c r="IP231" i="17" s="1"/>
  <c r="HI231" i="17"/>
  <c r="IK231" i="17" s="1"/>
  <c r="HB231" i="17"/>
  <c r="ID231" i="17" s="1"/>
  <c r="GS231" i="17"/>
  <c r="HU231" i="17" s="1"/>
  <c r="HQ231" i="17"/>
  <c r="IS231" i="17" s="1"/>
  <c r="GW231" i="17"/>
  <c r="HY231" i="17" s="1"/>
  <c r="HJ231" i="17"/>
  <c r="IL231" i="17" s="1"/>
  <c r="HL231" i="17"/>
  <c r="IN231" i="17" s="1"/>
  <c r="HG231" i="17"/>
  <c r="II231" i="17" s="1"/>
  <c r="HC231" i="17"/>
  <c r="IE231" i="17" s="1"/>
  <c r="GU231" i="17"/>
  <c r="HW231" i="17" s="1"/>
  <c r="HR231" i="17"/>
  <c r="IT231" i="17" s="1"/>
  <c r="GT231" i="17"/>
  <c r="HV231" i="17" s="1"/>
  <c r="GV231" i="17"/>
  <c r="HX231" i="17" s="1"/>
  <c r="GY231" i="17"/>
  <c r="IA231" i="17" s="1"/>
  <c r="HH231" i="17"/>
  <c r="IJ231" i="17" s="1"/>
  <c r="HP231" i="17"/>
  <c r="IR231" i="17" s="1"/>
  <c r="HE231" i="17"/>
  <c r="IG231" i="17" s="1"/>
  <c r="GX231" i="17"/>
  <c r="HZ231" i="17" s="1"/>
  <c r="HA231" i="17"/>
  <c r="IC231" i="17" s="1"/>
  <c r="HM231" i="17"/>
  <c r="IO231" i="17" s="1"/>
  <c r="HO231" i="17"/>
  <c r="IQ231" i="17" s="1"/>
  <c r="GR231" i="17"/>
  <c r="HT231" i="17" s="1"/>
  <c r="HF231" i="17"/>
  <c r="IH231" i="17" s="1"/>
  <c r="HK231" i="17"/>
  <c r="IM231" i="17" s="1"/>
  <c r="AV148" i="17"/>
  <c r="GY315" i="17"/>
  <c r="IA315" i="17" s="1"/>
  <c r="HL315" i="17"/>
  <c r="IN315" i="17" s="1"/>
  <c r="HA315" i="17"/>
  <c r="IC315" i="17" s="1"/>
  <c r="GZ315" i="17"/>
  <c r="IB315" i="17" s="1"/>
  <c r="HP315" i="17"/>
  <c r="IR315" i="17" s="1"/>
  <c r="GX315" i="17"/>
  <c r="HZ315" i="17" s="1"/>
  <c r="HB315" i="17"/>
  <c r="ID315" i="17" s="1"/>
  <c r="HM315" i="17"/>
  <c r="IO315" i="17" s="1"/>
  <c r="GS315" i="17"/>
  <c r="HU315" i="17" s="1"/>
  <c r="HK315" i="17"/>
  <c r="IM315" i="17" s="1"/>
  <c r="HF315" i="17"/>
  <c r="IH315" i="17" s="1"/>
  <c r="GV315" i="17"/>
  <c r="HX315" i="17" s="1"/>
  <c r="HE315" i="17"/>
  <c r="IG315" i="17" s="1"/>
  <c r="GT315" i="17"/>
  <c r="HV315" i="17" s="1"/>
  <c r="HG315" i="17"/>
  <c r="II315" i="17" s="1"/>
  <c r="GW315" i="17"/>
  <c r="HY315" i="17" s="1"/>
  <c r="GU315" i="17"/>
  <c r="HW315" i="17" s="1"/>
  <c r="HC315" i="17"/>
  <c r="IE315" i="17" s="1"/>
  <c r="HQ315" i="17"/>
  <c r="IS315" i="17" s="1"/>
  <c r="HD315" i="17"/>
  <c r="IF315" i="17" s="1"/>
  <c r="HJ315" i="17"/>
  <c r="IL315" i="17" s="1"/>
  <c r="HO315" i="17"/>
  <c r="IQ315" i="17" s="1"/>
  <c r="HH315" i="17"/>
  <c r="IJ315" i="17" s="1"/>
  <c r="HR315" i="17"/>
  <c r="IT315" i="17" s="1"/>
  <c r="GR315" i="17"/>
  <c r="HT315" i="17" s="1"/>
  <c r="HI315" i="17"/>
  <c r="IK315" i="17" s="1"/>
  <c r="HN315" i="17"/>
  <c r="IP315" i="17" s="1"/>
  <c r="HC288" i="17"/>
  <c r="IE288" i="17" s="1"/>
  <c r="GW288" i="17"/>
  <c r="HY288" i="17" s="1"/>
  <c r="HR288" i="17"/>
  <c r="IT288" i="17" s="1"/>
  <c r="HD288" i="17"/>
  <c r="IF288" i="17" s="1"/>
  <c r="HM288" i="17"/>
  <c r="IO288" i="17" s="1"/>
  <c r="HG288" i="17"/>
  <c r="II288" i="17" s="1"/>
  <c r="HA288" i="17"/>
  <c r="IC288" i="17" s="1"/>
  <c r="GR288" i="17"/>
  <c r="HT288" i="17" s="1"/>
  <c r="HJ288" i="17"/>
  <c r="IL288" i="17" s="1"/>
  <c r="GU288" i="17"/>
  <c r="HW288" i="17" s="1"/>
  <c r="HK288" i="17"/>
  <c r="IM288" i="17" s="1"/>
  <c r="HF288" i="17"/>
  <c r="IH288" i="17" s="1"/>
  <c r="HB288" i="17"/>
  <c r="ID288" i="17" s="1"/>
  <c r="HO288" i="17"/>
  <c r="IQ288" i="17" s="1"/>
  <c r="HL288" i="17"/>
  <c r="IN288" i="17" s="1"/>
  <c r="HQ288" i="17"/>
  <c r="IS288" i="17" s="1"/>
  <c r="GY288" i="17"/>
  <c r="IA288" i="17" s="1"/>
  <c r="GT288" i="17"/>
  <c r="HV288" i="17" s="1"/>
  <c r="GS288" i="17"/>
  <c r="HU288" i="17" s="1"/>
  <c r="GZ288" i="17"/>
  <c r="IB288" i="17" s="1"/>
  <c r="HI288" i="17"/>
  <c r="IK288" i="17" s="1"/>
  <c r="HH288" i="17"/>
  <c r="IJ288" i="17" s="1"/>
  <c r="HN288" i="17"/>
  <c r="IP288" i="17" s="1"/>
  <c r="HP288" i="17"/>
  <c r="IR288" i="17" s="1"/>
  <c r="GX288" i="17"/>
  <c r="HZ288" i="17" s="1"/>
  <c r="GV288" i="17"/>
  <c r="HX288" i="17" s="1"/>
  <c r="HE288" i="17"/>
  <c r="IG288" i="17" s="1"/>
  <c r="AV67" i="17"/>
  <c r="AV33" i="17"/>
  <c r="C140" i="17"/>
  <c r="AV140" i="17"/>
  <c r="C278" i="17"/>
  <c r="AV12" i="17"/>
  <c r="HB199" i="17"/>
  <c r="ID199" i="17" s="1"/>
  <c r="HD199" i="17"/>
  <c r="IF199" i="17" s="1"/>
  <c r="HF199" i="17"/>
  <c r="IH199" i="17" s="1"/>
  <c r="HI199" i="17"/>
  <c r="IK199" i="17" s="1"/>
  <c r="GW199" i="17"/>
  <c r="HY199" i="17" s="1"/>
  <c r="GT199" i="17"/>
  <c r="HV199" i="17" s="1"/>
  <c r="HQ199" i="17"/>
  <c r="IS199" i="17" s="1"/>
  <c r="HH199" i="17"/>
  <c r="IJ199" i="17" s="1"/>
  <c r="HK199" i="17"/>
  <c r="IM199" i="17" s="1"/>
  <c r="GU199" i="17"/>
  <c r="HW199" i="17" s="1"/>
  <c r="GR199" i="17"/>
  <c r="HT199" i="17" s="1"/>
  <c r="HR199" i="17"/>
  <c r="IT199" i="17" s="1"/>
  <c r="GZ199" i="17"/>
  <c r="IB199" i="17" s="1"/>
  <c r="HJ199" i="17"/>
  <c r="IL199" i="17" s="1"/>
  <c r="HL199" i="17"/>
  <c r="IN199" i="17" s="1"/>
  <c r="HP199" i="17"/>
  <c r="IR199" i="17" s="1"/>
  <c r="GS199" i="17"/>
  <c r="HU199" i="17" s="1"/>
  <c r="HC199" i="17"/>
  <c r="IE199" i="17" s="1"/>
  <c r="GX199" i="17"/>
  <c r="HZ199" i="17" s="1"/>
  <c r="GV199" i="17"/>
  <c r="HX199" i="17" s="1"/>
  <c r="GY199" i="17"/>
  <c r="IA199" i="17" s="1"/>
  <c r="HG199" i="17"/>
  <c r="II199" i="17" s="1"/>
  <c r="HM199" i="17"/>
  <c r="IO199" i="17" s="1"/>
  <c r="HN199" i="17"/>
  <c r="IP199" i="17" s="1"/>
  <c r="HA199" i="17"/>
  <c r="IC199" i="17" s="1"/>
  <c r="HE199" i="17"/>
  <c r="IG199" i="17" s="1"/>
  <c r="HO199" i="17"/>
  <c r="IQ199" i="17" s="1"/>
  <c r="GU193" i="17"/>
  <c r="HW193" i="17" s="1"/>
  <c r="HL193" i="17"/>
  <c r="IN193" i="17" s="1"/>
  <c r="GS193" i="17"/>
  <c r="HU193" i="17" s="1"/>
  <c r="GX193" i="17"/>
  <c r="HZ193" i="17" s="1"/>
  <c r="GV193" i="17"/>
  <c r="HX193" i="17" s="1"/>
  <c r="HA193" i="17"/>
  <c r="IC193" i="17" s="1"/>
  <c r="HM193" i="17"/>
  <c r="IO193" i="17" s="1"/>
  <c r="GR193" i="17"/>
  <c r="HT193" i="17" s="1"/>
  <c r="HP193" i="17"/>
  <c r="IR193" i="17" s="1"/>
  <c r="GT193" i="17"/>
  <c r="HV193" i="17" s="1"/>
  <c r="GZ193" i="17"/>
  <c r="IB193" i="17" s="1"/>
  <c r="HR193" i="17"/>
  <c r="IT193" i="17" s="1"/>
  <c r="HJ193" i="17"/>
  <c r="IL193" i="17" s="1"/>
  <c r="HO193" i="17"/>
  <c r="IQ193" i="17" s="1"/>
  <c r="HC193" i="17"/>
  <c r="IE193" i="17" s="1"/>
  <c r="GW193" i="17"/>
  <c r="HY193" i="17" s="1"/>
  <c r="HN193" i="17"/>
  <c r="IP193" i="17" s="1"/>
  <c r="HD193" i="17"/>
  <c r="IF193" i="17" s="1"/>
  <c r="HK193" i="17"/>
  <c r="IM193" i="17" s="1"/>
  <c r="HH193" i="17"/>
  <c r="IJ193" i="17" s="1"/>
  <c r="HE193" i="17"/>
  <c r="IG193" i="17" s="1"/>
  <c r="HI193" i="17"/>
  <c r="IK193" i="17" s="1"/>
  <c r="GY193" i="17"/>
  <c r="IA193" i="17" s="1"/>
  <c r="HF193" i="17"/>
  <c r="IH193" i="17" s="1"/>
  <c r="HQ193" i="17"/>
  <c r="IS193" i="17" s="1"/>
  <c r="HB193" i="17"/>
  <c r="ID193" i="17" s="1"/>
  <c r="HG193" i="17"/>
  <c r="II193" i="17" s="1"/>
  <c r="GU33" i="17"/>
  <c r="HW33" i="17" s="1"/>
  <c r="HC33" i="17"/>
  <c r="IE33" i="17" s="1"/>
  <c r="GZ33" i="17"/>
  <c r="IB33" i="17" s="1"/>
  <c r="HK33" i="17"/>
  <c r="IM33" i="17" s="1"/>
  <c r="HG33" i="17"/>
  <c r="II33" i="17" s="1"/>
  <c r="HE33" i="17"/>
  <c r="IG33" i="17" s="1"/>
  <c r="HH33" i="17"/>
  <c r="IJ33" i="17" s="1"/>
  <c r="GS33" i="17"/>
  <c r="HU33" i="17" s="1"/>
  <c r="HR33" i="17"/>
  <c r="IT33" i="17" s="1"/>
  <c r="GW33" i="17"/>
  <c r="HY33" i="17" s="1"/>
  <c r="GX33" i="17"/>
  <c r="HZ33" i="17" s="1"/>
  <c r="HP33" i="17"/>
  <c r="IR33" i="17" s="1"/>
  <c r="HI33" i="17"/>
  <c r="IK33" i="17" s="1"/>
  <c r="HB33" i="17"/>
  <c r="ID33" i="17" s="1"/>
  <c r="HJ33" i="17"/>
  <c r="IL33" i="17" s="1"/>
  <c r="HN33" i="17"/>
  <c r="IP33" i="17" s="1"/>
  <c r="HA33" i="17"/>
  <c r="IC33" i="17" s="1"/>
  <c r="HO33" i="17"/>
  <c r="IQ33" i="17" s="1"/>
  <c r="GY33" i="17"/>
  <c r="IA33" i="17" s="1"/>
  <c r="HF33" i="17"/>
  <c r="IH33" i="17" s="1"/>
  <c r="GV33" i="17"/>
  <c r="HX33" i="17" s="1"/>
  <c r="GT33" i="17"/>
  <c r="HV33" i="17" s="1"/>
  <c r="HD33" i="17"/>
  <c r="IF33" i="17" s="1"/>
  <c r="HQ33" i="17"/>
  <c r="IS33" i="17" s="1"/>
  <c r="HL33" i="17"/>
  <c r="IN33" i="17" s="1"/>
  <c r="HM33" i="17"/>
  <c r="IO33" i="17" s="1"/>
  <c r="GR33" i="17"/>
  <c r="HT33" i="17" s="1"/>
  <c r="AV160" i="17"/>
  <c r="AV228" i="17"/>
  <c r="C79" i="17"/>
  <c r="GS240" i="17"/>
  <c r="HU240" i="17" s="1"/>
  <c r="HL240" i="17"/>
  <c r="IN240" i="17" s="1"/>
  <c r="GY240" i="17"/>
  <c r="IA240" i="17" s="1"/>
  <c r="HO240" i="17"/>
  <c r="IQ240" i="17" s="1"/>
  <c r="HB240" i="17"/>
  <c r="ID240" i="17" s="1"/>
  <c r="HI240" i="17"/>
  <c r="IK240" i="17" s="1"/>
  <c r="HA240" i="17"/>
  <c r="IC240" i="17" s="1"/>
  <c r="HC240" i="17"/>
  <c r="IE240" i="17" s="1"/>
  <c r="GV240" i="17"/>
  <c r="HX240" i="17" s="1"/>
  <c r="HE240" i="17"/>
  <c r="IG240" i="17" s="1"/>
  <c r="GR240" i="17"/>
  <c r="HT240" i="17" s="1"/>
  <c r="HH240" i="17"/>
  <c r="IJ240" i="17" s="1"/>
  <c r="HD240" i="17"/>
  <c r="IF240" i="17" s="1"/>
  <c r="HK240" i="17"/>
  <c r="IM240" i="17" s="1"/>
  <c r="HJ240" i="17"/>
  <c r="IL240" i="17" s="1"/>
  <c r="GX240" i="17"/>
  <c r="HZ240" i="17" s="1"/>
  <c r="HF240" i="17"/>
  <c r="IH240" i="17" s="1"/>
  <c r="HQ240" i="17"/>
  <c r="IS240" i="17" s="1"/>
  <c r="HM240" i="17"/>
  <c r="IO240" i="17" s="1"/>
  <c r="GZ240" i="17"/>
  <c r="IB240" i="17" s="1"/>
  <c r="HR240" i="17"/>
  <c r="IT240" i="17" s="1"/>
  <c r="GU240" i="17"/>
  <c r="HW240" i="17" s="1"/>
  <c r="HP240" i="17"/>
  <c r="IR240" i="17" s="1"/>
  <c r="GT240" i="17"/>
  <c r="HV240" i="17" s="1"/>
  <c r="HN240" i="17"/>
  <c r="IP240" i="17" s="1"/>
  <c r="GW240" i="17"/>
  <c r="HY240" i="17" s="1"/>
  <c r="HG240" i="17"/>
  <c r="II240" i="17" s="1"/>
  <c r="AV300" i="17"/>
  <c r="C29" i="17"/>
  <c r="AV135" i="17"/>
  <c r="HE210" i="17"/>
  <c r="IG210" i="17" s="1"/>
  <c r="GV210" i="17"/>
  <c r="HX210" i="17" s="1"/>
  <c r="HJ210" i="17"/>
  <c r="IL210" i="17" s="1"/>
  <c r="GR210" i="17"/>
  <c r="HT210" i="17" s="1"/>
  <c r="HP210" i="17"/>
  <c r="IR210" i="17" s="1"/>
  <c r="HG210" i="17"/>
  <c r="II210" i="17" s="1"/>
  <c r="HR210" i="17"/>
  <c r="IT210" i="17" s="1"/>
  <c r="HM210" i="17"/>
  <c r="IO210" i="17" s="1"/>
  <c r="GS210" i="17"/>
  <c r="HU210" i="17" s="1"/>
  <c r="HQ210" i="17"/>
  <c r="IS210" i="17" s="1"/>
  <c r="HN210" i="17"/>
  <c r="IP210" i="17" s="1"/>
  <c r="HF210" i="17"/>
  <c r="IH210" i="17" s="1"/>
  <c r="HC210" i="17"/>
  <c r="IE210" i="17" s="1"/>
  <c r="HA210" i="17"/>
  <c r="IC210" i="17" s="1"/>
  <c r="HB210" i="17"/>
  <c r="ID210" i="17" s="1"/>
  <c r="GT210" i="17"/>
  <c r="HV210" i="17" s="1"/>
  <c r="HH210" i="17"/>
  <c r="IJ210" i="17" s="1"/>
  <c r="GX210" i="17"/>
  <c r="HZ210" i="17" s="1"/>
  <c r="HO210" i="17"/>
  <c r="IQ210" i="17" s="1"/>
  <c r="HI210" i="17"/>
  <c r="IK210" i="17" s="1"/>
  <c r="GY210" i="17"/>
  <c r="IA210" i="17" s="1"/>
  <c r="GU210" i="17"/>
  <c r="HW210" i="17" s="1"/>
  <c r="GW210" i="17"/>
  <c r="HY210" i="17" s="1"/>
  <c r="HD210" i="17"/>
  <c r="IF210" i="17" s="1"/>
  <c r="HL210" i="17"/>
  <c r="IN210" i="17" s="1"/>
  <c r="GZ210" i="17"/>
  <c r="IB210" i="17" s="1"/>
  <c r="HK210" i="17"/>
  <c r="IM210" i="17" s="1"/>
  <c r="AV102" i="17"/>
  <c r="C270" i="17"/>
  <c r="AV270" i="17"/>
  <c r="AV294" i="17"/>
  <c r="GU273" i="17"/>
  <c r="HW273" i="17" s="1"/>
  <c r="HM273" i="17"/>
  <c r="IO273" i="17" s="1"/>
  <c r="GR273" i="17"/>
  <c r="HT273" i="17" s="1"/>
  <c r="HH273" i="17"/>
  <c r="IJ273" i="17" s="1"/>
  <c r="HJ273" i="17"/>
  <c r="IL273" i="17" s="1"/>
  <c r="GV273" i="17"/>
  <c r="HX273" i="17" s="1"/>
  <c r="HB273" i="17"/>
  <c r="ID273" i="17" s="1"/>
  <c r="HO273" i="17"/>
  <c r="IQ273" i="17" s="1"/>
  <c r="HF273" i="17"/>
  <c r="IH273" i="17" s="1"/>
  <c r="HE273" i="17"/>
  <c r="IG273" i="17" s="1"/>
  <c r="HA273" i="17"/>
  <c r="IC273" i="17" s="1"/>
  <c r="GX273" i="17"/>
  <c r="HZ273" i="17" s="1"/>
  <c r="HG273" i="17"/>
  <c r="II273" i="17" s="1"/>
  <c r="GY273" i="17"/>
  <c r="IA273" i="17" s="1"/>
  <c r="HL273" i="17"/>
  <c r="IN273" i="17" s="1"/>
  <c r="HD273" i="17"/>
  <c r="IF273" i="17" s="1"/>
  <c r="HP273" i="17"/>
  <c r="IR273" i="17" s="1"/>
  <c r="GS273" i="17"/>
  <c r="HU273" i="17" s="1"/>
  <c r="HQ273" i="17"/>
  <c r="IS273" i="17" s="1"/>
  <c r="HK273" i="17"/>
  <c r="IM273" i="17" s="1"/>
  <c r="GZ273" i="17"/>
  <c r="IB273" i="17" s="1"/>
  <c r="HC273" i="17"/>
  <c r="IE273" i="17" s="1"/>
  <c r="HI273" i="17"/>
  <c r="IK273" i="17" s="1"/>
  <c r="GW273" i="17"/>
  <c r="HY273" i="17" s="1"/>
  <c r="HN273" i="17"/>
  <c r="IP273" i="17" s="1"/>
  <c r="GT273" i="17"/>
  <c r="HV273" i="17" s="1"/>
  <c r="HR273" i="17"/>
  <c r="IT273" i="17" s="1"/>
  <c r="AV11" i="17"/>
  <c r="GQ59" i="17"/>
  <c r="AV59" i="17"/>
  <c r="C191" i="17"/>
  <c r="HB186" i="17"/>
  <c r="ID186" i="17" s="1"/>
  <c r="GW186" i="17"/>
  <c r="HY186" i="17" s="1"/>
  <c r="GT186" i="17"/>
  <c r="HV186" i="17" s="1"/>
  <c r="GX186" i="17"/>
  <c r="HZ186" i="17" s="1"/>
  <c r="HR186" i="17"/>
  <c r="IT186" i="17" s="1"/>
  <c r="GS186" i="17"/>
  <c r="HU186" i="17" s="1"/>
  <c r="HK186" i="17"/>
  <c r="IM186" i="17" s="1"/>
  <c r="HJ186" i="17"/>
  <c r="IL186" i="17" s="1"/>
  <c r="HH186" i="17"/>
  <c r="IJ186" i="17" s="1"/>
  <c r="HF186" i="17"/>
  <c r="IH186" i="17" s="1"/>
  <c r="HP186" i="17"/>
  <c r="IR186" i="17" s="1"/>
  <c r="GY186" i="17"/>
  <c r="IA186" i="17" s="1"/>
  <c r="HA186" i="17"/>
  <c r="IC186" i="17" s="1"/>
  <c r="HO186" i="17"/>
  <c r="IQ186" i="17" s="1"/>
  <c r="HE186" i="17"/>
  <c r="IG186" i="17" s="1"/>
  <c r="HC186" i="17"/>
  <c r="IE186" i="17" s="1"/>
  <c r="HI186" i="17"/>
  <c r="IK186" i="17" s="1"/>
  <c r="HM186" i="17"/>
  <c r="IO186" i="17" s="1"/>
  <c r="HG186" i="17"/>
  <c r="II186" i="17" s="1"/>
  <c r="GV186" i="17"/>
  <c r="HX186" i="17" s="1"/>
  <c r="HD186" i="17"/>
  <c r="IF186" i="17" s="1"/>
  <c r="HQ186" i="17"/>
  <c r="IS186" i="17" s="1"/>
  <c r="GU186" i="17"/>
  <c r="HW186" i="17" s="1"/>
  <c r="HN186" i="17"/>
  <c r="IP186" i="17" s="1"/>
  <c r="GZ186" i="17"/>
  <c r="IB186" i="17" s="1"/>
  <c r="HL186" i="17"/>
  <c r="IN186" i="17" s="1"/>
  <c r="GR186" i="17"/>
  <c r="HT186" i="17" s="1"/>
  <c r="C296" i="17"/>
  <c r="C283" i="17"/>
  <c r="HA16" i="17"/>
  <c r="IC16" i="17" s="1"/>
  <c r="HJ16" i="17"/>
  <c r="IL16" i="17" s="1"/>
  <c r="HP16" i="17"/>
  <c r="IR16" i="17" s="1"/>
  <c r="HK16" i="17"/>
  <c r="IM16" i="17" s="1"/>
  <c r="GT16" i="17"/>
  <c r="HV16" i="17" s="1"/>
  <c r="HC16" i="17"/>
  <c r="IE16" i="17" s="1"/>
  <c r="HL16" i="17"/>
  <c r="IN16" i="17" s="1"/>
  <c r="GX16" i="17"/>
  <c r="HZ16" i="17" s="1"/>
  <c r="HN16" i="17"/>
  <c r="IP16" i="17" s="1"/>
  <c r="HR16" i="17"/>
  <c r="IT16" i="17" s="1"/>
  <c r="HH16" i="17"/>
  <c r="IJ16" i="17" s="1"/>
  <c r="HD16" i="17"/>
  <c r="IF16" i="17" s="1"/>
  <c r="GY16" i="17"/>
  <c r="IA16" i="17" s="1"/>
  <c r="GS16" i="17"/>
  <c r="HU16" i="17" s="1"/>
  <c r="GU16" i="17"/>
  <c r="HW16" i="17" s="1"/>
  <c r="HE16" i="17"/>
  <c r="IG16" i="17" s="1"/>
  <c r="HM16" i="17"/>
  <c r="IO16" i="17" s="1"/>
  <c r="HF16" i="17"/>
  <c r="IH16" i="17" s="1"/>
  <c r="HQ16" i="17"/>
  <c r="IS16" i="17" s="1"/>
  <c r="HG16" i="17"/>
  <c r="II16" i="17" s="1"/>
  <c r="GW16" i="17"/>
  <c r="HY16" i="17" s="1"/>
  <c r="HI16" i="17"/>
  <c r="IK16" i="17" s="1"/>
  <c r="GZ16" i="17"/>
  <c r="IB16" i="17" s="1"/>
  <c r="HO16" i="17"/>
  <c r="IQ16" i="17" s="1"/>
  <c r="GV16" i="17"/>
  <c r="HX16" i="17" s="1"/>
  <c r="GR16" i="17"/>
  <c r="HT16" i="17" s="1"/>
  <c r="HB16" i="17"/>
  <c r="ID16" i="17" s="1"/>
  <c r="AV64" i="17"/>
  <c r="C256" i="17"/>
  <c r="C287" i="17"/>
  <c r="C160" i="17"/>
  <c r="AV15" i="17"/>
  <c r="AV60" i="17"/>
  <c r="AV293" i="17"/>
  <c r="HN268" i="17"/>
  <c r="IP268" i="17" s="1"/>
  <c r="HI268" i="17"/>
  <c r="IK268" i="17" s="1"/>
  <c r="GZ268" i="17"/>
  <c r="IB268" i="17" s="1"/>
  <c r="HA268" i="17"/>
  <c r="IC268" i="17" s="1"/>
  <c r="GW268" i="17"/>
  <c r="HY268" i="17" s="1"/>
  <c r="GY268" i="17"/>
  <c r="IA268" i="17" s="1"/>
  <c r="HO268" i="17"/>
  <c r="IQ268" i="17" s="1"/>
  <c r="HB268" i="17"/>
  <c r="ID268" i="17" s="1"/>
  <c r="GV268" i="17"/>
  <c r="HX268" i="17" s="1"/>
  <c r="GR268" i="17"/>
  <c r="HT268" i="17" s="1"/>
  <c r="HQ268" i="17"/>
  <c r="IS268" i="17" s="1"/>
  <c r="GX268" i="17"/>
  <c r="HZ268" i="17" s="1"/>
  <c r="HF268" i="17"/>
  <c r="IH268" i="17" s="1"/>
  <c r="HR268" i="17"/>
  <c r="IT268" i="17" s="1"/>
  <c r="HH268" i="17"/>
  <c r="IJ268" i="17" s="1"/>
  <c r="HJ268" i="17"/>
  <c r="IL268" i="17" s="1"/>
  <c r="HM268" i="17"/>
  <c r="IO268" i="17" s="1"/>
  <c r="HK268" i="17"/>
  <c r="IM268" i="17" s="1"/>
  <c r="HD268" i="17"/>
  <c r="IF268" i="17" s="1"/>
  <c r="HC268" i="17"/>
  <c r="IE268" i="17" s="1"/>
  <c r="HE268" i="17"/>
  <c r="IG268" i="17" s="1"/>
  <c r="GU268" i="17"/>
  <c r="HW268" i="17" s="1"/>
  <c r="HG268" i="17"/>
  <c r="II268" i="17" s="1"/>
  <c r="HP268" i="17"/>
  <c r="IR268" i="17" s="1"/>
  <c r="HL268" i="17"/>
  <c r="IN268" i="17" s="1"/>
  <c r="GS268" i="17"/>
  <c r="HU268" i="17" s="1"/>
  <c r="GT268" i="17"/>
  <c r="HV268" i="17" s="1"/>
  <c r="GU229" i="17"/>
  <c r="HW229" i="17" s="1"/>
  <c r="GS229" i="17"/>
  <c r="HU229" i="17" s="1"/>
  <c r="GR229" i="17"/>
  <c r="HT229" i="17" s="1"/>
  <c r="HB229" i="17"/>
  <c r="ID229" i="17" s="1"/>
  <c r="GW229" i="17"/>
  <c r="HY229" i="17" s="1"/>
  <c r="GX229" i="17"/>
  <c r="HZ229" i="17" s="1"/>
  <c r="GT229" i="17"/>
  <c r="HV229" i="17" s="1"/>
  <c r="HM229" i="17"/>
  <c r="IO229" i="17" s="1"/>
  <c r="HJ229" i="17"/>
  <c r="IL229" i="17" s="1"/>
  <c r="GY229" i="17"/>
  <c r="IA229" i="17" s="1"/>
  <c r="HG229" i="17"/>
  <c r="II229" i="17" s="1"/>
  <c r="HL229" i="17"/>
  <c r="IN229" i="17" s="1"/>
  <c r="HD229" i="17"/>
  <c r="IF229" i="17" s="1"/>
  <c r="HR229" i="17"/>
  <c r="IT229" i="17" s="1"/>
  <c r="HO229" i="17"/>
  <c r="IQ229" i="17" s="1"/>
  <c r="HN229" i="17"/>
  <c r="IP229" i="17" s="1"/>
  <c r="HA229" i="17"/>
  <c r="IC229" i="17" s="1"/>
  <c r="GZ229" i="17"/>
  <c r="IB229" i="17" s="1"/>
  <c r="HP229" i="17"/>
  <c r="IR229" i="17" s="1"/>
  <c r="HI229" i="17"/>
  <c r="IK229" i="17" s="1"/>
  <c r="HE229" i="17"/>
  <c r="IG229" i="17" s="1"/>
  <c r="GV229" i="17"/>
  <c r="HX229" i="17" s="1"/>
  <c r="HF229" i="17"/>
  <c r="IH229" i="17" s="1"/>
  <c r="HC229" i="17"/>
  <c r="IE229" i="17" s="1"/>
  <c r="HQ229" i="17"/>
  <c r="IS229" i="17" s="1"/>
  <c r="HK229" i="17"/>
  <c r="IM229" i="17" s="1"/>
  <c r="HH229" i="17"/>
  <c r="IJ229" i="17" s="1"/>
  <c r="C289" i="17"/>
  <c r="C3" i="17"/>
  <c r="AV155" i="17"/>
  <c r="AV199" i="17"/>
  <c r="HF48" i="17"/>
  <c r="IH48" i="17" s="1"/>
  <c r="HR48" i="17"/>
  <c r="IT48" i="17" s="1"/>
  <c r="HD48" i="17"/>
  <c r="IF48" i="17" s="1"/>
  <c r="GU48" i="17"/>
  <c r="HW48" i="17" s="1"/>
  <c r="HO48" i="17"/>
  <c r="IQ48" i="17" s="1"/>
  <c r="GR48" i="17"/>
  <c r="HT48" i="17" s="1"/>
  <c r="HM48" i="17"/>
  <c r="IO48" i="17" s="1"/>
  <c r="HK48" i="17"/>
  <c r="IM48" i="17" s="1"/>
  <c r="HP48" i="17"/>
  <c r="IR48" i="17" s="1"/>
  <c r="HE48" i="17"/>
  <c r="IG48" i="17" s="1"/>
  <c r="HI48" i="17"/>
  <c r="IK48" i="17" s="1"/>
  <c r="GS48" i="17"/>
  <c r="HU48" i="17" s="1"/>
  <c r="HC48" i="17"/>
  <c r="IE48" i="17" s="1"/>
  <c r="GT48" i="17"/>
  <c r="HV48" i="17" s="1"/>
  <c r="HL48" i="17"/>
  <c r="IN48" i="17" s="1"/>
  <c r="GX48" i="17"/>
  <c r="HZ48" i="17" s="1"/>
  <c r="GZ48" i="17"/>
  <c r="IB48" i="17" s="1"/>
  <c r="HG48" i="17"/>
  <c r="II48" i="17" s="1"/>
  <c r="HH48" i="17"/>
  <c r="IJ48" i="17" s="1"/>
  <c r="GV48" i="17"/>
  <c r="HX48" i="17" s="1"/>
  <c r="HQ48" i="17"/>
  <c r="IS48" i="17" s="1"/>
  <c r="HB48" i="17"/>
  <c r="ID48" i="17" s="1"/>
  <c r="HA48" i="17"/>
  <c r="IC48" i="17" s="1"/>
  <c r="HN48" i="17"/>
  <c r="IP48" i="17" s="1"/>
  <c r="HJ48" i="17"/>
  <c r="IL48" i="17" s="1"/>
  <c r="GW48" i="17"/>
  <c r="HY48" i="17" s="1"/>
  <c r="GY48" i="17"/>
  <c r="IA48" i="17" s="1"/>
  <c r="C306" i="17"/>
  <c r="HK207" i="17"/>
  <c r="IM207" i="17" s="1"/>
  <c r="GU207" i="17"/>
  <c r="HW207" i="17" s="1"/>
  <c r="HL207" i="17"/>
  <c r="IN207" i="17" s="1"/>
  <c r="GR207" i="17"/>
  <c r="HT207" i="17" s="1"/>
  <c r="HD207" i="17"/>
  <c r="IF207" i="17" s="1"/>
  <c r="GW207" i="17"/>
  <c r="HY207" i="17" s="1"/>
  <c r="HR207" i="17"/>
  <c r="IT207" i="17" s="1"/>
  <c r="HC207" i="17"/>
  <c r="IE207" i="17" s="1"/>
  <c r="HP207" i="17"/>
  <c r="IR207" i="17" s="1"/>
  <c r="HQ207" i="17"/>
  <c r="IS207" i="17" s="1"/>
  <c r="GZ207" i="17"/>
  <c r="IB207" i="17" s="1"/>
  <c r="HF207" i="17"/>
  <c r="IH207" i="17" s="1"/>
  <c r="HO207" i="17"/>
  <c r="IQ207" i="17" s="1"/>
  <c r="HG207" i="17"/>
  <c r="II207" i="17" s="1"/>
  <c r="GY207" i="17"/>
  <c r="IA207" i="17" s="1"/>
  <c r="HH207" i="17"/>
  <c r="IJ207" i="17" s="1"/>
  <c r="HE207" i="17"/>
  <c r="IG207" i="17" s="1"/>
  <c r="HA207" i="17"/>
  <c r="IC207" i="17" s="1"/>
  <c r="HI207" i="17"/>
  <c r="IK207" i="17" s="1"/>
  <c r="HJ207" i="17"/>
  <c r="IL207" i="17" s="1"/>
  <c r="GV207" i="17"/>
  <c r="HX207" i="17" s="1"/>
  <c r="GX207" i="17"/>
  <c r="HZ207" i="17" s="1"/>
  <c r="HM207" i="17"/>
  <c r="IO207" i="17" s="1"/>
  <c r="GT207" i="17"/>
  <c r="HV207" i="17" s="1"/>
  <c r="HB207" i="17"/>
  <c r="ID207" i="17" s="1"/>
  <c r="GS207" i="17"/>
  <c r="HU207" i="17" s="1"/>
  <c r="HN207" i="17"/>
  <c r="IP207" i="17" s="1"/>
  <c r="HD144" i="17"/>
  <c r="IF144" i="17" s="1"/>
  <c r="GX144" i="17"/>
  <c r="HZ144" i="17" s="1"/>
  <c r="GR144" i="17"/>
  <c r="HT144" i="17" s="1"/>
  <c r="HB144" i="17"/>
  <c r="ID144" i="17" s="1"/>
  <c r="HM144" i="17"/>
  <c r="IO144" i="17" s="1"/>
  <c r="HG144" i="17"/>
  <c r="II144" i="17" s="1"/>
  <c r="HA144" i="17"/>
  <c r="IC144" i="17" s="1"/>
  <c r="HR144" i="17"/>
  <c r="IT144" i="17" s="1"/>
  <c r="GU144" i="17"/>
  <c r="HW144" i="17" s="1"/>
  <c r="HH144" i="17"/>
  <c r="IJ144" i="17" s="1"/>
  <c r="GV144" i="17"/>
  <c r="HX144" i="17" s="1"/>
  <c r="HJ144" i="17"/>
  <c r="IL144" i="17" s="1"/>
  <c r="HQ144" i="17"/>
  <c r="IS144" i="17" s="1"/>
  <c r="HE144" i="17"/>
  <c r="IG144" i="17" s="1"/>
  <c r="GZ144" i="17"/>
  <c r="IB144" i="17" s="1"/>
  <c r="HK144" i="17"/>
  <c r="IM144" i="17" s="1"/>
  <c r="GS144" i="17"/>
  <c r="HU144" i="17" s="1"/>
  <c r="GT144" i="17"/>
  <c r="HV144" i="17" s="1"/>
  <c r="HN144" i="17"/>
  <c r="IP144" i="17" s="1"/>
  <c r="HL144" i="17"/>
  <c r="IN144" i="17" s="1"/>
  <c r="HO144" i="17"/>
  <c r="IQ144" i="17" s="1"/>
  <c r="GW144" i="17"/>
  <c r="HY144" i="17" s="1"/>
  <c r="HP144" i="17"/>
  <c r="IR144" i="17" s="1"/>
  <c r="HI144" i="17"/>
  <c r="IK144" i="17" s="1"/>
  <c r="HF144" i="17"/>
  <c r="IH144" i="17" s="1"/>
  <c r="GY144" i="17"/>
  <c r="IA144" i="17" s="1"/>
  <c r="HC144" i="17"/>
  <c r="IE144" i="17" s="1"/>
  <c r="HG212" i="17"/>
  <c r="II212" i="17" s="1"/>
  <c r="GV212" i="17"/>
  <c r="HX212" i="17" s="1"/>
  <c r="HK212" i="17"/>
  <c r="IM212" i="17" s="1"/>
  <c r="HD212" i="17"/>
  <c r="IF212" i="17" s="1"/>
  <c r="HJ212" i="17"/>
  <c r="IL212" i="17" s="1"/>
  <c r="HH212" i="17"/>
  <c r="IJ212" i="17" s="1"/>
  <c r="HF212" i="17"/>
  <c r="IH212" i="17" s="1"/>
  <c r="GS212" i="17"/>
  <c r="HU212" i="17" s="1"/>
  <c r="HE212" i="17"/>
  <c r="IG212" i="17" s="1"/>
  <c r="HR212" i="17"/>
  <c r="IT212" i="17" s="1"/>
  <c r="GX212" i="17"/>
  <c r="HZ212" i="17" s="1"/>
  <c r="GR212" i="17"/>
  <c r="HT212" i="17" s="1"/>
  <c r="HL212" i="17"/>
  <c r="IN212" i="17" s="1"/>
  <c r="GY212" i="17"/>
  <c r="IA212" i="17" s="1"/>
  <c r="HN212" i="17"/>
  <c r="IP212" i="17" s="1"/>
  <c r="HP212" i="17"/>
  <c r="IR212" i="17" s="1"/>
  <c r="HQ212" i="17"/>
  <c r="IS212" i="17" s="1"/>
  <c r="HB212" i="17"/>
  <c r="ID212" i="17" s="1"/>
  <c r="GW212" i="17"/>
  <c r="HY212" i="17" s="1"/>
  <c r="HM212" i="17"/>
  <c r="IO212" i="17" s="1"/>
  <c r="HO212" i="17"/>
  <c r="IQ212" i="17" s="1"/>
  <c r="GZ212" i="17"/>
  <c r="IB212" i="17" s="1"/>
  <c r="HI212" i="17"/>
  <c r="IK212" i="17" s="1"/>
  <c r="GT212" i="17"/>
  <c r="HV212" i="17" s="1"/>
  <c r="GU212" i="17"/>
  <c r="HW212" i="17" s="1"/>
  <c r="HC212" i="17"/>
  <c r="IE212" i="17" s="1"/>
  <c r="HA212" i="17"/>
  <c r="IC212" i="17" s="1"/>
  <c r="C27" i="17"/>
  <c r="C268" i="17"/>
  <c r="AV268" i="17"/>
  <c r="AV66" i="17"/>
  <c r="AV108" i="17"/>
  <c r="AV247" i="17"/>
  <c r="C66" i="17"/>
  <c r="AV35" i="17"/>
  <c r="GW322" i="17"/>
  <c r="HY322" i="17" s="1"/>
  <c r="HJ322" i="17"/>
  <c r="IL322" i="17" s="1"/>
  <c r="HF322" i="17"/>
  <c r="IH322" i="17" s="1"/>
  <c r="GR322" i="17"/>
  <c r="HT322" i="17" s="1"/>
  <c r="HK322" i="17"/>
  <c r="IM322" i="17" s="1"/>
  <c r="HA322" i="17"/>
  <c r="IC322" i="17" s="1"/>
  <c r="HI322" i="17"/>
  <c r="IK322" i="17" s="1"/>
  <c r="HO322" i="17"/>
  <c r="IQ322" i="17" s="1"/>
  <c r="GY322" i="17"/>
  <c r="IA322" i="17" s="1"/>
  <c r="GX322" i="17"/>
  <c r="HZ322" i="17" s="1"/>
  <c r="HP322" i="17"/>
  <c r="IR322" i="17" s="1"/>
  <c r="GV322" i="17"/>
  <c r="HX322" i="17" s="1"/>
  <c r="HM322" i="17"/>
  <c r="IO322" i="17" s="1"/>
  <c r="GT322" i="17"/>
  <c r="HV322" i="17" s="1"/>
  <c r="HB322" i="17"/>
  <c r="ID322" i="17" s="1"/>
  <c r="HE322" i="17"/>
  <c r="IG322" i="17" s="1"/>
  <c r="GS322" i="17"/>
  <c r="HU322" i="17" s="1"/>
  <c r="HQ322" i="17"/>
  <c r="IS322" i="17" s="1"/>
  <c r="HD322" i="17"/>
  <c r="IF322" i="17" s="1"/>
  <c r="HC322" i="17"/>
  <c r="IE322" i="17" s="1"/>
  <c r="HH322" i="17"/>
  <c r="IJ322" i="17" s="1"/>
  <c r="HL322" i="17"/>
  <c r="IN322" i="17" s="1"/>
  <c r="HR322" i="17"/>
  <c r="IT322" i="17" s="1"/>
  <c r="GZ322" i="17"/>
  <c r="IB322" i="17" s="1"/>
  <c r="HG322" i="17"/>
  <c r="II322" i="17" s="1"/>
  <c r="HN322" i="17"/>
  <c r="IP322" i="17" s="1"/>
  <c r="GU322" i="17"/>
  <c r="HW322" i="17" s="1"/>
  <c r="C106" i="17"/>
  <c r="AV312" i="17"/>
  <c r="C75" i="17"/>
  <c r="HD224" i="17"/>
  <c r="IF224" i="17" s="1"/>
  <c r="HM224" i="17"/>
  <c r="IO224" i="17" s="1"/>
  <c r="HP224" i="17"/>
  <c r="IR224" i="17" s="1"/>
  <c r="HK224" i="17"/>
  <c r="IM224" i="17" s="1"/>
  <c r="GZ224" i="17"/>
  <c r="IB224" i="17" s="1"/>
  <c r="HJ224" i="17"/>
  <c r="IL224" i="17" s="1"/>
  <c r="HO224" i="17"/>
  <c r="IQ224" i="17" s="1"/>
  <c r="GX224" i="17"/>
  <c r="HZ224" i="17" s="1"/>
  <c r="HN224" i="17"/>
  <c r="IP224" i="17" s="1"/>
  <c r="GR224" i="17"/>
  <c r="HT224" i="17" s="1"/>
  <c r="HE224" i="17"/>
  <c r="IG224" i="17" s="1"/>
  <c r="HL224" i="17"/>
  <c r="IN224" i="17" s="1"/>
  <c r="GU224" i="17"/>
  <c r="HW224" i="17" s="1"/>
  <c r="GS224" i="17"/>
  <c r="HU224" i="17" s="1"/>
  <c r="HQ224" i="17"/>
  <c r="IS224" i="17" s="1"/>
  <c r="GY224" i="17"/>
  <c r="IA224" i="17" s="1"/>
  <c r="HB224" i="17"/>
  <c r="ID224" i="17" s="1"/>
  <c r="HR224" i="17"/>
  <c r="IT224" i="17" s="1"/>
  <c r="HF224" i="17"/>
  <c r="IH224" i="17" s="1"/>
  <c r="HC224" i="17"/>
  <c r="IE224" i="17" s="1"/>
  <c r="GW224" i="17"/>
  <c r="HY224" i="17" s="1"/>
  <c r="HI224" i="17"/>
  <c r="IK224" i="17" s="1"/>
  <c r="HH224" i="17"/>
  <c r="IJ224" i="17" s="1"/>
  <c r="HG224" i="17"/>
  <c r="II224" i="17" s="1"/>
  <c r="HA224" i="17"/>
  <c r="IC224" i="17" s="1"/>
  <c r="GT224" i="17"/>
  <c r="HV224" i="17" s="1"/>
  <c r="GV224" i="17"/>
  <c r="HX224" i="17" s="1"/>
  <c r="AV168" i="17"/>
  <c r="AV285" i="17"/>
  <c r="C102" i="17"/>
  <c r="HP195" i="17"/>
  <c r="IR195" i="17" s="1"/>
  <c r="GY195" i="17"/>
  <c r="IA195" i="17" s="1"/>
  <c r="HQ195" i="17"/>
  <c r="IS195" i="17" s="1"/>
  <c r="HB195" i="17"/>
  <c r="ID195" i="17" s="1"/>
  <c r="HL195" i="17"/>
  <c r="IN195" i="17" s="1"/>
  <c r="GW195" i="17"/>
  <c r="HY195" i="17" s="1"/>
  <c r="HF195" i="17"/>
  <c r="IH195" i="17" s="1"/>
  <c r="HO195" i="17"/>
  <c r="IQ195" i="17" s="1"/>
  <c r="HI195" i="17"/>
  <c r="IK195" i="17" s="1"/>
  <c r="HM195" i="17"/>
  <c r="IO195" i="17" s="1"/>
  <c r="HA195" i="17"/>
  <c r="IC195" i="17" s="1"/>
  <c r="GU195" i="17"/>
  <c r="HW195" i="17" s="1"/>
  <c r="HR195" i="17"/>
  <c r="IT195" i="17" s="1"/>
  <c r="HN195" i="17"/>
  <c r="IP195" i="17" s="1"/>
  <c r="GT195" i="17"/>
  <c r="HV195" i="17" s="1"/>
  <c r="HC195" i="17"/>
  <c r="IE195" i="17" s="1"/>
  <c r="GR195" i="17"/>
  <c r="HT195" i="17" s="1"/>
  <c r="HK195" i="17"/>
  <c r="IM195" i="17" s="1"/>
  <c r="HJ195" i="17"/>
  <c r="IL195" i="17" s="1"/>
  <c r="HG195" i="17"/>
  <c r="II195" i="17" s="1"/>
  <c r="HD195" i="17"/>
  <c r="IF195" i="17" s="1"/>
  <c r="GS195" i="17"/>
  <c r="HU195" i="17" s="1"/>
  <c r="HE195" i="17"/>
  <c r="IG195" i="17" s="1"/>
  <c r="GZ195" i="17"/>
  <c r="IB195" i="17" s="1"/>
  <c r="GX195" i="17"/>
  <c r="HZ195" i="17" s="1"/>
  <c r="HH195" i="17"/>
  <c r="IJ195" i="17" s="1"/>
  <c r="GV195" i="17"/>
  <c r="HX195" i="17" s="1"/>
  <c r="AV174" i="17"/>
  <c r="AV123" i="17"/>
  <c r="GY198" i="17"/>
  <c r="IA198" i="17" s="1"/>
  <c r="HN198" i="17"/>
  <c r="IP198" i="17" s="1"/>
  <c r="HO198" i="17"/>
  <c r="IQ198" i="17" s="1"/>
  <c r="HD198" i="17"/>
  <c r="IF198" i="17" s="1"/>
  <c r="HG198" i="17"/>
  <c r="II198" i="17" s="1"/>
  <c r="GS198" i="17"/>
  <c r="HU198" i="17" s="1"/>
  <c r="GV198" i="17"/>
  <c r="HX198" i="17" s="1"/>
  <c r="HI198" i="17"/>
  <c r="IK198" i="17" s="1"/>
  <c r="HL198" i="17"/>
  <c r="IN198" i="17" s="1"/>
  <c r="HE198" i="17"/>
  <c r="IG198" i="17" s="1"/>
  <c r="GZ198" i="17"/>
  <c r="IB198" i="17" s="1"/>
  <c r="HQ198" i="17"/>
  <c r="IS198" i="17" s="1"/>
  <c r="GX198" i="17"/>
  <c r="HZ198" i="17" s="1"/>
  <c r="HF198" i="17"/>
  <c r="IH198" i="17" s="1"/>
  <c r="HR198" i="17"/>
  <c r="IT198" i="17" s="1"/>
  <c r="GW198" i="17"/>
  <c r="HY198" i="17" s="1"/>
  <c r="HC198" i="17"/>
  <c r="IE198" i="17" s="1"/>
  <c r="HB198" i="17"/>
  <c r="ID198" i="17" s="1"/>
  <c r="HH198" i="17"/>
  <c r="IJ198" i="17" s="1"/>
  <c r="GU198" i="17"/>
  <c r="HW198" i="17" s="1"/>
  <c r="HM198" i="17"/>
  <c r="IO198" i="17" s="1"/>
  <c r="HK198" i="17"/>
  <c r="IM198" i="17" s="1"/>
  <c r="HP198" i="17"/>
  <c r="IR198" i="17" s="1"/>
  <c r="HA198" i="17"/>
  <c r="IC198" i="17" s="1"/>
  <c r="HJ198" i="17"/>
  <c r="IL198" i="17" s="1"/>
  <c r="GR198" i="17"/>
  <c r="HT198" i="17" s="1"/>
  <c r="GT198" i="17"/>
  <c r="HV198" i="17" s="1"/>
  <c r="AV258" i="17"/>
  <c r="AV231" i="17"/>
  <c r="GR274" i="17"/>
  <c r="HT274" i="17" s="1"/>
  <c r="HK274" i="17"/>
  <c r="IM274" i="17" s="1"/>
  <c r="HH274" i="17"/>
  <c r="IJ274" i="17" s="1"/>
  <c r="HI274" i="17"/>
  <c r="IK274" i="17" s="1"/>
  <c r="GW274" i="17"/>
  <c r="HY274" i="17" s="1"/>
  <c r="GV274" i="17"/>
  <c r="HX274" i="17" s="1"/>
  <c r="GX274" i="17"/>
  <c r="HZ274" i="17" s="1"/>
  <c r="HB274" i="17"/>
  <c r="ID274" i="17" s="1"/>
  <c r="GU274" i="17"/>
  <c r="HW274" i="17" s="1"/>
  <c r="HD274" i="17"/>
  <c r="IF274" i="17" s="1"/>
  <c r="HQ274" i="17"/>
  <c r="IS274" i="17" s="1"/>
  <c r="HF274" i="17"/>
  <c r="IH274" i="17" s="1"/>
  <c r="HJ274" i="17"/>
  <c r="IL274" i="17" s="1"/>
  <c r="GZ274" i="17"/>
  <c r="IB274" i="17" s="1"/>
  <c r="HN274" i="17"/>
  <c r="IP274" i="17" s="1"/>
  <c r="HM274" i="17"/>
  <c r="IO274" i="17" s="1"/>
  <c r="HP274" i="17"/>
  <c r="IR274" i="17" s="1"/>
  <c r="GT274" i="17"/>
  <c r="HV274" i="17" s="1"/>
  <c r="GS274" i="17"/>
  <c r="HU274" i="17" s="1"/>
  <c r="HO274" i="17"/>
  <c r="IQ274" i="17" s="1"/>
  <c r="GY274" i="17"/>
  <c r="IA274" i="17" s="1"/>
  <c r="HC274" i="17"/>
  <c r="IE274" i="17" s="1"/>
  <c r="HE274" i="17"/>
  <c r="IG274" i="17" s="1"/>
  <c r="HA274" i="17"/>
  <c r="IC274" i="17" s="1"/>
  <c r="HR274" i="17"/>
  <c r="IT274" i="17" s="1"/>
  <c r="HL274" i="17"/>
  <c r="IN274" i="17" s="1"/>
  <c r="HG274" i="17"/>
  <c r="II274" i="17" s="1"/>
  <c r="AV132" i="17"/>
  <c r="AV223" i="17"/>
  <c r="AV326" i="17"/>
  <c r="C7" i="17"/>
  <c r="C39" i="17"/>
  <c r="AV32" i="17"/>
  <c r="HI64" i="17"/>
  <c r="IK64" i="17" s="1"/>
  <c r="HB64" i="17"/>
  <c r="ID64" i="17" s="1"/>
  <c r="GR64" i="17"/>
  <c r="HT64" i="17" s="1"/>
  <c r="HE64" i="17"/>
  <c r="IG64" i="17" s="1"/>
  <c r="GZ64" i="17"/>
  <c r="IB64" i="17" s="1"/>
  <c r="HC64" i="17"/>
  <c r="IE64" i="17" s="1"/>
  <c r="GS64" i="17"/>
  <c r="HU64" i="17" s="1"/>
  <c r="HD64" i="17"/>
  <c r="IF64" i="17" s="1"/>
  <c r="HF64" i="17"/>
  <c r="IH64" i="17" s="1"/>
  <c r="GW64" i="17"/>
  <c r="HY64" i="17" s="1"/>
  <c r="HH64" i="17"/>
  <c r="IJ64" i="17" s="1"/>
  <c r="GX64" i="17"/>
  <c r="HZ64" i="17" s="1"/>
  <c r="GY64" i="17"/>
  <c r="IA64" i="17" s="1"/>
  <c r="GT64" i="17"/>
  <c r="HV64" i="17" s="1"/>
  <c r="HJ64" i="17"/>
  <c r="IL64" i="17" s="1"/>
  <c r="HM64" i="17"/>
  <c r="IO64" i="17" s="1"/>
  <c r="HR64" i="17"/>
  <c r="IT64" i="17" s="1"/>
  <c r="HL64" i="17"/>
  <c r="IN64" i="17" s="1"/>
  <c r="HA64" i="17"/>
  <c r="IC64" i="17" s="1"/>
  <c r="HO64" i="17"/>
  <c r="IQ64" i="17" s="1"/>
  <c r="HK64" i="17"/>
  <c r="IM64" i="17" s="1"/>
  <c r="HQ64" i="17"/>
  <c r="IS64" i="17" s="1"/>
  <c r="HN64" i="17"/>
  <c r="IP64" i="17" s="1"/>
  <c r="HP64" i="17"/>
  <c r="IR64" i="17" s="1"/>
  <c r="GU64" i="17"/>
  <c r="HW64" i="17" s="1"/>
  <c r="GV64" i="17"/>
  <c r="HX64" i="17" s="1"/>
  <c r="HG64" i="17"/>
  <c r="II64" i="17" s="1"/>
  <c r="HO293" i="17"/>
  <c r="IQ293" i="17" s="1"/>
  <c r="HQ293" i="17"/>
  <c r="IS293" i="17" s="1"/>
  <c r="GW293" i="17"/>
  <c r="HY293" i="17" s="1"/>
  <c r="HJ293" i="17"/>
  <c r="IL293" i="17" s="1"/>
  <c r="HF293" i="17"/>
  <c r="IH293" i="17" s="1"/>
  <c r="HP293" i="17"/>
  <c r="IR293" i="17" s="1"/>
  <c r="GU293" i="17"/>
  <c r="HW293" i="17" s="1"/>
  <c r="HI293" i="17"/>
  <c r="IK293" i="17" s="1"/>
  <c r="GZ293" i="17"/>
  <c r="IB293" i="17" s="1"/>
  <c r="HC293" i="17"/>
  <c r="IE293" i="17" s="1"/>
  <c r="HN293" i="17"/>
  <c r="IP293" i="17" s="1"/>
  <c r="GV293" i="17"/>
  <c r="HX293" i="17" s="1"/>
  <c r="HL293" i="17"/>
  <c r="IN293" i="17" s="1"/>
  <c r="HK293" i="17"/>
  <c r="IM293" i="17" s="1"/>
  <c r="GX293" i="17"/>
  <c r="HZ293" i="17" s="1"/>
  <c r="HE293" i="17"/>
  <c r="IG293" i="17" s="1"/>
  <c r="GT293" i="17"/>
  <c r="HV293" i="17" s="1"/>
  <c r="GS293" i="17"/>
  <c r="HU293" i="17" s="1"/>
  <c r="HR293" i="17"/>
  <c r="IT293" i="17" s="1"/>
  <c r="GR293" i="17"/>
  <c r="HT293" i="17" s="1"/>
  <c r="HD293" i="17"/>
  <c r="IF293" i="17" s="1"/>
  <c r="HH293" i="17"/>
  <c r="IJ293" i="17" s="1"/>
  <c r="HM293" i="17"/>
  <c r="IO293" i="17" s="1"/>
  <c r="GY293" i="17"/>
  <c r="IA293" i="17" s="1"/>
  <c r="HB293" i="17"/>
  <c r="ID293" i="17" s="1"/>
  <c r="HG293" i="17"/>
  <c r="II293" i="17" s="1"/>
  <c r="HA293" i="17"/>
  <c r="IC293" i="17" s="1"/>
  <c r="HO320" i="17"/>
  <c r="IQ320" i="17" s="1"/>
  <c r="HB320" i="17"/>
  <c r="ID320" i="17" s="1"/>
  <c r="GU320" i="17"/>
  <c r="HW320" i="17" s="1"/>
  <c r="HK320" i="17"/>
  <c r="IM320" i="17" s="1"/>
  <c r="HE320" i="17"/>
  <c r="IG320" i="17" s="1"/>
  <c r="GY320" i="17"/>
  <c r="IA320" i="17" s="1"/>
  <c r="GV320" i="17"/>
  <c r="HX320" i="17" s="1"/>
  <c r="HF320" i="17"/>
  <c r="IH320" i="17" s="1"/>
  <c r="HI320" i="17"/>
  <c r="IK320" i="17" s="1"/>
  <c r="HP320" i="17"/>
  <c r="IR320" i="17" s="1"/>
  <c r="HN320" i="17"/>
  <c r="IP320" i="17" s="1"/>
  <c r="HC320" i="17"/>
  <c r="IE320" i="17" s="1"/>
  <c r="HH320" i="17"/>
  <c r="IJ320" i="17" s="1"/>
  <c r="GR320" i="17"/>
  <c r="HT320" i="17" s="1"/>
  <c r="HD320" i="17"/>
  <c r="IF320" i="17" s="1"/>
  <c r="HR320" i="17"/>
  <c r="IT320" i="17" s="1"/>
  <c r="GS320" i="17"/>
  <c r="HU320" i="17" s="1"/>
  <c r="GW320" i="17"/>
  <c r="HY320" i="17" s="1"/>
  <c r="HG320" i="17"/>
  <c r="II320" i="17" s="1"/>
  <c r="GT320" i="17"/>
  <c r="HV320" i="17" s="1"/>
  <c r="HM320" i="17"/>
  <c r="IO320" i="17" s="1"/>
  <c r="HJ320" i="17"/>
  <c r="IL320" i="17" s="1"/>
  <c r="GX320" i="17"/>
  <c r="HZ320" i="17" s="1"/>
  <c r="HA320" i="17"/>
  <c r="IC320" i="17" s="1"/>
  <c r="HQ320" i="17"/>
  <c r="IS320" i="17" s="1"/>
  <c r="GZ320" i="17"/>
  <c r="IB320" i="17" s="1"/>
  <c r="HL320" i="17"/>
  <c r="IN320" i="17" s="1"/>
  <c r="GY3" i="17"/>
  <c r="IA3" i="17" s="1"/>
  <c r="HC3" i="17"/>
  <c r="IE3" i="17" s="1"/>
  <c r="HI3" i="17"/>
  <c r="IK3" i="17" s="1"/>
  <c r="GW3" i="17"/>
  <c r="HY3" i="17" s="1"/>
  <c r="HA3" i="17"/>
  <c r="IC3" i="17" s="1"/>
  <c r="HG3" i="17"/>
  <c r="II3" i="17" s="1"/>
  <c r="HK3" i="17"/>
  <c r="IM3" i="17" s="1"/>
  <c r="HN3" i="17"/>
  <c r="IP3" i="17" s="1"/>
  <c r="HE3" i="17"/>
  <c r="IG3" i="17" s="1"/>
  <c r="HF3" i="17"/>
  <c r="IH3" i="17" s="1"/>
  <c r="HO3" i="17"/>
  <c r="IQ3" i="17" s="1"/>
  <c r="GZ3" i="17"/>
  <c r="IB3" i="17" s="1"/>
  <c r="GT3" i="17"/>
  <c r="HV3" i="17" s="1"/>
  <c r="HP3" i="17"/>
  <c r="IR3" i="17" s="1"/>
  <c r="HJ3" i="17"/>
  <c r="IL3" i="17" s="1"/>
  <c r="GU3" i="17"/>
  <c r="HW3" i="17" s="1"/>
  <c r="HR3" i="17"/>
  <c r="IT3" i="17" s="1"/>
  <c r="HD3" i="17"/>
  <c r="IF3" i="17" s="1"/>
  <c r="HQ3" i="17"/>
  <c r="IS3" i="17" s="1"/>
  <c r="HB3" i="17"/>
  <c r="ID3" i="17" s="1"/>
  <c r="HT3" i="17"/>
  <c r="HH3" i="17"/>
  <c r="IJ3" i="17" s="1"/>
  <c r="GS3" i="17"/>
  <c r="HU3" i="17" s="1"/>
  <c r="GV3" i="17"/>
  <c r="HX3" i="17" s="1"/>
  <c r="HL3" i="17"/>
  <c r="IN3" i="17" s="1"/>
  <c r="HM3" i="17"/>
  <c r="IO3" i="17" s="1"/>
  <c r="GX3" i="17"/>
  <c r="HZ3" i="17" s="1"/>
  <c r="AV253" i="17"/>
  <c r="C286" i="17"/>
  <c r="AV50" i="17"/>
  <c r="C252" i="17"/>
  <c r="AV252" i="17"/>
  <c r="AV288" i="17"/>
  <c r="C144" i="17"/>
  <c r="AV16" i="17"/>
  <c r="AV214" i="17"/>
  <c r="HO103" i="17"/>
  <c r="IQ103" i="17" s="1"/>
  <c r="HC103" i="17"/>
  <c r="IE103" i="17" s="1"/>
  <c r="HM103" i="17"/>
  <c r="IO103" i="17" s="1"/>
  <c r="GW103" i="17"/>
  <c r="HY103" i="17" s="1"/>
  <c r="HL103" i="17"/>
  <c r="IN103" i="17" s="1"/>
  <c r="HB103" i="17"/>
  <c r="ID103" i="17" s="1"/>
  <c r="GV103" i="17"/>
  <c r="HX103" i="17" s="1"/>
  <c r="GR103" i="17"/>
  <c r="HT103" i="17" s="1"/>
  <c r="HN103" i="17"/>
  <c r="IP103" i="17" s="1"/>
  <c r="HE103" i="17"/>
  <c r="IG103" i="17" s="1"/>
  <c r="HJ103" i="17"/>
  <c r="IL103" i="17" s="1"/>
  <c r="HG103" i="17"/>
  <c r="II103" i="17" s="1"/>
  <c r="HF103" i="17"/>
  <c r="IH103" i="17" s="1"/>
  <c r="GS103" i="17"/>
  <c r="HU103" i="17" s="1"/>
  <c r="HP103" i="17"/>
  <c r="IR103" i="17" s="1"/>
  <c r="GU103" i="17"/>
  <c r="HW103" i="17" s="1"/>
  <c r="HD103" i="17"/>
  <c r="IF103" i="17" s="1"/>
  <c r="GX103" i="17"/>
  <c r="HZ103" i="17" s="1"/>
  <c r="HR103" i="17"/>
  <c r="IT103" i="17" s="1"/>
  <c r="GY103" i="17"/>
  <c r="IA103" i="17" s="1"/>
  <c r="GT103" i="17"/>
  <c r="HV103" i="17" s="1"/>
  <c r="HI103" i="17"/>
  <c r="IK103" i="17" s="1"/>
  <c r="HH103" i="17"/>
  <c r="IJ103" i="17" s="1"/>
  <c r="GZ103" i="17"/>
  <c r="IB103" i="17" s="1"/>
  <c r="HQ103" i="17"/>
  <c r="IS103" i="17" s="1"/>
  <c r="HK103" i="17"/>
  <c r="IM103" i="17" s="1"/>
  <c r="HA103" i="17"/>
  <c r="IC103" i="17" s="1"/>
  <c r="AV166" i="17"/>
  <c r="C19" i="17"/>
  <c r="AV112" i="17"/>
  <c r="C226" i="17"/>
  <c r="HI62" i="17"/>
  <c r="IK62" i="17" s="1"/>
  <c r="HL62" i="17"/>
  <c r="IN62" i="17" s="1"/>
  <c r="HB62" i="17"/>
  <c r="ID62" i="17" s="1"/>
  <c r="GZ62" i="17"/>
  <c r="IB62" i="17" s="1"/>
  <c r="GS62" i="17"/>
  <c r="HU62" i="17" s="1"/>
  <c r="HN62" i="17"/>
  <c r="IP62" i="17" s="1"/>
  <c r="GT62" i="17"/>
  <c r="HV62" i="17" s="1"/>
  <c r="HC62" i="17"/>
  <c r="IE62" i="17" s="1"/>
  <c r="HD62" i="17"/>
  <c r="IF62" i="17" s="1"/>
  <c r="HG62" i="17"/>
  <c r="II62" i="17" s="1"/>
  <c r="HH62" i="17"/>
  <c r="IJ62" i="17" s="1"/>
  <c r="GU62" i="17"/>
  <c r="HW62" i="17" s="1"/>
  <c r="HJ62" i="17"/>
  <c r="IL62" i="17" s="1"/>
  <c r="GX62" i="17"/>
  <c r="HZ62" i="17" s="1"/>
  <c r="HP62" i="17"/>
  <c r="IR62" i="17" s="1"/>
  <c r="HE62" i="17"/>
  <c r="IG62" i="17" s="1"/>
  <c r="HK62" i="17"/>
  <c r="IM62" i="17" s="1"/>
  <c r="HM62" i="17"/>
  <c r="IO62" i="17" s="1"/>
  <c r="GW62" i="17"/>
  <c r="HY62" i="17" s="1"/>
  <c r="GV62" i="17"/>
  <c r="HX62" i="17" s="1"/>
  <c r="HR62" i="17"/>
  <c r="IT62" i="17" s="1"/>
  <c r="GY62" i="17"/>
  <c r="IA62" i="17" s="1"/>
  <c r="GR62" i="17"/>
  <c r="HT62" i="17" s="1"/>
  <c r="HO62" i="17"/>
  <c r="IQ62" i="17" s="1"/>
  <c r="HQ62" i="17"/>
  <c r="IS62" i="17" s="1"/>
  <c r="HA62" i="17"/>
  <c r="IC62" i="17" s="1"/>
  <c r="HF62" i="17"/>
  <c r="IH62" i="17" s="1"/>
  <c r="GX154" i="17"/>
  <c r="HZ154" i="17" s="1"/>
  <c r="GU154" i="17"/>
  <c r="HW154" i="17" s="1"/>
  <c r="HQ154" i="17"/>
  <c r="IS154" i="17" s="1"/>
  <c r="HN154" i="17"/>
  <c r="IP154" i="17" s="1"/>
  <c r="HG154" i="17"/>
  <c r="II154" i="17" s="1"/>
  <c r="HL154" i="17"/>
  <c r="IN154" i="17" s="1"/>
  <c r="HM154" i="17"/>
  <c r="IO154" i="17" s="1"/>
  <c r="GS154" i="17"/>
  <c r="HU154" i="17" s="1"/>
  <c r="GZ154" i="17"/>
  <c r="IB154" i="17" s="1"/>
  <c r="GY154" i="17"/>
  <c r="IA154" i="17" s="1"/>
  <c r="GT154" i="17"/>
  <c r="HV154" i="17" s="1"/>
  <c r="HB154" i="17"/>
  <c r="ID154" i="17" s="1"/>
  <c r="HO154" i="17"/>
  <c r="IQ154" i="17" s="1"/>
  <c r="HE154" i="17"/>
  <c r="IG154" i="17" s="1"/>
  <c r="HC154" i="17"/>
  <c r="IE154" i="17" s="1"/>
  <c r="HJ154" i="17"/>
  <c r="IL154" i="17" s="1"/>
  <c r="HK154" i="17"/>
  <c r="IM154" i="17" s="1"/>
  <c r="HA154" i="17"/>
  <c r="IC154" i="17" s="1"/>
  <c r="GV154" i="17"/>
  <c r="HX154" i="17" s="1"/>
  <c r="HD154" i="17"/>
  <c r="IF154" i="17" s="1"/>
  <c r="HR154" i="17"/>
  <c r="IT154" i="17" s="1"/>
  <c r="HP154" i="17"/>
  <c r="IR154" i="17" s="1"/>
  <c r="HF154" i="17"/>
  <c r="IH154" i="17" s="1"/>
  <c r="GR154" i="17"/>
  <c r="HT154" i="17" s="1"/>
  <c r="GW154" i="17"/>
  <c r="HY154" i="17" s="1"/>
  <c r="HI154" i="17"/>
  <c r="IK154" i="17" s="1"/>
  <c r="HH154" i="17"/>
  <c r="IJ154" i="17" s="1"/>
  <c r="HD112" i="17"/>
  <c r="IF112" i="17" s="1"/>
  <c r="HI112" i="17"/>
  <c r="IK112" i="17" s="1"/>
  <c r="GT112" i="17"/>
  <c r="HV112" i="17" s="1"/>
  <c r="GY112" i="17"/>
  <c r="IA112" i="17" s="1"/>
  <c r="HF112" i="17"/>
  <c r="IH112" i="17" s="1"/>
  <c r="HM112" i="17"/>
  <c r="IO112" i="17" s="1"/>
  <c r="HC112" i="17"/>
  <c r="IE112" i="17" s="1"/>
  <c r="HG112" i="17"/>
  <c r="II112" i="17" s="1"/>
  <c r="HN112" i="17"/>
  <c r="IP112" i="17" s="1"/>
  <c r="HB112" i="17"/>
  <c r="ID112" i="17" s="1"/>
  <c r="GU112" i="17"/>
  <c r="HW112" i="17" s="1"/>
  <c r="HJ112" i="17"/>
  <c r="IL112" i="17" s="1"/>
  <c r="HH112" i="17"/>
  <c r="IJ112" i="17" s="1"/>
  <c r="GV112" i="17"/>
  <c r="HX112" i="17" s="1"/>
  <c r="HK112" i="17"/>
  <c r="IM112" i="17" s="1"/>
  <c r="HO112" i="17"/>
  <c r="IQ112" i="17" s="1"/>
  <c r="HQ112" i="17"/>
  <c r="IS112" i="17" s="1"/>
  <c r="GX112" i="17"/>
  <c r="HZ112" i="17" s="1"/>
  <c r="GR112" i="17"/>
  <c r="HT112" i="17" s="1"/>
  <c r="HE112" i="17"/>
  <c r="IG112" i="17" s="1"/>
  <c r="HA112" i="17"/>
  <c r="IC112" i="17" s="1"/>
  <c r="HR112" i="17"/>
  <c r="IT112" i="17" s="1"/>
  <c r="GZ112" i="17"/>
  <c r="IB112" i="17" s="1"/>
  <c r="GW112" i="17"/>
  <c r="HY112" i="17" s="1"/>
  <c r="HL112" i="17"/>
  <c r="IN112" i="17" s="1"/>
  <c r="GS112" i="17"/>
  <c r="HU112" i="17" s="1"/>
  <c r="HP112" i="17"/>
  <c r="IR112" i="17" s="1"/>
  <c r="HI86" i="17"/>
  <c r="IK86" i="17" s="1"/>
  <c r="HO86" i="17"/>
  <c r="IQ86" i="17" s="1"/>
  <c r="HA86" i="17"/>
  <c r="IC86" i="17" s="1"/>
  <c r="GU86" i="17"/>
  <c r="HW86" i="17" s="1"/>
  <c r="HN86" i="17"/>
  <c r="IP86" i="17" s="1"/>
  <c r="GV86" i="17"/>
  <c r="HX86" i="17" s="1"/>
  <c r="HR86" i="17"/>
  <c r="IT86" i="17" s="1"/>
  <c r="HP86" i="17"/>
  <c r="IR86" i="17" s="1"/>
  <c r="HL86" i="17"/>
  <c r="IN86" i="17" s="1"/>
  <c r="GY86" i="17"/>
  <c r="IA86" i="17" s="1"/>
  <c r="GS86" i="17"/>
  <c r="HU86" i="17" s="1"/>
  <c r="HF86" i="17"/>
  <c r="IH86" i="17" s="1"/>
  <c r="HK86" i="17"/>
  <c r="IM86" i="17" s="1"/>
  <c r="HB86" i="17"/>
  <c r="ID86" i="17" s="1"/>
  <c r="GW86" i="17"/>
  <c r="HY86" i="17" s="1"/>
  <c r="HM86" i="17"/>
  <c r="IO86" i="17" s="1"/>
  <c r="HQ86" i="17"/>
  <c r="IS86" i="17" s="1"/>
  <c r="HJ86" i="17"/>
  <c r="IL86" i="17" s="1"/>
  <c r="GX86" i="17"/>
  <c r="HZ86" i="17" s="1"/>
  <c r="HH86" i="17"/>
  <c r="IJ86" i="17" s="1"/>
  <c r="HG86" i="17"/>
  <c r="II86" i="17" s="1"/>
  <c r="GR86" i="17"/>
  <c r="HT86" i="17" s="1"/>
  <c r="HE86" i="17"/>
  <c r="IG86" i="17" s="1"/>
  <c r="GT86" i="17"/>
  <c r="HV86" i="17" s="1"/>
  <c r="GZ86" i="17"/>
  <c r="IB86" i="17" s="1"/>
  <c r="HC86" i="17"/>
  <c r="IE86" i="17" s="1"/>
  <c r="HD86" i="17"/>
  <c r="IF86" i="17" s="1"/>
  <c r="GQ180" i="17"/>
  <c r="AV180" i="17"/>
  <c r="AV23" i="17"/>
  <c r="AV13" i="17"/>
  <c r="HK47" i="17"/>
  <c r="IM47" i="17" s="1"/>
  <c r="GV47" i="17"/>
  <c r="HX47" i="17" s="1"/>
  <c r="GX47" i="17"/>
  <c r="HZ47" i="17" s="1"/>
  <c r="HC47" i="17"/>
  <c r="IE47" i="17" s="1"/>
  <c r="HM47" i="17"/>
  <c r="IO47" i="17" s="1"/>
  <c r="HJ47" i="17"/>
  <c r="IL47" i="17" s="1"/>
  <c r="HL47" i="17"/>
  <c r="IN47" i="17" s="1"/>
  <c r="HH47" i="17"/>
  <c r="IJ47" i="17" s="1"/>
  <c r="HQ47" i="17"/>
  <c r="IS47" i="17" s="1"/>
  <c r="GU47" i="17"/>
  <c r="HW47" i="17" s="1"/>
  <c r="HP47" i="17"/>
  <c r="IR47" i="17" s="1"/>
  <c r="HB47" i="17"/>
  <c r="ID47" i="17" s="1"/>
  <c r="GZ47" i="17"/>
  <c r="IB47" i="17" s="1"/>
  <c r="HI47" i="17"/>
  <c r="IK47" i="17" s="1"/>
  <c r="GW47" i="17"/>
  <c r="HY47" i="17" s="1"/>
  <c r="HR47" i="17"/>
  <c r="IT47" i="17" s="1"/>
  <c r="HE47" i="17"/>
  <c r="IG47" i="17" s="1"/>
  <c r="GS47" i="17"/>
  <c r="HU47" i="17" s="1"/>
  <c r="HA47" i="17"/>
  <c r="IC47" i="17" s="1"/>
  <c r="HN47" i="17"/>
  <c r="IP47" i="17" s="1"/>
  <c r="GT47" i="17"/>
  <c r="HV47" i="17" s="1"/>
  <c r="HD47" i="17"/>
  <c r="IF47" i="17" s="1"/>
  <c r="GY47" i="17"/>
  <c r="IA47" i="17" s="1"/>
  <c r="HO47" i="17"/>
  <c r="IQ47" i="17" s="1"/>
  <c r="HF47" i="17"/>
  <c r="IH47" i="17" s="1"/>
  <c r="HG47" i="17"/>
  <c r="II47" i="17" s="1"/>
  <c r="GR47" i="17"/>
  <c r="HT47" i="17" s="1"/>
  <c r="GX155" i="17"/>
  <c r="HZ155" i="17" s="1"/>
  <c r="HP155" i="17"/>
  <c r="IR155" i="17" s="1"/>
  <c r="HI155" i="17"/>
  <c r="IK155" i="17" s="1"/>
  <c r="HB155" i="17"/>
  <c r="ID155" i="17" s="1"/>
  <c r="GW155" i="17"/>
  <c r="HY155" i="17" s="1"/>
  <c r="HE155" i="17"/>
  <c r="IG155" i="17" s="1"/>
  <c r="HG155" i="17"/>
  <c r="II155" i="17" s="1"/>
  <c r="HO155" i="17"/>
  <c r="IQ155" i="17" s="1"/>
  <c r="HL155" i="17"/>
  <c r="IN155" i="17" s="1"/>
  <c r="GT155" i="17"/>
  <c r="HV155" i="17" s="1"/>
  <c r="HA155" i="17"/>
  <c r="IC155" i="17" s="1"/>
  <c r="HQ155" i="17"/>
  <c r="IS155" i="17" s="1"/>
  <c r="HK155" i="17"/>
  <c r="IM155" i="17" s="1"/>
  <c r="GR155" i="17"/>
  <c r="HT155" i="17" s="1"/>
  <c r="HF155" i="17"/>
  <c r="IH155" i="17" s="1"/>
  <c r="GS155" i="17"/>
  <c r="HU155" i="17" s="1"/>
  <c r="GZ155" i="17"/>
  <c r="IB155" i="17" s="1"/>
  <c r="HC155" i="17"/>
  <c r="IE155" i="17" s="1"/>
  <c r="GU155" i="17"/>
  <c r="HW155" i="17" s="1"/>
  <c r="HN155" i="17"/>
  <c r="IP155" i="17" s="1"/>
  <c r="GY155" i="17"/>
  <c r="IA155" i="17" s="1"/>
  <c r="HH155" i="17"/>
  <c r="IJ155" i="17" s="1"/>
  <c r="HJ155" i="17"/>
  <c r="IL155" i="17" s="1"/>
  <c r="HD155" i="17"/>
  <c r="IF155" i="17" s="1"/>
  <c r="HR155" i="17"/>
  <c r="IT155" i="17" s="1"/>
  <c r="HM155" i="17"/>
  <c r="IO155" i="17" s="1"/>
  <c r="GV155" i="17"/>
  <c r="HX155" i="17" s="1"/>
  <c r="HI72" i="17"/>
  <c r="IK72" i="17" s="1"/>
  <c r="HK72" i="17"/>
  <c r="IM72" i="17" s="1"/>
  <c r="GZ72" i="17"/>
  <c r="IB72" i="17" s="1"/>
  <c r="HQ72" i="17"/>
  <c r="IS72" i="17" s="1"/>
  <c r="GV72" i="17"/>
  <c r="HX72" i="17" s="1"/>
  <c r="HH72" i="17"/>
  <c r="IJ72" i="17" s="1"/>
  <c r="HD72" i="17"/>
  <c r="IF72" i="17" s="1"/>
  <c r="HN72" i="17"/>
  <c r="IP72" i="17" s="1"/>
  <c r="GW72" i="17"/>
  <c r="HY72" i="17" s="1"/>
  <c r="HF72" i="17"/>
  <c r="IH72" i="17" s="1"/>
  <c r="HO72" i="17"/>
  <c r="IQ72" i="17" s="1"/>
  <c r="HG72" i="17"/>
  <c r="II72" i="17" s="1"/>
  <c r="HA72" i="17"/>
  <c r="IC72" i="17" s="1"/>
  <c r="HJ72" i="17"/>
  <c r="IL72" i="17" s="1"/>
  <c r="HC72" i="17"/>
  <c r="IE72" i="17" s="1"/>
  <c r="HR72" i="17"/>
  <c r="IT72" i="17" s="1"/>
  <c r="GT72" i="17"/>
  <c r="HV72" i="17" s="1"/>
  <c r="GU72" i="17"/>
  <c r="HW72" i="17" s="1"/>
  <c r="GY72" i="17"/>
  <c r="IA72" i="17" s="1"/>
  <c r="HE72" i="17"/>
  <c r="IG72" i="17" s="1"/>
  <c r="GS72" i="17"/>
  <c r="HU72" i="17" s="1"/>
  <c r="HP72" i="17"/>
  <c r="IR72" i="17" s="1"/>
  <c r="HB72" i="17"/>
  <c r="ID72" i="17" s="1"/>
  <c r="GX72" i="17"/>
  <c r="HZ72" i="17" s="1"/>
  <c r="HM72" i="17"/>
  <c r="IO72" i="17" s="1"/>
  <c r="GR72" i="17"/>
  <c r="HT72" i="17" s="1"/>
  <c r="HL72" i="17"/>
  <c r="IN72" i="17" s="1"/>
  <c r="C84" i="17"/>
  <c r="C44" i="17"/>
  <c r="AV44" i="17"/>
  <c r="C136" i="17"/>
  <c r="AV195" i="17"/>
  <c r="C65" i="17"/>
  <c r="AV65" i="17"/>
  <c r="C138" i="17"/>
  <c r="C197" i="17"/>
  <c r="AV197" i="17"/>
  <c r="HP123" i="17"/>
  <c r="IR123" i="17" s="1"/>
  <c r="GV123" i="17"/>
  <c r="HX123" i="17" s="1"/>
  <c r="HB123" i="17"/>
  <c r="ID123" i="17" s="1"/>
  <c r="HE123" i="17"/>
  <c r="IG123" i="17" s="1"/>
  <c r="GY123" i="17"/>
  <c r="IA123" i="17" s="1"/>
  <c r="GT123" i="17"/>
  <c r="HV123" i="17" s="1"/>
  <c r="HJ123" i="17"/>
  <c r="IL123" i="17" s="1"/>
  <c r="HA123" i="17"/>
  <c r="IC123" i="17" s="1"/>
  <c r="HF123" i="17"/>
  <c r="IH123" i="17" s="1"/>
  <c r="HM123" i="17"/>
  <c r="IO123" i="17" s="1"/>
  <c r="GU123" i="17"/>
  <c r="HW123" i="17" s="1"/>
  <c r="HQ123" i="17"/>
  <c r="IS123" i="17" s="1"/>
  <c r="HC123" i="17"/>
  <c r="IE123" i="17" s="1"/>
  <c r="HG123" i="17"/>
  <c r="II123" i="17" s="1"/>
  <c r="GW123" i="17"/>
  <c r="HY123" i="17" s="1"/>
  <c r="HI123" i="17"/>
  <c r="IK123" i="17" s="1"/>
  <c r="GZ123" i="17"/>
  <c r="IB123" i="17" s="1"/>
  <c r="HO123" i="17"/>
  <c r="IQ123" i="17" s="1"/>
  <c r="HR123" i="17"/>
  <c r="IT123" i="17" s="1"/>
  <c r="HN123" i="17"/>
  <c r="IP123" i="17" s="1"/>
  <c r="GX123" i="17"/>
  <c r="HZ123" i="17" s="1"/>
  <c r="GS123" i="17"/>
  <c r="HU123" i="17" s="1"/>
  <c r="HK123" i="17"/>
  <c r="IM123" i="17" s="1"/>
  <c r="HD123" i="17"/>
  <c r="IF123" i="17" s="1"/>
  <c r="GR123" i="17"/>
  <c r="HT123" i="17" s="1"/>
  <c r="HH123" i="17"/>
  <c r="IJ123" i="17" s="1"/>
  <c r="HL123" i="17"/>
  <c r="IN123" i="17" s="1"/>
  <c r="HJ258" i="17"/>
  <c r="IL258" i="17" s="1"/>
  <c r="HP258" i="17"/>
  <c r="IR258" i="17" s="1"/>
  <c r="HQ258" i="17"/>
  <c r="IS258" i="17" s="1"/>
  <c r="GT258" i="17"/>
  <c r="HV258" i="17" s="1"/>
  <c r="HB258" i="17"/>
  <c r="ID258" i="17" s="1"/>
  <c r="HC258" i="17"/>
  <c r="IE258" i="17" s="1"/>
  <c r="HR258" i="17"/>
  <c r="IT258" i="17" s="1"/>
  <c r="GS258" i="17"/>
  <c r="HU258" i="17" s="1"/>
  <c r="GU258" i="17"/>
  <c r="HW258" i="17" s="1"/>
  <c r="HK258" i="17"/>
  <c r="IM258" i="17" s="1"/>
  <c r="HO258" i="17"/>
  <c r="IQ258" i="17" s="1"/>
  <c r="HA258" i="17"/>
  <c r="IC258" i="17" s="1"/>
  <c r="HG258" i="17"/>
  <c r="II258" i="17" s="1"/>
  <c r="GX258" i="17"/>
  <c r="HZ258" i="17" s="1"/>
  <c r="HD258" i="17"/>
  <c r="IF258" i="17" s="1"/>
  <c r="GZ258" i="17"/>
  <c r="IB258" i="17" s="1"/>
  <c r="GW258" i="17"/>
  <c r="HY258" i="17" s="1"/>
  <c r="HI258" i="17"/>
  <c r="IK258" i="17" s="1"/>
  <c r="HE258" i="17"/>
  <c r="IG258" i="17" s="1"/>
  <c r="HN258" i="17"/>
  <c r="IP258" i="17" s="1"/>
  <c r="HH258" i="17"/>
  <c r="IJ258" i="17" s="1"/>
  <c r="GR258" i="17"/>
  <c r="HT258" i="17" s="1"/>
  <c r="HM258" i="17"/>
  <c r="IO258" i="17" s="1"/>
  <c r="HF258" i="17"/>
  <c r="IH258" i="17" s="1"/>
  <c r="GV258" i="17"/>
  <c r="HX258" i="17" s="1"/>
  <c r="GY258" i="17"/>
  <c r="IA258" i="17" s="1"/>
  <c r="HL258" i="17"/>
  <c r="IN258" i="17" s="1"/>
  <c r="AV94" i="17"/>
  <c r="C186" i="17"/>
  <c r="C153" i="17"/>
  <c r="HG179" i="17" l="1"/>
  <c r="II179" i="17" s="1"/>
  <c r="HI179" i="17"/>
  <c r="IK179" i="17" s="1"/>
  <c r="HK179" i="17"/>
  <c r="IM179" i="17" s="1"/>
  <c r="HL179" i="17"/>
  <c r="IN179" i="17" s="1"/>
  <c r="HO179" i="17"/>
  <c r="IQ179" i="17" s="1"/>
  <c r="GW179" i="17"/>
  <c r="HY179" i="17" s="1"/>
  <c r="HH179" i="17"/>
  <c r="IJ179" i="17" s="1"/>
  <c r="GR179" i="17"/>
  <c r="HT179" i="17" s="1"/>
  <c r="HQ179" i="17"/>
  <c r="IS179" i="17" s="1"/>
  <c r="HJ179" i="17"/>
  <c r="IL179" i="17" s="1"/>
  <c r="GX179" i="17"/>
  <c r="HZ179" i="17" s="1"/>
  <c r="HF179" i="17"/>
  <c r="IH179" i="17" s="1"/>
  <c r="HE179" i="17"/>
  <c r="IG179" i="17" s="1"/>
  <c r="HB179" i="17"/>
  <c r="ID179" i="17" s="1"/>
  <c r="HR179" i="17"/>
  <c r="IT179" i="17" s="1"/>
  <c r="HM179" i="17"/>
  <c r="IO179" i="17" s="1"/>
  <c r="GY179" i="17"/>
  <c r="IA179" i="17" s="1"/>
  <c r="GT179" i="17"/>
  <c r="HV179" i="17" s="1"/>
  <c r="HP179" i="17"/>
  <c r="IR179" i="17" s="1"/>
  <c r="HC179" i="17"/>
  <c r="IE179" i="17" s="1"/>
  <c r="GZ179" i="17"/>
  <c r="IB179" i="17" s="1"/>
  <c r="GV179" i="17"/>
  <c r="HX179" i="17" s="1"/>
  <c r="HA179" i="17"/>
  <c r="IC179" i="17" s="1"/>
  <c r="GS179" i="17"/>
  <c r="HU179" i="17" s="1"/>
  <c r="HN179" i="17"/>
  <c r="IP179" i="17" s="1"/>
  <c r="HD179" i="17"/>
  <c r="IF179" i="17" s="1"/>
  <c r="GU179" i="17"/>
  <c r="HW179" i="17" s="1"/>
  <c r="HP17" i="17"/>
  <c r="IR17" i="17" s="1"/>
  <c r="GY17" i="17"/>
  <c r="IA17" i="17" s="1"/>
  <c r="HB17" i="17"/>
  <c r="ID17" i="17" s="1"/>
  <c r="GU17" i="17"/>
  <c r="HW17" i="17" s="1"/>
  <c r="HK17" i="17"/>
  <c r="IM17" i="17" s="1"/>
  <c r="GV17" i="17"/>
  <c r="HX17" i="17" s="1"/>
  <c r="HF17" i="17"/>
  <c r="IH17" i="17" s="1"/>
  <c r="HM17" i="17"/>
  <c r="IO17" i="17" s="1"/>
  <c r="HR17" i="17"/>
  <c r="IT17" i="17" s="1"/>
  <c r="HG17" i="17"/>
  <c r="II17" i="17" s="1"/>
  <c r="HN17" i="17"/>
  <c r="IP17" i="17" s="1"/>
  <c r="HQ17" i="17"/>
  <c r="IS17" i="17" s="1"/>
  <c r="HE17" i="17"/>
  <c r="IG17" i="17" s="1"/>
  <c r="HI17" i="17"/>
  <c r="IK17" i="17" s="1"/>
  <c r="GZ17" i="17"/>
  <c r="IB17" i="17" s="1"/>
  <c r="GS17" i="17"/>
  <c r="HU17" i="17" s="1"/>
  <c r="HA17" i="17"/>
  <c r="IC17" i="17" s="1"/>
  <c r="GX17" i="17"/>
  <c r="HZ17" i="17" s="1"/>
  <c r="GT17" i="17"/>
  <c r="HV17" i="17" s="1"/>
  <c r="HL17" i="17"/>
  <c r="IN17" i="17" s="1"/>
  <c r="HD17" i="17"/>
  <c r="IF17" i="17" s="1"/>
  <c r="HO17" i="17"/>
  <c r="IQ17" i="17" s="1"/>
  <c r="GR17" i="17"/>
  <c r="HT17" i="17" s="1"/>
  <c r="GW17" i="17"/>
  <c r="HY17" i="17" s="1"/>
  <c r="HH17" i="17"/>
  <c r="IJ17" i="17" s="1"/>
  <c r="HC17" i="17"/>
  <c r="IE17" i="17" s="1"/>
  <c r="HJ17" i="17"/>
  <c r="IL17" i="17" s="1"/>
  <c r="GW63" i="17"/>
  <c r="HY63" i="17" s="1"/>
  <c r="HI63" i="17"/>
  <c r="IK63" i="17" s="1"/>
  <c r="HN63" i="17"/>
  <c r="IP63" i="17" s="1"/>
  <c r="HH63" i="17"/>
  <c r="IJ63" i="17" s="1"/>
  <c r="HK63" i="17"/>
  <c r="IM63" i="17" s="1"/>
  <c r="HQ63" i="17"/>
  <c r="IS63" i="17" s="1"/>
  <c r="HJ63" i="17"/>
  <c r="IL63" i="17" s="1"/>
  <c r="HO63" i="17"/>
  <c r="IQ63" i="17" s="1"/>
  <c r="HD63" i="17"/>
  <c r="IF63" i="17" s="1"/>
  <c r="GZ63" i="17"/>
  <c r="IB63" i="17" s="1"/>
  <c r="HL63" i="17"/>
  <c r="IN63" i="17" s="1"/>
  <c r="HP63" i="17"/>
  <c r="IR63" i="17" s="1"/>
  <c r="GY63" i="17"/>
  <c r="IA63" i="17" s="1"/>
  <c r="GT63" i="17"/>
  <c r="HV63" i="17" s="1"/>
  <c r="GX63" i="17"/>
  <c r="HZ63" i="17" s="1"/>
  <c r="HG63" i="17"/>
  <c r="II63" i="17" s="1"/>
  <c r="HF63" i="17"/>
  <c r="IH63" i="17" s="1"/>
  <c r="GU63" i="17"/>
  <c r="HW63" i="17" s="1"/>
  <c r="HB63" i="17"/>
  <c r="ID63" i="17" s="1"/>
  <c r="HA63" i="17"/>
  <c r="IC63" i="17" s="1"/>
  <c r="HE63" i="17"/>
  <c r="IG63" i="17" s="1"/>
  <c r="GV63" i="17"/>
  <c r="HX63" i="17" s="1"/>
  <c r="HM63" i="17"/>
  <c r="IO63" i="17" s="1"/>
  <c r="HR63" i="17"/>
  <c r="IT63" i="17" s="1"/>
  <c r="GR63" i="17"/>
  <c r="HT63" i="17" s="1"/>
  <c r="HC63" i="17"/>
  <c r="IE63" i="17" s="1"/>
  <c r="GS63" i="17"/>
  <c r="HU63" i="17" s="1"/>
  <c r="GY180" i="17"/>
  <c r="IA180" i="17" s="1"/>
  <c r="GS180" i="17"/>
  <c r="HU180" i="17" s="1"/>
  <c r="GW180" i="17"/>
  <c r="HY180" i="17" s="1"/>
  <c r="HN180" i="17"/>
  <c r="IP180" i="17" s="1"/>
  <c r="HQ180" i="17"/>
  <c r="IS180" i="17" s="1"/>
  <c r="HP180" i="17"/>
  <c r="IR180" i="17" s="1"/>
  <c r="HR180" i="17"/>
  <c r="IT180" i="17" s="1"/>
  <c r="HC180" i="17"/>
  <c r="IE180" i="17" s="1"/>
  <c r="HA180" i="17"/>
  <c r="IC180" i="17" s="1"/>
  <c r="HB180" i="17"/>
  <c r="ID180" i="17" s="1"/>
  <c r="GV180" i="17"/>
  <c r="HX180" i="17" s="1"/>
  <c r="HG180" i="17"/>
  <c r="II180" i="17" s="1"/>
  <c r="HL180" i="17"/>
  <c r="IN180" i="17" s="1"/>
  <c r="GX180" i="17"/>
  <c r="HZ180" i="17" s="1"/>
  <c r="HJ180" i="17"/>
  <c r="IL180" i="17" s="1"/>
  <c r="HD180" i="17"/>
  <c r="IF180" i="17" s="1"/>
  <c r="HE180" i="17"/>
  <c r="IG180" i="17" s="1"/>
  <c r="GU180" i="17"/>
  <c r="HW180" i="17" s="1"/>
  <c r="HM180" i="17"/>
  <c r="IO180" i="17" s="1"/>
  <c r="GZ180" i="17"/>
  <c r="IB180" i="17" s="1"/>
  <c r="HH180" i="17"/>
  <c r="IJ180" i="17" s="1"/>
  <c r="GR180" i="17"/>
  <c r="HT180" i="17" s="1"/>
  <c r="HO180" i="17"/>
  <c r="IQ180" i="17" s="1"/>
  <c r="HI180" i="17"/>
  <c r="IK180" i="17" s="1"/>
  <c r="GT180" i="17"/>
  <c r="HV180" i="17" s="1"/>
  <c r="HK180" i="17"/>
  <c r="IM180" i="17" s="1"/>
  <c r="HF180" i="17"/>
  <c r="IH180" i="17" s="1"/>
  <c r="HL59" i="17"/>
  <c r="IN59" i="17" s="1"/>
  <c r="HN59" i="17"/>
  <c r="IP59" i="17" s="1"/>
  <c r="GZ59" i="17"/>
  <c r="IB59" i="17" s="1"/>
  <c r="HD59" i="17"/>
  <c r="IF59" i="17" s="1"/>
  <c r="HK59" i="17"/>
  <c r="IM59" i="17" s="1"/>
  <c r="GU59" i="17"/>
  <c r="HW59" i="17" s="1"/>
  <c r="GW59" i="17"/>
  <c r="HY59" i="17" s="1"/>
  <c r="HH59" i="17"/>
  <c r="IJ59" i="17" s="1"/>
  <c r="HQ59" i="17"/>
  <c r="IS59" i="17" s="1"/>
  <c r="GX59" i="17"/>
  <c r="HZ59" i="17" s="1"/>
  <c r="HC59" i="17"/>
  <c r="IE59" i="17" s="1"/>
  <c r="HF59" i="17"/>
  <c r="IH59" i="17" s="1"/>
  <c r="HI59" i="17"/>
  <c r="IK59" i="17" s="1"/>
  <c r="HG59" i="17"/>
  <c r="II59" i="17" s="1"/>
  <c r="HJ59" i="17"/>
  <c r="IL59" i="17" s="1"/>
  <c r="GV59" i="17"/>
  <c r="HX59" i="17" s="1"/>
  <c r="HA59" i="17"/>
  <c r="IC59" i="17" s="1"/>
  <c r="HE59" i="17"/>
  <c r="IG59" i="17" s="1"/>
  <c r="HO59" i="17"/>
  <c r="IQ59" i="17" s="1"/>
  <c r="HM59" i="17"/>
  <c r="IO59" i="17" s="1"/>
  <c r="HP59" i="17"/>
  <c r="IR59" i="17" s="1"/>
  <c r="GR59" i="17"/>
  <c r="HT59" i="17" s="1"/>
  <c r="GY59" i="17"/>
  <c r="IA59" i="17" s="1"/>
  <c r="HR59" i="17"/>
  <c r="IT59" i="17" s="1"/>
  <c r="HB59" i="17"/>
  <c r="ID59" i="17" s="1"/>
  <c r="GS59" i="17"/>
  <c r="HU59" i="17" s="1"/>
  <c r="GT59" i="17"/>
  <c r="HV59" i="17" s="1"/>
  <c r="HI211" i="17"/>
  <c r="IK211" i="17" s="1"/>
  <c r="GS211" i="17"/>
  <c r="HU211" i="17" s="1"/>
  <c r="HK211" i="17"/>
  <c r="IM211" i="17" s="1"/>
  <c r="HE211" i="17"/>
  <c r="IG211" i="17" s="1"/>
  <c r="HJ211" i="17"/>
  <c r="IL211" i="17" s="1"/>
  <c r="HP211" i="17"/>
  <c r="IR211" i="17" s="1"/>
  <c r="GX211" i="17"/>
  <c r="HZ211" i="17" s="1"/>
  <c r="HL211" i="17"/>
  <c r="IN211" i="17" s="1"/>
  <c r="HG211" i="17"/>
  <c r="II211" i="17" s="1"/>
  <c r="GU211" i="17"/>
  <c r="HW211" i="17" s="1"/>
  <c r="GY211" i="17"/>
  <c r="IA211" i="17" s="1"/>
  <c r="HC211" i="17"/>
  <c r="IE211" i="17" s="1"/>
  <c r="HR211" i="17"/>
  <c r="IT211" i="17" s="1"/>
  <c r="HB211" i="17"/>
  <c r="ID211" i="17" s="1"/>
  <c r="GT211" i="17"/>
  <c r="HV211" i="17" s="1"/>
  <c r="HQ211" i="17"/>
  <c r="IS211" i="17" s="1"/>
  <c r="HM211" i="17"/>
  <c r="IO211" i="17" s="1"/>
  <c r="GZ211" i="17"/>
  <c r="IB211" i="17" s="1"/>
  <c r="HO211" i="17"/>
  <c r="IQ211" i="17" s="1"/>
  <c r="HA211" i="17"/>
  <c r="IC211" i="17" s="1"/>
  <c r="HN211" i="17"/>
  <c r="IP211" i="17" s="1"/>
  <c r="HD211" i="17"/>
  <c r="IF211" i="17" s="1"/>
  <c r="GW211" i="17"/>
  <c r="HY211" i="17" s="1"/>
  <c r="GR211" i="17"/>
  <c r="HT211" i="17" s="1"/>
  <c r="HF211" i="17"/>
  <c r="IH211" i="17" s="1"/>
  <c r="GV211" i="17"/>
  <c r="HX211" i="17" s="1"/>
  <c r="HH211" i="17"/>
  <c r="IJ211" i="17" s="1"/>
</calcChain>
</file>

<file path=xl/sharedStrings.xml><?xml version="1.0" encoding="utf-8"?>
<sst xmlns="http://schemas.openxmlformats.org/spreadsheetml/2006/main" count="19309" uniqueCount="1843">
  <si>
    <t xml:space="preserve">Type </t>
  </si>
  <si>
    <t>Craton</t>
  </si>
  <si>
    <t xml:space="preserve">Locality </t>
  </si>
  <si>
    <t>remark</t>
  </si>
  <si>
    <t>Sample</t>
  </si>
  <si>
    <t>SiO2</t>
  </si>
  <si>
    <t>TiO2</t>
  </si>
  <si>
    <t>Cr2O3</t>
  </si>
  <si>
    <t>Al2O3</t>
  </si>
  <si>
    <t>FeO</t>
  </si>
  <si>
    <t>MgO</t>
  </si>
  <si>
    <t>MnO</t>
  </si>
  <si>
    <t>CaO</t>
  </si>
  <si>
    <t>Na2O</t>
  </si>
  <si>
    <t>K2O</t>
  </si>
  <si>
    <t>NiO</t>
  </si>
  <si>
    <t>P2O5</t>
  </si>
  <si>
    <t>SrO</t>
  </si>
  <si>
    <t>BaO</t>
  </si>
  <si>
    <t>F</t>
  </si>
  <si>
    <t>Cl</t>
  </si>
  <si>
    <t>H2O/(H2O+CO2)</t>
  </si>
  <si>
    <t>Total</t>
  </si>
  <si>
    <t>Y</t>
  </si>
  <si>
    <t>HDF</t>
  </si>
  <si>
    <t>Hi-Mg carbonatitic</t>
  </si>
  <si>
    <t>Zarnitsa</t>
  </si>
  <si>
    <t>ON-KAN-384</t>
  </si>
  <si>
    <t>ON-KAN-388</t>
  </si>
  <si>
    <t>Internationalnaya</t>
  </si>
  <si>
    <t>3_19</t>
  </si>
  <si>
    <t>3_25</t>
  </si>
  <si>
    <t>3_5</t>
  </si>
  <si>
    <t>4_7</t>
  </si>
  <si>
    <t>nd</t>
  </si>
  <si>
    <t>5_11</t>
  </si>
  <si>
    <t>5_13</t>
  </si>
  <si>
    <t>5_15</t>
  </si>
  <si>
    <t>5_2</t>
  </si>
  <si>
    <t>5_20</t>
  </si>
  <si>
    <t>5_3</t>
  </si>
  <si>
    <t>5_6</t>
  </si>
  <si>
    <t>3_24</t>
  </si>
  <si>
    <t>4_6</t>
  </si>
  <si>
    <t>Ebelyakh</t>
  </si>
  <si>
    <t xml:space="preserve">Diavik </t>
  </si>
  <si>
    <t>ON-DVK-294</t>
  </si>
  <si>
    <t>Macle</t>
  </si>
  <si>
    <t>Cube</t>
  </si>
  <si>
    <t>I-27</t>
  </si>
  <si>
    <t>Inter-7</t>
  </si>
  <si>
    <t>I-12</t>
  </si>
  <si>
    <t>Inter-3</t>
  </si>
  <si>
    <t>I-6</t>
  </si>
  <si>
    <t>I-7</t>
  </si>
  <si>
    <t>CC-18</t>
  </si>
  <si>
    <t>I-18</t>
  </si>
  <si>
    <t>I-17</t>
  </si>
  <si>
    <t>CC-22</t>
  </si>
  <si>
    <t>I-10</t>
  </si>
  <si>
    <t>I-16</t>
  </si>
  <si>
    <t>I-1</t>
  </si>
  <si>
    <t>Inter-5</t>
  </si>
  <si>
    <t>A18</t>
  </si>
  <si>
    <t>I-38-2</t>
  </si>
  <si>
    <t>I-39</t>
  </si>
  <si>
    <t>I-11</t>
  </si>
  <si>
    <t>Inter-2</t>
  </si>
  <si>
    <t>I-28</t>
  </si>
  <si>
    <t>I-26</t>
  </si>
  <si>
    <t>I-8</t>
  </si>
  <si>
    <t>L-Mg</t>
  </si>
  <si>
    <t>3_2</t>
  </si>
  <si>
    <t>3_20</t>
  </si>
  <si>
    <t>3_13</t>
  </si>
  <si>
    <t>3_14</t>
  </si>
  <si>
    <t>3_18</t>
  </si>
  <si>
    <t>3_22</t>
  </si>
  <si>
    <t>3_23</t>
  </si>
  <si>
    <t>3_26</t>
  </si>
  <si>
    <t>3_6</t>
  </si>
  <si>
    <t>3_8</t>
  </si>
  <si>
    <t>4_1</t>
  </si>
  <si>
    <t>4_10</t>
  </si>
  <si>
    <t>4_14</t>
  </si>
  <si>
    <t>5_10</t>
  </si>
  <si>
    <t>5_12</t>
  </si>
  <si>
    <t>5_16</t>
  </si>
  <si>
    <t>5_19</t>
  </si>
  <si>
    <t>5_21</t>
  </si>
  <si>
    <t>5_22</t>
  </si>
  <si>
    <t>5_4</t>
  </si>
  <si>
    <t>5_5</t>
  </si>
  <si>
    <t>5_7</t>
  </si>
  <si>
    <t>5_8</t>
  </si>
  <si>
    <t>5_9</t>
  </si>
  <si>
    <t>5_18</t>
  </si>
  <si>
    <t>Finsch</t>
  </si>
  <si>
    <t>Finsch_2a_cap1</t>
  </si>
  <si>
    <t>Inner</t>
  </si>
  <si>
    <t>Congo</t>
  </si>
  <si>
    <t>28-Carb</t>
  </si>
  <si>
    <t>Brazil</t>
  </si>
  <si>
    <t>BR-1</t>
  </si>
  <si>
    <t>Jwaneng</t>
  </si>
  <si>
    <t>3_12</t>
  </si>
  <si>
    <t>3_4</t>
  </si>
  <si>
    <t>3_7</t>
  </si>
  <si>
    <t>Inter_8</t>
  </si>
  <si>
    <t>ON-DVK-281</t>
  </si>
  <si>
    <t>Silicic</t>
  </si>
  <si>
    <t>Inter_12</t>
  </si>
  <si>
    <t>Inter_26</t>
  </si>
  <si>
    <t>Ekati</t>
  </si>
  <si>
    <t xml:space="preserve">not K corrected </t>
  </si>
  <si>
    <t>Fibrous cube</t>
  </si>
  <si>
    <t>E142</t>
  </si>
  <si>
    <t>Fibrous Cube</t>
  </si>
  <si>
    <t>E11014</t>
  </si>
  <si>
    <t>Saline</t>
  </si>
  <si>
    <t>Panda</t>
  </si>
  <si>
    <t>PAN3</t>
  </si>
  <si>
    <t>ON-DVK-269</t>
  </si>
  <si>
    <t>ON-DVK-272</t>
  </si>
  <si>
    <t>ON-DVK-275</t>
  </si>
  <si>
    <t>ON-DVK-280</t>
  </si>
  <si>
    <t>ON-DVK-287</t>
  </si>
  <si>
    <t>—</t>
  </si>
  <si>
    <t>Coated</t>
  </si>
  <si>
    <t>E111</t>
  </si>
  <si>
    <t>E141</t>
  </si>
  <si>
    <t>E151</t>
  </si>
  <si>
    <t>E152</t>
  </si>
  <si>
    <t>E153</t>
  </si>
  <si>
    <t>E154</t>
  </si>
  <si>
    <t>E191</t>
  </si>
  <si>
    <t>Fibrous Cube (zoned)</t>
  </si>
  <si>
    <t>E217</t>
  </si>
  <si>
    <t>E221</t>
  </si>
  <si>
    <t>Wawa</t>
  </si>
  <si>
    <t>W1</t>
  </si>
  <si>
    <t>W7</t>
  </si>
  <si>
    <t>Koffiefontein</t>
  </si>
  <si>
    <t>W9</t>
  </si>
  <si>
    <t>KFF-155</t>
  </si>
  <si>
    <t>Ecl</t>
  </si>
  <si>
    <t>KFF-156</t>
  </si>
  <si>
    <t>KFF-157</t>
  </si>
  <si>
    <t>KFF-159</t>
  </si>
  <si>
    <t>Per</t>
  </si>
  <si>
    <t>KFF-160</t>
  </si>
  <si>
    <t>KFF-162</t>
  </si>
  <si>
    <t>KFF-165</t>
  </si>
  <si>
    <t>KFF-166</t>
  </si>
  <si>
    <t>KFF-175</t>
  </si>
  <si>
    <t>KFF-176</t>
  </si>
  <si>
    <t>n</t>
  </si>
  <si>
    <t>SO3</t>
  </si>
  <si>
    <t>H2O (ppm)</t>
  </si>
  <si>
    <t>CO2 (ppm)</t>
  </si>
  <si>
    <t>rim</t>
  </si>
  <si>
    <t>core</t>
  </si>
  <si>
    <t>Coat</t>
  </si>
  <si>
    <t>Udachnaya</t>
  </si>
  <si>
    <t>S</t>
  </si>
  <si>
    <t>Inc 1</t>
  </si>
  <si>
    <t>Inc 2</t>
  </si>
  <si>
    <t>Inc 3</t>
  </si>
  <si>
    <t>Inc 4</t>
  </si>
  <si>
    <t>Core</t>
  </si>
  <si>
    <t>Diavik</t>
  </si>
  <si>
    <t>Slave Craton</t>
  </si>
  <si>
    <t>Coated Oct</t>
  </si>
  <si>
    <t>28-Sil</t>
  </si>
  <si>
    <t>DVK106-1</t>
  </si>
  <si>
    <t>DVK107-5</t>
  </si>
  <si>
    <t>DVK109-2</t>
  </si>
  <si>
    <t>DVK109-3</t>
  </si>
  <si>
    <t>DVK111-1</t>
  </si>
  <si>
    <t>K</t>
  </si>
  <si>
    <t>&lt;0.4</t>
  </si>
  <si>
    <t>Ga</t>
  </si>
  <si>
    <t>Rb</t>
  </si>
  <si>
    <t>&lt;0.009</t>
  </si>
  <si>
    <t>Sr</t>
  </si>
  <si>
    <t>Zr</t>
  </si>
  <si>
    <t>Nb</t>
  </si>
  <si>
    <t>Cs</t>
  </si>
  <si>
    <t>Ba</t>
  </si>
  <si>
    <t>La</t>
  </si>
  <si>
    <t>Ce</t>
  </si>
  <si>
    <t>Pr</t>
  </si>
  <si>
    <t>Nd</t>
  </si>
  <si>
    <t>Sm</t>
  </si>
  <si>
    <t>Eu</t>
  </si>
  <si>
    <t>Gd</t>
  </si>
  <si>
    <t>Dy</t>
  </si>
  <si>
    <t>Ho</t>
  </si>
  <si>
    <t>Er</t>
  </si>
  <si>
    <t>Yb</t>
  </si>
  <si>
    <t>Lu</t>
  </si>
  <si>
    <t>Hf</t>
  </si>
  <si>
    <t>Ta</t>
  </si>
  <si>
    <t>W</t>
  </si>
  <si>
    <t>Pb</t>
  </si>
  <si>
    <t>Th</t>
  </si>
  <si>
    <t>U</t>
  </si>
  <si>
    <t>DVK127-2</t>
  </si>
  <si>
    <t>DVK127-1</t>
  </si>
  <si>
    <t>DVK135-1</t>
  </si>
  <si>
    <t>DVK135-5</t>
  </si>
  <si>
    <t>DVK155-2</t>
  </si>
  <si>
    <t>DVK155-8</t>
  </si>
  <si>
    <t>&lt;0.2</t>
  </si>
  <si>
    <t>&lt;0.01</t>
  </si>
  <si>
    <t>&lt;0.03</t>
  </si>
  <si>
    <t>&lt;0.04</t>
  </si>
  <si>
    <t>&lt;0.006</t>
  </si>
  <si>
    <t>&lt;0.02</t>
  </si>
  <si>
    <t>&lt;0.0059</t>
  </si>
  <si>
    <t>&lt;0.005</t>
  </si>
  <si>
    <t>&lt;0.004</t>
  </si>
  <si>
    <t>&lt;0.001</t>
  </si>
  <si>
    <t>&lt;0.002</t>
  </si>
  <si>
    <t>&lt;0.003</t>
  </si>
  <si>
    <t>&lt;0.0005</t>
  </si>
  <si>
    <t>&lt;0.05</t>
  </si>
  <si>
    <t>&lt;0.007</t>
  </si>
  <si>
    <t>&lt;0.008</t>
  </si>
  <si>
    <t>&lt;0.00</t>
  </si>
  <si>
    <t>&lt;0.0007</t>
  </si>
  <si>
    <t>&lt;0.0008</t>
  </si>
  <si>
    <t>&lt;0.0003</t>
  </si>
  <si>
    <t>&lt;0.0009</t>
  </si>
  <si>
    <t>&lt;0.0006</t>
  </si>
  <si>
    <t>White Oct</t>
  </si>
  <si>
    <t>Microincl layer</t>
  </si>
  <si>
    <t>Siberian Craton</t>
  </si>
  <si>
    <t>Mir</t>
  </si>
  <si>
    <t>1565/1</t>
  </si>
  <si>
    <t>Open, perid</t>
  </si>
  <si>
    <t>1565/2</t>
  </si>
  <si>
    <t>Subsurface, perid</t>
  </si>
  <si>
    <t>On Surface, perid</t>
  </si>
  <si>
    <t>1516/2</t>
  </si>
  <si>
    <t>1558/2</t>
  </si>
  <si>
    <t>1558/3</t>
  </si>
  <si>
    <t>Blue Oct</t>
  </si>
  <si>
    <t>Blue-green Oct</t>
  </si>
  <si>
    <t>1558/1</t>
  </si>
  <si>
    <t>Blue Cubo-Oct</t>
  </si>
  <si>
    <t>3181/1</t>
  </si>
  <si>
    <t>3181/2</t>
  </si>
  <si>
    <t>Si</t>
  </si>
  <si>
    <t>Ca</t>
  </si>
  <si>
    <t>Ti</t>
  </si>
  <si>
    <t>Cr</t>
  </si>
  <si>
    <t>Mn</t>
  </si>
  <si>
    <t>Fe</t>
  </si>
  <si>
    <t>&lt;70</t>
  </si>
  <si>
    <t>&lt;200</t>
  </si>
  <si>
    <t>&lt;6</t>
  </si>
  <si>
    <t>&lt;20</t>
  </si>
  <si>
    <t>&lt;14</t>
  </si>
  <si>
    <t>&lt;7</t>
  </si>
  <si>
    <t>&lt;5</t>
  </si>
  <si>
    <t>&lt;3</t>
  </si>
  <si>
    <t>&lt;2</t>
  </si>
  <si>
    <t>&lt;2.5</t>
  </si>
  <si>
    <t>&lt;1</t>
  </si>
  <si>
    <t>Ni</t>
  </si>
  <si>
    <t>Cu</t>
  </si>
  <si>
    <t>&lt;0.6</t>
  </si>
  <si>
    <t>&lt;0.5</t>
  </si>
  <si>
    <t>&lt;0.8</t>
  </si>
  <si>
    <t>Zn</t>
  </si>
  <si>
    <t>&lt;4</t>
  </si>
  <si>
    <t>&lt;0.7</t>
  </si>
  <si>
    <t>&lt;1.4</t>
  </si>
  <si>
    <t>&lt;1.6</t>
  </si>
  <si>
    <t>&lt;1.3</t>
  </si>
  <si>
    <t>&lt;1.2</t>
  </si>
  <si>
    <t>&lt;1.5</t>
  </si>
  <si>
    <t>&lt;30</t>
  </si>
  <si>
    <t>&lt;50</t>
  </si>
  <si>
    <t>&lt;33</t>
  </si>
  <si>
    <t>&lt;90</t>
  </si>
  <si>
    <t>&lt;100</t>
  </si>
  <si>
    <t>&lt;2.3</t>
  </si>
  <si>
    <t>3181/3</t>
  </si>
  <si>
    <t>3181/4</t>
  </si>
  <si>
    <t>On/under surface, perid</t>
  </si>
  <si>
    <t>Yellow Oct</t>
  </si>
  <si>
    <t>1584/1</t>
  </si>
  <si>
    <t>Open, ecl</t>
  </si>
  <si>
    <t>Blue-green Rounded</t>
  </si>
  <si>
    <t>Yellow Cube</t>
  </si>
  <si>
    <t>On surface, ecl</t>
  </si>
  <si>
    <t>Subsurface, unknown</t>
  </si>
  <si>
    <t>Yellow Cubo-Oct</t>
  </si>
  <si>
    <t>1137/1</t>
  </si>
  <si>
    <t>1173/1</t>
  </si>
  <si>
    <t>On surface, unknown</t>
  </si>
  <si>
    <t>1545/1</t>
  </si>
  <si>
    <t>1545/2</t>
  </si>
  <si>
    <t>&lt;25</t>
  </si>
  <si>
    <t>&lt;8</t>
  </si>
  <si>
    <t>&lt;1.7</t>
  </si>
  <si>
    <t>&lt;60</t>
  </si>
  <si>
    <t>&lt;82</t>
  </si>
  <si>
    <t>&lt;40</t>
  </si>
  <si>
    <t>&lt;84</t>
  </si>
  <si>
    <t>Remark</t>
  </si>
  <si>
    <t>PEK013/1</t>
  </si>
  <si>
    <t>PEK013/2</t>
  </si>
  <si>
    <t>PEK013/3</t>
  </si>
  <si>
    <t>PEK013/4</t>
  </si>
  <si>
    <t>PEK013/5</t>
  </si>
  <si>
    <t>PEK013/6</t>
  </si>
  <si>
    <t>PEK013/7</t>
  </si>
  <si>
    <t>PEK013/9</t>
  </si>
  <si>
    <t>PEK013/10</t>
  </si>
  <si>
    <t>PEK013/11</t>
  </si>
  <si>
    <t>δ13C (‰)</t>
  </si>
  <si>
    <t>δ15N (‰)</t>
  </si>
  <si>
    <t>N (ppm) combust</t>
  </si>
  <si>
    <t>Cl (ppm)</t>
  </si>
  <si>
    <t>Br (ppb)</t>
  </si>
  <si>
    <t>I (ppb)</t>
  </si>
  <si>
    <t>K (ppm)</t>
  </si>
  <si>
    <t>Ca (ppm)</t>
  </si>
  <si>
    <t>U (ppb)</t>
  </si>
  <si>
    <t>K/Cl M</t>
  </si>
  <si>
    <t>Orapa</t>
  </si>
  <si>
    <t>Premier</t>
  </si>
  <si>
    <t>Central African Republic</t>
  </si>
  <si>
    <t>Sao Luiz</t>
  </si>
  <si>
    <t>Brazil unknown</t>
  </si>
  <si>
    <t>Cloud</t>
  </si>
  <si>
    <t>Framesite</t>
  </si>
  <si>
    <t>Carbonado</t>
  </si>
  <si>
    <t>Zimbabwe Craton</t>
  </si>
  <si>
    <t>DRC</t>
  </si>
  <si>
    <t>Leslie</t>
  </si>
  <si>
    <t>Koala</t>
  </si>
  <si>
    <t>A1</t>
  </si>
  <si>
    <t>na</t>
  </si>
  <si>
    <t>A2</t>
  </si>
  <si>
    <t>A3</t>
  </si>
  <si>
    <t>A4</t>
  </si>
  <si>
    <t>A5</t>
  </si>
  <si>
    <t>A6</t>
  </si>
  <si>
    <t>A7</t>
  </si>
  <si>
    <t>A1/a</t>
  </si>
  <si>
    <t>A1/b</t>
  </si>
  <si>
    <t>A1/c</t>
  </si>
  <si>
    <t>A1/d</t>
  </si>
  <si>
    <t>A1/e</t>
  </si>
  <si>
    <t>A2/a</t>
  </si>
  <si>
    <t>A2/b</t>
  </si>
  <si>
    <t>A2/c</t>
  </si>
  <si>
    <t>A2/d</t>
  </si>
  <si>
    <t>A2/e</t>
  </si>
  <si>
    <t>A2/f</t>
  </si>
  <si>
    <t>mg</t>
  </si>
  <si>
    <t>CT1/a</t>
  </si>
  <si>
    <t>CT1/b</t>
  </si>
  <si>
    <t>CT1/c</t>
  </si>
  <si>
    <t>CT1/d</t>
  </si>
  <si>
    <t>CT1/e</t>
  </si>
  <si>
    <t>CT1/f</t>
  </si>
  <si>
    <t>CT1/g</t>
  </si>
  <si>
    <t>CT3/a</t>
  </si>
  <si>
    <t>CT3/b</t>
  </si>
  <si>
    <t>CT3/c</t>
  </si>
  <si>
    <t>CT3/d</t>
  </si>
  <si>
    <t>CT3/e</t>
  </si>
  <si>
    <t>Ud-4</t>
  </si>
  <si>
    <t>Ud-6</t>
  </si>
  <si>
    <t>Ud-10</t>
  </si>
  <si>
    <t>Ud-12</t>
  </si>
  <si>
    <t>Ud-13</t>
  </si>
  <si>
    <t>Ud-14</t>
  </si>
  <si>
    <t>Ud-17</t>
  </si>
  <si>
    <t>Ud-18</t>
  </si>
  <si>
    <t>Ud-21</t>
  </si>
  <si>
    <t>Ud-22</t>
  </si>
  <si>
    <t>Kasai River</t>
  </si>
  <si>
    <t>Congo Craton</t>
  </si>
  <si>
    <t>MB2-1</t>
  </si>
  <si>
    <t>MB2-3</t>
  </si>
  <si>
    <t>MB2-4</t>
  </si>
  <si>
    <t>MB2-6</t>
  </si>
  <si>
    <t>Araújo et al. (2009) - Lithos</t>
  </si>
  <si>
    <t>Broadley et al. (2018) - GPL</t>
  </si>
  <si>
    <t>Inc 5</t>
  </si>
  <si>
    <t>Inc 6</t>
  </si>
  <si>
    <t>Inc 7</t>
  </si>
  <si>
    <t>Mean</t>
  </si>
  <si>
    <t>Coanjula</t>
  </si>
  <si>
    <t>Opaque Cube</t>
  </si>
  <si>
    <t>Lee et al. (1991) - 5th IKC Extended Abstract</t>
  </si>
  <si>
    <t>Yubileinaya</t>
  </si>
  <si>
    <t>range</t>
  </si>
  <si>
    <t>7-14</t>
  </si>
  <si>
    <t>0-5.5</t>
  </si>
  <si>
    <t>0-6</t>
  </si>
  <si>
    <t>0-3</t>
  </si>
  <si>
    <t>6-11</t>
  </si>
  <si>
    <t>20-30</t>
  </si>
  <si>
    <t>12-26</t>
  </si>
  <si>
    <t>7-11</t>
  </si>
  <si>
    <t>16-27</t>
  </si>
  <si>
    <t>2-8</t>
  </si>
  <si>
    <t>0.6-4</t>
  </si>
  <si>
    <t>3-6</t>
  </si>
  <si>
    <t>Logvinova et al. (2008) - Eur J Mineral</t>
  </si>
  <si>
    <t>Logvinova et al. (2019) - Minerals</t>
  </si>
  <si>
    <t>Logvinova et al. (2011) - Russian Geology and Geophysics</t>
  </si>
  <si>
    <t>Akwatia</t>
  </si>
  <si>
    <t>G50</t>
  </si>
  <si>
    <t>lherz</t>
  </si>
  <si>
    <t>G103</t>
  </si>
  <si>
    <t>harzb</t>
  </si>
  <si>
    <t>Tb</t>
  </si>
  <si>
    <t>G113</t>
  </si>
  <si>
    <t>G201</t>
  </si>
  <si>
    <t>G303</t>
  </si>
  <si>
    <t>DBP 014</t>
  </si>
  <si>
    <t>DPB 398</t>
  </si>
  <si>
    <t>DBP 406</t>
  </si>
  <si>
    <t>DBP 032</t>
  </si>
  <si>
    <t>DBP 457</t>
  </si>
  <si>
    <t>Melton et al. (2012) - Chemical Geology</t>
  </si>
  <si>
    <t>PEK013/8</t>
  </si>
  <si>
    <t>PEK013/12</t>
  </si>
  <si>
    <t>Burgess et al. (2009) - GCA</t>
  </si>
  <si>
    <t>SLEB/01</t>
  </si>
  <si>
    <t>SLEB/05</t>
  </si>
  <si>
    <t>SLEB/20</t>
  </si>
  <si>
    <t>SLEB/29</t>
  </si>
  <si>
    <t>SGRA/05</t>
  </si>
  <si>
    <t>SGRA/08</t>
  </si>
  <si>
    <t>SF3C/27</t>
  </si>
  <si>
    <t>SF1B/3</t>
  </si>
  <si>
    <t>SF3D/13</t>
  </si>
  <si>
    <t>SF4B/21</t>
  </si>
  <si>
    <t>SK3C/9</t>
  </si>
  <si>
    <t>SK3C/17</t>
  </si>
  <si>
    <t>SK3C/18</t>
  </si>
  <si>
    <t>SK3C/30</t>
  </si>
  <si>
    <t>SK8D/01</t>
  </si>
  <si>
    <t>Grizzly</t>
  </si>
  <si>
    <t>Fox</t>
  </si>
  <si>
    <t>Z1</t>
  </si>
  <si>
    <t>200354#1</t>
  </si>
  <si>
    <t>Zaire1</t>
  </si>
  <si>
    <t>Zaire2</t>
  </si>
  <si>
    <t>Zaire3</t>
  </si>
  <si>
    <t>Zaire4</t>
  </si>
  <si>
    <t>JWN 88</t>
  </si>
  <si>
    <t>JWN 89</t>
  </si>
  <si>
    <t>JWN 90</t>
  </si>
  <si>
    <t>JWN 112</t>
  </si>
  <si>
    <t>Jwaneng 1</t>
  </si>
  <si>
    <t>Jwaneng 2</t>
  </si>
  <si>
    <t>Jwaneng 4</t>
  </si>
  <si>
    <t>Jwaneng 6</t>
  </si>
  <si>
    <t>ZRE 1</t>
  </si>
  <si>
    <t>ZRE 2</t>
  </si>
  <si>
    <t>ZRE 3</t>
  </si>
  <si>
    <t>ZRE 5</t>
  </si>
  <si>
    <t>ZRE 6</t>
  </si>
  <si>
    <t>ZRE 7</t>
  </si>
  <si>
    <t xml:space="preserve">Coated </t>
  </si>
  <si>
    <t>Kholomolokh Placer</t>
  </si>
  <si>
    <t>Hi-51</t>
  </si>
  <si>
    <t>Hi-39</t>
  </si>
  <si>
    <t>Cpx</t>
  </si>
  <si>
    <t xml:space="preserve">HDF </t>
  </si>
  <si>
    <t>MS-1</t>
  </si>
  <si>
    <t>MS-2</t>
  </si>
  <si>
    <t>MS-3</t>
  </si>
  <si>
    <t>MS-5</t>
  </si>
  <si>
    <t>MS-6</t>
  </si>
  <si>
    <t>MS-7</t>
  </si>
  <si>
    <t>MS-8</t>
  </si>
  <si>
    <t>MS-9</t>
  </si>
  <si>
    <t>Octahedra with cloudy cubic core</t>
  </si>
  <si>
    <t>I-25</t>
  </si>
  <si>
    <t>I-33</t>
  </si>
  <si>
    <t>&lt; LQ</t>
  </si>
  <si>
    <t>Tm</t>
  </si>
  <si>
    <t>V</t>
  </si>
  <si>
    <t>Co</t>
  </si>
  <si>
    <t>20 int</t>
  </si>
  <si>
    <t>21 core</t>
  </si>
  <si>
    <t>21 int</t>
  </si>
  <si>
    <t>23 core</t>
  </si>
  <si>
    <t>23 int-1</t>
  </si>
  <si>
    <t>Sil-low Mg</t>
  </si>
  <si>
    <t>Transitional</t>
  </si>
  <si>
    <t>Carb.</t>
  </si>
  <si>
    <t>23 int-2</t>
  </si>
  <si>
    <t>27 core-2</t>
  </si>
  <si>
    <t>27 int</t>
  </si>
  <si>
    <t>28 int</t>
  </si>
  <si>
    <t>29 int end</t>
  </si>
  <si>
    <t>NWT Australia</t>
  </si>
  <si>
    <t>N (at. ppm)</t>
  </si>
  <si>
    <t>IaB (%)</t>
  </si>
  <si>
    <t>20 core</t>
  </si>
  <si>
    <t>ZRC2</t>
  </si>
  <si>
    <t>ZRC3</t>
  </si>
  <si>
    <t>ZRC5</t>
  </si>
  <si>
    <t>ZRC6</t>
  </si>
  <si>
    <t>CNG2</t>
  </si>
  <si>
    <t>CNG3</t>
  </si>
  <si>
    <t>CNG4</t>
  </si>
  <si>
    <t>CNG5</t>
  </si>
  <si>
    <t>409b</t>
  </si>
  <si>
    <t>410A</t>
  </si>
  <si>
    <t>&gt;1000</t>
  </si>
  <si>
    <t>Method</t>
  </si>
  <si>
    <t>&lt;0.14</t>
  </si>
  <si>
    <t>410a</t>
  </si>
  <si>
    <t>ZRC2a</t>
  </si>
  <si>
    <t>ZRC2b</t>
  </si>
  <si>
    <t>ZRC3a</t>
  </si>
  <si>
    <t>ZRC3b</t>
  </si>
  <si>
    <t>Crushing 500X</t>
  </si>
  <si>
    <t>Heating 1600C</t>
  </si>
  <si>
    <t>Heating 2000C</t>
  </si>
  <si>
    <t>Crushing 1000x</t>
  </si>
  <si>
    <t>FIN1a</t>
  </si>
  <si>
    <t>polycrystalline</t>
  </si>
  <si>
    <t>high-Mg</t>
  </si>
  <si>
    <t>FIN1b</t>
  </si>
  <si>
    <t>core-int</t>
  </si>
  <si>
    <t>FIN02</t>
  </si>
  <si>
    <t>n.d.</t>
  </si>
  <si>
    <t>silicic</t>
  </si>
  <si>
    <t>FIN03</t>
  </si>
  <si>
    <t>–</t>
  </si>
  <si>
    <t>low-Mg</t>
  </si>
  <si>
    <t>DBP06</t>
  </si>
  <si>
    <t>saline</t>
  </si>
  <si>
    <t>DBP07</t>
  </si>
  <si>
    <t>DBP08a</t>
  </si>
  <si>
    <t>DBP08b</t>
  </si>
  <si>
    <t>int</t>
  </si>
  <si>
    <t>DBP09a</t>
  </si>
  <si>
    <t>DBP09b</t>
  </si>
  <si>
    <t>DBP09c</t>
  </si>
  <si>
    <t>DBP10a</t>
  </si>
  <si>
    <t>DBP10b</t>
  </si>
  <si>
    <t>int-rim</t>
  </si>
  <si>
    <t>DBP14</t>
  </si>
  <si>
    <t>DBP15a</t>
  </si>
  <si>
    <t>core-1</t>
  </si>
  <si>
    <t>DBP15b</t>
  </si>
  <si>
    <t>core-2</t>
  </si>
  <si>
    <t>DBP15c</t>
  </si>
  <si>
    <t>KOF17a</t>
  </si>
  <si>
    <t>KOF17b</t>
  </si>
  <si>
    <t>KOF18a</t>
  </si>
  <si>
    <t>&gt;510</t>
  </si>
  <si>
    <t>KOF18b</t>
  </si>
  <si>
    <t>&gt;450</t>
  </si>
  <si>
    <t>KOF19a</t>
  </si>
  <si>
    <t>KOF19b</t>
  </si>
  <si>
    <t>whole stone</t>
  </si>
  <si>
    <t>light CL</t>
  </si>
  <si>
    <t>dark CL</t>
  </si>
  <si>
    <t>FIN01b</t>
  </si>
  <si>
    <t>n.a.</t>
  </si>
  <si>
    <t>Yellow Rounded</t>
  </si>
  <si>
    <t>ON-DBP-330</t>
  </si>
  <si>
    <t>ON-DBP-331</t>
  </si>
  <si>
    <t>ON-DBP-332</t>
  </si>
  <si>
    <t>ON-DBP-335</t>
  </si>
  <si>
    <t>ON-DBP-336</t>
  </si>
  <si>
    <t>ON-DBP-337</t>
  </si>
  <si>
    <t>ON-DBP-338</t>
  </si>
  <si>
    <t>ON-DBP-339</t>
  </si>
  <si>
    <t>Cube-like</t>
  </si>
  <si>
    <t>Diamond Type</t>
  </si>
  <si>
    <t>Gem</t>
  </si>
  <si>
    <t>Deposit Type</t>
  </si>
  <si>
    <t>EG133</t>
  </si>
  <si>
    <t>EG138</t>
  </si>
  <si>
    <t>FK925</t>
  </si>
  <si>
    <t>FK927</t>
  </si>
  <si>
    <t>FK951</t>
  </si>
  <si>
    <t>FK952</t>
  </si>
  <si>
    <t>Kimberlite</t>
  </si>
  <si>
    <t>INAA</t>
  </si>
  <si>
    <t>Na</t>
  </si>
  <si>
    <t>&lt;0.1</t>
  </si>
  <si>
    <t>Ir</t>
  </si>
  <si>
    <t>Au</t>
  </si>
  <si>
    <t>Sc</t>
  </si>
  <si>
    <t>As</t>
  </si>
  <si>
    <t>Br</t>
  </si>
  <si>
    <t>Sb</t>
  </si>
  <si>
    <t>HI-88</t>
  </si>
  <si>
    <t xml:space="preserve"> 11 - 24</t>
  </si>
  <si>
    <t xml:space="preserve"> 10 - 17</t>
  </si>
  <si>
    <t>44 - 600</t>
  </si>
  <si>
    <t>239 - 703</t>
  </si>
  <si>
    <t xml:space="preserve"> 0.1 - 0.5</t>
  </si>
  <si>
    <t>H (cm-1)</t>
  </si>
  <si>
    <t xml:space="preserve"> 52 - 547</t>
  </si>
  <si>
    <t xml:space="preserve"> 11- 22</t>
  </si>
  <si>
    <t xml:space="preserve"> -6.1 - -5.5</t>
  </si>
  <si>
    <t xml:space="preserve"> 17 - 25</t>
  </si>
  <si>
    <t>HI-90</t>
  </si>
  <si>
    <t>HI-111</t>
  </si>
  <si>
    <t>HI-103</t>
  </si>
  <si>
    <t>HI-97</t>
  </si>
  <si>
    <t>HI-96</t>
  </si>
  <si>
    <t>HI-98</t>
  </si>
  <si>
    <t>HI-100</t>
  </si>
  <si>
    <t>HI-104</t>
  </si>
  <si>
    <t>HI-105</t>
  </si>
  <si>
    <t>HI-107</t>
  </si>
  <si>
    <t>HI-116</t>
  </si>
  <si>
    <t>HI-119</t>
  </si>
  <si>
    <t>HI-95</t>
  </si>
  <si>
    <t>HI-108</t>
  </si>
  <si>
    <t>HI-102</t>
  </si>
  <si>
    <t>HI-117</t>
  </si>
  <si>
    <t>HI-91</t>
  </si>
  <si>
    <t xml:space="preserve"> 0.1 - 0.2</t>
  </si>
  <si>
    <t>442 - 472</t>
  </si>
  <si>
    <t>LA-ICP-MS</t>
  </si>
  <si>
    <t>Mg</t>
  </si>
  <si>
    <t>Al</t>
  </si>
  <si>
    <t>P</t>
  </si>
  <si>
    <t>Ebelyakh (Kholomolokh &amp; Istok)</t>
  </si>
  <si>
    <t>Alluvial Placer</t>
  </si>
  <si>
    <t>Zedgenizov et al. (2011) - Russian Geology and Geophysics</t>
  </si>
  <si>
    <t>Fibrous cube-rounded</t>
  </si>
  <si>
    <t>Data Reported</t>
  </si>
  <si>
    <t>UDR-1</t>
  </si>
  <si>
    <t>UDR-3</t>
  </si>
  <si>
    <t>UDR-4</t>
  </si>
  <si>
    <t>UDR-8</t>
  </si>
  <si>
    <t>UDR-9</t>
  </si>
  <si>
    <t>Center</t>
  </si>
  <si>
    <t>Rim</t>
  </si>
  <si>
    <t>CoO</t>
  </si>
  <si>
    <t>CuO</t>
  </si>
  <si>
    <t>trace too</t>
  </si>
  <si>
    <t>Diamond from veinlet in eclogite</t>
  </si>
  <si>
    <t>Zedgenizov et al. (2008) - 9th IKC Extended Abstract</t>
  </si>
  <si>
    <t>Zedgenizov et al. (2015) - Doklady Earth Sciences</t>
  </si>
  <si>
    <t>Origin</t>
  </si>
  <si>
    <t xml:space="preserve">Snap Lake </t>
  </si>
  <si>
    <t>46-2</t>
  </si>
  <si>
    <t>49-20</t>
  </si>
  <si>
    <t>V. Grib</t>
  </si>
  <si>
    <t>Opaque cube-rounded</t>
  </si>
  <si>
    <t>46-1</t>
  </si>
  <si>
    <t>45-12</t>
  </si>
  <si>
    <t>44-1</t>
  </si>
  <si>
    <t>49-46</t>
  </si>
  <si>
    <t>45-11</t>
  </si>
  <si>
    <t>32-5</t>
  </si>
  <si>
    <t>bdl</t>
  </si>
  <si>
    <t>Zedgenizov et al. (2017) - Geochemical Journal</t>
  </si>
  <si>
    <t>Major ans trace elements of HDFs</t>
  </si>
  <si>
    <t>Zedgenizov et al. (2009) - Lithos</t>
  </si>
  <si>
    <t>Zaire</t>
  </si>
  <si>
    <t>Coated cube</t>
  </si>
  <si>
    <t>L#1+S#1</t>
  </si>
  <si>
    <t>2000C (1st)</t>
  </si>
  <si>
    <t>2000C (2nd)</t>
  </si>
  <si>
    <t>L#2</t>
  </si>
  <si>
    <t>L#3</t>
  </si>
  <si>
    <t>L#4</t>
  </si>
  <si>
    <t>S#2+S#3</t>
  </si>
  <si>
    <t>S#4</t>
  </si>
  <si>
    <t>S#5</t>
  </si>
  <si>
    <t>S#6</t>
  </si>
  <si>
    <t>1600C</t>
  </si>
  <si>
    <t>2000C</t>
  </si>
  <si>
    <t>S#7</t>
  </si>
  <si>
    <t>L#5</t>
  </si>
  <si>
    <t>L#6</t>
  </si>
  <si>
    <t>L#7</t>
  </si>
  <si>
    <t>L#8</t>
  </si>
  <si>
    <t>S#8</t>
  </si>
  <si>
    <t>Stepped Heating</t>
  </si>
  <si>
    <t>coat</t>
  </si>
  <si>
    <t>Zaire 1</t>
  </si>
  <si>
    <t>Zaire 2</t>
  </si>
  <si>
    <t>Zaire 3</t>
  </si>
  <si>
    <t>Zaire 4</t>
  </si>
  <si>
    <t>core B</t>
  </si>
  <si>
    <t>core C</t>
  </si>
  <si>
    <t>core A</t>
  </si>
  <si>
    <t>Turner et al. (1990) - Nature</t>
  </si>
  <si>
    <t>Unknown</t>
  </si>
  <si>
    <t>ON-VNT-608</t>
  </si>
  <si>
    <t>ON-VNT-605</t>
  </si>
  <si>
    <t>ON-VRS-627</t>
  </si>
  <si>
    <t>Low-Mg carbonatitic</t>
  </si>
  <si>
    <t>ON-VRS-630</t>
  </si>
  <si>
    <t>Opx</t>
  </si>
  <si>
    <t>opx</t>
  </si>
  <si>
    <t>ON-VRS-618</t>
  </si>
  <si>
    <t>EPMA (EDS)</t>
  </si>
  <si>
    <t>Jablon and Navon (2015) - EPSL</t>
  </si>
  <si>
    <t>Venetia</t>
  </si>
  <si>
    <t>Major elements and N contents + aggregation</t>
  </si>
  <si>
    <t>SIMS</t>
  </si>
  <si>
    <t>CTP L0</t>
  </si>
  <si>
    <t>CTP 6268</t>
  </si>
  <si>
    <t>CTP L6</t>
  </si>
  <si>
    <t>CTB LB</t>
  </si>
  <si>
    <t>CTP Z4</t>
  </si>
  <si>
    <t>CTP MM1</t>
  </si>
  <si>
    <t>GRR 1503</t>
  </si>
  <si>
    <t>GRR 1504</t>
  </si>
  <si>
    <t>GRR 1508</t>
  </si>
  <si>
    <t>GRR 861.2</t>
  </si>
  <si>
    <t>GRR 1155</t>
  </si>
  <si>
    <t>GRR 1515</t>
  </si>
  <si>
    <t>GRR 1517</t>
  </si>
  <si>
    <t>GRR 1518</t>
  </si>
  <si>
    <t>GRR 1519</t>
  </si>
  <si>
    <t>Navon et al. (1988) - Nature</t>
  </si>
  <si>
    <t>Schrauder and Navon (1994) - EPSL</t>
  </si>
  <si>
    <t>Wada and Matsuda (1998) - GCA</t>
  </si>
  <si>
    <t>EPMA</t>
  </si>
  <si>
    <t>EPMA (EDS+WDS)</t>
  </si>
  <si>
    <t>JWN108</t>
  </si>
  <si>
    <t>JWN90</t>
  </si>
  <si>
    <t>JWN87</t>
  </si>
  <si>
    <t>JWN106</t>
  </si>
  <si>
    <t>JWN89</t>
  </si>
  <si>
    <t>JWN112</t>
  </si>
  <si>
    <t>JWN110</t>
  </si>
  <si>
    <t>JWN99</t>
  </si>
  <si>
    <t>JWN91</t>
  </si>
  <si>
    <t>JWN92</t>
  </si>
  <si>
    <t>JWN88</t>
  </si>
  <si>
    <t>JWN115</t>
  </si>
  <si>
    <t>JWN93</t>
  </si>
  <si>
    <t>Izraeli et al. (2001) - EPSL</t>
  </si>
  <si>
    <t>Octahedral/irregular</t>
  </si>
  <si>
    <t>Klein-BenDavid et al. (2007) - GCA</t>
  </si>
  <si>
    <t>ON-FCH-349</t>
  </si>
  <si>
    <t>ON-FCH-350</t>
  </si>
  <si>
    <t>ON-FCH-351</t>
  </si>
  <si>
    <t>ON-FCH-352</t>
  </si>
  <si>
    <t>ON-FCH-354</t>
  </si>
  <si>
    <t>ON-FCH-355</t>
  </si>
  <si>
    <t>ON-FCH-356</t>
  </si>
  <si>
    <t>Amorphous (granular)</t>
  </si>
  <si>
    <t>Dodecahedral (cloudy)</t>
  </si>
  <si>
    <t>Cubic (broken)</t>
  </si>
  <si>
    <t>---</t>
  </si>
  <si>
    <t>Low-Mg carbonatite-like</t>
  </si>
  <si>
    <t>No HDF microinclusions</t>
  </si>
  <si>
    <t>Ol+Phl</t>
  </si>
  <si>
    <t>CMF</t>
  </si>
  <si>
    <t>Carbonate/(carbonate+water)</t>
  </si>
  <si>
    <t>Major and trace elements of HDFs and silicates, N contents + aggregation</t>
  </si>
  <si>
    <t>394-645</t>
  </si>
  <si>
    <t>Weiss and Goldstein (2018) - MinPet</t>
  </si>
  <si>
    <t>Weiss et al. (2018) - EPSL</t>
  </si>
  <si>
    <t>Outer</t>
  </si>
  <si>
    <t>DBP331-2</t>
  </si>
  <si>
    <t>DBP331-5</t>
  </si>
  <si>
    <t>DBP331-6</t>
  </si>
  <si>
    <t>DBP331-7</t>
  </si>
  <si>
    <t>DBP332-1</t>
  </si>
  <si>
    <t>DBP332-2</t>
  </si>
  <si>
    <t>DBP332-3</t>
  </si>
  <si>
    <t>DBP339-1</t>
  </si>
  <si>
    <t>DBP339-2</t>
  </si>
  <si>
    <t>DBP339-4</t>
  </si>
  <si>
    <t>ON-KNG-367</t>
  </si>
  <si>
    <t>ON-KNG-366</t>
  </si>
  <si>
    <t>ON-KAN-383</t>
  </si>
  <si>
    <t>ON-KAN-381</t>
  </si>
  <si>
    <t>ON-KAN-382</t>
  </si>
  <si>
    <t>Middle</t>
  </si>
  <si>
    <t>DBP335-1 Outer</t>
  </si>
  <si>
    <t>DBP337-1 Inner</t>
  </si>
  <si>
    <t>DBP337-2 Inner</t>
  </si>
  <si>
    <t>DBP337-3 Inner</t>
  </si>
  <si>
    <t>DBP337-4 Outer</t>
  </si>
  <si>
    <t>DBP337-5 Outer</t>
  </si>
  <si>
    <t>DBP337-6 Outer</t>
  </si>
  <si>
    <t>DBP338-1 Coat</t>
  </si>
  <si>
    <t>DBP338-2 Coat</t>
  </si>
  <si>
    <t>DBP338-3 Coat</t>
  </si>
  <si>
    <t>Kankan</t>
  </si>
  <si>
    <t>West African Craton</t>
  </si>
  <si>
    <t>Coated octahedron</t>
  </si>
  <si>
    <t>Weiss et al. (2013) - EPSL</t>
  </si>
  <si>
    <t>Weiss et al. (2008) - Chemical Geology</t>
  </si>
  <si>
    <t>56.0-53.0</t>
  </si>
  <si>
    <t>Superior Craton</t>
  </si>
  <si>
    <t>UDC 239</t>
  </si>
  <si>
    <t>UDC 241</t>
  </si>
  <si>
    <t>UDC 243</t>
  </si>
  <si>
    <t>UDC 244</t>
  </si>
  <si>
    <t>UDC 246</t>
  </si>
  <si>
    <t>UDC 252</t>
  </si>
  <si>
    <t>ZAR 263</t>
  </si>
  <si>
    <t xml:space="preserve"> -7.3 - -5.2</t>
  </si>
  <si>
    <t>ZAR 265</t>
  </si>
  <si>
    <t>UB_81</t>
  </si>
  <si>
    <t>Aykhal</t>
  </si>
  <si>
    <t>High-Mg</t>
  </si>
  <si>
    <t>Carb-silicic</t>
  </si>
  <si>
    <t>AIK 297</t>
  </si>
  <si>
    <t>AIK 298</t>
  </si>
  <si>
    <t>KMSM4</t>
  </si>
  <si>
    <t>UDC 242</t>
  </si>
  <si>
    <t>UDC 255</t>
  </si>
  <si>
    <t>Komsomolskaya</t>
  </si>
  <si>
    <t>Yubileynaya</t>
  </si>
  <si>
    <t>Klein-BenDavid et al. (2009) - Lithos</t>
  </si>
  <si>
    <t>Major elements of HDFs</t>
  </si>
  <si>
    <t>Alluvial Placer?</t>
  </si>
  <si>
    <t>ON-KAN-389</t>
  </si>
  <si>
    <t>Carb</t>
  </si>
  <si>
    <t>Bulanova et al. (1998) - MinMag</t>
  </si>
  <si>
    <t>Burgess et al. (1998) - CG</t>
  </si>
  <si>
    <t>Burgess et al. (2002) - EPSL</t>
  </si>
  <si>
    <t>Guthrie et al. (1991) - EPSL</t>
  </si>
  <si>
    <t>Gubanov et al. (2019) - Minerals</t>
  </si>
  <si>
    <t>Johnson et al. (2000) - GCA</t>
  </si>
  <si>
    <t>Kopylova et al. (2010) - EPSL</t>
  </si>
  <si>
    <t>Kosman et al. (2016) - Lithos</t>
  </si>
  <si>
    <t>Kriulina et al. (2019) - Geochem International</t>
  </si>
  <si>
    <t>Shatsky et al. (2019) - Minerals</t>
  </si>
  <si>
    <t>Skuzovatov et al. (2011)  - Russ Geol Geophys</t>
  </si>
  <si>
    <t>Skuzovatov et al. (2012)  - Russ Geol Geophys</t>
  </si>
  <si>
    <t>Skuzovatov et al. (2016)  - Lithos</t>
  </si>
  <si>
    <t>Timmerman et al. (2018) - CG</t>
  </si>
  <si>
    <t>Timmerman et al. (2019) - CG</t>
  </si>
  <si>
    <t>Timmerman et al. (2018) - MinPet</t>
  </si>
  <si>
    <t>Tomlinson et al. (2009) - EPSL</t>
  </si>
  <si>
    <t>Nyurbinskaya</t>
  </si>
  <si>
    <t>Crushing</t>
  </si>
  <si>
    <t>NBCB-1</t>
  </si>
  <si>
    <t>NBCB-4</t>
  </si>
  <si>
    <t>NBCB-5</t>
  </si>
  <si>
    <t>NBRS-2</t>
  </si>
  <si>
    <t>NBRS-5</t>
  </si>
  <si>
    <t>NBRS-8</t>
  </si>
  <si>
    <t>NBCT-11</t>
  </si>
  <si>
    <t>Trace elements of HDFs, N contents + aggregation, C isotopes</t>
  </si>
  <si>
    <t>SEM + PMP</t>
  </si>
  <si>
    <t>Microincl</t>
  </si>
  <si>
    <t>Trace elements of micro-inclusions</t>
  </si>
  <si>
    <t>Jwaneng 3</t>
  </si>
  <si>
    <t>Jwaneng 5</t>
  </si>
  <si>
    <t>Jwaneng 88</t>
  </si>
  <si>
    <t>Jwaneng 89</t>
  </si>
  <si>
    <t>Jwaneng 90</t>
  </si>
  <si>
    <t>Jwaneng 112</t>
  </si>
  <si>
    <t>SLU08</t>
  </si>
  <si>
    <t>SLU09</t>
  </si>
  <si>
    <t>SLU10</t>
  </si>
  <si>
    <t>SLU11</t>
  </si>
  <si>
    <t>SLU07</t>
  </si>
  <si>
    <t>DBP 7</t>
  </si>
  <si>
    <t>Finsch 4</t>
  </si>
  <si>
    <t>Premier 2</t>
  </si>
  <si>
    <t>Premier 4</t>
  </si>
  <si>
    <t>Premier 8</t>
  </si>
  <si>
    <t>Jwaneng F6</t>
  </si>
  <si>
    <t>Jwaneng F10</t>
  </si>
  <si>
    <t>Jwaneng F11</t>
  </si>
  <si>
    <t>Orapa 1</t>
  </si>
  <si>
    <t>Orapa 2</t>
  </si>
  <si>
    <t>Orapa 3</t>
  </si>
  <si>
    <t>Orapa 4</t>
  </si>
  <si>
    <t>Orapa 5</t>
  </si>
  <si>
    <t>Orapa F121</t>
  </si>
  <si>
    <t>BC1</t>
  </si>
  <si>
    <t>BC2</t>
  </si>
  <si>
    <t>BC3</t>
  </si>
  <si>
    <t>BC4</t>
  </si>
  <si>
    <t>BC5</t>
  </si>
  <si>
    <t>JJG4105C</t>
  </si>
  <si>
    <t>JJG4105E</t>
  </si>
  <si>
    <t>JJG4105D</t>
  </si>
  <si>
    <t>&gt;0.14</t>
  </si>
  <si>
    <t>Noble gases+halogens of HDFs and N content</t>
  </si>
  <si>
    <t>Irradiaton + Stepped Heating (400–2150°C)</t>
  </si>
  <si>
    <t>Irradiaton + Stepped Heating (2100°C)</t>
  </si>
  <si>
    <t>Preliminary 40Ar–39Ar data was reported in Burgess and Turner (1995)</t>
  </si>
  <si>
    <t>He-Ar isotopes: Sequential crushing + MAP 215 mass spectrometer</t>
  </si>
  <si>
    <t>Inner (Calculated using K avg. from Ben david)</t>
  </si>
  <si>
    <t>MC Octahedra</t>
  </si>
  <si>
    <t>Fibrous Cuboid</t>
  </si>
  <si>
    <t>Major elements of HDFs, FTIR, Raman and XRD data</t>
  </si>
  <si>
    <t>Shiryaev et al. (2005) - Russian Geology and Geophysics</t>
  </si>
  <si>
    <t>BR-2</t>
  </si>
  <si>
    <t>BR-5</t>
  </si>
  <si>
    <t>961-1664</t>
  </si>
  <si>
    <t>1129-1344</t>
  </si>
  <si>
    <t>780-1432</t>
  </si>
  <si>
    <t>Major elements of HDFs, FTIR data</t>
  </si>
  <si>
    <t>Major elements of HDFs, N content, N+C isotopes (select samples)</t>
  </si>
  <si>
    <t>Octahhedra</t>
  </si>
  <si>
    <t>890-955</t>
  </si>
  <si>
    <t>1.6-16.8</t>
  </si>
  <si>
    <t xml:space="preserve"> 8-16</t>
  </si>
  <si>
    <t>739-833</t>
  </si>
  <si>
    <t xml:space="preserve"> 9-21</t>
  </si>
  <si>
    <t xml:space="preserve"> 1.5-10.5</t>
  </si>
  <si>
    <t>388-678</t>
  </si>
  <si>
    <t xml:space="preserve"> 8-13</t>
  </si>
  <si>
    <t xml:space="preserve"> 1.8-7.8</t>
  </si>
  <si>
    <t>725-822</t>
  </si>
  <si>
    <t xml:space="preserve"> 11-18</t>
  </si>
  <si>
    <t xml:space="preserve"> 1.3 -14.9</t>
  </si>
  <si>
    <t>646-673</t>
  </si>
  <si>
    <t xml:space="preserve"> 9-15</t>
  </si>
  <si>
    <t>1.8-14.1</t>
  </si>
  <si>
    <t>877-1008</t>
  </si>
  <si>
    <t xml:space="preserve"> 5-12</t>
  </si>
  <si>
    <t xml:space="preserve"> 1.7-20.9</t>
  </si>
  <si>
    <t>779-1036</t>
  </si>
  <si>
    <t xml:space="preserve"> 14-20</t>
  </si>
  <si>
    <t xml:space="preserve"> 1.7-11.3</t>
  </si>
  <si>
    <t>669-889</t>
  </si>
  <si>
    <t xml:space="preserve"> 6-17</t>
  </si>
  <si>
    <t xml:space="preserve"> 1.3-13.3</t>
  </si>
  <si>
    <t>576-804</t>
  </si>
  <si>
    <t xml:space="preserve"> 11-13</t>
  </si>
  <si>
    <t xml:space="preserve"> 1.4-8.0</t>
  </si>
  <si>
    <t>252-596</t>
  </si>
  <si>
    <t xml:space="preserve"> 11-20</t>
  </si>
  <si>
    <t>1.3-2.1</t>
  </si>
  <si>
    <t>527-574</t>
  </si>
  <si>
    <t xml:space="preserve"> 7-9</t>
  </si>
  <si>
    <t xml:space="preserve"> 4.4-6.5</t>
  </si>
  <si>
    <t>248-1080</t>
  </si>
  <si>
    <t xml:space="preserve"> 14-35</t>
  </si>
  <si>
    <t>2.0-48.6</t>
  </si>
  <si>
    <t>524-711</t>
  </si>
  <si>
    <t xml:space="preserve"> 6-10</t>
  </si>
  <si>
    <t xml:space="preserve"> 2.3-13.9</t>
  </si>
  <si>
    <t>367-651</t>
  </si>
  <si>
    <t xml:space="preserve"> 4-10</t>
  </si>
  <si>
    <t xml:space="preserve"> 0.0-10.3</t>
  </si>
  <si>
    <t>183-352</t>
  </si>
  <si>
    <t xml:space="preserve"> 0-27</t>
  </si>
  <si>
    <t>2.8-5.5</t>
  </si>
  <si>
    <t>705-771</t>
  </si>
  <si>
    <t xml:space="preserve"> 1-8</t>
  </si>
  <si>
    <t>0.0-10.9</t>
  </si>
  <si>
    <t>531-726</t>
  </si>
  <si>
    <t>2.1-4.6</t>
  </si>
  <si>
    <t>I-34</t>
  </si>
  <si>
    <t>I-38</t>
  </si>
  <si>
    <t>Tomlinson et al. (2006) - EPSL</t>
  </si>
  <si>
    <t>PAN8</t>
  </si>
  <si>
    <t>Fibrous coated octahedra</t>
  </si>
  <si>
    <t>perid</t>
  </si>
  <si>
    <t>405-500</t>
  </si>
  <si>
    <t>585-1270</t>
  </si>
  <si>
    <t>600-1040</t>
  </si>
  <si>
    <t>1550-1660</t>
  </si>
  <si>
    <t>845-1200</t>
  </si>
  <si>
    <t>ON-UNK-(Kimberley)</t>
  </si>
  <si>
    <t>Kimberley</t>
  </si>
  <si>
    <t>&lt;0.05000</t>
  </si>
  <si>
    <t>&lt;0.0034</t>
  </si>
  <si>
    <t>All errors are given in %</t>
  </si>
  <si>
    <t>&lt;0.012</t>
  </si>
  <si>
    <t>Se</t>
  </si>
  <si>
    <t>&lt;0.11</t>
  </si>
  <si>
    <t>&lt;7.5</t>
  </si>
  <si>
    <t>&lt;0.0014</t>
  </si>
  <si>
    <t>Pt</t>
  </si>
  <si>
    <t>&lt;0.07</t>
  </si>
  <si>
    <t>&lt;0.17</t>
  </si>
  <si>
    <t>&lt;0.3</t>
  </si>
  <si>
    <t>Mo</t>
  </si>
  <si>
    <t>Ag</t>
  </si>
  <si>
    <t>Cd</t>
  </si>
  <si>
    <t>In</t>
  </si>
  <si>
    <t>&lt;0.46</t>
  </si>
  <si>
    <t>&lt;0.095</t>
  </si>
  <si>
    <t>&lt;0.22</t>
  </si>
  <si>
    <t>&lt;0.011</t>
  </si>
  <si>
    <t>&lt;0.0062</t>
  </si>
  <si>
    <t>&lt;0.028</t>
  </si>
  <si>
    <t>&lt;0.15</t>
  </si>
  <si>
    <t>&lt;0.41</t>
  </si>
  <si>
    <t>&lt;0.025</t>
  </si>
  <si>
    <t>&lt;46</t>
  </si>
  <si>
    <t>&lt;0.0012</t>
  </si>
  <si>
    <t>&lt;0.67</t>
  </si>
  <si>
    <t>&lt;0.16</t>
  </si>
  <si>
    <t>&lt;0.024</t>
  </si>
  <si>
    <t>&lt;0.019</t>
  </si>
  <si>
    <t>&lt;0.28</t>
  </si>
  <si>
    <t>&lt;0.33</t>
  </si>
  <si>
    <t>Re</t>
  </si>
  <si>
    <t>&lt;0.013</t>
  </si>
  <si>
    <t>&lt;0.0015</t>
  </si>
  <si>
    <t>&lt;0.06</t>
  </si>
  <si>
    <t>GRR 1505</t>
  </si>
  <si>
    <t>&lt;0.42</t>
  </si>
  <si>
    <t>&lt;0.045</t>
  </si>
  <si>
    <t>&lt;0.023</t>
  </si>
  <si>
    <t>&lt;3.8</t>
  </si>
  <si>
    <t>Ge</t>
  </si>
  <si>
    <t>&lt;0.035</t>
  </si>
  <si>
    <t>&lt;0.12</t>
  </si>
  <si>
    <t>&lt;0.35</t>
  </si>
  <si>
    <t>&lt;0.054</t>
  </si>
  <si>
    <t>&lt;0.24</t>
  </si>
  <si>
    <t>&lt;0.21</t>
  </si>
  <si>
    <t>&lt;1.1</t>
  </si>
  <si>
    <t>GRR 1507</t>
  </si>
  <si>
    <t>&lt;0.51</t>
  </si>
  <si>
    <t>&lt;0.033</t>
  </si>
  <si>
    <t>&lt;5.1</t>
  </si>
  <si>
    <t>&lt;2.7</t>
  </si>
  <si>
    <t>&lt;5.5</t>
  </si>
  <si>
    <t>&lt;10</t>
  </si>
  <si>
    <t>&lt;0.036</t>
  </si>
  <si>
    <t>&lt;0.94</t>
  </si>
  <si>
    <t>&lt;0.29</t>
  </si>
  <si>
    <t>&lt;0.68</t>
  </si>
  <si>
    <t>&lt;0.0019</t>
  </si>
  <si>
    <t>GRR 1509</t>
  </si>
  <si>
    <t>&lt;0.34</t>
  </si>
  <si>
    <t>&lt;0.9</t>
  </si>
  <si>
    <t>&lt;3.1</t>
  </si>
  <si>
    <t>&lt;0.021</t>
  </si>
  <si>
    <t>&lt;0.0025</t>
  </si>
  <si>
    <t>&lt;0.0031</t>
  </si>
  <si>
    <t>&lt;0.13</t>
  </si>
  <si>
    <t>&lt;0.074</t>
  </si>
  <si>
    <t>&lt;16</t>
  </si>
  <si>
    <t>&lt;0.84</t>
  </si>
  <si>
    <t>&lt;0.65</t>
  </si>
  <si>
    <t>&lt;19</t>
  </si>
  <si>
    <t>&lt;0.00046</t>
  </si>
  <si>
    <t>&lt;0.09</t>
  </si>
  <si>
    <t>&lt;0.75</t>
  </si>
  <si>
    <t>&lt;0.029</t>
  </si>
  <si>
    <t>&lt;0.0085</t>
  </si>
  <si>
    <t>&lt;0.014</t>
  </si>
  <si>
    <t>&lt;0.0039</t>
  </si>
  <si>
    <t>&lt;0.075</t>
  </si>
  <si>
    <t>&lt;0.08</t>
  </si>
  <si>
    <t>&lt;0.00035</t>
  </si>
  <si>
    <t>Hg</t>
  </si>
  <si>
    <t>&lt;1.9</t>
  </si>
  <si>
    <t>&lt;4.5</t>
  </si>
  <si>
    <t>&lt;0.0023</t>
  </si>
  <si>
    <t>&lt;0.25</t>
  </si>
  <si>
    <t>&lt;0.32</t>
  </si>
  <si>
    <t>&lt;0.00014</t>
  </si>
  <si>
    <t>&lt;0.0013</t>
  </si>
  <si>
    <t>&lt;0.018</t>
  </si>
  <si>
    <t>&lt;0.0001</t>
  </si>
  <si>
    <t>&lt;120</t>
  </si>
  <si>
    <t>&lt;0.032</t>
  </si>
  <si>
    <t>&lt;0.26</t>
  </si>
  <si>
    <t>&lt;0.034</t>
  </si>
  <si>
    <t>&lt;0.016</t>
  </si>
  <si>
    <t>&lt;0.0016</t>
  </si>
  <si>
    <t>&lt;11</t>
  </si>
  <si>
    <t>&lt;0..005</t>
  </si>
  <si>
    <t>&lt;0.0004</t>
  </si>
  <si>
    <t>Navon (1989) - PhD thesis</t>
  </si>
  <si>
    <t>Major and trace elements of HDFs, C isotopes</t>
  </si>
  <si>
    <t>Unknown (likely Congo), Jwaneng, Mbuji-Mayi</t>
  </si>
  <si>
    <t>20-40</t>
  </si>
  <si>
    <t>Weiss et al. - Unpublished</t>
  </si>
  <si>
    <t>FTIR and TEM data of HDFs and mineral inclusions</t>
  </si>
  <si>
    <t>TEM data of HDFs and mineral inclusions</t>
  </si>
  <si>
    <t>Skuzovatov and Zedgenizov (2019) - MinPet</t>
  </si>
  <si>
    <t>Major and trace elements of HDFs, FTIR data</t>
  </si>
  <si>
    <t>Sytykanskaya</t>
  </si>
  <si>
    <t>Major and trace elements of HDFs, FTIR data, C-isoptopes</t>
  </si>
  <si>
    <t>Internationalnaya major elements from Skuzovatov et al. (2011)</t>
  </si>
  <si>
    <t>Neutron irradiation + Stepped Heating (800 °C and 2150 °C)</t>
  </si>
  <si>
    <t>725-1094</t>
  </si>
  <si>
    <t xml:space="preserve"> 1-2</t>
  </si>
  <si>
    <t>1001 -1112</t>
  </si>
  <si>
    <t xml:space="preserve"> 0.14-5</t>
  </si>
  <si>
    <t>660-1155</t>
  </si>
  <si>
    <t>1.5-4.1</t>
  </si>
  <si>
    <t>942-986</t>
  </si>
  <si>
    <t xml:space="preserve"> 4-27</t>
  </si>
  <si>
    <t>1247-1419</t>
  </si>
  <si>
    <t>2.9-6.6</t>
  </si>
  <si>
    <t>709-840</t>
  </si>
  <si>
    <t>0.3-0.8</t>
  </si>
  <si>
    <t>964-1011</t>
  </si>
  <si>
    <t>2.2-2.8</t>
  </si>
  <si>
    <t>1069-1175</t>
  </si>
  <si>
    <t>1.8-2.6</t>
  </si>
  <si>
    <t>1180-1315</t>
  </si>
  <si>
    <t>1035-1216</t>
  </si>
  <si>
    <t>2.1-2.7</t>
  </si>
  <si>
    <t>Major elements of HDFs, FTIR data and C isotopes</t>
  </si>
  <si>
    <t>Conga (Zaire)</t>
  </si>
  <si>
    <t>TEM data of HDFs</t>
  </si>
  <si>
    <t>Noble gases+halogens of HDFs, U+K content</t>
  </si>
  <si>
    <t>FTIR data not reported in table</t>
  </si>
  <si>
    <t>Klein-BenDavid et al. (2004) - Lithos</t>
  </si>
  <si>
    <t>HDF data also reported in Klein-BenDavid et al. (2007); Not used in compilation</t>
  </si>
  <si>
    <t>Major elements of HDFs and mineral inclusions</t>
  </si>
  <si>
    <t>Major elements of HDFs and mineral inclusions, FTIR, C+N isotopes</t>
  </si>
  <si>
    <t xml:space="preserve"> -7.16 - -5.52</t>
  </si>
  <si>
    <t xml:space="preserve"> -5.98 - -4.14</t>
  </si>
  <si>
    <t>1251-1672</t>
  </si>
  <si>
    <t>1202-1842</t>
  </si>
  <si>
    <t>1560-2976</t>
  </si>
  <si>
    <t xml:space="preserve"> -7.27 - -6.15</t>
  </si>
  <si>
    <t>975-1387</t>
  </si>
  <si>
    <t>518-977</t>
  </si>
  <si>
    <t xml:space="preserve"> -5.32 - -4.39</t>
  </si>
  <si>
    <t>1084-1298</t>
  </si>
  <si>
    <t>Lemonosov</t>
  </si>
  <si>
    <t>Data not in table, only in text (therefore only ranges could be reported here)</t>
  </si>
  <si>
    <t>Trace elements of HDFs</t>
  </si>
  <si>
    <t>single inclusion</t>
  </si>
  <si>
    <t>PMP</t>
  </si>
  <si>
    <t>Logvinova et al. (2003) - 8th IKC Extended Abstract</t>
  </si>
  <si>
    <t>Klein-BenDavid et al. (2003) - 8th IKC Extended Abstract</t>
  </si>
  <si>
    <t>Off-line LA-ICP-MS</t>
  </si>
  <si>
    <t>Alluvial Placers</t>
  </si>
  <si>
    <t>MC (gem) diamond</t>
  </si>
  <si>
    <t>Trace elements of MC diamonds</t>
  </si>
  <si>
    <t>Schrauder et al. (1994) - MinMag (Goldschmidt)</t>
  </si>
  <si>
    <t>Schrauder et al. (1998) - Unpublished</t>
  </si>
  <si>
    <t>Used data from unpublished Schrauder manuscript</t>
  </si>
  <si>
    <t>Rounded</t>
  </si>
  <si>
    <t>single analysis</t>
  </si>
  <si>
    <t>SEM (EDS)</t>
  </si>
  <si>
    <t>Major elements of HDFs, FTIR data, C-isotopes</t>
  </si>
  <si>
    <t>Schrauder et al. (1996) - GCA</t>
  </si>
  <si>
    <t>Octa Dia</t>
  </si>
  <si>
    <t>&lt;0.44</t>
  </si>
  <si>
    <t>EPMA and FTIR data reported in Schrauder and Navon (1994)</t>
  </si>
  <si>
    <t>Major elements + noble gases of HDFs, FTIR data</t>
  </si>
  <si>
    <t>Weight (mg)</t>
  </si>
  <si>
    <t>Off-line LA-ICP-MS. Crushing</t>
  </si>
  <si>
    <t>&lt;LOD</t>
  </si>
  <si>
    <t>Trace elements of HDFs and mineral inclusions</t>
  </si>
  <si>
    <t>Major elements in Tomlinson et al (2006)</t>
  </si>
  <si>
    <t>Smith et al. (2012) - Geology</t>
  </si>
  <si>
    <t>Weiss et al. (2011) - EPSL</t>
  </si>
  <si>
    <t>Weiss et al. (2009) - Lithos</t>
  </si>
  <si>
    <t>Weiss et al. (2014) - GCA</t>
  </si>
  <si>
    <t>Weiss et al. (2015) - Nature</t>
  </si>
  <si>
    <t>Major and trace elements of HDFs</t>
  </si>
  <si>
    <t>Noble gases of HDFs</t>
  </si>
  <si>
    <t>Major and trace elements of HDFs and silicates, FTIR data</t>
  </si>
  <si>
    <t>Major and trace elements of HDFs, FTIR data, C isotopes</t>
  </si>
  <si>
    <t>Coated Octahedra</t>
  </si>
  <si>
    <t>DBP330-1 Inner</t>
  </si>
  <si>
    <t>DBP330-2 Inner</t>
  </si>
  <si>
    <t>DBP330-3 Outer</t>
  </si>
  <si>
    <t>DBP330-4 Outer</t>
  </si>
  <si>
    <t>Reference</t>
  </si>
  <si>
    <t>Klein-BenDavid et al. (2007) - GCA, Weiss et al. (2015) - Nature</t>
  </si>
  <si>
    <t>Klein-BenDavid et al. (2007) - GCA, Weiss et al. (2013) - EPSL</t>
  </si>
  <si>
    <t>Navon et al. (1988) - Nature, Navon (1989) - PhD thesis</t>
  </si>
  <si>
    <t>Schrauder and Navon (1994) - EPSL, Schrauder et al. (1996) - GCA</t>
  </si>
  <si>
    <t>Skuzovatov et al. (2011)  - Russ Geol Geophys, Skuzovatov et al. (2016)  - Lithos</t>
  </si>
  <si>
    <t>Tomlinson et al. (2006) - EPSL, Tomlinson et al. (2009) - EPSL</t>
  </si>
  <si>
    <t>Weiss et al. (2009) - Lithos, Weiss et al. (2013) - EPSL</t>
  </si>
  <si>
    <t>Rondeau et al. (2007) - J of Crystal Growth</t>
  </si>
  <si>
    <t>Octahedral with fibrous core</t>
  </si>
  <si>
    <t>HDF Type</t>
  </si>
  <si>
    <t>87Rb/86Sr</t>
  </si>
  <si>
    <t>87Sr/86Sr</t>
  </si>
  <si>
    <t>W14</t>
  </si>
  <si>
    <t>W29</t>
  </si>
  <si>
    <t>W50</t>
  </si>
  <si>
    <t>87Sr/86Sri</t>
  </si>
  <si>
    <t>NA</t>
  </si>
  <si>
    <t>BQL</t>
  </si>
  <si>
    <t>SLF</t>
  </si>
  <si>
    <t>LMCS</t>
  </si>
  <si>
    <t>2SD</t>
  </si>
  <si>
    <t>εSr</t>
  </si>
  <si>
    <t>143Nd/144Nd</t>
  </si>
  <si>
    <t>143Nd/144Ndi</t>
  </si>
  <si>
    <t>εNdi</t>
  </si>
  <si>
    <t>206Pb/204Pb</t>
  </si>
  <si>
    <t>2SE</t>
  </si>
  <si>
    <t>207Pb/204Pb</t>
  </si>
  <si>
    <t>208Pb/204Pb</t>
  </si>
  <si>
    <t>HMC</t>
  </si>
  <si>
    <t>ON-KAN-386 (M45-49)</t>
  </si>
  <si>
    <t>KAN-386 (M55-11)</t>
  </si>
  <si>
    <t>KAN-387 (M45-50)</t>
  </si>
  <si>
    <t>KAN-388 (M45-51)</t>
  </si>
  <si>
    <t>KAN-388 (M51-6)</t>
  </si>
  <si>
    <t>KAN-387 (M55-19)</t>
  </si>
  <si>
    <t>Klein-BenDavid et al. (2014) - EPSL</t>
  </si>
  <si>
    <t>Weiss et al. (2009) - Lithos, Klein-BenDavid et al. (2014) - EPSL</t>
  </si>
  <si>
    <t>PAN-1(M55-12)</t>
  </si>
  <si>
    <t>PAN-1 (M45-37)</t>
  </si>
  <si>
    <t>PAN-2 (M55-13)</t>
  </si>
  <si>
    <t>PAN-2 (M45-38)</t>
  </si>
  <si>
    <t>PAN-4 (M51-14)</t>
  </si>
  <si>
    <t>PAN-4 (M51-14b)</t>
  </si>
  <si>
    <t>PAN-5 (M51-15)</t>
  </si>
  <si>
    <t>PAN-5 (M55-14)</t>
  </si>
  <si>
    <t>PAN-6 (M51-16)</t>
  </si>
  <si>
    <t>PAN-6 (M51-16b)</t>
  </si>
  <si>
    <t>PAN-7 (M51-17)</t>
  </si>
  <si>
    <t>PAN-7 (M55-15)</t>
  </si>
  <si>
    <t>PAN-8 (M55-16)</t>
  </si>
  <si>
    <t>PAN-8 (M45-43)</t>
  </si>
  <si>
    <t>bml</t>
  </si>
  <si>
    <t>− 24.6</t>
  </si>
  <si>
    <t>Klein-BenDavid et al. (2010) - EPSL</t>
  </si>
  <si>
    <t>UNK 405 (M37-1)</t>
  </si>
  <si>
    <t>UNK 405 (M45-26)</t>
  </si>
  <si>
    <t>UNK 405 (43-5)</t>
  </si>
  <si>
    <t>UNK 405 (45-57)</t>
  </si>
  <si>
    <t>UNK 405 (43-6)</t>
  </si>
  <si>
    <t>UNK 406 (M43-7)</t>
  </si>
  <si>
    <t>UNK 406 (45-28)</t>
  </si>
  <si>
    <t>UNK 406 (M43-8)</t>
  </si>
  <si>
    <t>UNK 407 (M43-10)</t>
  </si>
  <si>
    <t>UNK 407 (M45-29)</t>
  </si>
  <si>
    <t>UNK 407 (M43-9)</t>
  </si>
  <si>
    <t>UNK 408 (M37-5)</t>
  </si>
  <si>
    <t>UNK 408 (M45-32)</t>
  </si>
  <si>
    <t>UNK 408 (M43-11)</t>
  </si>
  <si>
    <t>UNK 409 (M43-12)</t>
  </si>
  <si>
    <t>UNK 409 (M45-55)</t>
  </si>
  <si>
    <t>UNK 410 (43-14)</t>
  </si>
  <si>
    <t>UNK 410 (M55-10)</t>
  </si>
  <si>
    <t>UNK 410 (M51-1)</t>
  </si>
  <si>
    <t>CNG-1 (M43-1)</t>
  </si>
  <si>
    <t>CNG-2 (M43-2)</t>
  </si>
  <si>
    <t>CNG-3 (M37-2)</t>
  </si>
  <si>
    <t>CNG-3 (M43-28)</t>
  </si>
  <si>
    <t>CNG-4 (M37-3)</t>
  </si>
  <si>
    <t>CNG-4 (M43-29)</t>
  </si>
  <si>
    <t>CNG-5 (37-4)</t>
  </si>
  <si>
    <t>CNG-5 (M43-30)</t>
  </si>
  <si>
    <t>CNG-8 (45-12)</t>
  </si>
  <si>
    <t>Akagi and Matsuda (1988) - Nature</t>
  </si>
  <si>
    <t>SL3-14d (M51-7)</t>
  </si>
  <si>
    <t>SL4-39 (M51-12)</t>
  </si>
  <si>
    <t>SL0028 (M43-25)</t>
  </si>
  <si>
    <t>SL3-14 (M45-56)</t>
  </si>
  <si>
    <t>SL4-35d (M43-26)</t>
  </si>
  <si>
    <t>SL4-39 (M45-48)</t>
  </si>
  <si>
    <t>L-Mg - silicic</t>
  </si>
  <si>
    <t>Snap Lake</t>
  </si>
  <si>
    <t>Botswana</t>
  </si>
  <si>
    <t>Method (ME)</t>
  </si>
  <si>
    <t>Method (TE)</t>
  </si>
  <si>
    <t>Trace elements of HDFs and  radiogenic isotopes</t>
  </si>
  <si>
    <t>Congo, Kankan, Diavik, Panda, Snap Lake, Udachnaya</t>
  </si>
  <si>
    <t>Major and trace elements of HDFs, radiogenetic isotopes</t>
  </si>
  <si>
    <t>Major elements of HDFs and radiogenetic isotopes</t>
  </si>
  <si>
    <t>Fibrous</t>
  </si>
  <si>
    <t>Combustion</t>
  </si>
  <si>
    <t>Coated diamond</t>
  </si>
  <si>
    <t>Weiss et al. - Unpublished, Weiss et al. (2013) - EPSL</t>
  </si>
  <si>
    <t>HDF Type (RIMG)</t>
  </si>
  <si>
    <t>Saline?</t>
  </si>
  <si>
    <t>Krebs et al. (2019) - Lithos</t>
  </si>
  <si>
    <t>Victor</t>
  </si>
  <si>
    <t>V3-01</t>
  </si>
  <si>
    <t>n/a</t>
  </si>
  <si>
    <t>V3-03</t>
  </si>
  <si>
    <t>V3-05</t>
  </si>
  <si>
    <t>V3-11</t>
  </si>
  <si>
    <t>A578-01</t>
  </si>
  <si>
    <t>A578-02</t>
  </si>
  <si>
    <t>A578-03</t>
  </si>
  <si>
    <t>A578-04</t>
  </si>
  <si>
    <t>A578-03-2</t>
  </si>
  <si>
    <t>V3-03-2</t>
  </si>
  <si>
    <t>V3-11-2</t>
  </si>
  <si>
    <t>V2-01</t>
  </si>
  <si>
    <t>V2-02</t>
  </si>
  <si>
    <t>V2-03</t>
  </si>
  <si>
    <t>V2-04</t>
  </si>
  <si>
    <t>V2-06</t>
  </si>
  <si>
    <t>V2-07</t>
  </si>
  <si>
    <t>V2-09</t>
  </si>
  <si>
    <t>V2-10</t>
  </si>
  <si>
    <t>Newlands</t>
  </si>
  <si>
    <t>33 New 01</t>
  </si>
  <si>
    <t>34 New 02</t>
  </si>
  <si>
    <t>35 new 02</t>
  </si>
  <si>
    <t>30 new 03</t>
  </si>
  <si>
    <t>31 f866 1</t>
  </si>
  <si>
    <t>32 f866 2</t>
  </si>
  <si>
    <t>33 jjg 1</t>
  </si>
  <si>
    <t>34 jjg 2</t>
  </si>
  <si>
    <t>Off-line LA-ICP-MS, column chemistry, TIMS</t>
  </si>
  <si>
    <t>silicate (perid)</t>
  </si>
  <si>
    <t>sulphide (perid)</t>
  </si>
  <si>
    <t>lower clarity gem diamond</t>
  </si>
  <si>
    <t>ultra-pure gem diamond</t>
  </si>
  <si>
    <t>Victor, Newlands, Finsch</t>
  </si>
  <si>
    <t>Trace elements of Gem diamond</t>
  </si>
  <si>
    <t>On-line LA-ICP-MS, column chemistry, TIMS</t>
  </si>
  <si>
    <t>Klein-BenDavid et al. (2007) - GCA, Weiss et al. (2013) - EPSL, Klein-BenDavid et al. (2014) - EPSL</t>
  </si>
  <si>
    <t>Klein-BenDavid et al. (2009) - Lithos, Klein-BenDavid et al. (2014) - EPSL</t>
  </si>
  <si>
    <t>n.d</t>
  </si>
  <si>
    <t>&lt;0.00005</t>
  </si>
  <si>
    <t>Klein-BenDavid et al. (2009) - Lithos, Weiss et al. (2011) - EPSL</t>
  </si>
  <si>
    <t>&lt;0.249</t>
  </si>
  <si>
    <t>&lt;0.670</t>
  </si>
  <si>
    <t>&lt;0.830</t>
  </si>
  <si>
    <t>&lt;0.200</t>
  </si>
  <si>
    <t>&lt;0.105</t>
  </si>
  <si>
    <t>&lt;0.645</t>
  </si>
  <si>
    <t>&lt;0.740</t>
  </si>
  <si>
    <t>&lt;0.173</t>
  </si>
  <si>
    <t>&lt;0.285</t>
  </si>
  <si>
    <t>&lt;0.390</t>
  </si>
  <si>
    <t>&lt;0.262</t>
  </si>
  <si>
    <t>&lt;0.540</t>
  </si>
  <si>
    <t>&lt;0.936</t>
  </si>
  <si>
    <t>&lt;0.583</t>
  </si>
  <si>
    <t>&lt;0.0056</t>
  </si>
  <si>
    <t>&lt;0.049</t>
  </si>
  <si>
    <t>&lt;0.00001</t>
  </si>
  <si>
    <t>Total (new)</t>
  </si>
  <si>
    <t>SiO2 new</t>
  </si>
  <si>
    <t>Al2O3 new</t>
  </si>
  <si>
    <t>FeO new</t>
  </si>
  <si>
    <t>CaO new</t>
  </si>
  <si>
    <t>BaO new</t>
  </si>
  <si>
    <t>Na2O new</t>
  </si>
  <si>
    <t>K2O new</t>
  </si>
  <si>
    <t>P2O5 new</t>
  </si>
  <si>
    <t>Total final</t>
  </si>
  <si>
    <t>PM</t>
  </si>
  <si>
    <t>Chondrite</t>
  </si>
  <si>
    <t>McDonough &amp; Sun 1995</t>
  </si>
  <si>
    <t>Bibby (1979) - GCA</t>
  </si>
  <si>
    <t>Finsch, Premier, Unknown</t>
  </si>
  <si>
    <t>Trace elements of HDFs and Gem diamond</t>
  </si>
  <si>
    <t>deep cracks</t>
  </si>
  <si>
    <t>diamond 6 - 3</t>
  </si>
  <si>
    <t>diamond 6 - 4</t>
  </si>
  <si>
    <t>diamond 6 - 5</t>
  </si>
  <si>
    <t>Klein-BenDavid et al. - Unpublished</t>
  </si>
  <si>
    <t>Klein-BenDavid et al. - Unpublished, Klein-BenDavid et al. (2014) - EPSL</t>
  </si>
  <si>
    <t>SLC147</t>
  </si>
  <si>
    <t>UD-02-163</t>
  </si>
  <si>
    <t>center</t>
  </si>
  <si>
    <t>&lt;DL</t>
  </si>
  <si>
    <t>interim</t>
  </si>
  <si>
    <t>UD-02-160</t>
  </si>
  <si>
    <t>N/A</t>
  </si>
  <si>
    <t>UD-02-107</t>
  </si>
  <si>
    <t>UD-02-173</t>
  </si>
  <si>
    <t>UD-02-168</t>
  </si>
  <si>
    <t>UD-02-165</t>
  </si>
  <si>
    <t>UD-02-172</t>
  </si>
  <si>
    <t>UD-02-308</t>
  </si>
  <si>
    <t>UD-02-164</t>
  </si>
  <si>
    <t>UD-02-179</t>
  </si>
  <si>
    <t>UD-03-1</t>
  </si>
  <si>
    <t>UD-02-305</t>
  </si>
  <si>
    <t>UD-III-4</t>
  </si>
  <si>
    <t>UD-02-307</t>
  </si>
  <si>
    <t>UD-02-167</t>
  </si>
  <si>
    <t>UD-III-1</t>
  </si>
  <si>
    <t>UD-02-166</t>
  </si>
  <si>
    <t>UD-02-154</t>
  </si>
  <si>
    <t>UDS-2-201</t>
  </si>
  <si>
    <t>UD-III-5</t>
  </si>
  <si>
    <t>UD-02-161</t>
  </si>
  <si>
    <t>UD-02-158</t>
  </si>
  <si>
    <t>UD-III-2</t>
  </si>
  <si>
    <t>UD-02-208</t>
  </si>
  <si>
    <t>Zedgenizov et al. (2007) - CG</t>
  </si>
  <si>
    <t>Fibrous cuboid</t>
  </si>
  <si>
    <t>Kalahari Craton</t>
  </si>
  <si>
    <t>Kalahari craton</t>
  </si>
  <si>
    <t>Tomlinson et al. (2006) - EPSL, Klein-BenDavid et al. (2014) - EPSL</t>
  </si>
  <si>
    <t>DVK-269 (M55-17)</t>
  </si>
  <si>
    <t>DVK-269 (51-2)</t>
  </si>
  <si>
    <t>DVK-272 (M55-52)</t>
  </si>
  <si>
    <t>DVK-275 (M45-52)</t>
  </si>
  <si>
    <t>DVK-275 (M51-3)</t>
  </si>
  <si>
    <t>DVK-275 (M55-2)</t>
  </si>
  <si>
    <t>DVK-276 (M45-53)</t>
  </si>
  <si>
    <t>DVK-276 (M55-3)</t>
  </si>
  <si>
    <t>DVK-281 (M45-2)</t>
  </si>
  <si>
    <t>DVK-281 (M55-4)</t>
  </si>
  <si>
    <t>DVK-282 (M45-3)</t>
  </si>
  <si>
    <t>DVK-282 (M55-5)</t>
  </si>
  <si>
    <t>DVK-282 (M45-4)</t>
  </si>
  <si>
    <t>DVK-283 (M51-4)</t>
  </si>
  <si>
    <t>DVK-283 (M55-6)</t>
  </si>
  <si>
    <t>DVK-286 (M45-6)</t>
  </si>
  <si>
    <t>DVK-286 (M45-7)</t>
  </si>
  <si>
    <t>DVK-286 (M55-7)</t>
  </si>
  <si>
    <t>DVK-288 (M51-5)</t>
  </si>
  <si>
    <t>DVK-288 (M55-18)</t>
  </si>
  <si>
    <t>UDC-241 (M45-11)</t>
  </si>
  <si>
    <t>UDC-241 (M55-8)</t>
  </si>
  <si>
    <t>UDC-252 (M45-54)</t>
  </si>
  <si>
    <t>UDC-252 (M51-11)</t>
  </si>
  <si>
    <t>UDC-252 (M55-9)</t>
  </si>
  <si>
    <t>UDC-260 (M45-9)</t>
  </si>
  <si>
    <t>UDC-260 (M51-8)</t>
  </si>
  <si>
    <t>Klein-BenDavid et al. (2007) - GCA, Klein-BenDavid et al. (2014) - EPSL</t>
  </si>
  <si>
    <t>off-line LA-ICP-MS, column chemistry, TIMS</t>
  </si>
  <si>
    <t>LA-ICP-MS, Off-line LA-ICP-MS, column chemistry, TIMS</t>
  </si>
  <si>
    <t>Core-coat Boundary (Sil Ba rich)</t>
  </si>
  <si>
    <t>Core-coat Boundary (Sil KCl rich)</t>
  </si>
  <si>
    <t>Silicic (KCl-rich)</t>
  </si>
  <si>
    <t>Silicic (Ba-rich)</t>
  </si>
  <si>
    <t>Timmerman et al. (2019) - CG, Klein-BenDavid et al. (2014) - EPSL</t>
  </si>
  <si>
    <t>Botswana?</t>
  </si>
  <si>
    <t>Normalisation (PM)</t>
  </si>
  <si>
    <t>DVK-272 (M45-58)</t>
  </si>
  <si>
    <t>Ba/U</t>
  </si>
  <si>
    <t>Th/Nb</t>
  </si>
  <si>
    <t>Th/U</t>
  </si>
  <si>
    <t>La/Nb</t>
  </si>
  <si>
    <t>La/Ta</t>
  </si>
  <si>
    <t>Rb/Cs</t>
  </si>
  <si>
    <t>Ta/Nb</t>
  </si>
  <si>
    <t>Zr/Sm</t>
  </si>
  <si>
    <t>Zr/Hf</t>
  </si>
  <si>
    <t>Sr/Pr</t>
  </si>
  <si>
    <t>Eu/Sm</t>
  </si>
  <si>
    <t>Cs/Rb</t>
  </si>
  <si>
    <t>Ba/Th</t>
  </si>
  <si>
    <t>Ba/Rb</t>
  </si>
  <si>
    <t>Ba/K</t>
  </si>
  <si>
    <t>Ba/Nb</t>
  </si>
  <si>
    <t>La/Pr</t>
  </si>
  <si>
    <t>La/Sm</t>
  </si>
  <si>
    <t>La/Dy</t>
  </si>
  <si>
    <t>La/Yb</t>
  </si>
  <si>
    <t>Zr/Ti</t>
  </si>
  <si>
    <t>Eu*</t>
  </si>
  <si>
    <t>Eu*orig</t>
  </si>
  <si>
    <t>Sr*</t>
  </si>
  <si>
    <t>MgO new</t>
  </si>
  <si>
    <t>TiO2 new</t>
  </si>
  <si>
    <t>Th/Rb</t>
  </si>
  <si>
    <t>Ratios (PM-norm)</t>
  </si>
  <si>
    <t>Nb/La</t>
  </si>
  <si>
    <t>Nb/U</t>
  </si>
  <si>
    <t>K/U</t>
  </si>
  <si>
    <t>−3.39</t>
  </si>
  <si>
    <t>15-21</t>
  </si>
  <si>
    <t>Diamond analyses that were averaged</t>
  </si>
  <si>
    <t>Klein-BenDavid et al. (2009)</t>
  </si>
  <si>
    <t xml:space="preserve">HDF with no major element composition </t>
  </si>
  <si>
    <t>Unknown locality</t>
  </si>
  <si>
    <t>JWN115b</t>
  </si>
  <si>
    <t>JWN87b</t>
  </si>
  <si>
    <t>JWN115a</t>
  </si>
  <si>
    <t>JWN87a</t>
  </si>
  <si>
    <t>−6.69</t>
  </si>
  <si>
    <t>−4.41</t>
  </si>
  <si>
    <t>−6.94</t>
  </si>
  <si>
    <t>CNG-4</t>
  </si>
  <si>
    <t>PAN-5</t>
  </si>
  <si>
    <t>PAN-8</t>
  </si>
  <si>
    <t>PAN-7</t>
  </si>
  <si>
    <t>PAN-6</t>
  </si>
  <si>
    <t>PAN-4</t>
  </si>
  <si>
    <t>PAN-2</t>
  </si>
  <si>
    <t>UNK 405</t>
  </si>
  <si>
    <t>UNK 406</t>
  </si>
  <si>
    <t>UNK 407</t>
  </si>
  <si>
    <t>UNK 408</t>
  </si>
  <si>
    <t>UNK 409</t>
  </si>
  <si>
    <t>UNK 410</t>
  </si>
  <si>
    <t>Major differences between trace element analyses</t>
  </si>
  <si>
    <t>Too few analysis (n&lt;10)</t>
  </si>
  <si>
    <t>Klein-BenDavid et al. (2009) - Lithos, Weiss et al. (2011) - EPSL, Klein-BenDavid et al. (2014) - EPSL</t>
  </si>
  <si>
    <t>SL4-39</t>
  </si>
  <si>
    <t>LAM-ICPMS</t>
  </si>
  <si>
    <t xml:space="preserve">Diamonds with HDF+Mineral microinclusions (mix/minerals only) </t>
  </si>
  <si>
    <t>−5.09</t>
  </si>
  <si>
    <t>Unusual microinclusion (HDF?) composition</t>
  </si>
  <si>
    <t>623 - 742</t>
  </si>
  <si>
    <t>52 - 547</t>
  </si>
  <si>
    <t xml:space="preserve"> 11 - 22</t>
  </si>
  <si>
    <t>43 - 104</t>
  </si>
  <si>
    <t>17 - 88</t>
  </si>
  <si>
    <t>24 - 86</t>
  </si>
  <si>
    <t>39 - 149</t>
  </si>
  <si>
    <t>159 - 748</t>
  </si>
  <si>
    <t>93 - 263</t>
  </si>
  <si>
    <t>Trace elements normalised to Fe from EDS, C isotopes are averages of the range for the coat</t>
  </si>
  <si>
    <t>Major and trace elements of HDFs, FTIR data and C isotopes</t>
  </si>
  <si>
    <t>Trace elements of HDFs, C and radiogenic isotopes</t>
  </si>
  <si>
    <t>99 - 273</t>
  </si>
  <si>
    <t>105 - 755</t>
  </si>
  <si>
    <t>1012 - 1066</t>
  </si>
  <si>
    <t>951 - 1334</t>
  </si>
  <si>
    <t>0 - 19</t>
  </si>
  <si>
    <t>1.3 - 1.9</t>
  </si>
  <si>
    <t>K-normalization</t>
  </si>
  <si>
    <t>Normalisation (K+PM)</t>
  </si>
  <si>
    <t>Schrauder and Navon (1994) - EPSL, Weiss et al (2013) - EPSL</t>
  </si>
  <si>
    <t>HDF Type (calculated)</t>
  </si>
  <si>
    <t>HDF Type (from literature)</t>
  </si>
  <si>
    <t>Total (measured)</t>
  </si>
  <si>
    <r>
      <t>SiO</t>
    </r>
    <r>
      <rPr>
        <b/>
        <vertAlign val="subscript"/>
        <sz val="12"/>
        <rFont val="Calibri"/>
        <family val="2"/>
        <scheme val="minor"/>
      </rPr>
      <t>2</t>
    </r>
    <r>
      <rPr>
        <b/>
        <sz val="12"/>
        <rFont val="Calibri"/>
        <family val="2"/>
        <scheme val="minor"/>
      </rPr>
      <t xml:space="preserve"> (re-normalized)</t>
    </r>
  </si>
  <si>
    <r>
      <t>TiO</t>
    </r>
    <r>
      <rPr>
        <b/>
        <vertAlign val="subscript"/>
        <sz val="12"/>
        <rFont val="Calibri"/>
        <family val="2"/>
        <scheme val="minor"/>
      </rPr>
      <t>2</t>
    </r>
    <r>
      <rPr>
        <b/>
        <sz val="12"/>
        <rFont val="Calibri"/>
        <family val="2"/>
        <scheme val="minor"/>
      </rPr>
      <t xml:space="preserve"> (re-normalized)</t>
    </r>
  </si>
  <si>
    <r>
      <t>Al</t>
    </r>
    <r>
      <rPr>
        <b/>
        <vertAlign val="subscript"/>
        <sz val="12"/>
        <rFont val="Calibri"/>
        <family val="2"/>
        <scheme val="minor"/>
      </rPr>
      <t>2</t>
    </r>
    <r>
      <rPr>
        <b/>
        <sz val="12"/>
        <rFont val="Calibri"/>
        <family val="2"/>
        <scheme val="minor"/>
      </rPr>
      <t>O</t>
    </r>
    <r>
      <rPr>
        <b/>
        <vertAlign val="subscript"/>
        <sz val="12"/>
        <rFont val="Calibri"/>
        <family val="2"/>
        <scheme val="minor"/>
      </rPr>
      <t>3</t>
    </r>
    <r>
      <rPr>
        <b/>
        <sz val="12"/>
        <rFont val="Calibri"/>
        <family val="2"/>
        <scheme val="minor"/>
      </rPr>
      <t xml:space="preserve"> (re-normalized)</t>
    </r>
  </si>
  <si>
    <t>FeO (re-normalized)</t>
  </si>
  <si>
    <t>CaO (re-normalized)</t>
  </si>
  <si>
    <t>BaO (re-normalized)</t>
  </si>
  <si>
    <r>
      <t>Na</t>
    </r>
    <r>
      <rPr>
        <b/>
        <vertAlign val="subscript"/>
        <sz val="12"/>
        <rFont val="Calibri"/>
        <family val="2"/>
        <scheme val="minor"/>
      </rPr>
      <t>2</t>
    </r>
    <r>
      <rPr>
        <b/>
        <sz val="12"/>
        <rFont val="Calibri"/>
        <family val="2"/>
        <scheme val="minor"/>
      </rPr>
      <t>O (re-normalized)</t>
    </r>
  </si>
  <si>
    <r>
      <t>K</t>
    </r>
    <r>
      <rPr>
        <b/>
        <vertAlign val="subscript"/>
        <sz val="12"/>
        <rFont val="Calibri"/>
        <family val="2"/>
        <scheme val="minor"/>
      </rPr>
      <t>2</t>
    </r>
    <r>
      <rPr>
        <b/>
        <sz val="12"/>
        <rFont val="Calibri"/>
        <family val="2"/>
        <scheme val="minor"/>
      </rPr>
      <t>O (re-normalized)</t>
    </r>
  </si>
  <si>
    <r>
      <t>P</t>
    </r>
    <r>
      <rPr>
        <b/>
        <vertAlign val="subscript"/>
        <sz val="12"/>
        <rFont val="Calibri"/>
        <family val="2"/>
        <scheme val="minor"/>
      </rPr>
      <t>2</t>
    </r>
    <r>
      <rPr>
        <b/>
        <sz val="12"/>
        <rFont val="Calibri"/>
        <family val="2"/>
        <scheme val="minor"/>
      </rPr>
      <t>O</t>
    </r>
    <r>
      <rPr>
        <b/>
        <vertAlign val="subscript"/>
        <sz val="12"/>
        <rFont val="Calibri"/>
        <family val="2"/>
        <scheme val="minor"/>
      </rPr>
      <t>5</t>
    </r>
    <r>
      <rPr>
        <b/>
        <sz val="12"/>
        <rFont val="Calibri"/>
        <family val="2"/>
        <scheme val="minor"/>
      </rPr>
      <t xml:space="preserve"> (re-normalized)</t>
    </r>
  </si>
  <si>
    <t>Cl (re-normalized)</t>
  </si>
  <si>
    <t>Total (re-normalized)</t>
  </si>
  <si>
    <t>SiO2 (re-normalized)</t>
  </si>
  <si>
    <t>TiO2 (re-normalized)</t>
  </si>
  <si>
    <t>Al2O3 (re-normalized)</t>
  </si>
  <si>
    <t>Na2O (re-normalized)</t>
  </si>
  <si>
    <t>K2O (re-normalized)</t>
  </si>
  <si>
    <t>P2O5 (re-normalized)</t>
  </si>
  <si>
    <r>
      <t>SiO</t>
    </r>
    <r>
      <rPr>
        <b/>
        <vertAlign val="subscript"/>
        <sz val="12"/>
        <rFont val="Calibri"/>
        <family val="2"/>
        <scheme val="minor"/>
      </rPr>
      <t>2</t>
    </r>
  </si>
  <si>
    <r>
      <t>TiO</t>
    </r>
    <r>
      <rPr>
        <b/>
        <vertAlign val="subscript"/>
        <sz val="12"/>
        <rFont val="Calibri"/>
        <family val="2"/>
        <scheme val="minor"/>
      </rPr>
      <t>2</t>
    </r>
  </si>
  <si>
    <r>
      <t>Cr</t>
    </r>
    <r>
      <rPr>
        <b/>
        <vertAlign val="subscript"/>
        <sz val="12"/>
        <rFont val="Calibri"/>
        <family val="2"/>
        <scheme val="minor"/>
      </rPr>
      <t>2</t>
    </r>
    <r>
      <rPr>
        <b/>
        <sz val="12"/>
        <rFont val="Calibri"/>
        <family val="2"/>
        <scheme val="minor"/>
      </rPr>
      <t>O</t>
    </r>
    <r>
      <rPr>
        <b/>
        <vertAlign val="subscript"/>
        <sz val="12"/>
        <rFont val="Calibri"/>
        <family val="2"/>
        <scheme val="minor"/>
      </rPr>
      <t>3</t>
    </r>
  </si>
  <si>
    <r>
      <t>Al</t>
    </r>
    <r>
      <rPr>
        <b/>
        <vertAlign val="subscript"/>
        <sz val="12"/>
        <rFont val="Calibri"/>
        <family val="2"/>
        <scheme val="minor"/>
      </rPr>
      <t>2</t>
    </r>
    <r>
      <rPr>
        <b/>
        <sz val="12"/>
        <rFont val="Calibri"/>
        <family val="2"/>
        <scheme val="minor"/>
      </rPr>
      <t>O</t>
    </r>
    <r>
      <rPr>
        <b/>
        <vertAlign val="subscript"/>
        <sz val="12"/>
        <rFont val="Calibri"/>
        <family val="2"/>
        <scheme val="minor"/>
      </rPr>
      <t>3</t>
    </r>
  </si>
  <si>
    <r>
      <t>Na</t>
    </r>
    <r>
      <rPr>
        <b/>
        <vertAlign val="subscript"/>
        <sz val="12"/>
        <rFont val="Calibri"/>
        <family val="2"/>
        <scheme val="minor"/>
      </rPr>
      <t>2</t>
    </r>
    <r>
      <rPr>
        <b/>
        <sz val="12"/>
        <rFont val="Calibri"/>
        <family val="2"/>
        <scheme val="minor"/>
      </rPr>
      <t>O</t>
    </r>
  </si>
  <si>
    <r>
      <t>K</t>
    </r>
    <r>
      <rPr>
        <b/>
        <vertAlign val="subscript"/>
        <sz val="12"/>
        <rFont val="Calibri"/>
        <family val="2"/>
        <scheme val="minor"/>
      </rPr>
      <t>2</t>
    </r>
    <r>
      <rPr>
        <b/>
        <sz val="12"/>
        <rFont val="Calibri"/>
        <family val="2"/>
        <scheme val="minor"/>
      </rPr>
      <t>O</t>
    </r>
  </si>
  <si>
    <r>
      <t>P</t>
    </r>
    <r>
      <rPr>
        <b/>
        <vertAlign val="subscript"/>
        <sz val="12"/>
        <rFont val="Calibri"/>
        <family val="2"/>
        <scheme val="minor"/>
      </rPr>
      <t>2</t>
    </r>
    <r>
      <rPr>
        <b/>
        <sz val="12"/>
        <rFont val="Calibri"/>
        <family val="2"/>
        <scheme val="minor"/>
      </rPr>
      <t>O</t>
    </r>
    <r>
      <rPr>
        <b/>
        <vertAlign val="subscript"/>
        <sz val="12"/>
        <rFont val="Calibri"/>
        <family val="2"/>
        <scheme val="minor"/>
      </rPr>
      <t>5</t>
    </r>
  </si>
  <si>
    <r>
      <t>SO</t>
    </r>
    <r>
      <rPr>
        <b/>
        <vertAlign val="subscript"/>
        <sz val="12"/>
        <rFont val="Calibri"/>
        <family val="2"/>
        <scheme val="minor"/>
      </rPr>
      <t>3</t>
    </r>
  </si>
  <si>
    <r>
      <t>CO</t>
    </r>
    <r>
      <rPr>
        <b/>
        <vertAlign val="subscript"/>
        <sz val="12"/>
        <rFont val="Calibri"/>
        <family val="2"/>
        <scheme val="minor"/>
      </rPr>
      <t>2</t>
    </r>
    <r>
      <rPr>
        <b/>
        <sz val="12"/>
        <rFont val="Calibri"/>
        <family val="2"/>
        <scheme val="minor"/>
      </rPr>
      <t xml:space="preserve"> (ppm)</t>
    </r>
  </si>
  <si>
    <r>
      <t>H</t>
    </r>
    <r>
      <rPr>
        <b/>
        <vertAlign val="subscript"/>
        <sz val="12"/>
        <rFont val="Calibri"/>
        <family val="2"/>
        <scheme val="minor"/>
      </rPr>
      <t>2</t>
    </r>
    <r>
      <rPr>
        <b/>
        <sz val="12"/>
        <rFont val="Calibri"/>
        <family val="2"/>
        <scheme val="minor"/>
      </rPr>
      <t>O (ppm)</t>
    </r>
  </si>
  <si>
    <r>
      <t>H</t>
    </r>
    <r>
      <rPr>
        <b/>
        <vertAlign val="subscript"/>
        <sz val="12"/>
        <rFont val="Calibri"/>
        <family val="2"/>
        <scheme val="minor"/>
      </rPr>
      <t>2</t>
    </r>
    <r>
      <rPr>
        <b/>
        <sz val="12"/>
        <rFont val="Calibri"/>
        <family val="2"/>
        <scheme val="minor"/>
      </rPr>
      <t>O/(H</t>
    </r>
    <r>
      <rPr>
        <b/>
        <vertAlign val="subscript"/>
        <sz val="12"/>
        <rFont val="Calibri"/>
        <family val="2"/>
        <scheme val="minor"/>
      </rPr>
      <t>2</t>
    </r>
    <r>
      <rPr>
        <b/>
        <sz val="12"/>
        <rFont val="Calibri"/>
        <family val="2"/>
        <scheme val="minor"/>
      </rPr>
      <t>O+CO</t>
    </r>
    <r>
      <rPr>
        <b/>
        <vertAlign val="subscript"/>
        <sz val="12"/>
        <rFont val="Calibri"/>
        <family val="2"/>
        <scheme val="minor"/>
      </rPr>
      <t>2</t>
    </r>
    <r>
      <rPr>
        <b/>
        <sz val="12"/>
        <rFont val="Calibri"/>
        <family val="2"/>
        <scheme val="minor"/>
      </rPr>
      <t>)</t>
    </r>
  </si>
  <si>
    <r>
      <t>δ</t>
    </r>
    <r>
      <rPr>
        <b/>
        <vertAlign val="superscript"/>
        <sz val="12"/>
        <rFont val="Calibri"/>
        <family val="2"/>
        <scheme val="minor"/>
      </rPr>
      <t>13</t>
    </r>
    <r>
      <rPr>
        <b/>
        <sz val="12"/>
        <rFont val="Calibri"/>
        <family val="2"/>
        <scheme val="minor"/>
      </rPr>
      <t>C (‰)</t>
    </r>
  </si>
  <si>
    <r>
      <t>δ</t>
    </r>
    <r>
      <rPr>
        <b/>
        <vertAlign val="superscript"/>
        <sz val="12"/>
        <rFont val="Calibri"/>
        <family val="2"/>
        <scheme val="minor"/>
      </rPr>
      <t>15</t>
    </r>
    <r>
      <rPr>
        <b/>
        <sz val="12"/>
        <rFont val="Calibri"/>
        <family val="2"/>
        <scheme val="minor"/>
      </rPr>
      <t>N (‰)</t>
    </r>
  </si>
  <si>
    <r>
      <t>H (cm</t>
    </r>
    <r>
      <rPr>
        <b/>
        <vertAlign val="superscript"/>
        <sz val="12"/>
        <rFont val="Calibri"/>
        <family val="2"/>
        <scheme val="minor"/>
      </rPr>
      <t>-1</t>
    </r>
    <r>
      <rPr>
        <b/>
        <sz val="12"/>
        <rFont val="Calibri"/>
        <family val="2"/>
        <scheme val="minor"/>
      </rPr>
      <t>)</t>
    </r>
  </si>
  <si>
    <t>weight (mg)</t>
  </si>
  <si>
    <r>
      <rPr>
        <b/>
        <vertAlign val="superscript"/>
        <sz val="12"/>
        <rFont val="Calibri"/>
        <family val="2"/>
        <scheme val="minor"/>
      </rPr>
      <t>87</t>
    </r>
    <r>
      <rPr>
        <b/>
        <sz val="12"/>
        <rFont val="Calibri"/>
        <family val="2"/>
        <scheme val="minor"/>
      </rPr>
      <t>Rb/</t>
    </r>
    <r>
      <rPr>
        <b/>
        <vertAlign val="superscript"/>
        <sz val="12"/>
        <rFont val="Calibri"/>
        <family val="2"/>
        <scheme val="minor"/>
      </rPr>
      <t>86</t>
    </r>
    <r>
      <rPr>
        <b/>
        <sz val="12"/>
        <rFont val="Calibri"/>
        <family val="2"/>
        <scheme val="minor"/>
      </rPr>
      <t>Sr</t>
    </r>
  </si>
  <si>
    <r>
      <rPr>
        <b/>
        <vertAlign val="superscript"/>
        <sz val="12"/>
        <rFont val="Calibri"/>
        <family val="2"/>
        <scheme val="minor"/>
      </rPr>
      <t>87</t>
    </r>
    <r>
      <rPr>
        <b/>
        <sz val="12"/>
        <rFont val="Calibri"/>
        <family val="2"/>
        <scheme val="minor"/>
      </rPr>
      <t>Sr/</t>
    </r>
    <r>
      <rPr>
        <b/>
        <vertAlign val="superscript"/>
        <sz val="12"/>
        <rFont val="Calibri"/>
        <family val="2"/>
        <scheme val="minor"/>
      </rPr>
      <t>86</t>
    </r>
    <r>
      <rPr>
        <b/>
        <sz val="12"/>
        <rFont val="Calibri"/>
        <family val="2"/>
        <scheme val="minor"/>
      </rPr>
      <t>Sr</t>
    </r>
  </si>
  <si>
    <r>
      <rPr>
        <b/>
        <vertAlign val="superscript"/>
        <sz val="12"/>
        <rFont val="Calibri"/>
        <family val="2"/>
        <scheme val="minor"/>
      </rPr>
      <t>87</t>
    </r>
    <r>
      <rPr>
        <b/>
        <sz val="12"/>
        <rFont val="Calibri"/>
        <family val="2"/>
        <scheme val="minor"/>
      </rPr>
      <t>Sr/</t>
    </r>
    <r>
      <rPr>
        <b/>
        <vertAlign val="superscript"/>
        <sz val="12"/>
        <rFont val="Calibri"/>
        <family val="2"/>
        <scheme val="minor"/>
      </rPr>
      <t>86</t>
    </r>
    <r>
      <rPr>
        <b/>
        <sz val="12"/>
        <rFont val="Calibri"/>
        <family val="2"/>
        <scheme val="minor"/>
      </rPr>
      <t>Sr</t>
    </r>
    <r>
      <rPr>
        <b/>
        <vertAlign val="subscript"/>
        <sz val="12"/>
        <rFont val="Calibri"/>
        <family val="2"/>
        <scheme val="minor"/>
      </rPr>
      <t>i</t>
    </r>
  </si>
  <si>
    <r>
      <rPr>
        <b/>
        <vertAlign val="superscript"/>
        <sz val="12"/>
        <rFont val="Calibri"/>
        <family val="2"/>
        <scheme val="minor"/>
      </rPr>
      <t>143</t>
    </r>
    <r>
      <rPr>
        <b/>
        <sz val="12"/>
        <rFont val="Calibri"/>
        <family val="2"/>
        <scheme val="minor"/>
      </rPr>
      <t>Nd/</t>
    </r>
    <r>
      <rPr>
        <b/>
        <vertAlign val="superscript"/>
        <sz val="12"/>
        <rFont val="Calibri"/>
        <family val="2"/>
        <scheme val="minor"/>
      </rPr>
      <t>144</t>
    </r>
    <r>
      <rPr>
        <b/>
        <sz val="12"/>
        <rFont val="Calibri"/>
        <family val="2"/>
        <scheme val="minor"/>
      </rPr>
      <t>Nd</t>
    </r>
  </si>
  <si>
    <r>
      <rPr>
        <b/>
        <vertAlign val="superscript"/>
        <sz val="12"/>
        <rFont val="Calibri"/>
        <family val="2"/>
        <scheme val="minor"/>
      </rPr>
      <t>143</t>
    </r>
    <r>
      <rPr>
        <b/>
        <sz val="12"/>
        <rFont val="Calibri"/>
        <family val="2"/>
        <scheme val="minor"/>
      </rPr>
      <t>Nd/</t>
    </r>
    <r>
      <rPr>
        <b/>
        <vertAlign val="superscript"/>
        <sz val="12"/>
        <rFont val="Calibri"/>
        <family val="2"/>
        <scheme val="minor"/>
      </rPr>
      <t>144</t>
    </r>
    <r>
      <rPr>
        <b/>
        <sz val="12"/>
        <rFont val="Calibri"/>
        <family val="2"/>
        <scheme val="minor"/>
      </rPr>
      <t>Nd</t>
    </r>
    <r>
      <rPr>
        <b/>
        <vertAlign val="subscript"/>
        <sz val="12"/>
        <rFont val="Calibri"/>
        <family val="2"/>
        <scheme val="minor"/>
      </rPr>
      <t>i</t>
    </r>
  </si>
  <si>
    <r>
      <t>εNd</t>
    </r>
    <r>
      <rPr>
        <b/>
        <vertAlign val="subscript"/>
        <sz val="12"/>
        <rFont val="Calibri"/>
        <family val="2"/>
        <scheme val="minor"/>
      </rPr>
      <t>i</t>
    </r>
  </si>
  <si>
    <r>
      <rPr>
        <b/>
        <vertAlign val="superscript"/>
        <sz val="12"/>
        <rFont val="Calibri"/>
        <family val="2"/>
        <scheme val="minor"/>
      </rPr>
      <t>206</t>
    </r>
    <r>
      <rPr>
        <b/>
        <sz val="12"/>
        <rFont val="Calibri"/>
        <family val="2"/>
        <scheme val="minor"/>
      </rPr>
      <t>Pb/</t>
    </r>
    <r>
      <rPr>
        <b/>
        <vertAlign val="superscript"/>
        <sz val="12"/>
        <rFont val="Calibri"/>
        <family val="2"/>
        <scheme val="minor"/>
      </rPr>
      <t>204</t>
    </r>
    <r>
      <rPr>
        <b/>
        <sz val="12"/>
        <rFont val="Calibri"/>
        <family val="2"/>
        <scheme val="minor"/>
      </rPr>
      <t>Pb</t>
    </r>
  </si>
  <si>
    <r>
      <rPr>
        <b/>
        <vertAlign val="superscript"/>
        <sz val="12"/>
        <rFont val="Calibri"/>
        <family val="2"/>
        <scheme val="minor"/>
      </rPr>
      <t>207</t>
    </r>
    <r>
      <rPr>
        <b/>
        <sz val="12"/>
        <rFont val="Calibri"/>
        <family val="2"/>
        <scheme val="minor"/>
      </rPr>
      <t>Pb/</t>
    </r>
    <r>
      <rPr>
        <b/>
        <vertAlign val="superscript"/>
        <sz val="12"/>
        <rFont val="Calibri"/>
        <family val="2"/>
        <scheme val="minor"/>
      </rPr>
      <t>204</t>
    </r>
    <r>
      <rPr>
        <b/>
        <sz val="12"/>
        <rFont val="Calibri"/>
        <family val="2"/>
        <scheme val="minor"/>
      </rPr>
      <t>Pb</t>
    </r>
  </si>
  <si>
    <r>
      <rPr>
        <b/>
        <vertAlign val="superscript"/>
        <sz val="12"/>
        <rFont val="Calibri"/>
        <family val="2"/>
        <scheme val="minor"/>
      </rPr>
      <t>208</t>
    </r>
    <r>
      <rPr>
        <b/>
        <sz val="12"/>
        <rFont val="Calibri"/>
        <family val="2"/>
        <scheme val="minor"/>
      </rPr>
      <t>Pb/</t>
    </r>
    <r>
      <rPr>
        <b/>
        <vertAlign val="superscript"/>
        <sz val="12"/>
        <rFont val="Calibri"/>
        <family val="2"/>
        <scheme val="minor"/>
      </rPr>
      <t>204</t>
    </r>
    <r>
      <rPr>
        <b/>
        <sz val="12"/>
        <rFont val="Calibri"/>
        <family val="2"/>
        <scheme val="minor"/>
      </rPr>
      <t>Pb</t>
    </r>
  </si>
  <si>
    <t>Wada and Matsuda (1998) - Lithos</t>
  </si>
  <si>
    <t>Turner et al. (1990) - Narure</t>
  </si>
  <si>
    <t>Broadley et al. (2018) - Geochem Persp Lett</t>
  </si>
  <si>
    <t>Timmerman et al. (2018) - Min Pet</t>
  </si>
  <si>
    <t>N (at. ppm - FTIR)</t>
  </si>
  <si>
    <r>
      <t>1</t>
    </r>
    <r>
      <rPr>
        <b/>
        <sz val="12"/>
        <rFont val="Calibri"/>
        <family val="2"/>
      </rPr>
      <t>σ</t>
    </r>
  </si>
  <si>
    <r>
      <rPr>
        <b/>
        <vertAlign val="superscript"/>
        <sz val="12"/>
        <rFont val="Calibri"/>
        <family val="2"/>
        <scheme val="minor"/>
      </rPr>
      <t>40</t>
    </r>
    <r>
      <rPr>
        <b/>
        <sz val="12"/>
        <rFont val="Calibri"/>
        <family val="2"/>
        <scheme val="minor"/>
      </rPr>
      <t>Ar/</t>
    </r>
    <r>
      <rPr>
        <b/>
        <vertAlign val="superscript"/>
        <sz val="12"/>
        <rFont val="Calibri"/>
        <family val="2"/>
        <scheme val="minor"/>
      </rPr>
      <t>36</t>
    </r>
    <r>
      <rPr>
        <b/>
        <sz val="12"/>
        <rFont val="Calibri"/>
        <family val="2"/>
        <scheme val="minor"/>
      </rPr>
      <t>Ar</t>
    </r>
  </si>
  <si>
    <r>
      <rPr>
        <b/>
        <vertAlign val="superscript"/>
        <sz val="12"/>
        <rFont val="Calibri"/>
        <family val="2"/>
        <scheme val="minor"/>
      </rPr>
      <t>38</t>
    </r>
    <r>
      <rPr>
        <b/>
        <sz val="12"/>
        <rFont val="Calibri"/>
        <family val="2"/>
        <scheme val="minor"/>
      </rPr>
      <t>Ar/</t>
    </r>
    <r>
      <rPr>
        <b/>
        <vertAlign val="superscript"/>
        <sz val="12"/>
        <rFont val="Calibri"/>
        <family val="2"/>
        <scheme val="minor"/>
      </rPr>
      <t>36</t>
    </r>
    <r>
      <rPr>
        <b/>
        <sz val="12"/>
        <rFont val="Calibri"/>
        <family val="2"/>
        <scheme val="minor"/>
      </rPr>
      <t>Ar</t>
    </r>
  </si>
  <si>
    <r>
      <rPr>
        <b/>
        <vertAlign val="superscript"/>
        <sz val="12"/>
        <rFont val="Calibri"/>
        <family val="2"/>
        <scheme val="minor"/>
      </rPr>
      <t>40</t>
    </r>
    <r>
      <rPr>
        <b/>
        <sz val="12"/>
        <rFont val="Calibri"/>
        <family val="2"/>
        <scheme val="minor"/>
      </rPr>
      <t>Ar*/</t>
    </r>
    <r>
      <rPr>
        <b/>
        <vertAlign val="superscript"/>
        <sz val="12"/>
        <rFont val="Calibri"/>
        <family val="2"/>
        <scheme val="minor"/>
      </rPr>
      <t>4</t>
    </r>
    <r>
      <rPr>
        <b/>
        <sz val="12"/>
        <rFont val="Calibri"/>
        <family val="2"/>
        <scheme val="minor"/>
      </rPr>
      <t>He</t>
    </r>
  </si>
  <si>
    <r>
      <t>I/Br x 10</t>
    </r>
    <r>
      <rPr>
        <b/>
        <vertAlign val="superscript"/>
        <sz val="12"/>
        <rFont val="Calibri"/>
        <family val="2"/>
        <scheme val="minor"/>
      </rPr>
      <t>-3</t>
    </r>
    <r>
      <rPr>
        <b/>
        <sz val="12"/>
        <rFont val="Calibri"/>
        <family val="2"/>
        <scheme val="minor"/>
      </rPr>
      <t>M</t>
    </r>
  </si>
  <si>
    <r>
      <rPr>
        <b/>
        <vertAlign val="superscript"/>
        <sz val="12"/>
        <rFont val="Calibri"/>
        <family val="2"/>
        <scheme val="minor"/>
      </rPr>
      <t>40</t>
    </r>
    <r>
      <rPr>
        <b/>
        <sz val="12"/>
        <rFont val="Calibri"/>
        <family val="2"/>
        <scheme val="minor"/>
      </rPr>
      <t>Ar*/Cl x 10</t>
    </r>
    <r>
      <rPr>
        <b/>
        <vertAlign val="superscript"/>
        <sz val="12"/>
        <rFont val="Calibri"/>
        <family val="2"/>
        <scheme val="minor"/>
      </rPr>
      <t>-6</t>
    </r>
    <r>
      <rPr>
        <b/>
        <sz val="12"/>
        <rFont val="Calibri"/>
        <family val="2"/>
        <scheme val="minor"/>
      </rPr>
      <t>M</t>
    </r>
  </si>
  <si>
    <r>
      <t>I/Cl x 10</t>
    </r>
    <r>
      <rPr>
        <b/>
        <vertAlign val="superscript"/>
        <sz val="12"/>
        <rFont val="Calibri"/>
        <family val="2"/>
        <scheme val="minor"/>
      </rPr>
      <t>-6</t>
    </r>
    <r>
      <rPr>
        <b/>
        <sz val="12"/>
        <rFont val="Calibri"/>
        <family val="2"/>
        <scheme val="minor"/>
      </rPr>
      <t>M</t>
    </r>
  </si>
  <si>
    <r>
      <t>Br/Cl x 10</t>
    </r>
    <r>
      <rPr>
        <b/>
        <vertAlign val="superscript"/>
        <sz val="12"/>
        <rFont val="Calibri"/>
        <family val="2"/>
        <scheme val="minor"/>
      </rPr>
      <t>-3</t>
    </r>
    <r>
      <rPr>
        <b/>
        <sz val="12"/>
        <rFont val="Calibri"/>
        <family val="2"/>
        <scheme val="minor"/>
      </rPr>
      <t>M</t>
    </r>
  </si>
  <si>
    <r>
      <rPr>
        <b/>
        <vertAlign val="superscript"/>
        <sz val="12"/>
        <rFont val="Calibri"/>
        <family val="2"/>
        <scheme val="minor"/>
      </rPr>
      <t>36</t>
    </r>
    <r>
      <rPr>
        <b/>
        <sz val="12"/>
        <rFont val="Calibri"/>
        <family val="2"/>
        <scheme val="minor"/>
      </rPr>
      <t>Ar (x 10</t>
    </r>
    <r>
      <rPr>
        <b/>
        <vertAlign val="superscript"/>
        <sz val="12"/>
        <rFont val="Calibri"/>
        <family val="2"/>
        <scheme val="minor"/>
      </rPr>
      <t>-9</t>
    </r>
    <r>
      <rPr>
        <b/>
        <sz val="12"/>
        <rFont val="Calibri"/>
        <family val="2"/>
        <scheme val="minor"/>
      </rPr>
      <t>cm</t>
    </r>
    <r>
      <rPr>
        <b/>
        <vertAlign val="superscript"/>
        <sz val="12"/>
        <rFont val="Calibri"/>
        <family val="2"/>
        <scheme val="minor"/>
      </rPr>
      <t>3</t>
    </r>
    <r>
      <rPr>
        <b/>
        <sz val="12"/>
        <rFont val="Calibri"/>
        <family val="2"/>
        <scheme val="minor"/>
      </rPr>
      <t>/g)</t>
    </r>
  </si>
  <si>
    <r>
      <rPr>
        <b/>
        <vertAlign val="superscript"/>
        <sz val="12"/>
        <rFont val="Calibri"/>
        <family val="2"/>
        <scheme val="minor"/>
      </rPr>
      <t>4</t>
    </r>
    <r>
      <rPr>
        <b/>
        <sz val="12"/>
        <rFont val="Calibri"/>
        <family val="2"/>
        <scheme val="minor"/>
      </rPr>
      <t>He (x 10</t>
    </r>
    <r>
      <rPr>
        <b/>
        <vertAlign val="superscript"/>
        <sz val="12"/>
        <rFont val="Calibri"/>
        <family val="2"/>
        <scheme val="minor"/>
      </rPr>
      <t>-6</t>
    </r>
    <r>
      <rPr>
        <b/>
        <sz val="12"/>
        <rFont val="Calibri"/>
        <family val="2"/>
        <scheme val="minor"/>
      </rPr>
      <t>cm</t>
    </r>
    <r>
      <rPr>
        <b/>
        <vertAlign val="superscript"/>
        <sz val="12"/>
        <rFont val="Calibri"/>
        <family val="2"/>
        <scheme val="minor"/>
      </rPr>
      <t>3</t>
    </r>
    <r>
      <rPr>
        <b/>
        <sz val="12"/>
        <rFont val="Calibri"/>
        <family val="2"/>
        <scheme val="minor"/>
      </rPr>
      <t>/g)</t>
    </r>
  </si>
  <si>
    <r>
      <rPr>
        <b/>
        <vertAlign val="superscript"/>
        <sz val="12"/>
        <rFont val="Calibri"/>
        <family val="2"/>
        <scheme val="minor"/>
      </rPr>
      <t>36</t>
    </r>
    <r>
      <rPr>
        <b/>
        <sz val="12"/>
        <rFont val="Calibri"/>
        <family val="2"/>
        <scheme val="minor"/>
      </rPr>
      <t>Ar (x 10</t>
    </r>
    <r>
      <rPr>
        <b/>
        <vertAlign val="superscript"/>
        <sz val="12"/>
        <rFont val="Calibri"/>
        <family val="2"/>
        <scheme val="minor"/>
      </rPr>
      <t>-15</t>
    </r>
    <r>
      <rPr>
        <b/>
        <sz val="12"/>
        <rFont val="Calibri"/>
        <family val="2"/>
        <scheme val="minor"/>
      </rPr>
      <t>mol/g)</t>
    </r>
  </si>
  <si>
    <r>
      <rPr>
        <b/>
        <vertAlign val="superscript"/>
        <sz val="12"/>
        <rFont val="Calibri"/>
        <family val="2"/>
        <scheme val="minor"/>
      </rPr>
      <t>84</t>
    </r>
    <r>
      <rPr>
        <b/>
        <sz val="12"/>
        <rFont val="Calibri"/>
        <family val="2"/>
        <scheme val="minor"/>
      </rPr>
      <t>Kr (x 10</t>
    </r>
    <r>
      <rPr>
        <b/>
        <vertAlign val="superscript"/>
        <sz val="12"/>
        <rFont val="Calibri"/>
        <family val="2"/>
        <scheme val="minor"/>
      </rPr>
      <t>-15</t>
    </r>
    <r>
      <rPr>
        <b/>
        <sz val="12"/>
        <rFont val="Calibri"/>
        <family val="2"/>
        <scheme val="minor"/>
      </rPr>
      <t>mol/g)</t>
    </r>
  </si>
  <si>
    <r>
      <rPr>
        <b/>
        <vertAlign val="superscript"/>
        <sz val="12"/>
        <rFont val="Calibri"/>
        <family val="2"/>
        <scheme val="minor"/>
      </rPr>
      <t>40</t>
    </r>
    <r>
      <rPr>
        <b/>
        <sz val="12"/>
        <rFont val="Calibri"/>
        <family val="2"/>
        <scheme val="minor"/>
      </rPr>
      <t>Ar (x 10</t>
    </r>
    <r>
      <rPr>
        <b/>
        <vertAlign val="superscript"/>
        <sz val="12"/>
        <rFont val="Calibri"/>
        <family val="2"/>
        <scheme val="minor"/>
      </rPr>
      <t>-12</t>
    </r>
    <r>
      <rPr>
        <b/>
        <sz val="12"/>
        <rFont val="Calibri"/>
        <family val="2"/>
        <scheme val="minor"/>
      </rPr>
      <t>mol/g)</t>
    </r>
  </si>
  <si>
    <r>
      <rPr>
        <b/>
        <vertAlign val="superscript"/>
        <sz val="12"/>
        <rFont val="Calibri"/>
        <family val="2"/>
        <scheme val="minor"/>
      </rPr>
      <t>132</t>
    </r>
    <r>
      <rPr>
        <b/>
        <sz val="12"/>
        <rFont val="Calibri"/>
        <family val="2"/>
        <scheme val="minor"/>
      </rPr>
      <t>Xe (x 10</t>
    </r>
    <r>
      <rPr>
        <b/>
        <vertAlign val="superscript"/>
        <sz val="12"/>
        <rFont val="Calibri"/>
        <family val="2"/>
        <scheme val="minor"/>
      </rPr>
      <t>-15</t>
    </r>
    <r>
      <rPr>
        <b/>
        <sz val="12"/>
        <rFont val="Calibri"/>
        <family val="2"/>
        <scheme val="minor"/>
      </rPr>
      <t>mol/g)</t>
    </r>
  </si>
  <si>
    <r>
      <rPr>
        <b/>
        <vertAlign val="superscript"/>
        <sz val="12"/>
        <rFont val="Calibri"/>
        <family val="2"/>
        <scheme val="minor"/>
      </rPr>
      <t>3</t>
    </r>
    <r>
      <rPr>
        <b/>
        <sz val="12"/>
        <rFont val="Calibri"/>
        <family val="2"/>
        <scheme val="minor"/>
      </rPr>
      <t>He/</t>
    </r>
    <r>
      <rPr>
        <b/>
        <vertAlign val="superscript"/>
        <sz val="12"/>
        <rFont val="Calibri"/>
        <family val="2"/>
        <scheme val="minor"/>
      </rPr>
      <t>4</t>
    </r>
    <r>
      <rPr>
        <b/>
        <sz val="12"/>
        <rFont val="Calibri"/>
        <family val="2"/>
        <scheme val="minor"/>
      </rPr>
      <t>He (R/Ra)</t>
    </r>
  </si>
  <si>
    <t>&gt;0</t>
  </si>
  <si>
    <r>
      <rPr>
        <b/>
        <vertAlign val="superscript"/>
        <sz val="12"/>
        <rFont val="Calibri"/>
        <family val="2"/>
        <scheme val="minor"/>
      </rPr>
      <t>40</t>
    </r>
    <r>
      <rPr>
        <b/>
        <sz val="12"/>
        <rFont val="Calibri"/>
        <family val="2"/>
        <scheme val="minor"/>
      </rPr>
      <t>Ar (x 10</t>
    </r>
    <r>
      <rPr>
        <b/>
        <vertAlign val="superscript"/>
        <sz val="12"/>
        <rFont val="Calibri"/>
        <family val="2"/>
        <scheme val="minor"/>
      </rPr>
      <t>-9</t>
    </r>
    <r>
      <rPr>
        <b/>
        <sz val="12"/>
        <rFont val="Calibri"/>
        <family val="2"/>
        <scheme val="minor"/>
      </rPr>
      <t xml:space="preserve"> cm</t>
    </r>
    <r>
      <rPr>
        <b/>
        <vertAlign val="superscript"/>
        <sz val="12"/>
        <rFont val="Calibri"/>
        <family val="2"/>
        <scheme val="minor"/>
      </rPr>
      <t>3</t>
    </r>
    <r>
      <rPr>
        <b/>
        <sz val="12"/>
        <rFont val="Calibri"/>
        <family val="2"/>
        <scheme val="minor"/>
      </rPr>
      <t>/g)</t>
    </r>
  </si>
  <si>
    <t>NBCB-7</t>
  </si>
  <si>
    <t>NBCB-9</t>
  </si>
  <si>
    <r>
      <rPr>
        <b/>
        <vertAlign val="superscript"/>
        <sz val="12"/>
        <rFont val="Calibri"/>
        <family val="2"/>
        <scheme val="minor"/>
      </rPr>
      <t>20</t>
    </r>
    <r>
      <rPr>
        <b/>
        <sz val="12"/>
        <rFont val="Calibri"/>
        <family val="2"/>
        <scheme val="minor"/>
      </rPr>
      <t>Ne (x 10</t>
    </r>
    <r>
      <rPr>
        <b/>
        <vertAlign val="superscript"/>
        <sz val="12"/>
        <rFont val="Calibri"/>
        <family val="2"/>
        <scheme val="minor"/>
      </rPr>
      <t>-10</t>
    </r>
    <r>
      <rPr>
        <b/>
        <sz val="12"/>
        <rFont val="Calibri"/>
        <family val="2"/>
        <scheme val="minor"/>
      </rPr>
      <t>cm</t>
    </r>
    <r>
      <rPr>
        <b/>
        <vertAlign val="superscript"/>
        <sz val="12"/>
        <rFont val="Calibri"/>
        <family val="2"/>
        <scheme val="minor"/>
      </rPr>
      <t>3</t>
    </r>
    <r>
      <rPr>
        <b/>
        <sz val="12"/>
        <rFont val="Calibri"/>
        <family val="2"/>
        <scheme val="minor"/>
      </rPr>
      <t xml:space="preserve"> STP/g)</t>
    </r>
  </si>
  <si>
    <t>cube</t>
  </si>
  <si>
    <t>cloudy</t>
  </si>
  <si>
    <t>coated</t>
  </si>
  <si>
    <t>Only the data from the unknown diamond (visible HDFs) used in compilation, other data likely linked to contamination</t>
  </si>
  <si>
    <t>Canadian data reported in this paper is from Johnson et al. (2000), so it was reported with the other data from Johnson et al</t>
  </si>
  <si>
    <t>This data couldn't be added to the compilation</t>
  </si>
  <si>
    <t>Notes</t>
  </si>
  <si>
    <r>
      <rPr>
        <b/>
        <vertAlign val="superscript"/>
        <sz val="12"/>
        <rFont val="Calibri"/>
        <family val="2"/>
        <scheme val="minor"/>
      </rPr>
      <t>3</t>
    </r>
    <r>
      <rPr>
        <b/>
        <sz val="12"/>
        <rFont val="Calibri"/>
        <family val="2"/>
        <scheme val="minor"/>
      </rPr>
      <t>He (cc/g)</t>
    </r>
  </si>
  <si>
    <r>
      <rPr>
        <b/>
        <vertAlign val="superscript"/>
        <sz val="12"/>
        <rFont val="Calibri"/>
        <family val="2"/>
        <scheme val="minor"/>
      </rPr>
      <t>130</t>
    </r>
    <r>
      <rPr>
        <b/>
        <sz val="12"/>
        <rFont val="Calibri"/>
        <family val="2"/>
        <scheme val="minor"/>
      </rPr>
      <t>Xe (x10-13cm3 STP/g)</t>
    </r>
  </si>
  <si>
    <r>
      <rPr>
        <b/>
        <vertAlign val="superscript"/>
        <sz val="12"/>
        <rFont val="Calibri"/>
        <family val="2"/>
        <scheme val="minor"/>
      </rPr>
      <t>124</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</si>
  <si>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126</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</si>
  <si>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128</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</si>
  <si>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129</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</si>
  <si>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131</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</si>
  <si>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132</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</si>
  <si>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134</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</si>
  <si>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136</t>
    </r>
    <r>
      <rPr>
        <b/>
        <sz val="12"/>
        <rFont val="Calibri"/>
        <family val="2"/>
        <scheme val="minor"/>
      </rPr>
      <t>Xe/</t>
    </r>
    <r>
      <rPr>
        <b/>
        <vertAlign val="superscript"/>
        <sz val="12"/>
        <rFont val="Calibri"/>
        <family val="2"/>
        <scheme val="minor"/>
      </rPr>
      <t>130</t>
    </r>
    <r>
      <rPr>
        <b/>
        <sz val="12"/>
        <rFont val="Calibri"/>
        <family val="2"/>
        <scheme val="minor"/>
      </rPr>
      <t>Xe</t>
    </r>
  </si>
  <si>
    <r>
      <rPr>
        <b/>
        <vertAlign val="superscript"/>
        <sz val="12"/>
        <rFont val="Calibri"/>
        <family val="2"/>
        <scheme val="minor"/>
      </rPr>
      <t>20</t>
    </r>
    <r>
      <rPr>
        <b/>
        <sz val="12"/>
        <rFont val="Calibri"/>
        <family val="2"/>
        <scheme val="minor"/>
      </rPr>
      <t>Ne/</t>
    </r>
    <r>
      <rPr>
        <b/>
        <vertAlign val="superscript"/>
        <sz val="12"/>
        <rFont val="Calibri"/>
        <family val="2"/>
        <scheme val="minor"/>
      </rPr>
      <t>22</t>
    </r>
    <r>
      <rPr>
        <b/>
        <sz val="12"/>
        <rFont val="Calibri"/>
        <family val="2"/>
        <scheme val="minor"/>
      </rPr>
      <t>Ne</t>
    </r>
  </si>
  <si>
    <r>
      <rPr>
        <b/>
        <vertAlign val="superscript"/>
        <sz val="12"/>
        <rFont val="Calibri"/>
        <family val="2"/>
        <scheme val="minor"/>
      </rPr>
      <t>21</t>
    </r>
    <r>
      <rPr>
        <b/>
        <sz val="12"/>
        <rFont val="Calibri"/>
        <family val="2"/>
        <scheme val="minor"/>
      </rPr>
      <t>Ne/</t>
    </r>
    <r>
      <rPr>
        <b/>
        <vertAlign val="superscript"/>
        <sz val="12"/>
        <rFont val="Calibri"/>
        <family val="2"/>
        <scheme val="minor"/>
      </rPr>
      <t>22</t>
    </r>
    <r>
      <rPr>
        <b/>
        <sz val="12"/>
        <rFont val="Calibri"/>
        <family val="2"/>
        <scheme val="minor"/>
      </rPr>
      <t>Ne</t>
    </r>
  </si>
  <si>
    <t>For this review paper, we compiled major element, trace element, and radiogenic isotope compositions of HDFs in fibrous diamonds from available literature data (see ‘References’ tab).
We applied several criteria to screen the database and excluded some fibrous diamonds analyses as follows:</t>
  </si>
  <si>
    <r>
      <t>a.</t>
    </r>
    <r>
      <rPr>
        <sz val="7"/>
        <color theme="1"/>
        <rFont val="Times New Roman"/>
        <family val="1"/>
      </rPr>
      <t xml:space="preserve">      </t>
    </r>
    <r>
      <rPr>
        <sz val="11"/>
        <color theme="1"/>
        <rFont val="Calibri"/>
        <family val="2"/>
        <scheme val="minor"/>
      </rPr>
      <t xml:space="preserve">Diamonds for which HDF major element data is not available; except for those with radiogenic isotope analyses, as the number of such is already very limited. </t>
    </r>
  </si>
  <si>
    <r>
      <t>b.</t>
    </r>
    <r>
      <rPr>
        <sz val="7"/>
        <color theme="1"/>
        <rFont val="Times New Roman"/>
        <family val="1"/>
      </rPr>
      <t xml:space="preserve">      </t>
    </r>
    <r>
      <rPr>
        <sz val="11"/>
        <color theme="1"/>
        <rFont val="Calibri"/>
        <family val="2"/>
        <scheme val="minor"/>
      </rPr>
      <t xml:space="preserve">Diamonds with HDF major element compositions based on an average of &lt;10 microinclusion analyses, as this provides  compositions with  only limited statistics. </t>
    </r>
  </si>
  <si>
    <r>
      <t>c.</t>
    </r>
    <r>
      <rPr>
        <sz val="7"/>
        <color theme="1"/>
        <rFont val="Times New Roman"/>
        <family val="1"/>
      </rPr>
      <t xml:space="preserve">      </t>
    </r>
    <r>
      <rPr>
        <sz val="11"/>
        <color theme="1"/>
        <rFont val="Calibri"/>
        <family val="2"/>
        <scheme val="minor"/>
      </rPr>
      <t>Diamonds containing HDF microinclusions and micro-mineral inclusions, for which a mixed average major element composition or a mixed trace element composition was reported.</t>
    </r>
  </si>
  <si>
    <r>
      <t>d.</t>
    </r>
    <r>
      <rPr>
        <sz val="7"/>
        <color theme="1"/>
        <rFont val="Times New Roman"/>
        <family val="1"/>
      </rPr>
      <t xml:space="preserve">      </t>
    </r>
    <r>
      <rPr>
        <sz val="11"/>
        <color theme="1"/>
        <rFont val="Calibri"/>
        <family val="2"/>
        <scheme val="minor"/>
      </rPr>
      <t xml:space="preserve">Diamonds with HDF microinclusions that yield major differences for duplicate trace element analyses of the same diamond.  </t>
    </r>
  </si>
  <si>
    <r>
      <t>e.</t>
    </r>
    <r>
      <rPr>
        <sz val="7"/>
        <color theme="1"/>
        <rFont val="Times New Roman"/>
        <family val="1"/>
      </rPr>
      <t xml:space="preserve">      </t>
    </r>
    <r>
      <rPr>
        <sz val="11"/>
        <color theme="1"/>
        <rFont val="Calibri"/>
        <family val="2"/>
        <scheme val="minor"/>
      </rPr>
      <t xml:space="preserve">Few diamonds with highly unusual microinclusion (HDF?) major element compositions. </t>
    </r>
  </si>
  <si>
    <r>
      <t>f.</t>
    </r>
    <r>
      <rPr>
        <sz val="7"/>
        <color theme="1"/>
        <rFont val="Times New Roman"/>
        <family val="1"/>
      </rPr>
      <t xml:space="preserve">       </t>
    </r>
    <r>
      <rPr>
        <sz val="11"/>
        <color theme="1"/>
        <rFont val="Calibri"/>
        <family val="2"/>
        <scheme val="minor"/>
      </rPr>
      <t xml:space="preserve">Diamonds from unknown locations were also removed from the database. </t>
    </r>
  </si>
  <si>
    <t>Introduction to the HDF Data Compilation</t>
  </si>
  <si>
    <t>The final database that is discussed and plotted in this review paper is listed in the ‘HDF data compilation’ tab, whereas the excluded data is compiled in a separate ‘Excluded Analyses’ tab.</t>
  </si>
  <si>
    <t>For a small group of diamonds from Diavik, Panda, Kankan and Udachnaya, trace element analyses of the same diamond were obtained by different authors and techniques (off- vs. online-LA-ICP-MS). For these diamonds only, the higher concentration analysis is listed in the ‘HDF data compilation’; the rest can be found in ‘Excluded Analyses’.</t>
  </si>
  <si>
    <t>HDF analyses obtained for monocrystalline diamonds are listed in a separate table (‘Monocrystalline Diamonds’ tab). Noble gas and halogen data analyses of HDF-bearing fibrous diamonds are also listed in a separate table (‘Noble gases-Halogens’).</t>
  </si>
  <si>
    <t xml:space="preserve">In the ‘HDF data compilation’ (and other tabs), the HDF major elements are reported as oxides in wt.% and trace elements are given in ppm (unless otherwise specified). The nitrogen concentration and aggregation, and nitrogen and carbon isotope compositions of the diamonds are also tabulated (when these were provided in the original paper). </t>
  </si>
  <si>
    <t>1.         Saline: Cl ≥ 15 wt%,</t>
  </si>
  <si>
    <t>2.         Silicic: SiO2 ≥ 40 wt% and Cl ≤ 15 wt%</t>
  </si>
  <si>
    <t>3.         Silicic – low-Mg carbonatitic: 40 ≥ SiO2 ≥ 20 wt%, MgO ≤ 15 wt%, and Cl ≤ 15 wt%</t>
  </si>
  <si>
    <t>4.         Low-Mg carbonatitic: SiO2 ≤ 20 wt%, MgO ≤ 15 wt%, CaO ≥ 15 wt%, and Cl ≤ 15 wt%</t>
  </si>
  <si>
    <t>5.         High-Mg carbonatitic: SiO2 ≤ 20 wt% and MgO ≥ 15wt%</t>
  </si>
  <si>
    <t xml:space="preserve">Whenever logical/possible, multiple trace  element analyses within a single diamond were averaged (considering the number of analyses for major elements), and the average is presented in the ‘HDF data compilation’; unaveraged data is listed in ‘Excluded Analyses’ tab. </t>
  </si>
  <si>
    <t>Amazonian Craton</t>
  </si>
  <si>
    <t>Voorspoed</t>
  </si>
  <si>
    <t>-</t>
  </si>
  <si>
    <t>High Mg Carbonatite</t>
  </si>
  <si>
    <t xml:space="preserve">ON-VRS-658 </t>
  </si>
  <si>
    <t>ON-VRS-657</t>
  </si>
  <si>
    <t>ON-VRS-665</t>
  </si>
  <si>
    <t>ON-VRS-847</t>
  </si>
  <si>
    <t>ON-VRS-852</t>
  </si>
  <si>
    <t>ON-VRS-860</t>
  </si>
  <si>
    <t>ON-VRS-863</t>
  </si>
  <si>
    <t>ON-VRS-862</t>
  </si>
  <si>
    <t>ON-VRS-855</t>
  </si>
  <si>
    <t>ON-VRS-666</t>
  </si>
  <si>
    <t>ON-VRS-856</t>
  </si>
  <si>
    <t>ON-VRS-859</t>
  </si>
  <si>
    <t>ON-VRS-861</t>
  </si>
  <si>
    <t xml:space="preserve">ON-VRS-851 </t>
  </si>
  <si>
    <t>Carbonatitic silicic</t>
  </si>
  <si>
    <t>Low K2O</t>
  </si>
  <si>
    <t>Low SiO2</t>
  </si>
  <si>
    <t>Fibrous diamond</t>
  </si>
  <si>
    <t>Fragment of diamond coat</t>
  </si>
  <si>
    <t>Koingnaas</t>
  </si>
  <si>
    <t>Kempe et al. (2021) - Lithos</t>
  </si>
  <si>
    <t>Kempe et al. (2021)</t>
  </si>
  <si>
    <r>
      <t>H</t>
    </r>
    <r>
      <rPr>
        <b/>
        <vertAlign val="subscript"/>
        <sz val="12"/>
        <rFont val="Calibri"/>
        <family val="2"/>
        <scheme val="minor"/>
      </rPr>
      <t>2</t>
    </r>
    <r>
      <rPr>
        <b/>
        <sz val="12"/>
        <rFont val="Calibri"/>
        <family val="2"/>
        <scheme val="minor"/>
      </rPr>
      <t>O/(H</t>
    </r>
    <r>
      <rPr>
        <b/>
        <vertAlign val="subscript"/>
        <sz val="12"/>
        <rFont val="Calibri"/>
        <family val="2"/>
        <scheme val="minor"/>
      </rPr>
      <t>2</t>
    </r>
    <r>
      <rPr>
        <b/>
        <sz val="12"/>
        <rFont val="Calibri"/>
        <family val="2"/>
        <scheme val="minor"/>
      </rPr>
      <t>O+CO</t>
    </r>
    <r>
      <rPr>
        <b/>
        <vertAlign val="subscript"/>
        <sz val="12"/>
        <rFont val="Calibri"/>
        <family val="2"/>
        <scheme val="minor"/>
      </rPr>
      <t>2</t>
    </r>
    <r>
      <rPr>
        <b/>
        <sz val="12"/>
        <rFont val="Calibri"/>
        <family val="2"/>
        <scheme val="minor"/>
      </rPr>
      <t>) molar calc</t>
    </r>
  </si>
  <si>
    <r>
      <t>CO</t>
    </r>
    <r>
      <rPr>
        <b/>
        <vertAlign val="subscript"/>
        <sz val="12"/>
        <rFont val="Calibri"/>
        <family val="2"/>
        <scheme val="minor"/>
      </rPr>
      <t>2</t>
    </r>
    <r>
      <rPr>
        <b/>
        <sz val="12"/>
        <rFont val="Calibri"/>
        <family val="2"/>
        <scheme val="minor"/>
      </rPr>
      <t>/(H</t>
    </r>
    <r>
      <rPr>
        <b/>
        <vertAlign val="subscript"/>
        <sz val="12"/>
        <rFont val="Calibri"/>
        <family val="2"/>
        <scheme val="minor"/>
      </rPr>
      <t>2</t>
    </r>
    <r>
      <rPr>
        <b/>
        <sz val="12"/>
        <rFont val="Calibri"/>
        <family val="2"/>
        <scheme val="minor"/>
      </rPr>
      <t>O+CO</t>
    </r>
    <r>
      <rPr>
        <b/>
        <vertAlign val="subscript"/>
        <sz val="12"/>
        <rFont val="Calibri"/>
        <family val="2"/>
        <scheme val="minor"/>
      </rPr>
      <t>2</t>
    </r>
    <r>
      <rPr>
        <b/>
        <sz val="12"/>
        <rFont val="Calibri"/>
        <family val="2"/>
        <scheme val="minor"/>
      </rPr>
      <t>) molar calc</t>
    </r>
  </si>
  <si>
    <t>Zedgenizov et al. (2018) - CMP</t>
  </si>
  <si>
    <t>Zedgenizov et al. (2020) - CMP</t>
  </si>
  <si>
    <t> 29</t>
  </si>
  <si>
    <t> 43</t>
  </si>
  <si>
    <t> 49</t>
  </si>
  <si>
    <t> 50</t>
  </si>
  <si>
    <t> 51</t>
  </si>
  <si>
    <t> 56</t>
  </si>
  <si>
    <t> 58</t>
  </si>
  <si>
    <t> 67</t>
  </si>
  <si>
    <t> 84</t>
  </si>
  <si>
    <t> 87</t>
  </si>
  <si>
    <t>Cuboid</t>
  </si>
  <si>
    <t> 34</t>
  </si>
  <si>
    <t> 35</t>
  </si>
  <si>
    <t> 39</t>
  </si>
  <si>
    <t> 41</t>
  </si>
  <si>
    <t> 42</t>
  </si>
  <si>
    <t> 52</t>
  </si>
  <si>
    <t> 64</t>
  </si>
  <si>
    <t> 73</t>
  </si>
  <si>
    <t> 74</t>
  </si>
  <si>
    <t> 75</t>
  </si>
  <si>
    <t>Cloudy</t>
  </si>
  <si>
    <t> 4</t>
  </si>
  <si>
    <t> 5</t>
  </si>
  <si>
    <t> 7</t>
  </si>
  <si>
    <t> 10</t>
  </si>
  <si>
    <t> 20</t>
  </si>
  <si>
    <t> 31</t>
  </si>
  <si>
    <t> 37</t>
  </si>
  <si>
    <t> 40</t>
  </si>
  <si>
    <t> 44</t>
  </si>
  <si>
    <t> 45</t>
  </si>
  <si>
    <t> 47</t>
  </si>
  <si>
    <t> 48</t>
  </si>
  <si>
    <t> 53</t>
  </si>
  <si>
    <t> 55</t>
  </si>
  <si>
    <t> 59</t>
  </si>
  <si>
    <t> 63</t>
  </si>
  <si>
    <t> 65</t>
  </si>
  <si>
    <t> 68</t>
  </si>
  <si>
    <t> 69</t>
  </si>
  <si>
    <t> 71</t>
  </si>
  <si>
    <t> 79</t>
  </si>
  <si>
    <t> 81</t>
  </si>
  <si>
    <t> 83</t>
  </si>
  <si>
    <t> 88</t>
  </si>
  <si>
    <t> 89</t>
  </si>
  <si>
    <t> 90</t>
  </si>
  <si>
    <t>Low-Mg carbonatititc to silicic</t>
  </si>
  <si>
    <t>High-Mg carbonatitic</t>
  </si>
  <si>
    <t>Carbonatitic</t>
  </si>
  <si>
    <t>Hydrous-silicic</t>
  </si>
  <si>
    <t>Chloride-Carbonate</t>
  </si>
  <si>
    <t>Based on the major element compositions we classify the HDFs into 5 types (column C; saline, silicic, silicic–low-Mg carbonatitic, low-Mg carbonatitic, high-Mg carbonatitic), according to the following parameters:</t>
  </si>
  <si>
    <t>CO2 (wt#f)</t>
  </si>
  <si>
    <t>H2O (wt#f)</t>
  </si>
  <si>
    <t>FIN1</t>
  </si>
  <si>
    <t>KOF17</t>
  </si>
  <si>
    <t>Deposit age (Ma)</t>
  </si>
  <si>
    <t>Saline (brine)</t>
  </si>
  <si>
    <t>Silicic-carbonatitic</t>
  </si>
  <si>
    <t>Carbonatitic-silicic</t>
  </si>
  <si>
    <t>Ca-carbonate - silicic</t>
  </si>
  <si>
    <t>Carbonatitic - hydrous (silicic)</t>
  </si>
  <si>
    <t>Silica-rich</t>
  </si>
  <si>
    <t>silicic - low-Mg carbonatitic</t>
  </si>
  <si>
    <t>Carbonatitic - hydrous silicic</t>
  </si>
  <si>
    <t>Low-Mg carbonatititc to hydrous silicic</t>
  </si>
  <si>
    <t>molal CO2 and H2O</t>
  </si>
  <si>
    <t>Major element compositions (ME; SiO2, TiO2, Al2O3, FeO, MgO, CaO, BaO, Na2O, K2O, P2O5 and Cl) were normalized to 100, plus accounting for excess calculated oxygen due to the presence of Cl (100*ME/total-Cl*8/35.45)</t>
  </si>
  <si>
    <t>Weiss et al. (2021) - Nat Comm</t>
  </si>
  <si>
    <t>De Beers Pool</t>
  </si>
  <si>
    <t>err.</t>
  </si>
  <si>
    <r>
      <rPr>
        <b/>
        <vertAlign val="superscript"/>
        <sz val="12"/>
        <rFont val="Calibri"/>
        <family val="2"/>
        <scheme val="minor"/>
      </rPr>
      <t>4</t>
    </r>
    <r>
      <rPr>
        <b/>
        <sz val="12"/>
        <rFont val="Calibri"/>
        <family val="2"/>
        <scheme val="minor"/>
      </rPr>
      <t xml:space="preserve">He*/total </t>
    </r>
    <r>
      <rPr>
        <b/>
        <vertAlign val="superscript"/>
        <sz val="12"/>
        <rFont val="Calibri"/>
        <family val="2"/>
        <scheme val="minor"/>
      </rPr>
      <t>4</t>
    </r>
    <r>
      <rPr>
        <b/>
        <sz val="12"/>
        <rFont val="Calibri"/>
        <family val="2"/>
        <scheme val="minor"/>
      </rPr>
      <t>He</t>
    </r>
  </si>
  <si>
    <t>Th (ppm)</t>
  </si>
  <si>
    <t>U (ppm)</t>
  </si>
  <si>
    <r>
      <t>(U+Th)*/</t>
    </r>
    <r>
      <rPr>
        <b/>
        <vertAlign val="superscript"/>
        <sz val="12"/>
        <rFont val="Calibri"/>
        <family val="2"/>
        <scheme val="minor"/>
      </rPr>
      <t>3</t>
    </r>
    <r>
      <rPr>
        <b/>
        <sz val="12"/>
        <rFont val="Calibri"/>
        <family val="2"/>
        <scheme val="minor"/>
      </rPr>
      <t>He</t>
    </r>
  </si>
  <si>
    <t>Diavik, De Beers Pool, Jwaneng, Koiingnaas, Kankan</t>
  </si>
  <si>
    <t>Udachnaya, Mir</t>
  </si>
  <si>
    <t>Fox, Grizzly, Leslie, Koala, Jwaneng, Congo</t>
  </si>
  <si>
    <t>Udachnaya, Zarnitsa, Yubileynaya, Aykhal, Komsomolskaya</t>
  </si>
  <si>
    <t>Internationalnaya, Yubileinaya</t>
  </si>
  <si>
    <t>Jwaneng, Congo</t>
  </si>
  <si>
    <t>Golconda, Aykhal, Udachnaya</t>
  </si>
  <si>
    <t>Mir, Internatsionalnaya</t>
  </si>
  <si>
    <t>Wawa, Koffiefontein</t>
  </si>
  <si>
    <t>Finsch, De Beers Pool, Koffiefontein</t>
  </si>
  <si>
    <t>Congo, Jwaneng</t>
  </si>
  <si>
    <t>De Beers Pool, Kankan, Koiingnaas</t>
  </si>
  <si>
    <t>Udachnaya, Zarnitsa, Kankan</t>
  </si>
  <si>
    <t>Finsch, Kankan</t>
  </si>
  <si>
    <t>Major and trace elements of HDFs and grt, cpx</t>
  </si>
  <si>
    <t>De Beers Pool, Finsch</t>
  </si>
  <si>
    <t>Noble gases+halogens of HDFs, C isotopes, U+K content</t>
  </si>
  <si>
    <t>Noble gases+halogens, FTIR data, N+C isotopes</t>
  </si>
  <si>
    <t>Noble gases and trace lements of HDFs, N content + aggregation</t>
  </si>
  <si>
    <t>2.00E−07</t>
  </si>
  <si>
    <t>Heating 2000 °C</t>
  </si>
  <si>
    <t>Crushing 1000×</t>
  </si>
  <si>
    <t>4.10E−05</t>
  </si>
  <si>
    <t>6.27E−07</t>
  </si>
  <si>
    <t>8.34E−06</t>
  </si>
  <si>
    <t>6.88E−08</t>
  </si>
  <si>
    <t>8.43E−06</t>
  </si>
  <si>
    <t>2.03E−07</t>
  </si>
  <si>
    <t>3.27E−05</t>
  </si>
  <si>
    <t>2.75E−07</t>
  </si>
  <si>
    <t>9.38E−06</t>
  </si>
  <si>
    <t>2.83E−07</t>
  </si>
  <si>
    <t>9.19E−06</t>
  </si>
  <si>
    <t>2.85E−07</t>
  </si>
  <si>
    <t>8.83E−07</t>
  </si>
  <si>
    <t>2.58E−07</t>
  </si>
  <si>
    <t>2.59E−06</t>
  </si>
  <si>
    <t>5.31E−07</t>
  </si>
  <si>
    <t>1.44E−05</t>
  </si>
  <si>
    <t>1.18E−07</t>
  </si>
  <si>
    <t>1.47E−05</t>
  </si>
  <si>
    <t>3.34E−07</t>
  </si>
  <si>
    <t>1.53E−05</t>
  </si>
  <si>
    <t>2.84E−07</t>
  </si>
  <si>
    <t>1.40E−05</t>
  </si>
  <si>
    <t>6.71E−07</t>
  </si>
  <si>
    <t>7.21E−09</t>
  </si>
  <si>
    <t>2.14E−07</t>
  </si>
  <si>
    <t>1.38E−07</t>
  </si>
  <si>
    <t>Max age (Ma)</t>
  </si>
  <si>
    <t>Th (ppb)</t>
  </si>
  <si>
    <t xml:space="preserve">Reference </t>
  </si>
  <si>
    <t>Reason for exclusion</t>
  </si>
  <si>
    <t>Too few analyses (n&lt;10)</t>
  </si>
  <si>
    <t>Unknown (maybe DRC)</t>
  </si>
  <si>
    <t>DRC (possibly close to Mbuji Mayi Kimberlite)</t>
  </si>
  <si>
    <t>DRC Mbuji Mayi</t>
  </si>
  <si>
    <t>DRC (near Mbuji Mayi kimberlite)</t>
  </si>
  <si>
    <t>DRC (likely Mbuji Mayi kimberlite field)</t>
  </si>
  <si>
    <t>U/K</t>
  </si>
  <si>
    <t>Jwanwng, Orapa, Finsch, Congo, De Beers Pool, Premier, Sao Luiz, Brazil, Central African Republic</t>
  </si>
  <si>
    <t>Akwatia, De Beers Pool</t>
  </si>
  <si>
    <t>355-360</t>
  </si>
  <si>
    <t>Udachnaya, Yubileynaya, Aykhal, Mir, Nyurbinskaya</t>
  </si>
  <si>
    <t>Aykhal, Congo, Lac de Gras (from Johnson et al. 2000)</t>
  </si>
  <si>
    <t>Alluvial</t>
  </si>
  <si>
    <t>high-Mg carbonatitic</t>
  </si>
  <si>
    <t>low-Mg carbonatitic</t>
  </si>
  <si>
    <t>Ba/Sr</t>
  </si>
  <si>
    <t>Ba/La</t>
  </si>
  <si>
    <t>Sr/La</t>
  </si>
  <si>
    <t>La/Ce</t>
  </si>
  <si>
    <t>Mg/La</t>
  </si>
  <si>
    <t>Mg/Ce</t>
  </si>
  <si>
    <t>Ta/Ce</t>
  </si>
  <si>
    <t>Sr/Ce</t>
  </si>
  <si>
    <t>Ba/Ce</t>
  </si>
  <si>
    <t>Pb/U</t>
  </si>
  <si>
    <t>Pb/La</t>
  </si>
  <si>
    <t>Zr/La</t>
  </si>
  <si>
    <t>Rb/Sr</t>
  </si>
  <si>
    <t>Y/La</t>
  </si>
  <si>
    <t>Mg/Al</t>
  </si>
  <si>
    <t>Mg/Fe</t>
  </si>
  <si>
    <t>Ni/La</t>
  </si>
  <si>
    <t>Zr/Nb</t>
  </si>
  <si>
    <t>Ta/La</t>
  </si>
  <si>
    <t>Zr/Rb</t>
  </si>
  <si>
    <t>Zr/Sr</t>
  </si>
  <si>
    <t>Zr/Y</t>
  </si>
  <si>
    <t>Zr/Ce</t>
  </si>
  <si>
    <t>Al/La</t>
  </si>
  <si>
    <t>Row Labels</t>
  </si>
  <si>
    <t>(blank)</t>
  </si>
  <si>
    <t>Grand Total</t>
  </si>
  <si>
    <t>Column Labels</t>
  </si>
  <si>
    <t>Count of Craton</t>
  </si>
  <si>
    <t>Percent</t>
  </si>
  <si>
    <t>K-Norm</t>
  </si>
  <si>
    <t>Al/Sr</t>
  </si>
  <si>
    <t>Mg/Sr</t>
  </si>
  <si>
    <t>Nb/Sr</t>
  </si>
  <si>
    <t>U/Sr</t>
  </si>
  <si>
    <t>MgO/La</t>
  </si>
  <si>
    <t>Al2O3/La</t>
  </si>
  <si>
    <t>MgO/Sr</t>
  </si>
  <si>
    <t>MgO/Ba</t>
  </si>
  <si>
    <t>Al2O3/Sr</t>
  </si>
  <si>
    <t>Al2O3/Ba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</si>
</sst>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 ;\(\$#,##0\)"/>
    <numFmt numFmtId="168" formatCode="0E+00"/>
  </numFmts>
  <fonts count="44">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8"/>
      <color theme="1"/>
      <name val="Advm1046a"/>
    </font>
    <font>
      <sz val="11"/>
      <color theme="1"/>
      <name val="Calibri"/>
      <family val="2"/>
      <charset val="177"/>
      <scheme val="minor"/>
    </font>
    <font>
      <sz val="10"/>
      <name val="Arial"/>
      <family val="2"/>
    </font>
    <font>
      <u/>
      <sz val="11"/>
      <name val="Calibri"/>
      <family val="2"/>
      <scheme val="minor"/>
    </font>
    <font>
      <b/>
      <sz val="11"/>
      <color theme="1"/>
      <name val="Calibri"/>
      <family val="2"/>
      <scheme val="minor"/>
    </font>
    <font>
      <sz val="10"/>
      <name val="Arial"/>
      <family val="2"/>
    </font>
    <font>
      <sz val="12"/>
      <color indexed="24"/>
      <name val="Arial"/>
      <family val="2"/>
    </font>
    <font>
      <sz val="18"/>
      <color indexed="24"/>
      <name val="Arial"/>
      <family val="2"/>
    </font>
    <font>
      <sz val="8"/>
      <color indexed="24"/>
      <name val="Arial"/>
      <family val="2"/>
    </font>
    <font>
      <b/>
      <sz val="12"/>
      <color theme="1"/>
      <name val="Calibri"/>
      <family val="2"/>
      <scheme val="minor"/>
    </font>
    <font>
      <b/>
      <sz val="12"/>
      <color rgb="FF336600"/>
      <name val="Calibri"/>
      <family val="2"/>
      <scheme val="minor"/>
    </font>
    <font>
      <b/>
      <sz val="12"/>
      <color rgb="FFCC0000"/>
      <name val="Calibri"/>
      <family val="2"/>
      <scheme val="minor"/>
    </font>
    <font>
      <sz val="12"/>
      <color rgb="FFCC0000"/>
      <name val="Calibri"/>
      <family val="2"/>
      <scheme val="minor"/>
    </font>
    <font>
      <b/>
      <sz val="12"/>
      <color rgb="FF7030A0"/>
      <name val="Calibri"/>
      <family val="2"/>
      <scheme val="minor"/>
    </font>
    <font>
      <sz val="12"/>
      <color rgb="FF7030A0"/>
      <name val="Calibri"/>
      <family val="2"/>
      <scheme val="minor"/>
    </font>
    <font>
      <b/>
      <sz val="12"/>
      <color theme="8"/>
      <name val="Calibri"/>
      <family val="2"/>
      <scheme val="minor"/>
    </font>
    <font>
      <sz val="12"/>
      <name val="Calibri"/>
      <family val="2"/>
      <scheme val="minor"/>
    </font>
    <font>
      <sz val="7"/>
      <color theme="1"/>
      <name val="Times New Roman"/>
      <family val="1"/>
    </font>
    <font>
      <b/>
      <sz val="12"/>
      <name val="Calibri"/>
      <family val="2"/>
      <scheme val="minor"/>
    </font>
    <font>
      <b/>
      <vertAlign val="subscript"/>
      <sz val="12"/>
      <name val="Calibri"/>
      <family val="2"/>
      <scheme val="minor"/>
    </font>
    <font>
      <b/>
      <vertAlign val="superscript"/>
      <sz val="12"/>
      <name val="Calibri"/>
      <family val="2"/>
      <scheme val="minor"/>
    </font>
    <font>
      <b/>
      <sz val="12"/>
      <color rgb="FF009999"/>
      <name val="Calibri"/>
      <family val="2"/>
      <scheme val="minor"/>
    </font>
    <font>
      <sz val="12"/>
      <color theme="1"/>
      <name val="Calibri"/>
      <family val="2"/>
      <scheme val="minor"/>
    </font>
    <font>
      <b/>
      <sz val="12"/>
      <color theme="5" tint="-0.249977111117893"/>
      <name val="Calibri"/>
      <family val="2"/>
      <scheme val="minor"/>
    </font>
    <font>
      <sz val="12"/>
      <color theme="5" tint="-0.249977111117893"/>
      <name val="Calibri"/>
      <family val="2"/>
      <scheme val="minor"/>
    </font>
    <font>
      <b/>
      <sz val="12"/>
      <color rgb="FF002060"/>
      <name val="Calibri"/>
      <family val="2"/>
      <scheme val="minor"/>
    </font>
    <font>
      <b/>
      <sz val="12"/>
      <name val="Calibri"/>
      <family val="2"/>
    </font>
    <font>
      <b/>
      <sz val="11"/>
      <name val="Calibri"/>
      <family val="2"/>
      <scheme val="minor"/>
    </font>
    <font>
      <sz val="8"/>
      <color theme="1"/>
      <name val="Calibri"/>
      <family val="2"/>
      <scheme val="minor"/>
    </font>
    <font>
      <sz val="11"/>
      <color rgb="FFFF0000"/>
      <name val="Calibri"/>
      <family val="2"/>
      <scheme val="minor"/>
    </font>
    <font>
      <b/>
      <sz val="9"/>
      <name val="Times New Roman"/>
      <family val="1"/>
    </font>
    <font>
      <sz val="11"/>
      <color theme="5"/>
      <name val="Calibri"/>
      <family val="2"/>
      <scheme val="minor"/>
    </font>
    <font>
      <sz val="11"/>
      <color rgb="FF00B0F0"/>
      <name val="Calibri"/>
      <family val="2"/>
      <scheme val="minor"/>
    </font>
    <font>
      <b/>
      <sz val="11"/>
      <color rgb="FF00B0F0"/>
      <name val="Calibri"/>
      <family val="2"/>
      <scheme val="minor"/>
    </font>
    <font>
      <b/>
      <sz val="11"/>
      <color theme="5"/>
      <name val="Calibri"/>
      <family val="2"/>
      <scheme val="minor"/>
    </font>
    <font>
      <sz val="11"/>
      <color rgb="FF9933FF"/>
      <name val="Calibri"/>
      <family val="2"/>
      <scheme val="minor"/>
    </font>
    <font>
      <b/>
      <sz val="10.5"/>
      <color theme="1"/>
      <name val="Times New Roman"/>
      <family val="1"/>
    </font>
    <font>
      <b/>
      <vertAlign val="superscript"/>
      <sz val="8"/>
      <color theme="1"/>
      <name val="Times New Roman"/>
      <family val="1"/>
    </font>
    <font>
      <sz val="10.5"/>
      <color theme="1"/>
      <name val="Times New Roman"/>
      <family val="1"/>
    </font>
    <font>
      <i/>
      <sz val="10.5"/>
      <color theme="1"/>
      <name val="Times New Roman"/>
      <family val="1"/>
    </font>
  </fonts>
  <fills count="26">
    <fill>
      <patternFill patternType="none"/>
    </fill>
    <fill>
      <patternFill patternType="gray125"/>
    </fill>
    <fill>
      <patternFill patternType="solid">
        <fgColor rgb="FFFFCCCC"/>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7D1D1"/>
        <bgColor indexed="64"/>
      </patternFill>
    </fill>
    <fill>
      <patternFill patternType="solid">
        <fgColor rgb="FFDACFF1"/>
        <bgColor indexed="64"/>
      </patternFill>
    </fill>
    <fill>
      <patternFill patternType="solid">
        <fgColor them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B7E0E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E7E6E6"/>
        <bgColor rgb="FF000000"/>
      </patternFill>
    </fill>
    <fill>
      <patternFill patternType="solid">
        <fgColor rgb="FF8EA9DB"/>
        <bgColor rgb="FF000000"/>
      </patternFill>
    </fill>
    <fill>
      <patternFill patternType="solid">
        <fgColor rgb="FFFFFF99"/>
        <bgColor rgb="FF000000"/>
      </patternFill>
    </fill>
    <fill>
      <patternFill patternType="solid">
        <fgColor rgb="FFA9D08E"/>
        <bgColor rgb="FF000000"/>
      </patternFill>
    </fill>
    <fill>
      <patternFill patternType="solid">
        <fgColor rgb="FFFF9999"/>
        <bgColor rgb="FF000000"/>
      </patternFill>
    </fill>
    <fill>
      <patternFill patternType="solid">
        <fgColor rgb="FFFFCC66"/>
        <bgColor rgb="FF000000"/>
      </patternFill>
    </fill>
    <fill>
      <patternFill patternType="solid">
        <fgColor theme="9"/>
        <bgColor indexed="64"/>
      </patternFill>
    </fill>
    <fill>
      <patternFill patternType="solid">
        <fgColor theme="7"/>
        <bgColor indexed="64"/>
      </patternFill>
    </fill>
    <fill>
      <patternFill patternType="solid">
        <fgColor theme="4" tint="0.79998168889431442"/>
        <bgColor theme="4" tint="0.79998168889431442"/>
      </patternFill>
    </fill>
  </fills>
  <borders count="5">
    <border>
      <left/>
      <right/>
      <top/>
      <bottom/>
      <diagonal/>
    </border>
    <border>
      <left style="thin">
        <color indexed="8"/>
      </left>
      <right/>
      <top/>
      <bottom/>
      <diagonal/>
    </border>
    <border>
      <left/>
      <right/>
      <top style="double">
        <color indexed="64"/>
      </top>
      <bottom/>
      <diagonal/>
    </border>
    <border>
      <left/>
      <right/>
      <top style="medium">
        <color rgb="FFEBEBEB"/>
      </top>
      <bottom style="medium">
        <color rgb="FFEBEBEB"/>
      </bottom>
      <diagonal/>
    </border>
    <border>
      <left/>
      <right/>
      <top style="thin">
        <color theme="4" tint="0.39997558519241921"/>
      </top>
      <bottom/>
      <diagonal/>
    </border>
  </borders>
  <cellStyleXfs count="13">
    <xf numFmtId="0" fontId="0" fillId="0" borderId="0"/>
    <xf numFmtId="0" fontId="2" fillId="0" borderId="0" applyNumberFormat="0" applyFill="0" applyBorder="0" applyAlignment="0" applyProtection="0"/>
    <xf numFmtId="0" fontId="5" fillId="0" borderId="0"/>
    <xf numFmtId="9" fontId="5" fillId="0" borderId="0" applyFont="0" applyFill="0" applyBorder="0" applyAlignment="0" applyProtection="0"/>
    <xf numFmtId="0" fontId="6" fillId="0" borderId="0"/>
    <xf numFmtId="0" fontId="9" fillId="0" borderId="0"/>
    <xf numFmtId="3" fontId="10" fillId="0" borderId="0" applyFont="0" applyFill="0" applyBorder="0" applyAlignment="0" applyProtection="0"/>
    <xf numFmtId="167" fontId="10" fillId="0" borderId="0" applyFont="0" applyFill="0" applyBorder="0" applyAlignment="0" applyProtection="0"/>
    <xf numFmtId="0" fontId="10" fillId="0" borderId="0" applyFont="0" applyFill="0" applyBorder="0" applyAlignment="0" applyProtection="0"/>
    <xf numFmtId="2"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0" fillId="0" borderId="2" applyNumberFormat="0" applyFont="0" applyFill="0" applyAlignment="0" applyProtection="0"/>
  </cellStyleXfs>
  <cellXfs count="169">
    <xf numFmtId="0" fontId="0" fillId="0" borderId="0" xfId="0"/>
    <xf numFmtId="2"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1" fillId="0" borderId="0" xfId="0" applyFont="1"/>
    <xf numFmtId="0" fontId="4" fillId="0" borderId="0" xfId="0" applyFont="1" applyAlignment="1">
      <alignment vertical="center" wrapText="1"/>
    </xf>
    <xf numFmtId="11" fontId="0" fillId="0" borderId="0" xfId="0" applyNumberFormat="1"/>
    <xf numFmtId="0" fontId="1" fillId="0" borderId="0" xfId="0" applyFont="1" applyAlignment="1">
      <alignment horizontal="left"/>
    </xf>
    <xf numFmtId="0" fontId="0" fillId="2" borderId="0" xfId="0" applyFill="1"/>
    <xf numFmtId="2" fontId="1" fillId="0" borderId="0" xfId="0" applyNumberFormat="1" applyFont="1" applyAlignment="1">
      <alignment horizontal="center" vertical="center"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7" fillId="0" borderId="0" xfId="1" applyFont="1" applyAlignment="1">
      <alignment horizontal="left"/>
    </xf>
    <xf numFmtId="0" fontId="7" fillId="0" borderId="0" xfId="1" applyFont="1" applyFill="1" applyAlignment="1">
      <alignment horizontal="left"/>
    </xf>
    <xf numFmtId="2" fontId="7" fillId="0" borderId="0" xfId="1" applyNumberFormat="1" applyFont="1" applyFill="1" applyAlignment="1">
      <alignment horizontal="left" vertical="center"/>
    </xf>
    <xf numFmtId="1" fontId="1" fillId="0" borderId="0" xfId="0" applyNumberFormat="1" applyFont="1" applyAlignment="1">
      <alignment horizontal="left" vertical="center"/>
    </xf>
    <xf numFmtId="0" fontId="7" fillId="0" borderId="0" xfId="1" applyFont="1"/>
    <xf numFmtId="165" fontId="1" fillId="0" borderId="0" xfId="0" applyNumberFormat="1" applyFont="1" applyAlignment="1">
      <alignment horizontal="left" vertical="center"/>
    </xf>
    <xf numFmtId="165" fontId="0" fillId="0" borderId="0" xfId="0" applyNumberFormat="1"/>
    <xf numFmtId="0" fontId="0" fillId="0" borderId="1" xfId="0" applyBorder="1" applyAlignment="1">
      <alignment horizontal="center" vertical="top" wrapText="1"/>
    </xf>
    <xf numFmtId="0" fontId="0" fillId="3" borderId="0" xfId="0" applyFill="1"/>
    <xf numFmtId="0" fontId="0" fillId="3" borderId="1" xfId="0" applyFill="1" applyBorder="1" applyAlignment="1">
      <alignment horizontal="center" vertical="top" wrapText="1"/>
    </xf>
    <xf numFmtId="0" fontId="0" fillId="3" borderId="0" xfId="0" applyFill="1" applyAlignment="1">
      <alignment horizontal="center"/>
    </xf>
    <xf numFmtId="0" fontId="0" fillId="3" borderId="0" xfId="0" applyFill="1" applyAlignment="1">
      <alignment horizontal="center" vertical="top" wrapText="1"/>
    </xf>
    <xf numFmtId="164" fontId="1" fillId="0" borderId="0" xfId="0" applyNumberFormat="1" applyFont="1" applyAlignment="1">
      <alignment horizontal="left" vertical="center"/>
    </xf>
    <xf numFmtId="2" fontId="1" fillId="0" borderId="0" xfId="0" applyNumberFormat="1" applyFont="1" applyAlignment="1">
      <alignment horizontal="left" vertical="center"/>
    </xf>
    <xf numFmtId="1" fontId="1" fillId="0" borderId="0" xfId="0" applyNumberFormat="1" applyFont="1" applyAlignment="1">
      <alignment horizontal="right" vertical="center"/>
    </xf>
    <xf numFmtId="165" fontId="1" fillId="0" borderId="0" xfId="0" applyNumberFormat="1" applyFont="1" applyAlignment="1">
      <alignment horizontal="right" vertical="center"/>
    </xf>
    <xf numFmtId="165" fontId="0" fillId="0" borderId="0" xfId="0" applyNumberFormat="1" applyAlignment="1">
      <alignment horizontal="right"/>
    </xf>
    <xf numFmtId="2" fontId="1" fillId="0" borderId="0" xfId="0" applyNumberFormat="1" applyFont="1" applyAlignment="1">
      <alignment horizontal="right" vertical="center"/>
    </xf>
    <xf numFmtId="166" fontId="1" fillId="0" borderId="0" xfId="0" applyNumberFormat="1" applyFont="1" applyAlignment="1">
      <alignment horizontal="right" vertical="center"/>
    </xf>
    <xf numFmtId="0" fontId="8" fillId="4" borderId="0" xfId="0" applyFont="1" applyFill="1"/>
    <xf numFmtId="0" fontId="14" fillId="3" borderId="0" xfId="0" applyFont="1" applyFill="1"/>
    <xf numFmtId="165" fontId="0" fillId="3" borderId="0" xfId="0" applyNumberFormat="1" applyFill="1"/>
    <xf numFmtId="165" fontId="0" fillId="3" borderId="0" xfId="0" applyNumberFormat="1" applyFill="1" applyAlignment="1">
      <alignment horizontal="right"/>
    </xf>
    <xf numFmtId="0" fontId="15" fillId="6" borderId="0" xfId="0" applyFont="1" applyFill="1"/>
    <xf numFmtId="0" fontId="16" fillId="6" borderId="0" xfId="0" applyFont="1" applyFill="1"/>
    <xf numFmtId="165" fontId="16" fillId="6" borderId="0" xfId="0" applyNumberFormat="1" applyFont="1" applyFill="1"/>
    <xf numFmtId="165" fontId="16" fillId="6" borderId="0" xfId="0" applyNumberFormat="1" applyFont="1" applyFill="1" applyAlignment="1">
      <alignment horizontal="right"/>
    </xf>
    <xf numFmtId="0" fontId="17" fillId="7" borderId="0" xfId="0" applyFont="1" applyFill="1"/>
    <xf numFmtId="0" fontId="18" fillId="7" borderId="0" xfId="0" applyFont="1" applyFill="1"/>
    <xf numFmtId="165" fontId="18" fillId="7" borderId="0" xfId="0" applyNumberFormat="1" applyFont="1" applyFill="1"/>
    <xf numFmtId="0" fontId="19" fillId="4" borderId="0" xfId="0" applyFont="1" applyFill="1"/>
    <xf numFmtId="165" fontId="1" fillId="0" borderId="0" xfId="0" applyNumberFormat="1" applyFont="1"/>
    <xf numFmtId="165" fontId="1" fillId="0" borderId="0" xfId="0" applyNumberFormat="1" applyFont="1" applyAlignment="1">
      <alignment horizontal="right"/>
    </xf>
    <xf numFmtId="0" fontId="20" fillId="0" borderId="0" xfId="0" applyFont="1"/>
    <xf numFmtId="165" fontId="20" fillId="0" borderId="0" xfId="0" applyNumberFormat="1" applyFont="1"/>
    <xf numFmtId="165" fontId="20" fillId="0" borderId="0" xfId="0" applyNumberFormat="1" applyFont="1" applyAlignment="1">
      <alignment horizontal="right"/>
    </xf>
    <xf numFmtId="0" fontId="1" fillId="0" borderId="0" xfId="0" applyFont="1" applyAlignment="1">
      <alignment horizontal="right"/>
    </xf>
    <xf numFmtId="164" fontId="1" fillId="0" borderId="0" xfId="0" applyNumberFormat="1" applyFont="1" applyAlignment="1">
      <alignment horizontal="left"/>
    </xf>
    <xf numFmtId="166" fontId="1" fillId="0" borderId="0" xfId="0" applyNumberFormat="1" applyFont="1" applyAlignment="1">
      <alignment horizontal="right"/>
    </xf>
    <xf numFmtId="2" fontId="1" fillId="0" borderId="0" xfId="0" applyNumberFormat="1" applyFont="1" applyAlignment="1">
      <alignment horizontal="right"/>
    </xf>
    <xf numFmtId="2" fontId="1" fillId="0" borderId="0" xfId="0" applyNumberFormat="1" applyFont="1"/>
    <xf numFmtId="1" fontId="22" fillId="8" borderId="0" xfId="0" applyNumberFormat="1" applyFont="1" applyFill="1" applyAlignment="1">
      <alignment horizontal="left" vertical="center"/>
    </xf>
    <xf numFmtId="165" fontId="22" fillId="8" borderId="0" xfId="0" applyNumberFormat="1" applyFont="1" applyFill="1" applyAlignment="1">
      <alignment horizontal="left" vertical="center"/>
    </xf>
    <xf numFmtId="0" fontId="22" fillId="8" borderId="0" xfId="0" applyFont="1" applyFill="1" applyAlignment="1">
      <alignment horizontal="left" vertical="center"/>
    </xf>
    <xf numFmtId="1" fontId="22" fillId="9" borderId="0" xfId="0" applyNumberFormat="1" applyFont="1" applyFill="1" applyAlignment="1">
      <alignment horizontal="left" vertical="center"/>
    </xf>
    <xf numFmtId="0" fontId="22" fillId="4" borderId="0" xfId="0" applyFont="1" applyFill="1" applyAlignment="1">
      <alignment horizontal="left" vertical="center" wrapText="1"/>
    </xf>
    <xf numFmtId="0" fontId="22" fillId="10" borderId="0" xfId="0" applyFont="1" applyFill="1" applyAlignment="1">
      <alignment horizontal="left" vertical="center"/>
    </xf>
    <xf numFmtId="165" fontId="22" fillId="10" borderId="0" xfId="0" applyNumberFormat="1" applyFont="1" applyFill="1" applyAlignment="1">
      <alignment horizontal="left" vertical="center"/>
    </xf>
    <xf numFmtId="165" fontId="22" fillId="11" borderId="0" xfId="0" applyNumberFormat="1" applyFont="1" applyFill="1" applyAlignment="1">
      <alignment horizontal="left" vertical="center"/>
    </xf>
    <xf numFmtId="0" fontId="22" fillId="12" borderId="0" xfId="0" applyFont="1" applyFill="1" applyAlignment="1">
      <alignment horizontal="left" vertical="center" wrapText="1"/>
    </xf>
    <xf numFmtId="166" fontId="0" fillId="0" borderId="0" xfId="0" applyNumberFormat="1" applyAlignment="1">
      <alignment horizontal="right"/>
    </xf>
    <xf numFmtId="2" fontId="0" fillId="0" borderId="0" xfId="0" applyNumberFormat="1" applyAlignment="1">
      <alignment horizontal="right"/>
    </xf>
    <xf numFmtId="0" fontId="25" fillId="13" borderId="0" xfId="0" applyFont="1" applyFill="1"/>
    <xf numFmtId="0" fontId="26" fillId="13" borderId="0" xfId="0" applyFont="1" applyFill="1"/>
    <xf numFmtId="165" fontId="26" fillId="13" borderId="0" xfId="0" applyNumberFormat="1" applyFont="1" applyFill="1"/>
    <xf numFmtId="0" fontId="27" fillId="5" borderId="0" xfId="0" applyFont="1" applyFill="1"/>
    <xf numFmtId="0" fontId="28" fillId="5" borderId="0" xfId="0" applyFont="1" applyFill="1"/>
    <xf numFmtId="165" fontId="28" fillId="5" borderId="0" xfId="0" applyNumberFormat="1" applyFont="1" applyFill="1"/>
    <xf numFmtId="165" fontId="28" fillId="5" borderId="0" xfId="0" applyNumberFormat="1" applyFont="1" applyFill="1" applyAlignment="1">
      <alignment horizontal="right"/>
    </xf>
    <xf numFmtId="0" fontId="29" fillId="4" borderId="0" xfId="0" applyFont="1" applyFill="1"/>
    <xf numFmtId="165" fontId="29" fillId="4" borderId="0" xfId="0" applyNumberFormat="1" applyFont="1" applyFill="1"/>
    <xf numFmtId="165" fontId="29" fillId="4" borderId="0" xfId="0" applyNumberFormat="1" applyFont="1" applyFill="1" applyAlignment="1">
      <alignment horizontal="right"/>
    </xf>
    <xf numFmtId="0" fontId="13" fillId="8" borderId="0" xfId="0" applyFont="1" applyFill="1"/>
    <xf numFmtId="0" fontId="22" fillId="8" borderId="0" xfId="0" applyFont="1" applyFill="1" applyAlignment="1">
      <alignment horizontal="left" vertical="center" wrapText="1"/>
    </xf>
    <xf numFmtId="0" fontId="31" fillId="8" borderId="0" xfId="0" applyFont="1" applyFill="1" applyAlignment="1">
      <alignment horizontal="left"/>
    </xf>
    <xf numFmtId="0" fontId="8" fillId="8" borderId="0" xfId="0" applyFont="1" applyFill="1" applyAlignment="1">
      <alignment horizontal="center"/>
    </xf>
    <xf numFmtId="0" fontId="8" fillId="8" borderId="0" xfId="0" applyFont="1" applyFill="1" applyAlignment="1">
      <alignment horizontal="left"/>
    </xf>
    <xf numFmtId="0" fontId="8" fillId="8" borderId="0" xfId="0" applyFont="1" applyFill="1"/>
    <xf numFmtId="3" fontId="0" fillId="0" borderId="0" xfId="0" applyNumberFormat="1"/>
    <xf numFmtId="1" fontId="0" fillId="0" borderId="0" xfId="0" applyNumberFormat="1"/>
    <xf numFmtId="0" fontId="0" fillId="0" borderId="0" xfId="0" applyAlignment="1">
      <alignment vertical="center"/>
    </xf>
    <xf numFmtId="0" fontId="0" fillId="8" borderId="0" xfId="0" applyFill="1"/>
    <xf numFmtId="0" fontId="32" fillId="0" borderId="0" xfId="0" applyFont="1" applyAlignment="1">
      <alignment vertical="center"/>
    </xf>
    <xf numFmtId="1" fontId="1" fillId="0" borderId="0" xfId="0" applyNumberFormat="1" applyFont="1"/>
    <xf numFmtId="0" fontId="34" fillId="0" borderId="0" xfId="0" applyFont="1" applyAlignment="1">
      <alignment vertical="center"/>
    </xf>
    <xf numFmtId="1" fontId="22" fillId="8" borderId="0" xfId="0" applyNumberFormat="1" applyFont="1" applyFill="1" applyAlignment="1">
      <alignment horizontal="right" vertical="center"/>
    </xf>
    <xf numFmtId="165" fontId="22" fillId="0" borderId="0" xfId="0" applyNumberFormat="1" applyFont="1" applyAlignment="1">
      <alignment horizontal="left" vertical="center"/>
    </xf>
    <xf numFmtId="0" fontId="33" fillId="0" borderId="0" xfId="0" applyFont="1"/>
    <xf numFmtId="2" fontId="1" fillId="0" borderId="0" xfId="0" applyNumberFormat="1" applyFont="1" applyAlignment="1">
      <alignment horizontal="left"/>
    </xf>
    <xf numFmtId="1" fontId="22" fillId="0" borderId="0" xfId="0" applyNumberFormat="1" applyFont="1" applyAlignment="1">
      <alignment horizontal="center" vertical="center"/>
    </xf>
    <xf numFmtId="1" fontId="37" fillId="0" borderId="0" xfId="0" applyNumberFormat="1" applyFont="1" applyAlignment="1">
      <alignment horizontal="left" vertical="center"/>
    </xf>
    <xf numFmtId="2" fontId="33" fillId="0" borderId="0" xfId="0" applyNumberFormat="1" applyFont="1" applyAlignment="1">
      <alignment horizontal="left" vertical="center"/>
    </xf>
    <xf numFmtId="2" fontId="0" fillId="0" borderId="0" xfId="0" applyNumberFormat="1"/>
    <xf numFmtId="0" fontId="37" fillId="0" borderId="0" xfId="0" applyFont="1"/>
    <xf numFmtId="2" fontId="38" fillId="0" borderId="0" xfId="0" applyNumberFormat="1" applyFont="1" applyAlignment="1">
      <alignment horizontal="left" vertical="center"/>
    </xf>
    <xf numFmtId="2" fontId="35" fillId="0" borderId="0" xfId="0" applyNumberFormat="1" applyFont="1" applyAlignment="1">
      <alignment horizontal="left" vertical="center"/>
    </xf>
    <xf numFmtId="2" fontId="31" fillId="0" borderId="0" xfId="0" applyNumberFormat="1" applyFont="1" applyAlignment="1">
      <alignment horizontal="left" vertical="center"/>
    </xf>
    <xf numFmtId="0" fontId="26" fillId="0" borderId="0" xfId="0" applyFont="1"/>
    <xf numFmtId="1" fontId="31" fillId="0" borderId="0" xfId="0" applyNumberFormat="1" applyFont="1" applyAlignment="1">
      <alignment horizontal="left" vertical="center"/>
    </xf>
    <xf numFmtId="2" fontId="22" fillId="0" borderId="0" xfId="0" applyNumberFormat="1" applyFont="1" applyAlignment="1">
      <alignment horizontal="center" vertical="center"/>
    </xf>
    <xf numFmtId="2" fontId="37" fillId="0" borderId="0" xfId="0" applyNumberFormat="1" applyFont="1" applyAlignment="1">
      <alignment horizontal="left" vertical="center"/>
    </xf>
    <xf numFmtId="2" fontId="33" fillId="0" borderId="0" xfId="0" applyNumberFormat="1" applyFont="1"/>
    <xf numFmtId="2" fontId="26" fillId="0" borderId="0" xfId="0" applyNumberFormat="1" applyFont="1"/>
    <xf numFmtId="2" fontId="39" fillId="0" borderId="0" xfId="0" applyNumberFormat="1" applyFont="1" applyAlignment="1">
      <alignment horizontal="left" vertical="center"/>
    </xf>
    <xf numFmtId="2" fontId="36" fillId="0" borderId="0" xfId="0" applyNumberFormat="1" applyFont="1" applyAlignment="1">
      <alignment horizontal="left" vertical="center"/>
    </xf>
    <xf numFmtId="0" fontId="40" fillId="0" borderId="3"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3" xfId="1" applyBorder="1" applyAlignment="1">
      <alignment horizontal="center" vertical="center" wrapText="1"/>
    </xf>
    <xf numFmtId="0" fontId="0" fillId="0" borderId="0" xfId="0" applyAlignment="1">
      <alignment vertical="center" wrapText="1"/>
    </xf>
    <xf numFmtId="0" fontId="42" fillId="0" borderId="0" xfId="0" applyFont="1" applyAlignment="1">
      <alignment vertical="center" wrapText="1"/>
    </xf>
    <xf numFmtId="0" fontId="2" fillId="0" borderId="0" xfId="1" applyAlignment="1">
      <alignment vertical="center" wrapText="1"/>
    </xf>
    <xf numFmtId="0" fontId="43" fillId="0" borderId="0" xfId="0" applyFont="1" applyAlignment="1">
      <alignment vertical="center" wrapText="1"/>
    </xf>
    <xf numFmtId="3" fontId="42" fillId="0" borderId="0" xfId="0" applyNumberFormat="1" applyFont="1" applyAlignment="1">
      <alignment vertical="center" wrapText="1"/>
    </xf>
    <xf numFmtId="0" fontId="40" fillId="0" borderId="0" xfId="0" applyFont="1" applyAlignment="1">
      <alignment horizontal="center" vertical="center" wrapText="1"/>
    </xf>
    <xf numFmtId="168" fontId="0" fillId="0" borderId="0" xfId="0" applyNumberFormat="1"/>
    <xf numFmtId="0" fontId="0" fillId="0" borderId="0" xfId="0" applyAlignment="1">
      <alignment horizontal="right"/>
    </xf>
    <xf numFmtId="1" fontId="22" fillId="17" borderId="0" xfId="0" applyNumberFormat="1" applyFont="1" applyFill="1" applyAlignment="1">
      <alignment horizontal="left" vertical="center"/>
    </xf>
    <xf numFmtId="1" fontId="22" fillId="17" borderId="0" xfId="0" applyNumberFormat="1" applyFont="1" applyFill="1" applyAlignment="1">
      <alignment horizontal="right" vertical="center"/>
    </xf>
    <xf numFmtId="1" fontId="1" fillId="18" borderId="0" xfId="0" applyNumberFormat="1" applyFont="1" applyFill="1" applyAlignment="1">
      <alignment horizontal="left" vertical="center"/>
    </xf>
    <xf numFmtId="1" fontId="1" fillId="19" borderId="0" xfId="0" applyNumberFormat="1" applyFont="1" applyFill="1" applyAlignment="1">
      <alignment horizontal="left" vertical="center"/>
    </xf>
    <xf numFmtId="1" fontId="1" fillId="20" borderId="0" xfId="0" applyNumberFormat="1" applyFont="1" applyFill="1" applyAlignment="1">
      <alignment horizontal="left" vertical="center"/>
    </xf>
    <xf numFmtId="1" fontId="1" fillId="21" borderId="0" xfId="0" applyNumberFormat="1" applyFont="1" applyFill="1" applyAlignment="1">
      <alignment horizontal="left" vertical="center"/>
    </xf>
    <xf numFmtId="1" fontId="1" fillId="22" borderId="0" xfId="0" applyNumberFormat="1" applyFont="1" applyFill="1" applyAlignment="1">
      <alignment horizontal="left" vertical="center"/>
    </xf>
    <xf numFmtId="165" fontId="22" fillId="23" borderId="0" xfId="0" applyNumberFormat="1" applyFont="1" applyFill="1" applyAlignment="1">
      <alignment horizontal="left" vertical="center"/>
    </xf>
    <xf numFmtId="165" fontId="1" fillId="23" borderId="0" xfId="0" applyNumberFormat="1" applyFont="1" applyFill="1" applyAlignment="1">
      <alignment horizontal="left" vertical="center"/>
    </xf>
    <xf numFmtId="1" fontId="1" fillId="23" borderId="0" xfId="0" applyNumberFormat="1" applyFont="1" applyFill="1" applyAlignment="1">
      <alignment horizontal="left" vertical="center"/>
    </xf>
    <xf numFmtId="2" fontId="1" fillId="23" borderId="0" xfId="0" applyNumberFormat="1" applyFont="1" applyFill="1" applyAlignment="1">
      <alignment horizontal="left" vertical="center"/>
    </xf>
    <xf numFmtId="0" fontId="1" fillId="23" borderId="0" xfId="0" applyFont="1" applyFill="1"/>
    <xf numFmtId="165" fontId="1" fillId="23" borderId="0" xfId="0" applyNumberFormat="1" applyFont="1" applyFill="1"/>
    <xf numFmtId="165" fontId="20" fillId="23" borderId="0" xfId="0" applyNumberFormat="1" applyFont="1" applyFill="1"/>
    <xf numFmtId="165" fontId="22" fillId="24" borderId="0" xfId="0" applyNumberFormat="1" applyFont="1" applyFill="1" applyAlignment="1">
      <alignment horizontal="left" vertical="center"/>
    </xf>
    <xf numFmtId="165" fontId="1" fillId="24" borderId="0" xfId="0" applyNumberFormat="1" applyFont="1" applyFill="1" applyAlignment="1">
      <alignment horizontal="left" vertical="center"/>
    </xf>
    <xf numFmtId="1" fontId="1" fillId="24" borderId="0" xfId="0" applyNumberFormat="1" applyFont="1" applyFill="1" applyAlignment="1">
      <alignment horizontal="left" vertical="center"/>
    </xf>
    <xf numFmtId="2" fontId="1" fillId="24" borderId="0" xfId="0" applyNumberFormat="1" applyFont="1" applyFill="1" applyAlignment="1">
      <alignment horizontal="left" vertical="center"/>
    </xf>
    <xf numFmtId="0" fontId="1" fillId="24" borderId="0" xfId="0" applyFont="1" applyFill="1"/>
    <xf numFmtId="165" fontId="1" fillId="24" borderId="0" xfId="0" applyNumberFormat="1" applyFont="1" applyFill="1"/>
    <xf numFmtId="165" fontId="20" fillId="24" borderId="0" xfId="0" applyNumberFormat="1" applyFont="1" applyFill="1"/>
    <xf numFmtId="0" fontId="1" fillId="23" borderId="0" xfId="0" applyFont="1" applyFill="1" applyAlignment="1">
      <alignment horizontal="right"/>
    </xf>
    <xf numFmtId="165" fontId="1" fillId="23" borderId="0" xfId="0" applyNumberFormat="1" applyFont="1" applyFill="1" applyAlignment="1">
      <alignment horizontal="right"/>
    </xf>
    <xf numFmtId="165" fontId="20" fillId="23" borderId="0" xfId="0" applyNumberFormat="1" applyFont="1" applyFill="1" applyAlignment="1">
      <alignment horizontal="right"/>
    </xf>
    <xf numFmtId="0" fontId="0" fillId="0" borderId="0" xfId="0" pivotButton="1"/>
    <xf numFmtId="0" fontId="8" fillId="25" borderId="4" xfId="0" applyFont="1" applyFill="1" applyBorder="1" applyAlignment="1">
      <alignment horizontal="left"/>
    </xf>
    <xf numFmtId="0" fontId="8" fillId="25" borderId="4" xfId="0" applyFont="1" applyFill="1" applyBorder="1"/>
    <xf numFmtId="10" fontId="0" fillId="0" borderId="0" xfId="0" applyNumberFormat="1"/>
    <xf numFmtId="2" fontId="22" fillId="17" borderId="0" xfId="0" applyNumberFormat="1" applyFont="1" applyFill="1" applyAlignment="1">
      <alignment horizontal="left" vertical="center"/>
    </xf>
    <xf numFmtId="2" fontId="22" fillId="17" borderId="0" xfId="0" applyNumberFormat="1" applyFont="1" applyFill="1" applyAlignment="1">
      <alignment horizontal="right" vertical="center"/>
    </xf>
    <xf numFmtId="2" fontId="22" fillId="8" borderId="0" xfId="0" applyNumberFormat="1" applyFont="1" applyFill="1" applyAlignment="1">
      <alignment horizontal="left" vertical="center"/>
    </xf>
    <xf numFmtId="2" fontId="22" fillId="23" borderId="0" xfId="0" applyNumberFormat="1" applyFont="1" applyFill="1" applyAlignment="1">
      <alignment horizontal="left" vertical="center"/>
    </xf>
    <xf numFmtId="2" fontId="22" fillId="24" borderId="0" xfId="0" applyNumberFormat="1" applyFont="1" applyFill="1" applyAlignment="1">
      <alignment horizontal="left" vertical="center"/>
    </xf>
    <xf numFmtId="2" fontId="1" fillId="18" borderId="0" xfId="0" applyNumberFormat="1" applyFont="1" applyFill="1" applyAlignment="1">
      <alignment horizontal="left" vertical="center"/>
    </xf>
    <xf numFmtId="2" fontId="1" fillId="0" borderId="0" xfId="0" applyNumberFormat="1" applyFont="1" applyAlignment="1">
      <alignment horizontal="center"/>
    </xf>
    <xf numFmtId="2" fontId="1" fillId="19" borderId="0" xfId="0" applyNumberFormat="1" applyFont="1" applyFill="1" applyAlignment="1">
      <alignment horizontal="left" vertical="center"/>
    </xf>
    <xf numFmtId="2" fontId="1" fillId="20" borderId="0" xfId="0" applyNumberFormat="1" applyFont="1" applyFill="1" applyAlignment="1">
      <alignment horizontal="left" vertical="center"/>
    </xf>
    <xf numFmtId="2" fontId="1" fillId="21" borderId="0" xfId="0" applyNumberFormat="1" applyFont="1" applyFill="1" applyAlignment="1">
      <alignment horizontal="left" vertical="center"/>
    </xf>
    <xf numFmtId="2" fontId="1" fillId="22" borderId="0" xfId="0" applyNumberFormat="1" applyFont="1" applyFill="1" applyAlignment="1">
      <alignment horizontal="left" vertical="center"/>
    </xf>
    <xf numFmtId="2" fontId="20" fillId="0" borderId="0" xfId="0" applyNumberFormat="1" applyFont="1"/>
    <xf numFmtId="0" fontId="0" fillId="0" borderId="0" xfId="0" applyAlignment="1">
      <alignment horizontal="left" vertical="center" wrapText="1"/>
    </xf>
    <xf numFmtId="0" fontId="0" fillId="0" borderId="0" xfId="0" applyAlignment="1">
      <alignment horizontal="left" vertical="center" wrapText="1" indent="2"/>
    </xf>
    <xf numFmtId="0" fontId="0" fillId="2" borderId="0" xfId="0" applyFill="1" applyAlignment="1">
      <alignment horizontal="left" vertical="center" indent="2"/>
    </xf>
    <xf numFmtId="0" fontId="0" fillId="16" borderId="0" xfId="0" applyFill="1" applyAlignment="1">
      <alignment horizontal="left" vertical="center" indent="2"/>
    </xf>
    <xf numFmtId="0" fontId="0" fillId="15" borderId="0" xfId="0" applyFill="1" applyAlignment="1">
      <alignment horizontal="left" vertical="center" indent="2"/>
    </xf>
    <xf numFmtId="0" fontId="0" fillId="14" borderId="0" xfId="0" applyFill="1" applyAlignment="1">
      <alignment horizontal="left" vertical="center" indent="2"/>
    </xf>
    <xf numFmtId="0" fontId="0" fillId="0" borderId="0" xfId="0" applyAlignment="1">
      <alignment horizontal="left" vertical="center" indent="2"/>
    </xf>
    <xf numFmtId="0" fontId="0" fillId="9" borderId="0" xfId="0" applyFill="1" applyAlignment="1">
      <alignment horizontal="left" vertical="center" indent="2"/>
    </xf>
    <xf numFmtId="0" fontId="0" fillId="0" borderId="0" xfId="0" applyAlignment="1">
      <alignment horizontal="left" wrapText="1"/>
    </xf>
    <xf numFmtId="0" fontId="1" fillId="0" borderId="0" xfId="0" applyFont="1" applyAlignment="1">
      <alignment horizontal="left" wrapText="1"/>
    </xf>
  </cellXfs>
  <cellStyles count="13">
    <cellStyle name="Comma0" xfId="6" xr:uid="{BA96914C-69B6-42C5-B9A6-BE520C21EFC3}"/>
    <cellStyle name="Currency0" xfId="7" xr:uid="{6FBD7C43-E4EF-4EB5-A4EA-A58BE7465205}"/>
    <cellStyle name="Date" xfId="8" xr:uid="{2BD0A426-B3F1-4C12-A712-C73FD6BC8B80}"/>
    <cellStyle name="Fixed" xfId="9" xr:uid="{275EED78-8AD3-4A4A-85CB-4CC8EC3F35DA}"/>
    <cellStyle name="Heading 1 2" xfId="10" xr:uid="{71B64786-8C47-4230-B62C-4B4B29425A66}"/>
    <cellStyle name="Heading 2 2" xfId="11" xr:uid="{9629958B-4FD2-4593-9A22-F144A6682F40}"/>
    <cellStyle name="Hyperlink" xfId="1" builtinId="8"/>
    <cellStyle name="Normal" xfId="0" builtinId="0"/>
    <cellStyle name="Normal 2" xfId="2" xr:uid="{8441F2A5-FCC2-4027-A8F3-0069B5E11C9E}"/>
    <cellStyle name="Normal 2 2" xfId="4" xr:uid="{EF5A4A9E-2A01-4761-9A03-80A70D4368B2}"/>
    <cellStyle name="Normal 3" xfId="5" xr:uid="{82E93FEA-3B8C-4948-9975-76E538F16A5F}"/>
    <cellStyle name="Percent 2" xfId="3" xr:uid="{F532B33B-418E-4FB5-AB64-6C6E23612408}"/>
    <cellStyle name="Total 2" xfId="12" xr:uid="{C7903BBA-0C11-4594-BCAD-5ADF97D4A4DD}"/>
  </cellStyles>
  <dxfs count="16">
    <dxf>
      <fill>
        <patternFill>
          <bgColor rgb="FFFF9999"/>
        </patternFill>
      </fill>
    </dxf>
    <dxf>
      <fill>
        <patternFill>
          <bgColor rgb="FFFFFF99"/>
        </patternFill>
      </fill>
    </dxf>
    <dxf>
      <fill>
        <patternFill>
          <bgColor rgb="FFFFCC66"/>
        </patternFill>
      </fill>
    </dxf>
    <dxf>
      <fill>
        <patternFill>
          <bgColor theme="8" tint="0.39994506668294322"/>
        </patternFill>
      </fill>
    </dxf>
    <dxf>
      <fill>
        <patternFill>
          <bgColor theme="9" tint="0.39994506668294322"/>
        </patternFill>
      </fill>
    </dxf>
    <dxf>
      <fill>
        <patternFill>
          <bgColor theme="8" tint="0.59996337778862885"/>
        </patternFill>
      </fill>
    </dxf>
    <dxf>
      <fill>
        <patternFill>
          <bgColor rgb="FFFF9999"/>
        </patternFill>
      </fill>
    </dxf>
    <dxf>
      <fill>
        <patternFill>
          <bgColor rgb="FFFFFF99"/>
        </patternFill>
      </fill>
    </dxf>
    <dxf>
      <fill>
        <patternFill>
          <bgColor rgb="FFFFCC66"/>
        </patternFill>
      </fill>
    </dxf>
    <dxf>
      <fill>
        <patternFill>
          <bgColor theme="8" tint="0.39994506668294322"/>
        </patternFill>
      </fill>
    </dxf>
    <dxf>
      <fill>
        <patternFill>
          <bgColor theme="9" tint="0.39994506668294322"/>
        </patternFill>
      </fill>
    </dxf>
    <dxf>
      <fill>
        <patternFill>
          <bgColor rgb="FFFF9999"/>
        </patternFill>
      </fill>
    </dxf>
    <dxf>
      <fill>
        <patternFill>
          <bgColor rgb="FFFFFF99"/>
        </patternFill>
      </fill>
    </dxf>
    <dxf>
      <fill>
        <patternFill>
          <bgColor rgb="FFFFCC66"/>
        </patternFill>
      </fill>
    </dxf>
    <dxf>
      <fill>
        <patternFill>
          <bgColor theme="8" tint="0.39994506668294322"/>
        </patternFill>
      </fill>
    </dxf>
    <dxf>
      <fill>
        <patternFill>
          <bgColor theme="9" tint="0.39994506668294322"/>
        </patternFill>
      </fill>
    </dxf>
  </dxfs>
  <tableStyles count="0" defaultTableStyle="TableStyleMedium2" defaultPivotStyle="PivotStyleLight16"/>
  <colors>
    <mruColors>
      <color rgb="FF006666"/>
      <color rgb="FF6600CC"/>
      <color rgb="FFFF99FF"/>
      <color rgb="FFFF00FF"/>
      <color rgb="FF0066FF"/>
      <color rgb="FF8932FE"/>
      <color rgb="FF31FFD8"/>
      <color rgb="FF00FF00"/>
      <color rgb="FFA9F1E0"/>
      <color rgb="FF4AE2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HDF_KNorm!$Y$1</c:f>
              <c:strCache>
                <c:ptCount val="1"/>
                <c:pt idx="0">
                  <c:v>Cl</c:v>
                </c:pt>
              </c:strCache>
            </c:strRef>
          </c:tx>
          <c:spPr>
            <a:ln w="19050" cap="rnd">
              <a:noFill/>
              <a:round/>
            </a:ln>
            <a:effectLst/>
          </c:spPr>
          <c:marker>
            <c:symbol val="circle"/>
            <c:size val="5"/>
            <c:spPr>
              <a:solidFill>
                <a:schemeClr val="accent1"/>
              </a:solidFill>
              <a:ln w="9525">
                <a:solidFill>
                  <a:schemeClr val="accent1"/>
                </a:solidFill>
              </a:ln>
              <a:effectLst/>
            </c:spPr>
          </c:marker>
          <c:xVal>
            <c:numRef>
              <c:f>HDF_KNorm!$Q$5:$Q$344</c:f>
              <c:numCache>
                <c:formatCode>0.00</c:formatCode>
                <c:ptCount val="340"/>
                <c:pt idx="0">
                  <c:v>1.1985158013067032</c:v>
                </c:pt>
                <c:pt idx="1">
                  <c:v>0</c:v>
                </c:pt>
                <c:pt idx="2">
                  <c:v>5.2087597216537045</c:v>
                </c:pt>
                <c:pt idx="3">
                  <c:v>1.7344823157418341</c:v>
                </c:pt>
                <c:pt idx="4">
                  <c:v>2.0566859891573084</c:v>
                </c:pt>
                <c:pt idx="5">
                  <c:v>2.759520540471152</c:v>
                </c:pt>
                <c:pt idx="6">
                  <c:v>0</c:v>
                </c:pt>
                <c:pt idx="7">
                  <c:v>3.5183564461848014</c:v>
                </c:pt>
                <c:pt idx="8">
                  <c:v>4.6462044896901711</c:v>
                </c:pt>
                <c:pt idx="9">
                  <c:v>2.3400182424809772</c:v>
                </c:pt>
                <c:pt idx="10">
                  <c:v>1.8986014142066328</c:v>
                </c:pt>
                <c:pt idx="11">
                  <c:v>3.251995229795432</c:v>
                </c:pt>
                <c:pt idx="12">
                  <c:v>1.6934629107140191</c:v>
                </c:pt>
                <c:pt idx="13">
                  <c:v>2.4804237117980987</c:v>
                </c:pt>
                <c:pt idx="14">
                  <c:v>1.1423005660971519</c:v>
                </c:pt>
                <c:pt idx="15">
                  <c:v>1.0493521101745713</c:v>
                </c:pt>
                <c:pt idx="16">
                  <c:v>0.76097572942812586</c:v>
                </c:pt>
                <c:pt idx="17">
                  <c:v>3.6132912037508929</c:v>
                </c:pt>
                <c:pt idx="18">
                  <c:v>1.7823922771381167</c:v>
                </c:pt>
                <c:pt idx="19">
                  <c:v>0.91797363900805329</c:v>
                </c:pt>
                <c:pt idx="20">
                  <c:v>0</c:v>
                </c:pt>
                <c:pt idx="21">
                  <c:v>0</c:v>
                </c:pt>
                <c:pt idx="22">
                  <c:v>1.7920278327064036</c:v>
                </c:pt>
                <c:pt idx="23">
                  <c:v>2.21450785987426</c:v>
                </c:pt>
                <c:pt idx="24">
                  <c:v>1.8438945735000476</c:v>
                </c:pt>
                <c:pt idx="25">
                  <c:v>4.8585899338689149</c:v>
                </c:pt>
                <c:pt idx="26">
                  <c:v>5.6146218914526971</c:v>
                </c:pt>
                <c:pt idx="27">
                  <c:v>3.866158413060893</c:v>
                </c:pt>
                <c:pt idx="28">
                  <c:v>3.5032889657515214</c:v>
                </c:pt>
                <c:pt idx="29">
                  <c:v>4.9169306230841636</c:v>
                </c:pt>
                <c:pt idx="30">
                  <c:v>7.9133244448690823</c:v>
                </c:pt>
                <c:pt idx="31">
                  <c:v>4.6398086261590485</c:v>
                </c:pt>
                <c:pt idx="32">
                  <c:v>5.4962438116612455</c:v>
                </c:pt>
                <c:pt idx="33">
                  <c:v>4.7175433421060076</c:v>
                </c:pt>
                <c:pt idx="34">
                  <c:v>5.6229903832023194</c:v>
                </c:pt>
                <c:pt idx="35">
                  <c:v>4.0656371813702172</c:v>
                </c:pt>
                <c:pt idx="36">
                  <c:v>4.3525898918415473</c:v>
                </c:pt>
                <c:pt idx="37">
                  <c:v>4.9316937525020306</c:v>
                </c:pt>
                <c:pt idx="38">
                  <c:v>0.82994058082689715</c:v>
                </c:pt>
                <c:pt idx="39">
                  <c:v>1.3538543794993221</c:v>
                </c:pt>
                <c:pt idx="40">
                  <c:v>0.56352333227026929</c:v>
                </c:pt>
                <c:pt idx="41">
                  <c:v>1.0482366264817986</c:v>
                </c:pt>
                <c:pt idx="42">
                  <c:v>0.48020888070353862</c:v>
                </c:pt>
                <c:pt idx="43">
                  <c:v>0.30787557889510736</c:v>
                </c:pt>
                <c:pt idx="44">
                  <c:v>2.5014771582450934</c:v>
                </c:pt>
                <c:pt idx="45">
                  <c:v>0.65621731194821009</c:v>
                </c:pt>
                <c:pt idx="46">
                  <c:v>1.118615722008431</c:v>
                </c:pt>
                <c:pt idx="47">
                  <c:v>0.60373481083259761</c:v>
                </c:pt>
                <c:pt idx="48">
                  <c:v>0.71381211337574291</c:v>
                </c:pt>
                <c:pt idx="49">
                  <c:v>0.60182159257781664</c:v>
                </c:pt>
                <c:pt idx="50">
                  <c:v>0.50322875544218126</c:v>
                </c:pt>
                <c:pt idx="51">
                  <c:v>0.60436438029209527</c:v>
                </c:pt>
                <c:pt idx="52">
                  <c:v>0.30386973174602944</c:v>
                </c:pt>
                <c:pt idx="53">
                  <c:v>5.6574495736120545</c:v>
                </c:pt>
                <c:pt idx="54">
                  <c:v>0.50722926906044541</c:v>
                </c:pt>
                <c:pt idx="55">
                  <c:v>1.7063198815358438</c:v>
                </c:pt>
                <c:pt idx="56">
                  <c:v>1.7440968695103567</c:v>
                </c:pt>
                <c:pt idx="57">
                  <c:v>1.6419282235361381</c:v>
                </c:pt>
                <c:pt idx="58">
                  <c:v>0.48382458284648217</c:v>
                </c:pt>
                <c:pt idx="59">
                  <c:v>1.6130954943728051</c:v>
                </c:pt>
                <c:pt idx="60">
                  <c:v>1.8255208412384902</c:v>
                </c:pt>
                <c:pt idx="61">
                  <c:v>2.1803282681893728</c:v>
                </c:pt>
                <c:pt idx="62">
                  <c:v>1.65966903929276</c:v>
                </c:pt>
                <c:pt idx="63">
                  <c:v>2.1462676298589614</c:v>
                </c:pt>
                <c:pt idx="64">
                  <c:v>1.7508566615811545</c:v>
                </c:pt>
                <c:pt idx="65">
                  <c:v>2.6406980119065189</c:v>
                </c:pt>
                <c:pt idx="66">
                  <c:v>1.7183311233930969</c:v>
                </c:pt>
                <c:pt idx="67">
                  <c:v>0.9541165486304275</c:v>
                </c:pt>
                <c:pt idx="68">
                  <c:v>2.8670215067248015</c:v>
                </c:pt>
                <c:pt idx="69">
                  <c:v>0.35055283158738443</c:v>
                </c:pt>
                <c:pt idx="70">
                  <c:v>1.3035661829270695</c:v>
                </c:pt>
                <c:pt idx="71">
                  <c:v>1.2023054663179626</c:v>
                </c:pt>
                <c:pt idx="72">
                  <c:v>0.50259586691519331</c:v>
                </c:pt>
                <c:pt idx="73">
                  <c:v>6.0346866292356953</c:v>
                </c:pt>
                <c:pt idx="74">
                  <c:v>1.3020860803698571</c:v>
                </c:pt>
                <c:pt idx="75">
                  <c:v>0.90803250289582349</c:v>
                </c:pt>
                <c:pt idx="76">
                  <c:v>0</c:v>
                </c:pt>
                <c:pt idx="77">
                  <c:v>1.1094442276355672</c:v>
                </c:pt>
                <c:pt idx="78">
                  <c:v>1.3078129584777629</c:v>
                </c:pt>
                <c:pt idx="79">
                  <c:v>3.2849678375585283</c:v>
                </c:pt>
                <c:pt idx="80">
                  <c:v>1.7360185553697483</c:v>
                </c:pt>
                <c:pt idx="81">
                  <c:v>0.70349285962574171</c:v>
                </c:pt>
                <c:pt idx="82">
                  <c:v>0.73622074536783899</c:v>
                </c:pt>
                <c:pt idx="83">
                  <c:v>2.2248974529999956</c:v>
                </c:pt>
                <c:pt idx="84">
                  <c:v>0</c:v>
                </c:pt>
                <c:pt idx="85">
                  <c:v>1.5292804786039407</c:v>
                </c:pt>
                <c:pt idx="86">
                  <c:v>3.1560839229122304</c:v>
                </c:pt>
                <c:pt idx="87">
                  <c:v>1.309286888238294</c:v>
                </c:pt>
                <c:pt idx="88">
                  <c:v>3.2788793347287437</c:v>
                </c:pt>
                <c:pt idx="89">
                  <c:v>2.5600854367183326</c:v>
                </c:pt>
                <c:pt idx="90">
                  <c:v>1.9548302410444713</c:v>
                </c:pt>
                <c:pt idx="91">
                  <c:v>5.404120769479789</c:v>
                </c:pt>
                <c:pt idx="92">
                  <c:v>5.1114437616660737</c:v>
                </c:pt>
                <c:pt idx="93">
                  <c:v>3.3189178678554323</c:v>
                </c:pt>
                <c:pt idx="94">
                  <c:v>3.5454189111681784</c:v>
                </c:pt>
                <c:pt idx="95">
                  <c:v>3.9495483492581016</c:v>
                </c:pt>
                <c:pt idx="96">
                  <c:v>4.3592211612610461</c:v>
                </c:pt>
                <c:pt idx="97">
                  <c:v>7.0754733283526967</c:v>
                </c:pt>
                <c:pt idx="98">
                  <c:v>4.1811476405178114</c:v>
                </c:pt>
                <c:pt idx="99">
                  <c:v>2.5967952232560836</c:v>
                </c:pt>
                <c:pt idx="100">
                  <c:v>1.650926073080482</c:v>
                </c:pt>
                <c:pt idx="101">
                  <c:v>6.2945381361104378</c:v>
                </c:pt>
                <c:pt idx="102">
                  <c:v>0</c:v>
                </c:pt>
                <c:pt idx="103">
                  <c:v>0</c:v>
                </c:pt>
                <c:pt idx="104">
                  <c:v>0</c:v>
                </c:pt>
                <c:pt idx="105">
                  <c:v>0</c:v>
                </c:pt>
                <c:pt idx="106">
                  <c:v>0</c:v>
                </c:pt>
                <c:pt idx="107">
                  <c:v>0</c:v>
                </c:pt>
                <c:pt idx="108">
                  <c:v>0</c:v>
                </c:pt>
                <c:pt idx="109">
                  <c:v>0.75007564232500179</c:v>
                </c:pt>
                <c:pt idx="110">
                  <c:v>0.80043239154578583</c:v>
                </c:pt>
                <c:pt idx="111">
                  <c:v>0.79029705806202188</c:v>
                </c:pt>
                <c:pt idx="112">
                  <c:v>0.72037654661237593</c:v>
                </c:pt>
                <c:pt idx="113">
                  <c:v>1.09891813137419</c:v>
                </c:pt>
                <c:pt idx="114">
                  <c:v>1.4013974442780033</c:v>
                </c:pt>
                <c:pt idx="115">
                  <c:v>0.50652553488810714</c:v>
                </c:pt>
                <c:pt idx="116">
                  <c:v>0.70254461859032413</c:v>
                </c:pt>
                <c:pt idx="117">
                  <c:v>0.30593795802594498</c:v>
                </c:pt>
                <c:pt idx="118">
                  <c:v>0.50212535711806949</c:v>
                </c:pt>
                <c:pt idx="119">
                  <c:v>0.40183404084084762</c:v>
                </c:pt>
                <c:pt idx="120">
                  <c:v>0.60248301179189834</c:v>
                </c:pt>
                <c:pt idx="121">
                  <c:v>2.349185068075109</c:v>
                </c:pt>
                <c:pt idx="122">
                  <c:v>0.61189746722934479</c:v>
                </c:pt>
                <c:pt idx="123">
                  <c:v>0.75856924943982351</c:v>
                </c:pt>
                <c:pt idx="124">
                  <c:v>1.5299697427905994</c:v>
                </c:pt>
                <c:pt idx="125">
                  <c:v>0</c:v>
                </c:pt>
                <c:pt idx="126">
                  <c:v>0.89664641988858651</c:v>
                </c:pt>
                <c:pt idx="127">
                  <c:v>0.40690533855212863</c:v>
                </c:pt>
                <c:pt idx="128">
                  <c:v>1.3916391344711523</c:v>
                </c:pt>
                <c:pt idx="129">
                  <c:v>1.7370165480521738</c:v>
                </c:pt>
                <c:pt idx="130">
                  <c:v>1.4498116512671719</c:v>
                </c:pt>
                <c:pt idx="131">
                  <c:v>1.5178774980572824</c:v>
                </c:pt>
                <c:pt idx="132">
                  <c:v>1.5638895828435033</c:v>
                </c:pt>
                <c:pt idx="133">
                  <c:v>1.5677919530332347</c:v>
                </c:pt>
                <c:pt idx="134">
                  <c:v>0.51346227102407105</c:v>
                </c:pt>
                <c:pt idx="135">
                  <c:v>0.5009101870154189</c:v>
                </c:pt>
                <c:pt idx="136">
                  <c:v>0.72691002456232334</c:v>
                </c:pt>
                <c:pt idx="137">
                  <c:v>0.51371674426760228</c:v>
                </c:pt>
                <c:pt idx="138">
                  <c:v>0.81863461791037462</c:v>
                </c:pt>
                <c:pt idx="139">
                  <c:v>0.61879783900782892</c:v>
                </c:pt>
                <c:pt idx="140">
                  <c:v>0.71449034797393096</c:v>
                </c:pt>
                <c:pt idx="141">
                  <c:v>3.1264331322538546</c:v>
                </c:pt>
                <c:pt idx="142">
                  <c:v>0.71441629611929292</c:v>
                </c:pt>
                <c:pt idx="143">
                  <c:v>0.92205359730952818</c:v>
                </c:pt>
                <c:pt idx="144">
                  <c:v>0.91719250837274147</c:v>
                </c:pt>
                <c:pt idx="145">
                  <c:v>1.2019750365551294</c:v>
                </c:pt>
                <c:pt idx="146">
                  <c:v>1.1010202684292778</c:v>
                </c:pt>
                <c:pt idx="147">
                  <c:v>1.0008611075819815</c:v>
                </c:pt>
                <c:pt idx="148">
                  <c:v>1.1999915374362666</c:v>
                </c:pt>
                <c:pt idx="149">
                  <c:v>1.3008256298073531</c:v>
                </c:pt>
                <c:pt idx="150">
                  <c:v>0.99930372913653953</c:v>
                </c:pt>
                <c:pt idx="151">
                  <c:v>1.0990156911651763</c:v>
                </c:pt>
                <c:pt idx="152">
                  <c:v>0.8005046905453792</c:v>
                </c:pt>
                <c:pt idx="153">
                  <c:v>1.0013756556962596</c:v>
                </c:pt>
                <c:pt idx="154">
                  <c:v>0</c:v>
                </c:pt>
                <c:pt idx="155">
                  <c:v>1.6318303922245567</c:v>
                </c:pt>
                <c:pt idx="156">
                  <c:v>1.7691723948631908</c:v>
                </c:pt>
                <c:pt idx="157">
                  <c:v>1.3303407762365949</c:v>
                </c:pt>
                <c:pt idx="158">
                  <c:v>0.84592829892648236</c:v>
                </c:pt>
                <c:pt idx="159">
                  <c:v>0</c:v>
                </c:pt>
                <c:pt idx="160">
                  <c:v>0.87613204384985266</c:v>
                </c:pt>
                <c:pt idx="161">
                  <c:v>0.19326290539476393</c:v>
                </c:pt>
                <c:pt idx="162">
                  <c:v>0.40627676643383637</c:v>
                </c:pt>
                <c:pt idx="163">
                  <c:v>0.30059062757454164</c:v>
                </c:pt>
                <c:pt idx="164">
                  <c:v>2.259407437880057</c:v>
                </c:pt>
                <c:pt idx="165">
                  <c:v>0.50023353639004953</c:v>
                </c:pt>
                <c:pt idx="166">
                  <c:v>0.39952721673506247</c:v>
                </c:pt>
                <c:pt idx="167">
                  <c:v>0.60035479359452193</c:v>
                </c:pt>
                <c:pt idx="168">
                  <c:v>0.60043190447289285</c:v>
                </c:pt>
                <c:pt idx="169">
                  <c:v>0.69984996164433</c:v>
                </c:pt>
                <c:pt idx="170">
                  <c:v>0.79980371530823191</c:v>
                </c:pt>
                <c:pt idx="171">
                  <c:v>0.69950965261304821</c:v>
                </c:pt>
                <c:pt idx="172">
                  <c:v>0.39942311809178283</c:v>
                </c:pt>
                <c:pt idx="173">
                  <c:v>0.30734600027768721</c:v>
                </c:pt>
                <c:pt idx="174">
                  <c:v>6.1745532075155038</c:v>
                </c:pt>
                <c:pt idx="175">
                  <c:v>5.1512637537794497</c:v>
                </c:pt>
                <c:pt idx="176">
                  <c:v>6.0818360048505209</c:v>
                </c:pt>
                <c:pt idx="177">
                  <c:v>5.8471878713350094</c:v>
                </c:pt>
                <c:pt idx="178">
                  <c:v>6.5301583967200578</c:v>
                </c:pt>
                <c:pt idx="179">
                  <c:v>7.4615032450144252</c:v>
                </c:pt>
                <c:pt idx="180">
                  <c:v>6.5936623204915055</c:v>
                </c:pt>
                <c:pt idx="181">
                  <c:v>6.044158446373447</c:v>
                </c:pt>
                <c:pt idx="182">
                  <c:v>5.8997799993160598</c:v>
                </c:pt>
                <c:pt idx="183">
                  <c:v>7.0848692318999538</c:v>
                </c:pt>
                <c:pt idx="184">
                  <c:v>6.5852407907025148</c:v>
                </c:pt>
                <c:pt idx="185">
                  <c:v>4.6694118100026554</c:v>
                </c:pt>
                <c:pt idx="186">
                  <c:v>6.6661986940424951</c:v>
                </c:pt>
                <c:pt idx="187">
                  <c:v>6.0718977892102819</c:v>
                </c:pt>
                <c:pt idx="188">
                  <c:v>5.0126973133639225</c:v>
                </c:pt>
                <c:pt idx="189">
                  <c:v>5.4735557209632946</c:v>
                </c:pt>
                <c:pt idx="190">
                  <c:v>6.412639134050095</c:v>
                </c:pt>
                <c:pt idx="191">
                  <c:v>5.5947264668877148</c:v>
                </c:pt>
                <c:pt idx="192">
                  <c:v>5.6689655573453051</c:v>
                </c:pt>
                <c:pt idx="193">
                  <c:v>5.818663571508127</c:v>
                </c:pt>
                <c:pt idx="194">
                  <c:v>4.7386368754694832</c:v>
                </c:pt>
                <c:pt idx="195">
                  <c:v>6.2988343745812054</c:v>
                </c:pt>
                <c:pt idx="196">
                  <c:v>7.0375250996565759</c:v>
                </c:pt>
                <c:pt idx="197">
                  <c:v>21.73000053635403</c:v>
                </c:pt>
                <c:pt idx="198">
                  <c:v>11.306523975964129</c:v>
                </c:pt>
                <c:pt idx="199">
                  <c:v>9.9687335739516598</c:v>
                </c:pt>
                <c:pt idx="200">
                  <c:v>12.519782669286887</c:v>
                </c:pt>
                <c:pt idx="201">
                  <c:v>11.206724034420654</c:v>
                </c:pt>
                <c:pt idx="202">
                  <c:v>7.9757593891955345</c:v>
                </c:pt>
                <c:pt idx="203">
                  <c:v>9.5507691804234138</c:v>
                </c:pt>
                <c:pt idx="204">
                  <c:v>12.814874050379849</c:v>
                </c:pt>
                <c:pt idx="205">
                  <c:v>22.08895552223888</c:v>
                </c:pt>
                <c:pt idx="206">
                  <c:v>12.912278060690378</c:v>
                </c:pt>
                <c:pt idx="207">
                  <c:v>10.72490793918278</c:v>
                </c:pt>
                <c:pt idx="208">
                  <c:v>11.858692385922648</c:v>
                </c:pt>
                <c:pt idx="209">
                  <c:v>14.282207235045533</c:v>
                </c:pt>
                <c:pt idx="210">
                  <c:v>16.592274142272103</c:v>
                </c:pt>
                <c:pt idx="211">
                  <c:v>17.13737476617078</c:v>
                </c:pt>
                <c:pt idx="212">
                  <c:v>12.63411210267723</c:v>
                </c:pt>
                <c:pt idx="213">
                  <c:v>5.812459379214383</c:v>
                </c:pt>
                <c:pt idx="214">
                  <c:v>5.2824825432770384</c:v>
                </c:pt>
                <c:pt idx="215">
                  <c:v>6.7657291273916496</c:v>
                </c:pt>
                <c:pt idx="216">
                  <c:v>8.7141011117143456</c:v>
                </c:pt>
                <c:pt idx="217">
                  <c:v>7.5525569531961265</c:v>
                </c:pt>
                <c:pt idx="218">
                  <c:v>5.2810484897388283</c:v>
                </c:pt>
                <c:pt idx="219">
                  <c:v>9.8057838911470778</c:v>
                </c:pt>
                <c:pt idx="220">
                  <c:v>13.343455626292114</c:v>
                </c:pt>
                <c:pt idx="221">
                  <c:v>12.511648715538964</c:v>
                </c:pt>
                <c:pt idx="222">
                  <c:v>7.2213172677208783</c:v>
                </c:pt>
                <c:pt idx="223">
                  <c:v>6.4053302466086022</c:v>
                </c:pt>
                <c:pt idx="224">
                  <c:v>5.6024812117072997</c:v>
                </c:pt>
                <c:pt idx="225">
                  <c:v>4.626766130786943</c:v>
                </c:pt>
                <c:pt idx="226">
                  <c:v>6.7070249675079934</c:v>
                </c:pt>
                <c:pt idx="227">
                  <c:v>7.3328161755591079</c:v>
                </c:pt>
                <c:pt idx="228">
                  <c:v>7.1145192079708517</c:v>
                </c:pt>
                <c:pt idx="229">
                  <c:v>4.4232517053679929</c:v>
                </c:pt>
                <c:pt idx="230">
                  <c:v>3.8649519068693197</c:v>
                </c:pt>
                <c:pt idx="231">
                  <c:v>4.2414700766905176</c:v>
                </c:pt>
                <c:pt idx="232">
                  <c:v>18.836295909295803</c:v>
                </c:pt>
                <c:pt idx="233">
                  <c:v>13.745305145664501</c:v>
                </c:pt>
                <c:pt idx="234">
                  <c:v>17.512707553636265</c:v>
                </c:pt>
                <c:pt idx="235">
                  <c:v>18.481006106069305</c:v>
                </c:pt>
                <c:pt idx="236">
                  <c:v>10.51490102641537</c:v>
                </c:pt>
                <c:pt idx="237">
                  <c:v>9.9775422337694284</c:v>
                </c:pt>
                <c:pt idx="238">
                  <c:v>13.30819569429109</c:v>
                </c:pt>
                <c:pt idx="239">
                  <c:v>10.708480720980276</c:v>
                </c:pt>
                <c:pt idx="240">
                  <c:v>15.96401090002438</c:v>
                </c:pt>
                <c:pt idx="241">
                  <c:v>2.8444698464310334</c:v>
                </c:pt>
                <c:pt idx="242">
                  <c:v>2.5930785957868614</c:v>
                </c:pt>
                <c:pt idx="243">
                  <c:v>7.4021697208321813</c:v>
                </c:pt>
                <c:pt idx="244">
                  <c:v>5.9167703047867821</c:v>
                </c:pt>
                <c:pt idx="245">
                  <c:v>6.1287462165062463</c:v>
                </c:pt>
                <c:pt idx="246">
                  <c:v>4.5898564082569902</c:v>
                </c:pt>
                <c:pt idx="247">
                  <c:v>5.5570350669451392</c:v>
                </c:pt>
                <c:pt idx="248">
                  <c:v>4.7347674728544185</c:v>
                </c:pt>
                <c:pt idx="249">
                  <c:v>4.4365267584977888</c:v>
                </c:pt>
                <c:pt idx="250">
                  <c:v>6.2121665374314787</c:v>
                </c:pt>
                <c:pt idx="251">
                  <c:v>6.0868986681917603</c:v>
                </c:pt>
                <c:pt idx="252">
                  <c:v>5.2218040339562384</c:v>
                </c:pt>
                <c:pt idx="253">
                  <c:v>3.3969147135609714</c:v>
                </c:pt>
                <c:pt idx="254">
                  <c:v>4.6908142521360077</c:v>
                </c:pt>
                <c:pt idx="255">
                  <c:v>5.2046068624215192</c:v>
                </c:pt>
                <c:pt idx="256">
                  <c:v>2.9986710816158899</c:v>
                </c:pt>
                <c:pt idx="257">
                  <c:v>4.6681385824836168</c:v>
                </c:pt>
                <c:pt idx="258">
                  <c:v>4.2025801952580197</c:v>
                </c:pt>
                <c:pt idx="259">
                  <c:v>4.4624132942292309</c:v>
                </c:pt>
                <c:pt idx="260">
                  <c:v>6.0096902010857267</c:v>
                </c:pt>
                <c:pt idx="261">
                  <c:v>6.8933128491668398</c:v>
                </c:pt>
                <c:pt idx="262">
                  <c:v>5.3651838247797841</c:v>
                </c:pt>
                <c:pt idx="263">
                  <c:v>2.2241012266920666</c:v>
                </c:pt>
                <c:pt idx="264">
                  <c:v>2.5390636191218352</c:v>
                </c:pt>
                <c:pt idx="265">
                  <c:v>4.3459351539422535</c:v>
                </c:pt>
                <c:pt idx="266">
                  <c:v>2.0602769023780358</c:v>
                </c:pt>
                <c:pt idx="267">
                  <c:v>2.9653292566846461</c:v>
                </c:pt>
                <c:pt idx="268">
                  <c:v>2.5404792583663824</c:v>
                </c:pt>
                <c:pt idx="269">
                  <c:v>6.695847898908351</c:v>
                </c:pt>
                <c:pt idx="270">
                  <c:v>3.8780609695152428</c:v>
                </c:pt>
                <c:pt idx="271">
                  <c:v>4.5297392588521781</c:v>
                </c:pt>
                <c:pt idx="272">
                  <c:v>7.0889049076089252</c:v>
                </c:pt>
                <c:pt idx="273">
                  <c:v>12.77451698272035</c:v>
                </c:pt>
                <c:pt idx="274">
                  <c:v>6.2666331249610323</c:v>
                </c:pt>
                <c:pt idx="275">
                  <c:v>8.5808028903173348</c:v>
                </c:pt>
                <c:pt idx="276">
                  <c:v>7.7136879395730009</c:v>
                </c:pt>
                <c:pt idx="277">
                  <c:v>8.2044904500801632</c:v>
                </c:pt>
                <c:pt idx="278">
                  <c:v>8.7221326876178118</c:v>
                </c:pt>
                <c:pt idx="279">
                  <c:v>6.1641515976509638</c:v>
                </c:pt>
                <c:pt idx="280">
                  <c:v>8.1803818131460471</c:v>
                </c:pt>
                <c:pt idx="281">
                  <c:v>8.3999071268309677</c:v>
                </c:pt>
                <c:pt idx="282">
                  <c:v>5.9529686857316673</c:v>
                </c:pt>
                <c:pt idx="283">
                  <c:v>5.5206420622100394</c:v>
                </c:pt>
                <c:pt idx="284">
                  <c:v>5.3874534234485916</c:v>
                </c:pt>
                <c:pt idx="285">
                  <c:v>5.5548640188965974</c:v>
                </c:pt>
                <c:pt idx="286">
                  <c:v>3.6312678280539767</c:v>
                </c:pt>
                <c:pt idx="287">
                  <c:v>1.9003258094875297</c:v>
                </c:pt>
                <c:pt idx="288">
                  <c:v>2.6677801875475815</c:v>
                </c:pt>
                <c:pt idx="289">
                  <c:v>2.6677801875475815</c:v>
                </c:pt>
                <c:pt idx="290">
                  <c:v>3.5835626894058135</c:v>
                </c:pt>
                <c:pt idx="291">
                  <c:v>4.1034879403375317</c:v>
                </c:pt>
                <c:pt idx="292">
                  <c:v>5.6798459576466769</c:v>
                </c:pt>
                <c:pt idx="293">
                  <c:v>3.6493344560273275</c:v>
                </c:pt>
                <c:pt idx="294">
                  <c:v>4.5025243252314588</c:v>
                </c:pt>
                <c:pt idx="295">
                  <c:v>4.2053131744796257</c:v>
                </c:pt>
                <c:pt idx="296">
                  <c:v>3.5823974843283266</c:v>
                </c:pt>
                <c:pt idx="297">
                  <c:v>4.3412816993339476</c:v>
                </c:pt>
                <c:pt idx="298">
                  <c:v>5.1189041556624728</c:v>
                </c:pt>
                <c:pt idx="299">
                  <c:v>3.0244242243953363</c:v>
                </c:pt>
                <c:pt idx="300">
                  <c:v>2.699884294857712</c:v>
                </c:pt>
                <c:pt idx="301">
                  <c:v>3.7764994140833079</c:v>
                </c:pt>
                <c:pt idx="302">
                  <c:v>4.0844543019270105</c:v>
                </c:pt>
                <c:pt idx="303">
                  <c:v>2.8470497723174861</c:v>
                </c:pt>
                <c:pt idx="304">
                  <c:v>14.314844576135183</c:v>
                </c:pt>
                <c:pt idx="305">
                  <c:v>10.519087121108463</c:v>
                </c:pt>
                <c:pt idx="306">
                  <c:v>6.2736645943077178</c:v>
                </c:pt>
                <c:pt idx="307">
                  <c:v>4.8696770491926964</c:v>
                </c:pt>
                <c:pt idx="308">
                  <c:v>9.2694854338754649</c:v>
                </c:pt>
                <c:pt idx="309">
                  <c:v>7.6936932694596036</c:v>
                </c:pt>
                <c:pt idx="310">
                  <c:v>2.8779628298840279</c:v>
                </c:pt>
                <c:pt idx="311">
                  <c:v>2.881708005696062</c:v>
                </c:pt>
                <c:pt idx="312">
                  <c:v>3.6985258062160278</c:v>
                </c:pt>
                <c:pt idx="315">
                  <c:v>5.72396271573239</c:v>
                </c:pt>
                <c:pt idx="316">
                  <c:v>5.4920786010178029</c:v>
                </c:pt>
                <c:pt idx="317">
                  <c:v>3.404412639837211</c:v>
                </c:pt>
                <c:pt idx="318">
                  <c:v>3.5272625426147255</c:v>
                </c:pt>
                <c:pt idx="319">
                  <c:v>7.646142696266474</c:v>
                </c:pt>
                <c:pt idx="320">
                  <c:v>4.9164417152958464</c:v>
                </c:pt>
                <c:pt idx="321">
                  <c:v>6.3405112162869832</c:v>
                </c:pt>
                <c:pt idx="325">
                  <c:v>1.9951652783812572</c:v>
                </c:pt>
                <c:pt idx="329">
                  <c:v>1.103629247488529</c:v>
                </c:pt>
                <c:pt idx="330">
                  <c:v>8.1695598159952976</c:v>
                </c:pt>
                <c:pt idx="331">
                  <c:v>0</c:v>
                </c:pt>
                <c:pt idx="332">
                  <c:v>1.3809778946791831</c:v>
                </c:pt>
              </c:numCache>
            </c:numRef>
          </c:xVal>
          <c:yVal>
            <c:numRef>
              <c:f>HDF_KNorm!$S$3:$S$342</c:f>
              <c:numCache>
                <c:formatCode>0.00</c:formatCode>
                <c:ptCount val="340"/>
                <c:pt idx="0">
                  <c:v>24.100645856518014</c:v>
                </c:pt>
                <c:pt idx="1">
                  <c:v>18.291434758336013</c:v>
                </c:pt>
                <c:pt idx="2">
                  <c:v>21.872913373847332</c:v>
                </c:pt>
                <c:pt idx="3">
                  <c:v>22.801800665983528</c:v>
                </c:pt>
                <c:pt idx="4">
                  <c:v>22.615636512484652</c:v>
                </c:pt>
                <c:pt idx="5">
                  <c:v>18.958295079038653</c:v>
                </c:pt>
                <c:pt idx="6">
                  <c:v>19.760316366413353</c:v>
                </c:pt>
                <c:pt idx="7">
                  <c:v>24.885857964976207</c:v>
                </c:pt>
                <c:pt idx="8">
                  <c:v>45.464635646402144</c:v>
                </c:pt>
                <c:pt idx="9">
                  <c:v>45.312166352380018</c:v>
                </c:pt>
                <c:pt idx="10">
                  <c:v>43.436609415242998</c:v>
                </c:pt>
                <c:pt idx="11">
                  <c:v>43.396701951465396</c:v>
                </c:pt>
                <c:pt idx="12">
                  <c:v>38.60489542220153</c:v>
                </c:pt>
                <c:pt idx="13">
                  <c:v>47.940703871500403</c:v>
                </c:pt>
                <c:pt idx="14">
                  <c:v>42.654097063609356</c:v>
                </c:pt>
                <c:pt idx="15">
                  <c:v>44.324093284739938</c:v>
                </c:pt>
                <c:pt idx="16">
                  <c:v>43.615112523709435</c:v>
                </c:pt>
                <c:pt idx="17">
                  <c:v>39.455639342563877</c:v>
                </c:pt>
                <c:pt idx="18">
                  <c:v>40.223002841200937</c:v>
                </c:pt>
                <c:pt idx="19">
                  <c:v>45.837179841868462</c:v>
                </c:pt>
                <c:pt idx="20">
                  <c:v>46.027659391978418</c:v>
                </c:pt>
                <c:pt idx="21">
                  <c:v>50.896538429446515</c:v>
                </c:pt>
                <c:pt idx="22">
                  <c:v>48.281811602390476</c:v>
                </c:pt>
                <c:pt idx="23">
                  <c:v>46.827313949492499</c:v>
                </c:pt>
                <c:pt idx="24">
                  <c:v>49.122645296540249</c:v>
                </c:pt>
                <c:pt idx="25">
                  <c:v>42.07564933761094</c:v>
                </c:pt>
                <c:pt idx="26">
                  <c:v>21.10234900783388</c:v>
                </c:pt>
                <c:pt idx="27">
                  <c:v>37.197612105162008</c:v>
                </c:pt>
                <c:pt idx="28">
                  <c:v>25.317785751272808</c:v>
                </c:pt>
                <c:pt idx="29">
                  <c:v>22.023841725061924</c:v>
                </c:pt>
                <c:pt idx="30">
                  <c:v>20.877158080786682</c:v>
                </c:pt>
                <c:pt idx="31">
                  <c:v>22.30105772143612</c:v>
                </c:pt>
                <c:pt idx="32">
                  <c:v>24.437905970471185</c:v>
                </c:pt>
                <c:pt idx="33">
                  <c:v>23.291633546838327</c:v>
                </c:pt>
                <c:pt idx="34">
                  <c:v>20.273880475090067</c:v>
                </c:pt>
                <c:pt idx="35">
                  <c:v>25.499400940664501</c:v>
                </c:pt>
                <c:pt idx="36">
                  <c:v>23.25734134903464</c:v>
                </c:pt>
                <c:pt idx="37">
                  <c:v>21.786065906231318</c:v>
                </c:pt>
                <c:pt idx="38">
                  <c:v>16.591658135329325</c:v>
                </c:pt>
                <c:pt idx="39">
                  <c:v>17.42600574890362</c:v>
                </c:pt>
                <c:pt idx="40">
                  <c:v>26.537606226440293</c:v>
                </c:pt>
                <c:pt idx="41">
                  <c:v>28.180228195504409</c:v>
                </c:pt>
                <c:pt idx="42">
                  <c:v>33.106995770878314</c:v>
                </c:pt>
                <c:pt idx="43">
                  <c:v>30.049449959144891</c:v>
                </c:pt>
                <c:pt idx="44">
                  <c:v>30.213142077597638</c:v>
                </c:pt>
                <c:pt idx="45">
                  <c:v>21.448665329692478</c:v>
                </c:pt>
                <c:pt idx="46">
                  <c:v>18.987115779450708</c:v>
                </c:pt>
                <c:pt idx="47">
                  <c:v>30.993648425861615</c:v>
                </c:pt>
                <c:pt idx="48">
                  <c:v>25.931546282922717</c:v>
                </c:pt>
                <c:pt idx="49">
                  <c:v>19.218891478171027</c:v>
                </c:pt>
                <c:pt idx="50">
                  <c:v>23.249880264238488</c:v>
                </c:pt>
                <c:pt idx="51">
                  <c:v>22.066791727853278</c:v>
                </c:pt>
                <c:pt idx="52">
                  <c:v>23.752397256870953</c:v>
                </c:pt>
                <c:pt idx="53">
                  <c:v>25.484031368983352</c:v>
                </c:pt>
                <c:pt idx="54">
                  <c:v>21.878620685714122</c:v>
                </c:pt>
                <c:pt idx="55">
                  <c:v>36.244640644011895</c:v>
                </c:pt>
                <c:pt idx="56">
                  <c:v>24.448450768713471</c:v>
                </c:pt>
                <c:pt idx="57">
                  <c:v>22.684017248652982</c:v>
                </c:pt>
                <c:pt idx="58">
                  <c:v>23.699198638640727</c:v>
                </c:pt>
                <c:pt idx="59">
                  <c:v>19.087415598607606</c:v>
                </c:pt>
                <c:pt idx="60">
                  <c:v>17.949472631284703</c:v>
                </c:pt>
                <c:pt idx="61">
                  <c:v>23.076260520039398</c:v>
                </c:pt>
                <c:pt idx="62">
                  <c:v>22.83375499846019</c:v>
                </c:pt>
                <c:pt idx="63">
                  <c:v>22.990725363628865</c:v>
                </c:pt>
                <c:pt idx="64">
                  <c:v>23.67012821379469</c:v>
                </c:pt>
                <c:pt idx="65">
                  <c:v>18.926178190574472</c:v>
                </c:pt>
                <c:pt idx="66">
                  <c:v>22.539763919205665</c:v>
                </c:pt>
                <c:pt idx="67">
                  <c:v>25.302505665416074</c:v>
                </c:pt>
                <c:pt idx="68">
                  <c:v>21.403773642264891</c:v>
                </c:pt>
                <c:pt idx="69">
                  <c:v>26.112663436201181</c:v>
                </c:pt>
                <c:pt idx="70">
                  <c:v>29.374395788197958</c:v>
                </c:pt>
                <c:pt idx="71">
                  <c:v>16.849152227909769</c:v>
                </c:pt>
                <c:pt idx="72">
                  <c:v>31.570743492764962</c:v>
                </c:pt>
                <c:pt idx="73">
                  <c:v>23.540938962360109</c:v>
                </c:pt>
                <c:pt idx="74">
                  <c:v>29.050041107698167</c:v>
                </c:pt>
                <c:pt idx="75">
                  <c:v>25.90648300429465</c:v>
                </c:pt>
                <c:pt idx="76">
                  <c:v>30.785756163783446</c:v>
                </c:pt>
                <c:pt idx="77">
                  <c:v>23.407060074647895</c:v>
                </c:pt>
                <c:pt idx="78">
                  <c:v>16.006785766397964</c:v>
                </c:pt>
                <c:pt idx="79">
                  <c:v>22.390601685008715</c:v>
                </c:pt>
                <c:pt idx="80">
                  <c:v>27.564673124838997</c:v>
                </c:pt>
                <c:pt idx="81">
                  <c:v>22.647914904906624</c:v>
                </c:pt>
                <c:pt idx="82">
                  <c:v>24.872780471671838</c:v>
                </c:pt>
                <c:pt idx="83">
                  <c:v>27.120159516006858</c:v>
                </c:pt>
                <c:pt idx="84">
                  <c:v>22.086622361035168</c:v>
                </c:pt>
                <c:pt idx="85">
                  <c:v>22.248974529999959</c:v>
                </c:pt>
                <c:pt idx="86">
                  <c:v>29.643047297514229</c:v>
                </c:pt>
                <c:pt idx="87">
                  <c:v>16.210373073201772</c:v>
                </c:pt>
                <c:pt idx="88">
                  <c:v>11.097198309594617</c:v>
                </c:pt>
                <c:pt idx="89">
                  <c:v>12.085725122199635</c:v>
                </c:pt>
                <c:pt idx="90">
                  <c:v>12.032584714600894</c:v>
                </c:pt>
                <c:pt idx="91">
                  <c:v>8.9653188038802796</c:v>
                </c:pt>
                <c:pt idx="92">
                  <c:v>14.308551248882212</c:v>
                </c:pt>
                <c:pt idx="93">
                  <c:v>5.2320794715750019</c:v>
                </c:pt>
                <c:pt idx="94">
                  <c:v>13.217470737237525</c:v>
                </c:pt>
                <c:pt idx="95">
                  <c:v>9.9873897685003463</c:v>
                </c:pt>
                <c:pt idx="96">
                  <c:v>13.456244109534554</c:v>
                </c:pt>
                <c:pt idx="97">
                  <c:v>11.357509501752572</c:v>
                </c:pt>
                <c:pt idx="98">
                  <c:v>14.858190436974272</c:v>
                </c:pt>
                <c:pt idx="99">
                  <c:v>10.648944706308603</c:v>
                </c:pt>
                <c:pt idx="100">
                  <c:v>11.705063703146264</c:v>
                </c:pt>
                <c:pt idx="101">
                  <c:v>7.9743598437073935</c:v>
                </c:pt>
                <c:pt idx="102">
                  <c:v>12.507015705155165</c:v>
                </c:pt>
                <c:pt idx="103">
                  <c:v>7.4463476826860218</c:v>
                </c:pt>
                <c:pt idx="104">
                  <c:v>6.0190765268042279</c:v>
                </c:pt>
                <c:pt idx="105">
                  <c:v>0.43705748122663979</c:v>
                </c:pt>
                <c:pt idx="106">
                  <c:v>5.0001636738423203</c:v>
                </c:pt>
                <c:pt idx="107">
                  <c:v>5.0479317325480642</c:v>
                </c:pt>
                <c:pt idx="108">
                  <c:v>6.0412479940296464</c:v>
                </c:pt>
                <c:pt idx="109">
                  <c:v>6.3130456713830565</c:v>
                </c:pt>
                <c:pt idx="110">
                  <c:v>3.2106356137598118</c:v>
                </c:pt>
                <c:pt idx="111">
                  <c:v>3.0103035778643399</c:v>
                </c:pt>
                <c:pt idx="112">
                  <c:v>2.6014052725238037</c:v>
                </c:pt>
                <c:pt idx="113">
                  <c:v>1.1404286660641834</c:v>
                </c:pt>
                <c:pt idx="114">
                  <c:v>1.4207426335966304</c:v>
                </c:pt>
                <c:pt idx="115">
                  <c:v>1.2987214279876793</c:v>
                </c:pt>
                <c:pt idx="116">
                  <c:v>2.102096166417005</c:v>
                </c:pt>
                <c:pt idx="117">
                  <c:v>1.1143561767538357</c:v>
                </c:pt>
                <c:pt idx="118">
                  <c:v>0.50181758470737448</c:v>
                </c:pt>
                <c:pt idx="119">
                  <c:v>1.8356277481556702</c:v>
                </c:pt>
                <c:pt idx="120">
                  <c:v>1.1046757856597531</c:v>
                </c:pt>
                <c:pt idx="121">
                  <c:v>2.2100872246246621</c:v>
                </c:pt>
                <c:pt idx="122">
                  <c:v>2.0082767059729942</c:v>
                </c:pt>
                <c:pt idx="123">
                  <c:v>11.800376649900462</c:v>
                </c:pt>
                <c:pt idx="124">
                  <c:v>4.8124908909118735</c:v>
                </c:pt>
                <c:pt idx="125">
                  <c:v>0.86693628507408405</c:v>
                </c:pt>
                <c:pt idx="126">
                  <c:v>0.54641776528235697</c:v>
                </c:pt>
                <c:pt idx="127">
                  <c:v>7.4524970038290563</c:v>
                </c:pt>
                <c:pt idx="128">
                  <c:v>6.2272310007555047</c:v>
                </c:pt>
                <c:pt idx="129">
                  <c:v>8.9519174481468298</c:v>
                </c:pt>
                <c:pt idx="130">
                  <c:v>3.0248024162472156</c:v>
                </c:pt>
                <c:pt idx="131">
                  <c:v>2.9103654745509924</c:v>
                </c:pt>
                <c:pt idx="132">
                  <c:v>3.0736007006864048</c:v>
                </c:pt>
                <c:pt idx="133">
                  <c:v>2.6649757599479003</c:v>
                </c:pt>
                <c:pt idx="134">
                  <c:v>3.0003511256034612</c:v>
                </c:pt>
                <c:pt idx="135">
                  <c:v>2.996224621352404</c:v>
                </c:pt>
                <c:pt idx="136">
                  <c:v>6.0588547980840399</c:v>
                </c:pt>
                <c:pt idx="137">
                  <c:v>3.8369720325381085</c:v>
                </c:pt>
                <c:pt idx="138">
                  <c:v>3.1153286766956723</c:v>
                </c:pt>
                <c:pt idx="139">
                  <c:v>4.1097339541408182</c:v>
                </c:pt>
                <c:pt idx="140">
                  <c:v>3.8885144350742777</c:v>
                </c:pt>
                <c:pt idx="141">
                  <c:v>5.3629146047345175</c:v>
                </c:pt>
                <c:pt idx="142">
                  <c:v>4.5931522369752713</c:v>
                </c:pt>
                <c:pt idx="143">
                  <c:v>2.2927176303194936</c:v>
                </c:pt>
                <c:pt idx="144">
                  <c:v>2.3473678301062479</c:v>
                </c:pt>
                <c:pt idx="145">
                  <c:v>3.9955655883412886</c:v>
                </c:pt>
                <c:pt idx="146">
                  <c:v>9.2738353624354968</c:v>
                </c:pt>
                <c:pt idx="147">
                  <c:v>5.909710596396053</c:v>
                </c:pt>
                <c:pt idx="148">
                  <c:v>5.1047303354448328</c:v>
                </c:pt>
                <c:pt idx="149">
                  <c:v>4.2036166518443236</c:v>
                </c:pt>
                <c:pt idx="150">
                  <c:v>3.9999717914542217</c:v>
                </c:pt>
                <c:pt idx="151">
                  <c:v>4.7029849693035075</c:v>
                </c:pt>
                <c:pt idx="152">
                  <c:v>1.0992341020501937</c:v>
                </c:pt>
                <c:pt idx="153">
                  <c:v>1.7983893128157429</c:v>
                </c:pt>
                <c:pt idx="154">
                  <c:v>3.2020187621815168</c:v>
                </c:pt>
                <c:pt idx="155">
                  <c:v>2.3031640081013971</c:v>
                </c:pt>
                <c:pt idx="156">
                  <c:v>5.2987952527577642</c:v>
                </c:pt>
                <c:pt idx="157">
                  <c:v>6.6438808826285527</c:v>
                </c:pt>
                <c:pt idx="158">
                  <c:v>1.2488275728446054</c:v>
                </c:pt>
                <c:pt idx="159">
                  <c:v>4.7073596697602582</c:v>
                </c:pt>
                <c:pt idx="160">
                  <c:v>5.1813108309247049</c:v>
                </c:pt>
                <c:pt idx="161">
                  <c:v>5.2987952527577642</c:v>
                </c:pt>
                <c:pt idx="162">
                  <c:v>3.6140446808806423</c:v>
                </c:pt>
                <c:pt idx="163">
                  <c:v>3.7042056867329753</c:v>
                </c:pt>
                <c:pt idx="164">
                  <c:v>4.5225019000398099</c:v>
                </c:pt>
                <c:pt idx="165">
                  <c:v>3.4138506988822939</c:v>
                </c:pt>
                <c:pt idx="166">
                  <c:v>1.4378047331963997</c:v>
                </c:pt>
                <c:pt idx="167">
                  <c:v>2.1009808528382083</c:v>
                </c:pt>
                <c:pt idx="168">
                  <c:v>1.3983452585727187</c:v>
                </c:pt>
                <c:pt idx="169">
                  <c:v>1.0005913226575367</c:v>
                </c:pt>
                <c:pt idx="170">
                  <c:v>1.5010797611822324</c:v>
                </c:pt>
                <c:pt idx="171">
                  <c:v>1.7996141870854201</c:v>
                </c:pt>
                <c:pt idx="172">
                  <c:v>1.7995583594435218</c:v>
                </c:pt>
                <c:pt idx="173">
                  <c:v>1.299089354852804</c:v>
                </c:pt>
                <c:pt idx="174">
                  <c:v>2.5962502675965884</c:v>
                </c:pt>
                <c:pt idx="175">
                  <c:v>10.004642215935752</c:v>
                </c:pt>
                <c:pt idx="176">
                  <c:v>4.2715247852856768</c:v>
                </c:pt>
                <c:pt idx="177">
                  <c:v>3.9651211923494092</c:v>
                </c:pt>
                <c:pt idx="178">
                  <c:v>7.6807213438960824</c:v>
                </c:pt>
                <c:pt idx="179">
                  <c:v>4.0103749274601368</c:v>
                </c:pt>
                <c:pt idx="180">
                  <c:v>4.562870930200293</c:v>
                </c:pt>
                <c:pt idx="181">
                  <c:v>3.4398448612446808</c:v>
                </c:pt>
                <c:pt idx="182">
                  <c:v>1.832132125693823</c:v>
                </c:pt>
                <c:pt idx="183">
                  <c:v>3.7612566704553569</c:v>
                </c:pt>
                <c:pt idx="184">
                  <c:v>3.0206065407457228</c:v>
                </c:pt>
                <c:pt idx="185">
                  <c:v>7.2852898608080139</c:v>
                </c:pt>
                <c:pt idx="186">
                  <c:v>6.4645951578957517</c:v>
                </c:pt>
                <c:pt idx="187">
                  <c:v>6.9168869449270103</c:v>
                </c:pt>
                <c:pt idx="188">
                  <c:v>0.9812158927498057</c:v>
                </c:pt>
                <c:pt idx="189">
                  <c:v>5.7818071205330197</c:v>
                </c:pt>
                <c:pt idx="190">
                  <c:v>5.2172972037053071</c:v>
                </c:pt>
                <c:pt idx="191">
                  <c:v>4.5440839947619809</c:v>
                </c:pt>
                <c:pt idx="192">
                  <c:v>4.75776451881136</c:v>
                </c:pt>
                <c:pt idx="193">
                  <c:v>5.9055446039370318</c:v>
                </c:pt>
                <c:pt idx="194">
                  <c:v>4.9474608500468111</c:v>
                </c:pt>
                <c:pt idx="195">
                  <c:v>5.2991400383377592</c:v>
                </c:pt>
                <c:pt idx="196">
                  <c:v>5.9748030168963053</c:v>
                </c:pt>
                <c:pt idx="197">
                  <c:v>6.7258739931968794</c:v>
                </c:pt>
                <c:pt idx="198">
                  <c:v>4.2636155399454667</c:v>
                </c:pt>
                <c:pt idx="199">
                  <c:v>6.5805001624241921</c:v>
                </c:pt>
                <c:pt idx="200">
                  <c:v>3.3719456459291255</c:v>
                </c:pt>
                <c:pt idx="201">
                  <c:v>5.1548582062486448</c:v>
                </c:pt>
                <c:pt idx="202">
                  <c:v>1.7527695737001641</c:v>
                </c:pt>
                <c:pt idx="203">
                  <c:v>11.106663998399041</c:v>
                </c:pt>
                <c:pt idx="204">
                  <c:v>18.389967508845757</c:v>
                </c:pt>
                <c:pt idx="205">
                  <c:v>2.4501973290091481</c:v>
                </c:pt>
                <c:pt idx="206">
                  <c:v>1.8892443022790881</c:v>
                </c:pt>
                <c:pt idx="207">
                  <c:v>6.6466766616691668</c:v>
                </c:pt>
                <c:pt idx="208">
                  <c:v>2.7296739843264688</c:v>
                </c:pt>
                <c:pt idx="209">
                  <c:v>3.6866871040940796</c:v>
                </c:pt>
                <c:pt idx="210">
                  <c:v>3.9731687310099817</c:v>
                </c:pt>
                <c:pt idx="211">
                  <c:v>3.2951164604563639</c:v>
                </c:pt>
                <c:pt idx="212">
                  <c:v>3.3447276133325619</c:v>
                </c:pt>
                <c:pt idx="213">
                  <c:v>1.7290843793927531</c:v>
                </c:pt>
                <c:pt idx="214">
                  <c:v>1.0428156021257395</c:v>
                </c:pt>
                <c:pt idx="215">
                  <c:v>9.2480023799871454</c:v>
                </c:pt>
                <c:pt idx="216">
                  <c:v>7.3734652166575323</c:v>
                </c:pt>
                <c:pt idx="217">
                  <c:v>3.1072237473946838</c:v>
                </c:pt>
                <c:pt idx="218">
                  <c:v>3.9864508534049534</c:v>
                </c:pt>
                <c:pt idx="219">
                  <c:v>2.1191349961760406</c:v>
                </c:pt>
                <c:pt idx="220">
                  <c:v>8.1370234794457854</c:v>
                </c:pt>
                <c:pt idx="221">
                  <c:v>3.8322604390911534</c:v>
                </c:pt>
                <c:pt idx="222">
                  <c:v>0.80261387225817227</c:v>
                </c:pt>
                <c:pt idx="223">
                  <c:v>1.6014910355889878</c:v>
                </c:pt>
                <c:pt idx="224">
                  <c:v>8.7752716164709401</c:v>
                </c:pt>
                <c:pt idx="225">
                  <c:v>2.902415267994523</c:v>
                </c:pt>
                <c:pt idx="226">
                  <c:v>2.501107683797902</c:v>
                </c:pt>
                <c:pt idx="227">
                  <c:v>5.4776410531881492</c:v>
                </c:pt>
                <c:pt idx="228">
                  <c:v>3.0804397950403182</c:v>
                </c:pt>
                <c:pt idx="229">
                  <c:v>2.0894380815242886</c:v>
                </c:pt>
                <c:pt idx="230">
                  <c:v>1.723302072436405</c:v>
                </c:pt>
                <c:pt idx="231">
                  <c:v>6.433820662353444</c:v>
                </c:pt>
                <c:pt idx="232">
                  <c:v>6.5093926852535926</c:v>
                </c:pt>
                <c:pt idx="233">
                  <c:v>6.6208313392242228</c:v>
                </c:pt>
                <c:pt idx="234">
                  <c:v>1.1321816158246942</c:v>
                </c:pt>
                <c:pt idx="235">
                  <c:v>1.073538431084746</c:v>
                </c:pt>
                <c:pt idx="236">
                  <c:v>2.3016701356207663</c:v>
                </c:pt>
                <c:pt idx="237">
                  <c:v>1.6220031954794867</c:v>
                </c:pt>
                <c:pt idx="238">
                  <c:v>3.2546122224619003</c:v>
                </c:pt>
                <c:pt idx="239">
                  <c:v>3.989007318032693</c:v>
                </c:pt>
                <c:pt idx="240">
                  <c:v>3.9424278974065339</c:v>
                </c:pt>
                <c:pt idx="241">
                  <c:v>4.1032496220578629</c:v>
                </c:pt>
                <c:pt idx="242">
                  <c:v>1.1245089439010885</c:v>
                </c:pt>
                <c:pt idx="243">
                  <c:v>7.0760476028863835</c:v>
                </c:pt>
                <c:pt idx="244">
                  <c:v>6.9912527359296011</c:v>
                </c:pt>
                <c:pt idx="245">
                  <c:v>3.0113029279030248</c:v>
                </c:pt>
                <c:pt idx="246">
                  <c:v>5.5977792100939299</c:v>
                </c:pt>
                <c:pt idx="247">
                  <c:v>4.0788939165881981</c:v>
                </c:pt>
                <c:pt idx="248">
                  <c:v>4.9740751573644753</c:v>
                </c:pt>
                <c:pt idx="249">
                  <c:v>3.3776030983105212</c:v>
                </c:pt>
                <c:pt idx="250">
                  <c:v>6.6531646385799155</c:v>
                </c:pt>
                <c:pt idx="251">
                  <c:v>5.1071645243172226</c:v>
                </c:pt>
                <c:pt idx="252">
                  <c:v>4.4387262552934494</c:v>
                </c:pt>
                <c:pt idx="253">
                  <c:v>4.7479869476081245</c:v>
                </c:pt>
                <c:pt idx="254">
                  <c:v>3.9830938745719364</c:v>
                </c:pt>
                <c:pt idx="255">
                  <c:v>9.3725848041849993</c:v>
                </c:pt>
                <c:pt idx="256">
                  <c:v>4.6908142521360077</c:v>
                </c:pt>
                <c:pt idx="257">
                  <c:v>7.0171061394126708</c:v>
                </c:pt>
                <c:pt idx="258">
                  <c:v>10.836576874253286</c:v>
                </c:pt>
                <c:pt idx="259">
                  <c:v>6.8673505368981216</c:v>
                </c:pt>
                <c:pt idx="260">
                  <c:v>4.2952841701534172</c:v>
                </c:pt>
                <c:pt idx="261">
                  <c:v>4.9892259747979599</c:v>
                </c:pt>
                <c:pt idx="262">
                  <c:v>4.0375984252544868</c:v>
                </c:pt>
                <c:pt idx="263">
                  <c:v>5.0959453507174128</c:v>
                </c:pt>
                <c:pt idx="264">
                  <c:v>8.9922088449024482</c:v>
                </c:pt>
                <c:pt idx="265">
                  <c:v>10.716124092243593</c:v>
                </c:pt>
                <c:pt idx="266">
                  <c:v>11.070317379371202</c:v>
                </c:pt>
                <c:pt idx="267">
                  <c:v>8.0710224287498988</c:v>
                </c:pt>
                <c:pt idx="268">
                  <c:v>11.125495272841396</c:v>
                </c:pt>
                <c:pt idx="269">
                  <c:v>8.3847241051083081</c:v>
                </c:pt>
                <c:pt idx="270">
                  <c:v>10.263536203800184</c:v>
                </c:pt>
                <c:pt idx="271">
                  <c:v>3.85518515391693</c:v>
                </c:pt>
                <c:pt idx="272">
                  <c:v>14.69265367316342</c:v>
                </c:pt>
                <c:pt idx="273">
                  <c:v>14.631458667973849</c:v>
                </c:pt>
                <c:pt idx="274">
                  <c:v>7.7650143352132455</c:v>
                </c:pt>
                <c:pt idx="275">
                  <c:v>12.662101233272411</c:v>
                </c:pt>
                <c:pt idx="276">
                  <c:v>12.635829803522084</c:v>
                </c:pt>
                <c:pt idx="277">
                  <c:v>6.1028144661445474</c:v>
                </c:pt>
                <c:pt idx="278">
                  <c:v>9.0725230335640088</c:v>
                </c:pt>
                <c:pt idx="279">
                  <c:v>8.2452075242741092</c:v>
                </c:pt>
                <c:pt idx="280">
                  <c:v>9.402582755446149</c:v>
                </c:pt>
                <c:pt idx="281">
                  <c:v>6.4610957776042488</c:v>
                </c:pt>
                <c:pt idx="282">
                  <c:v>8.6178897956899281</c:v>
                </c:pt>
                <c:pt idx="283">
                  <c:v>4.6097051305779697</c:v>
                </c:pt>
                <c:pt idx="284">
                  <c:v>2.0115520258818842</c:v>
                </c:pt>
                <c:pt idx="285">
                  <c:v>6.7251457848740497</c:v>
                </c:pt>
                <c:pt idx="286">
                  <c:v>8.3717283545362022</c:v>
                </c:pt>
                <c:pt idx="287">
                  <c:v>10.365054238158507</c:v>
                </c:pt>
                <c:pt idx="288">
                  <c:v>6.2538501483151823</c:v>
                </c:pt>
                <c:pt idx="289">
                  <c:v>8.8622095403139109</c:v>
                </c:pt>
                <c:pt idx="290">
                  <c:v>9.0098394332265048</c:v>
                </c:pt>
                <c:pt idx="291">
                  <c:v>9.0098394332265048</c:v>
                </c:pt>
                <c:pt idx="292">
                  <c:v>6.6360275479617039</c:v>
                </c:pt>
                <c:pt idx="293">
                  <c:v>5.3305682085064809</c:v>
                </c:pt>
                <c:pt idx="294">
                  <c:v>2.7995384679075261</c:v>
                </c:pt>
                <c:pt idx="295">
                  <c:v>5.8633245851668105</c:v>
                </c:pt>
                <c:pt idx="296">
                  <c:v>6.2784600906795038</c:v>
                </c:pt>
                <c:pt idx="297">
                  <c:v>6.4043217362513145</c:v>
                </c:pt>
                <c:pt idx="298">
                  <c:v>9.57263504790523</c:v>
                </c:pt>
                <c:pt idx="299">
                  <c:v>6.9521188107960681</c:v>
                </c:pt>
                <c:pt idx="300">
                  <c:v>6.0816725802344065</c:v>
                </c:pt>
                <c:pt idx="301">
                  <c:v>5.3700997779692772</c:v>
                </c:pt>
                <c:pt idx="302">
                  <c:v>8.5150196991666309</c:v>
                </c:pt>
                <c:pt idx="303">
                  <c:v>7.2467961729706705</c:v>
                </c:pt>
                <c:pt idx="304">
                  <c:v>8.271019961402196</c:v>
                </c:pt>
                <c:pt idx="305">
                  <c:v>9.9998850660197238</c:v>
                </c:pt>
                <c:pt idx="306">
                  <c:v>7.0272873373754523</c:v>
                </c:pt>
                <c:pt idx="307">
                  <c:v>5.0090891052897444</c:v>
                </c:pt>
                <c:pt idx="308">
                  <c:v>10.958805140697779</c:v>
                </c:pt>
                <c:pt idx="309">
                  <c:v>7.4047146900275758</c:v>
                </c:pt>
                <c:pt idx="310">
                  <c:v>5.4915438029878443</c:v>
                </c:pt>
                <c:pt idx="311">
                  <c:v>7.3421537597584452</c:v>
                </c:pt>
                <c:pt idx="312">
                  <c:v>43.489216096025302</c:v>
                </c:pt>
                <c:pt idx="313">
                  <c:v>19.966119753751286</c:v>
                </c:pt>
                <c:pt idx="314">
                  <c:v>34.660470412538771</c:v>
                </c:pt>
                <c:pt idx="317">
                  <c:v>30.2361124030684</c:v>
                </c:pt>
                <c:pt idx="318">
                  <c:v>31.617662150200829</c:v>
                </c:pt>
                <c:pt idx="319">
                  <c:v>9.462415796526388</c:v>
                </c:pt>
                <c:pt idx="320">
                  <c:v>8.7925964830396044</c:v>
                </c:pt>
                <c:pt idx="321">
                  <c:v>16.685266176294263</c:v>
                </c:pt>
                <c:pt idx="322">
                  <c:v>11.10598307476304</c:v>
                </c:pt>
                <c:pt idx="323">
                  <c:v>5.9283779872283304</c:v>
                </c:pt>
                <c:pt idx="327">
                  <c:v>8.1906785112493719</c:v>
                </c:pt>
                <c:pt idx="331">
                  <c:v>33.108877424655873</c:v>
                </c:pt>
                <c:pt idx="332">
                  <c:v>23.773318330146616</c:v>
                </c:pt>
                <c:pt idx="333">
                  <c:v>35.414165666266506</c:v>
                </c:pt>
                <c:pt idx="334">
                  <c:v>32.962027121174657</c:v>
                </c:pt>
              </c:numCache>
            </c:numRef>
          </c:yVal>
          <c:smooth val="0"/>
          <c:extLst>
            <c:ext xmlns:c16="http://schemas.microsoft.com/office/drawing/2014/chart" uri="{C3380CC4-5D6E-409C-BE32-E72D297353CC}">
              <c16:uniqueId val="{00000000-725F-7344-8C45-4C5AFAF93BE1}"/>
            </c:ext>
          </c:extLst>
        </c:ser>
        <c:dLbls>
          <c:showLegendKey val="0"/>
          <c:showVal val="0"/>
          <c:showCatName val="0"/>
          <c:showSerName val="0"/>
          <c:showPercent val="0"/>
          <c:showBubbleSize val="0"/>
        </c:dLbls>
        <c:axId val="1719743504"/>
        <c:axId val="1719745232"/>
      </c:scatterChart>
      <c:valAx>
        <c:axId val="1719743504"/>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45232"/>
        <c:crosses val="autoZero"/>
        <c:crossBetween val="midCat"/>
      </c:valAx>
      <c:valAx>
        <c:axId val="17197452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43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HDF_Limited_Col!$Y$1</c:f>
              <c:strCache>
                <c:ptCount val="1"/>
                <c:pt idx="0">
                  <c:v>Cl</c:v>
                </c:pt>
              </c:strCache>
            </c:strRef>
          </c:tx>
          <c:spPr>
            <a:ln w="19050" cap="rnd">
              <a:noFill/>
              <a:round/>
            </a:ln>
            <a:effectLst/>
          </c:spPr>
          <c:marker>
            <c:symbol val="circle"/>
            <c:size val="5"/>
            <c:spPr>
              <a:solidFill>
                <a:schemeClr val="accent1"/>
              </a:solidFill>
              <a:ln w="9525">
                <a:solidFill>
                  <a:schemeClr val="accent1"/>
                </a:solidFill>
              </a:ln>
              <a:effectLst/>
            </c:spPr>
          </c:marker>
          <c:xVal>
            <c:numRef>
              <c:f>HDF_Limited_Col!$Q$5:$Q$344</c:f>
              <c:numCache>
                <c:formatCode>0.00</c:formatCode>
                <c:ptCount val="340"/>
                <c:pt idx="0">
                  <c:v>1.1985158013067032</c:v>
                </c:pt>
                <c:pt idx="1">
                  <c:v>0</c:v>
                </c:pt>
                <c:pt idx="2">
                  <c:v>5.2087597216537045</c:v>
                </c:pt>
                <c:pt idx="3">
                  <c:v>1.7344823157418341</c:v>
                </c:pt>
                <c:pt idx="4">
                  <c:v>2.0566859891573084</c:v>
                </c:pt>
                <c:pt idx="5">
                  <c:v>2.759520540471152</c:v>
                </c:pt>
                <c:pt idx="6">
                  <c:v>0</c:v>
                </c:pt>
                <c:pt idx="7">
                  <c:v>3.5183564461848014</c:v>
                </c:pt>
                <c:pt idx="8">
                  <c:v>4.6462044896901711</c:v>
                </c:pt>
                <c:pt idx="9">
                  <c:v>2.3400182424809772</c:v>
                </c:pt>
                <c:pt idx="10">
                  <c:v>1.8986014142066328</c:v>
                </c:pt>
                <c:pt idx="11">
                  <c:v>3.251995229795432</c:v>
                </c:pt>
                <c:pt idx="12">
                  <c:v>1.6934629107140191</c:v>
                </c:pt>
                <c:pt idx="13">
                  <c:v>2.4804237117980987</c:v>
                </c:pt>
                <c:pt idx="14">
                  <c:v>1.1423005660971519</c:v>
                </c:pt>
                <c:pt idx="15">
                  <c:v>1.0493521101745713</c:v>
                </c:pt>
                <c:pt idx="16">
                  <c:v>0.76097572942812586</c:v>
                </c:pt>
                <c:pt idx="17">
                  <c:v>3.6132912037508929</c:v>
                </c:pt>
                <c:pt idx="18">
                  <c:v>1.7823922771381167</c:v>
                </c:pt>
                <c:pt idx="19">
                  <c:v>0.91797363900805329</c:v>
                </c:pt>
                <c:pt idx="20">
                  <c:v>0</c:v>
                </c:pt>
                <c:pt idx="21">
                  <c:v>0</c:v>
                </c:pt>
                <c:pt idx="22">
                  <c:v>1.7920278327064036</c:v>
                </c:pt>
                <c:pt idx="23">
                  <c:v>2.21450785987426</c:v>
                </c:pt>
                <c:pt idx="24">
                  <c:v>1.8438945735000476</c:v>
                </c:pt>
                <c:pt idx="25">
                  <c:v>4.8585899338689149</c:v>
                </c:pt>
                <c:pt idx="26">
                  <c:v>5.6146218914526971</c:v>
                </c:pt>
                <c:pt idx="27">
                  <c:v>3.866158413060893</c:v>
                </c:pt>
                <c:pt idx="28">
                  <c:v>3.5032889657515214</c:v>
                </c:pt>
                <c:pt idx="29">
                  <c:v>4.9169306230841636</c:v>
                </c:pt>
                <c:pt idx="30">
                  <c:v>7.9133244448690823</c:v>
                </c:pt>
                <c:pt idx="31">
                  <c:v>4.6398086261590485</c:v>
                </c:pt>
                <c:pt idx="32">
                  <c:v>5.4962438116612455</c:v>
                </c:pt>
                <c:pt idx="33">
                  <c:v>4.7175433421060076</c:v>
                </c:pt>
                <c:pt idx="34">
                  <c:v>5.6229903832023194</c:v>
                </c:pt>
                <c:pt idx="35">
                  <c:v>4.0656371813702172</c:v>
                </c:pt>
                <c:pt idx="36">
                  <c:v>4.3525898918415473</c:v>
                </c:pt>
                <c:pt idx="37">
                  <c:v>4.9316937525020306</c:v>
                </c:pt>
                <c:pt idx="38">
                  <c:v>0.82994058082689715</c:v>
                </c:pt>
                <c:pt idx="39">
                  <c:v>1.3538543794993221</c:v>
                </c:pt>
                <c:pt idx="40">
                  <c:v>0.56352333227026929</c:v>
                </c:pt>
                <c:pt idx="41">
                  <c:v>1.0482366264817986</c:v>
                </c:pt>
                <c:pt idx="42">
                  <c:v>0.48020888070353862</c:v>
                </c:pt>
                <c:pt idx="43">
                  <c:v>0.30787557889510736</c:v>
                </c:pt>
                <c:pt idx="44">
                  <c:v>2.5014771582450934</c:v>
                </c:pt>
                <c:pt idx="45">
                  <c:v>0.65621731194821009</c:v>
                </c:pt>
                <c:pt idx="46">
                  <c:v>1.118615722008431</c:v>
                </c:pt>
                <c:pt idx="47">
                  <c:v>0.60373481083259761</c:v>
                </c:pt>
                <c:pt idx="48">
                  <c:v>0.71381211337574291</c:v>
                </c:pt>
                <c:pt idx="49">
                  <c:v>0.60182159257781664</c:v>
                </c:pt>
                <c:pt idx="50">
                  <c:v>0.50322875544218126</c:v>
                </c:pt>
                <c:pt idx="51">
                  <c:v>0.60436438029209527</c:v>
                </c:pt>
                <c:pt idx="52">
                  <c:v>0.30386973174602944</c:v>
                </c:pt>
                <c:pt idx="53">
                  <c:v>5.6574495736120545</c:v>
                </c:pt>
                <c:pt idx="54">
                  <c:v>0.50722926906044541</c:v>
                </c:pt>
                <c:pt idx="55">
                  <c:v>1.7063198815358438</c:v>
                </c:pt>
                <c:pt idx="56">
                  <c:v>1.7440968695103567</c:v>
                </c:pt>
                <c:pt idx="57">
                  <c:v>1.6419282235361381</c:v>
                </c:pt>
                <c:pt idx="58">
                  <c:v>0.48382458284648217</c:v>
                </c:pt>
                <c:pt idx="59">
                  <c:v>1.6130954943728051</c:v>
                </c:pt>
                <c:pt idx="60">
                  <c:v>1.8255208412384902</c:v>
                </c:pt>
                <c:pt idx="61">
                  <c:v>2.1803282681893728</c:v>
                </c:pt>
                <c:pt idx="62">
                  <c:v>1.65966903929276</c:v>
                </c:pt>
                <c:pt idx="63">
                  <c:v>2.1462676298589614</c:v>
                </c:pt>
                <c:pt idx="64">
                  <c:v>1.7508566615811545</c:v>
                </c:pt>
                <c:pt idx="65">
                  <c:v>2.6406980119065189</c:v>
                </c:pt>
                <c:pt idx="66">
                  <c:v>1.7183311233930969</c:v>
                </c:pt>
                <c:pt idx="67">
                  <c:v>0.9541165486304275</c:v>
                </c:pt>
                <c:pt idx="68">
                  <c:v>2.8670215067248015</c:v>
                </c:pt>
                <c:pt idx="69">
                  <c:v>0.35055283158738443</c:v>
                </c:pt>
                <c:pt idx="70">
                  <c:v>1.3035661829270695</c:v>
                </c:pt>
                <c:pt idx="71">
                  <c:v>1.2023054663179626</c:v>
                </c:pt>
                <c:pt idx="72">
                  <c:v>0.50259586691519331</c:v>
                </c:pt>
                <c:pt idx="73">
                  <c:v>6.0346866292356953</c:v>
                </c:pt>
                <c:pt idx="74">
                  <c:v>1.3020860803698571</c:v>
                </c:pt>
                <c:pt idx="75">
                  <c:v>0.90803250289582349</c:v>
                </c:pt>
                <c:pt idx="76">
                  <c:v>0</c:v>
                </c:pt>
                <c:pt idx="77">
                  <c:v>1.1094442276355672</c:v>
                </c:pt>
                <c:pt idx="78">
                  <c:v>1.3078129584777629</c:v>
                </c:pt>
                <c:pt idx="79">
                  <c:v>3.2849678375585283</c:v>
                </c:pt>
                <c:pt idx="80">
                  <c:v>1.7360185553697483</c:v>
                </c:pt>
                <c:pt idx="81">
                  <c:v>0.70349285962574171</c:v>
                </c:pt>
                <c:pt idx="82">
                  <c:v>0.73622074536783899</c:v>
                </c:pt>
                <c:pt idx="83">
                  <c:v>2.2248974529999956</c:v>
                </c:pt>
                <c:pt idx="84">
                  <c:v>0</c:v>
                </c:pt>
                <c:pt idx="85">
                  <c:v>1.5292804786039407</c:v>
                </c:pt>
                <c:pt idx="86">
                  <c:v>3.1560839229122304</c:v>
                </c:pt>
                <c:pt idx="87">
                  <c:v>1.309286888238294</c:v>
                </c:pt>
                <c:pt idx="88">
                  <c:v>3.2788793347287437</c:v>
                </c:pt>
                <c:pt idx="89">
                  <c:v>2.5600854367183326</c:v>
                </c:pt>
                <c:pt idx="90">
                  <c:v>1.9548302410444713</c:v>
                </c:pt>
                <c:pt idx="91">
                  <c:v>5.404120769479789</c:v>
                </c:pt>
                <c:pt idx="92">
                  <c:v>5.1114437616660737</c:v>
                </c:pt>
                <c:pt idx="93">
                  <c:v>3.3189178678554323</c:v>
                </c:pt>
                <c:pt idx="94">
                  <c:v>3.5454189111681784</c:v>
                </c:pt>
                <c:pt idx="95">
                  <c:v>3.9495483492581016</c:v>
                </c:pt>
                <c:pt idx="96">
                  <c:v>4.3592211612610461</c:v>
                </c:pt>
                <c:pt idx="97">
                  <c:v>7.0754733283526967</c:v>
                </c:pt>
                <c:pt idx="98">
                  <c:v>4.1811476405178114</c:v>
                </c:pt>
                <c:pt idx="99">
                  <c:v>2.5967952232560836</c:v>
                </c:pt>
                <c:pt idx="100">
                  <c:v>1.650926073080482</c:v>
                </c:pt>
                <c:pt idx="101">
                  <c:v>6.2945381361104378</c:v>
                </c:pt>
                <c:pt idx="102">
                  <c:v>0</c:v>
                </c:pt>
                <c:pt idx="103">
                  <c:v>0</c:v>
                </c:pt>
                <c:pt idx="104">
                  <c:v>0</c:v>
                </c:pt>
                <c:pt idx="105">
                  <c:v>0</c:v>
                </c:pt>
                <c:pt idx="106">
                  <c:v>0</c:v>
                </c:pt>
                <c:pt idx="107">
                  <c:v>0</c:v>
                </c:pt>
                <c:pt idx="108">
                  <c:v>0</c:v>
                </c:pt>
                <c:pt idx="109">
                  <c:v>0.75007564232500179</c:v>
                </c:pt>
                <c:pt idx="110">
                  <c:v>0.80043239154578583</c:v>
                </c:pt>
                <c:pt idx="111">
                  <c:v>0.79029705806202188</c:v>
                </c:pt>
                <c:pt idx="112">
                  <c:v>0.72037654661237593</c:v>
                </c:pt>
                <c:pt idx="113">
                  <c:v>1.09891813137419</c:v>
                </c:pt>
                <c:pt idx="114">
                  <c:v>1.4013974442780033</c:v>
                </c:pt>
                <c:pt idx="115">
                  <c:v>0.50652553488810714</c:v>
                </c:pt>
                <c:pt idx="116">
                  <c:v>0.70254461859032413</c:v>
                </c:pt>
                <c:pt idx="117">
                  <c:v>0.30593795802594498</c:v>
                </c:pt>
                <c:pt idx="118">
                  <c:v>0.50212535711806949</c:v>
                </c:pt>
                <c:pt idx="119">
                  <c:v>0.40183404084084762</c:v>
                </c:pt>
                <c:pt idx="120">
                  <c:v>0.60248301179189834</c:v>
                </c:pt>
                <c:pt idx="121">
                  <c:v>2.349185068075109</c:v>
                </c:pt>
                <c:pt idx="122">
                  <c:v>0.61189746722934479</c:v>
                </c:pt>
                <c:pt idx="123">
                  <c:v>0.75856924943982351</c:v>
                </c:pt>
                <c:pt idx="124">
                  <c:v>1.5299697427905994</c:v>
                </c:pt>
                <c:pt idx="125">
                  <c:v>0</c:v>
                </c:pt>
                <c:pt idx="126">
                  <c:v>0.89664641988858651</c:v>
                </c:pt>
                <c:pt idx="127">
                  <c:v>0.40690533855212863</c:v>
                </c:pt>
                <c:pt idx="128">
                  <c:v>1.3916391344711523</c:v>
                </c:pt>
                <c:pt idx="129">
                  <c:v>1.7370165480521738</c:v>
                </c:pt>
                <c:pt idx="130">
                  <c:v>1.4498116512671719</c:v>
                </c:pt>
                <c:pt idx="131">
                  <c:v>1.5178774980572824</c:v>
                </c:pt>
                <c:pt idx="132">
                  <c:v>1.5638895828435033</c:v>
                </c:pt>
                <c:pt idx="133">
                  <c:v>1.5677919530332347</c:v>
                </c:pt>
                <c:pt idx="134">
                  <c:v>0.51346227102407105</c:v>
                </c:pt>
                <c:pt idx="135">
                  <c:v>0.5009101870154189</c:v>
                </c:pt>
                <c:pt idx="136">
                  <c:v>0.72691002456232334</c:v>
                </c:pt>
                <c:pt idx="137">
                  <c:v>0.51371674426760228</c:v>
                </c:pt>
                <c:pt idx="138">
                  <c:v>0.81863461791037462</c:v>
                </c:pt>
                <c:pt idx="139">
                  <c:v>0.61879783900782892</c:v>
                </c:pt>
                <c:pt idx="140">
                  <c:v>0.71449034797393096</c:v>
                </c:pt>
                <c:pt idx="141">
                  <c:v>3.1264331322538546</c:v>
                </c:pt>
                <c:pt idx="142">
                  <c:v>0.71441629611929292</c:v>
                </c:pt>
                <c:pt idx="143">
                  <c:v>0.92205359730952818</c:v>
                </c:pt>
                <c:pt idx="144">
                  <c:v>0.91719250837274147</c:v>
                </c:pt>
                <c:pt idx="145">
                  <c:v>1.2019750365551294</c:v>
                </c:pt>
                <c:pt idx="146">
                  <c:v>1.1010202684292778</c:v>
                </c:pt>
                <c:pt idx="147">
                  <c:v>1.0008611075819815</c:v>
                </c:pt>
                <c:pt idx="148">
                  <c:v>1.1999915374362666</c:v>
                </c:pt>
                <c:pt idx="149">
                  <c:v>1.3008256298073531</c:v>
                </c:pt>
                <c:pt idx="150">
                  <c:v>0.99930372913653953</c:v>
                </c:pt>
                <c:pt idx="151">
                  <c:v>1.0990156911651763</c:v>
                </c:pt>
                <c:pt idx="152">
                  <c:v>0.8005046905453792</c:v>
                </c:pt>
                <c:pt idx="153">
                  <c:v>1.0013756556962596</c:v>
                </c:pt>
                <c:pt idx="154">
                  <c:v>0</c:v>
                </c:pt>
                <c:pt idx="155">
                  <c:v>1.6318303922245567</c:v>
                </c:pt>
                <c:pt idx="156">
                  <c:v>1.7691723948631908</c:v>
                </c:pt>
                <c:pt idx="157">
                  <c:v>1.3303407762365949</c:v>
                </c:pt>
                <c:pt idx="158">
                  <c:v>0.84592829892648236</c:v>
                </c:pt>
                <c:pt idx="159">
                  <c:v>0</c:v>
                </c:pt>
                <c:pt idx="160">
                  <c:v>0.87613204384985266</c:v>
                </c:pt>
                <c:pt idx="161">
                  <c:v>0.19326290539476393</c:v>
                </c:pt>
                <c:pt idx="162">
                  <c:v>0.40627676643383637</c:v>
                </c:pt>
                <c:pt idx="163">
                  <c:v>0.30059062757454164</c:v>
                </c:pt>
                <c:pt idx="164">
                  <c:v>2.259407437880057</c:v>
                </c:pt>
                <c:pt idx="165">
                  <c:v>0.50023353639004953</c:v>
                </c:pt>
                <c:pt idx="166">
                  <c:v>0.39952721673506247</c:v>
                </c:pt>
                <c:pt idx="167">
                  <c:v>0.60035479359452193</c:v>
                </c:pt>
                <c:pt idx="168">
                  <c:v>0.60043190447289285</c:v>
                </c:pt>
                <c:pt idx="169">
                  <c:v>0.69984996164433</c:v>
                </c:pt>
                <c:pt idx="170">
                  <c:v>0.79980371530823191</c:v>
                </c:pt>
                <c:pt idx="171">
                  <c:v>0.69950965261304821</c:v>
                </c:pt>
                <c:pt idx="172">
                  <c:v>0.39942311809178283</c:v>
                </c:pt>
                <c:pt idx="173">
                  <c:v>0.30734600027768721</c:v>
                </c:pt>
                <c:pt idx="174">
                  <c:v>6.1745532075155038</c:v>
                </c:pt>
                <c:pt idx="175">
                  <c:v>5.1512637537794497</c:v>
                </c:pt>
                <c:pt idx="176">
                  <c:v>6.0818360048505209</c:v>
                </c:pt>
                <c:pt idx="177">
                  <c:v>5.8471878713350094</c:v>
                </c:pt>
                <c:pt idx="178">
                  <c:v>6.5301583967200578</c:v>
                </c:pt>
                <c:pt idx="179">
                  <c:v>7.4615032450144252</c:v>
                </c:pt>
                <c:pt idx="180">
                  <c:v>6.5936623204915055</c:v>
                </c:pt>
                <c:pt idx="181">
                  <c:v>6.044158446373447</c:v>
                </c:pt>
                <c:pt idx="182">
                  <c:v>5.8997799993160598</c:v>
                </c:pt>
                <c:pt idx="183">
                  <c:v>7.0848692318999538</c:v>
                </c:pt>
                <c:pt idx="184">
                  <c:v>6.5852407907025148</c:v>
                </c:pt>
                <c:pt idx="185">
                  <c:v>4.6694118100026554</c:v>
                </c:pt>
                <c:pt idx="186">
                  <c:v>6.6661986940424951</c:v>
                </c:pt>
                <c:pt idx="187">
                  <c:v>6.0718977892102819</c:v>
                </c:pt>
                <c:pt idx="188">
                  <c:v>5.0126973133639225</c:v>
                </c:pt>
                <c:pt idx="189">
                  <c:v>5.4735557209632946</c:v>
                </c:pt>
                <c:pt idx="190">
                  <c:v>6.412639134050095</c:v>
                </c:pt>
                <c:pt idx="191">
                  <c:v>5.5947264668877148</c:v>
                </c:pt>
                <c:pt idx="192">
                  <c:v>5.6689655573453051</c:v>
                </c:pt>
                <c:pt idx="193">
                  <c:v>5.818663571508127</c:v>
                </c:pt>
                <c:pt idx="194">
                  <c:v>4.7386368754694832</c:v>
                </c:pt>
                <c:pt idx="195">
                  <c:v>6.2988343745812054</c:v>
                </c:pt>
                <c:pt idx="196">
                  <c:v>7.0375250996565759</c:v>
                </c:pt>
                <c:pt idx="197">
                  <c:v>21.73000053635403</c:v>
                </c:pt>
                <c:pt idx="198">
                  <c:v>11.306523975964129</c:v>
                </c:pt>
                <c:pt idx="199">
                  <c:v>9.9687335739516598</c:v>
                </c:pt>
                <c:pt idx="200">
                  <c:v>12.519782669286887</c:v>
                </c:pt>
                <c:pt idx="201">
                  <c:v>11.206724034420654</c:v>
                </c:pt>
                <c:pt idx="202">
                  <c:v>7.9757593891955345</c:v>
                </c:pt>
                <c:pt idx="203">
                  <c:v>9.5507691804234138</c:v>
                </c:pt>
                <c:pt idx="204">
                  <c:v>12.814874050379849</c:v>
                </c:pt>
                <c:pt idx="205">
                  <c:v>22.08895552223888</c:v>
                </c:pt>
                <c:pt idx="206">
                  <c:v>12.912278060690378</c:v>
                </c:pt>
                <c:pt idx="207">
                  <c:v>10.72490793918278</c:v>
                </c:pt>
                <c:pt idx="208">
                  <c:v>11.858692385922648</c:v>
                </c:pt>
                <c:pt idx="209">
                  <c:v>14.282207235045533</c:v>
                </c:pt>
                <c:pt idx="210">
                  <c:v>16.592274142272103</c:v>
                </c:pt>
                <c:pt idx="211">
                  <c:v>17.13737476617078</c:v>
                </c:pt>
                <c:pt idx="212">
                  <c:v>12.63411210267723</c:v>
                </c:pt>
                <c:pt idx="213">
                  <c:v>5.812459379214383</c:v>
                </c:pt>
                <c:pt idx="214">
                  <c:v>5.2824825432770384</c:v>
                </c:pt>
                <c:pt idx="215">
                  <c:v>6.7657291273916496</c:v>
                </c:pt>
                <c:pt idx="216">
                  <c:v>8.7141011117143456</c:v>
                </c:pt>
                <c:pt idx="217">
                  <c:v>7.5525569531961265</c:v>
                </c:pt>
                <c:pt idx="218">
                  <c:v>5.2810484897388283</c:v>
                </c:pt>
                <c:pt idx="219">
                  <c:v>9.8057838911470778</c:v>
                </c:pt>
                <c:pt idx="220">
                  <c:v>13.343455626292114</c:v>
                </c:pt>
                <c:pt idx="221">
                  <c:v>12.511648715538964</c:v>
                </c:pt>
                <c:pt idx="222">
                  <c:v>7.2213172677208783</c:v>
                </c:pt>
                <c:pt idx="223">
                  <c:v>6.4053302466086022</c:v>
                </c:pt>
                <c:pt idx="224">
                  <c:v>5.6024812117072997</c:v>
                </c:pt>
                <c:pt idx="225">
                  <c:v>4.626766130786943</c:v>
                </c:pt>
                <c:pt idx="226">
                  <c:v>6.7070249675079934</c:v>
                </c:pt>
                <c:pt idx="227">
                  <c:v>7.3328161755591079</c:v>
                </c:pt>
                <c:pt idx="228">
                  <c:v>7.1145192079708517</c:v>
                </c:pt>
                <c:pt idx="229">
                  <c:v>4.4232517053679929</c:v>
                </c:pt>
                <c:pt idx="230">
                  <c:v>3.8649519068693197</c:v>
                </c:pt>
                <c:pt idx="231">
                  <c:v>4.2414700766905176</c:v>
                </c:pt>
                <c:pt idx="232">
                  <c:v>18.836295909295803</c:v>
                </c:pt>
                <c:pt idx="233">
                  <c:v>13.745305145664501</c:v>
                </c:pt>
                <c:pt idx="234">
                  <c:v>17.512707553636265</c:v>
                </c:pt>
                <c:pt idx="235">
                  <c:v>18.481006106069305</c:v>
                </c:pt>
                <c:pt idx="236">
                  <c:v>10.51490102641537</c:v>
                </c:pt>
                <c:pt idx="237">
                  <c:v>9.9775422337694284</c:v>
                </c:pt>
                <c:pt idx="238">
                  <c:v>13.30819569429109</c:v>
                </c:pt>
                <c:pt idx="239">
                  <c:v>10.708480720980276</c:v>
                </c:pt>
                <c:pt idx="240">
                  <c:v>15.96401090002438</c:v>
                </c:pt>
                <c:pt idx="241">
                  <c:v>2.8444698464310334</c:v>
                </c:pt>
                <c:pt idx="242">
                  <c:v>2.5930785957868614</c:v>
                </c:pt>
                <c:pt idx="243">
                  <c:v>7.4021697208321813</c:v>
                </c:pt>
                <c:pt idx="244">
                  <c:v>5.9167703047867821</c:v>
                </c:pt>
                <c:pt idx="245">
                  <c:v>6.1287462165062463</c:v>
                </c:pt>
                <c:pt idx="246">
                  <c:v>4.5898564082569902</c:v>
                </c:pt>
                <c:pt idx="247">
                  <c:v>5.5570350669451392</c:v>
                </c:pt>
                <c:pt idx="248">
                  <c:v>4.7347674728544185</c:v>
                </c:pt>
                <c:pt idx="249">
                  <c:v>4.4365267584977888</c:v>
                </c:pt>
                <c:pt idx="250">
                  <c:v>6.2121665374314787</c:v>
                </c:pt>
                <c:pt idx="251">
                  <c:v>6.0868986681917603</c:v>
                </c:pt>
                <c:pt idx="252">
                  <c:v>5.2218040339562384</c:v>
                </c:pt>
                <c:pt idx="253">
                  <c:v>3.3969147135609714</c:v>
                </c:pt>
                <c:pt idx="254">
                  <c:v>4.6908142521360077</c:v>
                </c:pt>
                <c:pt idx="255">
                  <c:v>5.2046068624215192</c:v>
                </c:pt>
                <c:pt idx="256">
                  <c:v>2.9986710816158899</c:v>
                </c:pt>
                <c:pt idx="257">
                  <c:v>4.6681385824836168</c:v>
                </c:pt>
                <c:pt idx="258">
                  <c:v>4.2025801952580197</c:v>
                </c:pt>
                <c:pt idx="259">
                  <c:v>4.4624132942292309</c:v>
                </c:pt>
                <c:pt idx="260">
                  <c:v>6.0096902010857267</c:v>
                </c:pt>
                <c:pt idx="261">
                  <c:v>6.8933128491668398</c:v>
                </c:pt>
                <c:pt idx="262">
                  <c:v>5.3651838247797841</c:v>
                </c:pt>
                <c:pt idx="263">
                  <c:v>2.2241012266920666</c:v>
                </c:pt>
                <c:pt idx="264">
                  <c:v>2.5390636191218352</c:v>
                </c:pt>
                <c:pt idx="265">
                  <c:v>4.3459351539422535</c:v>
                </c:pt>
                <c:pt idx="266">
                  <c:v>2.0602769023780358</c:v>
                </c:pt>
                <c:pt idx="267">
                  <c:v>2.9653292566846461</c:v>
                </c:pt>
                <c:pt idx="268">
                  <c:v>2.5404792583663824</c:v>
                </c:pt>
                <c:pt idx="269">
                  <c:v>6.695847898908351</c:v>
                </c:pt>
                <c:pt idx="270">
                  <c:v>3.8780609695152428</c:v>
                </c:pt>
                <c:pt idx="271">
                  <c:v>4.5297392588521781</c:v>
                </c:pt>
                <c:pt idx="272">
                  <c:v>7.0889049076089252</c:v>
                </c:pt>
                <c:pt idx="273">
                  <c:v>12.77451698272035</c:v>
                </c:pt>
                <c:pt idx="274">
                  <c:v>6.2666331249610323</c:v>
                </c:pt>
                <c:pt idx="275">
                  <c:v>8.5808028903173348</c:v>
                </c:pt>
                <c:pt idx="276">
                  <c:v>7.7136879395730009</c:v>
                </c:pt>
                <c:pt idx="277">
                  <c:v>8.2044904500801632</c:v>
                </c:pt>
                <c:pt idx="278">
                  <c:v>8.7221326876178118</c:v>
                </c:pt>
                <c:pt idx="279">
                  <c:v>6.1641515976509638</c:v>
                </c:pt>
                <c:pt idx="280">
                  <c:v>8.1803818131460471</c:v>
                </c:pt>
                <c:pt idx="281">
                  <c:v>8.3999071268309677</c:v>
                </c:pt>
                <c:pt idx="282">
                  <c:v>5.9529686857316673</c:v>
                </c:pt>
                <c:pt idx="283">
                  <c:v>5.5206420622100394</c:v>
                </c:pt>
                <c:pt idx="284">
                  <c:v>5.3874534234485916</c:v>
                </c:pt>
                <c:pt idx="285">
                  <c:v>5.5548640188965974</c:v>
                </c:pt>
                <c:pt idx="286">
                  <c:v>3.6312678280539767</c:v>
                </c:pt>
                <c:pt idx="287">
                  <c:v>1.9003258094875297</c:v>
                </c:pt>
                <c:pt idx="288">
                  <c:v>2.6677801875475815</c:v>
                </c:pt>
                <c:pt idx="289">
                  <c:v>2.6677801875475815</c:v>
                </c:pt>
                <c:pt idx="290">
                  <c:v>3.5835626894058135</c:v>
                </c:pt>
                <c:pt idx="291">
                  <c:v>4.1034879403375317</c:v>
                </c:pt>
                <c:pt idx="292">
                  <c:v>5.6798459576466769</c:v>
                </c:pt>
                <c:pt idx="293">
                  <c:v>3.6493344560273275</c:v>
                </c:pt>
                <c:pt idx="294">
                  <c:v>4.5025243252314588</c:v>
                </c:pt>
                <c:pt idx="295">
                  <c:v>4.2053131744796257</c:v>
                </c:pt>
                <c:pt idx="296">
                  <c:v>3.5823974843283266</c:v>
                </c:pt>
                <c:pt idx="297">
                  <c:v>4.3412816993339476</c:v>
                </c:pt>
                <c:pt idx="298">
                  <c:v>5.1189041556624728</c:v>
                </c:pt>
                <c:pt idx="299">
                  <c:v>3.0244242243953363</c:v>
                </c:pt>
                <c:pt idx="300">
                  <c:v>2.699884294857712</c:v>
                </c:pt>
                <c:pt idx="301">
                  <c:v>3.7764994140833079</c:v>
                </c:pt>
                <c:pt idx="302">
                  <c:v>4.0844543019270105</c:v>
                </c:pt>
                <c:pt idx="303">
                  <c:v>2.8470497723174861</c:v>
                </c:pt>
                <c:pt idx="304">
                  <c:v>14.314844576135183</c:v>
                </c:pt>
                <c:pt idx="305">
                  <c:v>10.519087121108463</c:v>
                </c:pt>
                <c:pt idx="306">
                  <c:v>6.2736645943077178</c:v>
                </c:pt>
                <c:pt idx="307">
                  <c:v>4.8696770491926964</c:v>
                </c:pt>
                <c:pt idx="308">
                  <c:v>9.2694854338754649</c:v>
                </c:pt>
                <c:pt idx="309">
                  <c:v>7.6936932694596036</c:v>
                </c:pt>
              </c:numCache>
            </c:numRef>
          </c:xVal>
          <c:yVal>
            <c:numRef>
              <c:f>HDF_Limited_Col!$S$3:$S$342</c:f>
              <c:numCache>
                <c:formatCode>0.00</c:formatCode>
                <c:ptCount val="340"/>
                <c:pt idx="0">
                  <c:v>24.100645856518014</c:v>
                </c:pt>
                <c:pt idx="1">
                  <c:v>18.291434758336013</c:v>
                </c:pt>
                <c:pt idx="2">
                  <c:v>21.872913373847332</c:v>
                </c:pt>
                <c:pt idx="3">
                  <c:v>22.801800665983528</c:v>
                </c:pt>
                <c:pt idx="4">
                  <c:v>22.615636512484652</c:v>
                </c:pt>
                <c:pt idx="5">
                  <c:v>18.958295079038653</c:v>
                </c:pt>
                <c:pt idx="6">
                  <c:v>19.760316366413353</c:v>
                </c:pt>
                <c:pt idx="7">
                  <c:v>24.885857964976207</c:v>
                </c:pt>
                <c:pt idx="8">
                  <c:v>45.464635646402144</c:v>
                </c:pt>
                <c:pt idx="9">
                  <c:v>45.312166352380018</c:v>
                </c:pt>
                <c:pt idx="10">
                  <c:v>43.436609415242998</c:v>
                </c:pt>
                <c:pt idx="11">
                  <c:v>43.396701951465396</c:v>
                </c:pt>
                <c:pt idx="12">
                  <c:v>38.60489542220153</c:v>
                </c:pt>
                <c:pt idx="13">
                  <c:v>47.940703871500403</c:v>
                </c:pt>
                <c:pt idx="14">
                  <c:v>42.654097063609356</c:v>
                </c:pt>
                <c:pt idx="15">
                  <c:v>44.324093284739938</c:v>
                </c:pt>
                <c:pt idx="16">
                  <c:v>43.615112523709435</c:v>
                </c:pt>
                <c:pt idx="17">
                  <c:v>39.455639342563877</c:v>
                </c:pt>
                <c:pt idx="18">
                  <c:v>40.223002841200937</c:v>
                </c:pt>
                <c:pt idx="19">
                  <c:v>45.837179841868462</c:v>
                </c:pt>
                <c:pt idx="20">
                  <c:v>46.027659391978418</c:v>
                </c:pt>
                <c:pt idx="21">
                  <c:v>50.896538429446515</c:v>
                </c:pt>
                <c:pt idx="22">
                  <c:v>48.281811602390476</c:v>
                </c:pt>
                <c:pt idx="23">
                  <c:v>46.827313949492499</c:v>
                </c:pt>
                <c:pt idx="24">
                  <c:v>49.122645296540249</c:v>
                </c:pt>
                <c:pt idx="25">
                  <c:v>42.07564933761094</c:v>
                </c:pt>
                <c:pt idx="26">
                  <c:v>21.10234900783388</c:v>
                </c:pt>
                <c:pt idx="27">
                  <c:v>37.197612105162008</c:v>
                </c:pt>
                <c:pt idx="28">
                  <c:v>25.317785751272808</c:v>
                </c:pt>
                <c:pt idx="29">
                  <c:v>22.023841725061924</c:v>
                </c:pt>
                <c:pt idx="30">
                  <c:v>20.877158080786682</c:v>
                </c:pt>
                <c:pt idx="31">
                  <c:v>22.30105772143612</c:v>
                </c:pt>
                <c:pt idx="32">
                  <c:v>24.437905970471185</c:v>
                </c:pt>
                <c:pt idx="33">
                  <c:v>23.291633546838327</c:v>
                </c:pt>
                <c:pt idx="34">
                  <c:v>20.273880475090067</c:v>
                </c:pt>
                <c:pt idx="35">
                  <c:v>25.499400940664501</c:v>
                </c:pt>
                <c:pt idx="36">
                  <c:v>23.25734134903464</c:v>
                </c:pt>
                <c:pt idx="37">
                  <c:v>21.786065906231318</c:v>
                </c:pt>
                <c:pt idx="38">
                  <c:v>16.591658135329325</c:v>
                </c:pt>
                <c:pt idx="39">
                  <c:v>17.42600574890362</c:v>
                </c:pt>
                <c:pt idx="40">
                  <c:v>26.537606226440293</c:v>
                </c:pt>
                <c:pt idx="41">
                  <c:v>28.180228195504409</c:v>
                </c:pt>
                <c:pt idx="42">
                  <c:v>33.106995770878314</c:v>
                </c:pt>
                <c:pt idx="43">
                  <c:v>30.049449959144891</c:v>
                </c:pt>
                <c:pt idx="44">
                  <c:v>30.213142077597638</c:v>
                </c:pt>
                <c:pt idx="45">
                  <c:v>21.448665329692478</c:v>
                </c:pt>
                <c:pt idx="46">
                  <c:v>18.987115779450708</c:v>
                </c:pt>
                <c:pt idx="47">
                  <c:v>30.993648425861615</c:v>
                </c:pt>
                <c:pt idx="48">
                  <c:v>25.931546282922717</c:v>
                </c:pt>
                <c:pt idx="49">
                  <c:v>19.218891478171027</c:v>
                </c:pt>
                <c:pt idx="50">
                  <c:v>23.249880264238488</c:v>
                </c:pt>
                <c:pt idx="51">
                  <c:v>22.066791727853278</c:v>
                </c:pt>
                <c:pt idx="52">
                  <c:v>23.752397256870953</c:v>
                </c:pt>
                <c:pt idx="53">
                  <c:v>25.484031368983352</c:v>
                </c:pt>
                <c:pt idx="54">
                  <c:v>21.878620685714122</c:v>
                </c:pt>
                <c:pt idx="55">
                  <c:v>36.244640644011895</c:v>
                </c:pt>
                <c:pt idx="56">
                  <c:v>24.448450768713471</c:v>
                </c:pt>
                <c:pt idx="57">
                  <c:v>22.684017248652982</c:v>
                </c:pt>
                <c:pt idx="58">
                  <c:v>23.699198638640727</c:v>
                </c:pt>
                <c:pt idx="59">
                  <c:v>19.087415598607606</c:v>
                </c:pt>
                <c:pt idx="60">
                  <c:v>17.949472631284703</c:v>
                </c:pt>
                <c:pt idx="61">
                  <c:v>23.076260520039398</c:v>
                </c:pt>
                <c:pt idx="62">
                  <c:v>22.83375499846019</c:v>
                </c:pt>
                <c:pt idx="63">
                  <c:v>22.990725363628865</c:v>
                </c:pt>
                <c:pt idx="64">
                  <c:v>23.67012821379469</c:v>
                </c:pt>
                <c:pt idx="65">
                  <c:v>18.926178190574472</c:v>
                </c:pt>
                <c:pt idx="66">
                  <c:v>22.539763919205665</c:v>
                </c:pt>
                <c:pt idx="67">
                  <c:v>25.302505665416074</c:v>
                </c:pt>
                <c:pt idx="68">
                  <c:v>21.403773642264891</c:v>
                </c:pt>
                <c:pt idx="69">
                  <c:v>26.112663436201181</c:v>
                </c:pt>
                <c:pt idx="70">
                  <c:v>29.374395788197958</c:v>
                </c:pt>
                <c:pt idx="71">
                  <c:v>16.849152227909769</c:v>
                </c:pt>
                <c:pt idx="72">
                  <c:v>31.570743492764962</c:v>
                </c:pt>
                <c:pt idx="73">
                  <c:v>23.540938962360109</c:v>
                </c:pt>
                <c:pt idx="74">
                  <c:v>29.050041107698167</c:v>
                </c:pt>
                <c:pt idx="75">
                  <c:v>25.90648300429465</c:v>
                </c:pt>
                <c:pt idx="76">
                  <c:v>30.785756163783446</c:v>
                </c:pt>
                <c:pt idx="77">
                  <c:v>23.407060074647895</c:v>
                </c:pt>
                <c:pt idx="78">
                  <c:v>16.006785766397964</c:v>
                </c:pt>
                <c:pt idx="79">
                  <c:v>22.390601685008715</c:v>
                </c:pt>
                <c:pt idx="80">
                  <c:v>27.564673124838997</c:v>
                </c:pt>
                <c:pt idx="81">
                  <c:v>22.647914904906624</c:v>
                </c:pt>
                <c:pt idx="82">
                  <c:v>24.872780471671838</c:v>
                </c:pt>
                <c:pt idx="83">
                  <c:v>27.120159516006858</c:v>
                </c:pt>
                <c:pt idx="84">
                  <c:v>22.086622361035168</c:v>
                </c:pt>
                <c:pt idx="85">
                  <c:v>22.248974529999959</c:v>
                </c:pt>
                <c:pt idx="86">
                  <c:v>29.643047297514229</c:v>
                </c:pt>
                <c:pt idx="87">
                  <c:v>16.210373073201772</c:v>
                </c:pt>
                <c:pt idx="88">
                  <c:v>11.097198309594617</c:v>
                </c:pt>
                <c:pt idx="89">
                  <c:v>12.085725122199635</c:v>
                </c:pt>
                <c:pt idx="90">
                  <c:v>12.032584714600894</c:v>
                </c:pt>
                <c:pt idx="91">
                  <c:v>8.9653188038802796</c:v>
                </c:pt>
                <c:pt idx="92">
                  <c:v>14.308551248882212</c:v>
                </c:pt>
                <c:pt idx="93">
                  <c:v>5.2320794715750019</c:v>
                </c:pt>
                <c:pt idx="94">
                  <c:v>13.217470737237525</c:v>
                </c:pt>
                <c:pt idx="95">
                  <c:v>9.9873897685003463</c:v>
                </c:pt>
                <c:pt idx="96">
                  <c:v>13.456244109534554</c:v>
                </c:pt>
                <c:pt idx="97">
                  <c:v>11.357509501752572</c:v>
                </c:pt>
                <c:pt idx="98">
                  <c:v>14.858190436974272</c:v>
                </c:pt>
                <c:pt idx="99">
                  <c:v>10.648944706308603</c:v>
                </c:pt>
                <c:pt idx="100">
                  <c:v>11.705063703146264</c:v>
                </c:pt>
                <c:pt idx="101">
                  <c:v>7.9743598437073935</c:v>
                </c:pt>
                <c:pt idx="102">
                  <c:v>12.507015705155165</c:v>
                </c:pt>
                <c:pt idx="103">
                  <c:v>7.4463476826860218</c:v>
                </c:pt>
                <c:pt idx="104">
                  <c:v>6.0190765268042279</c:v>
                </c:pt>
                <c:pt idx="105">
                  <c:v>0.43705748122663979</c:v>
                </c:pt>
                <c:pt idx="106">
                  <c:v>5.0001636738423203</c:v>
                </c:pt>
                <c:pt idx="107">
                  <c:v>5.0479317325480642</c:v>
                </c:pt>
                <c:pt idx="108">
                  <c:v>6.0412479940296464</c:v>
                </c:pt>
                <c:pt idx="109">
                  <c:v>6.3130456713830565</c:v>
                </c:pt>
                <c:pt idx="110">
                  <c:v>3.2106356137598118</c:v>
                </c:pt>
                <c:pt idx="111">
                  <c:v>3.0103035778643399</c:v>
                </c:pt>
                <c:pt idx="112">
                  <c:v>2.6014052725238037</c:v>
                </c:pt>
                <c:pt idx="113">
                  <c:v>1.1404286660641834</c:v>
                </c:pt>
                <c:pt idx="114">
                  <c:v>1.4207426335966304</c:v>
                </c:pt>
                <c:pt idx="115">
                  <c:v>1.2987214279876793</c:v>
                </c:pt>
                <c:pt idx="116">
                  <c:v>2.102096166417005</c:v>
                </c:pt>
                <c:pt idx="117">
                  <c:v>1.1143561767538357</c:v>
                </c:pt>
                <c:pt idx="118">
                  <c:v>0.50181758470737448</c:v>
                </c:pt>
                <c:pt idx="119">
                  <c:v>1.8356277481556702</c:v>
                </c:pt>
                <c:pt idx="120">
                  <c:v>1.1046757856597531</c:v>
                </c:pt>
                <c:pt idx="121">
                  <c:v>2.2100872246246621</c:v>
                </c:pt>
                <c:pt idx="122">
                  <c:v>2.0082767059729942</c:v>
                </c:pt>
                <c:pt idx="123">
                  <c:v>11.800376649900462</c:v>
                </c:pt>
                <c:pt idx="124">
                  <c:v>4.8124908909118735</c:v>
                </c:pt>
                <c:pt idx="125">
                  <c:v>0.86693628507408405</c:v>
                </c:pt>
                <c:pt idx="126">
                  <c:v>0.54641776528235697</c:v>
                </c:pt>
                <c:pt idx="127">
                  <c:v>7.4524970038290563</c:v>
                </c:pt>
                <c:pt idx="128">
                  <c:v>6.2272310007555047</c:v>
                </c:pt>
                <c:pt idx="129">
                  <c:v>8.9519174481468298</c:v>
                </c:pt>
                <c:pt idx="130">
                  <c:v>3.0248024162472156</c:v>
                </c:pt>
                <c:pt idx="131">
                  <c:v>2.9103654745509924</c:v>
                </c:pt>
                <c:pt idx="132">
                  <c:v>3.0736007006864048</c:v>
                </c:pt>
                <c:pt idx="133">
                  <c:v>2.6649757599479003</c:v>
                </c:pt>
                <c:pt idx="134">
                  <c:v>3.0003511256034612</c:v>
                </c:pt>
                <c:pt idx="135">
                  <c:v>2.996224621352404</c:v>
                </c:pt>
                <c:pt idx="136">
                  <c:v>6.0588547980840399</c:v>
                </c:pt>
                <c:pt idx="137">
                  <c:v>3.8369720325381085</c:v>
                </c:pt>
                <c:pt idx="138">
                  <c:v>3.1153286766956723</c:v>
                </c:pt>
                <c:pt idx="139">
                  <c:v>4.1097339541408182</c:v>
                </c:pt>
                <c:pt idx="140">
                  <c:v>3.8885144350742777</c:v>
                </c:pt>
                <c:pt idx="141">
                  <c:v>5.3629146047345175</c:v>
                </c:pt>
                <c:pt idx="142">
                  <c:v>4.5931522369752713</c:v>
                </c:pt>
                <c:pt idx="143">
                  <c:v>2.2927176303194936</c:v>
                </c:pt>
                <c:pt idx="144">
                  <c:v>2.3473678301062479</c:v>
                </c:pt>
                <c:pt idx="145">
                  <c:v>3.9955655883412886</c:v>
                </c:pt>
                <c:pt idx="146">
                  <c:v>9.2738353624354968</c:v>
                </c:pt>
                <c:pt idx="147">
                  <c:v>5.909710596396053</c:v>
                </c:pt>
                <c:pt idx="148">
                  <c:v>5.1047303354448328</c:v>
                </c:pt>
                <c:pt idx="149">
                  <c:v>4.2036166518443236</c:v>
                </c:pt>
                <c:pt idx="150">
                  <c:v>3.9999717914542217</c:v>
                </c:pt>
                <c:pt idx="151">
                  <c:v>4.7029849693035075</c:v>
                </c:pt>
                <c:pt idx="152">
                  <c:v>1.0992341020501937</c:v>
                </c:pt>
                <c:pt idx="153">
                  <c:v>1.7983893128157429</c:v>
                </c:pt>
                <c:pt idx="154">
                  <c:v>3.2020187621815168</c:v>
                </c:pt>
                <c:pt idx="155">
                  <c:v>2.3031640081013971</c:v>
                </c:pt>
                <c:pt idx="156">
                  <c:v>5.2987952527577642</c:v>
                </c:pt>
                <c:pt idx="157">
                  <c:v>6.6438808826285527</c:v>
                </c:pt>
                <c:pt idx="158">
                  <c:v>1.2488275728446054</c:v>
                </c:pt>
                <c:pt idx="159">
                  <c:v>4.7073596697602582</c:v>
                </c:pt>
                <c:pt idx="160">
                  <c:v>5.1813108309247049</c:v>
                </c:pt>
                <c:pt idx="161">
                  <c:v>5.2987952527577642</c:v>
                </c:pt>
                <c:pt idx="162">
                  <c:v>3.6140446808806423</c:v>
                </c:pt>
                <c:pt idx="163">
                  <c:v>3.7042056867329753</c:v>
                </c:pt>
                <c:pt idx="164">
                  <c:v>4.5225019000398099</c:v>
                </c:pt>
                <c:pt idx="165">
                  <c:v>3.4138506988822939</c:v>
                </c:pt>
                <c:pt idx="166">
                  <c:v>1.4378047331963997</c:v>
                </c:pt>
                <c:pt idx="167">
                  <c:v>2.1009808528382083</c:v>
                </c:pt>
                <c:pt idx="168">
                  <c:v>1.3983452585727187</c:v>
                </c:pt>
                <c:pt idx="169">
                  <c:v>1.0005913226575367</c:v>
                </c:pt>
                <c:pt idx="170">
                  <c:v>1.5010797611822324</c:v>
                </c:pt>
                <c:pt idx="171">
                  <c:v>1.7996141870854201</c:v>
                </c:pt>
                <c:pt idx="172">
                  <c:v>1.7995583594435218</c:v>
                </c:pt>
                <c:pt idx="173">
                  <c:v>1.299089354852804</c:v>
                </c:pt>
                <c:pt idx="174">
                  <c:v>2.5962502675965884</c:v>
                </c:pt>
                <c:pt idx="175">
                  <c:v>10.004642215935752</c:v>
                </c:pt>
                <c:pt idx="176">
                  <c:v>4.2715247852856768</c:v>
                </c:pt>
                <c:pt idx="177">
                  <c:v>3.9651211923494092</c:v>
                </c:pt>
                <c:pt idx="178">
                  <c:v>7.6807213438960824</c:v>
                </c:pt>
                <c:pt idx="179">
                  <c:v>4.0103749274601368</c:v>
                </c:pt>
                <c:pt idx="180">
                  <c:v>4.562870930200293</c:v>
                </c:pt>
                <c:pt idx="181">
                  <c:v>3.4398448612446808</c:v>
                </c:pt>
                <c:pt idx="182">
                  <c:v>1.832132125693823</c:v>
                </c:pt>
                <c:pt idx="183">
                  <c:v>3.7612566704553569</c:v>
                </c:pt>
                <c:pt idx="184">
                  <c:v>3.0206065407457228</c:v>
                </c:pt>
                <c:pt idx="185">
                  <c:v>7.2852898608080139</c:v>
                </c:pt>
                <c:pt idx="186">
                  <c:v>6.4645951578957517</c:v>
                </c:pt>
                <c:pt idx="187">
                  <c:v>6.9168869449270103</c:v>
                </c:pt>
                <c:pt idx="188">
                  <c:v>0.9812158927498057</c:v>
                </c:pt>
                <c:pt idx="189">
                  <c:v>5.7818071205330197</c:v>
                </c:pt>
                <c:pt idx="190">
                  <c:v>5.2172972037053071</c:v>
                </c:pt>
                <c:pt idx="191">
                  <c:v>4.5440839947619809</c:v>
                </c:pt>
                <c:pt idx="192">
                  <c:v>4.75776451881136</c:v>
                </c:pt>
                <c:pt idx="193">
                  <c:v>5.9055446039370318</c:v>
                </c:pt>
                <c:pt idx="194">
                  <c:v>4.9474608500468111</c:v>
                </c:pt>
                <c:pt idx="195">
                  <c:v>5.2991400383377592</c:v>
                </c:pt>
                <c:pt idx="196">
                  <c:v>5.9748030168963053</c:v>
                </c:pt>
                <c:pt idx="197">
                  <c:v>6.7258739931968794</c:v>
                </c:pt>
                <c:pt idx="198">
                  <c:v>4.2636155399454667</c:v>
                </c:pt>
                <c:pt idx="199">
                  <c:v>6.5805001624241921</c:v>
                </c:pt>
                <c:pt idx="200">
                  <c:v>3.3719456459291255</c:v>
                </c:pt>
                <c:pt idx="201">
                  <c:v>5.1548582062486448</c:v>
                </c:pt>
                <c:pt idx="202">
                  <c:v>1.7527695737001641</c:v>
                </c:pt>
                <c:pt idx="203">
                  <c:v>11.106663998399041</c:v>
                </c:pt>
                <c:pt idx="204">
                  <c:v>18.389967508845757</c:v>
                </c:pt>
                <c:pt idx="205">
                  <c:v>2.4501973290091481</c:v>
                </c:pt>
                <c:pt idx="206">
                  <c:v>1.8892443022790881</c:v>
                </c:pt>
                <c:pt idx="207">
                  <c:v>6.6466766616691668</c:v>
                </c:pt>
                <c:pt idx="208">
                  <c:v>2.7296739843264688</c:v>
                </c:pt>
                <c:pt idx="209">
                  <c:v>3.6866871040940796</c:v>
                </c:pt>
                <c:pt idx="210">
                  <c:v>3.9731687310099817</c:v>
                </c:pt>
                <c:pt idx="211">
                  <c:v>3.2951164604563639</c:v>
                </c:pt>
                <c:pt idx="212">
                  <c:v>3.3447276133325619</c:v>
                </c:pt>
                <c:pt idx="213">
                  <c:v>1.7290843793927531</c:v>
                </c:pt>
                <c:pt idx="214">
                  <c:v>1.0428156021257395</c:v>
                </c:pt>
                <c:pt idx="215">
                  <c:v>9.2480023799871454</c:v>
                </c:pt>
                <c:pt idx="216">
                  <c:v>7.3734652166575323</c:v>
                </c:pt>
                <c:pt idx="217">
                  <c:v>3.1072237473946838</c:v>
                </c:pt>
                <c:pt idx="218">
                  <c:v>3.9864508534049534</c:v>
                </c:pt>
                <c:pt idx="219">
                  <c:v>2.1191349961760406</c:v>
                </c:pt>
                <c:pt idx="220">
                  <c:v>8.1370234794457854</c:v>
                </c:pt>
                <c:pt idx="221">
                  <c:v>3.8322604390911534</c:v>
                </c:pt>
                <c:pt idx="222">
                  <c:v>0.80261387225817227</c:v>
                </c:pt>
                <c:pt idx="223">
                  <c:v>1.6014910355889878</c:v>
                </c:pt>
                <c:pt idx="224">
                  <c:v>8.7752716164709401</c:v>
                </c:pt>
                <c:pt idx="225">
                  <c:v>2.902415267994523</c:v>
                </c:pt>
                <c:pt idx="226">
                  <c:v>2.501107683797902</c:v>
                </c:pt>
                <c:pt idx="227">
                  <c:v>5.4776410531881492</c:v>
                </c:pt>
                <c:pt idx="228">
                  <c:v>3.0804397950403182</c:v>
                </c:pt>
                <c:pt idx="229">
                  <c:v>2.0894380815242886</c:v>
                </c:pt>
                <c:pt idx="230">
                  <c:v>1.723302072436405</c:v>
                </c:pt>
                <c:pt idx="231">
                  <c:v>6.433820662353444</c:v>
                </c:pt>
                <c:pt idx="232">
                  <c:v>6.5093926852535926</c:v>
                </c:pt>
                <c:pt idx="233">
                  <c:v>6.6208313392242228</c:v>
                </c:pt>
                <c:pt idx="234">
                  <c:v>1.1321816158246942</c:v>
                </c:pt>
                <c:pt idx="235">
                  <c:v>1.073538431084746</c:v>
                </c:pt>
                <c:pt idx="236">
                  <c:v>2.3016701356207663</c:v>
                </c:pt>
                <c:pt idx="237">
                  <c:v>1.6220031954794867</c:v>
                </c:pt>
                <c:pt idx="238">
                  <c:v>3.2546122224619003</c:v>
                </c:pt>
                <c:pt idx="239">
                  <c:v>3.989007318032693</c:v>
                </c:pt>
                <c:pt idx="240">
                  <c:v>3.9424278974065339</c:v>
                </c:pt>
                <c:pt idx="241">
                  <c:v>4.1032496220578629</c:v>
                </c:pt>
                <c:pt idx="242">
                  <c:v>1.1245089439010885</c:v>
                </c:pt>
                <c:pt idx="243">
                  <c:v>7.0760476028863835</c:v>
                </c:pt>
                <c:pt idx="244">
                  <c:v>6.9912527359296011</c:v>
                </c:pt>
                <c:pt idx="245">
                  <c:v>3.0113029279030248</c:v>
                </c:pt>
                <c:pt idx="246">
                  <c:v>5.5977792100939299</c:v>
                </c:pt>
                <c:pt idx="247">
                  <c:v>4.0788939165881981</c:v>
                </c:pt>
                <c:pt idx="248">
                  <c:v>4.9740751573644753</c:v>
                </c:pt>
                <c:pt idx="249">
                  <c:v>3.3776030983105212</c:v>
                </c:pt>
                <c:pt idx="250">
                  <c:v>6.6531646385799155</c:v>
                </c:pt>
                <c:pt idx="251">
                  <c:v>5.1071645243172226</c:v>
                </c:pt>
                <c:pt idx="252">
                  <c:v>4.4387262552934494</c:v>
                </c:pt>
                <c:pt idx="253">
                  <c:v>4.7479869476081245</c:v>
                </c:pt>
                <c:pt idx="254">
                  <c:v>3.9830938745719364</c:v>
                </c:pt>
                <c:pt idx="255">
                  <c:v>9.3725848041849993</c:v>
                </c:pt>
                <c:pt idx="256">
                  <c:v>4.6908142521360077</c:v>
                </c:pt>
                <c:pt idx="257">
                  <c:v>7.0171061394126708</c:v>
                </c:pt>
                <c:pt idx="258">
                  <c:v>10.836576874253286</c:v>
                </c:pt>
                <c:pt idx="259">
                  <c:v>6.8673505368981216</c:v>
                </c:pt>
                <c:pt idx="260">
                  <c:v>4.2952841701534172</c:v>
                </c:pt>
                <c:pt idx="261">
                  <c:v>4.9892259747979599</c:v>
                </c:pt>
                <c:pt idx="262">
                  <c:v>4.0375984252544868</c:v>
                </c:pt>
                <c:pt idx="263">
                  <c:v>5.0959453507174128</c:v>
                </c:pt>
                <c:pt idx="264">
                  <c:v>8.9922088449024482</c:v>
                </c:pt>
                <c:pt idx="265">
                  <c:v>10.716124092243593</c:v>
                </c:pt>
                <c:pt idx="266">
                  <c:v>11.070317379371202</c:v>
                </c:pt>
                <c:pt idx="267">
                  <c:v>8.0710224287498988</c:v>
                </c:pt>
                <c:pt idx="268">
                  <c:v>11.125495272841396</c:v>
                </c:pt>
                <c:pt idx="269">
                  <c:v>8.3847241051083081</c:v>
                </c:pt>
                <c:pt idx="270">
                  <c:v>10.263536203800184</c:v>
                </c:pt>
                <c:pt idx="271">
                  <c:v>3.85518515391693</c:v>
                </c:pt>
                <c:pt idx="272">
                  <c:v>14.69265367316342</c:v>
                </c:pt>
                <c:pt idx="273">
                  <c:v>14.631458667973849</c:v>
                </c:pt>
                <c:pt idx="274">
                  <c:v>7.7650143352132455</c:v>
                </c:pt>
                <c:pt idx="275">
                  <c:v>12.662101233272411</c:v>
                </c:pt>
                <c:pt idx="276">
                  <c:v>12.635829803522084</c:v>
                </c:pt>
                <c:pt idx="277">
                  <c:v>6.1028144661445474</c:v>
                </c:pt>
                <c:pt idx="278">
                  <c:v>9.0725230335640088</c:v>
                </c:pt>
                <c:pt idx="279">
                  <c:v>8.2452075242741092</c:v>
                </c:pt>
                <c:pt idx="280">
                  <c:v>9.402582755446149</c:v>
                </c:pt>
                <c:pt idx="281">
                  <c:v>6.4610957776042488</c:v>
                </c:pt>
                <c:pt idx="282">
                  <c:v>8.6178897956899281</c:v>
                </c:pt>
                <c:pt idx="283">
                  <c:v>4.6097051305779697</c:v>
                </c:pt>
                <c:pt idx="284">
                  <c:v>2.0115520258818842</c:v>
                </c:pt>
                <c:pt idx="285">
                  <c:v>6.7251457848740497</c:v>
                </c:pt>
                <c:pt idx="286">
                  <c:v>8.3717283545362022</c:v>
                </c:pt>
                <c:pt idx="287">
                  <c:v>10.365054238158507</c:v>
                </c:pt>
                <c:pt idx="288">
                  <c:v>6.2538501483151823</c:v>
                </c:pt>
                <c:pt idx="289">
                  <c:v>8.8622095403139109</c:v>
                </c:pt>
                <c:pt idx="290">
                  <c:v>9.0098394332265048</c:v>
                </c:pt>
                <c:pt idx="291">
                  <c:v>9.0098394332265048</c:v>
                </c:pt>
                <c:pt idx="292">
                  <c:v>6.6360275479617039</c:v>
                </c:pt>
                <c:pt idx="293">
                  <c:v>5.3305682085064809</c:v>
                </c:pt>
                <c:pt idx="294">
                  <c:v>2.7995384679075261</c:v>
                </c:pt>
                <c:pt idx="295">
                  <c:v>5.8633245851668105</c:v>
                </c:pt>
                <c:pt idx="296">
                  <c:v>6.2784600906795038</c:v>
                </c:pt>
                <c:pt idx="297">
                  <c:v>6.4043217362513145</c:v>
                </c:pt>
                <c:pt idx="298">
                  <c:v>9.57263504790523</c:v>
                </c:pt>
                <c:pt idx="299">
                  <c:v>6.9521188107960681</c:v>
                </c:pt>
                <c:pt idx="300">
                  <c:v>6.0816725802344065</c:v>
                </c:pt>
                <c:pt idx="301">
                  <c:v>5.3700997779692772</c:v>
                </c:pt>
                <c:pt idx="302">
                  <c:v>8.5150196991666309</c:v>
                </c:pt>
                <c:pt idx="303">
                  <c:v>7.2467961729706705</c:v>
                </c:pt>
                <c:pt idx="304">
                  <c:v>8.271019961402196</c:v>
                </c:pt>
                <c:pt idx="305">
                  <c:v>9.9998850660197238</c:v>
                </c:pt>
                <c:pt idx="306">
                  <c:v>7.0272873373754523</c:v>
                </c:pt>
                <c:pt idx="307">
                  <c:v>5.0090891052897444</c:v>
                </c:pt>
                <c:pt idx="308">
                  <c:v>10.958805140697779</c:v>
                </c:pt>
                <c:pt idx="309">
                  <c:v>7.4047146900275758</c:v>
                </c:pt>
                <c:pt idx="310">
                  <c:v>5.4915438029878443</c:v>
                </c:pt>
                <c:pt idx="311">
                  <c:v>7.3421537597584452</c:v>
                </c:pt>
              </c:numCache>
            </c:numRef>
          </c:yVal>
          <c:smooth val="0"/>
          <c:extLst>
            <c:ext xmlns:c16="http://schemas.microsoft.com/office/drawing/2014/chart" uri="{C3380CC4-5D6E-409C-BE32-E72D297353CC}">
              <c16:uniqueId val="{00000000-B628-C349-A9A7-9E09559717B6}"/>
            </c:ext>
          </c:extLst>
        </c:ser>
        <c:dLbls>
          <c:showLegendKey val="0"/>
          <c:showVal val="0"/>
          <c:showCatName val="0"/>
          <c:showSerName val="0"/>
          <c:showPercent val="0"/>
          <c:showBubbleSize val="0"/>
        </c:dLbls>
        <c:axId val="1719743504"/>
        <c:axId val="1719745232"/>
      </c:scatterChart>
      <c:valAx>
        <c:axId val="1719743504"/>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45232"/>
        <c:crosses val="autoZero"/>
        <c:crossBetween val="midCat"/>
      </c:valAx>
      <c:valAx>
        <c:axId val="17197452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43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'Craton Pivot Table'!$H$31</c:f>
              <c:strCache>
                <c:ptCount val="1"/>
                <c:pt idx="0">
                  <c:v>Siberian Craton</c:v>
                </c:pt>
              </c:strCache>
            </c:strRef>
          </c:tx>
          <c:spPr>
            <a:solidFill>
              <a:schemeClr val="accent1"/>
            </a:solidFill>
            <a:ln>
              <a:noFill/>
            </a:ln>
            <a:effectLst/>
          </c:spPr>
          <c:invertIfNegative val="0"/>
          <c:cat>
            <c:strRef>
              <c:f>'Craton Pivot Table'!$D$32:$D$37</c:f>
              <c:strCache>
                <c:ptCount val="6"/>
                <c:pt idx="0">
                  <c:v>high-Mg carbonatitic</c:v>
                </c:pt>
                <c:pt idx="1">
                  <c:v>low-Mg carbonatitic</c:v>
                </c:pt>
                <c:pt idx="2">
                  <c:v>N/A</c:v>
                </c:pt>
                <c:pt idx="3">
                  <c:v>saline</c:v>
                </c:pt>
                <c:pt idx="4">
                  <c:v>silicic</c:v>
                </c:pt>
                <c:pt idx="5">
                  <c:v>silicic - low-Mg carbonatitic</c:v>
                </c:pt>
              </c:strCache>
            </c:strRef>
          </c:cat>
          <c:val>
            <c:numRef>
              <c:f>'Craton Pivot Table'!$H$32:$H$37</c:f>
              <c:numCache>
                <c:formatCode>0.00%</c:formatCode>
                <c:ptCount val="6"/>
                <c:pt idx="0">
                  <c:v>0.43502824858757061</c:v>
                </c:pt>
                <c:pt idx="1">
                  <c:v>8.4745762711864403E-2</c:v>
                </c:pt>
                <c:pt idx="2">
                  <c:v>0.10169491525423729</c:v>
                </c:pt>
                <c:pt idx="3">
                  <c:v>4.519774011299435E-2</c:v>
                </c:pt>
                <c:pt idx="4">
                  <c:v>0.19774011299435029</c:v>
                </c:pt>
                <c:pt idx="5">
                  <c:v>0.13559322033898305</c:v>
                </c:pt>
              </c:numCache>
            </c:numRef>
          </c:val>
          <c:extLst>
            <c:ext xmlns:c16="http://schemas.microsoft.com/office/drawing/2014/chart" uri="{C3380CC4-5D6E-409C-BE32-E72D297353CC}">
              <c16:uniqueId val="{00000000-EB73-E040-9B97-166CEA5776AA}"/>
            </c:ext>
          </c:extLst>
        </c:ser>
        <c:dLbls>
          <c:showLegendKey val="0"/>
          <c:showVal val="0"/>
          <c:showCatName val="0"/>
          <c:showSerName val="0"/>
          <c:showPercent val="0"/>
          <c:showBubbleSize val="0"/>
        </c:dLbls>
        <c:gapWidth val="219"/>
        <c:overlap val="-27"/>
        <c:axId val="1707175072"/>
        <c:axId val="1707499424"/>
      </c:barChart>
      <c:catAx>
        <c:axId val="17071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99424"/>
        <c:crosses val="autoZero"/>
        <c:auto val="1"/>
        <c:lblAlgn val="ctr"/>
        <c:lblOffset val="100"/>
        <c:noMultiLvlLbl val="0"/>
      </c:catAx>
      <c:valAx>
        <c:axId val="1707499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1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'Craton Pivot Table'!$G$31</c:f>
              <c:strCache>
                <c:ptCount val="1"/>
                <c:pt idx="0">
                  <c:v>Kalahari Craton</c:v>
                </c:pt>
              </c:strCache>
            </c:strRef>
          </c:tx>
          <c:spPr>
            <a:solidFill>
              <a:schemeClr val="accent1"/>
            </a:solidFill>
            <a:ln>
              <a:noFill/>
            </a:ln>
            <a:effectLst/>
          </c:spPr>
          <c:invertIfNegative val="0"/>
          <c:cat>
            <c:strRef>
              <c:f>'Craton Pivot Table'!$D$32:$D$37</c:f>
              <c:strCache>
                <c:ptCount val="6"/>
                <c:pt idx="0">
                  <c:v>high-Mg carbonatitic</c:v>
                </c:pt>
                <c:pt idx="1">
                  <c:v>low-Mg carbonatitic</c:v>
                </c:pt>
                <c:pt idx="2">
                  <c:v>N/A</c:v>
                </c:pt>
                <c:pt idx="3">
                  <c:v>saline</c:v>
                </c:pt>
                <c:pt idx="4">
                  <c:v>silicic</c:v>
                </c:pt>
                <c:pt idx="5">
                  <c:v>silicic - low-Mg carbonatitic</c:v>
                </c:pt>
              </c:strCache>
            </c:strRef>
          </c:cat>
          <c:val>
            <c:numRef>
              <c:f>'Craton Pivot Table'!$G$32:$G$37</c:f>
              <c:numCache>
                <c:formatCode>0.00%</c:formatCode>
                <c:ptCount val="6"/>
                <c:pt idx="0">
                  <c:v>8.9552238805970144E-2</c:v>
                </c:pt>
                <c:pt idx="1">
                  <c:v>0</c:v>
                </c:pt>
                <c:pt idx="2">
                  <c:v>0</c:v>
                </c:pt>
                <c:pt idx="3">
                  <c:v>0.4925373134328358</c:v>
                </c:pt>
                <c:pt idx="4">
                  <c:v>0.20895522388059701</c:v>
                </c:pt>
                <c:pt idx="5">
                  <c:v>0.20895522388059701</c:v>
                </c:pt>
              </c:numCache>
            </c:numRef>
          </c:val>
          <c:extLst>
            <c:ext xmlns:c16="http://schemas.microsoft.com/office/drawing/2014/chart" uri="{C3380CC4-5D6E-409C-BE32-E72D297353CC}">
              <c16:uniqueId val="{00000000-122D-1241-8E33-71C91A9A14A7}"/>
            </c:ext>
          </c:extLst>
        </c:ser>
        <c:dLbls>
          <c:showLegendKey val="0"/>
          <c:showVal val="0"/>
          <c:showCatName val="0"/>
          <c:showSerName val="0"/>
          <c:showPercent val="0"/>
          <c:showBubbleSize val="0"/>
        </c:dLbls>
        <c:gapWidth val="219"/>
        <c:overlap val="-27"/>
        <c:axId val="1707175072"/>
        <c:axId val="1707499424"/>
      </c:barChart>
      <c:catAx>
        <c:axId val="17071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99424"/>
        <c:crosses val="autoZero"/>
        <c:auto val="1"/>
        <c:lblAlgn val="ctr"/>
        <c:lblOffset val="100"/>
        <c:noMultiLvlLbl val="0"/>
      </c:catAx>
      <c:valAx>
        <c:axId val="1707499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1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'Craton Pivot Table'!$I$31</c:f>
              <c:strCache>
                <c:ptCount val="1"/>
                <c:pt idx="0">
                  <c:v>Slave Craton</c:v>
                </c:pt>
              </c:strCache>
            </c:strRef>
          </c:tx>
          <c:spPr>
            <a:solidFill>
              <a:schemeClr val="accent1"/>
            </a:solidFill>
            <a:ln>
              <a:noFill/>
            </a:ln>
            <a:effectLst/>
          </c:spPr>
          <c:invertIfNegative val="0"/>
          <c:cat>
            <c:strRef>
              <c:f>'Craton Pivot Table'!$D$32:$D$37</c:f>
              <c:strCache>
                <c:ptCount val="6"/>
                <c:pt idx="0">
                  <c:v>high-Mg carbonatitic</c:v>
                </c:pt>
                <c:pt idx="1">
                  <c:v>low-Mg carbonatitic</c:v>
                </c:pt>
                <c:pt idx="2">
                  <c:v>N/A</c:v>
                </c:pt>
                <c:pt idx="3">
                  <c:v>saline</c:v>
                </c:pt>
                <c:pt idx="4">
                  <c:v>silicic</c:v>
                </c:pt>
                <c:pt idx="5">
                  <c:v>silicic - low-Mg carbonatitic</c:v>
                </c:pt>
              </c:strCache>
            </c:strRef>
          </c:cat>
          <c:val>
            <c:numRef>
              <c:f>'Craton Pivot Table'!$I$32:$I$37</c:f>
              <c:numCache>
                <c:formatCode>0.00%</c:formatCode>
                <c:ptCount val="6"/>
                <c:pt idx="0">
                  <c:v>5.128205128205128E-2</c:v>
                </c:pt>
                <c:pt idx="1">
                  <c:v>0</c:v>
                </c:pt>
                <c:pt idx="2">
                  <c:v>5.128205128205128E-2</c:v>
                </c:pt>
                <c:pt idx="3">
                  <c:v>0.69230769230769229</c:v>
                </c:pt>
                <c:pt idx="4">
                  <c:v>0.10256410256410256</c:v>
                </c:pt>
                <c:pt idx="5">
                  <c:v>0.10256410256410256</c:v>
                </c:pt>
              </c:numCache>
            </c:numRef>
          </c:val>
          <c:extLst>
            <c:ext xmlns:c16="http://schemas.microsoft.com/office/drawing/2014/chart" uri="{C3380CC4-5D6E-409C-BE32-E72D297353CC}">
              <c16:uniqueId val="{00000000-86E6-5441-8A88-BA71A000F883}"/>
            </c:ext>
          </c:extLst>
        </c:ser>
        <c:dLbls>
          <c:showLegendKey val="0"/>
          <c:showVal val="0"/>
          <c:showCatName val="0"/>
          <c:showSerName val="0"/>
          <c:showPercent val="0"/>
          <c:showBubbleSize val="0"/>
        </c:dLbls>
        <c:gapWidth val="219"/>
        <c:overlap val="-27"/>
        <c:axId val="1707175072"/>
        <c:axId val="1707499424"/>
      </c:barChart>
      <c:catAx>
        <c:axId val="17071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99424"/>
        <c:crosses val="autoZero"/>
        <c:auto val="1"/>
        <c:lblAlgn val="ctr"/>
        <c:lblOffset val="100"/>
        <c:noMultiLvlLbl val="0"/>
      </c:catAx>
      <c:valAx>
        <c:axId val="1707499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1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'Craton Pivot Table'!$K$31</c:f>
              <c:strCache>
                <c:ptCount val="1"/>
                <c:pt idx="0">
                  <c:v>West African Craton</c:v>
                </c:pt>
              </c:strCache>
            </c:strRef>
          </c:tx>
          <c:spPr>
            <a:solidFill>
              <a:schemeClr val="accent1"/>
            </a:solidFill>
            <a:ln>
              <a:noFill/>
            </a:ln>
            <a:effectLst/>
          </c:spPr>
          <c:invertIfNegative val="0"/>
          <c:cat>
            <c:strRef>
              <c:f>'Craton Pivot Table'!$D$32:$D$37</c:f>
              <c:strCache>
                <c:ptCount val="6"/>
                <c:pt idx="0">
                  <c:v>high-Mg carbonatitic</c:v>
                </c:pt>
                <c:pt idx="1">
                  <c:v>low-Mg carbonatitic</c:v>
                </c:pt>
                <c:pt idx="2">
                  <c:v>N/A</c:v>
                </c:pt>
                <c:pt idx="3">
                  <c:v>saline</c:v>
                </c:pt>
                <c:pt idx="4">
                  <c:v>silicic</c:v>
                </c:pt>
                <c:pt idx="5">
                  <c:v>silicic - low-Mg carbonatitic</c:v>
                </c:pt>
              </c:strCache>
            </c:strRef>
          </c:cat>
          <c:val>
            <c:numRef>
              <c:f>'Craton Pivot Table'!$K$32:$K$37</c:f>
              <c:numCache>
                <c:formatCode>0.00%</c:formatCode>
                <c:ptCount val="6"/>
                <c:pt idx="0">
                  <c:v>0.33333333333333331</c:v>
                </c:pt>
                <c:pt idx="1">
                  <c:v>8.3333333333333329E-2</c:v>
                </c:pt>
                <c:pt idx="2">
                  <c:v>0</c:v>
                </c:pt>
                <c:pt idx="3">
                  <c:v>8.3333333333333329E-2</c:v>
                </c:pt>
                <c:pt idx="4">
                  <c:v>0.16666666666666666</c:v>
                </c:pt>
                <c:pt idx="5">
                  <c:v>0.33333333333333331</c:v>
                </c:pt>
              </c:numCache>
            </c:numRef>
          </c:val>
          <c:extLst>
            <c:ext xmlns:c16="http://schemas.microsoft.com/office/drawing/2014/chart" uri="{C3380CC4-5D6E-409C-BE32-E72D297353CC}">
              <c16:uniqueId val="{00000000-9DD6-FD4A-8DB9-A96E8A4DE05F}"/>
            </c:ext>
          </c:extLst>
        </c:ser>
        <c:dLbls>
          <c:showLegendKey val="0"/>
          <c:showVal val="0"/>
          <c:showCatName val="0"/>
          <c:showSerName val="0"/>
          <c:showPercent val="0"/>
          <c:showBubbleSize val="0"/>
        </c:dLbls>
        <c:gapWidth val="219"/>
        <c:overlap val="-27"/>
        <c:axId val="1707175072"/>
        <c:axId val="1707499424"/>
      </c:barChart>
      <c:catAx>
        <c:axId val="17071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99424"/>
        <c:crosses val="autoZero"/>
        <c:auto val="1"/>
        <c:lblAlgn val="ctr"/>
        <c:lblOffset val="100"/>
        <c:noMultiLvlLbl val="0"/>
      </c:catAx>
      <c:valAx>
        <c:axId val="1707499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1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20</xdr:col>
      <xdr:colOff>819842</xdr:colOff>
      <xdr:row>11</xdr:row>
      <xdr:rowOff>50297</xdr:rowOff>
    </xdr:from>
    <xdr:to>
      <xdr:col>23</xdr:col>
      <xdr:colOff>1041149</xdr:colOff>
      <xdr:row>33</xdr:row>
      <xdr:rowOff>76452</xdr:rowOff>
    </xdr:to>
    <xdr:graphicFrame macro="">
      <xdr:nvGraphicFramePr>
        <xdr:cNvPr id="2" name="Chart 1">
          <a:extLst>
            <a:ext uri="{FF2B5EF4-FFF2-40B4-BE49-F238E27FC236}">
              <a16:creationId xmlns:a16="http://schemas.microsoft.com/office/drawing/2014/main" id="{12DB300C-6D0F-484F-814F-BA61D6260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568356</xdr:colOff>
      <xdr:row>15</xdr:row>
      <xdr:rowOff>88021</xdr:rowOff>
    </xdr:from>
    <xdr:to>
      <xdr:col>24</xdr:col>
      <xdr:colOff>689069</xdr:colOff>
      <xdr:row>37</xdr:row>
      <xdr:rowOff>114176</xdr:rowOff>
    </xdr:to>
    <xdr:graphicFrame macro="">
      <xdr:nvGraphicFramePr>
        <xdr:cNvPr id="7" name="Chart 6">
          <a:extLst>
            <a:ext uri="{FF2B5EF4-FFF2-40B4-BE49-F238E27FC236}">
              <a16:creationId xmlns:a16="http://schemas.microsoft.com/office/drawing/2014/main" id="{F77A345B-F674-9880-10DD-0D06B4881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641350</xdr:colOff>
      <xdr:row>5</xdr:row>
      <xdr:rowOff>69850</xdr:rowOff>
    </xdr:from>
    <xdr:to>
      <xdr:col>19</xdr:col>
      <xdr:colOff>260350</xdr:colOff>
      <xdr:row>19</xdr:row>
      <xdr:rowOff>146050</xdr:rowOff>
    </xdr:to>
    <xdr:graphicFrame macro="">
      <xdr:nvGraphicFramePr>
        <xdr:cNvPr id="3" name="Chart 2">
          <a:extLst>
            <a:ext uri="{FF2B5EF4-FFF2-40B4-BE49-F238E27FC236}">
              <a16:creationId xmlns:a16="http://schemas.microsoft.com/office/drawing/2014/main" id="{A0DC14D9-DDBE-7F0B-FD75-F313AD442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635000</xdr:colOff>
      <xdr:row>19</xdr:row>
      <xdr:rowOff>139700</xdr:rowOff>
    </xdr:from>
    <xdr:to>
      <xdr:col>19</xdr:col>
      <xdr:colOff>254000</xdr:colOff>
      <xdr:row>34</xdr:row>
      <xdr:rowOff>25400</xdr:rowOff>
    </xdr:to>
    <xdr:graphicFrame macro="">
      <xdr:nvGraphicFramePr>
        <xdr:cNvPr id="4" name="Chart 3">
          <a:extLst>
            <a:ext uri="{FF2B5EF4-FFF2-40B4-BE49-F238E27FC236}">
              <a16:creationId xmlns:a16="http://schemas.microsoft.com/office/drawing/2014/main" id="{F6C2AD56-CDBE-B74F-8B3C-7F0A76290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647700</xdr:colOff>
      <xdr:row>34</xdr:row>
      <xdr:rowOff>63500</xdr:rowOff>
    </xdr:from>
    <xdr:to>
      <xdr:col>19</xdr:col>
      <xdr:colOff>266700</xdr:colOff>
      <xdr:row>48</xdr:row>
      <xdr:rowOff>139700</xdr:rowOff>
    </xdr:to>
    <xdr:graphicFrame macro="">
      <xdr:nvGraphicFramePr>
        <xdr:cNvPr id="5" name="Chart 4">
          <a:extLst>
            <a:ext uri="{FF2B5EF4-FFF2-40B4-BE49-F238E27FC236}">
              <a16:creationId xmlns:a16="http://schemas.microsoft.com/office/drawing/2014/main" id="{91769319-F20D-224D-A29B-54E3F3E4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660400</xdr:colOff>
      <xdr:row>49</xdr:row>
      <xdr:rowOff>0</xdr:rowOff>
    </xdr:from>
    <xdr:to>
      <xdr:col>19</xdr:col>
      <xdr:colOff>279400</xdr:colOff>
      <xdr:row>63</xdr:row>
      <xdr:rowOff>76200</xdr:rowOff>
    </xdr:to>
    <xdr:graphicFrame macro="">
      <xdr:nvGraphicFramePr>
        <xdr:cNvPr id="6" name="Chart 5">
          <a:extLst>
            <a:ext uri="{FF2B5EF4-FFF2-40B4-BE49-F238E27FC236}">
              <a16:creationId xmlns:a16="http://schemas.microsoft.com/office/drawing/2014/main" id="{2B0BAABB-6F31-4F43-8219-5820E6DFD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Towbin" refreshedDate="45664.551717592592" createdVersion="8" refreshedVersion="8" minRefreshableVersion="3" recordCount="341" xr:uid="{AE389323-B7A3-3743-AE78-2793977089D2}">
  <cacheSource type="worksheet">
    <worksheetSource ref="A1:B1048576" sheet="Craton Pivot Table"/>
  </cacheSource>
  <cacheFields count="2">
    <cacheField name="HDF Type (calculated)" numFmtId="0">
      <sharedItems containsBlank="1" count="7">
        <s v="high-Mg carbonatitic"/>
        <s v="low-Mg carbonatitic"/>
        <s v="saline"/>
        <s v="silicic"/>
        <s v="silicic - low-Mg carbonatitic"/>
        <s v="N/A"/>
        <m/>
      </sharedItems>
    </cacheField>
    <cacheField name="Craton" numFmtId="0">
      <sharedItems containsBlank="1" count="8">
        <s v="Kalahari Craton"/>
        <s v="Siberian Craton"/>
        <s v="Slave Craton"/>
        <s v="West African Craton"/>
        <s v="Superior Craton"/>
        <s v="Amazonian Craton"/>
        <s v="Congo Crat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2"/>
  </r>
  <r>
    <x v="0"/>
    <x v="2"/>
  </r>
  <r>
    <x v="0"/>
    <x v="3"/>
  </r>
  <r>
    <x v="0"/>
    <x v="3"/>
  </r>
  <r>
    <x v="0"/>
    <x v="3"/>
  </r>
  <r>
    <x v="0"/>
    <x v="3"/>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1"/>
    <x v="1"/>
  </r>
  <r>
    <x v="1"/>
    <x v="1"/>
  </r>
  <r>
    <x v="1"/>
    <x v="1"/>
  </r>
  <r>
    <x v="1"/>
    <x v="1"/>
  </r>
  <r>
    <x v="1"/>
    <x v="1"/>
  </r>
  <r>
    <x v="1"/>
    <x v="1"/>
  </r>
  <r>
    <x v="1"/>
    <x v="1"/>
  </r>
  <r>
    <x v="1"/>
    <x v="1"/>
  </r>
  <r>
    <x v="1"/>
    <x v="1"/>
  </r>
  <r>
    <x v="1"/>
    <x v="1"/>
  </r>
  <r>
    <x v="1"/>
    <x v="1"/>
  </r>
  <r>
    <x v="1"/>
    <x v="3"/>
  </r>
  <r>
    <x v="1"/>
    <x v="1"/>
  </r>
  <r>
    <x v="1"/>
    <x v="1"/>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1"/>
  </r>
  <r>
    <x v="2"/>
    <x v="1"/>
  </r>
  <r>
    <x v="2"/>
    <x v="1"/>
  </r>
  <r>
    <x v="2"/>
    <x v="1"/>
  </r>
  <r>
    <x v="2"/>
    <x v="1"/>
  </r>
  <r>
    <x v="2"/>
    <x v="1"/>
  </r>
  <r>
    <x v="2"/>
    <x v="1"/>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4"/>
  </r>
  <r>
    <x v="2"/>
    <x v="4"/>
  </r>
  <r>
    <x v="2"/>
    <x v="4"/>
  </r>
  <r>
    <x v="2"/>
    <x v="3"/>
  </r>
  <r>
    <x v="2"/>
    <x v="0"/>
  </r>
  <r>
    <x v="2"/>
    <x v="0"/>
  </r>
  <r>
    <x v="2"/>
    <x v="0"/>
  </r>
  <r>
    <x v="2"/>
    <x v="0"/>
  </r>
  <r>
    <x v="2"/>
    <x v="0"/>
  </r>
  <r>
    <x v="2"/>
    <x v="0"/>
  </r>
  <r>
    <x v="2"/>
    <x v="0"/>
  </r>
  <r>
    <x v="2"/>
    <x v="0"/>
  </r>
  <r>
    <x v="2"/>
    <x v="1"/>
  </r>
  <r>
    <x v="3"/>
    <x v="0"/>
  </r>
  <r>
    <x v="3"/>
    <x v="5"/>
  </r>
  <r>
    <x v="3"/>
    <x v="6"/>
  </r>
  <r>
    <x v="3"/>
    <x v="6"/>
  </r>
  <r>
    <x v="3"/>
    <x v="6"/>
  </r>
  <r>
    <x v="3"/>
    <x v="6"/>
  </r>
  <r>
    <x v="3"/>
    <x v="6"/>
  </r>
  <r>
    <x v="3"/>
    <x v="6"/>
  </r>
  <r>
    <x v="3"/>
    <x v="6"/>
  </r>
  <r>
    <x v="3"/>
    <x v="6"/>
  </r>
  <r>
    <x v="3"/>
    <x v="6"/>
  </r>
  <r>
    <x v="3"/>
    <x v="6"/>
  </r>
  <r>
    <x v="3"/>
    <x v="6"/>
  </r>
  <r>
    <x v="3"/>
    <x v="0"/>
  </r>
  <r>
    <x v="3"/>
    <x v="0"/>
  </r>
  <r>
    <x v="3"/>
    <x v="0"/>
  </r>
  <r>
    <x v="3"/>
    <x v="0"/>
  </r>
  <r>
    <x v="3"/>
    <x v="0"/>
  </r>
  <r>
    <x v="3"/>
    <x v="0"/>
  </r>
  <r>
    <x v="3"/>
    <x v="0"/>
  </r>
  <r>
    <x v="3"/>
    <x v="0"/>
  </r>
  <r>
    <x v="3"/>
    <x v="0"/>
  </r>
  <r>
    <x v="3"/>
    <x v="0"/>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2"/>
  </r>
  <r>
    <x v="3"/>
    <x v="2"/>
  </r>
  <r>
    <x v="3"/>
    <x v="2"/>
  </r>
  <r>
    <x v="3"/>
    <x v="2"/>
  </r>
  <r>
    <x v="3"/>
    <x v="3"/>
  </r>
  <r>
    <x v="3"/>
    <x v="3"/>
  </r>
  <r>
    <x v="3"/>
    <x v="0"/>
  </r>
  <r>
    <x v="3"/>
    <x v="0"/>
  </r>
  <r>
    <x v="3"/>
    <x v="0"/>
  </r>
  <r>
    <x v="3"/>
    <x v="1"/>
  </r>
  <r>
    <x v="3"/>
    <x v="1"/>
  </r>
  <r>
    <x v="3"/>
    <x v="1"/>
  </r>
  <r>
    <x v="3"/>
    <x v="1"/>
  </r>
  <r>
    <x v="3"/>
    <x v="1"/>
  </r>
  <r>
    <x v="3"/>
    <x v="1"/>
  </r>
  <r>
    <x v="3"/>
    <x v="1"/>
  </r>
  <r>
    <x v="3"/>
    <x v="1"/>
  </r>
  <r>
    <x v="3"/>
    <x v="1"/>
  </r>
  <r>
    <x v="4"/>
    <x v="5"/>
  </r>
  <r>
    <x v="4"/>
    <x v="5"/>
  </r>
  <r>
    <x v="4"/>
    <x v="5"/>
  </r>
  <r>
    <x v="4"/>
    <x v="6"/>
  </r>
  <r>
    <x v="4"/>
    <x v="6"/>
  </r>
  <r>
    <x v="4"/>
    <x v="6"/>
  </r>
  <r>
    <x v="4"/>
    <x v="6"/>
  </r>
  <r>
    <x v="4"/>
    <x v="6"/>
  </r>
  <r>
    <x v="4"/>
    <x v="6"/>
  </r>
  <r>
    <x v="4"/>
    <x v="6"/>
  </r>
  <r>
    <x v="4"/>
    <x v="6"/>
  </r>
  <r>
    <x v="4"/>
    <x v="6"/>
  </r>
  <r>
    <x v="4"/>
    <x v="6"/>
  </r>
  <r>
    <x v="4"/>
    <x v="6"/>
  </r>
  <r>
    <x v="4"/>
    <x v="6"/>
  </r>
  <r>
    <x v="4"/>
    <x v="6"/>
  </r>
  <r>
    <x v="4"/>
    <x v="6"/>
  </r>
  <r>
    <x v="4"/>
    <x v="6"/>
  </r>
  <r>
    <x v="4"/>
    <x v="6"/>
  </r>
  <r>
    <x v="4"/>
    <x v="6"/>
  </r>
  <r>
    <x v="4"/>
    <x v="6"/>
  </r>
  <r>
    <x v="4"/>
    <x v="6"/>
  </r>
  <r>
    <x v="4"/>
    <x v="0"/>
  </r>
  <r>
    <x v="4"/>
    <x v="0"/>
  </r>
  <r>
    <x v="4"/>
    <x v="0"/>
  </r>
  <r>
    <x v="4"/>
    <x v="0"/>
  </r>
  <r>
    <x v="4"/>
    <x v="0"/>
  </r>
  <r>
    <x v="4"/>
    <x v="0"/>
  </r>
  <r>
    <x v="4"/>
    <x v="1"/>
  </r>
  <r>
    <x v="4"/>
    <x v="1"/>
  </r>
  <r>
    <x v="4"/>
    <x v="1"/>
  </r>
  <r>
    <x v="4"/>
    <x v="1"/>
  </r>
  <r>
    <x v="4"/>
    <x v="1"/>
  </r>
  <r>
    <x v="4"/>
    <x v="1"/>
  </r>
  <r>
    <x v="4"/>
    <x v="1"/>
  </r>
  <r>
    <x v="4"/>
    <x v="1"/>
  </r>
  <r>
    <x v="4"/>
    <x v="1"/>
  </r>
  <r>
    <x v="4"/>
    <x v="1"/>
  </r>
  <r>
    <x v="4"/>
    <x v="1"/>
  </r>
  <r>
    <x v="4"/>
    <x v="1"/>
  </r>
  <r>
    <x v="4"/>
    <x v="1"/>
  </r>
  <r>
    <x v="4"/>
    <x v="1"/>
  </r>
  <r>
    <x v="4"/>
    <x v="1"/>
  </r>
  <r>
    <x v="4"/>
    <x v="1"/>
  </r>
  <r>
    <x v="4"/>
    <x v="1"/>
  </r>
  <r>
    <x v="4"/>
    <x v="2"/>
  </r>
  <r>
    <x v="4"/>
    <x v="2"/>
  </r>
  <r>
    <x v="4"/>
    <x v="2"/>
  </r>
  <r>
    <x v="4"/>
    <x v="2"/>
  </r>
  <r>
    <x v="4"/>
    <x v="3"/>
  </r>
  <r>
    <x v="4"/>
    <x v="3"/>
  </r>
  <r>
    <x v="4"/>
    <x v="3"/>
  </r>
  <r>
    <x v="4"/>
    <x v="3"/>
  </r>
  <r>
    <x v="4"/>
    <x v="0"/>
  </r>
  <r>
    <x v="4"/>
    <x v="0"/>
  </r>
  <r>
    <x v="4"/>
    <x v="0"/>
  </r>
  <r>
    <x v="4"/>
    <x v="0"/>
  </r>
  <r>
    <x v="4"/>
    <x v="0"/>
  </r>
  <r>
    <x v="4"/>
    <x v="6"/>
  </r>
  <r>
    <x v="4"/>
    <x v="0"/>
  </r>
  <r>
    <x v="4"/>
    <x v="0"/>
  </r>
  <r>
    <x v="4"/>
    <x v="0"/>
  </r>
  <r>
    <x v="4"/>
    <x v="1"/>
  </r>
  <r>
    <x v="4"/>
    <x v="1"/>
  </r>
  <r>
    <x v="4"/>
    <x v="1"/>
  </r>
  <r>
    <x v="4"/>
    <x v="1"/>
  </r>
  <r>
    <x v="4"/>
    <x v="1"/>
  </r>
  <r>
    <x v="4"/>
    <x v="1"/>
  </r>
  <r>
    <x v="4"/>
    <x v="1"/>
  </r>
  <r>
    <x v="5"/>
    <x v="1"/>
  </r>
  <r>
    <x v="5"/>
    <x v="1"/>
  </r>
  <r>
    <x v="5"/>
    <x v="1"/>
  </r>
  <r>
    <x v="5"/>
    <x v="1"/>
  </r>
  <r>
    <x v="5"/>
    <x v="1"/>
  </r>
  <r>
    <x v="5"/>
    <x v="1"/>
  </r>
  <r>
    <x v="5"/>
    <x v="1"/>
  </r>
  <r>
    <x v="5"/>
    <x v="1"/>
  </r>
  <r>
    <x v="5"/>
    <x v="1"/>
  </r>
  <r>
    <x v="5"/>
    <x v="1"/>
  </r>
  <r>
    <x v="5"/>
    <x v="1"/>
  </r>
  <r>
    <x v="5"/>
    <x v="1"/>
  </r>
  <r>
    <x v="5"/>
    <x v="1"/>
  </r>
  <r>
    <x v="5"/>
    <x v="1"/>
  </r>
  <r>
    <x v="5"/>
    <x v="2"/>
  </r>
  <r>
    <x v="5"/>
    <x v="2"/>
  </r>
  <r>
    <x v="5"/>
    <x v="4"/>
  </r>
  <r>
    <x v="5"/>
    <x v="4"/>
  </r>
  <r>
    <x v="5"/>
    <x v="4"/>
  </r>
  <r>
    <x v="5"/>
    <x v="1"/>
  </r>
  <r>
    <x v="5"/>
    <x v="1"/>
  </r>
  <r>
    <x v="5"/>
    <x v="1"/>
  </r>
  <r>
    <x v="5"/>
    <x v="1"/>
  </r>
  <r>
    <x v="6"/>
    <x v="7"/>
  </r>
  <r>
    <x v="6"/>
    <x v="7"/>
  </r>
  <r>
    <x v="6"/>
    <x v="7"/>
  </r>
  <r>
    <x v="6"/>
    <x v="7"/>
  </r>
  <r>
    <x v="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131BE-128B-D546-9747-CC145383C77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M19" firstHeaderRow="1" firstDataRow="2" firstDataCol="1"/>
  <pivotFields count="2">
    <pivotField axis="axisRow" showAll="0">
      <items count="8">
        <item x="0"/>
        <item x="1"/>
        <item x="5"/>
        <item x="2"/>
        <item x="3"/>
        <item x="4"/>
        <item x="6"/>
        <item t="default"/>
      </items>
    </pivotField>
    <pivotField axis="axisCol" dataField="1" showAll="0">
      <items count="9">
        <item x="5"/>
        <item x="6"/>
        <item x="0"/>
        <item x="1"/>
        <item x="2"/>
        <item x="4"/>
        <item x="3"/>
        <item x="7"/>
        <item t="default"/>
      </items>
    </pivotField>
  </pivotFields>
  <rowFields count="1">
    <field x="0"/>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Count of Crat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6" Type="http://schemas.openxmlformats.org/officeDocument/2006/relationships/hyperlink" Target="https://doi.org/10.1016/j.gca.2006.10.008" TargetMode="External"/><Relationship Id="rId21" Type="http://schemas.openxmlformats.org/officeDocument/2006/relationships/hyperlink" Target="https://doi.org/10.1016/j.lithos.2009.04.021" TargetMode="External"/><Relationship Id="rId34" Type="http://schemas.openxmlformats.org/officeDocument/2006/relationships/hyperlink" Target="https://doi.org/10.3390/min9010050" TargetMode="External"/><Relationship Id="rId42" Type="http://schemas.openxmlformats.org/officeDocument/2006/relationships/hyperlink" Target="https://doi.org/10.1016/j.lithos.2016.07.004" TargetMode="External"/><Relationship Id="rId47" Type="http://schemas.openxmlformats.org/officeDocument/2006/relationships/hyperlink" Target="https://doi.org/10.3390/min9070412" TargetMode="External"/><Relationship Id="rId50" Type="http://schemas.openxmlformats.org/officeDocument/2006/relationships/hyperlink" Target="https://doi.org/10.1007/s00710-018-0603-x" TargetMode="External"/><Relationship Id="rId55" Type="http://schemas.openxmlformats.org/officeDocument/2006/relationships/hyperlink" Target="https://doi.org/10.1016/j.lithos.2009.05.038" TargetMode="External"/><Relationship Id="rId63" Type="http://schemas.openxmlformats.org/officeDocument/2006/relationships/hyperlink" Target="https://doi.org/10.1016/j.chemgeo.2007.02.003" TargetMode="External"/><Relationship Id="rId7" Type="http://schemas.openxmlformats.org/officeDocument/2006/relationships/hyperlink" Target="https://doi.org/10.2343/geochemj.2.0455" TargetMode="External"/><Relationship Id="rId2" Type="http://schemas.openxmlformats.org/officeDocument/2006/relationships/hyperlink" Target="https://ikcabstracts.com/index.php/ikc/article/view/2523" TargetMode="External"/><Relationship Id="rId16" Type="http://schemas.openxmlformats.org/officeDocument/2006/relationships/hyperlink" Target="https://doi.org/10.1016/j.epsl.2018.03.014" TargetMode="External"/><Relationship Id="rId29" Type="http://schemas.openxmlformats.org/officeDocument/2006/relationships/hyperlink" Target="https://doi.org/10.1038/nature14857" TargetMode="External"/><Relationship Id="rId11" Type="http://schemas.openxmlformats.org/officeDocument/2006/relationships/hyperlink" Target="https://doi.org/10.1016/j.epsl.2016.03.013" TargetMode="External"/><Relationship Id="rId24" Type="http://schemas.openxmlformats.org/officeDocument/2006/relationships/hyperlink" Target="https://doi.org/10.1016/S0012-821X(02)00480-6" TargetMode="External"/><Relationship Id="rId32" Type="http://schemas.openxmlformats.org/officeDocument/2006/relationships/hyperlink" Target="https://dx.doi.org/10.1127/0935-1221/2008/0020-1815" TargetMode="External"/><Relationship Id="rId37" Type="http://schemas.openxmlformats.org/officeDocument/2006/relationships/hyperlink" Target="https://doi.org/10.1016/j.lithos.2016.04.013" TargetMode="External"/><Relationship Id="rId40" Type="http://schemas.openxmlformats.org/officeDocument/2006/relationships/hyperlink" Target="https://doi.org/10.1016/0012-821X(91)90116-Y" TargetMode="External"/><Relationship Id="rId45" Type="http://schemas.openxmlformats.org/officeDocument/2006/relationships/hyperlink" Target="https://doi.org/10.29173/ikc3056" TargetMode="External"/><Relationship Id="rId53" Type="http://schemas.openxmlformats.org/officeDocument/2006/relationships/hyperlink" Target="https://doi.org/10.1130/G33231.1" TargetMode="External"/><Relationship Id="rId58" Type="http://schemas.openxmlformats.org/officeDocument/2006/relationships/hyperlink" Target="https://doi.org/10.1016/j.epsl.2009.10.035" TargetMode="External"/><Relationship Id="rId66" Type="http://schemas.openxmlformats.org/officeDocument/2006/relationships/hyperlink" Target="https://doi.org/10.1038/s41467-021-22860-3" TargetMode="External"/><Relationship Id="rId5" Type="http://schemas.openxmlformats.org/officeDocument/2006/relationships/hyperlink" Target="https://link.springer.com/article/10.1134/S1028334X15030241" TargetMode="External"/><Relationship Id="rId61" Type="http://schemas.openxmlformats.org/officeDocument/2006/relationships/hyperlink" Target="https://doi.org/10.1016/j.lithos.2018.11.025" TargetMode="External"/><Relationship Id="rId19" Type="http://schemas.openxmlformats.org/officeDocument/2006/relationships/hyperlink" Target="https://doi.org/10.1016/j.lithos.2009.03.015" TargetMode="External"/><Relationship Id="rId14" Type="http://schemas.openxmlformats.org/officeDocument/2006/relationships/hyperlink" Target="https://doi.org/10.1016/S0012-821X(01)00291-6" TargetMode="External"/><Relationship Id="rId22" Type="http://schemas.openxmlformats.org/officeDocument/2006/relationships/hyperlink" Target="https://doi.org/10.1180/002646198547675" TargetMode="External"/><Relationship Id="rId27" Type="http://schemas.openxmlformats.org/officeDocument/2006/relationships/hyperlink" Target="https://doi.org/10.1016/j.rgg.2010.12.007" TargetMode="External"/><Relationship Id="rId30" Type="http://schemas.openxmlformats.org/officeDocument/2006/relationships/hyperlink" Target="https://resolver.caltech.edu/CaltechTHESIS:10232013-113130725" TargetMode="External"/><Relationship Id="rId35" Type="http://schemas.openxmlformats.org/officeDocument/2006/relationships/hyperlink" Target="https://doi.org/10.1007/s00710-019-00656-0" TargetMode="External"/><Relationship Id="rId43" Type="http://schemas.openxmlformats.org/officeDocument/2006/relationships/hyperlink" Target="https://doi.org/10.1134/S0016702919090052" TargetMode="External"/><Relationship Id="rId48" Type="http://schemas.openxmlformats.org/officeDocument/2006/relationships/hyperlink" Target="https://doi.org/10.1016/j.chemgeo.2018.02.024" TargetMode="External"/><Relationship Id="rId56" Type="http://schemas.openxmlformats.org/officeDocument/2006/relationships/hyperlink" Target="https://doi.org/10.1016/j.epsl.2011.07.012" TargetMode="External"/><Relationship Id="rId64" Type="http://schemas.openxmlformats.org/officeDocument/2006/relationships/hyperlink" Target="https://doi.org/10.1016/j.lithos.2021.106285" TargetMode="External"/><Relationship Id="rId8" Type="http://schemas.openxmlformats.org/officeDocument/2006/relationships/hyperlink" Target="https://doi.org/10.1016/j.lithos.2009.05.008" TargetMode="External"/><Relationship Id="rId51" Type="http://schemas.openxmlformats.org/officeDocument/2006/relationships/hyperlink" Target="https://doi.org/10.1016/j.chemgeo.2019.04.001" TargetMode="External"/><Relationship Id="rId3" Type="http://schemas.openxmlformats.org/officeDocument/2006/relationships/hyperlink" Target="https://doi.org/10.1016/j.rgg.2011.10.003" TargetMode="External"/><Relationship Id="rId12" Type="http://schemas.openxmlformats.org/officeDocument/2006/relationships/hyperlink" Target="https://doi.org/10.1038/335784a0" TargetMode="External"/><Relationship Id="rId17" Type="http://schemas.openxmlformats.org/officeDocument/2006/relationships/hyperlink" Target="https://doi.org/10.1016/j.epsl.2013.06.021" TargetMode="External"/><Relationship Id="rId25" Type="http://schemas.openxmlformats.org/officeDocument/2006/relationships/hyperlink" Target="https://doi.org/10.1016/j.epsl.2009.12.056" TargetMode="External"/><Relationship Id="rId33" Type="http://schemas.openxmlformats.org/officeDocument/2006/relationships/hyperlink" Target="https://doi.org/10.1016/j.rgg.2011.10.002" TargetMode="External"/><Relationship Id="rId38" Type="http://schemas.openxmlformats.org/officeDocument/2006/relationships/hyperlink" Target="https://doi.org/10.1016/j.gca.2008.12.025" TargetMode="External"/><Relationship Id="rId46" Type="http://schemas.openxmlformats.org/officeDocument/2006/relationships/hyperlink" Target="https://www.researchgate.net/profile/Felix_Kaminsky/publication/292602483_Fluids_in_Yakutian_and_Indian_diamonds/links/56b2808308aed7ba3fede914.pdf" TargetMode="External"/><Relationship Id="rId59" Type="http://schemas.openxmlformats.org/officeDocument/2006/relationships/hyperlink" Target="https://doi.org/10.1016/j.gca.2013.09.022" TargetMode="External"/><Relationship Id="rId67" Type="http://schemas.openxmlformats.org/officeDocument/2006/relationships/printerSettings" Target="../printerSettings/printerSettings5.bin"/><Relationship Id="rId20" Type="http://schemas.openxmlformats.org/officeDocument/2006/relationships/hyperlink" Target="https://doi.org/10.1016/j.lithos.2004.04.003" TargetMode="External"/><Relationship Id="rId41" Type="http://schemas.openxmlformats.org/officeDocument/2006/relationships/hyperlink" Target="https://doi.org/10.1016/S0016-7037(99)00336-1" TargetMode="External"/><Relationship Id="rId54" Type="http://schemas.openxmlformats.org/officeDocument/2006/relationships/hyperlink" Target="https://doi.org/10.1016/j.gca.2014.05.050" TargetMode="External"/><Relationship Id="rId62" Type="http://schemas.openxmlformats.org/officeDocument/2006/relationships/hyperlink" Target="https://doi.org/10.1016/0016-7037(79)90206-0" TargetMode="External"/><Relationship Id="rId1" Type="http://schemas.openxmlformats.org/officeDocument/2006/relationships/hyperlink" Target="https://www.geochemicalperspectivesletters.org/article1825" TargetMode="External"/><Relationship Id="rId6" Type="http://schemas.openxmlformats.org/officeDocument/2006/relationships/hyperlink" Target="https://doi.org/10.29173/ikc3353" TargetMode="External"/><Relationship Id="rId15" Type="http://schemas.openxmlformats.org/officeDocument/2006/relationships/hyperlink" Target="https://doi.org/10.1007/s00710-018-0613-8" TargetMode="External"/><Relationship Id="rId23" Type="http://schemas.openxmlformats.org/officeDocument/2006/relationships/hyperlink" Target="https://doi.org/10.1016/S0009-2541(98)00011-4" TargetMode="External"/><Relationship Id="rId28" Type="http://schemas.openxmlformats.org/officeDocument/2006/relationships/hyperlink" Target="https://doi.org/10.1016/j.epsl.2006.08.005" TargetMode="External"/><Relationship Id="rId36" Type="http://schemas.openxmlformats.org/officeDocument/2006/relationships/hyperlink" Target="https://doi.org/10.1016/j.rgg.2012.09.006" TargetMode="External"/><Relationship Id="rId49" Type="http://schemas.openxmlformats.org/officeDocument/2006/relationships/hyperlink" Target="https://doi.org/10.1016/S0016-7037(96)00274-8" TargetMode="External"/><Relationship Id="rId57" Type="http://schemas.openxmlformats.org/officeDocument/2006/relationships/hyperlink" Target="https://doi.org/10.1016/j.jcrysgro.2007.03.004" TargetMode="External"/><Relationship Id="rId10" Type="http://schemas.openxmlformats.org/officeDocument/2006/relationships/hyperlink" Target="https://doi.org/10.1038/344653a0" TargetMode="External"/><Relationship Id="rId31" Type="http://schemas.openxmlformats.org/officeDocument/2006/relationships/hyperlink" Target="https://doi.org/10.29173/ikc2990" TargetMode="External"/><Relationship Id="rId44" Type="http://schemas.openxmlformats.org/officeDocument/2006/relationships/hyperlink" Target="https://doi.org/10.1016/j.chemgeo.2012.04.025" TargetMode="External"/><Relationship Id="rId52" Type="http://schemas.openxmlformats.org/officeDocument/2006/relationships/hyperlink" Target="https://doi.org/10.1016/j.epsl.2009.01.010" TargetMode="External"/><Relationship Id="rId60" Type="http://schemas.openxmlformats.org/officeDocument/2006/relationships/hyperlink" Target="https://doi.org/10.1038/336665a0" TargetMode="External"/><Relationship Id="rId65" Type="http://schemas.openxmlformats.org/officeDocument/2006/relationships/hyperlink" Target="https://doi.org/10.1007/s00410-020-01743-8" TargetMode="External"/><Relationship Id="rId4" Type="http://schemas.openxmlformats.org/officeDocument/2006/relationships/hyperlink" Target="https://doi.org/10.1007/s00410-018-1513-y" TargetMode="External"/><Relationship Id="rId9" Type="http://schemas.openxmlformats.org/officeDocument/2006/relationships/hyperlink" Target="https://doi.org/10.1016/S0016-7037(98)00139-2" TargetMode="External"/><Relationship Id="rId13" Type="http://schemas.openxmlformats.org/officeDocument/2006/relationships/hyperlink" Target="https://doi.org/10.1016/0016-7037(94)90504-5" TargetMode="External"/><Relationship Id="rId18" Type="http://schemas.openxmlformats.org/officeDocument/2006/relationships/hyperlink" Target="https://doi.org/10.1016/j.chemgeo.2008.02.008" TargetMode="External"/><Relationship Id="rId39" Type="http://schemas.openxmlformats.org/officeDocument/2006/relationships/hyperlink" Target="https://doi.org/10.3390/min91207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E33D-FBAD-4E82-808A-D072638115DE}">
  <sheetPr>
    <tabColor theme="7" tint="0.79998168889431442"/>
  </sheetPr>
  <dimension ref="B1:V32"/>
  <sheetViews>
    <sheetView workbookViewId="0"/>
  </sheetViews>
  <sheetFormatPr baseColWidth="10" defaultColWidth="8.83203125" defaultRowHeight="15"/>
  <cols>
    <col min="1" max="1" width="1.6640625" customWidth="1"/>
  </cols>
  <sheetData>
    <row r="1" spans="2:22" ht="9" customHeight="1"/>
    <row r="2" spans="2:22" ht="16">
      <c r="B2" s="75" t="s">
        <v>1616</v>
      </c>
      <c r="C2" s="84"/>
      <c r="D2" s="84"/>
      <c r="E2" s="84"/>
      <c r="F2" s="84"/>
      <c r="G2" s="84"/>
      <c r="H2" s="84"/>
      <c r="I2" s="84"/>
      <c r="J2" s="84"/>
      <c r="K2" s="84"/>
      <c r="L2" s="84"/>
      <c r="M2" s="84"/>
      <c r="N2" s="84"/>
      <c r="O2" s="84"/>
      <c r="P2" s="84"/>
      <c r="Q2" s="84"/>
      <c r="R2" s="84"/>
      <c r="S2" s="84"/>
      <c r="T2" s="84"/>
    </row>
    <row r="3" spans="2:22" ht="16.25" customHeight="1">
      <c r="B3" s="159" t="s">
        <v>1609</v>
      </c>
      <c r="C3" s="159"/>
      <c r="D3" s="159"/>
      <c r="E3" s="159"/>
      <c r="F3" s="159"/>
      <c r="G3" s="159"/>
      <c r="H3" s="159"/>
      <c r="I3" s="159"/>
      <c r="J3" s="159"/>
      <c r="K3" s="159"/>
      <c r="L3" s="159"/>
      <c r="M3" s="159"/>
      <c r="N3" s="159"/>
      <c r="O3" s="159"/>
      <c r="P3" s="159"/>
      <c r="Q3" s="159"/>
      <c r="R3" s="159"/>
      <c r="S3" s="159"/>
      <c r="T3" s="159"/>
      <c r="V3" s="83"/>
    </row>
    <row r="4" spans="2:22" ht="16.25" customHeight="1">
      <c r="B4" s="159"/>
      <c r="C4" s="159"/>
      <c r="D4" s="159"/>
      <c r="E4" s="159"/>
      <c r="F4" s="159"/>
      <c r="G4" s="159"/>
      <c r="H4" s="159"/>
      <c r="I4" s="159"/>
      <c r="J4" s="159"/>
      <c r="K4" s="159"/>
      <c r="L4" s="159"/>
      <c r="M4" s="159"/>
      <c r="N4" s="159"/>
      <c r="O4" s="159"/>
      <c r="P4" s="159"/>
      <c r="Q4" s="159"/>
      <c r="R4" s="159"/>
      <c r="S4" s="159"/>
      <c r="T4" s="159"/>
      <c r="V4" s="83"/>
    </row>
    <row r="5" spans="2:22" ht="16.25" customHeight="1">
      <c r="B5" s="160" t="s">
        <v>1610</v>
      </c>
      <c r="C5" s="160"/>
      <c r="D5" s="160"/>
      <c r="E5" s="160"/>
      <c r="F5" s="160"/>
      <c r="G5" s="160"/>
      <c r="H5" s="160"/>
      <c r="I5" s="160"/>
      <c r="J5" s="160"/>
      <c r="K5" s="160"/>
      <c r="L5" s="160"/>
      <c r="M5" s="160"/>
      <c r="N5" s="160"/>
      <c r="O5" s="160"/>
      <c r="P5" s="160"/>
      <c r="Q5" s="160"/>
      <c r="R5" s="160"/>
      <c r="S5" s="160"/>
      <c r="T5" s="160"/>
      <c r="V5" s="83"/>
    </row>
    <row r="6" spans="2:22" ht="16.25" customHeight="1">
      <c r="B6" s="160" t="s">
        <v>1611</v>
      </c>
      <c r="C6" s="160"/>
      <c r="D6" s="160"/>
      <c r="E6" s="160"/>
      <c r="F6" s="160"/>
      <c r="G6" s="160"/>
      <c r="H6" s="160"/>
      <c r="I6" s="160"/>
      <c r="J6" s="160"/>
      <c r="K6" s="160"/>
      <c r="L6" s="160"/>
      <c r="M6" s="160"/>
      <c r="N6" s="160"/>
      <c r="O6" s="160"/>
      <c r="P6" s="160"/>
      <c r="Q6" s="160"/>
      <c r="R6" s="160"/>
      <c r="S6" s="160"/>
      <c r="T6" s="160"/>
      <c r="V6" s="83"/>
    </row>
    <row r="7" spans="2:22" ht="16.25" customHeight="1">
      <c r="B7" s="160" t="s">
        <v>1612</v>
      </c>
      <c r="C7" s="160"/>
      <c r="D7" s="160"/>
      <c r="E7" s="160"/>
      <c r="F7" s="160"/>
      <c r="G7" s="160"/>
      <c r="H7" s="160"/>
      <c r="I7" s="160"/>
      <c r="J7" s="160"/>
      <c r="K7" s="160"/>
      <c r="L7" s="160"/>
      <c r="M7" s="160"/>
      <c r="N7" s="160"/>
      <c r="O7" s="160"/>
      <c r="P7" s="160"/>
      <c r="Q7" s="160"/>
      <c r="R7" s="160"/>
      <c r="S7" s="160"/>
      <c r="T7" s="160"/>
      <c r="V7" s="83"/>
    </row>
    <row r="8" spans="2:22" ht="16.25" customHeight="1">
      <c r="B8" s="165" t="s">
        <v>1613</v>
      </c>
      <c r="C8" s="165"/>
      <c r="D8" s="165"/>
      <c r="E8" s="165"/>
      <c r="F8" s="165"/>
      <c r="G8" s="165"/>
      <c r="H8" s="165"/>
      <c r="I8" s="165"/>
      <c r="J8" s="165"/>
      <c r="K8" s="165"/>
      <c r="L8" s="165"/>
      <c r="M8" s="165"/>
      <c r="N8" s="165"/>
      <c r="O8" s="165"/>
      <c r="P8" s="165"/>
      <c r="Q8" s="165"/>
      <c r="R8" s="165"/>
      <c r="S8" s="165"/>
      <c r="T8" s="165"/>
      <c r="V8" s="83"/>
    </row>
    <row r="9" spans="2:22" ht="16.25" customHeight="1">
      <c r="B9" s="160" t="s">
        <v>1614</v>
      </c>
      <c r="C9" s="160"/>
      <c r="D9" s="160"/>
      <c r="E9" s="160"/>
      <c r="F9" s="160"/>
      <c r="G9" s="160"/>
      <c r="H9" s="160"/>
      <c r="I9" s="160"/>
      <c r="J9" s="160"/>
      <c r="K9" s="160"/>
      <c r="L9" s="160"/>
      <c r="M9" s="160"/>
      <c r="N9" s="160"/>
      <c r="O9" s="160"/>
      <c r="P9" s="160"/>
      <c r="Q9" s="160"/>
      <c r="R9" s="160"/>
      <c r="S9" s="160"/>
      <c r="T9" s="160"/>
      <c r="V9" s="85"/>
    </row>
    <row r="10" spans="2:22" ht="16.25" customHeight="1">
      <c r="B10" s="160" t="s">
        <v>1615</v>
      </c>
      <c r="C10" s="160"/>
      <c r="D10" s="160"/>
      <c r="E10" s="160"/>
      <c r="F10" s="160"/>
      <c r="G10" s="160"/>
      <c r="H10" s="160"/>
      <c r="I10" s="160"/>
      <c r="J10" s="160"/>
      <c r="K10" s="160"/>
      <c r="L10" s="160"/>
      <c r="M10" s="160"/>
      <c r="N10" s="160"/>
      <c r="O10" s="160"/>
      <c r="P10" s="160"/>
      <c r="Q10" s="160"/>
      <c r="R10" s="160"/>
      <c r="S10" s="160"/>
      <c r="T10" s="160"/>
    </row>
    <row r="11" spans="2:22" ht="16.25" customHeight="1">
      <c r="B11" s="159" t="s">
        <v>1617</v>
      </c>
      <c r="C11" s="159"/>
      <c r="D11" s="159"/>
      <c r="E11" s="159"/>
      <c r="F11" s="159"/>
      <c r="G11" s="159"/>
      <c r="H11" s="159"/>
      <c r="I11" s="159"/>
      <c r="J11" s="159"/>
      <c r="K11" s="159"/>
      <c r="L11" s="159"/>
      <c r="M11" s="159"/>
      <c r="N11" s="159"/>
      <c r="O11" s="159"/>
      <c r="P11" s="159"/>
      <c r="Q11" s="159"/>
      <c r="R11" s="159"/>
      <c r="S11" s="159"/>
      <c r="T11" s="159"/>
    </row>
    <row r="12" spans="2:22" ht="16.25" customHeight="1">
      <c r="B12" s="159" t="s">
        <v>1626</v>
      </c>
      <c r="C12" s="159"/>
      <c r="D12" s="159"/>
      <c r="E12" s="159"/>
      <c r="F12" s="159"/>
      <c r="G12" s="159"/>
      <c r="H12" s="159"/>
      <c r="I12" s="159"/>
      <c r="J12" s="159"/>
      <c r="K12" s="159"/>
      <c r="L12" s="159"/>
      <c r="M12" s="159"/>
      <c r="N12" s="159"/>
      <c r="O12" s="159"/>
      <c r="P12" s="159"/>
      <c r="Q12" s="159"/>
      <c r="R12" s="159"/>
      <c r="S12" s="159"/>
      <c r="T12" s="159"/>
    </row>
    <row r="13" spans="2:22" ht="16.25" customHeight="1">
      <c r="B13" s="159"/>
      <c r="C13" s="159"/>
      <c r="D13" s="159"/>
      <c r="E13" s="159"/>
      <c r="F13" s="159"/>
      <c r="G13" s="159"/>
      <c r="H13" s="159"/>
      <c r="I13" s="159"/>
      <c r="J13" s="159"/>
      <c r="K13" s="159"/>
      <c r="L13" s="159"/>
      <c r="M13" s="159"/>
      <c r="N13" s="159"/>
      <c r="O13" s="159"/>
      <c r="P13" s="159"/>
      <c r="Q13" s="159"/>
      <c r="R13" s="159"/>
      <c r="S13" s="159"/>
      <c r="T13" s="159"/>
    </row>
    <row r="14" spans="2:22" ht="16.25" customHeight="1">
      <c r="B14" s="159" t="s">
        <v>1618</v>
      </c>
      <c r="C14" s="159"/>
      <c r="D14" s="159"/>
      <c r="E14" s="159"/>
      <c r="F14" s="159"/>
      <c r="G14" s="159"/>
      <c r="H14" s="159"/>
      <c r="I14" s="159"/>
      <c r="J14" s="159"/>
      <c r="K14" s="159"/>
      <c r="L14" s="159"/>
      <c r="M14" s="159"/>
      <c r="N14" s="159"/>
      <c r="O14" s="159"/>
      <c r="P14" s="159"/>
      <c r="Q14" s="159"/>
      <c r="R14" s="159"/>
      <c r="S14" s="159"/>
      <c r="T14" s="159"/>
    </row>
    <row r="15" spans="2:22" ht="16.25" customHeight="1">
      <c r="B15" s="159"/>
      <c r="C15" s="159"/>
      <c r="D15" s="159"/>
      <c r="E15" s="159"/>
      <c r="F15" s="159"/>
      <c r="G15" s="159"/>
      <c r="H15" s="159"/>
      <c r="I15" s="159"/>
      <c r="J15" s="159"/>
      <c r="K15" s="159"/>
      <c r="L15" s="159"/>
      <c r="M15" s="159"/>
      <c r="N15" s="159"/>
      <c r="O15" s="159"/>
      <c r="P15" s="159"/>
      <c r="Q15" s="159"/>
      <c r="R15" s="159"/>
      <c r="S15" s="159"/>
      <c r="T15" s="159"/>
    </row>
    <row r="16" spans="2:22" ht="16.25" customHeight="1">
      <c r="B16" s="159" t="s">
        <v>1619</v>
      </c>
      <c r="C16" s="159"/>
      <c r="D16" s="159"/>
      <c r="E16" s="159"/>
      <c r="F16" s="159"/>
      <c r="G16" s="159"/>
      <c r="H16" s="159"/>
      <c r="I16" s="159"/>
      <c r="J16" s="159"/>
      <c r="K16" s="159"/>
      <c r="L16" s="159"/>
      <c r="M16" s="159"/>
      <c r="N16" s="159"/>
      <c r="O16" s="159"/>
      <c r="P16" s="159"/>
      <c r="Q16" s="159"/>
      <c r="R16" s="159"/>
      <c r="S16" s="159"/>
      <c r="T16" s="159"/>
    </row>
    <row r="17" spans="2:20" ht="16.25" customHeight="1">
      <c r="B17" s="159"/>
      <c r="C17" s="159"/>
      <c r="D17" s="159"/>
      <c r="E17" s="159"/>
      <c r="F17" s="159"/>
      <c r="G17" s="159"/>
      <c r="H17" s="159"/>
      <c r="I17" s="159"/>
      <c r="J17" s="159"/>
      <c r="K17" s="159"/>
      <c r="L17" s="159"/>
      <c r="M17" s="159"/>
      <c r="N17" s="159"/>
      <c r="O17" s="159"/>
      <c r="P17" s="159"/>
      <c r="Q17" s="159"/>
      <c r="R17" s="159"/>
      <c r="S17" s="159"/>
      <c r="T17" s="159"/>
    </row>
    <row r="18" spans="2:20" ht="16.25" customHeight="1">
      <c r="B18" s="159" t="s">
        <v>1620</v>
      </c>
      <c r="C18" s="159"/>
      <c r="D18" s="159"/>
      <c r="E18" s="159"/>
      <c r="F18" s="159"/>
      <c r="G18" s="159"/>
      <c r="H18" s="159"/>
      <c r="I18" s="159"/>
      <c r="J18" s="159"/>
      <c r="K18" s="159"/>
      <c r="L18" s="159"/>
      <c r="M18" s="159"/>
      <c r="N18" s="159"/>
      <c r="O18" s="159"/>
      <c r="P18" s="159"/>
      <c r="Q18" s="159"/>
      <c r="R18" s="159"/>
      <c r="S18" s="159"/>
      <c r="T18" s="159"/>
    </row>
    <row r="19" spans="2:20" ht="16.25" customHeight="1">
      <c r="B19" s="159"/>
      <c r="C19" s="159"/>
      <c r="D19" s="159"/>
      <c r="E19" s="159"/>
      <c r="F19" s="159"/>
      <c r="G19" s="159"/>
      <c r="H19" s="159"/>
      <c r="I19" s="159"/>
      <c r="J19" s="159"/>
      <c r="K19" s="159"/>
      <c r="L19" s="159"/>
      <c r="M19" s="159"/>
      <c r="N19" s="159"/>
      <c r="O19" s="159"/>
      <c r="P19" s="159"/>
      <c r="Q19" s="159"/>
      <c r="R19" s="159"/>
      <c r="S19" s="159"/>
      <c r="T19" s="159"/>
    </row>
    <row r="20" spans="2:20" ht="16.25" customHeight="1">
      <c r="B20" s="168" t="s">
        <v>1726</v>
      </c>
      <c r="C20" s="168"/>
      <c r="D20" s="168"/>
      <c r="E20" s="168"/>
      <c r="F20" s="168"/>
      <c r="G20" s="168"/>
      <c r="H20" s="168"/>
      <c r="I20" s="168"/>
      <c r="J20" s="168"/>
      <c r="K20" s="168"/>
      <c r="L20" s="168"/>
      <c r="M20" s="168"/>
      <c r="N20" s="168"/>
      <c r="O20" s="168"/>
      <c r="P20" s="168"/>
      <c r="Q20" s="168"/>
      <c r="R20" s="168"/>
      <c r="S20" s="168"/>
      <c r="T20" s="168"/>
    </row>
    <row r="21" spans="2:20" ht="16.25" customHeight="1">
      <c r="B21" s="168"/>
      <c r="C21" s="168"/>
      <c r="D21" s="168"/>
      <c r="E21" s="168"/>
      <c r="F21" s="168"/>
      <c r="G21" s="168"/>
      <c r="H21" s="168"/>
      <c r="I21" s="168"/>
      <c r="J21" s="168"/>
      <c r="K21" s="168"/>
      <c r="L21" s="168"/>
      <c r="M21" s="168"/>
      <c r="N21" s="168"/>
      <c r="O21" s="168"/>
      <c r="P21" s="168"/>
      <c r="Q21" s="168"/>
      <c r="R21" s="168"/>
      <c r="S21" s="168"/>
      <c r="T21" s="168"/>
    </row>
    <row r="22" spans="2:20" ht="16.25" customHeight="1">
      <c r="B22" s="167" t="s">
        <v>1710</v>
      </c>
      <c r="C22" s="167"/>
      <c r="D22" s="167"/>
      <c r="E22" s="167"/>
      <c r="F22" s="167"/>
      <c r="G22" s="167"/>
      <c r="H22" s="167"/>
      <c r="I22" s="167"/>
      <c r="J22" s="167"/>
      <c r="K22" s="167"/>
      <c r="L22" s="167"/>
      <c r="M22" s="167"/>
      <c r="N22" s="167"/>
      <c r="O22" s="167"/>
      <c r="P22" s="167"/>
      <c r="Q22" s="167"/>
      <c r="R22" s="167"/>
      <c r="S22" s="167"/>
      <c r="T22" s="167"/>
    </row>
    <row r="23" spans="2:20" ht="16.25" customHeight="1">
      <c r="B23" s="167"/>
      <c r="C23" s="167"/>
      <c r="D23" s="167"/>
      <c r="E23" s="167"/>
      <c r="F23" s="167"/>
      <c r="G23" s="167"/>
      <c r="H23" s="167"/>
      <c r="I23" s="167"/>
      <c r="J23" s="167"/>
      <c r="K23" s="167"/>
      <c r="L23" s="167"/>
      <c r="M23" s="167"/>
      <c r="N23" s="167"/>
      <c r="O23" s="167"/>
      <c r="P23" s="167"/>
      <c r="Q23" s="167"/>
      <c r="R23" s="167"/>
      <c r="S23" s="167"/>
      <c r="T23" s="167"/>
    </row>
    <row r="24" spans="2:20" ht="16.25" customHeight="1">
      <c r="B24" s="166" t="s">
        <v>1621</v>
      </c>
      <c r="C24" s="166"/>
      <c r="D24" s="166"/>
      <c r="E24" s="166"/>
      <c r="F24" s="166"/>
      <c r="G24" s="166"/>
      <c r="H24" s="166"/>
      <c r="I24" s="166"/>
      <c r="J24" s="166"/>
      <c r="K24" s="166"/>
      <c r="L24" s="166"/>
      <c r="M24" s="166"/>
      <c r="N24" s="166"/>
      <c r="O24" s="166"/>
      <c r="P24" s="166"/>
      <c r="Q24" s="166"/>
      <c r="R24" s="166"/>
      <c r="S24" s="166"/>
      <c r="T24" s="166"/>
    </row>
    <row r="25" spans="2:20" ht="16.25" customHeight="1">
      <c r="B25" s="161" t="s">
        <v>1622</v>
      </c>
      <c r="C25" s="161"/>
      <c r="D25" s="161"/>
      <c r="E25" s="161"/>
      <c r="F25" s="161"/>
      <c r="G25" s="161"/>
      <c r="H25" s="161"/>
      <c r="I25" s="161"/>
      <c r="J25" s="161"/>
      <c r="K25" s="161"/>
      <c r="L25" s="161"/>
      <c r="M25" s="161"/>
      <c r="N25" s="161"/>
      <c r="O25" s="161"/>
      <c r="P25" s="161"/>
      <c r="Q25" s="161"/>
      <c r="R25" s="161"/>
      <c r="S25" s="161"/>
      <c r="T25" s="161"/>
    </row>
    <row r="26" spans="2:20" ht="16.25" customHeight="1">
      <c r="B26" s="162" t="s">
        <v>1623</v>
      </c>
      <c r="C26" s="162"/>
      <c r="D26" s="162"/>
      <c r="E26" s="162"/>
      <c r="F26" s="162"/>
      <c r="G26" s="162"/>
      <c r="H26" s="162"/>
      <c r="I26" s="162"/>
      <c r="J26" s="162"/>
      <c r="K26" s="162"/>
      <c r="L26" s="162"/>
      <c r="M26" s="162"/>
      <c r="N26" s="162"/>
      <c r="O26" s="162"/>
      <c r="P26" s="162"/>
      <c r="Q26" s="162"/>
      <c r="R26" s="162"/>
      <c r="S26" s="162"/>
      <c r="T26" s="162"/>
    </row>
    <row r="27" spans="2:20" ht="14.5" customHeight="1">
      <c r="B27" s="163" t="s">
        <v>1624</v>
      </c>
      <c r="C27" s="163"/>
      <c r="D27" s="163"/>
      <c r="E27" s="163"/>
      <c r="F27" s="163"/>
      <c r="G27" s="163"/>
      <c r="H27" s="163"/>
      <c r="I27" s="163"/>
      <c r="J27" s="163"/>
      <c r="K27" s="163"/>
      <c r="L27" s="163"/>
      <c r="M27" s="163"/>
      <c r="N27" s="163"/>
      <c r="O27" s="163"/>
      <c r="P27" s="163"/>
      <c r="Q27" s="163"/>
      <c r="R27" s="163"/>
      <c r="S27" s="163"/>
      <c r="T27" s="163"/>
    </row>
    <row r="28" spans="2:20">
      <c r="B28" s="164" t="s">
        <v>1625</v>
      </c>
      <c r="C28" s="164"/>
      <c r="D28" s="164"/>
      <c r="E28" s="164"/>
      <c r="F28" s="164"/>
      <c r="G28" s="164"/>
      <c r="H28" s="164"/>
      <c r="I28" s="164"/>
      <c r="J28" s="164"/>
      <c r="K28" s="164"/>
      <c r="L28" s="164"/>
      <c r="M28" s="164"/>
      <c r="N28" s="164"/>
      <c r="O28" s="164"/>
      <c r="P28" s="164"/>
      <c r="Q28" s="164"/>
      <c r="R28" s="164"/>
      <c r="S28" s="164"/>
      <c r="T28" s="164"/>
    </row>
    <row r="31" spans="2:20">
      <c r="C31" s="90"/>
      <c r="D31" s="90"/>
    </row>
    <row r="32" spans="2:20">
      <c r="B32" s="90"/>
      <c r="C32" s="90"/>
      <c r="D32" s="90"/>
    </row>
  </sheetData>
  <mergeCells count="19">
    <mergeCell ref="B25:T25"/>
    <mergeCell ref="B26:T26"/>
    <mergeCell ref="B27:T27"/>
    <mergeCell ref="B28:T28"/>
    <mergeCell ref="B7:T7"/>
    <mergeCell ref="B8:T8"/>
    <mergeCell ref="B9:T9"/>
    <mergeCell ref="B10:T10"/>
    <mergeCell ref="B24:T24"/>
    <mergeCell ref="B16:T17"/>
    <mergeCell ref="B18:T19"/>
    <mergeCell ref="B22:T23"/>
    <mergeCell ref="B20:T21"/>
    <mergeCell ref="B3:T4"/>
    <mergeCell ref="B5:T5"/>
    <mergeCell ref="B11:T11"/>
    <mergeCell ref="B12:T13"/>
    <mergeCell ref="B14:T15"/>
    <mergeCell ref="B6:T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E0264-9B5A-4574-B5FF-CA4C34E0EE8F}">
  <dimension ref="A1:AT7"/>
  <sheetViews>
    <sheetView workbookViewId="0"/>
  </sheetViews>
  <sheetFormatPr baseColWidth="10" defaultColWidth="8.83203125" defaultRowHeight="15"/>
  <cols>
    <col min="2" max="2" width="12.5" customWidth="1"/>
  </cols>
  <sheetData>
    <row r="1" spans="1:46" ht="16">
      <c r="A1" t="s">
        <v>1353</v>
      </c>
      <c r="B1" s="21"/>
      <c r="C1" s="23" t="s">
        <v>187</v>
      </c>
      <c r="D1" s="22" t="s">
        <v>182</v>
      </c>
      <c r="E1" s="22" t="s">
        <v>188</v>
      </c>
      <c r="F1" s="22" t="s">
        <v>205</v>
      </c>
      <c r="G1" s="24" t="s">
        <v>206</v>
      </c>
      <c r="H1" s="24" t="s">
        <v>179</v>
      </c>
      <c r="I1" s="22" t="s">
        <v>202</v>
      </c>
      <c r="J1" s="22" t="s">
        <v>186</v>
      </c>
      <c r="K1" s="22" t="s">
        <v>189</v>
      </c>
      <c r="L1" s="22" t="s">
        <v>190</v>
      </c>
      <c r="M1" s="22" t="s">
        <v>191</v>
      </c>
      <c r="N1" s="22" t="s">
        <v>184</v>
      </c>
      <c r="O1" s="22" t="s">
        <v>192</v>
      </c>
      <c r="P1" s="22" t="s">
        <v>193</v>
      </c>
      <c r="Q1" s="22" t="s">
        <v>201</v>
      </c>
      <c r="R1" s="22" t="s">
        <v>185</v>
      </c>
      <c r="S1" s="22" t="s">
        <v>194</v>
      </c>
      <c r="T1" s="22" t="s">
        <v>255</v>
      </c>
      <c r="U1" s="22" t="s">
        <v>195</v>
      </c>
      <c r="V1" s="22" t="s">
        <v>424</v>
      </c>
      <c r="W1" s="22" t="s">
        <v>196</v>
      </c>
      <c r="X1" s="22" t="s">
        <v>23</v>
      </c>
      <c r="Y1" s="22" t="s">
        <v>197</v>
      </c>
      <c r="Z1" s="22" t="s">
        <v>198</v>
      </c>
      <c r="AA1" s="22" t="s">
        <v>492</v>
      </c>
      <c r="AB1" s="22" t="s">
        <v>199</v>
      </c>
      <c r="AC1" s="22" t="s">
        <v>200</v>
      </c>
      <c r="AD1" s="20" t="s">
        <v>597</v>
      </c>
      <c r="AE1" s="20" t="s">
        <v>254</v>
      </c>
      <c r="AF1" s="20" t="s">
        <v>637</v>
      </c>
      <c r="AG1" s="20" t="s">
        <v>181</v>
      </c>
      <c r="AH1" s="20" t="s">
        <v>493</v>
      </c>
      <c r="AI1" s="20" t="s">
        <v>494</v>
      </c>
      <c r="AJ1" s="20" t="s">
        <v>257</v>
      </c>
      <c r="AK1" s="20" t="s">
        <v>256</v>
      </c>
      <c r="AL1" s="20" t="s">
        <v>258</v>
      </c>
      <c r="AM1" s="20" t="s">
        <v>636</v>
      </c>
      <c r="AN1" s="20" t="s">
        <v>270</v>
      </c>
      <c r="AO1" s="20" t="s">
        <v>164</v>
      </c>
      <c r="AP1" s="20" t="s">
        <v>271</v>
      </c>
      <c r="AQ1" s="20" t="s">
        <v>275</v>
      </c>
      <c r="AR1" s="20" t="s">
        <v>602</v>
      </c>
      <c r="AS1" s="20" t="s">
        <v>991</v>
      </c>
      <c r="AT1" s="20" t="s">
        <v>203</v>
      </c>
    </row>
    <row r="2" spans="1:46">
      <c r="B2" s="21" t="s">
        <v>1351</v>
      </c>
      <c r="C2" s="21">
        <v>2.1000000000000001E-2</v>
      </c>
      <c r="D2" s="21">
        <v>0.6</v>
      </c>
      <c r="E2" s="21">
        <v>6.6</v>
      </c>
      <c r="F2" s="21">
        <v>7.9500000000000001E-2</v>
      </c>
      <c r="G2" s="21">
        <v>2.0299999999999999E-2</v>
      </c>
      <c r="H2" s="21">
        <v>240</v>
      </c>
      <c r="I2" s="21">
        <v>3.6999999999999998E-2</v>
      </c>
      <c r="J2" s="21">
        <v>0.65800000000000003</v>
      </c>
      <c r="K2" s="21">
        <v>0.64800000000000002</v>
      </c>
      <c r="L2" s="21">
        <v>1.675</v>
      </c>
      <c r="M2" s="21">
        <v>0.254</v>
      </c>
      <c r="N2" s="21">
        <v>19.899999999999999</v>
      </c>
      <c r="O2" s="21">
        <v>1.25</v>
      </c>
      <c r="P2" s="21">
        <v>0.40600000000000003</v>
      </c>
      <c r="Q2" s="21">
        <v>0.28299999999999997</v>
      </c>
      <c r="R2" s="21">
        <v>10.5</v>
      </c>
      <c r="S2" s="21">
        <v>0.154</v>
      </c>
      <c r="T2" s="21">
        <v>1205</v>
      </c>
      <c r="U2" s="21">
        <v>0.54400000000000004</v>
      </c>
      <c r="V2" s="21">
        <v>9.9000000000000005E-2</v>
      </c>
      <c r="W2" s="21">
        <v>0.67400000000000004</v>
      </c>
      <c r="X2" s="21">
        <v>4.3</v>
      </c>
      <c r="Y2" s="21">
        <v>0.14899999999999999</v>
      </c>
      <c r="Z2" s="21">
        <v>0.438</v>
      </c>
      <c r="AA2" s="21">
        <v>6.8000000000000005E-2</v>
      </c>
      <c r="AB2" s="21">
        <v>0.441</v>
      </c>
      <c r="AC2" s="21">
        <v>6.7500000000000004E-2</v>
      </c>
      <c r="AD2">
        <v>2670</v>
      </c>
      <c r="AE2">
        <v>18081.8</v>
      </c>
      <c r="AF2">
        <v>12434.65</v>
      </c>
      <c r="AG2">
        <v>4</v>
      </c>
      <c r="AH2">
        <v>82</v>
      </c>
      <c r="AI2">
        <v>105</v>
      </c>
      <c r="AJ2">
        <v>1045</v>
      </c>
      <c r="AK2">
        <v>2625</v>
      </c>
      <c r="AL2">
        <v>56328.4</v>
      </c>
      <c r="AM2">
        <v>137524.20000000001</v>
      </c>
      <c r="AN2">
        <v>1960</v>
      </c>
      <c r="AO2">
        <v>250</v>
      </c>
      <c r="AP2">
        <v>30</v>
      </c>
      <c r="AQ2">
        <v>55</v>
      </c>
      <c r="AR2">
        <v>0.05</v>
      </c>
      <c r="AS2">
        <v>0.04</v>
      </c>
      <c r="AT2">
        <v>2.9000000000000001E-2</v>
      </c>
    </row>
    <row r="6" spans="1:46" ht="16">
      <c r="A6" t="s">
        <v>1353</v>
      </c>
      <c r="B6" s="21"/>
      <c r="C6" s="22" t="s">
        <v>189</v>
      </c>
      <c r="D6" s="22" t="s">
        <v>190</v>
      </c>
      <c r="E6" s="22" t="s">
        <v>191</v>
      </c>
      <c r="F6" s="22" t="s">
        <v>192</v>
      </c>
      <c r="G6" s="22" t="s">
        <v>193</v>
      </c>
      <c r="H6" s="22" t="s">
        <v>194</v>
      </c>
      <c r="I6" s="22" t="s">
        <v>195</v>
      </c>
      <c r="J6" s="22" t="s">
        <v>424</v>
      </c>
      <c r="K6" s="22" t="s">
        <v>196</v>
      </c>
      <c r="L6" s="22" t="s">
        <v>197</v>
      </c>
      <c r="M6" s="22" t="s">
        <v>198</v>
      </c>
      <c r="N6" s="22" t="s">
        <v>492</v>
      </c>
      <c r="O6" s="22" t="s">
        <v>199</v>
      </c>
      <c r="P6" s="22" t="s">
        <v>200</v>
      </c>
    </row>
    <row r="7" spans="1:46">
      <c r="B7" s="21" t="s">
        <v>1352</v>
      </c>
      <c r="C7" s="21">
        <v>0.23699999999999999</v>
      </c>
      <c r="D7" s="21">
        <v>0.61299999999999999</v>
      </c>
      <c r="E7" s="21">
        <v>9.2799999999999994E-2</v>
      </c>
      <c r="F7" s="21">
        <v>0.45700000000000002</v>
      </c>
      <c r="G7" s="21">
        <v>0.14799999999999999</v>
      </c>
      <c r="H7" s="21">
        <v>5.6300000000000003E-2</v>
      </c>
      <c r="I7" s="21">
        <v>0.19900000000000001</v>
      </c>
      <c r="J7" s="21">
        <v>3.61E-2</v>
      </c>
      <c r="K7" s="21">
        <v>0.246</v>
      </c>
      <c r="L7" s="21">
        <v>5.4600000000000003E-2</v>
      </c>
      <c r="M7" s="21">
        <v>0.16</v>
      </c>
      <c r="N7" s="21">
        <v>2.47E-2</v>
      </c>
      <c r="O7" s="21">
        <v>0.161</v>
      </c>
      <c r="P7" s="21">
        <v>2.46E-2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7568-D1A1-4D10-9CC6-E21F0177C9E9}">
  <sheetPr>
    <tabColor rgb="FFA9F1E0"/>
  </sheetPr>
  <dimension ref="A1:IT341"/>
  <sheetViews>
    <sheetView showZeros="0" topLeftCell="FW1" zoomScaleNormal="100" workbookViewId="0">
      <selection activeCell="GL9" sqref="GL9"/>
    </sheetView>
  </sheetViews>
  <sheetFormatPr baseColWidth="10" defaultColWidth="8.83203125" defaultRowHeight="15"/>
  <cols>
    <col min="1" max="1" width="47.83203125" style="4" customWidth="1"/>
    <col min="2" max="2" width="15" style="4" customWidth="1"/>
    <col min="3" max="3" width="27.83203125" style="4" customWidth="1"/>
    <col min="4" max="4" width="29.33203125" style="4" customWidth="1"/>
    <col min="5" max="5" width="18.33203125" style="4" customWidth="1"/>
    <col min="6" max="6" width="21.83203125" style="4" customWidth="1"/>
    <col min="7" max="7" width="16.33203125" style="4" customWidth="1"/>
    <col min="8" max="8" width="21.33203125" style="49" customWidth="1"/>
    <col min="9" max="9" width="16.5" style="4" customWidth="1"/>
    <col min="10" max="10" width="22.5" style="4" customWidth="1"/>
    <col min="11" max="11" width="22.33203125" style="4" customWidth="1"/>
    <col min="12" max="12" width="27.33203125" style="4" customWidth="1"/>
    <col min="13" max="13" width="20.1640625" style="4" bestFit="1" customWidth="1"/>
    <col min="14" max="34" width="8.83203125" style="4" customWidth="1"/>
    <col min="35" max="35" width="9.1640625" style="4" customWidth="1"/>
    <col min="36" max="36" width="12.83203125" style="7" customWidth="1"/>
    <col min="37" max="38" width="8.83203125" style="4" customWidth="1"/>
    <col min="39" max="39" width="7.83203125" style="4" customWidth="1"/>
    <col min="40" max="40" width="8.83203125" style="4" customWidth="1"/>
    <col min="41" max="41" width="18.6640625" style="4" customWidth="1"/>
    <col min="42" max="42" width="8.83203125" style="4" customWidth="1"/>
    <col min="43" max="43" width="13.6640625" style="4" customWidth="1"/>
    <col min="44" max="47" width="8.83203125" style="4" customWidth="1"/>
    <col min="48" max="48" width="26.6640625" style="7" customWidth="1"/>
    <col min="49" max="50" width="9" bestFit="1" customWidth="1"/>
    <col min="51" max="52" width="9" customWidth="1"/>
    <col min="53" max="53" width="8.83203125" style="95"/>
    <col min="54" max="54" width="9" style="95" bestFit="1" customWidth="1"/>
    <col min="55" max="55" width="9" style="4" customWidth="1"/>
    <col min="56" max="56" width="11.1640625" style="4" customWidth="1"/>
    <col min="57" max="57" width="12.1640625" style="4" bestFit="1" customWidth="1"/>
    <col min="58" max="58" width="12.5" style="4" bestFit="1" customWidth="1"/>
    <col min="59" max="59" width="14.5" style="4" bestFit="1" customWidth="1"/>
    <col min="60" max="60" width="10.33203125" style="4" bestFit="1" customWidth="1"/>
    <col min="61" max="61" width="10.1640625" style="4" customWidth="1"/>
    <col min="62" max="62" width="15" style="4" customWidth="1"/>
    <col min="63" max="64" width="9.33203125" style="44" bestFit="1" customWidth="1"/>
    <col min="65" max="66" width="9.5" style="44" bestFit="1" customWidth="1"/>
    <col min="67" max="67" width="9.6640625" style="44" bestFit="1" customWidth="1"/>
    <col min="68" max="69" width="9.5" style="44" bestFit="1" customWidth="1"/>
    <col min="70" max="70" width="11.83203125" style="44" bestFit="1" customWidth="1"/>
    <col min="71" max="71" width="9.5" style="44" bestFit="1" customWidth="1"/>
    <col min="72" max="72" width="11.83203125" style="44" bestFit="1" customWidth="1"/>
    <col min="73" max="73" width="10.83203125" style="44" bestFit="1" customWidth="1"/>
    <col min="74" max="74" width="9.6640625" style="44" bestFit="1" customWidth="1"/>
    <col min="75" max="75" width="12.83203125" style="44" bestFit="1" customWidth="1"/>
    <col min="76" max="76" width="11.83203125" style="44" bestFit="1" customWidth="1"/>
    <col min="77" max="77" width="12.6640625" style="44" bestFit="1" customWidth="1"/>
    <col min="78" max="79" width="10.83203125" style="44" bestFit="1" customWidth="1"/>
    <col min="80" max="81" width="9.5" style="44" bestFit="1" customWidth="1"/>
    <col min="82" max="82" width="8.83203125" style="44"/>
    <col min="83" max="83" width="9.5" style="44" bestFit="1" customWidth="1"/>
    <col min="84" max="84" width="8.83203125" style="44"/>
    <col min="85" max="85" width="9.33203125" style="44" bestFit="1" customWidth="1"/>
    <col min="86" max="86" width="11" style="44" bestFit="1" customWidth="1"/>
    <col min="87" max="87" width="12" style="44" bestFit="1" customWidth="1"/>
    <col min="88" max="88" width="9.83203125" style="44" bestFit="1" customWidth="1"/>
    <col min="89" max="89" width="11" style="44" bestFit="1" customWidth="1"/>
    <col min="90" max="90" width="9.33203125" style="44" bestFit="1" customWidth="1"/>
    <col min="91" max="91" width="9.83203125" style="44" bestFit="1" customWidth="1"/>
    <col min="92" max="92" width="10.5" style="44" bestFit="1" customWidth="1"/>
    <col min="93" max="94" width="8.83203125" style="44"/>
    <col min="95" max="95" width="9.1640625" style="44" bestFit="1" customWidth="1"/>
    <col min="96" max="96" width="11" style="44" bestFit="1" customWidth="1"/>
    <col min="97" max="97" width="13" style="44" bestFit="1" customWidth="1"/>
    <col min="98" max="98" width="9.33203125" style="44" bestFit="1" customWidth="1"/>
    <col min="99" max="100" width="12" style="44" bestFit="1" customWidth="1"/>
    <col min="101" max="101" width="10.83203125" style="44" bestFit="1" customWidth="1"/>
    <col min="102" max="102" width="11" style="44" bestFit="1" customWidth="1"/>
    <col min="103" max="103" width="10" style="44" bestFit="1" customWidth="1"/>
    <col min="104" max="104" width="9.5" style="44" bestFit="1" customWidth="1"/>
    <col min="105" max="105" width="10" style="44" bestFit="1" customWidth="1"/>
    <col min="106" max="109" width="9.33203125" style="44" bestFit="1" customWidth="1"/>
    <col min="110" max="111" width="9.5" style="44" bestFit="1" customWidth="1"/>
    <col min="112" max="113" width="9.33203125" style="44" customWidth="1"/>
    <col min="114" max="114" width="9.1640625" style="44" customWidth="1"/>
    <col min="115" max="115" width="10.6640625" style="44" customWidth="1"/>
    <col min="116" max="116" width="10.83203125" style="44" customWidth="1"/>
    <col min="117" max="118" width="9.33203125" style="44" customWidth="1"/>
    <col min="119" max="119" width="8.83203125" style="44" customWidth="1"/>
    <col min="120" max="120" width="9.33203125" style="44" customWidth="1"/>
    <col min="121" max="121" width="8.83203125" style="44" customWidth="1"/>
    <col min="122" max="122" width="9.33203125" style="44" customWidth="1"/>
    <col min="123" max="123" width="8.83203125" style="44" customWidth="1"/>
    <col min="124" max="125" width="9" style="44" customWidth="1"/>
    <col min="126" max="139" width="10.6640625" style="45" customWidth="1"/>
    <col min="140" max="140" width="10.6640625" style="44" customWidth="1"/>
    <col min="141" max="141" width="16.33203125" style="4" customWidth="1"/>
    <col min="142" max="168" width="8.83203125" style="4" customWidth="1"/>
    <col min="169" max="169" width="21" style="4" customWidth="1"/>
    <col min="170" max="170" width="8.83203125" style="45" customWidth="1"/>
    <col min="171" max="195" width="9.1640625" style="4" bestFit="1" customWidth="1"/>
    <col min="196" max="196" width="12" style="4" bestFit="1" customWidth="1"/>
    <col min="197" max="198" width="9.1640625" style="4" bestFit="1" customWidth="1"/>
    <col min="199" max="199" width="16.33203125" style="45" bestFit="1" customWidth="1"/>
    <col min="200" max="226" width="8.83203125" style="45" customWidth="1"/>
    <col min="227" max="227" width="32.5" style="4" customWidth="1"/>
    <col min="228" max="254" width="9" style="4" bestFit="1" customWidth="1"/>
    <col min="255" max="16384" width="8.83203125" style="4"/>
  </cols>
  <sheetData>
    <row r="1" spans="1:254" s="56" customFormat="1" ht="15" customHeight="1">
      <c r="A1" s="54" t="s">
        <v>1174</v>
      </c>
      <c r="B1" s="54" t="s">
        <v>0</v>
      </c>
      <c r="C1" s="54" t="s">
        <v>1521</v>
      </c>
      <c r="D1" s="54" t="s">
        <v>1522</v>
      </c>
      <c r="E1" s="54" t="s">
        <v>1</v>
      </c>
      <c r="F1" s="54" t="s">
        <v>2</v>
      </c>
      <c r="G1" s="54" t="s">
        <v>588</v>
      </c>
      <c r="H1" s="88" t="s">
        <v>1715</v>
      </c>
      <c r="I1" s="54" t="s">
        <v>1268</v>
      </c>
      <c r="J1" s="54" t="s">
        <v>1269</v>
      </c>
      <c r="K1" s="54" t="s">
        <v>586</v>
      </c>
      <c r="L1" s="54" t="s">
        <v>312</v>
      </c>
      <c r="M1" s="54" t="s">
        <v>4</v>
      </c>
      <c r="N1" s="54" t="s">
        <v>156</v>
      </c>
      <c r="O1" s="54" t="s">
        <v>1541</v>
      </c>
      <c r="P1" s="54" t="s">
        <v>1542</v>
      </c>
      <c r="Q1" s="54" t="s">
        <v>1543</v>
      </c>
      <c r="R1" s="54" t="s">
        <v>1544</v>
      </c>
      <c r="S1" s="54" t="s">
        <v>9</v>
      </c>
      <c r="T1" s="54" t="s">
        <v>10</v>
      </c>
      <c r="U1" s="54" t="s">
        <v>11</v>
      </c>
      <c r="V1" s="54" t="s">
        <v>12</v>
      </c>
      <c r="W1" s="54" t="s">
        <v>1545</v>
      </c>
      <c r="X1" s="54" t="s">
        <v>1546</v>
      </c>
      <c r="Y1" s="54" t="s">
        <v>15</v>
      </c>
      <c r="Z1" s="54" t="s">
        <v>1547</v>
      </c>
      <c r="AA1" s="54" t="s">
        <v>17</v>
      </c>
      <c r="AB1" s="54" t="s">
        <v>18</v>
      </c>
      <c r="AC1" s="54" t="s">
        <v>19</v>
      </c>
      <c r="AD1" s="54" t="s">
        <v>20</v>
      </c>
      <c r="AE1" s="54" t="s">
        <v>164</v>
      </c>
      <c r="AF1" s="54" t="s">
        <v>1548</v>
      </c>
      <c r="AG1" s="54" t="s">
        <v>651</v>
      </c>
      <c r="AH1" s="54" t="s">
        <v>652</v>
      </c>
      <c r="AI1" s="54" t="s">
        <v>1523</v>
      </c>
      <c r="AJ1" s="54" t="s">
        <v>22</v>
      </c>
      <c r="AK1" s="57" t="s">
        <v>1524</v>
      </c>
      <c r="AL1" s="57" t="s">
        <v>1525</v>
      </c>
      <c r="AM1" s="57" t="s">
        <v>1526</v>
      </c>
      <c r="AN1" s="57" t="s">
        <v>1527</v>
      </c>
      <c r="AO1" s="57" t="s">
        <v>1459</v>
      </c>
      <c r="AP1" s="57" t="s">
        <v>1528</v>
      </c>
      <c r="AQ1" s="57" t="s">
        <v>1529</v>
      </c>
      <c r="AR1" s="57" t="s">
        <v>1530</v>
      </c>
      <c r="AS1" s="57" t="s">
        <v>1531</v>
      </c>
      <c r="AT1" s="57" t="s">
        <v>1532</v>
      </c>
      <c r="AU1" s="57" t="s">
        <v>1533</v>
      </c>
      <c r="AV1" s="57" t="s">
        <v>1534</v>
      </c>
      <c r="AW1" s="92" t="s">
        <v>1711</v>
      </c>
      <c r="AX1" s="92" t="s">
        <v>1712</v>
      </c>
      <c r="AY1" s="92" t="s">
        <v>159</v>
      </c>
      <c r="AZ1" s="92" t="s">
        <v>158</v>
      </c>
      <c r="BA1" s="102" t="s">
        <v>767</v>
      </c>
      <c r="BB1" s="102" t="s">
        <v>21</v>
      </c>
      <c r="BC1" s="89" t="s">
        <v>1653</v>
      </c>
      <c r="BD1" s="89" t="s">
        <v>1654</v>
      </c>
      <c r="BE1" s="54" t="s">
        <v>1552</v>
      </c>
      <c r="BF1" s="54" t="s">
        <v>1553</v>
      </c>
      <c r="BG1" s="54" t="s">
        <v>509</v>
      </c>
      <c r="BH1" s="54" t="s">
        <v>510</v>
      </c>
      <c r="BI1" s="54" t="s">
        <v>1554</v>
      </c>
      <c r="BJ1" s="54" t="s">
        <v>1555</v>
      </c>
      <c r="BK1" s="55" t="s">
        <v>253</v>
      </c>
      <c r="BL1" s="55" t="s">
        <v>164</v>
      </c>
      <c r="BM1" s="55" t="s">
        <v>20</v>
      </c>
      <c r="BN1" s="55" t="s">
        <v>597</v>
      </c>
      <c r="BO1" s="55" t="s">
        <v>636</v>
      </c>
      <c r="BP1" s="55" t="s">
        <v>637</v>
      </c>
      <c r="BQ1" s="55" t="s">
        <v>638</v>
      </c>
      <c r="BR1" s="55" t="s">
        <v>179</v>
      </c>
      <c r="BS1" s="55" t="s">
        <v>254</v>
      </c>
      <c r="BT1" s="55" t="s">
        <v>255</v>
      </c>
      <c r="BU1" s="55" t="s">
        <v>256</v>
      </c>
      <c r="BV1" s="55" t="s">
        <v>257</v>
      </c>
      <c r="BW1" s="55" t="s">
        <v>258</v>
      </c>
      <c r="BX1" s="55" t="s">
        <v>270</v>
      </c>
      <c r="BY1" s="55" t="s">
        <v>271</v>
      </c>
      <c r="BZ1" s="55" t="s">
        <v>275</v>
      </c>
      <c r="CA1" s="55" t="s">
        <v>494</v>
      </c>
      <c r="CB1" s="55" t="s">
        <v>181</v>
      </c>
      <c r="CC1" s="55" t="s">
        <v>601</v>
      </c>
      <c r="CD1" s="55" t="s">
        <v>1019</v>
      </c>
      <c r="CE1" s="55" t="s">
        <v>602</v>
      </c>
      <c r="CF1" s="55" t="s">
        <v>981</v>
      </c>
      <c r="CG1" s="55" t="s">
        <v>603</v>
      </c>
      <c r="CH1" s="55" t="s">
        <v>182</v>
      </c>
      <c r="CI1" s="55" t="s">
        <v>184</v>
      </c>
      <c r="CJ1" s="55" t="s">
        <v>23</v>
      </c>
      <c r="CK1" s="55" t="s">
        <v>185</v>
      </c>
      <c r="CL1" s="55" t="s">
        <v>604</v>
      </c>
      <c r="CM1" s="55" t="s">
        <v>186</v>
      </c>
      <c r="CN1" s="55" t="s">
        <v>989</v>
      </c>
      <c r="CO1" s="55" t="s">
        <v>990</v>
      </c>
      <c r="CP1" s="55" t="s">
        <v>991</v>
      </c>
      <c r="CQ1" s="55" t="s">
        <v>992</v>
      </c>
      <c r="CR1" s="55" t="s">
        <v>187</v>
      </c>
      <c r="CS1" s="55" t="s">
        <v>188</v>
      </c>
      <c r="CT1" s="55" t="s">
        <v>493</v>
      </c>
      <c r="CU1" s="55" t="s">
        <v>189</v>
      </c>
      <c r="CV1" s="55" t="s">
        <v>190</v>
      </c>
      <c r="CW1" s="55" t="s">
        <v>191</v>
      </c>
      <c r="CX1" s="55" t="s">
        <v>192</v>
      </c>
      <c r="CY1" s="55" t="s">
        <v>193</v>
      </c>
      <c r="CZ1" s="55" t="s">
        <v>194</v>
      </c>
      <c r="DA1" s="55" t="s">
        <v>195</v>
      </c>
      <c r="DB1" s="55" t="s">
        <v>196</v>
      </c>
      <c r="DC1" s="55" t="s">
        <v>197</v>
      </c>
      <c r="DD1" s="55" t="s">
        <v>198</v>
      </c>
      <c r="DE1" s="55" t="s">
        <v>492</v>
      </c>
      <c r="DF1" s="55" t="s">
        <v>199</v>
      </c>
      <c r="DG1" s="55" t="s">
        <v>200</v>
      </c>
      <c r="DH1" s="55" t="s">
        <v>201</v>
      </c>
      <c r="DI1" s="55" t="s">
        <v>202</v>
      </c>
      <c r="DJ1" s="55" t="s">
        <v>203</v>
      </c>
      <c r="DK1" s="55" t="s">
        <v>204</v>
      </c>
      <c r="DL1" s="55" t="s">
        <v>205</v>
      </c>
      <c r="DM1" s="55" t="s">
        <v>206</v>
      </c>
      <c r="DN1" s="55" t="s">
        <v>424</v>
      </c>
      <c r="DO1" s="55" t="s">
        <v>1010</v>
      </c>
      <c r="DP1" s="55" t="s">
        <v>599</v>
      </c>
      <c r="DQ1" s="55" t="s">
        <v>985</v>
      </c>
      <c r="DR1" s="55" t="s">
        <v>600</v>
      </c>
      <c r="DS1" s="55" t="s">
        <v>1062</v>
      </c>
      <c r="DT1" s="55" t="s">
        <v>1556</v>
      </c>
      <c r="DU1" s="55" t="s">
        <v>1195</v>
      </c>
      <c r="DV1" s="55" t="s">
        <v>1557</v>
      </c>
      <c r="DW1" s="55" t="s">
        <v>1195</v>
      </c>
      <c r="DX1" s="55" t="s">
        <v>1558</v>
      </c>
      <c r="DY1" s="55" t="s">
        <v>1195</v>
      </c>
      <c r="DZ1" s="55" t="s">
        <v>1196</v>
      </c>
      <c r="EA1" s="55" t="s">
        <v>1559</v>
      </c>
      <c r="EB1" s="55" t="s">
        <v>1195</v>
      </c>
      <c r="EC1" s="55" t="s">
        <v>1560</v>
      </c>
      <c r="ED1" s="55" t="s">
        <v>1561</v>
      </c>
      <c r="EE1" s="55" t="s">
        <v>1562</v>
      </c>
      <c r="EF1" s="55" t="s">
        <v>1201</v>
      </c>
      <c r="EG1" s="55" t="s">
        <v>1563</v>
      </c>
      <c r="EH1" s="55" t="s">
        <v>1201</v>
      </c>
      <c r="EI1" s="55" t="s">
        <v>1564</v>
      </c>
      <c r="EJ1" s="55" t="s">
        <v>1201</v>
      </c>
      <c r="EK1" s="58" t="s">
        <v>1433</v>
      </c>
      <c r="EL1" s="58" t="s">
        <v>187</v>
      </c>
      <c r="EM1" s="58" t="s">
        <v>182</v>
      </c>
      <c r="EN1" s="58" t="s">
        <v>188</v>
      </c>
      <c r="EO1" s="58" t="s">
        <v>205</v>
      </c>
      <c r="EP1" s="58" t="s">
        <v>206</v>
      </c>
      <c r="EQ1" s="58" t="s">
        <v>179</v>
      </c>
      <c r="ER1" s="58" t="s">
        <v>202</v>
      </c>
      <c r="ES1" s="58" t="s">
        <v>186</v>
      </c>
      <c r="ET1" s="58" t="s">
        <v>189</v>
      </c>
      <c r="EU1" s="58" t="s">
        <v>190</v>
      </c>
      <c r="EV1" s="58" t="s">
        <v>191</v>
      </c>
      <c r="EW1" s="58" t="s">
        <v>184</v>
      </c>
      <c r="EX1" s="58" t="s">
        <v>192</v>
      </c>
      <c r="EY1" s="58" t="s">
        <v>193</v>
      </c>
      <c r="EZ1" s="58" t="s">
        <v>201</v>
      </c>
      <c r="FA1" s="58" t="s">
        <v>185</v>
      </c>
      <c r="FB1" s="58" t="s">
        <v>194</v>
      </c>
      <c r="FC1" s="58" t="s">
        <v>255</v>
      </c>
      <c r="FD1" s="58" t="s">
        <v>195</v>
      </c>
      <c r="FE1" s="58" t="s">
        <v>424</v>
      </c>
      <c r="FF1" s="58" t="s">
        <v>196</v>
      </c>
      <c r="FG1" s="58" t="s">
        <v>23</v>
      </c>
      <c r="FH1" s="58" t="s">
        <v>197</v>
      </c>
      <c r="FI1" s="58" t="s">
        <v>198</v>
      </c>
      <c r="FJ1" s="58" t="s">
        <v>492</v>
      </c>
      <c r="FK1" s="58" t="s">
        <v>199</v>
      </c>
      <c r="FL1" s="58" t="s">
        <v>200</v>
      </c>
      <c r="FM1" s="59" t="s">
        <v>1462</v>
      </c>
      <c r="FN1" s="60" t="s">
        <v>1793</v>
      </c>
      <c r="FO1" s="59" t="s">
        <v>1435</v>
      </c>
      <c r="FP1" s="59" t="s">
        <v>1436</v>
      </c>
      <c r="FQ1" s="59" t="s">
        <v>1437</v>
      </c>
      <c r="FR1" s="59" t="s">
        <v>1438</v>
      </c>
      <c r="FS1" s="59" t="s">
        <v>1439</v>
      </c>
      <c r="FT1" s="59" t="s">
        <v>1440</v>
      </c>
      <c r="FU1" s="59" t="s">
        <v>1441</v>
      </c>
      <c r="FV1" s="59" t="s">
        <v>1442</v>
      </c>
      <c r="FW1" s="59" t="s">
        <v>1443</v>
      </c>
      <c r="FX1" s="59" t="s">
        <v>1457</v>
      </c>
      <c r="FY1" s="59" t="s">
        <v>1458</v>
      </c>
      <c r="FZ1" s="59" t="s">
        <v>1456</v>
      </c>
      <c r="GA1" s="59" t="s">
        <v>1444</v>
      </c>
      <c r="GB1" s="59" t="s">
        <v>1445</v>
      </c>
      <c r="GC1" s="59" t="s">
        <v>1446</v>
      </c>
      <c r="GD1" s="59" t="s">
        <v>1447</v>
      </c>
      <c r="GE1" s="59" t="s">
        <v>1448</v>
      </c>
      <c r="GF1" s="59" t="s">
        <v>1449</v>
      </c>
      <c r="GG1" s="59" t="s">
        <v>1450</v>
      </c>
      <c r="GH1" s="59" t="s">
        <v>1451</v>
      </c>
      <c r="GI1" s="59" t="s">
        <v>1452</v>
      </c>
      <c r="GJ1" s="59" t="s">
        <v>1453</v>
      </c>
      <c r="GK1" s="59" t="s">
        <v>1454</v>
      </c>
      <c r="GL1" s="59" t="s">
        <v>1455</v>
      </c>
      <c r="GM1" s="59" t="s">
        <v>1461</v>
      </c>
      <c r="GN1" s="59" t="s">
        <v>1463</v>
      </c>
      <c r="GO1" s="59" t="s">
        <v>1464</v>
      </c>
      <c r="GP1" s="59" t="s">
        <v>1465</v>
      </c>
      <c r="GQ1" s="61" t="s">
        <v>1518</v>
      </c>
      <c r="GR1" s="61" t="s">
        <v>187</v>
      </c>
      <c r="GS1" s="61" t="s">
        <v>182</v>
      </c>
      <c r="GT1" s="61" t="s">
        <v>188</v>
      </c>
      <c r="GU1" s="61" t="s">
        <v>205</v>
      </c>
      <c r="GV1" s="61" t="s">
        <v>206</v>
      </c>
      <c r="GW1" s="61" t="s">
        <v>179</v>
      </c>
      <c r="GX1" s="61" t="s">
        <v>202</v>
      </c>
      <c r="GY1" s="61" t="s">
        <v>186</v>
      </c>
      <c r="GZ1" s="61" t="s">
        <v>189</v>
      </c>
      <c r="HA1" s="61" t="s">
        <v>190</v>
      </c>
      <c r="HB1" s="61" t="s">
        <v>191</v>
      </c>
      <c r="HC1" s="61" t="s">
        <v>184</v>
      </c>
      <c r="HD1" s="61" t="s">
        <v>192</v>
      </c>
      <c r="HE1" s="61" t="s">
        <v>193</v>
      </c>
      <c r="HF1" s="61" t="s">
        <v>201</v>
      </c>
      <c r="HG1" s="61" t="s">
        <v>185</v>
      </c>
      <c r="HH1" s="61" t="s">
        <v>194</v>
      </c>
      <c r="HI1" s="61" t="s">
        <v>255</v>
      </c>
      <c r="HJ1" s="61" t="s">
        <v>195</v>
      </c>
      <c r="HK1" s="61" t="s">
        <v>424</v>
      </c>
      <c r="HL1" s="61" t="s">
        <v>196</v>
      </c>
      <c r="HM1" s="61" t="s">
        <v>23</v>
      </c>
      <c r="HN1" s="61" t="s">
        <v>197</v>
      </c>
      <c r="HO1" s="61" t="s">
        <v>198</v>
      </c>
      <c r="HP1" s="61" t="s">
        <v>492</v>
      </c>
      <c r="HQ1" s="61" t="s">
        <v>199</v>
      </c>
      <c r="HR1" s="61" t="s">
        <v>200</v>
      </c>
      <c r="HS1" s="62" t="s">
        <v>1519</v>
      </c>
      <c r="HT1" s="62" t="s">
        <v>187</v>
      </c>
      <c r="HU1" s="62" t="s">
        <v>182</v>
      </c>
      <c r="HV1" s="62" t="s">
        <v>188</v>
      </c>
      <c r="HW1" s="62" t="s">
        <v>205</v>
      </c>
      <c r="HX1" s="62" t="s">
        <v>206</v>
      </c>
      <c r="HY1" s="62" t="s">
        <v>179</v>
      </c>
      <c r="HZ1" s="62" t="s">
        <v>202</v>
      </c>
      <c r="IA1" s="62" t="s">
        <v>186</v>
      </c>
      <c r="IB1" s="62" t="s">
        <v>189</v>
      </c>
      <c r="IC1" s="62" t="s">
        <v>190</v>
      </c>
      <c r="ID1" s="62" t="s">
        <v>191</v>
      </c>
      <c r="IE1" s="62" t="s">
        <v>184</v>
      </c>
      <c r="IF1" s="62" t="s">
        <v>192</v>
      </c>
      <c r="IG1" s="62" t="s">
        <v>193</v>
      </c>
      <c r="IH1" s="62" t="s">
        <v>201</v>
      </c>
      <c r="II1" s="62" t="s">
        <v>185</v>
      </c>
      <c r="IJ1" s="62" t="s">
        <v>194</v>
      </c>
      <c r="IK1" s="62" t="s">
        <v>255</v>
      </c>
      <c r="IL1" s="62" t="s">
        <v>195</v>
      </c>
      <c r="IM1" s="62" t="s">
        <v>424</v>
      </c>
      <c r="IN1" s="62" t="s">
        <v>196</v>
      </c>
      <c r="IO1" s="62" t="s">
        <v>23</v>
      </c>
      <c r="IP1" s="62" t="s">
        <v>197</v>
      </c>
      <c r="IQ1" s="62" t="s">
        <v>198</v>
      </c>
      <c r="IR1" s="62" t="s">
        <v>492</v>
      </c>
      <c r="IS1" s="62" t="s">
        <v>199</v>
      </c>
      <c r="IT1" s="62" t="s">
        <v>200</v>
      </c>
    </row>
    <row r="2" spans="1:254">
      <c r="A2" s="16" t="s">
        <v>847</v>
      </c>
      <c r="B2" s="16" t="s">
        <v>24</v>
      </c>
      <c r="C2" s="16" t="str">
        <f t="shared" ref="C2:C65" si="0">_xlfn.IFS(AND(AU2&gt;=15),"saline",AND(AK2&gt;=40,AU2&lt;=15),"silicic",AND(AK2&lt;=40,AK2&gt;=20,AO2&lt;=15,AU2&lt;=15),"silicic - low-Mg carbonatitic",AND(AO2&lt;15,AP2&gt;=15,AK2&lt;=20,AU2&lt;=15),"low-Mg carbonatitic",AND(AO2&gt;=15,AK2&lt;=20),"high-Mg carbonatitic")</f>
        <v>high-Mg carbonatitic</v>
      </c>
      <c r="D2" s="16" t="s">
        <v>25</v>
      </c>
      <c r="E2" s="16" t="s">
        <v>1394</v>
      </c>
      <c r="F2" s="16" t="s">
        <v>97</v>
      </c>
      <c r="G2" s="16" t="s">
        <v>595</v>
      </c>
      <c r="H2" s="27">
        <v>118</v>
      </c>
      <c r="I2" s="16" t="s">
        <v>1148</v>
      </c>
      <c r="J2" s="16">
        <v>0</v>
      </c>
      <c r="K2" s="16">
        <v>0</v>
      </c>
      <c r="L2" s="16" t="s">
        <v>538</v>
      </c>
      <c r="M2" s="16" t="s">
        <v>1713</v>
      </c>
      <c r="N2" s="16">
        <v>33</v>
      </c>
      <c r="O2" s="26">
        <v>11.781515151515153</v>
      </c>
      <c r="P2" s="26">
        <v>1.2018181818181817</v>
      </c>
      <c r="Q2" s="26">
        <v>2.4036363636363633</v>
      </c>
      <c r="R2" s="26"/>
      <c r="S2" s="26">
        <v>12.926969696969696</v>
      </c>
      <c r="T2" s="26">
        <v>28.611212121212123</v>
      </c>
      <c r="U2" s="26"/>
      <c r="V2" s="26">
        <v>22.575454545454548</v>
      </c>
      <c r="W2" s="26">
        <v>7.246666666666667</v>
      </c>
      <c r="X2" s="26">
        <v>9.6178787878787873</v>
      </c>
      <c r="Y2" s="26"/>
      <c r="Z2" s="26">
        <v>2.8157575757575759</v>
      </c>
      <c r="AA2" s="26"/>
      <c r="AB2" s="26"/>
      <c r="AC2" s="26"/>
      <c r="AD2" s="26">
        <v>0.81909090909090898</v>
      </c>
      <c r="AE2" s="26"/>
      <c r="AF2" s="26"/>
      <c r="AG2" s="26"/>
      <c r="AH2" s="26"/>
      <c r="AI2" s="26">
        <v>6.7784848484848483</v>
      </c>
      <c r="AJ2" s="26">
        <f>SUM(O2:P2,R2:T2,V2:X2,Z2,AB2,AD2)</f>
        <v>97.596363636363634</v>
      </c>
      <c r="AK2" s="26">
        <f>100*(O2/($AJ2-$AD2*8/35.45))</f>
        <v>12.09458103208981</v>
      </c>
      <c r="AL2" s="26">
        <f t="shared" ref="AL2:AL33" si="1">100*(P2/($AJ2-$AD2*8/35.45))</f>
        <v>1.233753655527873</v>
      </c>
      <c r="AM2" s="26">
        <f t="shared" ref="AM2:AM33" si="2">100*(R2/($AJ2-$AD2*8/35.45))</f>
        <v>0</v>
      </c>
      <c r="AN2" s="26">
        <f>100*(S2/($AJ2-$AD2*8/35.45))</f>
        <v>13.270473321019551</v>
      </c>
      <c r="AO2" s="26">
        <f>100*(T2/($AJ2-$AD2*8/35.45))</f>
        <v>29.371487366105704</v>
      </c>
      <c r="AP2" s="26">
        <f t="shared" ref="AP2:AP33" si="3">100*(V2/($AJ2-$AD2*8/35.45))</f>
        <v>23.175343818247864</v>
      </c>
      <c r="AQ2" s="26">
        <f t="shared" ref="AQ2:AQ33" si="4">100*(AB2/($AJ2-$AD2*8/35.45))</f>
        <v>0</v>
      </c>
      <c r="AR2" s="26">
        <f t="shared" ref="AR2:AR33" si="5">100*(W2/($AJ2-$AD2*8/35.45))</f>
        <v>7.4392296818692794</v>
      </c>
      <c r="AS2" s="26">
        <f>100*(X2/($AJ2-$AD2*8/35.45))</f>
        <v>9.8734511530002944</v>
      </c>
      <c r="AT2" s="26">
        <f t="shared" ref="AT2:AT33" si="6">100*(Z2/($AJ2-$AD2*8/35.45))</f>
        <v>2.8905796689775589</v>
      </c>
      <c r="AU2" s="26">
        <f>100*(AD2/($AJ2-$AD2*8/35.45))</f>
        <v>0.84085631136960193</v>
      </c>
      <c r="AV2" s="26">
        <f t="shared" ref="AV2:AV65" si="7">SUM(AK2:AU2)</f>
        <v>100.18975600820754</v>
      </c>
      <c r="AW2" s="93"/>
      <c r="AX2" s="93"/>
      <c r="AY2" s="93"/>
      <c r="AZ2" s="93"/>
      <c r="BA2" s="103"/>
      <c r="BB2" s="103"/>
      <c r="BC2" s="99"/>
      <c r="BD2" s="99"/>
      <c r="BE2" s="26">
        <v>-6.2450000000000001</v>
      </c>
      <c r="BF2" s="16"/>
      <c r="BG2" s="16">
        <v>695</v>
      </c>
      <c r="BH2" s="16"/>
      <c r="BI2" s="16"/>
      <c r="BJ2" s="16"/>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28"/>
      <c r="DW2" s="28"/>
      <c r="DX2" s="28"/>
      <c r="DY2" s="28"/>
      <c r="DZ2" s="28"/>
      <c r="EA2" s="28"/>
      <c r="EB2" s="28"/>
      <c r="EC2" s="28"/>
      <c r="ED2" s="28"/>
      <c r="EE2" s="28"/>
      <c r="EF2" s="28"/>
      <c r="EG2" s="28"/>
      <c r="EH2" s="28"/>
      <c r="EI2" s="28"/>
      <c r="EJ2" s="18"/>
      <c r="EK2" s="18"/>
      <c r="EL2" s="18">
        <f>IFERROR(CR2/'McDonough &amp; Sun 1995 values'!C$2,)</f>
        <v>0</v>
      </c>
      <c r="EM2" s="18">
        <f>IFERROR(CH2/'McDonough &amp; Sun 1995 values'!D$2,)</f>
        <v>0</v>
      </c>
      <c r="EN2" s="18">
        <f>IFERROR(CS2/'McDonough &amp; Sun 1995 values'!E$2,)</f>
        <v>0</v>
      </c>
      <c r="EO2" s="18">
        <f>IFERROR(DL2/'McDonough &amp; Sun 1995 values'!F$2,)</f>
        <v>0</v>
      </c>
      <c r="EP2" s="18">
        <f>IFERROR(DM2/'McDonough &amp; Sun 1995 values'!G$2,)</f>
        <v>0</v>
      </c>
      <c r="EQ2" s="18">
        <f>IFERROR(BR2/'McDonough &amp; Sun 1995 values'!H$2,)</f>
        <v>0</v>
      </c>
      <c r="ER2" s="18">
        <f>IFERROR(DI2/'McDonough &amp; Sun 1995 values'!I$2,)</f>
        <v>0</v>
      </c>
      <c r="ES2" s="18">
        <f>IFERROR(CM2/'McDonough &amp; Sun 1995 values'!J$2,)</f>
        <v>0</v>
      </c>
      <c r="ET2" s="18">
        <f>IFERROR(CU2/'McDonough &amp; Sun 1995 values'!K$2,)</f>
        <v>0</v>
      </c>
      <c r="EU2" s="18">
        <f>IFERROR(CV2/'McDonough &amp; Sun 1995 values'!L$2,)</f>
        <v>0</v>
      </c>
      <c r="EV2" s="18">
        <f>IFERROR(CW2/'McDonough &amp; Sun 1995 values'!M$2,)</f>
        <v>0</v>
      </c>
      <c r="EW2" s="18">
        <f>IFERROR(CI2/'McDonough &amp; Sun 1995 values'!N$2,)</f>
        <v>0</v>
      </c>
      <c r="EX2" s="18">
        <f>IFERROR(CX2/'McDonough &amp; Sun 1995 values'!O$2,)</f>
        <v>0</v>
      </c>
      <c r="EY2" s="18">
        <f>IFERROR(CY2/'McDonough &amp; Sun 1995 values'!P$2,)</f>
        <v>0</v>
      </c>
      <c r="EZ2" s="18">
        <f>IFERROR(DH2/'McDonough &amp; Sun 1995 values'!Q$2,)</f>
        <v>0</v>
      </c>
      <c r="FA2" s="18">
        <f>IFERROR(CK2/'McDonough &amp; Sun 1995 values'!R$2,)</f>
        <v>0</v>
      </c>
      <c r="FB2" s="18">
        <f>IFERROR(CZ2/'McDonough &amp; Sun 1995 values'!S$2,)</f>
        <v>0</v>
      </c>
      <c r="FC2" s="18">
        <f>IFERROR(BT2/'McDonough &amp; Sun 1995 values'!T$2,)</f>
        <v>0</v>
      </c>
      <c r="FD2" s="18">
        <f>IFERROR(DA2/'McDonough &amp; Sun 1995 values'!U$2,)</f>
        <v>0</v>
      </c>
      <c r="FE2" s="18">
        <f>IFERROR(DN2/'McDonough &amp; Sun 1995 values'!V$2,)</f>
        <v>0</v>
      </c>
      <c r="FF2" s="18">
        <f>IFERROR(DB2/'McDonough &amp; Sun 1995 values'!W$2,)</f>
        <v>0</v>
      </c>
      <c r="FG2" s="18">
        <f>IFERROR(CJ2/'McDonough &amp; Sun 1995 values'!X$2,)</f>
        <v>0</v>
      </c>
      <c r="FH2" s="18">
        <f>IFERROR(DC2/'McDonough &amp; Sun 1995 values'!Y$2,)</f>
        <v>0</v>
      </c>
      <c r="FI2" s="18">
        <f>IFERROR(DD2/'McDonough &amp; Sun 1995 values'!Z$2,)</f>
        <v>0</v>
      </c>
      <c r="FJ2" s="18">
        <f>IFERROR(DE2/'McDonough &amp; Sun 1995 values'!AA$2,)</f>
        <v>0</v>
      </c>
      <c r="FK2" s="18">
        <f>IFERROR(DF2/'McDonough &amp; Sun 1995 values'!AB$2,)</f>
        <v>0</v>
      </c>
      <c r="FL2" s="18">
        <f>IFERROR(DG2/'McDonough &amp; Sun 1995 values'!AC$2,)</f>
        <v>0</v>
      </c>
      <c r="FN2" s="28">
        <f>IFERROR(EP2/EQ2,)</f>
        <v>0</v>
      </c>
      <c r="FO2" s="4">
        <f t="shared" ref="FO2:FO33" si="8">IFERROR(EN2/EP2,)</f>
        <v>0</v>
      </c>
      <c r="FP2" s="4">
        <f t="shared" ref="FP2:FP33" si="9">IFERROR(EO2/ES2,)</f>
        <v>0</v>
      </c>
      <c r="FQ2" s="4">
        <f t="shared" ref="FQ2:FQ33" si="10">IFERROR(EO2/EP2,)</f>
        <v>0</v>
      </c>
      <c r="FR2" s="4">
        <f t="shared" ref="FR2:FR33" si="11">IFERROR(ET2/ES2,)</f>
        <v>0</v>
      </c>
      <c r="FS2" s="4">
        <f t="shared" ref="FS2:FS33" si="12">IFERROR(ET2/ER2,)</f>
        <v>0</v>
      </c>
      <c r="FT2" s="4">
        <f t="shared" ref="FT2:FT33" si="13">IFERROR(EM2/EL2,)</f>
        <v>0</v>
      </c>
      <c r="FU2" s="4">
        <f t="shared" ref="FU2:FU33" si="14">IFERROR(ER2/ES2,)</f>
        <v>0</v>
      </c>
      <c r="FV2" s="4">
        <f t="shared" ref="FV2:FV33" si="15">IFERROR(FA2/EY2,)</f>
        <v>0</v>
      </c>
      <c r="FW2" s="4">
        <f t="shared" ref="FW2:FW33" si="16">IFERROR(FA2/EZ2,)</f>
        <v>0</v>
      </c>
      <c r="FX2" s="4">
        <f t="shared" ref="FX2:FX33" si="17">IFERROR(FB2/(0.5*FD2+0.5*EY2),)</f>
        <v>0</v>
      </c>
      <c r="FY2" s="4">
        <f t="shared" ref="FY2:FY33" si="18">IFERROR(EW2/SQRT(EV2*EX2),)</f>
        <v>0</v>
      </c>
      <c r="FZ2" s="4">
        <f t="shared" ref="FZ2:FZ33" si="19">IFERROR(FB2/SQRT(EY2*FD2),)</f>
        <v>0</v>
      </c>
      <c r="GA2" s="4">
        <f t="shared" ref="GA2:GA33" si="20">IFERROR(EW2/EV2,)</f>
        <v>0</v>
      </c>
      <c r="GB2" s="4">
        <f t="shared" ref="GB2:GB33" si="21">IFERROR(FB2/EY2,)</f>
        <v>0</v>
      </c>
      <c r="GC2" s="4">
        <f t="shared" ref="GC2:GC33" si="22">IFERROR(EL2/EM2,)</f>
        <v>0</v>
      </c>
      <c r="GD2" s="4">
        <f t="shared" ref="GD2:GD33" si="23">IFERROR(EN2/EO2,)</f>
        <v>0</v>
      </c>
      <c r="GE2" s="4">
        <f t="shared" ref="GE2:GE33" si="24">IFERROR(EN2/EM2,)</f>
        <v>0</v>
      </c>
      <c r="GF2" s="4">
        <f t="shared" ref="GF2:GF33" si="25">IFERROR(EN2/EQ2,)</f>
        <v>0</v>
      </c>
      <c r="GG2" s="4">
        <f t="shared" ref="GG2:GG33" si="26">IFERROR(EN2/ES2,)</f>
        <v>0</v>
      </c>
      <c r="GH2" s="4">
        <f t="shared" ref="GH2:GH33" si="27">IFERROR(ET2/EV2,)</f>
        <v>0</v>
      </c>
      <c r="GI2" s="4">
        <f t="shared" ref="GI2:GI33" si="28">IFERROR(ET2/EY2,)</f>
        <v>0</v>
      </c>
      <c r="GJ2" s="4">
        <f t="shared" ref="GJ2:GJ33" si="29">IFERROR(ET2/FF2,)</f>
        <v>0</v>
      </c>
      <c r="GK2" s="4">
        <f t="shared" ref="GK2:GK33" si="30">IFERROR(ET2/FK2,)</f>
        <v>0</v>
      </c>
      <c r="GL2" s="4">
        <f t="shared" ref="GL2:GL33" si="31">IFERROR(FA2/FC2,)</f>
        <v>0</v>
      </c>
      <c r="GM2" s="4">
        <f t="shared" ref="GM2:GM33" si="32">IFERROR(EO2/EM2,)</f>
        <v>0</v>
      </c>
      <c r="GN2" s="4">
        <f t="shared" ref="GN2:GN33" si="33">IFERROR(ES2/ET2,)</f>
        <v>0</v>
      </c>
      <c r="GO2" s="4">
        <f t="shared" ref="GO2:GO33" si="34">IFERROR(ES2/EP2,)</f>
        <v>0</v>
      </c>
      <c r="GP2" s="4">
        <f t="shared" ref="GP2:GP33" si="35">IFERROR(EQ2/EP2,)</f>
        <v>0</v>
      </c>
      <c r="GQ2" s="27">
        <f>AS2*10000/1.20462</f>
        <v>81963.201283394708</v>
      </c>
      <c r="GR2" s="28" t="str">
        <f>IFERROR(CR2/$BR2*$GQ2,"")</f>
        <v/>
      </c>
      <c r="GS2" s="28" t="str">
        <f t="shared" ref="GS2:GS33" si="36">IFERROR(CH2/$BR2*$GQ2,"")</f>
        <v/>
      </c>
      <c r="GT2" s="28" t="str">
        <f t="shared" ref="GT2:GT33" si="37">IFERROR(CS2/$BR2*$GQ2,"")</f>
        <v/>
      </c>
      <c r="GU2" s="28" t="str">
        <f t="shared" ref="GU2:GU33" si="38">IFERROR(DL2/$BR2*$GQ2,"")</f>
        <v/>
      </c>
      <c r="GV2" s="28" t="str">
        <f t="shared" ref="GV2:GV33" si="39">IFERROR(DM2/$BR2*$GQ2,"")</f>
        <v/>
      </c>
      <c r="GW2" s="28" t="str">
        <f t="shared" ref="GW2:GW33" si="40">IFERROR(BR2/$BR2*$GQ2,"")</f>
        <v/>
      </c>
      <c r="GX2" s="28" t="str">
        <f t="shared" ref="GX2:GX33" si="41">IFERROR(DI2/$BR2*$GQ2,"")</f>
        <v/>
      </c>
      <c r="GY2" s="28" t="str">
        <f t="shared" ref="GY2:GY33" si="42">IFERROR(CM2/$BR2*$GQ2,"")</f>
        <v/>
      </c>
      <c r="GZ2" s="28" t="str">
        <f t="shared" ref="GZ2:GZ33" si="43">IFERROR(CU2/$BR2*$GQ2,"")</f>
        <v/>
      </c>
      <c r="HA2" s="28" t="str">
        <f t="shared" ref="HA2:HA33" si="44">IFERROR(CV2/$BR2*$GQ2,"")</f>
        <v/>
      </c>
      <c r="HB2" s="28" t="str">
        <f t="shared" ref="HB2:HB33" si="45">IFERROR(CW2/$BR2*$GQ2,"")</f>
        <v/>
      </c>
      <c r="HC2" s="28" t="str">
        <f t="shared" ref="HC2:HC33" si="46">IFERROR(CI2/$BR2*$GQ2,"")</f>
        <v/>
      </c>
      <c r="HD2" s="28" t="str">
        <f t="shared" ref="HD2:HD33" si="47">IFERROR(CX2/$BR2*$GQ2,"")</f>
        <v/>
      </c>
      <c r="HE2" s="28" t="str">
        <f t="shared" ref="HE2:HE33" si="48">IFERROR(CY2/$BR2*$GQ2,"")</f>
        <v/>
      </c>
      <c r="HF2" s="28" t="str">
        <f t="shared" ref="HF2:HF33" si="49">IFERROR(DH2/$BR2*$GQ2,"")</f>
        <v/>
      </c>
      <c r="HG2" s="28" t="str">
        <f t="shared" ref="HG2:HG33" si="50">IFERROR(CK2/$BR2*$GQ2,"")</f>
        <v/>
      </c>
      <c r="HH2" s="28" t="str">
        <f t="shared" ref="HH2:HH33" si="51">IFERROR(CZ2/$BR2*$GQ2,"")</f>
        <v/>
      </c>
      <c r="HI2" s="28" t="str">
        <f t="shared" ref="HI2:HI33" si="52">IFERROR(BT2/$BR2*$GQ2,"")</f>
        <v/>
      </c>
      <c r="HJ2" s="28" t="str">
        <f t="shared" ref="HJ2:HJ33" si="53">IFERROR(DA2/$BR2*$GQ2,"")</f>
        <v/>
      </c>
      <c r="HK2" s="28" t="str">
        <f t="shared" ref="HK2:HK33" si="54">IFERROR(DN2/$BR2*$GQ2,"")</f>
        <v/>
      </c>
      <c r="HL2" s="28" t="str">
        <f t="shared" ref="HL2:HL33" si="55">IFERROR(DB2/$BR2*$GQ2,"")</f>
        <v/>
      </c>
      <c r="HM2" s="28" t="str">
        <f t="shared" ref="HM2:HM33" si="56">IFERROR(CJ2/$BR2*$GQ2,"")</f>
        <v/>
      </c>
      <c r="HN2" s="28" t="str">
        <f t="shared" ref="HN2:HN33" si="57">IFERROR(DC2/$BR2*$GQ2,"")</f>
        <v/>
      </c>
      <c r="HO2" s="28" t="str">
        <f t="shared" ref="HO2:HO33" si="58">IFERROR(DD2/$BR2*$GQ2,"")</f>
        <v/>
      </c>
      <c r="HP2" s="28" t="str">
        <f t="shared" ref="HP2:HP33" si="59">IFERROR(DE2/$BR2*$GQ2,"")</f>
        <v/>
      </c>
      <c r="HQ2" s="28" t="str">
        <f t="shared" ref="HQ2:HQ33" si="60">IFERROR(DF2/$BR2*$GQ2,"")</f>
        <v/>
      </c>
      <c r="HR2" s="28" t="str">
        <f t="shared" ref="HR2:HR33" si="61">IFERROR(DG2/$BR2*$GQ2,"")</f>
        <v/>
      </c>
      <c r="HT2" s="4">
        <f>IFERROR(GR2/'McDonough &amp; Sun 1995 values'!C$2,)</f>
        <v>0</v>
      </c>
      <c r="HU2" s="4">
        <f>IFERROR(GS2/'McDonough &amp; Sun 1995 values'!D$2,)</f>
        <v>0</v>
      </c>
      <c r="HV2" s="4">
        <f>IFERROR(GT2/'McDonough &amp; Sun 1995 values'!E$2,)</f>
        <v>0</v>
      </c>
      <c r="HW2" s="4">
        <f>IFERROR(GU2/'McDonough &amp; Sun 1995 values'!F$2,)</f>
        <v>0</v>
      </c>
      <c r="HX2" s="4">
        <f>IFERROR(GV2/'McDonough &amp; Sun 1995 values'!G$2,)</f>
        <v>0</v>
      </c>
      <c r="HY2" s="4">
        <f>IFERROR(GW2/'McDonough &amp; Sun 1995 values'!H$2,)</f>
        <v>0</v>
      </c>
      <c r="HZ2" s="4">
        <f>IFERROR(GX2/'McDonough &amp; Sun 1995 values'!I$2,)</f>
        <v>0</v>
      </c>
      <c r="IA2" s="4">
        <f>IFERROR(GY2/'McDonough &amp; Sun 1995 values'!J$2,)</f>
        <v>0</v>
      </c>
      <c r="IB2" s="4">
        <f>IFERROR(GZ2/'McDonough &amp; Sun 1995 values'!K$2,)</f>
        <v>0</v>
      </c>
      <c r="IC2" s="4">
        <f>IFERROR(HA2/'McDonough &amp; Sun 1995 values'!L$2,)</f>
        <v>0</v>
      </c>
      <c r="ID2" s="4">
        <f>IFERROR(HB2/'McDonough &amp; Sun 1995 values'!M$2,)</f>
        <v>0</v>
      </c>
      <c r="IE2" s="4">
        <f>IFERROR(HC2/'McDonough &amp; Sun 1995 values'!N$2,)</f>
        <v>0</v>
      </c>
      <c r="IF2" s="4">
        <f>IFERROR(HD2/'McDonough &amp; Sun 1995 values'!O$2,)</f>
        <v>0</v>
      </c>
      <c r="IG2" s="4">
        <f>IFERROR(HE2/'McDonough &amp; Sun 1995 values'!P$2,)</f>
        <v>0</v>
      </c>
      <c r="IH2" s="4">
        <f>IFERROR(HF2/'McDonough &amp; Sun 1995 values'!Q$2,)</f>
        <v>0</v>
      </c>
      <c r="II2" s="4">
        <f>IFERROR(HG2/'McDonough &amp; Sun 1995 values'!R$2,)</f>
        <v>0</v>
      </c>
      <c r="IJ2" s="4">
        <f>IFERROR(HH2/'McDonough &amp; Sun 1995 values'!S$2,)</f>
        <v>0</v>
      </c>
      <c r="IK2" s="4">
        <f>IFERROR(HI2/'McDonough &amp; Sun 1995 values'!T$2,)</f>
        <v>0</v>
      </c>
      <c r="IL2" s="4">
        <f>IFERROR(HJ2/'McDonough &amp; Sun 1995 values'!U$2,)</f>
        <v>0</v>
      </c>
      <c r="IM2" s="4">
        <f>IFERROR(HK2/'McDonough &amp; Sun 1995 values'!V$2,)</f>
        <v>0</v>
      </c>
      <c r="IN2" s="4">
        <f>IFERROR(HL2/'McDonough &amp; Sun 1995 values'!W$2,)</f>
        <v>0</v>
      </c>
      <c r="IO2" s="4">
        <f>IFERROR(HM2/'McDonough &amp; Sun 1995 values'!X$2,)</f>
        <v>0</v>
      </c>
      <c r="IP2" s="4">
        <f>IFERROR(HN2/'McDonough &amp; Sun 1995 values'!Y$2,)</f>
        <v>0</v>
      </c>
      <c r="IQ2" s="4">
        <f>IFERROR(HO2/'McDonough &amp; Sun 1995 values'!Z$2,)</f>
        <v>0</v>
      </c>
      <c r="IR2" s="4">
        <f>IFERROR(HP2/'McDonough &amp; Sun 1995 values'!AA$2,)</f>
        <v>0</v>
      </c>
      <c r="IS2" s="4">
        <f>IFERROR(HQ2/'McDonough &amp; Sun 1995 values'!AB$2,)</f>
        <v>0</v>
      </c>
      <c r="IT2" s="4">
        <f>IFERROR(HR2/'McDonough &amp; Sun 1995 values'!AC$2,)</f>
        <v>0</v>
      </c>
    </row>
    <row r="3" spans="1:254">
      <c r="A3" s="16" t="s">
        <v>771</v>
      </c>
      <c r="B3" s="16" t="s">
        <v>24</v>
      </c>
      <c r="C3" s="16" t="str">
        <f t="shared" si="0"/>
        <v>high-Mg carbonatitic</v>
      </c>
      <c r="D3" s="16" t="s">
        <v>25</v>
      </c>
      <c r="E3" s="16" t="s">
        <v>1394</v>
      </c>
      <c r="F3" s="16" t="s">
        <v>97</v>
      </c>
      <c r="G3" s="16" t="s">
        <v>595</v>
      </c>
      <c r="H3" s="27">
        <v>118</v>
      </c>
      <c r="I3" s="16" t="s">
        <v>735</v>
      </c>
      <c r="J3" s="16" t="s">
        <v>635</v>
      </c>
      <c r="K3" s="16" t="s">
        <v>760</v>
      </c>
      <c r="L3" s="16" t="s">
        <v>709</v>
      </c>
      <c r="M3" s="16" t="s">
        <v>753</v>
      </c>
      <c r="N3" s="16">
        <v>34</v>
      </c>
      <c r="O3" s="26">
        <v>7.6</v>
      </c>
      <c r="P3" s="26">
        <v>1</v>
      </c>
      <c r="Q3" s="26"/>
      <c r="R3" s="26">
        <v>1</v>
      </c>
      <c r="S3" s="26">
        <v>6.7</v>
      </c>
      <c r="T3" s="26">
        <v>24.1</v>
      </c>
      <c r="U3" s="26"/>
      <c r="V3" s="26">
        <v>20.2</v>
      </c>
      <c r="W3" s="26">
        <v>3.5</v>
      </c>
      <c r="X3" s="26">
        <v>26</v>
      </c>
      <c r="Y3" s="26"/>
      <c r="Z3" s="26">
        <v>2.4</v>
      </c>
      <c r="AA3" s="26"/>
      <c r="AB3" s="26">
        <v>4.4000000000000004</v>
      </c>
      <c r="AC3" s="26"/>
      <c r="AD3" s="26">
        <v>4</v>
      </c>
      <c r="AE3" s="26"/>
      <c r="AF3" s="26"/>
      <c r="AG3" s="26"/>
      <c r="AH3" s="26"/>
      <c r="AI3" s="26">
        <v>23.1</v>
      </c>
      <c r="AJ3" s="26">
        <f t="shared" ref="AJ3:AJ65" si="62">SUM(O3:P3,R3:T3,V3:X3,Z3,AB3,AD3)</f>
        <v>100.90000000000002</v>
      </c>
      <c r="AK3" s="26">
        <f t="shared" ref="AK3:AK33" si="63">100*(O3/($AJ3-$AD3*8/35.45))</f>
        <v>7.6002036725948905</v>
      </c>
      <c r="AL3" s="26">
        <f t="shared" si="1"/>
        <v>1.0000267990256435</v>
      </c>
      <c r="AM3" s="26">
        <f t="shared" si="2"/>
        <v>1.0000267990256435</v>
      </c>
      <c r="AN3" s="26">
        <f t="shared" ref="AN3:AN33" si="64">100*(S3/($AJ3-$AD3*8/35.45))</f>
        <v>6.7001795534718118</v>
      </c>
      <c r="AO3" s="26">
        <f t="shared" ref="AO3:AO33" si="65">100*(T3/($AJ3-$AD3*8/35.45))</f>
        <v>24.100645856518014</v>
      </c>
      <c r="AP3" s="26">
        <f t="shared" si="3"/>
        <v>20.200541340318001</v>
      </c>
      <c r="AQ3" s="26">
        <f t="shared" si="4"/>
        <v>4.4001179157128325</v>
      </c>
      <c r="AR3" s="26">
        <f t="shared" si="5"/>
        <v>3.5000937965897525</v>
      </c>
      <c r="AS3" s="26">
        <f t="shared" ref="AS3:AS33" si="66">100*(X3/($AJ3-$AD3*8/35.45))</f>
        <v>26.000696774666736</v>
      </c>
      <c r="AT3" s="26">
        <f t="shared" si="6"/>
        <v>2.4000643176615446</v>
      </c>
      <c r="AU3" s="26">
        <f t="shared" ref="AU3:AU33" si="67">100*(AD3/($AJ3-$AD3*8/35.45))</f>
        <v>4.000107196102574</v>
      </c>
      <c r="AV3" s="26">
        <f t="shared" si="7"/>
        <v>100.90270402168744</v>
      </c>
      <c r="AW3" s="26">
        <v>30.2</v>
      </c>
      <c r="AX3" s="26">
        <v>12.9</v>
      </c>
      <c r="AY3" s="94"/>
      <c r="AZ3" s="94"/>
      <c r="BA3" s="26">
        <v>0.49</v>
      </c>
      <c r="BB3" s="26"/>
      <c r="BC3" s="26">
        <f>(AX3/18.02)/((AX3/18.02)+(AW3/44.01))</f>
        <v>0.51057842513892471</v>
      </c>
      <c r="BD3" s="26">
        <f>(AW3/44.01)/((AX3/18.02)+(AW3/44.01))</f>
        <v>0.48942157486107518</v>
      </c>
      <c r="BE3" s="16"/>
      <c r="BF3" s="16"/>
      <c r="BG3" s="16">
        <v>490</v>
      </c>
      <c r="BH3" s="16">
        <v>26</v>
      </c>
      <c r="BI3" s="16"/>
      <c r="BJ3" s="16"/>
      <c r="BK3" s="18"/>
      <c r="BL3" s="18"/>
      <c r="BM3" s="18"/>
      <c r="BN3" s="18">
        <v>0</v>
      </c>
      <c r="BO3" s="18">
        <v>0</v>
      </c>
      <c r="BP3" s="18">
        <v>0</v>
      </c>
      <c r="BQ3" s="18">
        <v>0</v>
      </c>
      <c r="BR3" s="18">
        <v>264</v>
      </c>
      <c r="BS3" s="18"/>
      <c r="BT3" s="18">
        <v>3</v>
      </c>
      <c r="BU3" s="18">
        <v>0</v>
      </c>
      <c r="BV3" s="18">
        <v>0</v>
      </c>
      <c r="BW3" s="18">
        <v>0</v>
      </c>
      <c r="BX3" s="18">
        <v>0</v>
      </c>
      <c r="BY3" s="18"/>
      <c r="BZ3" s="18"/>
      <c r="CA3" s="18"/>
      <c r="CB3" s="18"/>
      <c r="CC3" s="18"/>
      <c r="CD3" s="18"/>
      <c r="CE3" s="18"/>
      <c r="CF3" s="18"/>
      <c r="CG3" s="18"/>
      <c r="CH3" s="18">
        <v>0.49</v>
      </c>
      <c r="CI3" s="18">
        <v>2.8</v>
      </c>
      <c r="CJ3" s="18">
        <v>3.6999999999999998E-2</v>
      </c>
      <c r="CK3" s="18">
        <v>0.23</v>
      </c>
      <c r="CL3" s="18"/>
      <c r="CM3" s="18">
        <v>0.14000000000000001</v>
      </c>
      <c r="CN3" s="18"/>
      <c r="CO3" s="18"/>
      <c r="CP3" s="18"/>
      <c r="CQ3" s="18"/>
      <c r="CR3" s="18">
        <v>4.9000000000000002E-2</v>
      </c>
      <c r="CS3" s="18">
        <v>43</v>
      </c>
      <c r="CT3" s="18">
        <v>0</v>
      </c>
      <c r="CU3" s="18">
        <v>0.31</v>
      </c>
      <c r="CV3" s="18">
        <v>0.76</v>
      </c>
      <c r="CW3" s="18">
        <v>0.17</v>
      </c>
      <c r="CX3" s="18">
        <v>1.1000000000000001</v>
      </c>
      <c r="CY3" s="18">
        <v>0.09</v>
      </c>
      <c r="CZ3" s="18">
        <v>1.0999999999999999E-2</v>
      </c>
      <c r="DA3" s="18">
        <v>2.5999999999999999E-2</v>
      </c>
      <c r="DB3" s="18">
        <v>1.7000000000000001E-2</v>
      </c>
      <c r="DC3" s="18">
        <v>4.0000000000000001E-3</v>
      </c>
      <c r="DD3" s="18">
        <v>1.9E-2</v>
      </c>
      <c r="DE3" s="18"/>
      <c r="DF3" s="18">
        <v>0.01</v>
      </c>
      <c r="DG3" s="18">
        <v>3.0000000000000001E-3</v>
      </c>
      <c r="DH3" s="18">
        <v>1.0999999999999999E-2</v>
      </c>
      <c r="DI3" s="18">
        <v>6.0000000000000001E-3</v>
      </c>
      <c r="DJ3" s="18"/>
      <c r="DK3" s="18"/>
      <c r="DL3" s="18">
        <v>6.2E-2</v>
      </c>
      <c r="DM3" s="18">
        <v>3.6999999999999998E-2</v>
      </c>
      <c r="DN3" s="18"/>
      <c r="DO3" s="18"/>
      <c r="DP3" s="18"/>
      <c r="DQ3" s="18"/>
      <c r="DR3" s="18"/>
      <c r="DS3" s="18"/>
      <c r="DT3" s="18"/>
      <c r="DU3" s="18"/>
      <c r="DV3" s="28"/>
      <c r="DW3" s="28"/>
      <c r="DX3" s="28"/>
      <c r="DY3" s="28"/>
      <c r="DZ3" s="28"/>
      <c r="EA3" s="28"/>
      <c r="EB3" s="28"/>
      <c r="EC3" s="28"/>
      <c r="ED3" s="28"/>
      <c r="EE3" s="28"/>
      <c r="EF3" s="28"/>
      <c r="EG3" s="28"/>
      <c r="EH3" s="28"/>
      <c r="EI3" s="28"/>
      <c r="EJ3" s="18"/>
      <c r="EK3" s="18"/>
      <c r="EL3" s="18">
        <f>IFERROR(CR3/'McDonough &amp; Sun 1995 values'!C$2,)</f>
        <v>2.3333333333333335</v>
      </c>
      <c r="EM3" s="18">
        <f>IFERROR(CH3/'McDonough &amp; Sun 1995 values'!D$2,)</f>
        <v>0.81666666666666665</v>
      </c>
      <c r="EN3" s="18">
        <f>IFERROR(CS3/'McDonough &amp; Sun 1995 values'!E$2,)</f>
        <v>6.5151515151515156</v>
      </c>
      <c r="EO3" s="18">
        <f>IFERROR(DL3/'McDonough &amp; Sun 1995 values'!F$2,)</f>
        <v>0.77987421383647793</v>
      </c>
      <c r="EP3" s="18">
        <f>IFERROR(DM3/'McDonough &amp; Sun 1995 values'!G$2,)</f>
        <v>1.8226600985221675</v>
      </c>
      <c r="EQ3" s="18">
        <f>IFERROR(BR3/'McDonough &amp; Sun 1995 values'!H$2,)</f>
        <v>1.1000000000000001</v>
      </c>
      <c r="ER3" s="18">
        <f>IFERROR(DI3/'McDonough &amp; Sun 1995 values'!I$2,)</f>
        <v>0.16216216216216217</v>
      </c>
      <c r="ES3" s="18">
        <f>IFERROR(CM3/'McDonough &amp; Sun 1995 values'!J$2,)</f>
        <v>0.21276595744680851</v>
      </c>
      <c r="ET3" s="18">
        <f>IFERROR(CU3/'McDonough &amp; Sun 1995 values'!K$2,)</f>
        <v>0.47839506172839502</v>
      </c>
      <c r="EU3" s="18">
        <f>IFERROR(CV3/'McDonough &amp; Sun 1995 values'!L$2,)</f>
        <v>0.45373134328358206</v>
      </c>
      <c r="EV3" s="18">
        <f>IFERROR(CW3/'McDonough &amp; Sun 1995 values'!M$2,)</f>
        <v>0.6692913385826772</v>
      </c>
      <c r="EW3" s="18">
        <f>IFERROR(CI3/'McDonough &amp; Sun 1995 values'!N$2,)</f>
        <v>0.1407035175879397</v>
      </c>
      <c r="EX3" s="18">
        <f>IFERROR(CX3/'McDonough &amp; Sun 1995 values'!O$2,)</f>
        <v>0.88000000000000012</v>
      </c>
      <c r="EY3" s="18">
        <f>IFERROR(CY3/'McDonough &amp; Sun 1995 values'!P$2,)</f>
        <v>0.22167487684729062</v>
      </c>
      <c r="EZ3" s="18">
        <f>IFERROR(DH3/'McDonough &amp; Sun 1995 values'!Q$2,)</f>
        <v>3.8869257950530034E-2</v>
      </c>
      <c r="FA3" s="18">
        <f>IFERROR(CK3/'McDonough &amp; Sun 1995 values'!R$2,)</f>
        <v>2.1904761904761906E-2</v>
      </c>
      <c r="FB3" s="18">
        <f>IFERROR(CZ3/'McDonough &amp; Sun 1995 values'!S$2,)</f>
        <v>7.1428571428571425E-2</v>
      </c>
      <c r="FC3" s="18">
        <f>IFERROR(BT3/'McDonough &amp; Sun 1995 values'!T$2,)</f>
        <v>2.4896265560165973E-3</v>
      </c>
      <c r="FD3" s="18">
        <f>IFERROR(DA3/'McDonough &amp; Sun 1995 values'!U$2,)</f>
        <v>4.779411764705882E-2</v>
      </c>
      <c r="FE3" s="18">
        <f>IFERROR(DN3/'McDonough &amp; Sun 1995 values'!V$2,)</f>
        <v>0</v>
      </c>
      <c r="FF3" s="18">
        <f>IFERROR(DB3/'McDonough &amp; Sun 1995 values'!W$2,)</f>
        <v>2.5222551928783383E-2</v>
      </c>
      <c r="FG3" s="18">
        <f>IFERROR(CJ3/'McDonough &amp; Sun 1995 values'!X$2,)</f>
        <v>8.6046511627906972E-3</v>
      </c>
      <c r="FH3" s="18">
        <f>IFERROR(DC3/'McDonough &amp; Sun 1995 values'!Y$2,)</f>
        <v>2.684563758389262E-2</v>
      </c>
      <c r="FI3" s="18">
        <f>IFERROR(DD3/'McDonough &amp; Sun 1995 values'!Z$2,)</f>
        <v>4.3378995433789952E-2</v>
      </c>
      <c r="FJ3" s="18">
        <f>IFERROR(DE3/'McDonough &amp; Sun 1995 values'!AA$2,)</f>
        <v>0</v>
      </c>
      <c r="FK3" s="18">
        <f>IFERROR(DF3/'McDonough &amp; Sun 1995 values'!AB$2,)</f>
        <v>2.2675736961451247E-2</v>
      </c>
      <c r="FL3" s="18">
        <f>IFERROR(DG3/'McDonough &amp; Sun 1995 values'!AC$2,)</f>
        <v>4.4444444444444439E-2</v>
      </c>
      <c r="FN3" s="28">
        <f>IFERROR(EP3/EQ3,)</f>
        <v>1.6569637259292431</v>
      </c>
      <c r="FO3" s="4">
        <f t="shared" si="8"/>
        <v>3.574529074529075</v>
      </c>
      <c r="FP3" s="4">
        <f t="shared" si="9"/>
        <v>3.6654088050314462</v>
      </c>
      <c r="FQ3" s="4">
        <f t="shared" si="10"/>
        <v>0.42787693353731088</v>
      </c>
      <c r="FR3" s="4">
        <f t="shared" si="11"/>
        <v>2.2484567901234565</v>
      </c>
      <c r="FS3" s="4">
        <f t="shared" si="12"/>
        <v>2.9501028806584357</v>
      </c>
      <c r="FT3" s="4">
        <f t="shared" si="13"/>
        <v>0.35</v>
      </c>
      <c r="FU3" s="4">
        <f t="shared" si="14"/>
        <v>0.76216216216216215</v>
      </c>
      <c r="FV3" s="4">
        <f t="shared" si="15"/>
        <v>9.8814814814814828E-2</v>
      </c>
      <c r="FW3" s="4">
        <f t="shared" si="16"/>
        <v>0.56354978354978358</v>
      </c>
      <c r="FX3" s="4">
        <f t="shared" si="17"/>
        <v>0.53014315478190732</v>
      </c>
      <c r="FY3" s="4">
        <f t="shared" si="18"/>
        <v>0.18333948896581792</v>
      </c>
      <c r="FZ3" s="4">
        <f t="shared" si="19"/>
        <v>0.69394731901123552</v>
      </c>
      <c r="GA3" s="4">
        <f t="shared" si="20"/>
        <v>0.21022760863139225</v>
      </c>
      <c r="GB3" s="4">
        <f t="shared" si="21"/>
        <v>0.32222222222222224</v>
      </c>
      <c r="GC3" s="4">
        <f t="shared" si="22"/>
        <v>2.8571428571428572</v>
      </c>
      <c r="GD3" s="4">
        <f t="shared" si="23"/>
        <v>8.3541055718475086</v>
      </c>
      <c r="GE3" s="4">
        <f t="shared" si="24"/>
        <v>7.9777365491651215</v>
      </c>
      <c r="GF3" s="4">
        <f t="shared" si="25"/>
        <v>5.9228650137741043</v>
      </c>
      <c r="GG3" s="4">
        <f t="shared" si="26"/>
        <v>30.621212121212125</v>
      </c>
      <c r="GH3" s="4">
        <f t="shared" si="27"/>
        <v>0.71477850399419018</v>
      </c>
      <c r="GI3" s="4">
        <f t="shared" si="28"/>
        <v>2.1580932784636491</v>
      </c>
      <c r="GJ3" s="4">
        <f t="shared" si="29"/>
        <v>18.966957153231661</v>
      </c>
      <c r="GK3" s="4">
        <f t="shared" si="30"/>
        <v>21.097222222222221</v>
      </c>
      <c r="GL3" s="4">
        <f t="shared" si="31"/>
        <v>8.7984126984126991</v>
      </c>
      <c r="GM3" s="4">
        <f t="shared" si="32"/>
        <v>0.9549480169426261</v>
      </c>
      <c r="GN3" s="4">
        <f t="shared" si="33"/>
        <v>0.44474948524365138</v>
      </c>
      <c r="GO3" s="4">
        <f t="shared" si="34"/>
        <v>0.11673375503162738</v>
      </c>
      <c r="GP3" s="4">
        <f t="shared" si="35"/>
        <v>0.60351351351351357</v>
      </c>
      <c r="GQ3" s="27">
        <f>AS3*10000/1.20462</f>
        <v>215841.4834110901</v>
      </c>
      <c r="GR3" s="28">
        <f>IFERROR(CR3/$BR3*$GQ3,"")</f>
        <v>40.061487451300813</v>
      </c>
      <c r="GS3" s="28">
        <f t="shared" si="36"/>
        <v>400.61487451300815</v>
      </c>
      <c r="GT3" s="28">
        <f t="shared" si="37"/>
        <v>35155.999191957853</v>
      </c>
      <c r="GU3" s="28">
        <f t="shared" si="38"/>
        <v>50.69004534654389</v>
      </c>
      <c r="GV3" s="28">
        <f t="shared" si="39"/>
        <v>30.250510932614901</v>
      </c>
      <c r="GW3" s="28">
        <f t="shared" si="40"/>
        <v>215841.4834110901</v>
      </c>
      <c r="GX3" s="28">
        <f t="shared" si="41"/>
        <v>4.905488259342957</v>
      </c>
      <c r="GY3" s="28">
        <f t="shared" si="42"/>
        <v>114.46139271800234</v>
      </c>
      <c r="GZ3" s="28">
        <f t="shared" si="43"/>
        <v>253.45022673271941</v>
      </c>
      <c r="HA3" s="28">
        <f t="shared" si="44"/>
        <v>621.36184618344112</v>
      </c>
      <c r="HB3" s="28">
        <f t="shared" si="45"/>
        <v>138.98883401471713</v>
      </c>
      <c r="HC3" s="28">
        <f t="shared" si="46"/>
        <v>2289.2278543600464</v>
      </c>
      <c r="HD3" s="28">
        <f t="shared" si="47"/>
        <v>899.33951421287543</v>
      </c>
      <c r="HE3" s="28">
        <f t="shared" si="48"/>
        <v>73.582323890144352</v>
      </c>
      <c r="HF3" s="28">
        <f t="shared" si="49"/>
        <v>8.9933951421287546</v>
      </c>
      <c r="HG3" s="28">
        <f t="shared" si="50"/>
        <v>188.0437166081467</v>
      </c>
      <c r="HH3" s="28">
        <f t="shared" si="51"/>
        <v>8.9933951421287546</v>
      </c>
      <c r="HI3" s="28">
        <f t="shared" si="52"/>
        <v>2452.7441296714783</v>
      </c>
      <c r="HJ3" s="28">
        <f t="shared" si="53"/>
        <v>21.257115790486143</v>
      </c>
      <c r="HK3" s="28">
        <f t="shared" si="54"/>
        <v>0</v>
      </c>
      <c r="HL3" s="28">
        <f t="shared" si="55"/>
        <v>13.898883401471712</v>
      </c>
      <c r="HM3" s="28">
        <f t="shared" si="56"/>
        <v>30.250510932614901</v>
      </c>
      <c r="HN3" s="28">
        <f t="shared" si="57"/>
        <v>3.2703255062286378</v>
      </c>
      <c r="HO3" s="28">
        <f t="shared" si="58"/>
        <v>15.534046154586029</v>
      </c>
      <c r="HP3" s="28">
        <f t="shared" si="59"/>
        <v>0</v>
      </c>
      <c r="HQ3" s="28">
        <f t="shared" si="60"/>
        <v>8.1758137655715952</v>
      </c>
      <c r="HR3" s="28">
        <f t="shared" si="61"/>
        <v>2.4527441296714785</v>
      </c>
      <c r="HT3" s="4">
        <f>IFERROR(GR3/'McDonough &amp; Sun 1995 values'!C$2,)</f>
        <v>1907.689878633372</v>
      </c>
      <c r="HU3" s="4">
        <f>IFERROR(GS3/'McDonough &amp; Sun 1995 values'!D$2,)</f>
        <v>667.69145752168026</v>
      </c>
      <c r="HV3" s="4">
        <f>IFERROR(GT3/'McDonough &amp; Sun 1995 values'!E$2,)</f>
        <v>5326.666544236039</v>
      </c>
      <c r="HW3" s="4">
        <f>IFERROR(GU3/'McDonough &amp; Sun 1995 values'!F$2,)</f>
        <v>637.61063328986029</v>
      </c>
      <c r="HX3" s="4">
        <f>IFERROR(GV3/'McDonough &amp; Sun 1995 values'!G$2,)</f>
        <v>1490.1729523455617</v>
      </c>
      <c r="HY3" s="4">
        <f>IFERROR(GW3/'McDonough &amp; Sun 1995 values'!H$2,)</f>
        <v>899.33951421287543</v>
      </c>
      <c r="HZ3" s="4">
        <f>IFERROR(GX3/'McDonough &amp; Sun 1995 values'!I$2,)</f>
        <v>132.58076376602588</v>
      </c>
      <c r="IA3" s="4">
        <f>IFERROR(GY3/'McDonough &amp; Sun 1995 values'!J$2,)</f>
        <v>173.95348437386374</v>
      </c>
      <c r="IB3" s="4">
        <f>IFERROR(GZ3/'McDonough &amp; Sun 1995 values'!K$2,)</f>
        <v>391.12689310604844</v>
      </c>
      <c r="IC3" s="4">
        <f>IFERROR(HA3/'McDonough &amp; Sun 1995 values'!L$2,)</f>
        <v>370.96229622892008</v>
      </c>
      <c r="ID3" s="4">
        <f>IFERROR(HB3/'McDonough &amp; Sun 1995 values'!M$2,)</f>
        <v>547.20013391620921</v>
      </c>
      <c r="IE3" s="4">
        <f>IFERROR(HC3/'McDonough &amp; Sun 1995 values'!N$2,)</f>
        <v>115.03657559598224</v>
      </c>
      <c r="IF3" s="4">
        <f>IFERROR(HD3/'McDonough &amp; Sun 1995 values'!O$2,)</f>
        <v>719.47161137030037</v>
      </c>
      <c r="IG3" s="4">
        <f>IFERROR(HE3/'McDonough &amp; Sun 1995 values'!P$2,)</f>
        <v>181.23725096094665</v>
      </c>
      <c r="IH3" s="4">
        <f>IFERROR(HF3/'McDonough &amp; Sun 1995 values'!Q$2,)</f>
        <v>31.778781420949667</v>
      </c>
      <c r="II3" s="4">
        <f>IFERROR(HG3/'McDonough &amp; Sun 1995 values'!R$2,)</f>
        <v>17.908925391252065</v>
      </c>
      <c r="IJ3" s="4">
        <f>IFERROR(HH3/'McDonough &amp; Sun 1995 values'!S$2,)</f>
        <v>58.398669754082825</v>
      </c>
      <c r="IK3" s="4">
        <f>IFERROR(HI3/'McDonough &amp; Sun 1995 values'!T$2,)</f>
        <v>2.0354723067813096</v>
      </c>
      <c r="IL3" s="4">
        <f>IFERROR(HJ3/'McDonough &amp; Sun 1995 values'!U$2,)</f>
        <v>39.075580497217175</v>
      </c>
      <c r="IM3" s="4">
        <f>IFERROR(HK3/'McDonough &amp; Sun 1995 values'!V$2,)</f>
        <v>0</v>
      </c>
      <c r="IN3" s="4">
        <f>IFERROR(HL3/'McDonough &amp; Sun 1995 values'!W$2,)</f>
        <v>20.621488726219155</v>
      </c>
      <c r="IO3" s="4">
        <f>IFERROR(HM3/'McDonough &amp; Sun 1995 values'!X$2,)</f>
        <v>7.0350025424685816</v>
      </c>
      <c r="IP3" s="4">
        <f>IFERROR(HN3/'McDonough &amp; Sun 1995 values'!Y$2,)</f>
        <v>21.948493330393543</v>
      </c>
      <c r="IQ3" s="4">
        <f>IFERROR(HO3/'McDonough &amp; Sun 1995 values'!Z$2,)</f>
        <v>35.465858800424726</v>
      </c>
      <c r="IR3" s="4">
        <f>IFERROR(HP3/'McDonough &amp; Sun 1995 values'!AA$2,)</f>
        <v>0</v>
      </c>
      <c r="IS3" s="4">
        <f>IFERROR(HQ3/'McDonough &amp; Sun 1995 values'!AB$2,)</f>
        <v>18.539260239391371</v>
      </c>
      <c r="IT3" s="4">
        <f>IFERROR(HR3/'McDonough &amp; Sun 1995 values'!AC$2,)</f>
        <v>36.336950069207084</v>
      </c>
    </row>
    <row r="4" spans="1:254">
      <c r="A4" s="16" t="s">
        <v>771</v>
      </c>
      <c r="B4" s="16" t="s">
        <v>24</v>
      </c>
      <c r="C4" s="16" t="str">
        <f t="shared" si="0"/>
        <v>high-Mg carbonatitic</v>
      </c>
      <c r="D4" s="16" t="s">
        <v>25</v>
      </c>
      <c r="E4" s="16" t="s">
        <v>1394</v>
      </c>
      <c r="F4" s="16" t="s">
        <v>97</v>
      </c>
      <c r="G4" s="16" t="s">
        <v>595</v>
      </c>
      <c r="H4" s="27">
        <v>118</v>
      </c>
      <c r="I4" s="16" t="s">
        <v>735</v>
      </c>
      <c r="J4" s="16" t="s">
        <v>635</v>
      </c>
      <c r="K4" s="16" t="s">
        <v>761</v>
      </c>
      <c r="L4" s="16" t="s">
        <v>763</v>
      </c>
      <c r="M4" s="16" t="s">
        <v>757</v>
      </c>
      <c r="N4" s="16">
        <v>20</v>
      </c>
      <c r="O4" s="26">
        <v>5.0999999999999996</v>
      </c>
      <c r="P4" s="26">
        <v>1.2</v>
      </c>
      <c r="Q4" s="26"/>
      <c r="R4" s="26">
        <v>1.4</v>
      </c>
      <c r="S4" s="26">
        <v>5.8</v>
      </c>
      <c r="T4" s="26">
        <v>18.3</v>
      </c>
      <c r="U4" s="26"/>
      <c r="V4" s="26">
        <v>12.5</v>
      </c>
      <c r="W4" s="26">
        <v>1.3</v>
      </c>
      <c r="X4" s="26">
        <v>29.8</v>
      </c>
      <c r="Y4" s="26"/>
      <c r="Z4" s="26">
        <v>0.9</v>
      </c>
      <c r="AA4" s="26"/>
      <c r="AB4" s="26">
        <v>14.3</v>
      </c>
      <c r="AC4" s="26"/>
      <c r="AD4" s="26">
        <v>12.2</v>
      </c>
      <c r="AE4" s="26"/>
      <c r="AF4" s="26"/>
      <c r="AG4" s="26"/>
      <c r="AH4" s="26"/>
      <c r="AI4" s="26">
        <v>27.1</v>
      </c>
      <c r="AJ4" s="26">
        <f t="shared" si="62"/>
        <v>102.8</v>
      </c>
      <c r="AK4" s="26">
        <f t="shared" si="63"/>
        <v>5.0976129654379045</v>
      </c>
      <c r="AL4" s="26">
        <f t="shared" si="1"/>
        <v>1.1994383448089188</v>
      </c>
      <c r="AM4" s="26">
        <f t="shared" si="2"/>
        <v>1.3993447356104054</v>
      </c>
      <c r="AN4" s="26">
        <f t="shared" si="64"/>
        <v>5.7972853332431082</v>
      </c>
      <c r="AO4" s="26">
        <f t="shared" si="65"/>
        <v>18.291434758336013</v>
      </c>
      <c r="AP4" s="26">
        <f t="shared" si="3"/>
        <v>12.494149425092905</v>
      </c>
      <c r="AQ4" s="26">
        <f t="shared" si="4"/>
        <v>14.293306942306284</v>
      </c>
      <c r="AR4" s="26">
        <f t="shared" si="5"/>
        <v>1.2993915402096621</v>
      </c>
      <c r="AS4" s="26">
        <f t="shared" si="66"/>
        <v>29.786052229421482</v>
      </c>
      <c r="AT4" s="26">
        <f t="shared" si="6"/>
        <v>0.89957875860668912</v>
      </c>
      <c r="AU4" s="26">
        <f t="shared" si="67"/>
        <v>12.194289838890676</v>
      </c>
      <c r="AV4" s="26">
        <f t="shared" si="7"/>
        <v>102.75188487196405</v>
      </c>
      <c r="AW4" s="26">
        <v>25</v>
      </c>
      <c r="AX4" s="26">
        <v>13.6</v>
      </c>
      <c r="AY4" s="94"/>
      <c r="AZ4" s="94"/>
      <c r="BA4" s="26">
        <v>0.43</v>
      </c>
      <c r="BB4" s="26"/>
      <c r="BC4" s="26">
        <f>(AX4/18.02)/((AX4/18.02)+(AW4/44.01))</f>
        <v>0.57055811240033705</v>
      </c>
      <c r="BD4" s="26">
        <f>(AW4/44.01)/((AX4/18.02)+(AW4/44.01))</f>
        <v>0.42944188759966295</v>
      </c>
      <c r="BE4" s="16"/>
      <c r="BF4" s="16"/>
      <c r="BG4" s="16">
        <v>545</v>
      </c>
      <c r="BH4" s="16">
        <v>35</v>
      </c>
      <c r="BI4" s="16"/>
      <c r="BJ4" s="16"/>
      <c r="BK4" s="18"/>
      <c r="BL4" s="18"/>
      <c r="BM4" s="18"/>
      <c r="BN4" s="18">
        <v>0</v>
      </c>
      <c r="BO4" s="18">
        <v>0</v>
      </c>
      <c r="BP4" s="18">
        <v>0</v>
      </c>
      <c r="BQ4" s="18">
        <v>0</v>
      </c>
      <c r="BR4" s="18">
        <v>495</v>
      </c>
      <c r="BS4" s="18"/>
      <c r="BT4" s="18">
        <v>0.26</v>
      </c>
      <c r="BU4" s="18">
        <v>0</v>
      </c>
      <c r="BV4" s="18">
        <v>0</v>
      </c>
      <c r="BW4" s="18">
        <v>0</v>
      </c>
      <c r="BX4" s="18">
        <v>0</v>
      </c>
      <c r="BY4" s="18"/>
      <c r="BZ4" s="18"/>
      <c r="CA4" s="18"/>
      <c r="CB4" s="18"/>
      <c r="CC4" s="18"/>
      <c r="CD4" s="18"/>
      <c r="CE4" s="18"/>
      <c r="CF4" s="18"/>
      <c r="CG4" s="18"/>
      <c r="CH4" s="18">
        <v>1</v>
      </c>
      <c r="CI4" s="18">
        <v>43</v>
      </c>
      <c r="CJ4" s="18">
        <v>4.0000000000000001E-3</v>
      </c>
      <c r="CK4" s="18">
        <v>0.11</v>
      </c>
      <c r="CL4" s="18"/>
      <c r="CM4" s="18">
        <v>0.26</v>
      </c>
      <c r="CN4" s="18"/>
      <c r="CO4" s="18"/>
      <c r="CP4" s="18"/>
      <c r="CQ4" s="18"/>
      <c r="CR4" s="18">
        <v>0.13</v>
      </c>
      <c r="CS4" s="18">
        <v>263</v>
      </c>
      <c r="CT4" s="18">
        <v>0</v>
      </c>
      <c r="CU4" s="18">
        <v>8.6999999999999993</v>
      </c>
      <c r="CV4" s="18">
        <v>15.2</v>
      </c>
      <c r="CW4" s="18">
        <v>1.7</v>
      </c>
      <c r="CX4" s="18">
        <v>4.2</v>
      </c>
      <c r="CY4" s="18">
        <v>0.1</v>
      </c>
      <c r="CZ4" s="18">
        <v>1.4999999999999999E-2</v>
      </c>
      <c r="DA4" s="18">
        <v>4.3999999999999997E-2</v>
      </c>
      <c r="DB4" s="18"/>
      <c r="DC4" s="18"/>
      <c r="DD4" s="18"/>
      <c r="DE4" s="18"/>
      <c r="DF4" s="18"/>
      <c r="DG4" s="18">
        <v>2E-3</v>
      </c>
      <c r="DH4" s="18"/>
      <c r="DI4" s="18">
        <v>3.0000000000000001E-3</v>
      </c>
      <c r="DJ4" s="18"/>
      <c r="DK4" s="18"/>
      <c r="DL4" s="18">
        <v>3.2</v>
      </c>
      <c r="DM4" s="18">
        <v>0.76</v>
      </c>
      <c r="DN4" s="18"/>
      <c r="DO4" s="18"/>
      <c r="DP4" s="18"/>
      <c r="DQ4" s="18"/>
      <c r="DR4" s="18"/>
      <c r="DS4" s="18"/>
      <c r="DT4" s="18"/>
      <c r="DU4" s="18"/>
      <c r="DV4" s="28"/>
      <c r="DW4" s="28"/>
      <c r="DX4" s="28"/>
      <c r="DY4" s="28"/>
      <c r="DZ4" s="28"/>
      <c r="EA4" s="28"/>
      <c r="EB4" s="28"/>
      <c r="EC4" s="28"/>
      <c r="ED4" s="28"/>
      <c r="EE4" s="28"/>
      <c r="EF4" s="28"/>
      <c r="EG4" s="28"/>
      <c r="EH4" s="28"/>
      <c r="EI4" s="28"/>
      <c r="EJ4" s="18"/>
      <c r="EK4" s="18"/>
      <c r="EL4" s="18">
        <f>IFERROR(CR4/'McDonough &amp; Sun 1995 values'!C$2,)</f>
        <v>6.1904761904761907</v>
      </c>
      <c r="EM4" s="18">
        <f>IFERROR(CH4/'McDonough &amp; Sun 1995 values'!D$2,)</f>
        <v>1.6666666666666667</v>
      </c>
      <c r="EN4" s="18">
        <f>IFERROR(CS4/'McDonough &amp; Sun 1995 values'!E$2,)</f>
        <v>39.848484848484851</v>
      </c>
      <c r="EO4" s="18">
        <f>IFERROR(DL4/'McDonough &amp; Sun 1995 values'!F$2,)</f>
        <v>40.251572327044023</v>
      </c>
      <c r="EP4" s="18">
        <f>IFERROR(DM4/'McDonough &amp; Sun 1995 values'!G$2,)</f>
        <v>37.438423645320199</v>
      </c>
      <c r="EQ4" s="18">
        <f>IFERROR(BR4/'McDonough &amp; Sun 1995 values'!H$2,)</f>
        <v>2.0625</v>
      </c>
      <c r="ER4" s="18">
        <f>IFERROR(DI4/'McDonough &amp; Sun 1995 values'!I$2,)</f>
        <v>8.1081081081081086E-2</v>
      </c>
      <c r="ES4" s="18">
        <f>IFERROR(CM4/'McDonough &amp; Sun 1995 values'!J$2,)</f>
        <v>0.39513677811550152</v>
      </c>
      <c r="ET4" s="18">
        <f>IFERROR(CU4/'McDonough &amp; Sun 1995 values'!K$2,)</f>
        <v>13.425925925925924</v>
      </c>
      <c r="EU4" s="18">
        <f>IFERROR(CV4/'McDonough &amp; Sun 1995 values'!L$2,)</f>
        <v>9.0746268656716413</v>
      </c>
      <c r="EV4" s="18">
        <f>IFERROR(CW4/'McDonough &amp; Sun 1995 values'!M$2,)</f>
        <v>6.6929133858267713</v>
      </c>
      <c r="EW4" s="18">
        <f>IFERROR(CI4/'McDonough &amp; Sun 1995 values'!N$2,)</f>
        <v>2.1608040201005028</v>
      </c>
      <c r="EX4" s="18">
        <f>IFERROR(CX4/'McDonough &amp; Sun 1995 values'!O$2,)</f>
        <v>3.3600000000000003</v>
      </c>
      <c r="EY4" s="18">
        <f>IFERROR(CY4/'McDonough &amp; Sun 1995 values'!P$2,)</f>
        <v>0.24630541871921183</v>
      </c>
      <c r="EZ4" s="18">
        <f>IFERROR(DH4/'McDonough &amp; Sun 1995 values'!Q$2,)</f>
        <v>0</v>
      </c>
      <c r="FA4" s="18">
        <f>IFERROR(CK4/'McDonough &amp; Sun 1995 values'!R$2,)</f>
        <v>1.0476190476190476E-2</v>
      </c>
      <c r="FB4" s="18">
        <f>IFERROR(CZ4/'McDonough &amp; Sun 1995 values'!S$2,)</f>
        <v>9.7402597402597393E-2</v>
      </c>
      <c r="FC4" s="18">
        <f>IFERROR(BT4/'McDonough &amp; Sun 1995 values'!T$2,)</f>
        <v>2.1576763485477179E-4</v>
      </c>
      <c r="FD4" s="18">
        <f>IFERROR(DA4/'McDonough &amp; Sun 1995 values'!U$2,)</f>
        <v>8.0882352941176461E-2</v>
      </c>
      <c r="FE4" s="18">
        <f>IFERROR(DN4/'McDonough &amp; Sun 1995 values'!V$2,)</f>
        <v>0</v>
      </c>
      <c r="FF4" s="18">
        <f>IFERROR(DB4/'McDonough &amp; Sun 1995 values'!W$2,)</f>
        <v>0</v>
      </c>
      <c r="FG4" s="18">
        <f>IFERROR(CJ4/'McDonough &amp; Sun 1995 values'!X$2,)</f>
        <v>9.3023255813953494E-4</v>
      </c>
      <c r="FH4" s="18">
        <f>IFERROR(DC4/'McDonough &amp; Sun 1995 values'!Y$2,)</f>
        <v>0</v>
      </c>
      <c r="FI4" s="18">
        <f>IFERROR(DD4/'McDonough &amp; Sun 1995 values'!Z$2,)</f>
        <v>0</v>
      </c>
      <c r="FJ4" s="18">
        <f>IFERROR(DE4/'McDonough &amp; Sun 1995 values'!AA$2,)</f>
        <v>0</v>
      </c>
      <c r="FK4" s="18">
        <f>IFERROR(DF4/'McDonough &amp; Sun 1995 values'!AB$2,)</f>
        <v>0</v>
      </c>
      <c r="FL4" s="18">
        <f>IFERROR(DG4/'McDonough &amp; Sun 1995 values'!AC$2,)</f>
        <v>2.9629629629629627E-2</v>
      </c>
      <c r="FN4" s="28">
        <f t="shared" ref="FN4:FN67" si="68">IFERROR(EP4/EQ4,)</f>
        <v>18.151962979549186</v>
      </c>
      <c r="FO4" s="4">
        <f t="shared" si="8"/>
        <v>1.0643740031897926</v>
      </c>
      <c r="FP4" s="4">
        <f t="shared" si="9"/>
        <v>101.86744073536526</v>
      </c>
      <c r="FQ4" s="4">
        <f t="shared" si="10"/>
        <v>1.0751406818934126</v>
      </c>
      <c r="FR4" s="4">
        <f t="shared" si="11"/>
        <v>33.977920227920222</v>
      </c>
      <c r="FS4" s="4">
        <f t="shared" si="12"/>
        <v>165.58641975308637</v>
      </c>
      <c r="FT4" s="4">
        <f t="shared" si="13"/>
        <v>0.26923076923076922</v>
      </c>
      <c r="FU4" s="4">
        <f t="shared" si="14"/>
        <v>0.20519750519750521</v>
      </c>
      <c r="FV4" s="4">
        <f t="shared" si="15"/>
        <v>4.2533333333333333E-2</v>
      </c>
      <c r="FW4" s="4">
        <f t="shared" si="16"/>
        <v>0</v>
      </c>
      <c r="FX4" s="4">
        <f t="shared" si="17"/>
        <v>0.59539265118806795</v>
      </c>
      <c r="FY4" s="4">
        <f t="shared" si="18"/>
        <v>0.45565709612174948</v>
      </c>
      <c r="FZ4" s="4">
        <f t="shared" si="19"/>
        <v>0.69009148167888379</v>
      </c>
      <c r="GA4" s="4">
        <f t="shared" si="20"/>
        <v>0.32284954182678099</v>
      </c>
      <c r="GB4" s="4">
        <f t="shared" si="21"/>
        <v>0.39545454545454539</v>
      </c>
      <c r="GC4" s="4">
        <f t="shared" si="22"/>
        <v>3.7142857142857144</v>
      </c>
      <c r="GD4" s="4">
        <f t="shared" si="23"/>
        <v>0.98998579545454557</v>
      </c>
      <c r="GE4" s="4">
        <f t="shared" si="24"/>
        <v>23.90909090909091</v>
      </c>
      <c r="GF4" s="4">
        <f t="shared" si="25"/>
        <v>19.320477502295685</v>
      </c>
      <c r="GG4" s="4">
        <f t="shared" si="26"/>
        <v>100.84731934731936</v>
      </c>
      <c r="GH4" s="4">
        <f t="shared" si="27"/>
        <v>2.0059912854030499</v>
      </c>
      <c r="GI4" s="4">
        <f t="shared" si="28"/>
        <v>54.509259259259252</v>
      </c>
      <c r="GJ4" s="4">
        <f t="shared" si="29"/>
        <v>0</v>
      </c>
      <c r="GK4" s="4">
        <f t="shared" si="30"/>
        <v>0</v>
      </c>
      <c r="GL4" s="4">
        <f t="shared" si="31"/>
        <v>48.553113553113548</v>
      </c>
      <c r="GM4" s="4">
        <f t="shared" si="32"/>
        <v>24.150943396226413</v>
      </c>
      <c r="GN4" s="4">
        <f t="shared" si="33"/>
        <v>2.9430877266533911E-2</v>
      </c>
      <c r="GO4" s="4">
        <f t="shared" si="34"/>
        <v>1.0554311310190368E-2</v>
      </c>
      <c r="GP4" s="4">
        <f t="shared" si="35"/>
        <v>5.5090460526315783E-2</v>
      </c>
      <c r="GQ4" s="27">
        <f>AS4*10000/1.20462</f>
        <v>247265.13115689164</v>
      </c>
      <c r="GR4" s="28">
        <f t="shared" ref="GR4:GR33" si="69">IFERROR(CR4/$BR4*$GQ4,"")</f>
        <v>64.938317273527105</v>
      </c>
      <c r="GS4" s="28">
        <f t="shared" si="36"/>
        <v>499.52551748867</v>
      </c>
      <c r="GT4" s="28">
        <f t="shared" si="37"/>
        <v>131375.21109952021</v>
      </c>
      <c r="GU4" s="28">
        <f t="shared" si="38"/>
        <v>1598.4816559637441</v>
      </c>
      <c r="GV4" s="28">
        <f t="shared" si="39"/>
        <v>379.63939329138918</v>
      </c>
      <c r="GW4" s="28">
        <f t="shared" si="40"/>
        <v>247265.13115689164</v>
      </c>
      <c r="GX4" s="28">
        <f t="shared" si="41"/>
        <v>1.49857655246601</v>
      </c>
      <c r="GY4" s="28">
        <f t="shared" si="42"/>
        <v>129.87663454705421</v>
      </c>
      <c r="GZ4" s="28">
        <f t="shared" si="43"/>
        <v>4345.8720021514282</v>
      </c>
      <c r="HA4" s="28">
        <f t="shared" si="44"/>
        <v>7592.7878658277841</v>
      </c>
      <c r="HB4" s="28">
        <f t="shared" si="45"/>
        <v>849.19337973073903</v>
      </c>
      <c r="HC4" s="28">
        <f t="shared" si="46"/>
        <v>21479.597252012809</v>
      </c>
      <c r="HD4" s="28">
        <f t="shared" si="47"/>
        <v>2098.007173452414</v>
      </c>
      <c r="HE4" s="28">
        <f t="shared" si="48"/>
        <v>49.952551748867002</v>
      </c>
      <c r="HF4" s="28">
        <f t="shared" si="49"/>
        <v>0</v>
      </c>
      <c r="HG4" s="28">
        <f t="shared" si="50"/>
        <v>54.947806923753703</v>
      </c>
      <c r="HH4" s="28">
        <f t="shared" si="51"/>
        <v>7.4928827623300496</v>
      </c>
      <c r="HI4" s="28">
        <f t="shared" si="52"/>
        <v>129.87663454705421</v>
      </c>
      <c r="HJ4" s="28">
        <f t="shared" si="53"/>
        <v>21.979122769501476</v>
      </c>
      <c r="HK4" s="28">
        <f t="shared" si="54"/>
        <v>0</v>
      </c>
      <c r="HL4" s="28">
        <f t="shared" si="55"/>
        <v>0</v>
      </c>
      <c r="HM4" s="28">
        <f t="shared" si="56"/>
        <v>1.9981020699546799</v>
      </c>
      <c r="HN4" s="28">
        <f t="shared" si="57"/>
        <v>0</v>
      </c>
      <c r="HO4" s="28">
        <f t="shared" si="58"/>
        <v>0</v>
      </c>
      <c r="HP4" s="28">
        <f t="shared" si="59"/>
        <v>0</v>
      </c>
      <c r="HQ4" s="28">
        <f t="shared" si="60"/>
        <v>0</v>
      </c>
      <c r="HR4" s="28">
        <f t="shared" si="61"/>
        <v>0.99905103497733994</v>
      </c>
      <c r="HT4" s="4">
        <f>IFERROR(GR4/'McDonough &amp; Sun 1995 values'!C$2,)</f>
        <v>3092.3008225489098</v>
      </c>
      <c r="HU4" s="4">
        <f>IFERROR(GS4/'McDonough &amp; Sun 1995 values'!D$2,)</f>
        <v>832.5425291477834</v>
      </c>
      <c r="HV4" s="4">
        <f>IFERROR(GT4/'McDonough &amp; Sun 1995 values'!E$2,)</f>
        <v>19905.335015078821</v>
      </c>
      <c r="HW4" s="4">
        <f>IFERROR(GU4/'McDonough &amp; Sun 1995 values'!F$2,)</f>
        <v>20106.687496399296</v>
      </c>
      <c r="HX4" s="4">
        <f>IFERROR(GV4/'McDonough &amp; Sun 1995 values'!G$2,)</f>
        <v>18701.447945388631</v>
      </c>
      <c r="HY4" s="4">
        <f>IFERROR(GW4/'McDonough &amp; Sun 1995 values'!H$2,)</f>
        <v>1030.2713798203818</v>
      </c>
      <c r="HZ4" s="4">
        <f>IFERROR(GX4/'McDonough &amp; Sun 1995 values'!I$2,)</f>
        <v>40.502068985567838</v>
      </c>
      <c r="IA4" s="4">
        <f>IFERROR(GY4/'McDonough &amp; Sun 1995 values'!J$2,)</f>
        <v>197.38090356695167</v>
      </c>
      <c r="IB4" s="4">
        <f>IFERROR(GZ4/'McDonough &amp; Sun 1995 values'!K$2,)</f>
        <v>6706.592595912698</v>
      </c>
      <c r="IC4" s="4">
        <f>IFERROR(HA4/'McDonough &amp; Sun 1995 values'!L$2,)</f>
        <v>4533.0076810912142</v>
      </c>
      <c r="ID4" s="4">
        <f>IFERROR(HB4/'McDonough &amp; Sun 1995 values'!M$2,)</f>
        <v>3343.2810225619646</v>
      </c>
      <c r="IE4" s="4">
        <f>IFERROR(HC4/'McDonough &amp; Sun 1995 values'!N$2,)</f>
        <v>1079.376746332302</v>
      </c>
      <c r="IF4" s="4">
        <f>IFERROR(HD4/'McDonough &amp; Sun 1995 values'!O$2,)</f>
        <v>1678.4057387619312</v>
      </c>
      <c r="IG4" s="4">
        <f>IFERROR(HE4/'McDonough &amp; Sun 1995 values'!P$2,)</f>
        <v>123.03584174597783</v>
      </c>
      <c r="IH4" s="4">
        <f>IFERROR(HF4/'McDonough &amp; Sun 1995 values'!Q$2,)</f>
        <v>0</v>
      </c>
      <c r="II4" s="4">
        <f>IFERROR(HG4/'McDonough &amp; Sun 1995 values'!R$2,)</f>
        <v>5.2331244689289242</v>
      </c>
      <c r="IJ4" s="4">
        <f>IFERROR(HH4/'McDonough &amp; Sun 1995 values'!S$2,)</f>
        <v>48.655082872273049</v>
      </c>
      <c r="IK4" s="4">
        <f>IFERROR(HI4/'McDonough &amp; Sun 1995 values'!T$2,)</f>
        <v>0.10778143945813627</v>
      </c>
      <c r="IL4" s="4">
        <f>IFERROR(HJ4/'McDonough &amp; Sun 1995 values'!U$2,)</f>
        <v>40.402799208642413</v>
      </c>
      <c r="IM4" s="4">
        <f>IFERROR(HK4/'McDonough &amp; Sun 1995 values'!V$2,)</f>
        <v>0</v>
      </c>
      <c r="IN4" s="4">
        <f>IFERROR(HL4/'McDonough &amp; Sun 1995 values'!W$2,)</f>
        <v>0</v>
      </c>
      <c r="IO4" s="4">
        <f>IFERROR(HM4/'McDonough &amp; Sun 1995 values'!X$2,)</f>
        <v>0.46467489998946043</v>
      </c>
      <c r="IP4" s="4">
        <f>IFERROR(HN4/'McDonough &amp; Sun 1995 values'!Y$2,)</f>
        <v>0</v>
      </c>
      <c r="IQ4" s="4">
        <f>IFERROR(HO4/'McDonough &amp; Sun 1995 values'!Z$2,)</f>
        <v>0</v>
      </c>
      <c r="IR4" s="4">
        <f>IFERROR(HP4/'McDonough &amp; Sun 1995 values'!AA$2,)</f>
        <v>0</v>
      </c>
      <c r="IS4" s="4">
        <f>IFERROR(HQ4/'McDonough &amp; Sun 1995 values'!AB$2,)</f>
        <v>0</v>
      </c>
      <c r="IT4" s="4">
        <f>IFERROR(HR4/'McDonough &amp; Sun 1995 values'!AC$2,)</f>
        <v>14.800756073738368</v>
      </c>
    </row>
    <row r="5" spans="1:254">
      <c r="A5" s="16" t="s">
        <v>771</v>
      </c>
      <c r="B5" s="16" t="s">
        <v>24</v>
      </c>
      <c r="C5" s="16" t="str">
        <f t="shared" si="0"/>
        <v>high-Mg carbonatitic</v>
      </c>
      <c r="D5" s="16" t="s">
        <v>25</v>
      </c>
      <c r="E5" s="16" t="s">
        <v>1394</v>
      </c>
      <c r="F5" s="16" t="s">
        <v>97</v>
      </c>
      <c r="G5" s="16" t="s">
        <v>595</v>
      </c>
      <c r="H5" s="27">
        <v>118</v>
      </c>
      <c r="I5" s="16" t="s">
        <v>735</v>
      </c>
      <c r="J5" s="16" t="s">
        <v>635</v>
      </c>
      <c r="K5" s="16" t="s">
        <v>761</v>
      </c>
      <c r="L5" s="16" t="s">
        <v>763</v>
      </c>
      <c r="M5" s="16" t="s">
        <v>759</v>
      </c>
      <c r="N5" s="16">
        <v>33</v>
      </c>
      <c r="O5" s="26">
        <v>5.3</v>
      </c>
      <c r="P5" s="26">
        <v>2.2000000000000002</v>
      </c>
      <c r="Q5" s="26"/>
      <c r="R5" s="26">
        <v>1.2</v>
      </c>
      <c r="S5" s="26">
        <v>7.6</v>
      </c>
      <c r="T5" s="26">
        <v>21.9</v>
      </c>
      <c r="U5" s="26"/>
      <c r="V5" s="26">
        <v>14.1</v>
      </c>
      <c r="W5" s="26">
        <v>1.4</v>
      </c>
      <c r="X5" s="26">
        <v>25.8</v>
      </c>
      <c r="Y5" s="26"/>
      <c r="Z5" s="26">
        <v>1.9</v>
      </c>
      <c r="AA5" s="26"/>
      <c r="AB5" s="26">
        <v>11.6</v>
      </c>
      <c r="AC5" s="26"/>
      <c r="AD5" s="26">
        <v>9.1999999999999993</v>
      </c>
      <c r="AE5" s="26"/>
      <c r="AF5" s="26"/>
      <c r="AG5" s="26"/>
      <c r="AH5" s="26"/>
      <c r="AI5" s="26">
        <v>5.2</v>
      </c>
      <c r="AJ5" s="26">
        <f t="shared" si="62"/>
        <v>102.2</v>
      </c>
      <c r="AK5" s="26">
        <f t="shared" si="63"/>
        <v>5.2934447891046057</v>
      </c>
      <c r="AL5" s="26">
        <f t="shared" si="1"/>
        <v>2.1972789690622894</v>
      </c>
      <c r="AM5" s="26">
        <f t="shared" si="2"/>
        <v>1.1985158013067032</v>
      </c>
      <c r="AN5" s="26">
        <f t="shared" si="64"/>
        <v>7.5906000749424534</v>
      </c>
      <c r="AO5" s="26">
        <f t="shared" si="65"/>
        <v>21.872913373847332</v>
      </c>
      <c r="AP5" s="26">
        <f t="shared" si="3"/>
        <v>14.082560665353764</v>
      </c>
      <c r="AQ5" s="26">
        <f t="shared" si="4"/>
        <v>11.585652745964799</v>
      </c>
      <c r="AR5" s="26">
        <f t="shared" si="5"/>
        <v>1.3982684348578205</v>
      </c>
      <c r="AS5" s="26">
        <f t="shared" si="66"/>
        <v>25.768089728094125</v>
      </c>
      <c r="AT5" s="26">
        <f t="shared" si="6"/>
        <v>1.8976500187356133</v>
      </c>
      <c r="AU5" s="26">
        <f t="shared" si="67"/>
        <v>9.1886211433513907</v>
      </c>
      <c r="AV5" s="26">
        <f t="shared" si="7"/>
        <v>102.07359574462092</v>
      </c>
      <c r="AW5" s="26">
        <v>28.2</v>
      </c>
      <c r="AX5" s="26">
        <v>11.1</v>
      </c>
      <c r="AY5" s="94"/>
      <c r="AZ5" s="94"/>
      <c r="BA5" s="26">
        <v>0.51</v>
      </c>
      <c r="BB5" s="26"/>
      <c r="BC5" s="26">
        <f>(AX5/18.02)/((AX5/18.02)+(AW5/44.01))</f>
        <v>0.49014071788697422</v>
      </c>
      <c r="BD5" s="26">
        <f>(AW5/44.01)/((AX5/18.02)+(AW5/44.01))</f>
        <v>0.50985928211302589</v>
      </c>
      <c r="BE5" s="16"/>
      <c r="BF5" s="16"/>
      <c r="BG5" s="16">
        <v>612</v>
      </c>
      <c r="BH5" s="16">
        <v>27</v>
      </c>
      <c r="BI5" s="16"/>
      <c r="BJ5" s="16"/>
      <c r="BK5" s="18"/>
      <c r="BL5" s="18"/>
      <c r="BM5" s="18"/>
      <c r="BN5" s="18">
        <v>0</v>
      </c>
      <c r="BO5" s="18">
        <v>0</v>
      </c>
      <c r="BP5" s="18">
        <v>0</v>
      </c>
      <c r="BQ5" s="18">
        <v>0</v>
      </c>
      <c r="BR5" s="18">
        <v>378</v>
      </c>
      <c r="BS5" s="18"/>
      <c r="BT5" s="18">
        <v>0.19</v>
      </c>
      <c r="BU5" s="18">
        <v>0</v>
      </c>
      <c r="BV5" s="18">
        <v>0</v>
      </c>
      <c r="BW5" s="18">
        <v>0</v>
      </c>
      <c r="BX5" s="18">
        <v>0</v>
      </c>
      <c r="BY5" s="18"/>
      <c r="BZ5" s="18"/>
      <c r="CA5" s="18"/>
      <c r="CB5" s="18"/>
      <c r="CC5" s="18"/>
      <c r="CD5" s="18"/>
      <c r="CE5" s="18"/>
      <c r="CF5" s="18"/>
      <c r="CG5" s="18"/>
      <c r="CH5" s="18">
        <v>0.74</v>
      </c>
      <c r="CI5" s="18">
        <v>16.5</v>
      </c>
      <c r="CJ5" s="18">
        <v>8.0000000000000002E-3</v>
      </c>
      <c r="CK5" s="18">
        <v>5.6000000000000001E-2</v>
      </c>
      <c r="CL5" s="18"/>
      <c r="CM5" s="18">
        <v>0.13300000000000001</v>
      </c>
      <c r="CN5" s="18"/>
      <c r="CO5" s="18"/>
      <c r="CP5" s="18"/>
      <c r="CQ5" s="18"/>
      <c r="CR5" s="18">
        <v>0.09</v>
      </c>
      <c r="CS5" s="18">
        <v>128</v>
      </c>
      <c r="CT5" s="18">
        <v>0</v>
      </c>
      <c r="CU5" s="18">
        <v>2.27</v>
      </c>
      <c r="CV5" s="18">
        <v>3.7</v>
      </c>
      <c r="CW5" s="18">
        <v>0.44</v>
      </c>
      <c r="CX5" s="18">
        <v>1.19</v>
      </c>
      <c r="CY5" s="18">
        <v>0.04</v>
      </c>
      <c r="CZ5" s="18">
        <v>1.0999999999999999E-2</v>
      </c>
      <c r="DA5" s="18">
        <v>2.5000000000000001E-2</v>
      </c>
      <c r="DB5" s="18">
        <v>1.0999999999999999E-2</v>
      </c>
      <c r="DC5" s="18">
        <v>3.0000000000000001E-3</v>
      </c>
      <c r="DD5" s="18"/>
      <c r="DE5" s="18"/>
      <c r="DF5" s="18"/>
      <c r="DG5" s="18">
        <v>5.0000000000000001E-3</v>
      </c>
      <c r="DH5" s="18">
        <v>8.9999999999999993E-3</v>
      </c>
      <c r="DI5" s="18">
        <v>8.0000000000000002E-3</v>
      </c>
      <c r="DJ5" s="18"/>
      <c r="DK5" s="18"/>
      <c r="DL5" s="18">
        <v>0.71</v>
      </c>
      <c r="DM5" s="18">
        <v>0.16</v>
      </c>
      <c r="DN5" s="18"/>
      <c r="DO5" s="18"/>
      <c r="DP5" s="18"/>
      <c r="DQ5" s="18"/>
      <c r="DR5" s="18"/>
      <c r="DS5" s="18"/>
      <c r="DT5" s="18"/>
      <c r="DU5" s="18"/>
      <c r="DV5" s="28"/>
      <c r="DW5" s="28"/>
      <c r="DX5" s="28"/>
      <c r="DY5" s="28"/>
      <c r="DZ5" s="28"/>
      <c r="EA5" s="28"/>
      <c r="EB5" s="28"/>
      <c r="EC5" s="28"/>
      <c r="ED5" s="28"/>
      <c r="EE5" s="28"/>
      <c r="EF5" s="28"/>
      <c r="EG5" s="28"/>
      <c r="EH5" s="28"/>
      <c r="EI5" s="28"/>
      <c r="EJ5" s="18"/>
      <c r="EK5" s="18"/>
      <c r="EL5" s="18">
        <f>IFERROR(CR5/'McDonough &amp; Sun 1995 values'!C$2,)</f>
        <v>4.2857142857142856</v>
      </c>
      <c r="EM5" s="18">
        <f>IFERROR(CH5/'McDonough &amp; Sun 1995 values'!D$2,)</f>
        <v>1.2333333333333334</v>
      </c>
      <c r="EN5" s="18">
        <f>IFERROR(CS5/'McDonough &amp; Sun 1995 values'!E$2,)</f>
        <v>19.393939393939394</v>
      </c>
      <c r="EO5" s="18">
        <f>IFERROR(DL5/'McDonough &amp; Sun 1995 values'!F$2,)</f>
        <v>8.930817610062892</v>
      </c>
      <c r="EP5" s="18">
        <f>IFERROR(DM5/'McDonough &amp; Sun 1995 values'!G$2,)</f>
        <v>7.8817733990147794</v>
      </c>
      <c r="EQ5" s="18">
        <f>IFERROR(BR5/'McDonough &amp; Sun 1995 values'!H$2,)</f>
        <v>1.575</v>
      </c>
      <c r="ER5" s="18">
        <f>IFERROR(DI5/'McDonough &amp; Sun 1995 values'!I$2,)</f>
        <v>0.21621621621621623</v>
      </c>
      <c r="ES5" s="18">
        <f>IFERROR(CM5/'McDonough &amp; Sun 1995 values'!J$2,)</f>
        <v>0.2021276595744681</v>
      </c>
      <c r="ET5" s="18">
        <f>IFERROR(CU5/'McDonough &amp; Sun 1995 values'!K$2,)</f>
        <v>3.5030864197530862</v>
      </c>
      <c r="EU5" s="18">
        <f>IFERROR(CV5/'McDonough &amp; Sun 1995 values'!L$2,)</f>
        <v>2.2089552238805972</v>
      </c>
      <c r="EV5" s="18">
        <f>IFERROR(CW5/'McDonough &amp; Sun 1995 values'!M$2,)</f>
        <v>1.7322834645669292</v>
      </c>
      <c r="EW5" s="18">
        <f>IFERROR(CI5/'McDonough &amp; Sun 1995 values'!N$2,)</f>
        <v>0.82914572864321612</v>
      </c>
      <c r="EX5" s="18">
        <f>IFERROR(CX5/'McDonough &amp; Sun 1995 values'!O$2,)</f>
        <v>0.95199999999999996</v>
      </c>
      <c r="EY5" s="18">
        <f>IFERROR(CY5/'McDonough &amp; Sun 1995 values'!P$2,)</f>
        <v>9.852216748768472E-2</v>
      </c>
      <c r="EZ5" s="18">
        <f>IFERROR(DH5/'McDonough &amp; Sun 1995 values'!Q$2,)</f>
        <v>3.180212014134276E-2</v>
      </c>
      <c r="FA5" s="18">
        <f>IFERROR(CK5/'McDonough &amp; Sun 1995 values'!R$2,)</f>
        <v>5.3333333333333332E-3</v>
      </c>
      <c r="FB5" s="18">
        <f>IFERROR(CZ5/'McDonough &amp; Sun 1995 values'!S$2,)</f>
        <v>7.1428571428571425E-2</v>
      </c>
      <c r="FC5" s="18">
        <f>IFERROR(BT5/'McDonough &amp; Sun 1995 values'!T$2,)</f>
        <v>1.5767634854771785E-4</v>
      </c>
      <c r="FD5" s="18">
        <f>IFERROR(DA5/'McDonough &amp; Sun 1995 values'!U$2,)</f>
        <v>4.5955882352941173E-2</v>
      </c>
      <c r="FE5" s="18">
        <f>IFERROR(DN5/'McDonough &amp; Sun 1995 values'!V$2,)</f>
        <v>0</v>
      </c>
      <c r="FF5" s="18">
        <f>IFERROR(DB5/'McDonough &amp; Sun 1995 values'!W$2,)</f>
        <v>1.6320474777448069E-2</v>
      </c>
      <c r="FG5" s="18">
        <f>IFERROR(CJ5/'McDonough &amp; Sun 1995 values'!X$2,)</f>
        <v>1.8604651162790699E-3</v>
      </c>
      <c r="FH5" s="18">
        <f>IFERROR(DC5/'McDonough &amp; Sun 1995 values'!Y$2,)</f>
        <v>2.0134228187919465E-2</v>
      </c>
      <c r="FI5" s="18">
        <f>IFERROR(DD5/'McDonough &amp; Sun 1995 values'!Z$2,)</f>
        <v>0</v>
      </c>
      <c r="FJ5" s="18">
        <f>IFERROR(DE5/'McDonough &amp; Sun 1995 values'!AA$2,)</f>
        <v>0</v>
      </c>
      <c r="FK5" s="18">
        <f>IFERROR(DF5/'McDonough &amp; Sun 1995 values'!AB$2,)</f>
        <v>0</v>
      </c>
      <c r="FL5" s="18">
        <f>IFERROR(DG5/'McDonough &amp; Sun 1995 values'!AC$2,)</f>
        <v>7.407407407407407E-2</v>
      </c>
      <c r="FN5" s="28">
        <f t="shared" si="68"/>
        <v>5.0043005708030348</v>
      </c>
      <c r="FO5" s="4">
        <f t="shared" si="8"/>
        <v>2.4606060606060605</v>
      </c>
      <c r="FP5" s="4">
        <f t="shared" si="9"/>
        <v>44.184045018205886</v>
      </c>
      <c r="FQ5" s="4">
        <f t="shared" si="10"/>
        <v>1.1330974842767292</v>
      </c>
      <c r="FR5" s="4">
        <f t="shared" si="11"/>
        <v>17.331059129304741</v>
      </c>
      <c r="FS5" s="4">
        <f t="shared" si="12"/>
        <v>16.201774691358022</v>
      </c>
      <c r="FT5" s="4">
        <f t="shared" si="13"/>
        <v>0.2877777777777778</v>
      </c>
      <c r="FU5" s="4">
        <f t="shared" si="14"/>
        <v>1.069701280227596</v>
      </c>
      <c r="FV5" s="4">
        <f t="shared" si="15"/>
        <v>5.4133333333333339E-2</v>
      </c>
      <c r="FW5" s="4">
        <f t="shared" si="16"/>
        <v>0.16770370370370369</v>
      </c>
      <c r="FX5" s="4">
        <f t="shared" si="17"/>
        <v>0.98878094641178316</v>
      </c>
      <c r="FY5" s="4">
        <f t="shared" si="18"/>
        <v>0.64565856073918471</v>
      </c>
      <c r="FZ5" s="4">
        <f t="shared" si="19"/>
        <v>1.0615352763131063</v>
      </c>
      <c r="GA5" s="4">
        <f t="shared" si="20"/>
        <v>0.478643216080402</v>
      </c>
      <c r="GB5" s="4">
        <f t="shared" si="21"/>
        <v>0.72499999999999998</v>
      </c>
      <c r="GC5" s="4">
        <f t="shared" si="22"/>
        <v>3.4749034749034746</v>
      </c>
      <c r="GD5" s="4">
        <f t="shared" si="23"/>
        <v>2.1715749039692707</v>
      </c>
      <c r="GE5" s="4">
        <f t="shared" si="24"/>
        <v>15.724815724815725</v>
      </c>
      <c r="GF5" s="4">
        <f t="shared" si="25"/>
        <v>12.313612313612314</v>
      </c>
      <c r="GG5" s="4">
        <f t="shared" si="26"/>
        <v>95.948963317384369</v>
      </c>
      <c r="GH5" s="4">
        <f t="shared" si="27"/>
        <v>2.022236251402918</v>
      </c>
      <c r="GI5" s="4">
        <f t="shared" si="28"/>
        <v>35.556327160493829</v>
      </c>
      <c r="GJ5" s="4">
        <f t="shared" si="29"/>
        <v>214.64365881032549</v>
      </c>
      <c r="GK5" s="4">
        <f t="shared" si="30"/>
        <v>0</v>
      </c>
      <c r="GL5" s="4">
        <f t="shared" si="31"/>
        <v>33.824561403508767</v>
      </c>
      <c r="GM5" s="4">
        <f t="shared" si="32"/>
        <v>7.2412034676185604</v>
      </c>
      <c r="GN5" s="4">
        <f t="shared" si="33"/>
        <v>5.7699878151654331E-2</v>
      </c>
      <c r="GO5" s="4">
        <f t="shared" si="34"/>
        <v>2.5644946808510635E-2</v>
      </c>
      <c r="GP5" s="4">
        <f t="shared" si="35"/>
        <v>0.19982812499999997</v>
      </c>
      <c r="GQ5" s="27">
        <f t="shared" ref="GQ5:GQ33" si="70">AS5*10000/1.20462</f>
        <v>213910.52554410623</v>
      </c>
      <c r="GR5" s="28">
        <f t="shared" si="69"/>
        <v>50.931077510501481</v>
      </c>
      <c r="GS5" s="28">
        <f t="shared" si="36"/>
        <v>418.76663730856774</v>
      </c>
      <c r="GT5" s="28">
        <f t="shared" si="37"/>
        <v>72435.310237157668</v>
      </c>
      <c r="GU5" s="28">
        <f t="shared" si="38"/>
        <v>401.78961147173391</v>
      </c>
      <c r="GV5" s="28">
        <f t="shared" si="39"/>
        <v>90.544137796447089</v>
      </c>
      <c r="GW5" s="28">
        <f t="shared" si="40"/>
        <v>213910.52554410623</v>
      </c>
      <c r="GX5" s="28">
        <f t="shared" si="41"/>
        <v>4.5272068898223541</v>
      </c>
      <c r="GY5" s="28">
        <f t="shared" si="42"/>
        <v>75.264814543296652</v>
      </c>
      <c r="GZ5" s="28">
        <f t="shared" si="43"/>
        <v>1284.5949549870932</v>
      </c>
      <c r="HA5" s="28">
        <f t="shared" si="44"/>
        <v>2093.833186542839</v>
      </c>
      <c r="HB5" s="28">
        <f t="shared" si="45"/>
        <v>248.99637894022945</v>
      </c>
      <c r="HC5" s="28">
        <f t="shared" si="46"/>
        <v>9337.3642102586055</v>
      </c>
      <c r="HD5" s="28">
        <f t="shared" si="47"/>
        <v>673.42202486107522</v>
      </c>
      <c r="HE5" s="28">
        <f t="shared" si="48"/>
        <v>22.636034449111772</v>
      </c>
      <c r="HF5" s="28">
        <f t="shared" si="49"/>
        <v>5.0931077510501481</v>
      </c>
      <c r="HG5" s="28">
        <f t="shared" si="50"/>
        <v>31.690448228756477</v>
      </c>
      <c r="HH5" s="28">
        <f t="shared" si="51"/>
        <v>6.2249094735057362</v>
      </c>
      <c r="HI5" s="28">
        <f t="shared" si="52"/>
        <v>107.52116363328091</v>
      </c>
      <c r="HJ5" s="28">
        <f t="shared" si="53"/>
        <v>14.147521530694858</v>
      </c>
      <c r="HK5" s="28">
        <f t="shared" si="54"/>
        <v>0</v>
      </c>
      <c r="HL5" s="28">
        <f t="shared" si="55"/>
        <v>6.2249094735057362</v>
      </c>
      <c r="HM5" s="28">
        <f t="shared" si="56"/>
        <v>4.5272068898223541</v>
      </c>
      <c r="HN5" s="28">
        <f t="shared" si="57"/>
        <v>1.6977025836833828</v>
      </c>
      <c r="HO5" s="28">
        <f t="shared" si="58"/>
        <v>0</v>
      </c>
      <c r="HP5" s="28">
        <f t="shared" si="59"/>
        <v>0</v>
      </c>
      <c r="HQ5" s="28">
        <f t="shared" si="60"/>
        <v>0</v>
      </c>
      <c r="HR5" s="28">
        <f t="shared" si="61"/>
        <v>2.8295043061389715</v>
      </c>
      <c r="HT5" s="4">
        <f>IFERROR(GR5/'McDonough &amp; Sun 1995 values'!C$2,)</f>
        <v>2425.2894052619749</v>
      </c>
      <c r="HU5" s="4">
        <f>IFERROR(GS5/'McDonough &amp; Sun 1995 values'!D$2,)</f>
        <v>697.94439551427956</v>
      </c>
      <c r="HV5" s="4">
        <f>IFERROR(GT5/'McDonough &amp; Sun 1995 values'!E$2,)</f>
        <v>10975.047005629951</v>
      </c>
      <c r="HW5" s="4">
        <f>IFERROR(GU5/'McDonough &amp; Sun 1995 values'!F$2,)</f>
        <v>5053.9573770029419</v>
      </c>
      <c r="HX5" s="4">
        <f>IFERROR(GV5/'McDonough &amp; Sun 1995 values'!G$2,)</f>
        <v>4460.3023545047827</v>
      </c>
      <c r="HY5" s="4">
        <f>IFERROR(GW5/'McDonough &amp; Sun 1995 values'!H$2,)</f>
        <v>891.293856433776</v>
      </c>
      <c r="HZ5" s="4">
        <f>IFERROR(GX5/'McDonough &amp; Sun 1995 values'!I$2,)</f>
        <v>122.35694296817174</v>
      </c>
      <c r="IA5" s="4">
        <f>IFERROR(GY5/'McDonough &amp; Sun 1995 values'!J$2,)</f>
        <v>114.38421663114993</v>
      </c>
      <c r="IB5" s="4">
        <f>IFERROR(GZ5/'McDonough &amp; Sun 1995 values'!K$2,)</f>
        <v>1982.3996218936622</v>
      </c>
      <c r="IC5" s="4">
        <f>IFERROR(HA5/'McDonough &amp; Sun 1995 values'!L$2,)</f>
        <v>1250.049663607665</v>
      </c>
      <c r="ID5" s="4">
        <f>IFERROR(HB5/'McDonough &amp; Sun 1995 values'!M$2,)</f>
        <v>980.30070448909225</v>
      </c>
      <c r="IE5" s="4">
        <f>IFERROR(HC5/'McDonough &amp; Sun 1995 values'!N$2,)</f>
        <v>469.21428192254302</v>
      </c>
      <c r="IF5" s="4">
        <f>IFERROR(HD5/'McDonough &amp; Sun 1995 values'!O$2,)</f>
        <v>538.73761988886019</v>
      </c>
      <c r="IG5" s="4">
        <f>IFERROR(HE5/'McDonough &amp; Sun 1995 values'!P$2,)</f>
        <v>55.753779431309781</v>
      </c>
      <c r="IH5" s="4">
        <f>IFERROR(HF5/'McDonough &amp; Sun 1995 values'!Q$2,)</f>
        <v>17.996847176855649</v>
      </c>
      <c r="II5" s="4">
        <f>IFERROR(HG5/'McDonough &amp; Sun 1995 values'!R$2,)</f>
        <v>3.0181379265482358</v>
      </c>
      <c r="IJ5" s="4">
        <f>IFERROR(HH5/'McDonough &amp; Sun 1995 values'!S$2,)</f>
        <v>40.421490087699588</v>
      </c>
      <c r="IK5" s="4">
        <f>IFERROR(HI5/'McDonough &amp; Sun 1995 values'!T$2,)</f>
        <v>8.9229181438407384E-2</v>
      </c>
      <c r="IL5" s="4">
        <f>IFERROR(HJ5/'McDonough &amp; Sun 1995 values'!U$2,)</f>
        <v>26.006473402012606</v>
      </c>
      <c r="IM5" s="4">
        <f>IFERROR(HK5/'McDonough &amp; Sun 1995 values'!V$2,)</f>
        <v>0</v>
      </c>
      <c r="IN5" s="4">
        <f>IFERROR(HL5/'McDonough &amp; Sun 1995 values'!W$2,)</f>
        <v>9.2357707322043563</v>
      </c>
      <c r="IO5" s="4">
        <f>IFERROR(HM5/'McDonough &amp; Sun 1995 values'!X$2,)</f>
        <v>1.0528388115865941</v>
      </c>
      <c r="IP5" s="4">
        <f>IFERROR(HN5/'McDonough &amp; Sun 1995 values'!Y$2,)</f>
        <v>11.393977071700556</v>
      </c>
      <c r="IQ5" s="4">
        <f>IFERROR(HO5/'McDonough &amp; Sun 1995 values'!Z$2,)</f>
        <v>0</v>
      </c>
      <c r="IR5" s="4">
        <f>IFERROR(HP5/'McDonough &amp; Sun 1995 values'!AA$2,)</f>
        <v>0</v>
      </c>
      <c r="IS5" s="4">
        <f>IFERROR(HQ5/'McDonough &amp; Sun 1995 values'!AB$2,)</f>
        <v>0</v>
      </c>
      <c r="IT5" s="4">
        <f>IFERROR(HR5/'McDonough &amp; Sun 1995 values'!AC$2,)</f>
        <v>41.918582313169949</v>
      </c>
    </row>
    <row r="6" spans="1:254">
      <c r="A6" s="16" t="s">
        <v>847</v>
      </c>
      <c r="B6" s="16" t="s">
        <v>24</v>
      </c>
      <c r="C6" s="16" t="str">
        <f t="shared" si="0"/>
        <v>high-Mg carbonatitic</v>
      </c>
      <c r="D6" s="16" t="s">
        <v>25</v>
      </c>
      <c r="E6" s="16" t="s">
        <v>1394</v>
      </c>
      <c r="F6" s="16" t="s">
        <v>142</v>
      </c>
      <c r="G6" s="16" t="s">
        <v>595</v>
      </c>
      <c r="H6" s="27">
        <v>90.4</v>
      </c>
      <c r="I6" s="16" t="s">
        <v>1148</v>
      </c>
      <c r="J6" s="16">
        <v>0</v>
      </c>
      <c r="K6" s="16">
        <v>0</v>
      </c>
      <c r="L6" s="16" t="s">
        <v>160</v>
      </c>
      <c r="M6" s="16" t="s">
        <v>1714</v>
      </c>
      <c r="N6" s="16">
        <v>38</v>
      </c>
      <c r="O6" s="26">
        <v>4.7299999999999995</v>
      </c>
      <c r="P6" s="26">
        <v>0.76210526315789462</v>
      </c>
      <c r="Q6" s="26">
        <v>1.7052631578947368</v>
      </c>
      <c r="R6" s="26"/>
      <c r="S6" s="26">
        <v>10.055789473684211</v>
      </c>
      <c r="T6" s="26">
        <v>22.043684210526315</v>
      </c>
      <c r="U6" s="26"/>
      <c r="V6" s="26">
        <v>23.059473684210523</v>
      </c>
      <c r="W6" s="26">
        <v>7.007894736842105</v>
      </c>
      <c r="X6" s="26">
        <v>22.996315789473684</v>
      </c>
      <c r="Y6" s="26"/>
      <c r="Z6" s="26">
        <v>0.46105263157894727</v>
      </c>
      <c r="AA6" s="26"/>
      <c r="AB6" s="26"/>
      <c r="AC6" s="26"/>
      <c r="AD6" s="26">
        <v>7.1789473684210527</v>
      </c>
      <c r="AE6" s="26"/>
      <c r="AF6" s="26"/>
      <c r="AG6" s="26"/>
      <c r="AH6" s="26"/>
      <c r="AI6" s="26">
        <v>9.1594736842105249</v>
      </c>
      <c r="AJ6" s="26">
        <f t="shared" si="62"/>
        <v>98.295263157894738</v>
      </c>
      <c r="AK6" s="26">
        <f t="shared" si="63"/>
        <v>4.8926720288707575</v>
      </c>
      <c r="AL6" s="26">
        <f t="shared" si="1"/>
        <v>0.78831524399742492</v>
      </c>
      <c r="AM6" s="26">
        <f t="shared" si="2"/>
        <v>0</v>
      </c>
      <c r="AN6" s="26">
        <f t="shared" si="64"/>
        <v>10.401623654568233</v>
      </c>
      <c r="AO6" s="26">
        <f t="shared" si="65"/>
        <v>22.801800665983528</v>
      </c>
      <c r="AP6" s="26">
        <f t="shared" si="3"/>
        <v>23.852524713576777</v>
      </c>
      <c r="AQ6" s="26">
        <f t="shared" si="4"/>
        <v>0</v>
      </c>
      <c r="AR6" s="26">
        <f t="shared" si="5"/>
        <v>7.2489070951835028</v>
      </c>
      <c r="AS6" s="26">
        <f t="shared" si="66"/>
        <v>23.78719472098031</v>
      </c>
      <c r="AT6" s="26">
        <f t="shared" si="6"/>
        <v>0.47690894595424316</v>
      </c>
      <c r="AU6" s="26">
        <f t="shared" si="67"/>
        <v>7.4258424917989476</v>
      </c>
      <c r="AV6" s="26">
        <f t="shared" si="7"/>
        <v>101.67578956091373</v>
      </c>
      <c r="AW6" s="16"/>
      <c r="AX6" s="16"/>
      <c r="AY6" s="16"/>
      <c r="AZ6" s="16"/>
      <c r="BA6" s="26"/>
      <c r="BB6" s="26"/>
      <c r="BC6" s="26"/>
      <c r="BD6" s="26"/>
      <c r="BE6" s="26">
        <v>-4.915</v>
      </c>
      <c r="BF6" s="16"/>
      <c r="BG6" s="16">
        <v>650</v>
      </c>
      <c r="BH6" s="16"/>
      <c r="BI6" s="16"/>
      <c r="BJ6" s="16"/>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28"/>
      <c r="DW6" s="28"/>
      <c r="DX6" s="28"/>
      <c r="DY6" s="28"/>
      <c r="DZ6" s="28"/>
      <c r="EA6" s="28"/>
      <c r="EB6" s="28"/>
      <c r="EC6" s="28"/>
      <c r="ED6" s="28"/>
      <c r="EE6" s="28"/>
      <c r="EF6" s="28"/>
      <c r="EG6" s="28"/>
      <c r="EH6" s="28"/>
      <c r="EI6" s="28"/>
      <c r="EJ6" s="18"/>
      <c r="EK6" s="18"/>
      <c r="EL6" s="18">
        <f>IFERROR(CR6/'McDonough &amp; Sun 1995 values'!C$2,)</f>
        <v>0</v>
      </c>
      <c r="EM6" s="18">
        <f>IFERROR(CH6/'McDonough &amp; Sun 1995 values'!D$2,)</f>
        <v>0</v>
      </c>
      <c r="EN6" s="18">
        <f>IFERROR(CS6/'McDonough &amp; Sun 1995 values'!E$2,)</f>
        <v>0</v>
      </c>
      <c r="EO6" s="18">
        <f>IFERROR(DL6/'McDonough &amp; Sun 1995 values'!F$2,)</f>
        <v>0</v>
      </c>
      <c r="EP6" s="18">
        <f>IFERROR(DM6/'McDonough &amp; Sun 1995 values'!G$2,)</f>
        <v>0</v>
      </c>
      <c r="EQ6" s="18">
        <f>IFERROR(BR6/'McDonough &amp; Sun 1995 values'!H$2,)</f>
        <v>0</v>
      </c>
      <c r="ER6" s="18">
        <f>IFERROR(DI6/'McDonough &amp; Sun 1995 values'!I$2,)</f>
        <v>0</v>
      </c>
      <c r="ES6" s="18">
        <f>IFERROR(CM6/'McDonough &amp; Sun 1995 values'!J$2,)</f>
        <v>0</v>
      </c>
      <c r="ET6" s="18">
        <f>IFERROR(CU6/'McDonough &amp; Sun 1995 values'!K$2,)</f>
        <v>0</v>
      </c>
      <c r="EU6" s="18">
        <f>IFERROR(CV6/'McDonough &amp; Sun 1995 values'!L$2,)</f>
        <v>0</v>
      </c>
      <c r="EV6" s="18">
        <f>IFERROR(CW6/'McDonough &amp; Sun 1995 values'!M$2,)</f>
        <v>0</v>
      </c>
      <c r="EW6" s="18">
        <f>IFERROR(CI6/'McDonough &amp; Sun 1995 values'!N$2,)</f>
        <v>0</v>
      </c>
      <c r="EX6" s="18">
        <f>IFERROR(CX6/'McDonough &amp; Sun 1995 values'!O$2,)</f>
        <v>0</v>
      </c>
      <c r="EY6" s="18">
        <f>IFERROR(CY6/'McDonough &amp; Sun 1995 values'!P$2,)</f>
        <v>0</v>
      </c>
      <c r="EZ6" s="18">
        <f>IFERROR(DH6/'McDonough &amp; Sun 1995 values'!Q$2,)</f>
        <v>0</v>
      </c>
      <c r="FA6" s="18">
        <f>IFERROR(CK6/'McDonough &amp; Sun 1995 values'!R$2,)</f>
        <v>0</v>
      </c>
      <c r="FB6" s="18">
        <f>IFERROR(CZ6/'McDonough &amp; Sun 1995 values'!S$2,)</f>
        <v>0</v>
      </c>
      <c r="FC6" s="18">
        <f>IFERROR(BT6/'McDonough &amp; Sun 1995 values'!T$2,)</f>
        <v>0</v>
      </c>
      <c r="FD6" s="18">
        <f>IFERROR(DA6/'McDonough &amp; Sun 1995 values'!U$2,)</f>
        <v>0</v>
      </c>
      <c r="FE6" s="18">
        <f>IFERROR(DN6/'McDonough &amp; Sun 1995 values'!V$2,)</f>
        <v>0</v>
      </c>
      <c r="FF6" s="18">
        <f>IFERROR(DB6/'McDonough &amp; Sun 1995 values'!W$2,)</f>
        <v>0</v>
      </c>
      <c r="FG6" s="18">
        <f>IFERROR(CJ6/'McDonough &amp; Sun 1995 values'!X$2,)</f>
        <v>0</v>
      </c>
      <c r="FH6" s="18">
        <f>IFERROR(DC6/'McDonough &amp; Sun 1995 values'!Y$2,)</f>
        <v>0</v>
      </c>
      <c r="FI6" s="18">
        <f>IFERROR(DD6/'McDonough &amp; Sun 1995 values'!Z$2,)</f>
        <v>0</v>
      </c>
      <c r="FJ6" s="18">
        <f>IFERROR(DE6/'McDonough &amp; Sun 1995 values'!AA$2,)</f>
        <v>0</v>
      </c>
      <c r="FK6" s="18">
        <f>IFERROR(DF6/'McDonough &amp; Sun 1995 values'!AB$2,)</f>
        <v>0</v>
      </c>
      <c r="FL6" s="18">
        <f>IFERROR(DG6/'McDonough &amp; Sun 1995 values'!AC$2,)</f>
        <v>0</v>
      </c>
      <c r="FN6" s="28">
        <f t="shared" si="68"/>
        <v>0</v>
      </c>
      <c r="FO6" s="4">
        <f t="shared" si="8"/>
        <v>0</v>
      </c>
      <c r="FP6" s="4">
        <f t="shared" si="9"/>
        <v>0</v>
      </c>
      <c r="FQ6" s="4">
        <f t="shared" si="10"/>
        <v>0</v>
      </c>
      <c r="FR6" s="4">
        <f t="shared" si="11"/>
        <v>0</v>
      </c>
      <c r="FS6" s="4">
        <f t="shared" si="12"/>
        <v>0</v>
      </c>
      <c r="FT6" s="4">
        <f t="shared" si="13"/>
        <v>0</v>
      </c>
      <c r="FU6" s="4">
        <f t="shared" si="14"/>
        <v>0</v>
      </c>
      <c r="FV6" s="4">
        <f t="shared" si="15"/>
        <v>0</v>
      </c>
      <c r="FW6" s="4">
        <f t="shared" si="16"/>
        <v>0</v>
      </c>
      <c r="FX6" s="4">
        <f t="shared" si="17"/>
        <v>0</v>
      </c>
      <c r="FY6" s="4">
        <f t="shared" si="18"/>
        <v>0</v>
      </c>
      <c r="FZ6" s="4">
        <f t="shared" si="19"/>
        <v>0</v>
      </c>
      <c r="GA6" s="4">
        <f t="shared" si="20"/>
        <v>0</v>
      </c>
      <c r="GB6" s="4">
        <f t="shared" si="21"/>
        <v>0</v>
      </c>
      <c r="GC6" s="4">
        <f t="shared" si="22"/>
        <v>0</v>
      </c>
      <c r="GD6" s="4">
        <f t="shared" si="23"/>
        <v>0</v>
      </c>
      <c r="GE6" s="4">
        <f t="shared" si="24"/>
        <v>0</v>
      </c>
      <c r="GF6" s="4">
        <f t="shared" si="25"/>
        <v>0</v>
      </c>
      <c r="GG6" s="4">
        <f t="shared" si="26"/>
        <v>0</v>
      </c>
      <c r="GH6" s="4">
        <f t="shared" si="27"/>
        <v>0</v>
      </c>
      <c r="GI6" s="4">
        <f t="shared" si="28"/>
        <v>0</v>
      </c>
      <c r="GJ6" s="4">
        <f t="shared" si="29"/>
        <v>0</v>
      </c>
      <c r="GK6" s="4">
        <f t="shared" si="30"/>
        <v>0</v>
      </c>
      <c r="GL6" s="4">
        <f t="shared" si="31"/>
        <v>0</v>
      </c>
      <c r="GM6" s="4">
        <f t="shared" si="32"/>
        <v>0</v>
      </c>
      <c r="GN6" s="4">
        <f t="shared" si="33"/>
        <v>0</v>
      </c>
      <c r="GO6" s="4">
        <f t="shared" si="34"/>
        <v>0</v>
      </c>
      <c r="GP6" s="4">
        <f t="shared" si="35"/>
        <v>0</v>
      </c>
      <c r="GQ6" s="27">
        <f t="shared" si="70"/>
        <v>197466.3771229127</v>
      </c>
      <c r="GR6" s="28" t="str">
        <f t="shared" si="69"/>
        <v/>
      </c>
      <c r="GS6" s="28" t="str">
        <f t="shared" si="36"/>
        <v/>
      </c>
      <c r="GT6" s="28" t="str">
        <f t="shared" si="37"/>
        <v/>
      </c>
      <c r="GU6" s="28" t="str">
        <f t="shared" si="38"/>
        <v/>
      </c>
      <c r="GV6" s="28" t="str">
        <f t="shared" si="39"/>
        <v/>
      </c>
      <c r="GW6" s="28" t="str">
        <f t="shared" si="40"/>
        <v/>
      </c>
      <c r="GX6" s="28" t="str">
        <f t="shared" si="41"/>
        <v/>
      </c>
      <c r="GY6" s="28" t="str">
        <f t="shared" si="42"/>
        <v/>
      </c>
      <c r="GZ6" s="28" t="str">
        <f t="shared" si="43"/>
        <v/>
      </c>
      <c r="HA6" s="28" t="str">
        <f t="shared" si="44"/>
        <v/>
      </c>
      <c r="HB6" s="28" t="str">
        <f t="shared" si="45"/>
        <v/>
      </c>
      <c r="HC6" s="28" t="str">
        <f t="shared" si="46"/>
        <v/>
      </c>
      <c r="HD6" s="28" t="str">
        <f t="shared" si="47"/>
        <v/>
      </c>
      <c r="HE6" s="28" t="str">
        <f t="shared" si="48"/>
        <v/>
      </c>
      <c r="HF6" s="28" t="str">
        <f t="shared" si="49"/>
        <v/>
      </c>
      <c r="HG6" s="28" t="str">
        <f t="shared" si="50"/>
        <v/>
      </c>
      <c r="HH6" s="28" t="str">
        <f t="shared" si="51"/>
        <v/>
      </c>
      <c r="HI6" s="28" t="str">
        <f t="shared" si="52"/>
        <v/>
      </c>
      <c r="HJ6" s="28" t="str">
        <f t="shared" si="53"/>
        <v/>
      </c>
      <c r="HK6" s="28" t="str">
        <f t="shared" si="54"/>
        <v/>
      </c>
      <c r="HL6" s="28" t="str">
        <f t="shared" si="55"/>
        <v/>
      </c>
      <c r="HM6" s="28" t="str">
        <f t="shared" si="56"/>
        <v/>
      </c>
      <c r="HN6" s="28" t="str">
        <f t="shared" si="57"/>
        <v/>
      </c>
      <c r="HO6" s="28" t="str">
        <f t="shared" si="58"/>
        <v/>
      </c>
      <c r="HP6" s="28" t="str">
        <f t="shared" si="59"/>
        <v/>
      </c>
      <c r="HQ6" s="28" t="str">
        <f t="shared" si="60"/>
        <v/>
      </c>
      <c r="HR6" s="28" t="str">
        <f t="shared" si="61"/>
        <v/>
      </c>
      <c r="HT6" s="4">
        <f>IFERROR(GR6/'McDonough &amp; Sun 1995 values'!C$2,)</f>
        <v>0</v>
      </c>
      <c r="HU6" s="4">
        <f>IFERROR(GS6/'McDonough &amp; Sun 1995 values'!D$2,)</f>
        <v>0</v>
      </c>
      <c r="HV6" s="4">
        <f>IFERROR(GT6/'McDonough &amp; Sun 1995 values'!E$2,)</f>
        <v>0</v>
      </c>
      <c r="HW6" s="4">
        <f>IFERROR(GU6/'McDonough &amp; Sun 1995 values'!F$2,)</f>
        <v>0</v>
      </c>
      <c r="HX6" s="4">
        <f>IFERROR(GV6/'McDonough &amp; Sun 1995 values'!G$2,)</f>
        <v>0</v>
      </c>
      <c r="HY6" s="4">
        <f>IFERROR(GW6/'McDonough &amp; Sun 1995 values'!H$2,)</f>
        <v>0</v>
      </c>
      <c r="HZ6" s="4">
        <f>IFERROR(GX6/'McDonough &amp; Sun 1995 values'!I$2,)</f>
        <v>0</v>
      </c>
      <c r="IA6" s="4">
        <f>IFERROR(GY6/'McDonough &amp; Sun 1995 values'!J$2,)</f>
        <v>0</v>
      </c>
      <c r="IB6" s="4">
        <f>IFERROR(GZ6/'McDonough &amp; Sun 1995 values'!K$2,)</f>
        <v>0</v>
      </c>
      <c r="IC6" s="4">
        <f>IFERROR(HA6/'McDonough &amp; Sun 1995 values'!L$2,)</f>
        <v>0</v>
      </c>
      <c r="ID6" s="4">
        <f>IFERROR(HB6/'McDonough &amp; Sun 1995 values'!M$2,)</f>
        <v>0</v>
      </c>
      <c r="IE6" s="4">
        <f>IFERROR(HC6/'McDonough &amp; Sun 1995 values'!N$2,)</f>
        <v>0</v>
      </c>
      <c r="IF6" s="4">
        <f>IFERROR(HD6/'McDonough &amp; Sun 1995 values'!O$2,)</f>
        <v>0</v>
      </c>
      <c r="IG6" s="4">
        <f>IFERROR(HE6/'McDonough &amp; Sun 1995 values'!P$2,)</f>
        <v>0</v>
      </c>
      <c r="IH6" s="4">
        <f>IFERROR(HF6/'McDonough &amp; Sun 1995 values'!Q$2,)</f>
        <v>0</v>
      </c>
      <c r="II6" s="4">
        <f>IFERROR(HG6/'McDonough &amp; Sun 1995 values'!R$2,)</f>
        <v>0</v>
      </c>
      <c r="IJ6" s="4">
        <f>IFERROR(HH6/'McDonough &amp; Sun 1995 values'!S$2,)</f>
        <v>0</v>
      </c>
      <c r="IK6" s="4">
        <f>IFERROR(HI6/'McDonough &amp; Sun 1995 values'!T$2,)</f>
        <v>0</v>
      </c>
      <c r="IL6" s="4">
        <f>IFERROR(HJ6/'McDonough &amp; Sun 1995 values'!U$2,)</f>
        <v>0</v>
      </c>
      <c r="IM6" s="4">
        <f>IFERROR(HK6/'McDonough &amp; Sun 1995 values'!V$2,)</f>
        <v>0</v>
      </c>
      <c r="IN6" s="4">
        <f>IFERROR(HL6/'McDonough &amp; Sun 1995 values'!W$2,)</f>
        <v>0</v>
      </c>
      <c r="IO6" s="4">
        <f>IFERROR(HM6/'McDonough &amp; Sun 1995 values'!X$2,)</f>
        <v>0</v>
      </c>
      <c r="IP6" s="4">
        <f>IFERROR(HN6/'McDonough &amp; Sun 1995 values'!Y$2,)</f>
        <v>0</v>
      </c>
      <c r="IQ6" s="4">
        <f>IFERROR(HO6/'McDonough &amp; Sun 1995 values'!Z$2,)</f>
        <v>0</v>
      </c>
      <c r="IR6" s="4">
        <f>IFERROR(HP6/'McDonough &amp; Sun 1995 values'!AA$2,)</f>
        <v>0</v>
      </c>
      <c r="IS6" s="4">
        <f>IFERROR(HQ6/'McDonough &amp; Sun 1995 values'!AB$2,)</f>
        <v>0</v>
      </c>
      <c r="IT6" s="4">
        <f>IFERROR(HR6/'McDonough &amp; Sun 1995 values'!AC$2,)</f>
        <v>0</v>
      </c>
    </row>
    <row r="7" spans="1:254">
      <c r="A7" s="16" t="s">
        <v>641</v>
      </c>
      <c r="B7" s="16" t="s">
        <v>24</v>
      </c>
      <c r="C7" s="16" t="str">
        <f t="shared" si="0"/>
        <v>high-Mg carbonatitic</v>
      </c>
      <c r="D7" s="16" t="s">
        <v>1707</v>
      </c>
      <c r="E7" s="16" t="s">
        <v>237</v>
      </c>
      <c r="F7" s="16" t="s">
        <v>639</v>
      </c>
      <c r="G7" s="16" t="s">
        <v>640</v>
      </c>
      <c r="H7" s="27">
        <v>0</v>
      </c>
      <c r="I7" s="16" t="s">
        <v>712</v>
      </c>
      <c r="J7" s="16" t="s">
        <v>635</v>
      </c>
      <c r="K7" s="16" t="s">
        <v>642</v>
      </c>
      <c r="L7" s="16">
        <v>0</v>
      </c>
      <c r="M7" s="16" t="s">
        <v>618</v>
      </c>
      <c r="N7" s="16" t="s">
        <v>1084</v>
      </c>
      <c r="O7" s="26">
        <v>13.4</v>
      </c>
      <c r="P7" s="26">
        <v>4.07</v>
      </c>
      <c r="Q7" s="26">
        <v>0.45</v>
      </c>
      <c r="R7" s="26">
        <v>5.09</v>
      </c>
      <c r="S7" s="26">
        <v>10.4</v>
      </c>
      <c r="T7" s="26">
        <v>22.1</v>
      </c>
      <c r="U7" s="26">
        <v>0.27</v>
      </c>
      <c r="V7" s="26">
        <v>33.6</v>
      </c>
      <c r="W7" s="26">
        <v>1.37</v>
      </c>
      <c r="X7" s="26">
        <v>1.82</v>
      </c>
      <c r="Y7" s="26"/>
      <c r="Z7" s="26">
        <v>4.3099999999999996</v>
      </c>
      <c r="AA7" s="26"/>
      <c r="AB7" s="26">
        <v>1.56</v>
      </c>
      <c r="AC7" s="26"/>
      <c r="AD7" s="26"/>
      <c r="AE7" s="26"/>
      <c r="AF7" s="26">
        <v>1.63</v>
      </c>
      <c r="AG7" s="26"/>
      <c r="AH7" s="26"/>
      <c r="AI7" s="26"/>
      <c r="AJ7" s="26">
        <f t="shared" si="62"/>
        <v>97.72</v>
      </c>
      <c r="AK7" s="26">
        <f t="shared" si="63"/>
        <v>13.712648383135489</v>
      </c>
      <c r="AL7" s="26">
        <f t="shared" si="1"/>
        <v>4.164961113385182</v>
      </c>
      <c r="AM7" s="26">
        <f t="shared" si="2"/>
        <v>5.2087597216537045</v>
      </c>
      <c r="AN7" s="26">
        <f t="shared" si="64"/>
        <v>10.642652476463365</v>
      </c>
      <c r="AO7" s="26">
        <f t="shared" si="65"/>
        <v>22.615636512484652</v>
      </c>
      <c r="AP7" s="26">
        <f t="shared" si="3"/>
        <v>34.383954154727796</v>
      </c>
      <c r="AQ7" s="26">
        <f t="shared" si="4"/>
        <v>1.5963978714695046</v>
      </c>
      <c r="AR7" s="26">
        <f t="shared" si="5"/>
        <v>1.4019647973802702</v>
      </c>
      <c r="AS7" s="26">
        <f t="shared" si="66"/>
        <v>1.8624641833810889</v>
      </c>
      <c r="AT7" s="26">
        <f t="shared" si="6"/>
        <v>4.4105607859189515</v>
      </c>
      <c r="AU7" s="26">
        <f t="shared" si="67"/>
        <v>0</v>
      </c>
      <c r="AV7" s="26">
        <f t="shared" si="7"/>
        <v>100.00000000000001</v>
      </c>
      <c r="AW7" s="16"/>
      <c r="AX7" s="16"/>
      <c r="AY7" s="16"/>
      <c r="AZ7" s="16"/>
      <c r="BA7" s="26"/>
      <c r="BB7" s="26">
        <v>0.06</v>
      </c>
      <c r="BC7" s="26">
        <f t="shared" ref="BC7:BC32" si="71">1-BD7</f>
        <v>6.0000000000000053E-2</v>
      </c>
      <c r="BD7" s="26">
        <f t="shared" ref="BD7:BD32" si="72">1-BB7</f>
        <v>0.94</v>
      </c>
      <c r="BE7" s="25">
        <v>-4.8875000000000002</v>
      </c>
      <c r="BF7" s="16"/>
      <c r="BG7" s="16" t="s">
        <v>1504</v>
      </c>
      <c r="BH7" s="16"/>
      <c r="BI7" s="16"/>
      <c r="BJ7" s="16"/>
      <c r="BK7" s="18"/>
      <c r="BL7" s="18"/>
      <c r="BM7" s="18"/>
      <c r="BN7" s="18">
        <v>294.83999999999997</v>
      </c>
      <c r="BO7" s="18">
        <v>314.51</v>
      </c>
      <c r="BP7" s="18">
        <v>33.4</v>
      </c>
      <c r="BQ7" s="18">
        <v>54.99</v>
      </c>
      <c r="BR7" s="18">
        <v>474.34</v>
      </c>
      <c r="BS7" s="18">
        <v>542.67999999999995</v>
      </c>
      <c r="BT7" s="18">
        <v>43.01</v>
      </c>
      <c r="BU7" s="18">
        <v>1.88</v>
      </c>
      <c r="BV7" s="18">
        <v>10.18</v>
      </c>
      <c r="BW7" s="18">
        <v>196.68</v>
      </c>
      <c r="BX7" s="18">
        <v>0.23499999999999999</v>
      </c>
      <c r="BY7" s="18">
        <v>0.313</v>
      </c>
      <c r="BZ7" s="18">
        <v>2.72</v>
      </c>
      <c r="CA7" s="18">
        <v>0.17599999999999999</v>
      </c>
      <c r="CB7" s="18">
        <v>6.3E-2</v>
      </c>
      <c r="CC7" s="18"/>
      <c r="CD7" s="18"/>
      <c r="CE7" s="18"/>
      <c r="CF7" s="18"/>
      <c r="CG7" s="18"/>
      <c r="CH7" s="18">
        <v>1.42</v>
      </c>
      <c r="CI7" s="18">
        <v>13.92</v>
      </c>
      <c r="CJ7" s="18">
        <v>0.115</v>
      </c>
      <c r="CK7" s="18">
        <v>0.94</v>
      </c>
      <c r="CL7" s="18"/>
      <c r="CM7" s="18">
        <v>4.0599999999999996</v>
      </c>
      <c r="CN7" s="18"/>
      <c r="CO7" s="18"/>
      <c r="CP7" s="18"/>
      <c r="CQ7" s="18"/>
      <c r="CR7" s="18">
        <v>2.5999999999999999E-2</v>
      </c>
      <c r="CS7" s="18">
        <v>66.31</v>
      </c>
      <c r="CT7" s="18">
        <v>0.32300000000000001</v>
      </c>
      <c r="CU7" s="18">
        <v>4.37</v>
      </c>
      <c r="CV7" s="18">
        <v>5.22</v>
      </c>
      <c r="CW7" s="18">
        <v>0.51700000000000002</v>
      </c>
      <c r="CX7" s="18">
        <v>1.82</v>
      </c>
      <c r="CY7" s="18">
        <v>0.151</v>
      </c>
      <c r="CZ7" s="18">
        <v>4.1000000000000002E-2</v>
      </c>
      <c r="DA7" s="18">
        <v>9.5000000000000001E-2</v>
      </c>
      <c r="DB7" s="18">
        <v>3.4000000000000002E-2</v>
      </c>
      <c r="DC7" s="18">
        <v>6.0000000000000001E-3</v>
      </c>
      <c r="DD7" s="18">
        <v>1.4E-2</v>
      </c>
      <c r="DE7" s="18"/>
      <c r="DF7" s="18">
        <v>1.7000000000000001E-2</v>
      </c>
      <c r="DG7" s="18">
        <v>3.0000000000000001E-3</v>
      </c>
      <c r="DH7" s="18">
        <v>2.3E-2</v>
      </c>
      <c r="DI7" s="18">
        <v>0.11</v>
      </c>
      <c r="DJ7" s="18">
        <v>0.22</v>
      </c>
      <c r="DK7" s="18">
        <v>0.39</v>
      </c>
      <c r="DL7" s="18">
        <v>0.85</v>
      </c>
      <c r="DM7" s="18">
        <v>0.11799999999999999</v>
      </c>
      <c r="DN7" s="18"/>
      <c r="DO7" s="18"/>
      <c r="DP7" s="18"/>
      <c r="DQ7" s="18"/>
      <c r="DR7" s="18"/>
      <c r="DS7" s="18"/>
      <c r="DT7" s="18"/>
      <c r="DU7" s="18"/>
      <c r="DV7" s="28"/>
      <c r="DW7" s="28"/>
      <c r="DX7" s="28"/>
      <c r="DY7" s="28"/>
      <c r="DZ7" s="28"/>
      <c r="EA7" s="28"/>
      <c r="EB7" s="28"/>
      <c r="EC7" s="28"/>
      <c r="ED7" s="28"/>
      <c r="EE7" s="28"/>
      <c r="EF7" s="28"/>
      <c r="EG7" s="28"/>
      <c r="EH7" s="28"/>
      <c r="EI7" s="28"/>
      <c r="EJ7" s="18"/>
      <c r="EK7" s="18"/>
      <c r="EL7" s="18">
        <f>IFERROR(CR7/'McDonough &amp; Sun 1995 values'!C$2,)</f>
        <v>1.2380952380952379</v>
      </c>
      <c r="EM7" s="18">
        <f>IFERROR(CH7/'McDonough &amp; Sun 1995 values'!D$2,)</f>
        <v>2.3666666666666667</v>
      </c>
      <c r="EN7" s="18">
        <f>IFERROR(CS7/'McDonough &amp; Sun 1995 values'!E$2,)</f>
        <v>10.046969696969699</v>
      </c>
      <c r="EO7" s="18">
        <f>IFERROR(DL7/'McDonough &amp; Sun 1995 values'!F$2,)</f>
        <v>10.691823899371069</v>
      </c>
      <c r="EP7" s="18">
        <f>IFERROR(DM7/'McDonough &amp; Sun 1995 values'!G$2,)</f>
        <v>5.8128078817733995</v>
      </c>
      <c r="EQ7" s="18">
        <f>IFERROR(BR7/'McDonough &amp; Sun 1995 values'!H$2,)</f>
        <v>1.9764166666666665</v>
      </c>
      <c r="ER7" s="18">
        <f>IFERROR(DI7/'McDonough &amp; Sun 1995 values'!I$2,)</f>
        <v>2.9729729729729732</v>
      </c>
      <c r="ES7" s="18">
        <f>IFERROR(CM7/'McDonough &amp; Sun 1995 values'!J$2,)</f>
        <v>6.1702127659574462</v>
      </c>
      <c r="ET7" s="18">
        <f>IFERROR(CU7/'McDonough &amp; Sun 1995 values'!K$2,)</f>
        <v>6.7438271604938267</v>
      </c>
      <c r="EU7" s="18">
        <f>IFERROR(CV7/'McDonough &amp; Sun 1995 values'!L$2,)</f>
        <v>3.116417910447761</v>
      </c>
      <c r="EV7" s="18">
        <f>IFERROR(CW7/'McDonough &amp; Sun 1995 values'!M$2,)</f>
        <v>2.0354330708661417</v>
      </c>
      <c r="EW7" s="18">
        <f>IFERROR(CI7/'McDonough &amp; Sun 1995 values'!N$2,)</f>
        <v>0.69949748743718598</v>
      </c>
      <c r="EX7" s="18">
        <f>IFERROR(CX7/'McDonough &amp; Sun 1995 values'!O$2,)</f>
        <v>1.456</v>
      </c>
      <c r="EY7" s="18">
        <f>IFERROR(CY7/'McDonough &amp; Sun 1995 values'!P$2,)</f>
        <v>0.37192118226600984</v>
      </c>
      <c r="EZ7" s="18">
        <f>IFERROR(DH7/'McDonough &amp; Sun 1995 values'!Q$2,)</f>
        <v>8.1272084805653719E-2</v>
      </c>
      <c r="FA7" s="18">
        <f>IFERROR(CK7/'McDonough &amp; Sun 1995 values'!R$2,)</f>
        <v>8.9523809523809519E-2</v>
      </c>
      <c r="FB7" s="18">
        <f>IFERROR(CZ7/'McDonough &amp; Sun 1995 values'!S$2,)</f>
        <v>0.26623376623376627</v>
      </c>
      <c r="FC7" s="18">
        <f>IFERROR(BT7/'McDonough &amp; Sun 1995 values'!T$2,)</f>
        <v>3.5692946058091285E-2</v>
      </c>
      <c r="FD7" s="18">
        <f>IFERROR(DA7/'McDonough &amp; Sun 1995 values'!U$2,)</f>
        <v>0.17463235294117646</v>
      </c>
      <c r="FE7" s="18">
        <f>IFERROR(DN7/'McDonough &amp; Sun 1995 values'!V$2,)</f>
        <v>0</v>
      </c>
      <c r="FF7" s="18">
        <f>IFERROR(DB7/'McDonough &amp; Sun 1995 values'!W$2,)</f>
        <v>5.0445103857566766E-2</v>
      </c>
      <c r="FG7" s="18">
        <f>IFERROR(CJ7/'McDonough &amp; Sun 1995 values'!X$2,)</f>
        <v>2.6744186046511631E-2</v>
      </c>
      <c r="FH7" s="18">
        <f>IFERROR(DC7/'McDonough &amp; Sun 1995 values'!Y$2,)</f>
        <v>4.0268456375838931E-2</v>
      </c>
      <c r="FI7" s="18">
        <f>IFERROR(DD7/'McDonough &amp; Sun 1995 values'!Z$2,)</f>
        <v>3.1963470319634701E-2</v>
      </c>
      <c r="FJ7" s="18">
        <f>IFERROR(DE7/'McDonough &amp; Sun 1995 values'!AA$2,)</f>
        <v>0</v>
      </c>
      <c r="FK7" s="18">
        <f>IFERROR(DF7/'McDonough &amp; Sun 1995 values'!AB$2,)</f>
        <v>3.8548752834467126E-2</v>
      </c>
      <c r="FL7" s="18">
        <f>IFERROR(DG7/'McDonough &amp; Sun 1995 values'!AC$2,)</f>
        <v>4.4444444444444439E-2</v>
      </c>
      <c r="FN7" s="28">
        <f t="shared" si="68"/>
        <v>2.9410842257149219</v>
      </c>
      <c r="FO7" s="4">
        <f t="shared" si="8"/>
        <v>1.7284193631227531</v>
      </c>
      <c r="FP7" s="4">
        <f t="shared" si="9"/>
        <v>1.7328128388635873</v>
      </c>
      <c r="FQ7" s="4">
        <f t="shared" si="10"/>
        <v>1.8393561454002771</v>
      </c>
      <c r="FR7" s="4">
        <f t="shared" si="11"/>
        <v>1.09296509152831</v>
      </c>
      <c r="FS7" s="4">
        <f t="shared" si="12"/>
        <v>2.2683782267115595</v>
      </c>
      <c r="FT7" s="4">
        <f t="shared" si="13"/>
        <v>1.9115384615384619</v>
      </c>
      <c r="FU7" s="4">
        <f t="shared" si="14"/>
        <v>0.48182665424044746</v>
      </c>
      <c r="FV7" s="4">
        <f t="shared" si="15"/>
        <v>0.24070640176600441</v>
      </c>
      <c r="FW7" s="4">
        <f t="shared" si="16"/>
        <v>1.1015320910973083</v>
      </c>
      <c r="FX7" s="4">
        <f t="shared" si="17"/>
        <v>0.97422758827401224</v>
      </c>
      <c r="FY7" s="4">
        <f t="shared" si="18"/>
        <v>0.40632828780688268</v>
      </c>
      <c r="FZ7" s="4">
        <f t="shared" si="19"/>
        <v>1.0446608667415558</v>
      </c>
      <c r="GA7" s="4">
        <f t="shared" si="20"/>
        <v>0.34366027429215712</v>
      </c>
      <c r="GB7" s="4">
        <f t="shared" si="21"/>
        <v>0.71583383503913312</v>
      </c>
      <c r="GC7" s="4">
        <f t="shared" si="22"/>
        <v>0.5231388329979878</v>
      </c>
      <c r="GD7" s="4">
        <f t="shared" si="23"/>
        <v>0.93968716577540123</v>
      </c>
      <c r="GE7" s="4">
        <f t="shared" si="24"/>
        <v>4.2451984635083235</v>
      </c>
      <c r="GF7" s="4">
        <f t="shared" si="25"/>
        <v>5.0834269243005608</v>
      </c>
      <c r="GG7" s="4">
        <f t="shared" si="26"/>
        <v>1.6283019853709513</v>
      </c>
      <c r="GH7" s="4">
        <f t="shared" si="27"/>
        <v>3.3132148912290753</v>
      </c>
      <c r="GI7" s="4">
        <f t="shared" si="28"/>
        <v>18.132409451393997</v>
      </c>
      <c r="GJ7" s="4">
        <f t="shared" si="29"/>
        <v>133.68645606390703</v>
      </c>
      <c r="GK7" s="4">
        <f t="shared" si="30"/>
        <v>174.94281045751629</v>
      </c>
      <c r="GL7" s="4">
        <f t="shared" si="31"/>
        <v>2.5081653214645541</v>
      </c>
      <c r="GM7" s="4">
        <f t="shared" si="32"/>
        <v>4.5176720701567898</v>
      </c>
      <c r="GN7" s="4">
        <f t="shared" si="33"/>
        <v>0.91494230488339257</v>
      </c>
      <c r="GO7" s="4">
        <f t="shared" si="34"/>
        <v>1.0614857554994588</v>
      </c>
      <c r="GP7" s="4">
        <f t="shared" si="35"/>
        <v>0.34001066384180784</v>
      </c>
      <c r="GQ7" s="27">
        <f t="shared" si="70"/>
        <v>15461.00997311259</v>
      </c>
      <c r="GR7" s="28">
        <f t="shared" si="69"/>
        <v>0.84746439115597949</v>
      </c>
      <c r="GS7" s="28">
        <f t="shared" si="36"/>
        <v>46.284593670826574</v>
      </c>
      <c r="GT7" s="28">
        <f t="shared" si="37"/>
        <v>2161.3601452905</v>
      </c>
      <c r="GU7" s="28">
        <f t="shared" si="38"/>
        <v>27.705566633945487</v>
      </c>
      <c r="GV7" s="28">
        <f t="shared" si="39"/>
        <v>3.8461845444771376</v>
      </c>
      <c r="GW7" s="28">
        <f t="shared" si="40"/>
        <v>15461.00997311259</v>
      </c>
      <c r="GX7" s="28">
        <f t="shared" si="41"/>
        <v>3.5854262702752986</v>
      </c>
      <c r="GY7" s="28">
        <f t="shared" si="42"/>
        <v>132.33482415743373</v>
      </c>
      <c r="GZ7" s="28">
        <f t="shared" si="43"/>
        <v>142.43920728275504</v>
      </c>
      <c r="HA7" s="28">
        <f t="shared" si="44"/>
        <v>170.14477391670053</v>
      </c>
      <c r="HB7" s="28">
        <f t="shared" si="45"/>
        <v>16.851503470293903</v>
      </c>
      <c r="HC7" s="28">
        <f t="shared" si="46"/>
        <v>453.71939711120137</v>
      </c>
      <c r="HD7" s="28">
        <f t="shared" si="47"/>
        <v>59.32250738091858</v>
      </c>
      <c r="HE7" s="28">
        <f t="shared" si="48"/>
        <v>4.921812425559728</v>
      </c>
      <c r="HF7" s="28">
        <f t="shared" si="49"/>
        <v>0.74968003833028962</v>
      </c>
      <c r="HG7" s="28">
        <f t="shared" si="50"/>
        <v>30.639097218716184</v>
      </c>
      <c r="HH7" s="28">
        <f t="shared" si="51"/>
        <v>1.3363861552844294</v>
      </c>
      <c r="HI7" s="28">
        <f t="shared" si="52"/>
        <v>1401.9016716776414</v>
      </c>
      <c r="HJ7" s="28">
        <f t="shared" si="53"/>
        <v>3.0965045061468488</v>
      </c>
      <c r="HK7" s="28">
        <f t="shared" si="54"/>
        <v>0</v>
      </c>
      <c r="HL7" s="28">
        <f t="shared" si="55"/>
        <v>1.1082226653578195</v>
      </c>
      <c r="HM7" s="28">
        <f t="shared" si="56"/>
        <v>3.7484001916514487</v>
      </c>
      <c r="HN7" s="28">
        <f t="shared" si="57"/>
        <v>0.1955687056513799</v>
      </c>
      <c r="HO7" s="28">
        <f t="shared" si="58"/>
        <v>0.45632697985321979</v>
      </c>
      <c r="HP7" s="28">
        <f t="shared" si="59"/>
        <v>0</v>
      </c>
      <c r="HQ7" s="28">
        <f t="shared" si="60"/>
        <v>0.55411133267890977</v>
      </c>
      <c r="HR7" s="28">
        <f t="shared" si="61"/>
        <v>9.7784352825689952E-2</v>
      </c>
      <c r="HT7" s="4">
        <f>IFERROR(GR7/'McDonough &amp; Sun 1995 values'!C$2,)</f>
        <v>40.355447197903786</v>
      </c>
      <c r="HU7" s="4">
        <f>IFERROR(GS7/'McDonough &amp; Sun 1995 values'!D$2,)</f>
        <v>77.140989451377621</v>
      </c>
      <c r="HV7" s="4">
        <f>IFERROR(GT7/'McDonough &amp; Sun 1995 values'!E$2,)</f>
        <v>327.47880989250001</v>
      </c>
      <c r="HW7" s="4">
        <f>IFERROR(GU7/'McDonough &amp; Sun 1995 values'!F$2,)</f>
        <v>348.49769350874828</v>
      </c>
      <c r="HX7" s="4">
        <f>IFERROR(GV7/'McDonough &amp; Sun 1995 values'!G$2,)</f>
        <v>189.4672189397605</v>
      </c>
      <c r="HY7" s="4">
        <f>IFERROR(GW7/'McDonough &amp; Sun 1995 values'!H$2,)</f>
        <v>64.42087488796912</v>
      </c>
      <c r="HZ7" s="4">
        <f>IFERROR(GX7/'McDonough &amp; Sun 1995 values'!I$2,)</f>
        <v>96.903412710143215</v>
      </c>
      <c r="IA7" s="4">
        <f>IFERROR(GY7/'McDonough &amp; Sun 1995 values'!J$2,)</f>
        <v>201.11675403865308</v>
      </c>
      <c r="IB7" s="4">
        <f>IFERROR(GZ7/'McDonough &amp; Sun 1995 values'!K$2,)</f>
        <v>219.81359148573307</v>
      </c>
      <c r="IC7" s="4">
        <f>IFERROR(HA7/'McDonough &amp; Sun 1995 values'!L$2,)</f>
        <v>101.57896950250777</v>
      </c>
      <c r="ID7" s="4">
        <f>IFERROR(HB7/'McDonough &amp; Sun 1995 values'!M$2,)</f>
        <v>66.344501851550802</v>
      </c>
      <c r="IE7" s="4">
        <f>IFERROR(HC7/'McDonough &amp; Sun 1995 values'!N$2,)</f>
        <v>22.799969704080471</v>
      </c>
      <c r="IF7" s="4">
        <f>IFERROR(HD7/'McDonough &amp; Sun 1995 values'!O$2,)</f>
        <v>47.458005904734861</v>
      </c>
      <c r="IG7" s="4">
        <f>IFERROR(HE7/'McDonough &amp; Sun 1995 values'!P$2,)</f>
        <v>12.122690703349082</v>
      </c>
      <c r="IH7" s="4">
        <f>IFERROR(HF7/'McDonough &amp; Sun 1995 values'!Q$2,)</f>
        <v>2.6490460718384794</v>
      </c>
      <c r="II7" s="4">
        <f>IFERROR(HG7/'McDonough &amp; Sun 1995 values'!R$2,)</f>
        <v>2.918009258925351</v>
      </c>
      <c r="IJ7" s="4">
        <f>IFERROR(HH7/'McDonough &amp; Sun 1995 values'!S$2,)</f>
        <v>8.67783217717162</v>
      </c>
      <c r="IK7" s="4">
        <f>IFERROR(HI7/'McDonough &amp; Sun 1995 values'!T$2,)</f>
        <v>1.1634038769109056</v>
      </c>
      <c r="IL7" s="4">
        <f>IFERROR(HJ7/'McDonough &amp; Sun 1995 values'!U$2,)</f>
        <v>5.6921038715934715</v>
      </c>
      <c r="IM7" s="4">
        <f>IFERROR(HK7/'McDonough &amp; Sun 1995 values'!V$2,)</f>
        <v>0</v>
      </c>
      <c r="IN7" s="4">
        <f>IFERROR(HL7/'McDonough &amp; Sun 1995 values'!W$2,)</f>
        <v>1.6442472779789608</v>
      </c>
      <c r="IO7" s="4">
        <f>IFERROR(HM7/'McDonough &amp; Sun 1995 values'!X$2,)</f>
        <v>0.87172097480266253</v>
      </c>
      <c r="IP7" s="4">
        <f>IFERROR(HN7/'McDonough &amp; Sun 1995 values'!Y$2,)</f>
        <v>1.3125416486669792</v>
      </c>
      <c r="IQ7" s="4">
        <f>IFERROR(HO7/'McDonough &amp; Sun 1995 values'!Z$2,)</f>
        <v>1.0418424197562095</v>
      </c>
      <c r="IR7" s="4">
        <f>IFERROR(HP7/'McDonough &amp; Sun 1995 values'!AA$2,)</f>
        <v>0</v>
      </c>
      <c r="IS7" s="4">
        <f>IFERROR(HQ7/'McDonough &amp; Sun 1995 values'!AB$2,)</f>
        <v>1.2564882827186163</v>
      </c>
      <c r="IT7" s="4">
        <f>IFERROR(HR7/'McDonough &amp; Sun 1995 values'!AC$2,)</f>
        <v>1.4486570788991102</v>
      </c>
    </row>
    <row r="8" spans="1:254">
      <c r="A8" s="16" t="s">
        <v>641</v>
      </c>
      <c r="B8" s="16" t="s">
        <v>24</v>
      </c>
      <c r="C8" s="16" t="str">
        <f t="shared" si="0"/>
        <v>high-Mg carbonatitic</v>
      </c>
      <c r="D8" s="16" t="s">
        <v>1707</v>
      </c>
      <c r="E8" s="16" t="s">
        <v>237</v>
      </c>
      <c r="F8" s="16" t="s">
        <v>639</v>
      </c>
      <c r="G8" s="16" t="s">
        <v>640</v>
      </c>
      <c r="H8" s="27">
        <v>0</v>
      </c>
      <c r="I8" s="16" t="s">
        <v>712</v>
      </c>
      <c r="J8" s="16" t="s">
        <v>635</v>
      </c>
      <c r="K8" s="16" t="s">
        <v>642</v>
      </c>
      <c r="L8" s="16">
        <v>0</v>
      </c>
      <c r="M8" s="16" t="s">
        <v>617</v>
      </c>
      <c r="N8" s="16" t="s">
        <v>1084</v>
      </c>
      <c r="O8" s="26">
        <v>6.23</v>
      </c>
      <c r="P8" s="26">
        <v>2.66</v>
      </c>
      <c r="Q8" s="26">
        <v>0.25</v>
      </c>
      <c r="R8" s="26">
        <v>1.72</v>
      </c>
      <c r="S8" s="26">
        <v>15</v>
      </c>
      <c r="T8" s="26">
        <v>18.8</v>
      </c>
      <c r="U8" s="26">
        <v>0.03</v>
      </c>
      <c r="V8" s="26">
        <v>33.1</v>
      </c>
      <c r="W8" s="26">
        <v>6.74</v>
      </c>
      <c r="X8" s="26">
        <v>5.94</v>
      </c>
      <c r="Y8" s="26"/>
      <c r="Z8" s="26">
        <v>7.06</v>
      </c>
      <c r="AA8" s="26"/>
      <c r="AB8" s="26">
        <v>0.8</v>
      </c>
      <c r="AC8" s="26"/>
      <c r="AD8" s="26">
        <v>1.44</v>
      </c>
      <c r="AE8" s="26"/>
      <c r="AF8" s="26">
        <v>0.2</v>
      </c>
      <c r="AG8" s="26"/>
      <c r="AH8" s="26"/>
      <c r="AI8" s="26"/>
      <c r="AJ8" s="26">
        <f t="shared" si="62"/>
        <v>99.489999999999981</v>
      </c>
      <c r="AK8" s="26">
        <f t="shared" si="63"/>
        <v>6.2824562948090854</v>
      </c>
      <c r="AL8" s="26">
        <f t="shared" si="1"/>
        <v>2.6823970696937671</v>
      </c>
      <c r="AM8" s="26">
        <f t="shared" si="2"/>
        <v>1.7344823157418341</v>
      </c>
      <c r="AN8" s="26">
        <f t="shared" si="64"/>
        <v>15.126299265190413</v>
      </c>
      <c r="AO8" s="26">
        <f t="shared" si="65"/>
        <v>18.958295079038653</v>
      </c>
      <c r="AP8" s="26">
        <f t="shared" si="3"/>
        <v>33.378700378520179</v>
      </c>
      <c r="AQ8" s="26">
        <f t="shared" si="4"/>
        <v>0.80673596081015553</v>
      </c>
      <c r="AR8" s="26">
        <f t="shared" si="5"/>
        <v>6.7967504698255592</v>
      </c>
      <c r="AS8" s="26">
        <f t="shared" si="66"/>
        <v>5.9900145090154044</v>
      </c>
      <c r="AT8" s="26">
        <f t="shared" si="6"/>
        <v>7.1194448541496218</v>
      </c>
      <c r="AU8" s="26">
        <f t="shared" si="67"/>
        <v>1.4521247294582798</v>
      </c>
      <c r="AV8" s="26">
        <f t="shared" si="7"/>
        <v>100.32770092625294</v>
      </c>
      <c r="AW8" s="16"/>
      <c r="AX8" s="16"/>
      <c r="AY8" s="16"/>
      <c r="AZ8" s="16"/>
      <c r="BA8" s="26"/>
      <c r="BB8" s="26">
        <v>0.06</v>
      </c>
      <c r="BC8" s="26">
        <f t="shared" si="71"/>
        <v>6.0000000000000053E-2</v>
      </c>
      <c r="BD8" s="26">
        <f t="shared" si="72"/>
        <v>0.94</v>
      </c>
      <c r="BE8" s="25">
        <v>-4.54285714285714</v>
      </c>
      <c r="BF8" s="16"/>
      <c r="BG8" s="16" t="s">
        <v>1505</v>
      </c>
      <c r="BH8" s="16"/>
      <c r="BI8" s="16"/>
      <c r="BJ8" s="16"/>
      <c r="BK8" s="18"/>
      <c r="BL8" s="18"/>
      <c r="BM8" s="18"/>
      <c r="BN8" s="18">
        <v>153.03</v>
      </c>
      <c r="BO8" s="18">
        <v>153.69</v>
      </c>
      <c r="BP8" s="18">
        <v>21.33</v>
      </c>
      <c r="BQ8" s="18">
        <v>38.9</v>
      </c>
      <c r="BR8" s="18">
        <v>376.54</v>
      </c>
      <c r="BS8" s="18">
        <v>361.58</v>
      </c>
      <c r="BT8" s="18">
        <v>29.77</v>
      </c>
      <c r="BU8" s="18">
        <v>3.05</v>
      </c>
      <c r="BV8" s="18">
        <v>9.2200000000000006</v>
      </c>
      <c r="BW8" s="18">
        <v>210.54</v>
      </c>
      <c r="BX8" s="18">
        <v>0.16700000000000001</v>
      </c>
      <c r="BY8" s="18">
        <v>0.24099999999999999</v>
      </c>
      <c r="BZ8" s="18">
        <v>1.82</v>
      </c>
      <c r="CA8" s="18">
        <v>0.60499999999999998</v>
      </c>
      <c r="CB8" s="18">
        <v>8.1000000000000003E-2</v>
      </c>
      <c r="CC8" s="18"/>
      <c r="CD8" s="18"/>
      <c r="CE8" s="18"/>
      <c r="CF8" s="18"/>
      <c r="CG8" s="18"/>
      <c r="CH8" s="18">
        <v>1.1719999999999999</v>
      </c>
      <c r="CI8" s="18">
        <v>9.51</v>
      </c>
      <c r="CJ8" s="18">
        <v>0.23699999999999999</v>
      </c>
      <c r="CK8" s="18">
        <v>0.66200000000000003</v>
      </c>
      <c r="CL8" s="18"/>
      <c r="CM8" s="18">
        <v>2.75</v>
      </c>
      <c r="CN8" s="18"/>
      <c r="CO8" s="18"/>
      <c r="CP8" s="18"/>
      <c r="CQ8" s="18"/>
      <c r="CR8" s="18">
        <v>3.2000000000000001E-2</v>
      </c>
      <c r="CS8" s="18">
        <v>73.97</v>
      </c>
      <c r="CT8" s="18">
        <v>0.32</v>
      </c>
      <c r="CU8" s="18">
        <v>5.0599999999999996</v>
      </c>
      <c r="CV8" s="18">
        <v>6.35</v>
      </c>
      <c r="CW8" s="18">
        <v>0.64300000000000002</v>
      </c>
      <c r="CX8" s="18">
        <v>2.2200000000000002</v>
      </c>
      <c r="CY8" s="18">
        <v>0.24099999999999999</v>
      </c>
      <c r="CZ8" s="18">
        <v>3.7999999999999999E-2</v>
      </c>
      <c r="DA8" s="18">
        <v>0.184</v>
      </c>
      <c r="DB8" s="18">
        <v>6.4000000000000001E-2</v>
      </c>
      <c r="DC8" s="18">
        <v>1.0999999999999999E-2</v>
      </c>
      <c r="DD8" s="18">
        <v>2.4E-2</v>
      </c>
      <c r="DE8" s="18"/>
      <c r="DF8" s="18">
        <v>2.7E-2</v>
      </c>
      <c r="DG8" s="18">
        <v>2E-3</v>
      </c>
      <c r="DH8" s="18">
        <v>1.6E-2</v>
      </c>
      <c r="DI8" s="18">
        <v>4.2000000000000003E-2</v>
      </c>
      <c r="DJ8" s="18">
        <v>0.223</v>
      </c>
      <c r="DK8" s="18">
        <v>0.57499999999999996</v>
      </c>
      <c r="DL8" s="18">
        <v>1.05</v>
      </c>
      <c r="DM8" s="18">
        <v>0.113</v>
      </c>
      <c r="DN8" s="18"/>
      <c r="DO8" s="18"/>
      <c r="DP8" s="18"/>
      <c r="DQ8" s="18"/>
      <c r="DR8" s="18"/>
      <c r="DS8" s="18"/>
      <c r="DT8" s="18"/>
      <c r="DU8" s="18"/>
      <c r="DV8" s="28"/>
      <c r="DW8" s="28"/>
      <c r="DX8" s="28"/>
      <c r="DY8" s="28"/>
      <c r="DZ8" s="28"/>
      <c r="EA8" s="28"/>
      <c r="EB8" s="28"/>
      <c r="EC8" s="28"/>
      <c r="ED8" s="28"/>
      <c r="EE8" s="28"/>
      <c r="EF8" s="28"/>
      <c r="EG8" s="28"/>
      <c r="EH8" s="28"/>
      <c r="EI8" s="28"/>
      <c r="EJ8" s="18"/>
      <c r="EK8" s="18"/>
      <c r="EL8" s="18">
        <f>IFERROR(CR8/'McDonough &amp; Sun 1995 values'!C$2,)</f>
        <v>1.5238095238095237</v>
      </c>
      <c r="EM8" s="18">
        <f>IFERROR(CH8/'McDonough &amp; Sun 1995 values'!D$2,)</f>
        <v>1.9533333333333334</v>
      </c>
      <c r="EN8" s="18">
        <f>IFERROR(CS8/'McDonough &amp; Sun 1995 values'!E$2,)</f>
        <v>11.207575757575759</v>
      </c>
      <c r="EO8" s="18">
        <f>IFERROR(DL8/'McDonough &amp; Sun 1995 values'!F$2,)</f>
        <v>13.20754716981132</v>
      </c>
      <c r="EP8" s="18">
        <f>IFERROR(DM8/'McDonough &amp; Sun 1995 values'!G$2,)</f>
        <v>5.5665024630541877</v>
      </c>
      <c r="EQ8" s="18">
        <f>IFERROR(BR8/'McDonough &amp; Sun 1995 values'!H$2,)</f>
        <v>1.5689166666666667</v>
      </c>
      <c r="ER8" s="18">
        <f>IFERROR(DI8/'McDonough &amp; Sun 1995 values'!I$2,)</f>
        <v>1.1351351351351353</v>
      </c>
      <c r="ES8" s="18">
        <f>IFERROR(CM8/'McDonough &amp; Sun 1995 values'!J$2,)</f>
        <v>4.1793313069908811</v>
      </c>
      <c r="ET8" s="18">
        <f>IFERROR(CU8/'McDonough &amp; Sun 1995 values'!K$2,)</f>
        <v>7.8086419753086416</v>
      </c>
      <c r="EU8" s="18">
        <f>IFERROR(CV8/'McDonough &amp; Sun 1995 values'!L$2,)</f>
        <v>3.7910447761194028</v>
      </c>
      <c r="EV8" s="18">
        <f>IFERROR(CW8/'McDonough &amp; Sun 1995 values'!M$2,)</f>
        <v>2.5314960629921259</v>
      </c>
      <c r="EW8" s="18">
        <f>IFERROR(CI8/'McDonough &amp; Sun 1995 values'!N$2,)</f>
        <v>0.47788944723618093</v>
      </c>
      <c r="EX8" s="18">
        <f>IFERROR(CX8/'McDonough &amp; Sun 1995 values'!O$2,)</f>
        <v>1.7760000000000002</v>
      </c>
      <c r="EY8" s="18">
        <f>IFERROR(CY8/'McDonough &amp; Sun 1995 values'!P$2,)</f>
        <v>0.59359605911330038</v>
      </c>
      <c r="EZ8" s="18">
        <f>IFERROR(DH8/'McDonough &amp; Sun 1995 values'!Q$2,)</f>
        <v>5.6537102473498239E-2</v>
      </c>
      <c r="FA8" s="18">
        <f>IFERROR(CK8/'McDonough &amp; Sun 1995 values'!R$2,)</f>
        <v>6.3047619047619047E-2</v>
      </c>
      <c r="FB8" s="18">
        <f>IFERROR(CZ8/'McDonough &amp; Sun 1995 values'!S$2,)</f>
        <v>0.24675324675324675</v>
      </c>
      <c r="FC8" s="18">
        <f>IFERROR(BT8/'McDonough &amp; Sun 1995 values'!T$2,)</f>
        <v>2.4705394190871369E-2</v>
      </c>
      <c r="FD8" s="18">
        <f>IFERROR(DA8/'McDonough &amp; Sun 1995 values'!U$2,)</f>
        <v>0.33823529411764702</v>
      </c>
      <c r="FE8" s="18">
        <f>IFERROR(DN8/'McDonough &amp; Sun 1995 values'!V$2,)</f>
        <v>0</v>
      </c>
      <c r="FF8" s="18">
        <f>IFERROR(DB8/'McDonough &amp; Sun 1995 values'!W$2,)</f>
        <v>9.4955489614243313E-2</v>
      </c>
      <c r="FG8" s="18">
        <f>IFERROR(CJ8/'McDonough &amp; Sun 1995 values'!X$2,)</f>
        <v>5.5116279069767439E-2</v>
      </c>
      <c r="FH8" s="18">
        <f>IFERROR(DC8/'McDonough &amp; Sun 1995 values'!Y$2,)</f>
        <v>7.3825503355704702E-2</v>
      </c>
      <c r="FI8" s="18">
        <f>IFERROR(DD8/'McDonough &amp; Sun 1995 values'!Z$2,)</f>
        <v>5.4794520547945209E-2</v>
      </c>
      <c r="FJ8" s="18">
        <f>IFERROR(DE8/'McDonough &amp; Sun 1995 values'!AA$2,)</f>
        <v>0</v>
      </c>
      <c r="FK8" s="18">
        <f>IFERROR(DF8/'McDonough &amp; Sun 1995 values'!AB$2,)</f>
        <v>6.1224489795918366E-2</v>
      </c>
      <c r="FL8" s="18">
        <f>IFERROR(DG8/'McDonough &amp; Sun 1995 values'!AC$2,)</f>
        <v>2.9629629629629627E-2</v>
      </c>
      <c r="FN8" s="28">
        <f t="shared" si="68"/>
        <v>3.5479911593270437</v>
      </c>
      <c r="FO8" s="4">
        <f t="shared" si="8"/>
        <v>2.0133963529096275</v>
      </c>
      <c r="FP8" s="4">
        <f t="shared" si="9"/>
        <v>3.1602058319039452</v>
      </c>
      <c r="FQ8" s="4">
        <f t="shared" si="10"/>
        <v>2.3726832526298209</v>
      </c>
      <c r="FR8" s="4">
        <f t="shared" si="11"/>
        <v>1.8683950617283951</v>
      </c>
      <c r="FS8" s="4">
        <f t="shared" si="12"/>
        <v>6.8790417401528501</v>
      </c>
      <c r="FT8" s="4">
        <f t="shared" si="13"/>
        <v>1.2818750000000001</v>
      </c>
      <c r="FU8" s="4">
        <f t="shared" si="14"/>
        <v>0.27160687960687968</v>
      </c>
      <c r="FV8" s="4">
        <f t="shared" si="15"/>
        <v>0.10621300138312588</v>
      </c>
      <c r="FW8" s="4">
        <f t="shared" si="16"/>
        <v>1.1151547619047617</v>
      </c>
      <c r="FX8" s="4">
        <f t="shared" si="17"/>
        <v>0.52960923861957843</v>
      </c>
      <c r="FY8" s="4">
        <f t="shared" si="18"/>
        <v>0.22538101565252425</v>
      </c>
      <c r="FZ8" s="4">
        <f t="shared" si="19"/>
        <v>0.55069091226138978</v>
      </c>
      <c r="GA8" s="4">
        <f t="shared" si="20"/>
        <v>0.18877747993466557</v>
      </c>
      <c r="GB8" s="4">
        <f t="shared" si="21"/>
        <v>0.41569219162580168</v>
      </c>
      <c r="GC8" s="4">
        <f t="shared" si="22"/>
        <v>0.78010726474890291</v>
      </c>
      <c r="GD8" s="4">
        <f t="shared" si="23"/>
        <v>0.84857359307359315</v>
      </c>
      <c r="GE8" s="4">
        <f t="shared" si="24"/>
        <v>5.7376667700899793</v>
      </c>
      <c r="GF8" s="4">
        <f t="shared" si="25"/>
        <v>7.1435124603446702</v>
      </c>
      <c r="GG8" s="4">
        <f t="shared" si="26"/>
        <v>2.6816672176308547</v>
      </c>
      <c r="GH8" s="4">
        <f t="shared" si="27"/>
        <v>3.0845957414127447</v>
      </c>
      <c r="GI8" s="4">
        <f t="shared" si="28"/>
        <v>13.154807643051075</v>
      </c>
      <c r="GJ8" s="4">
        <f t="shared" si="29"/>
        <v>82.23476080246914</v>
      </c>
      <c r="GK8" s="4">
        <f t="shared" si="30"/>
        <v>127.54115226337449</v>
      </c>
      <c r="GL8" s="4">
        <f>IFERROR(FA8/FC8,)</f>
        <v>2.5519778620215301</v>
      </c>
      <c r="GM8" s="4">
        <f t="shared" si="32"/>
        <v>6.7615429196986279</v>
      </c>
      <c r="GN8" s="4">
        <f t="shared" si="33"/>
        <v>0.53521871283203382</v>
      </c>
      <c r="GO8" s="4">
        <f t="shared" si="34"/>
        <v>0.75080022594614937</v>
      </c>
      <c r="GP8" s="4">
        <f t="shared" si="35"/>
        <v>0.28184963126843654</v>
      </c>
      <c r="GQ8" s="27">
        <f t="shared" si="70"/>
        <v>49725.344996890344</v>
      </c>
      <c r="GR8" s="28">
        <f t="shared" si="69"/>
        <v>4.2258751789995515</v>
      </c>
      <c r="GS8" s="28">
        <f t="shared" si="36"/>
        <v>154.77267843085855</v>
      </c>
      <c r="GT8" s="28">
        <f t="shared" si="37"/>
        <v>9768.3745934561484</v>
      </c>
      <c r="GU8" s="28">
        <f t="shared" si="38"/>
        <v>138.66152931092279</v>
      </c>
      <c r="GV8" s="28">
        <f t="shared" si="39"/>
        <v>14.922621725842165</v>
      </c>
      <c r="GW8" s="28">
        <f t="shared" si="40"/>
        <v>49725.344996890344</v>
      </c>
      <c r="GX8" s="28">
        <f t="shared" si="41"/>
        <v>5.5464611724369108</v>
      </c>
      <c r="GY8" s="28">
        <f t="shared" si="42"/>
        <v>363.16114819527394</v>
      </c>
      <c r="GZ8" s="28">
        <f t="shared" si="43"/>
        <v>668.21651267930395</v>
      </c>
      <c r="HA8" s="28">
        <f t="shared" si="44"/>
        <v>838.57210583272342</v>
      </c>
      <c r="HB8" s="28">
        <f t="shared" si="45"/>
        <v>84.913679378022238</v>
      </c>
      <c r="HC8" s="28">
        <f t="shared" si="46"/>
        <v>1255.877279758929</v>
      </c>
      <c r="HD8" s="28">
        <f t="shared" si="47"/>
        <v>293.17009054309386</v>
      </c>
      <c r="HE8" s="28">
        <f t="shared" si="48"/>
        <v>31.826122441840365</v>
      </c>
      <c r="HF8" s="28">
        <f t="shared" si="49"/>
        <v>2.1129375894997757</v>
      </c>
      <c r="HG8" s="28">
        <f t="shared" si="50"/>
        <v>87.422792765553226</v>
      </c>
      <c r="HH8" s="28">
        <f t="shared" si="51"/>
        <v>5.0182267750619669</v>
      </c>
      <c r="HI8" s="28">
        <f t="shared" si="52"/>
        <v>3931.3845024630195</v>
      </c>
      <c r="HJ8" s="28">
        <f t="shared" si="53"/>
        <v>24.298782279247416</v>
      </c>
      <c r="HK8" s="28">
        <f t="shared" si="54"/>
        <v>0</v>
      </c>
      <c r="HL8" s="28">
        <f t="shared" si="55"/>
        <v>8.4517503579991029</v>
      </c>
      <c r="HM8" s="28">
        <f t="shared" si="56"/>
        <v>31.29788804446542</v>
      </c>
      <c r="HN8" s="28">
        <f t="shared" si="57"/>
        <v>1.4526445927810956</v>
      </c>
      <c r="HO8" s="28">
        <f t="shared" si="58"/>
        <v>3.1694063842496631</v>
      </c>
      <c r="HP8" s="28">
        <f t="shared" si="59"/>
        <v>0</v>
      </c>
      <c r="HQ8" s="28">
        <f t="shared" si="60"/>
        <v>3.5655821822808713</v>
      </c>
      <c r="HR8" s="28">
        <f t="shared" si="61"/>
        <v>0.26411719868747197</v>
      </c>
      <c r="HT8" s="4">
        <f>IFERROR(GR8/'McDonough &amp; Sun 1995 values'!C$2,)</f>
        <v>201.23215138093101</v>
      </c>
      <c r="HU8" s="4">
        <f>IFERROR(GS8/'McDonough &amp; Sun 1995 values'!D$2,)</f>
        <v>257.95446405143093</v>
      </c>
      <c r="HV8" s="4">
        <f>IFERROR(GT8/'McDonough &amp; Sun 1995 values'!E$2,)</f>
        <v>1480.056756584265</v>
      </c>
      <c r="HW8" s="4">
        <f>IFERROR(GU8/'McDonough &amp; Sun 1995 values'!F$2,)</f>
        <v>1744.1701800116073</v>
      </c>
      <c r="HX8" s="4">
        <f>IFERROR(GV8/'McDonough &amp; Sun 1995 values'!G$2,)</f>
        <v>735.10451851439234</v>
      </c>
      <c r="HY8" s="4">
        <f>IFERROR(GW8/'McDonough &amp; Sun 1995 values'!H$2,)</f>
        <v>207.18893748704309</v>
      </c>
      <c r="HZ8" s="4">
        <f>IFERROR(GX8/'McDonough &amp; Sun 1995 values'!I$2,)</f>
        <v>149.9043560118084</v>
      </c>
      <c r="IA8" s="4">
        <f>IFERROR(GY8/'McDonough &amp; Sun 1995 values'!J$2,)</f>
        <v>551.9166385946412</v>
      </c>
      <c r="IB8" s="4">
        <f>IFERROR(GZ8/'McDonough &amp; Sun 1995 values'!K$2,)</f>
        <v>1031.1983220359627</v>
      </c>
      <c r="IC8" s="4">
        <f>IFERROR(HA8/'McDonough &amp; Sun 1995 values'!L$2,)</f>
        <v>500.64006318371548</v>
      </c>
      <c r="ID8" s="4">
        <f>IFERROR(HB8/'McDonough &amp; Sun 1995 values'!M$2,)</f>
        <v>334.30582432292221</v>
      </c>
      <c r="IE8" s="4">
        <f>IFERROR(HC8/'McDonough &amp; Sun 1995 values'!N$2,)</f>
        <v>63.109411043162268</v>
      </c>
      <c r="IF8" s="4">
        <f>IFERROR(HD8/'McDonough &amp; Sun 1995 values'!O$2,)</f>
        <v>234.5360724344751</v>
      </c>
      <c r="IG8" s="4">
        <f>IFERROR(HE8/'McDonough &amp; Sun 1995 values'!P$2,)</f>
        <v>78.38946414246395</v>
      </c>
      <c r="IH8" s="4">
        <f>IFERROR(HF8/'McDonough &amp; Sun 1995 values'!Q$2,)</f>
        <v>7.4662105636034486</v>
      </c>
      <c r="II8" s="4">
        <f>IFERROR(HG8/'McDonough &amp; Sun 1995 values'!R$2,)</f>
        <v>8.3259802633860218</v>
      </c>
      <c r="IJ8" s="4">
        <f>IFERROR(HH8/'McDonough &amp; Sun 1995 values'!S$2,)</f>
        <v>32.585888149753032</v>
      </c>
      <c r="IK8" s="4">
        <f>IFERROR(HI8/'McDonough &amp; Sun 1995 values'!T$2,)</f>
        <v>3.2625597530813439</v>
      </c>
      <c r="IL8" s="4">
        <f>IFERROR(HJ8/'McDonough &amp; Sun 1995 values'!U$2,)</f>
        <v>44.666879189793043</v>
      </c>
      <c r="IM8" s="4">
        <f>IFERROR(HK8/'McDonough &amp; Sun 1995 values'!V$2,)</f>
        <v>0</v>
      </c>
      <c r="IN8" s="4">
        <f>IFERROR(HL8/'McDonough &amp; Sun 1995 values'!W$2,)</f>
        <v>12.539688958455642</v>
      </c>
      <c r="IO8" s="4">
        <f>IFERROR(HM8/'McDonough &amp; Sun 1995 values'!X$2,)</f>
        <v>7.2785786149919582</v>
      </c>
      <c r="IP8" s="4">
        <f>IFERROR(HN8/'McDonough &amp; Sun 1995 values'!Y$2,)</f>
        <v>9.7492925690006427</v>
      </c>
      <c r="IQ8" s="4">
        <f>IFERROR(HO8/'McDonough &amp; Sun 1995 values'!Z$2,)</f>
        <v>7.2360876352732033</v>
      </c>
      <c r="IR8" s="4">
        <f>IFERROR(HP8/'McDonough &amp; Sun 1995 values'!AA$2,)</f>
        <v>0</v>
      </c>
      <c r="IS8" s="4">
        <f>IFERROR(HQ8/'McDonough &amp; Sun 1995 values'!AB$2,)</f>
        <v>8.085220367983835</v>
      </c>
      <c r="IT8" s="4">
        <f>IFERROR(HR8/'McDonough &amp; Sun 1995 values'!AC$2,)</f>
        <v>3.9128473879625472</v>
      </c>
    </row>
    <row r="9" spans="1:254">
      <c r="A9" s="16" t="s">
        <v>641</v>
      </c>
      <c r="B9" s="16" t="s">
        <v>24</v>
      </c>
      <c r="C9" s="16" t="str">
        <f t="shared" si="0"/>
        <v>high-Mg carbonatitic</v>
      </c>
      <c r="D9" s="16" t="s">
        <v>1707</v>
      </c>
      <c r="E9" s="16" t="s">
        <v>237</v>
      </c>
      <c r="F9" s="16" t="s">
        <v>639</v>
      </c>
      <c r="G9" s="16" t="s">
        <v>640</v>
      </c>
      <c r="H9" s="27">
        <v>0</v>
      </c>
      <c r="I9" s="16" t="s">
        <v>712</v>
      </c>
      <c r="J9" s="16" t="s">
        <v>635</v>
      </c>
      <c r="K9" s="16" t="s">
        <v>642</v>
      </c>
      <c r="L9" s="16" t="s">
        <v>161</v>
      </c>
      <c r="M9" s="16" t="s">
        <v>616</v>
      </c>
      <c r="N9" s="16" t="s">
        <v>1084</v>
      </c>
      <c r="O9" s="26">
        <v>9.7650000000000006</v>
      </c>
      <c r="P9" s="26">
        <v>2.8449999999999998</v>
      </c>
      <c r="Q9" s="26"/>
      <c r="R9" s="26">
        <v>2.04</v>
      </c>
      <c r="S9" s="26">
        <v>6.3550000000000004</v>
      </c>
      <c r="T9" s="26">
        <v>19.600000000000001</v>
      </c>
      <c r="U9" s="26"/>
      <c r="V9" s="26">
        <v>27.8</v>
      </c>
      <c r="W9" s="26">
        <v>6.6950000000000003</v>
      </c>
      <c r="X9" s="26">
        <v>11.44</v>
      </c>
      <c r="Y9" s="26"/>
      <c r="Z9" s="26">
        <v>9.0649999999999995</v>
      </c>
      <c r="AA9" s="26"/>
      <c r="AB9" s="26">
        <v>0.92</v>
      </c>
      <c r="AC9" s="26"/>
      <c r="AD9" s="26">
        <v>3.44</v>
      </c>
      <c r="AE9" s="26"/>
      <c r="AF9" s="26"/>
      <c r="AG9" s="26"/>
      <c r="AH9" s="26"/>
      <c r="AI9" s="26"/>
      <c r="AJ9" s="26">
        <f t="shared" si="62"/>
        <v>99.964999999999989</v>
      </c>
      <c r="AK9" s="26">
        <f t="shared" si="63"/>
        <v>9.8448719039809376</v>
      </c>
      <c r="AL9" s="26">
        <f t="shared" si="1"/>
        <v>2.8682704113492847</v>
      </c>
      <c r="AM9" s="26">
        <f t="shared" si="2"/>
        <v>2.0566859891573084</v>
      </c>
      <c r="AN9" s="26">
        <f t="shared" si="64"/>
        <v>6.4069801279875955</v>
      </c>
      <c r="AO9" s="26">
        <f t="shared" si="65"/>
        <v>19.760316366413353</v>
      </c>
      <c r="AP9" s="26">
        <f t="shared" si="3"/>
        <v>28.02738749930057</v>
      </c>
      <c r="AQ9" s="26">
        <f t="shared" si="4"/>
        <v>0.92752505393368789</v>
      </c>
      <c r="AR9" s="26">
        <f t="shared" si="5"/>
        <v>6.7497611261804797</v>
      </c>
      <c r="AS9" s="26">
        <f t="shared" si="66"/>
        <v>11.533572409784119</v>
      </c>
      <c r="AT9" s="26">
        <f t="shared" si="6"/>
        <v>9.1391463194661746</v>
      </c>
      <c r="AU9" s="26">
        <f t="shared" si="67"/>
        <v>3.4681371581868334</v>
      </c>
      <c r="AV9" s="26">
        <f t="shared" si="7"/>
        <v>100.78265436574034</v>
      </c>
      <c r="AW9" s="16"/>
      <c r="AX9" s="16"/>
      <c r="AY9" s="16"/>
      <c r="AZ9" s="16"/>
      <c r="BA9" s="26"/>
      <c r="BB9" s="26">
        <v>7.0000000000000007E-2</v>
      </c>
      <c r="BC9" s="26">
        <f t="shared" si="71"/>
        <v>7.0000000000000062E-2</v>
      </c>
      <c r="BD9" s="26">
        <f t="shared" si="72"/>
        <v>0.92999999999999994</v>
      </c>
      <c r="BE9" s="25">
        <v>-5.7666666666666702</v>
      </c>
      <c r="BF9" s="16"/>
      <c r="BG9" s="16" t="s">
        <v>1501</v>
      </c>
      <c r="BH9" s="16" t="s">
        <v>1502</v>
      </c>
      <c r="BI9" s="16">
        <v>0.7</v>
      </c>
      <c r="BJ9" s="16"/>
      <c r="BK9" s="16"/>
      <c r="BL9" s="16"/>
      <c r="BM9" s="16"/>
      <c r="BN9" s="16">
        <v>74.224999999999994</v>
      </c>
      <c r="BO9" s="16">
        <v>109.37</v>
      </c>
      <c r="BP9" s="16">
        <v>26.5</v>
      </c>
      <c r="BQ9" s="16">
        <v>20.94</v>
      </c>
      <c r="BR9" s="16">
        <v>175.76</v>
      </c>
      <c r="BS9" s="16">
        <v>194.57</v>
      </c>
      <c r="BT9" s="16">
        <v>14.484999999999999</v>
      </c>
      <c r="BU9" s="16">
        <v>1.9500000000000002</v>
      </c>
      <c r="BV9" s="16">
        <v>2.6100000000000003</v>
      </c>
      <c r="BW9" s="16">
        <v>37.200000000000003</v>
      </c>
      <c r="BX9" s="16">
        <v>0.03</v>
      </c>
      <c r="BY9" s="16">
        <v>0.13950000000000001</v>
      </c>
      <c r="BZ9" s="16">
        <v>0.8899999999999999</v>
      </c>
      <c r="CA9" s="16">
        <v>3.9E-2</v>
      </c>
      <c r="CB9" s="16">
        <v>3.7999999999999999E-2</v>
      </c>
      <c r="CC9" s="16"/>
      <c r="CD9" s="16"/>
      <c r="CE9" s="16"/>
      <c r="CF9" s="16"/>
      <c r="CG9" s="16"/>
      <c r="CH9" s="16">
        <v>0.56399999999999995</v>
      </c>
      <c r="CI9" s="16">
        <v>4.593</v>
      </c>
      <c r="CJ9" s="16">
        <v>3.3500000000000002E-2</v>
      </c>
      <c r="CK9" s="16">
        <v>0.3155</v>
      </c>
      <c r="CL9" s="16"/>
      <c r="CM9" s="16">
        <v>0.80799999999999994</v>
      </c>
      <c r="CN9" s="16"/>
      <c r="CO9" s="16"/>
      <c r="CP9" s="16"/>
      <c r="CQ9" s="16"/>
      <c r="CR9" s="16">
        <v>1.4499999999999999E-2</v>
      </c>
      <c r="CS9" s="16">
        <v>34.019999999999996</v>
      </c>
      <c r="CT9" s="16">
        <v>0.21000000000000002</v>
      </c>
      <c r="CU9" s="16">
        <v>1.7530000000000001</v>
      </c>
      <c r="CV9" s="16">
        <v>1.9700000000000002</v>
      </c>
      <c r="CW9" s="16">
        <v>0.1855</v>
      </c>
      <c r="CX9" s="16">
        <v>0.57150000000000001</v>
      </c>
      <c r="CY9" s="16">
        <v>6.1499999999999999E-2</v>
      </c>
      <c r="CZ9" s="16">
        <v>1.15E-2</v>
      </c>
      <c r="DA9" s="16">
        <v>2.8999999999999998E-2</v>
      </c>
      <c r="DB9" s="16">
        <v>1.35E-2</v>
      </c>
      <c r="DC9" s="16">
        <v>3.5000000000000001E-3</v>
      </c>
      <c r="DD9" s="16">
        <v>8.9999999999999993E-3</v>
      </c>
      <c r="DE9" s="16"/>
      <c r="DF9" s="16">
        <v>1.3000000000000001E-2</v>
      </c>
      <c r="DG9" s="16">
        <v>2.5000000000000001E-3</v>
      </c>
      <c r="DH9" s="16">
        <v>1.3000000000000001E-2</v>
      </c>
      <c r="DI9" s="16">
        <v>1.0499999999999999E-2</v>
      </c>
      <c r="DJ9" s="16">
        <v>8.8499999999999995E-2</v>
      </c>
      <c r="DK9" s="16">
        <v>0.1225</v>
      </c>
      <c r="DL9" s="16">
        <v>0.35599999999999998</v>
      </c>
      <c r="DM9" s="16">
        <v>5.6500000000000002E-2</v>
      </c>
      <c r="DN9" s="16"/>
      <c r="DO9" s="16"/>
      <c r="DP9" s="16"/>
      <c r="DQ9" s="16"/>
      <c r="DR9" s="16"/>
      <c r="DS9" s="16"/>
      <c r="DT9" s="16"/>
      <c r="DU9" s="16"/>
      <c r="DV9" s="27"/>
      <c r="DW9" s="27"/>
      <c r="DX9" s="27"/>
      <c r="DY9" s="27"/>
      <c r="DZ9" s="27"/>
      <c r="EA9" s="27"/>
      <c r="EB9" s="27"/>
      <c r="EC9" s="27"/>
      <c r="ED9" s="27"/>
      <c r="EE9" s="27"/>
      <c r="EF9" s="27"/>
      <c r="EG9" s="27"/>
      <c r="EH9" s="27"/>
      <c r="EI9" s="27"/>
      <c r="EJ9" s="16"/>
      <c r="EK9" s="18"/>
      <c r="EL9" s="18">
        <f>IFERROR(CR9/'McDonough &amp; Sun 1995 values'!C$2,)</f>
        <v>0.69047619047619035</v>
      </c>
      <c r="EM9" s="18">
        <f>IFERROR(CH9/'McDonough &amp; Sun 1995 values'!D$2,)</f>
        <v>0.94</v>
      </c>
      <c r="EN9" s="18">
        <f>IFERROR(CS9/'McDonough &amp; Sun 1995 values'!E$2,)</f>
        <v>5.1545454545454543</v>
      </c>
      <c r="EO9" s="18">
        <f>IFERROR(DL9/'McDonough &amp; Sun 1995 values'!F$2,)</f>
        <v>4.4779874213836477</v>
      </c>
      <c r="EP9" s="18">
        <f>IFERROR(DM9/'McDonough &amp; Sun 1995 values'!G$2,)</f>
        <v>2.7832512315270939</v>
      </c>
      <c r="EQ9" s="18">
        <f>IFERROR(BR9/'McDonough &amp; Sun 1995 values'!H$2,)</f>
        <v>0.73233333333333328</v>
      </c>
      <c r="ER9" s="18">
        <f>IFERROR(DI9/'McDonough &amp; Sun 1995 values'!I$2,)</f>
        <v>0.28378378378378377</v>
      </c>
      <c r="ES9" s="18">
        <f>IFERROR(CM9/'McDonough &amp; Sun 1995 values'!J$2,)</f>
        <v>1.2279635258358661</v>
      </c>
      <c r="ET9" s="18">
        <f>IFERROR(CU9/'McDonough &amp; Sun 1995 values'!K$2,)</f>
        <v>2.7052469135802468</v>
      </c>
      <c r="EU9" s="18">
        <f>IFERROR(CV9/'McDonough &amp; Sun 1995 values'!L$2,)</f>
        <v>1.1761194029850748</v>
      </c>
      <c r="EV9" s="18">
        <f>IFERROR(CW9/'McDonough &amp; Sun 1995 values'!M$2,)</f>
        <v>0.73031496062992129</v>
      </c>
      <c r="EW9" s="18">
        <f>IFERROR(CI9/'McDonough &amp; Sun 1995 values'!N$2,)</f>
        <v>0.23080402010050252</v>
      </c>
      <c r="EX9" s="18">
        <f>IFERROR(CX9/'McDonough &amp; Sun 1995 values'!O$2,)</f>
        <v>0.4572</v>
      </c>
      <c r="EY9" s="18">
        <f>IFERROR(CY9/'McDonough &amp; Sun 1995 values'!P$2,)</f>
        <v>0.15147783251231525</v>
      </c>
      <c r="EZ9" s="18">
        <f>IFERROR(DH9/'McDonough &amp; Sun 1995 values'!Q$2,)</f>
        <v>4.5936395759717322E-2</v>
      </c>
      <c r="FA9" s="18">
        <f>IFERROR(CK9/'McDonough &amp; Sun 1995 values'!R$2,)</f>
        <v>3.0047619047619049E-2</v>
      </c>
      <c r="FB9" s="18">
        <f>IFERROR(CZ9/'McDonough &amp; Sun 1995 values'!S$2,)</f>
        <v>7.4675324675324672E-2</v>
      </c>
      <c r="FC9" s="18">
        <f>IFERROR(BT9/'McDonough &amp; Sun 1995 values'!T$2,)</f>
        <v>1.2020746887966805E-2</v>
      </c>
      <c r="FD9" s="18">
        <f>IFERROR(DA9/'McDonough &amp; Sun 1995 values'!U$2,)</f>
        <v>5.3308823529411756E-2</v>
      </c>
      <c r="FE9" s="18">
        <f>IFERROR(DN9/'McDonough &amp; Sun 1995 values'!V$2,)</f>
        <v>0</v>
      </c>
      <c r="FF9" s="18">
        <f>IFERROR(DB9/'McDonough &amp; Sun 1995 values'!W$2,)</f>
        <v>2.0029673590504449E-2</v>
      </c>
      <c r="FG9" s="18">
        <f>IFERROR(CJ9/'McDonough &amp; Sun 1995 values'!X$2,)</f>
        <v>7.7906976744186052E-3</v>
      </c>
      <c r="FH9" s="18">
        <f>IFERROR(DC9/'McDonough &amp; Sun 1995 values'!Y$2,)</f>
        <v>2.3489932885906041E-2</v>
      </c>
      <c r="FI9" s="18">
        <f>IFERROR(DD9/'McDonough &amp; Sun 1995 values'!Z$2,)</f>
        <v>2.0547945205479451E-2</v>
      </c>
      <c r="FJ9" s="18">
        <f>IFERROR(DE9/'McDonough &amp; Sun 1995 values'!AA$2,)</f>
        <v>0</v>
      </c>
      <c r="FK9" s="18">
        <f>IFERROR(DF9/'McDonough &amp; Sun 1995 values'!AB$2,)</f>
        <v>2.9478458049886625E-2</v>
      </c>
      <c r="FL9" s="18">
        <f>IFERROR(DG9/'McDonough &amp; Sun 1995 values'!AC$2,)</f>
        <v>3.7037037037037035E-2</v>
      </c>
      <c r="FM9" s="16"/>
      <c r="FN9" s="28">
        <f t="shared" si="68"/>
        <v>3.8005251227042702</v>
      </c>
      <c r="FO9" s="4">
        <f t="shared" si="8"/>
        <v>1.8519871279163311</v>
      </c>
      <c r="FP9" s="4">
        <f t="shared" si="9"/>
        <v>3.6466778753347038</v>
      </c>
      <c r="FQ9" s="4">
        <f t="shared" si="10"/>
        <v>1.6089052151166026</v>
      </c>
      <c r="FR9" s="4">
        <f t="shared" si="11"/>
        <v>2.2030352340789636</v>
      </c>
      <c r="FS9" s="4">
        <f t="shared" si="12"/>
        <v>9.5327748383303934</v>
      </c>
      <c r="FT9" s="4">
        <f t="shared" si="13"/>
        <v>1.3613793103448277</v>
      </c>
      <c r="FU9" s="4">
        <f t="shared" si="14"/>
        <v>0.23110115065560613</v>
      </c>
      <c r="FV9" s="4">
        <f t="shared" si="15"/>
        <v>0.19836314363143634</v>
      </c>
      <c r="FW9" s="4">
        <f t="shared" si="16"/>
        <v>0.65411355311355301</v>
      </c>
      <c r="FX9" s="4">
        <f t="shared" si="17"/>
        <v>0.72929873575462789</v>
      </c>
      <c r="FY9" s="4">
        <f t="shared" si="18"/>
        <v>0.39942492239092148</v>
      </c>
      <c r="FZ9" s="4">
        <f t="shared" si="19"/>
        <v>0.8310038374934241</v>
      </c>
      <c r="GA9" s="4">
        <f t="shared" si="20"/>
        <v>0.3160335369570223</v>
      </c>
      <c r="GB9" s="4">
        <f t="shared" si="21"/>
        <v>0.49297856614929791</v>
      </c>
      <c r="GC9" s="4">
        <f t="shared" si="22"/>
        <v>0.73454913880445782</v>
      </c>
      <c r="GD9" s="4">
        <f t="shared" si="23"/>
        <v>1.1510852911133809</v>
      </c>
      <c r="GE9" s="4">
        <f t="shared" si="24"/>
        <v>5.483558994197292</v>
      </c>
      <c r="GF9" s="4">
        <f t="shared" si="25"/>
        <v>7.0385236065709442</v>
      </c>
      <c r="GG9" s="4">
        <f t="shared" si="26"/>
        <v>4.1976372637263726</v>
      </c>
      <c r="GH9" s="4">
        <f t="shared" si="27"/>
        <v>3.7042194935276695</v>
      </c>
      <c r="GI9" s="4">
        <f t="shared" si="28"/>
        <v>17.859028405098869</v>
      </c>
      <c r="GJ9" s="4">
        <f t="shared" si="29"/>
        <v>135.06195701874717</v>
      </c>
      <c r="GK9" s="4">
        <f t="shared" si="30"/>
        <v>91.770299145299134</v>
      </c>
      <c r="GL9" s="4">
        <f t="shared" si="31"/>
        <v>2.49964659664349</v>
      </c>
      <c r="GM9" s="4">
        <f t="shared" si="32"/>
        <v>4.7638164057272849</v>
      </c>
      <c r="GN9" s="4">
        <f t="shared" si="33"/>
        <v>0.45391920407395392</v>
      </c>
      <c r="GO9" s="4">
        <f t="shared" si="34"/>
        <v>0.4411975145923554</v>
      </c>
      <c r="GP9" s="4">
        <f t="shared" si="35"/>
        <v>0.26312153392330379</v>
      </c>
      <c r="GQ9" s="27">
        <f t="shared" si="70"/>
        <v>95744.487139381032</v>
      </c>
      <c r="GR9" s="28">
        <f t="shared" si="69"/>
        <v>7.898811239878385</v>
      </c>
      <c r="GS9" s="28">
        <f t="shared" si="36"/>
        <v>307.23651995113164</v>
      </c>
      <c r="GT9" s="28">
        <f t="shared" si="37"/>
        <v>18532.245405562942</v>
      </c>
      <c r="GU9" s="28">
        <f t="shared" si="38"/>
        <v>193.92943457908314</v>
      </c>
      <c r="GV9" s="28">
        <f t="shared" si="39"/>
        <v>30.778126555388191</v>
      </c>
      <c r="GW9" s="28">
        <f t="shared" si="40"/>
        <v>95744.487139381032</v>
      </c>
      <c r="GX9" s="28">
        <f t="shared" si="41"/>
        <v>5.7198288288774508</v>
      </c>
      <c r="GY9" s="28">
        <f t="shared" si="42"/>
        <v>440.15444702218861</v>
      </c>
      <c r="GZ9" s="28">
        <f t="shared" si="43"/>
        <v>954.93904162115928</v>
      </c>
      <c r="HA9" s="28">
        <f t="shared" si="44"/>
        <v>1073.1488374179601</v>
      </c>
      <c r="HB9" s="28">
        <f t="shared" si="45"/>
        <v>101.05030931016832</v>
      </c>
      <c r="HC9" s="28">
        <f t="shared" si="46"/>
        <v>2502.0165534318221</v>
      </c>
      <c r="HD9" s="28">
        <f t="shared" si="47"/>
        <v>311.32211197175843</v>
      </c>
      <c r="HE9" s="28">
        <f t="shared" si="48"/>
        <v>33.501854569139361</v>
      </c>
      <c r="HF9" s="28">
        <f t="shared" si="49"/>
        <v>7.081692835753036</v>
      </c>
      <c r="HG9" s="28">
        <f t="shared" si="50"/>
        <v>171.86723766769865</v>
      </c>
      <c r="HH9" s="28">
        <f t="shared" si="51"/>
        <v>6.2645744316276852</v>
      </c>
      <c r="HI9" s="28">
        <f t="shared" si="52"/>
        <v>7890.6400558371315</v>
      </c>
      <c r="HJ9" s="28">
        <f t="shared" si="53"/>
        <v>15.79762247975677</v>
      </c>
      <c r="HK9" s="28">
        <f t="shared" si="54"/>
        <v>0</v>
      </c>
      <c r="HL9" s="28">
        <f t="shared" si="55"/>
        <v>7.3540656371281523</v>
      </c>
      <c r="HM9" s="28">
        <f t="shared" si="56"/>
        <v>18.248977692132822</v>
      </c>
      <c r="HN9" s="28">
        <f t="shared" si="57"/>
        <v>1.9066096096258172</v>
      </c>
      <c r="HO9" s="28">
        <f t="shared" si="58"/>
        <v>4.9027104247521009</v>
      </c>
      <c r="HP9" s="28">
        <f t="shared" si="59"/>
        <v>0</v>
      </c>
      <c r="HQ9" s="28">
        <f t="shared" si="60"/>
        <v>7.081692835753036</v>
      </c>
      <c r="HR9" s="28">
        <f t="shared" si="61"/>
        <v>1.3618640068755836</v>
      </c>
      <c r="HT9" s="4">
        <f>IFERROR(GR9/'McDonough &amp; Sun 1995 values'!C$2,)</f>
        <v>376.13386856563733</v>
      </c>
      <c r="HU9" s="4">
        <f>IFERROR(GS9/'McDonough &amp; Sun 1995 values'!D$2,)</f>
        <v>512.0608665852194</v>
      </c>
      <c r="HV9" s="4">
        <f>IFERROR(GT9/'McDonough &amp; Sun 1995 values'!E$2,)</f>
        <v>2807.9159705398397</v>
      </c>
      <c r="HW9" s="4">
        <f>IFERROR(GU9/'McDonough &amp; Sun 1995 values'!F$2,)</f>
        <v>2439.3639569695993</v>
      </c>
      <c r="HX9" s="4">
        <f>IFERROR(GV9/'McDonough &amp; Sun 1995 values'!G$2,)</f>
        <v>1516.1638697235562</v>
      </c>
      <c r="HY9" s="4">
        <f>IFERROR(GW9/'McDonough &amp; Sun 1995 values'!H$2,)</f>
        <v>398.93536308075431</v>
      </c>
      <c r="HZ9" s="4">
        <f>IFERROR(GX9/'McDonough &amp; Sun 1995 values'!I$2,)</f>
        <v>154.58996834803921</v>
      </c>
      <c r="IA9" s="4">
        <f>IFERROR(GY9/'McDonough &amp; Sun 1995 values'!J$2,)</f>
        <v>668.92773103676075</v>
      </c>
      <c r="IB9" s="4">
        <f>IFERROR(GZ9/'McDonough &amp; Sun 1995 values'!K$2,)</f>
        <v>1473.6713605264804</v>
      </c>
      <c r="IC9" s="4">
        <f>IFERROR(HA9/'McDonough &amp; Sun 1995 values'!L$2,)</f>
        <v>640.68587308534927</v>
      </c>
      <c r="ID9" s="4">
        <f>IFERROR(HB9/'McDonough &amp; Sun 1995 values'!M$2,)</f>
        <v>397.83586342585949</v>
      </c>
      <c r="IE9" s="4">
        <f>IFERROR(HC9/'McDonough &amp; Sun 1995 values'!N$2,)</f>
        <v>125.72947504682524</v>
      </c>
      <c r="IF9" s="4">
        <f>IFERROR(HD9/'McDonough &amp; Sun 1995 values'!O$2,)</f>
        <v>249.05768957740673</v>
      </c>
      <c r="IG9" s="4">
        <f>IFERROR(HE9/'McDonough &amp; Sun 1995 values'!P$2,)</f>
        <v>82.516883175220102</v>
      </c>
      <c r="IH9" s="4">
        <f>IFERROR(HF9/'McDonough &amp; Sun 1995 values'!Q$2,)</f>
        <v>25.023649596300483</v>
      </c>
      <c r="II9" s="4">
        <f>IFERROR(HG9/'McDonough &amp; Sun 1995 values'!R$2,)</f>
        <v>16.368308349304634</v>
      </c>
      <c r="IJ9" s="4">
        <f>IFERROR(HH9/'McDonough &amp; Sun 1995 values'!S$2,)</f>
        <v>40.679054750829124</v>
      </c>
      <c r="IK9" s="4">
        <f>IFERROR(HI9/'McDonough &amp; Sun 1995 values'!T$2,)</f>
        <v>6.5482490089934702</v>
      </c>
      <c r="IL9" s="4">
        <f>IFERROR(HJ9/'McDonough &amp; Sun 1995 values'!U$2,)</f>
        <v>29.039747205435237</v>
      </c>
      <c r="IM9" s="4">
        <f>IFERROR(HK9/'McDonough &amp; Sun 1995 values'!V$2,)</f>
        <v>0</v>
      </c>
      <c r="IN9" s="4">
        <f>IFERROR(HL9/'McDonough &amp; Sun 1995 values'!W$2,)</f>
        <v>10.911076612949779</v>
      </c>
      <c r="IO9" s="4">
        <f>IFERROR(HM9/'McDonough &amp; Sun 1995 values'!X$2,)</f>
        <v>4.2439483004960055</v>
      </c>
      <c r="IP9" s="4">
        <f>IFERROR(HN9/'McDonough &amp; Sun 1995 values'!Y$2,)</f>
        <v>12.796037648495417</v>
      </c>
      <c r="IQ9" s="4">
        <f>IFERROR(HO9/'McDonough &amp; Sun 1995 values'!Z$2,)</f>
        <v>11.193402796237674</v>
      </c>
      <c r="IR9" s="4">
        <f>IFERROR(HP9/'McDonough &amp; Sun 1995 values'!AA$2,)</f>
        <v>0</v>
      </c>
      <c r="IS9" s="4">
        <f>IFERROR(HQ9/'McDonough &amp; Sun 1995 values'!AB$2,)</f>
        <v>16.058260398532962</v>
      </c>
      <c r="IT9" s="4">
        <f>IFERROR(HR9/'McDonough &amp; Sun 1995 values'!AC$2,)</f>
        <v>20.17576306482346</v>
      </c>
    </row>
    <row r="10" spans="1:254">
      <c r="A10" s="16" t="s">
        <v>641</v>
      </c>
      <c r="B10" s="16" t="s">
        <v>24</v>
      </c>
      <c r="C10" s="16" t="str">
        <f t="shared" si="0"/>
        <v>high-Mg carbonatitic</v>
      </c>
      <c r="D10" s="16" t="s">
        <v>1707</v>
      </c>
      <c r="E10" s="16" t="s">
        <v>237</v>
      </c>
      <c r="F10" s="16" t="s">
        <v>639</v>
      </c>
      <c r="G10" s="16" t="s">
        <v>640</v>
      </c>
      <c r="H10" s="27">
        <v>0</v>
      </c>
      <c r="I10" s="16" t="s">
        <v>712</v>
      </c>
      <c r="J10" s="16" t="s">
        <v>635</v>
      </c>
      <c r="K10" s="16" t="s">
        <v>642</v>
      </c>
      <c r="L10" s="16">
        <v>0</v>
      </c>
      <c r="M10" s="16" t="s">
        <v>619</v>
      </c>
      <c r="N10" s="16" t="s">
        <v>1084</v>
      </c>
      <c r="O10" s="26">
        <v>12.6</v>
      </c>
      <c r="P10" s="26">
        <v>0.53</v>
      </c>
      <c r="Q10" s="26"/>
      <c r="R10" s="26">
        <v>2.75</v>
      </c>
      <c r="S10" s="26">
        <v>10.9</v>
      </c>
      <c r="T10" s="26">
        <v>24.8</v>
      </c>
      <c r="U10" s="26">
        <v>0.04</v>
      </c>
      <c r="V10" s="26">
        <v>28.5</v>
      </c>
      <c r="W10" s="26">
        <v>9.52</v>
      </c>
      <c r="X10" s="26">
        <v>5.96</v>
      </c>
      <c r="Y10" s="26"/>
      <c r="Z10" s="26">
        <v>2.88</v>
      </c>
      <c r="AA10" s="26"/>
      <c r="AB10" s="26">
        <v>0.34</v>
      </c>
      <c r="AC10" s="26"/>
      <c r="AD10" s="26">
        <v>1.1299999999999999</v>
      </c>
      <c r="AE10" s="26"/>
      <c r="AF10" s="26"/>
      <c r="AG10" s="26"/>
      <c r="AH10" s="26"/>
      <c r="AI10" s="26"/>
      <c r="AJ10" s="26">
        <f t="shared" si="62"/>
        <v>99.909999999999982</v>
      </c>
      <c r="AK10" s="26">
        <f t="shared" si="63"/>
        <v>12.643621385431459</v>
      </c>
      <c r="AL10" s="26">
        <f t="shared" si="1"/>
        <v>0.53183486779989475</v>
      </c>
      <c r="AM10" s="26">
        <f t="shared" si="2"/>
        <v>2.759520540471152</v>
      </c>
      <c r="AN10" s="26">
        <f t="shared" si="64"/>
        <v>10.93773596041293</v>
      </c>
      <c r="AO10" s="26">
        <f t="shared" si="65"/>
        <v>24.885857964976207</v>
      </c>
      <c r="AP10" s="26">
        <f t="shared" si="3"/>
        <v>28.598667419428303</v>
      </c>
      <c r="AQ10" s="26">
        <f t="shared" si="4"/>
        <v>0.34117708500370608</v>
      </c>
      <c r="AR10" s="26">
        <f t="shared" si="5"/>
        <v>9.5529583801037692</v>
      </c>
      <c r="AS10" s="26">
        <f t="shared" si="66"/>
        <v>5.9806336077120239</v>
      </c>
      <c r="AT10" s="26">
        <f t="shared" si="6"/>
        <v>2.8899706023843335</v>
      </c>
      <c r="AU10" s="26">
        <f t="shared" si="67"/>
        <v>1.1339120766299642</v>
      </c>
      <c r="AV10" s="26">
        <f t="shared" si="7"/>
        <v>100.25588989035374</v>
      </c>
      <c r="AW10" s="16"/>
      <c r="AX10" s="16"/>
      <c r="AY10" s="16"/>
      <c r="AZ10" s="16"/>
      <c r="BA10" s="26"/>
      <c r="BB10" s="26">
        <v>0.08</v>
      </c>
      <c r="BC10" s="26">
        <f t="shared" si="71"/>
        <v>7.999999999999996E-2</v>
      </c>
      <c r="BD10" s="26">
        <f t="shared" si="72"/>
        <v>0.92</v>
      </c>
      <c r="BE10" s="50">
        <v>-5.66</v>
      </c>
      <c r="BF10" s="16"/>
      <c r="BG10" s="16" t="s">
        <v>1503</v>
      </c>
      <c r="BH10" s="16"/>
      <c r="BI10" s="16"/>
      <c r="BJ10" s="16"/>
      <c r="BK10" s="18"/>
      <c r="BL10" s="18"/>
      <c r="BM10" s="18"/>
      <c r="BN10" s="18">
        <v>189.99</v>
      </c>
      <c r="BO10" s="18">
        <v>178.32</v>
      </c>
      <c r="BP10" s="18">
        <v>26.23</v>
      </c>
      <c r="BQ10" s="18">
        <v>26.35</v>
      </c>
      <c r="BR10" s="18">
        <v>260.10000000000002</v>
      </c>
      <c r="BS10" s="18">
        <v>289.64</v>
      </c>
      <c r="BT10" s="18">
        <v>27.67</v>
      </c>
      <c r="BU10" s="18">
        <v>2.12</v>
      </c>
      <c r="BV10" s="18">
        <v>6.48</v>
      </c>
      <c r="BW10" s="18">
        <v>106.11</v>
      </c>
      <c r="BX10" s="18">
        <v>2.7E-2</v>
      </c>
      <c r="BY10" s="18">
        <v>0.25</v>
      </c>
      <c r="BZ10" s="18">
        <v>1.36</v>
      </c>
      <c r="CA10" s="18">
        <v>8.6999999999999994E-2</v>
      </c>
      <c r="CB10" s="18">
        <v>4.8000000000000001E-2</v>
      </c>
      <c r="CC10" s="18"/>
      <c r="CD10" s="18"/>
      <c r="CE10" s="18"/>
      <c r="CF10" s="18"/>
      <c r="CG10" s="18"/>
      <c r="CH10" s="18">
        <v>0.83399999999999996</v>
      </c>
      <c r="CI10" s="18">
        <v>7.43</v>
      </c>
      <c r="CJ10" s="18">
        <v>7.0999999999999994E-2</v>
      </c>
      <c r="CK10" s="18">
        <v>0.54900000000000004</v>
      </c>
      <c r="CL10" s="18"/>
      <c r="CM10" s="18">
        <v>1.99</v>
      </c>
      <c r="CN10" s="18"/>
      <c r="CO10" s="18"/>
      <c r="CP10" s="18"/>
      <c r="CQ10" s="18"/>
      <c r="CR10" s="18">
        <v>1.7000000000000001E-2</v>
      </c>
      <c r="CS10" s="18">
        <v>33.43</v>
      </c>
      <c r="CT10" s="18">
        <v>0.186</v>
      </c>
      <c r="CU10" s="18">
        <v>1.7529999999999999</v>
      </c>
      <c r="CV10" s="18">
        <v>2.2799999999999998</v>
      </c>
      <c r="CW10" s="18">
        <v>0.23400000000000001</v>
      </c>
      <c r="CX10" s="18">
        <v>0.77200000000000002</v>
      </c>
      <c r="CY10" s="18">
        <v>8.1000000000000003E-2</v>
      </c>
      <c r="CZ10" s="18">
        <v>3.2000000000000001E-2</v>
      </c>
      <c r="DA10" s="18">
        <v>6.0999999999999999E-2</v>
      </c>
      <c r="DB10" s="18">
        <v>2.1999999999999999E-2</v>
      </c>
      <c r="DC10" s="18">
        <v>8.0000000000000002E-3</v>
      </c>
      <c r="DD10" s="18">
        <v>1.7999999999999999E-2</v>
      </c>
      <c r="DE10" s="18"/>
      <c r="DF10" s="18">
        <v>2.1999999999999999E-2</v>
      </c>
      <c r="DG10" s="18">
        <v>0.01</v>
      </c>
      <c r="DH10" s="18">
        <v>2.1000000000000001E-2</v>
      </c>
      <c r="DI10" s="18">
        <v>8.7999999999999995E-2</v>
      </c>
      <c r="DJ10" s="18">
        <v>0.106</v>
      </c>
      <c r="DK10" s="18">
        <v>0.219</v>
      </c>
      <c r="DL10" s="18">
        <v>0.34200000000000003</v>
      </c>
      <c r="DM10" s="18">
        <v>4.8000000000000001E-2</v>
      </c>
      <c r="DN10" s="18"/>
      <c r="DO10" s="18"/>
      <c r="DP10" s="18"/>
      <c r="DQ10" s="18"/>
      <c r="DR10" s="18"/>
      <c r="DS10" s="18"/>
      <c r="DT10" s="18"/>
      <c r="DU10" s="18"/>
      <c r="DV10" s="28"/>
      <c r="DW10" s="28"/>
      <c r="DX10" s="28"/>
      <c r="DY10" s="28"/>
      <c r="DZ10" s="28"/>
      <c r="EA10" s="28"/>
      <c r="EB10" s="28"/>
      <c r="EC10" s="28"/>
      <c r="ED10" s="28"/>
      <c r="EE10" s="28"/>
      <c r="EF10" s="28"/>
      <c r="EG10" s="28"/>
      <c r="EH10" s="28"/>
      <c r="EI10" s="28"/>
      <c r="EJ10" s="18"/>
      <c r="EK10" s="18"/>
      <c r="EL10" s="18">
        <f>IFERROR(CR10/'McDonough &amp; Sun 1995 values'!C$2,)</f>
        <v>0.80952380952380953</v>
      </c>
      <c r="EM10" s="18">
        <f>IFERROR(CH10/'McDonough &amp; Sun 1995 values'!D$2,)</f>
        <v>1.39</v>
      </c>
      <c r="EN10" s="18">
        <f>IFERROR(CS10/'McDonough &amp; Sun 1995 values'!E$2,)</f>
        <v>5.0651515151515154</v>
      </c>
      <c r="EO10" s="18">
        <f>IFERROR(DL10/'McDonough &amp; Sun 1995 values'!F$2,)</f>
        <v>4.3018867924528301</v>
      </c>
      <c r="EP10" s="18">
        <f>IFERROR(DM10/'McDonough &amp; Sun 1995 values'!G$2,)</f>
        <v>2.3645320197044337</v>
      </c>
      <c r="EQ10" s="18">
        <f>IFERROR(BR10/'McDonough &amp; Sun 1995 values'!H$2,)</f>
        <v>1.08375</v>
      </c>
      <c r="ER10" s="18">
        <f>IFERROR(DI10/'McDonough &amp; Sun 1995 values'!I$2,)</f>
        <v>2.3783783783783785</v>
      </c>
      <c r="ES10" s="18">
        <f>IFERROR(CM10/'McDonough &amp; Sun 1995 values'!J$2,)</f>
        <v>3.0243161094224922</v>
      </c>
      <c r="ET10" s="18">
        <f>IFERROR(CU10/'McDonough &amp; Sun 1995 values'!K$2,)</f>
        <v>2.7052469135802468</v>
      </c>
      <c r="EU10" s="18">
        <f>IFERROR(CV10/'McDonough &amp; Sun 1995 values'!L$2,)</f>
        <v>1.3611940298507461</v>
      </c>
      <c r="EV10" s="18">
        <f>IFERROR(CW10/'McDonough &amp; Sun 1995 values'!M$2,)</f>
        <v>0.92125984251968507</v>
      </c>
      <c r="EW10" s="18">
        <f>IFERROR(CI10/'McDonough &amp; Sun 1995 values'!N$2,)</f>
        <v>0.37336683417085431</v>
      </c>
      <c r="EX10" s="18">
        <f>IFERROR(CX10/'McDonough &amp; Sun 1995 values'!O$2,)</f>
        <v>0.61760000000000004</v>
      </c>
      <c r="EY10" s="18">
        <f>IFERROR(CY10/'McDonough &amp; Sun 1995 values'!P$2,)</f>
        <v>0.19950738916256158</v>
      </c>
      <c r="EZ10" s="18">
        <f>IFERROR(DH10/'McDonough &amp; Sun 1995 values'!Q$2,)</f>
        <v>7.4204946996466445E-2</v>
      </c>
      <c r="FA10" s="18">
        <f>IFERROR(CK10/'McDonough &amp; Sun 1995 values'!R$2,)</f>
        <v>5.228571428571429E-2</v>
      </c>
      <c r="FB10" s="18">
        <f>IFERROR(CZ10/'McDonough &amp; Sun 1995 values'!S$2,)</f>
        <v>0.20779220779220781</v>
      </c>
      <c r="FC10" s="18">
        <f>IFERROR(BT10/'McDonough &amp; Sun 1995 values'!T$2,)</f>
        <v>2.2962655601659752E-2</v>
      </c>
      <c r="FD10" s="18">
        <f>IFERROR(DA10/'McDonough &amp; Sun 1995 values'!U$2,)</f>
        <v>0.11213235294117646</v>
      </c>
      <c r="FE10" s="18">
        <f>IFERROR(DN10/'McDonough &amp; Sun 1995 values'!V$2,)</f>
        <v>0</v>
      </c>
      <c r="FF10" s="18">
        <f>IFERROR(DB10/'McDonough &amp; Sun 1995 values'!W$2,)</f>
        <v>3.2640949554896138E-2</v>
      </c>
      <c r="FG10" s="18">
        <f>IFERROR(CJ10/'McDonough &amp; Sun 1995 values'!X$2,)</f>
        <v>1.6511627906976745E-2</v>
      </c>
      <c r="FH10" s="18">
        <f>IFERROR(DC10/'McDonough &amp; Sun 1995 values'!Y$2,)</f>
        <v>5.3691275167785241E-2</v>
      </c>
      <c r="FI10" s="18">
        <f>IFERROR(DD10/'McDonough &amp; Sun 1995 values'!Z$2,)</f>
        <v>4.1095890410958902E-2</v>
      </c>
      <c r="FJ10" s="18">
        <f>IFERROR(DE10/'McDonough &amp; Sun 1995 values'!AA$2,)</f>
        <v>0</v>
      </c>
      <c r="FK10" s="18">
        <f>IFERROR(DF10/'McDonough &amp; Sun 1995 values'!AB$2,)</f>
        <v>4.9886621315192739E-2</v>
      </c>
      <c r="FL10" s="18">
        <f>IFERROR(DG10/'McDonough &amp; Sun 1995 values'!AC$2,)</f>
        <v>0.14814814814814814</v>
      </c>
      <c r="FN10" s="28">
        <f t="shared" si="68"/>
        <v>2.1818057851944026</v>
      </c>
      <c r="FO10" s="4">
        <f t="shared" si="8"/>
        <v>2.1421369949494951</v>
      </c>
      <c r="FP10" s="4">
        <f t="shared" si="9"/>
        <v>1.422432919313549</v>
      </c>
      <c r="FQ10" s="4">
        <f t="shared" si="10"/>
        <v>1.8193396226415093</v>
      </c>
      <c r="FR10" s="4">
        <f t="shared" si="11"/>
        <v>0.89449872820894605</v>
      </c>
      <c r="FS10" s="4">
        <f t="shared" si="12"/>
        <v>1.1374333613916947</v>
      </c>
      <c r="FT10" s="4">
        <f t="shared" si="13"/>
        <v>1.7170588235294115</v>
      </c>
      <c r="FU10" s="4">
        <f t="shared" si="14"/>
        <v>0.78641857938340365</v>
      </c>
      <c r="FV10" s="4">
        <f t="shared" si="15"/>
        <v>0.26207407407407407</v>
      </c>
      <c r="FW10" s="4">
        <f t="shared" si="16"/>
        <v>0.70461224489795915</v>
      </c>
      <c r="FX10" s="4">
        <f t="shared" si="17"/>
        <v>1.3335411356041897</v>
      </c>
      <c r="FY10" s="4">
        <f t="shared" si="18"/>
        <v>0.49498384315622718</v>
      </c>
      <c r="FZ10" s="4">
        <f t="shared" si="19"/>
        <v>1.3892624491447094</v>
      </c>
      <c r="GA10" s="4">
        <f t="shared" si="20"/>
        <v>0.40527852939913245</v>
      </c>
      <c r="GB10" s="4">
        <f t="shared" si="21"/>
        <v>1.0415263748597083</v>
      </c>
      <c r="GC10" s="4">
        <f t="shared" si="22"/>
        <v>0.58239122987324432</v>
      </c>
      <c r="GD10" s="4">
        <f t="shared" si="23"/>
        <v>1.177425571504519</v>
      </c>
      <c r="GE10" s="4">
        <f t="shared" si="24"/>
        <v>3.6439938957924576</v>
      </c>
      <c r="GF10" s="4">
        <f t="shared" si="25"/>
        <v>4.6737268882597602</v>
      </c>
      <c r="GG10" s="4">
        <f t="shared" si="26"/>
        <v>1.6748088929495966</v>
      </c>
      <c r="GH10" s="4">
        <f t="shared" si="27"/>
        <v>2.9364645985016353</v>
      </c>
      <c r="GI10" s="4">
        <f t="shared" si="28"/>
        <v>13.559632677945434</v>
      </c>
      <c r="GJ10" s="4">
        <f t="shared" si="29"/>
        <v>82.878928170594847</v>
      </c>
      <c r="GK10" s="4">
        <f t="shared" si="30"/>
        <v>54.227904040404042</v>
      </c>
      <c r="GL10" s="4">
        <f t="shared" si="31"/>
        <v>2.2769890030461046</v>
      </c>
      <c r="GM10" s="4">
        <f t="shared" si="32"/>
        <v>3.0948825844984391</v>
      </c>
      <c r="GN10" s="4">
        <f t="shared" si="33"/>
        <v>1.1179445743900598</v>
      </c>
      <c r="GO10" s="4">
        <f t="shared" si="34"/>
        <v>1.2790336879432622</v>
      </c>
      <c r="GP10" s="4">
        <f t="shared" si="35"/>
        <v>0.45833593749999996</v>
      </c>
      <c r="GQ10" s="27">
        <f t="shared" si="70"/>
        <v>49647.470635652935</v>
      </c>
      <c r="GR10" s="28">
        <f t="shared" si="69"/>
        <v>3.2449327212845054</v>
      </c>
      <c r="GS10" s="28">
        <f t="shared" si="36"/>
        <v>159.19258173831042</v>
      </c>
      <c r="GT10" s="28">
        <f t="shared" si="37"/>
        <v>6381.0647572082953</v>
      </c>
      <c r="GU10" s="28">
        <f t="shared" si="38"/>
        <v>65.280411216429457</v>
      </c>
      <c r="GV10" s="28">
        <f t="shared" si="39"/>
        <v>9.1621629777444848</v>
      </c>
      <c r="GW10" s="28">
        <f t="shared" si="40"/>
        <v>49647.470635652935</v>
      </c>
      <c r="GX10" s="28">
        <f t="shared" si="41"/>
        <v>16.797298792531556</v>
      </c>
      <c r="GY10" s="28">
        <f t="shared" si="42"/>
        <v>379.84800678565682</v>
      </c>
      <c r="GZ10" s="28">
        <f t="shared" si="43"/>
        <v>334.60982708304334</v>
      </c>
      <c r="HA10" s="28">
        <f t="shared" si="44"/>
        <v>435.20274144286299</v>
      </c>
      <c r="HB10" s="28">
        <f t="shared" si="45"/>
        <v>44.665544516504369</v>
      </c>
      <c r="HC10" s="28">
        <f t="shared" si="46"/>
        <v>1418.2264775966985</v>
      </c>
      <c r="HD10" s="28">
        <f t="shared" si="47"/>
        <v>147.35812122539048</v>
      </c>
      <c r="HE10" s="28">
        <f t="shared" si="48"/>
        <v>15.461150024943819</v>
      </c>
      <c r="HF10" s="28">
        <f t="shared" si="49"/>
        <v>4.0084463027632129</v>
      </c>
      <c r="HG10" s="28">
        <f t="shared" si="50"/>
        <v>104.79223905795257</v>
      </c>
      <c r="HH10" s="28">
        <f t="shared" si="51"/>
        <v>6.1081086518296566</v>
      </c>
      <c r="HI10" s="28">
        <f t="shared" si="52"/>
        <v>5281.6051998789571</v>
      </c>
      <c r="HJ10" s="28">
        <f t="shared" si="53"/>
        <v>11.643582117550284</v>
      </c>
      <c r="HK10" s="28">
        <f t="shared" si="54"/>
        <v>0</v>
      </c>
      <c r="HL10" s="28">
        <f t="shared" si="55"/>
        <v>4.1993246981328891</v>
      </c>
      <c r="HM10" s="28">
        <f t="shared" si="56"/>
        <v>13.55236607124705</v>
      </c>
      <c r="HN10" s="28">
        <f t="shared" si="57"/>
        <v>1.5270271629574141</v>
      </c>
      <c r="HO10" s="28">
        <f t="shared" si="58"/>
        <v>3.435811116654182</v>
      </c>
      <c r="HP10" s="28">
        <f t="shared" si="59"/>
        <v>0</v>
      </c>
      <c r="HQ10" s="28">
        <f t="shared" si="60"/>
        <v>4.1993246981328891</v>
      </c>
      <c r="HR10" s="28">
        <f t="shared" si="61"/>
        <v>1.9087839536967677</v>
      </c>
      <c r="HT10" s="4">
        <f>IFERROR(GR10/'McDonough &amp; Sun 1995 values'!C$2,)</f>
        <v>154.52060577545262</v>
      </c>
      <c r="HU10" s="4">
        <f>IFERROR(GS10/'McDonough &amp; Sun 1995 values'!D$2,)</f>
        <v>265.32096956385072</v>
      </c>
      <c r="HV10" s="4">
        <f>IFERROR(GT10/'McDonough &amp; Sun 1995 values'!E$2,)</f>
        <v>966.82799351640847</v>
      </c>
      <c r="HW10" s="4">
        <f>IFERROR(GU10/'McDonough &amp; Sun 1995 values'!F$2,)</f>
        <v>821.13724800540194</v>
      </c>
      <c r="HX10" s="4">
        <f>IFERROR(GV10/'McDonough &amp; Sun 1995 values'!G$2,)</f>
        <v>451.33807772140324</v>
      </c>
      <c r="HY10" s="4">
        <f>IFERROR(GW10/'McDonough &amp; Sun 1995 values'!H$2,)</f>
        <v>206.86446098188722</v>
      </c>
      <c r="HZ10" s="4">
        <f>IFERROR(GX10/'McDonough &amp; Sun 1995 values'!I$2,)</f>
        <v>453.98104844679887</v>
      </c>
      <c r="IA10" s="4">
        <f>IFERROR(GY10/'McDonough &amp; Sun 1995 values'!J$2,)</f>
        <v>577.27660605722917</v>
      </c>
      <c r="IB10" s="4">
        <f>IFERROR(GZ10/'McDonough &amp; Sun 1995 values'!K$2,)</f>
        <v>516.37318994296811</v>
      </c>
      <c r="IC10" s="4">
        <f>IFERROR(HA10/'McDonough &amp; Sun 1995 values'!L$2,)</f>
        <v>259.82253220469431</v>
      </c>
      <c r="ID10" s="4">
        <f>IFERROR(HB10/'McDonough &amp; Sun 1995 values'!M$2,)</f>
        <v>175.84860045867862</v>
      </c>
      <c r="IE10" s="4">
        <f>IFERROR(HC10/'McDonough &amp; Sun 1995 values'!N$2,)</f>
        <v>71.267662190788869</v>
      </c>
      <c r="IF10" s="4">
        <f>IFERROR(HD10/'McDonough &amp; Sun 1995 values'!O$2,)</f>
        <v>117.88649698031239</v>
      </c>
      <c r="IG10" s="4">
        <f>IFERROR(HE10/'McDonough &amp; Sun 1995 values'!P$2,)</f>
        <v>38.081650307743395</v>
      </c>
      <c r="IH10" s="4">
        <f>IFERROR(HF10/'McDonough &amp; Sun 1995 values'!Q$2,)</f>
        <v>14.164121211177433</v>
      </c>
      <c r="II10" s="4">
        <f>IFERROR(HG10/'McDonough &amp; Sun 1995 values'!R$2,)</f>
        <v>9.9802132436145303</v>
      </c>
      <c r="IJ10" s="4">
        <f>IFERROR(HH10/'McDonough &amp; Sun 1995 values'!S$2,)</f>
        <v>39.663043193699068</v>
      </c>
      <c r="IK10" s="4">
        <f>IFERROR(HI10/'McDonough &amp; Sun 1995 values'!T$2,)</f>
        <v>4.3830748546713334</v>
      </c>
      <c r="IL10" s="4">
        <f>IFERROR(HJ10/'McDonough &amp; Sun 1995 values'!U$2,)</f>
        <v>21.40364359843802</v>
      </c>
      <c r="IM10" s="4">
        <f>IFERROR(HK10/'McDonough &amp; Sun 1995 values'!V$2,)</f>
        <v>0</v>
      </c>
      <c r="IN10" s="4">
        <f>IFERROR(HL10/'McDonough &amp; Sun 1995 values'!W$2,)</f>
        <v>6.2304520743811409</v>
      </c>
      <c r="IO10" s="4">
        <f>IFERROR(HM10/'McDonough &amp; Sun 1995 values'!X$2,)</f>
        <v>3.1517130398248954</v>
      </c>
      <c r="IP10" s="4">
        <f>IFERROR(HN10/'McDonough &amp; Sun 1995 values'!Y$2,)</f>
        <v>10.248504449378618</v>
      </c>
      <c r="IQ10" s="4">
        <f>IFERROR(HO10/'McDonough &amp; Sun 1995 values'!Z$2,)</f>
        <v>7.8443176179319227</v>
      </c>
      <c r="IR10" s="4">
        <f>IFERROR(HP10/'McDonough &amp; Sun 1995 values'!AA$2,)</f>
        <v>0</v>
      </c>
      <c r="IS10" s="4">
        <f>IFERROR(HQ10/'McDonough &amp; Sun 1995 values'!AB$2,)</f>
        <v>9.5222782270587061</v>
      </c>
      <c r="IT10" s="4">
        <f>IFERROR(HR10/'McDonough &amp; Sun 1995 values'!AC$2,)</f>
        <v>28.278280795507669</v>
      </c>
    </row>
    <row r="11" spans="1:254">
      <c r="A11" s="16" t="s">
        <v>842</v>
      </c>
      <c r="B11" s="16" t="s">
        <v>24</v>
      </c>
      <c r="C11" s="16" t="str">
        <f t="shared" si="0"/>
        <v>high-Mg carbonatitic</v>
      </c>
      <c r="D11" s="16" t="s">
        <v>1709</v>
      </c>
      <c r="E11" s="16" t="s">
        <v>237</v>
      </c>
      <c r="F11" s="16" t="s">
        <v>29</v>
      </c>
      <c r="G11" s="16" t="s">
        <v>595</v>
      </c>
      <c r="H11" s="27">
        <v>360</v>
      </c>
      <c r="I11" s="16" t="s">
        <v>712</v>
      </c>
      <c r="J11" s="16">
        <v>0</v>
      </c>
      <c r="K11" s="16" t="s">
        <v>913</v>
      </c>
      <c r="L11" s="16">
        <v>0</v>
      </c>
      <c r="M11" s="16" t="s">
        <v>63</v>
      </c>
      <c r="N11" s="16" t="s">
        <v>1084</v>
      </c>
      <c r="O11" s="26">
        <v>8.1</v>
      </c>
      <c r="P11" s="26">
        <v>0</v>
      </c>
      <c r="Q11" s="26"/>
      <c r="R11" s="26"/>
      <c r="S11" s="26">
        <v>3.3</v>
      </c>
      <c r="T11" s="26">
        <v>37.9</v>
      </c>
      <c r="U11" s="26">
        <v>16.2</v>
      </c>
      <c r="V11" s="26">
        <v>6.1</v>
      </c>
      <c r="W11" s="26">
        <v>8.8000000000000007</v>
      </c>
      <c r="X11" s="26">
        <v>15.1</v>
      </c>
      <c r="Y11" s="26"/>
      <c r="Z11" s="26">
        <v>2.9</v>
      </c>
      <c r="AA11" s="26"/>
      <c r="AB11" s="26"/>
      <c r="AC11" s="26"/>
      <c r="AD11" s="26">
        <v>1.5</v>
      </c>
      <c r="AE11" s="26"/>
      <c r="AF11" s="26"/>
      <c r="AG11" s="26"/>
      <c r="AH11" s="26"/>
      <c r="AI11" s="26"/>
      <c r="AJ11" s="26">
        <f t="shared" si="62"/>
        <v>83.7</v>
      </c>
      <c r="AK11" s="26">
        <f t="shared" si="63"/>
        <v>9.7167163254843629</v>
      </c>
      <c r="AL11" s="26">
        <f t="shared" si="1"/>
        <v>0</v>
      </c>
      <c r="AM11" s="26">
        <f t="shared" si="2"/>
        <v>0</v>
      </c>
      <c r="AN11" s="26">
        <f t="shared" si="64"/>
        <v>3.9586622066788149</v>
      </c>
      <c r="AO11" s="26">
        <f t="shared" si="65"/>
        <v>45.464635646402144</v>
      </c>
      <c r="AP11" s="26">
        <f t="shared" si="3"/>
        <v>7.3175271093153844</v>
      </c>
      <c r="AQ11" s="26">
        <f t="shared" si="4"/>
        <v>0</v>
      </c>
      <c r="AR11" s="26">
        <f t="shared" si="5"/>
        <v>10.556432551143507</v>
      </c>
      <c r="AS11" s="26">
        <f t="shared" si="66"/>
        <v>18.113878582075792</v>
      </c>
      <c r="AT11" s="26">
        <f t="shared" si="6"/>
        <v>3.4788243634450189</v>
      </c>
      <c r="AU11" s="26">
        <f t="shared" si="67"/>
        <v>1.7993919121267341</v>
      </c>
      <c r="AV11" s="26">
        <f t="shared" si="7"/>
        <v>100.40606869667174</v>
      </c>
      <c r="AW11" s="16"/>
      <c r="AX11" s="16"/>
      <c r="AY11" s="16"/>
      <c r="AZ11" s="16"/>
      <c r="BA11" s="26"/>
      <c r="BB11" s="26">
        <v>0.06</v>
      </c>
      <c r="BC11" s="26">
        <f t="shared" si="71"/>
        <v>6.0000000000000053E-2</v>
      </c>
      <c r="BD11" s="26">
        <f t="shared" si="72"/>
        <v>0.94</v>
      </c>
      <c r="BE11" s="16"/>
      <c r="BF11" s="16"/>
      <c r="BG11" s="16" t="s">
        <v>947</v>
      </c>
      <c r="BH11" s="16" t="s">
        <v>948</v>
      </c>
      <c r="BI11" s="16" t="s">
        <v>949</v>
      </c>
      <c r="BJ11" s="16"/>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28"/>
      <c r="DW11" s="28"/>
      <c r="DX11" s="28"/>
      <c r="DY11" s="28"/>
      <c r="DZ11" s="28"/>
      <c r="EA11" s="28"/>
      <c r="EB11" s="28"/>
      <c r="EC11" s="28"/>
      <c r="ED11" s="28"/>
      <c r="EE11" s="28"/>
      <c r="EF11" s="28"/>
      <c r="EG11" s="28"/>
      <c r="EH11" s="28"/>
      <c r="EI11" s="28"/>
      <c r="EJ11" s="18"/>
      <c r="EK11" s="18"/>
      <c r="EL11" s="18">
        <f>IFERROR(CR11/'McDonough &amp; Sun 1995 values'!C$2,)</f>
        <v>0</v>
      </c>
      <c r="EM11" s="18">
        <f>IFERROR(CH11/'McDonough &amp; Sun 1995 values'!D$2,)</f>
        <v>0</v>
      </c>
      <c r="EN11" s="18">
        <f>IFERROR(CS11/'McDonough &amp; Sun 1995 values'!E$2,)</f>
        <v>0</v>
      </c>
      <c r="EO11" s="18">
        <f>IFERROR(DL11/'McDonough &amp; Sun 1995 values'!F$2,)</f>
        <v>0</v>
      </c>
      <c r="EP11" s="18">
        <f>IFERROR(DM11/'McDonough &amp; Sun 1995 values'!G$2,)</f>
        <v>0</v>
      </c>
      <c r="EQ11" s="18">
        <f>IFERROR(BR11/'McDonough &amp; Sun 1995 values'!H$2,)</f>
        <v>0</v>
      </c>
      <c r="ER11" s="18">
        <f>IFERROR(DI11/'McDonough &amp; Sun 1995 values'!I$2,)</f>
        <v>0</v>
      </c>
      <c r="ES11" s="18">
        <f>IFERROR(CM11/'McDonough &amp; Sun 1995 values'!J$2,)</f>
        <v>0</v>
      </c>
      <c r="ET11" s="18">
        <f>IFERROR(CU11/'McDonough &amp; Sun 1995 values'!K$2,)</f>
        <v>0</v>
      </c>
      <c r="EU11" s="18">
        <f>IFERROR(CV11/'McDonough &amp; Sun 1995 values'!L$2,)</f>
        <v>0</v>
      </c>
      <c r="EV11" s="18">
        <f>IFERROR(CW11/'McDonough &amp; Sun 1995 values'!M$2,)</f>
        <v>0</v>
      </c>
      <c r="EW11" s="18">
        <f>IFERROR(CI11/'McDonough &amp; Sun 1995 values'!N$2,)</f>
        <v>0</v>
      </c>
      <c r="EX11" s="18">
        <f>IFERROR(CX11/'McDonough &amp; Sun 1995 values'!O$2,)</f>
        <v>0</v>
      </c>
      <c r="EY11" s="18">
        <f>IFERROR(CY11/'McDonough &amp; Sun 1995 values'!P$2,)</f>
        <v>0</v>
      </c>
      <c r="EZ11" s="18">
        <f>IFERROR(DH11/'McDonough &amp; Sun 1995 values'!Q$2,)</f>
        <v>0</v>
      </c>
      <c r="FA11" s="18">
        <f>IFERROR(CK11/'McDonough &amp; Sun 1995 values'!R$2,)</f>
        <v>0</v>
      </c>
      <c r="FB11" s="18">
        <f>IFERROR(CZ11/'McDonough &amp; Sun 1995 values'!S$2,)</f>
        <v>0</v>
      </c>
      <c r="FC11" s="18">
        <f>IFERROR(BT11/'McDonough &amp; Sun 1995 values'!T$2,)</f>
        <v>0</v>
      </c>
      <c r="FD11" s="18">
        <f>IFERROR(DA11/'McDonough &amp; Sun 1995 values'!U$2,)</f>
        <v>0</v>
      </c>
      <c r="FE11" s="18">
        <f>IFERROR(DN11/'McDonough &amp; Sun 1995 values'!V$2,)</f>
        <v>0</v>
      </c>
      <c r="FF11" s="18">
        <f>IFERROR(DB11/'McDonough &amp; Sun 1995 values'!W$2,)</f>
        <v>0</v>
      </c>
      <c r="FG11" s="18">
        <f>IFERROR(CJ11/'McDonough &amp; Sun 1995 values'!X$2,)</f>
        <v>0</v>
      </c>
      <c r="FH11" s="18">
        <f>IFERROR(DC11/'McDonough &amp; Sun 1995 values'!Y$2,)</f>
        <v>0</v>
      </c>
      <c r="FI11" s="18">
        <f>IFERROR(DD11/'McDonough &amp; Sun 1995 values'!Z$2,)</f>
        <v>0</v>
      </c>
      <c r="FJ11" s="18">
        <f>IFERROR(DE11/'McDonough &amp; Sun 1995 values'!AA$2,)</f>
        <v>0</v>
      </c>
      <c r="FK11" s="18">
        <f>IFERROR(DF11/'McDonough &amp; Sun 1995 values'!AB$2,)</f>
        <v>0</v>
      </c>
      <c r="FL11" s="18">
        <f>IFERROR(DG11/'McDonough &amp; Sun 1995 values'!AC$2,)</f>
        <v>0</v>
      </c>
      <c r="FN11" s="28">
        <f t="shared" si="68"/>
        <v>0</v>
      </c>
      <c r="FO11" s="4">
        <f t="shared" si="8"/>
        <v>0</v>
      </c>
      <c r="FP11" s="4">
        <f t="shared" si="9"/>
        <v>0</v>
      </c>
      <c r="FQ11" s="4">
        <f t="shared" si="10"/>
        <v>0</v>
      </c>
      <c r="FR11" s="4">
        <f t="shared" si="11"/>
        <v>0</v>
      </c>
      <c r="FS11" s="4">
        <f t="shared" si="12"/>
        <v>0</v>
      </c>
      <c r="FT11" s="4">
        <f t="shared" si="13"/>
        <v>0</v>
      </c>
      <c r="FU11" s="4">
        <f t="shared" si="14"/>
        <v>0</v>
      </c>
      <c r="FV11" s="4">
        <f t="shared" si="15"/>
        <v>0</v>
      </c>
      <c r="FW11" s="4">
        <f t="shared" si="16"/>
        <v>0</v>
      </c>
      <c r="FX11" s="4">
        <f t="shared" si="17"/>
        <v>0</v>
      </c>
      <c r="FY11" s="4">
        <f t="shared" si="18"/>
        <v>0</v>
      </c>
      <c r="FZ11" s="4">
        <f t="shared" si="19"/>
        <v>0</v>
      </c>
      <c r="GA11" s="4">
        <f t="shared" si="20"/>
        <v>0</v>
      </c>
      <c r="GB11" s="4">
        <f t="shared" si="21"/>
        <v>0</v>
      </c>
      <c r="GC11" s="4">
        <f t="shared" si="22"/>
        <v>0</v>
      </c>
      <c r="GD11" s="4">
        <f t="shared" si="23"/>
        <v>0</v>
      </c>
      <c r="GE11" s="4">
        <f t="shared" si="24"/>
        <v>0</v>
      </c>
      <c r="GF11" s="4">
        <f t="shared" si="25"/>
        <v>0</v>
      </c>
      <c r="GG11" s="4">
        <f t="shared" si="26"/>
        <v>0</v>
      </c>
      <c r="GH11" s="4">
        <f t="shared" si="27"/>
        <v>0</v>
      </c>
      <c r="GI11" s="4">
        <f t="shared" si="28"/>
        <v>0</v>
      </c>
      <c r="GJ11" s="4">
        <f t="shared" si="29"/>
        <v>0</v>
      </c>
      <c r="GK11" s="4">
        <f t="shared" si="30"/>
        <v>0</v>
      </c>
      <c r="GL11" s="4">
        <f t="shared" si="31"/>
        <v>0</v>
      </c>
      <c r="GM11" s="4">
        <f t="shared" si="32"/>
        <v>0</v>
      </c>
      <c r="GN11" s="4">
        <f t="shared" si="33"/>
        <v>0</v>
      </c>
      <c r="GO11" s="4">
        <f t="shared" si="34"/>
        <v>0</v>
      </c>
      <c r="GP11" s="4">
        <f t="shared" si="35"/>
        <v>0</v>
      </c>
      <c r="GQ11" s="27">
        <f t="shared" si="70"/>
        <v>150370.063439722</v>
      </c>
      <c r="GR11" s="28" t="str">
        <f t="shared" si="69"/>
        <v/>
      </c>
      <c r="GS11" s="28" t="str">
        <f t="shared" si="36"/>
        <v/>
      </c>
      <c r="GT11" s="28" t="str">
        <f t="shared" si="37"/>
        <v/>
      </c>
      <c r="GU11" s="28" t="str">
        <f t="shared" si="38"/>
        <v/>
      </c>
      <c r="GV11" s="28" t="str">
        <f t="shared" si="39"/>
        <v/>
      </c>
      <c r="GW11" s="28" t="str">
        <f t="shared" si="40"/>
        <v/>
      </c>
      <c r="GX11" s="28" t="str">
        <f t="shared" si="41"/>
        <v/>
      </c>
      <c r="GY11" s="28" t="str">
        <f t="shared" si="42"/>
        <v/>
      </c>
      <c r="GZ11" s="28" t="str">
        <f t="shared" si="43"/>
        <v/>
      </c>
      <c r="HA11" s="28" t="str">
        <f t="shared" si="44"/>
        <v/>
      </c>
      <c r="HB11" s="28" t="str">
        <f t="shared" si="45"/>
        <v/>
      </c>
      <c r="HC11" s="28" t="str">
        <f t="shared" si="46"/>
        <v/>
      </c>
      <c r="HD11" s="28" t="str">
        <f t="shared" si="47"/>
        <v/>
      </c>
      <c r="HE11" s="28" t="str">
        <f t="shared" si="48"/>
        <v/>
      </c>
      <c r="HF11" s="28" t="str">
        <f t="shared" si="49"/>
        <v/>
      </c>
      <c r="HG11" s="28" t="str">
        <f t="shared" si="50"/>
        <v/>
      </c>
      <c r="HH11" s="28" t="str">
        <f t="shared" si="51"/>
        <v/>
      </c>
      <c r="HI11" s="28" t="str">
        <f t="shared" si="52"/>
        <v/>
      </c>
      <c r="HJ11" s="28" t="str">
        <f t="shared" si="53"/>
        <v/>
      </c>
      <c r="HK11" s="28" t="str">
        <f t="shared" si="54"/>
        <v/>
      </c>
      <c r="HL11" s="28" t="str">
        <f t="shared" si="55"/>
        <v/>
      </c>
      <c r="HM11" s="28" t="str">
        <f t="shared" si="56"/>
        <v/>
      </c>
      <c r="HN11" s="28" t="str">
        <f t="shared" si="57"/>
        <v/>
      </c>
      <c r="HO11" s="28" t="str">
        <f t="shared" si="58"/>
        <v/>
      </c>
      <c r="HP11" s="28" t="str">
        <f t="shared" si="59"/>
        <v/>
      </c>
      <c r="HQ11" s="28" t="str">
        <f t="shared" si="60"/>
        <v/>
      </c>
      <c r="HR11" s="28" t="str">
        <f t="shared" si="61"/>
        <v/>
      </c>
      <c r="HT11" s="4">
        <f>IFERROR(GR11/'McDonough &amp; Sun 1995 values'!C$2,)</f>
        <v>0</v>
      </c>
      <c r="HU11" s="4">
        <f>IFERROR(GS11/'McDonough &amp; Sun 1995 values'!D$2,)</f>
        <v>0</v>
      </c>
      <c r="HV11" s="4">
        <f>IFERROR(GT11/'McDonough &amp; Sun 1995 values'!E$2,)</f>
        <v>0</v>
      </c>
      <c r="HW11" s="4">
        <f>IFERROR(GU11/'McDonough &amp; Sun 1995 values'!F$2,)</f>
        <v>0</v>
      </c>
      <c r="HX11" s="4">
        <f>IFERROR(GV11/'McDonough &amp; Sun 1995 values'!G$2,)</f>
        <v>0</v>
      </c>
      <c r="HY11" s="4">
        <f>IFERROR(GW11/'McDonough &amp; Sun 1995 values'!H$2,)</f>
        <v>0</v>
      </c>
      <c r="HZ11" s="4">
        <f>IFERROR(GX11/'McDonough &amp; Sun 1995 values'!I$2,)</f>
        <v>0</v>
      </c>
      <c r="IA11" s="4">
        <f>IFERROR(GY11/'McDonough &amp; Sun 1995 values'!J$2,)</f>
        <v>0</v>
      </c>
      <c r="IB11" s="4">
        <f>IFERROR(GZ11/'McDonough &amp; Sun 1995 values'!K$2,)</f>
        <v>0</v>
      </c>
      <c r="IC11" s="4">
        <f>IFERROR(HA11/'McDonough &amp; Sun 1995 values'!L$2,)</f>
        <v>0</v>
      </c>
      <c r="ID11" s="4">
        <f>IFERROR(HB11/'McDonough &amp; Sun 1995 values'!M$2,)</f>
        <v>0</v>
      </c>
      <c r="IE11" s="4">
        <f>IFERROR(HC11/'McDonough &amp; Sun 1995 values'!N$2,)</f>
        <v>0</v>
      </c>
      <c r="IF11" s="4">
        <f>IFERROR(HD11/'McDonough &amp; Sun 1995 values'!O$2,)</f>
        <v>0</v>
      </c>
      <c r="IG11" s="4">
        <f>IFERROR(HE11/'McDonough &amp; Sun 1995 values'!P$2,)</f>
        <v>0</v>
      </c>
      <c r="IH11" s="4">
        <f>IFERROR(HF11/'McDonough &amp; Sun 1995 values'!Q$2,)</f>
        <v>0</v>
      </c>
      <c r="II11" s="4">
        <f>IFERROR(HG11/'McDonough &amp; Sun 1995 values'!R$2,)</f>
        <v>0</v>
      </c>
      <c r="IJ11" s="4">
        <f>IFERROR(HH11/'McDonough &amp; Sun 1995 values'!S$2,)</f>
        <v>0</v>
      </c>
      <c r="IK11" s="4">
        <f>IFERROR(HI11/'McDonough &amp; Sun 1995 values'!T$2,)</f>
        <v>0</v>
      </c>
      <c r="IL11" s="4">
        <f>IFERROR(HJ11/'McDonough &amp; Sun 1995 values'!U$2,)</f>
        <v>0</v>
      </c>
      <c r="IM11" s="4">
        <f>IFERROR(HK11/'McDonough &amp; Sun 1995 values'!V$2,)</f>
        <v>0</v>
      </c>
      <c r="IN11" s="4">
        <f>IFERROR(HL11/'McDonough &amp; Sun 1995 values'!W$2,)</f>
        <v>0</v>
      </c>
      <c r="IO11" s="4">
        <f>IFERROR(HM11/'McDonough &amp; Sun 1995 values'!X$2,)</f>
        <v>0</v>
      </c>
      <c r="IP11" s="4">
        <f>IFERROR(HN11/'McDonough &amp; Sun 1995 values'!Y$2,)</f>
        <v>0</v>
      </c>
      <c r="IQ11" s="4">
        <f>IFERROR(HO11/'McDonough &amp; Sun 1995 values'!Z$2,)</f>
        <v>0</v>
      </c>
      <c r="IR11" s="4">
        <f>IFERROR(HP11/'McDonough &amp; Sun 1995 values'!AA$2,)</f>
        <v>0</v>
      </c>
      <c r="IS11" s="4">
        <f>IFERROR(HQ11/'McDonough &amp; Sun 1995 values'!AB$2,)</f>
        <v>0</v>
      </c>
      <c r="IT11" s="4">
        <f>IFERROR(HR11/'McDonough &amp; Sun 1995 values'!AC$2,)</f>
        <v>0</v>
      </c>
    </row>
    <row r="12" spans="1:254">
      <c r="A12" s="16" t="s">
        <v>842</v>
      </c>
      <c r="B12" s="16" t="s">
        <v>24</v>
      </c>
      <c r="C12" s="16" t="str">
        <f t="shared" si="0"/>
        <v>high-Mg carbonatitic</v>
      </c>
      <c r="D12" s="16" t="s">
        <v>1709</v>
      </c>
      <c r="E12" s="16" t="s">
        <v>237</v>
      </c>
      <c r="F12" s="16" t="s">
        <v>29</v>
      </c>
      <c r="G12" s="16" t="s">
        <v>595</v>
      </c>
      <c r="H12" s="27">
        <v>360</v>
      </c>
      <c r="I12" s="16" t="s">
        <v>712</v>
      </c>
      <c r="J12" s="16">
        <v>0</v>
      </c>
      <c r="K12" s="16" t="s">
        <v>913</v>
      </c>
      <c r="L12" s="16">
        <v>0</v>
      </c>
      <c r="M12" s="16" t="s">
        <v>55</v>
      </c>
      <c r="N12" s="16" t="s">
        <v>1084</v>
      </c>
      <c r="O12" s="26">
        <v>12.1</v>
      </c>
      <c r="P12" s="26">
        <v>0.5</v>
      </c>
      <c r="Q12" s="26">
        <v>0.3</v>
      </c>
      <c r="R12" s="26">
        <v>3.3</v>
      </c>
      <c r="S12" s="26">
        <v>3.7</v>
      </c>
      <c r="T12" s="26">
        <v>42.5</v>
      </c>
      <c r="U12" s="26">
        <v>4.8</v>
      </c>
      <c r="V12" s="26">
        <v>16.100000000000001</v>
      </c>
      <c r="W12" s="26">
        <v>8.5</v>
      </c>
      <c r="X12" s="26">
        <v>4.5</v>
      </c>
      <c r="Y12" s="26"/>
      <c r="Z12" s="26">
        <v>1.2</v>
      </c>
      <c r="AA12" s="26"/>
      <c r="AB12" s="26"/>
      <c r="AC12" s="26"/>
      <c r="AD12" s="26">
        <v>1.8</v>
      </c>
      <c r="AE12" s="26"/>
      <c r="AF12" s="26">
        <v>0.8</v>
      </c>
      <c r="AG12" s="26"/>
      <c r="AH12" s="26"/>
      <c r="AI12" s="26"/>
      <c r="AJ12" s="26">
        <f t="shared" si="62"/>
        <v>94.199999999999989</v>
      </c>
      <c r="AK12" s="26">
        <f t="shared" si="63"/>
        <v>12.900640302677605</v>
      </c>
      <c r="AL12" s="26">
        <f t="shared" si="1"/>
        <v>0.53308431002800027</v>
      </c>
      <c r="AM12" s="26">
        <f t="shared" si="2"/>
        <v>3.5183564461848014</v>
      </c>
      <c r="AN12" s="26">
        <f t="shared" si="64"/>
        <v>3.9448238942072016</v>
      </c>
      <c r="AO12" s="26">
        <f t="shared" si="65"/>
        <v>45.312166352380018</v>
      </c>
      <c r="AP12" s="26">
        <f t="shared" si="3"/>
        <v>17.165314782901607</v>
      </c>
      <c r="AQ12" s="26">
        <f t="shared" si="4"/>
        <v>0</v>
      </c>
      <c r="AR12" s="26">
        <f t="shared" si="5"/>
        <v>9.0624332704760029</v>
      </c>
      <c r="AS12" s="26">
        <f t="shared" si="66"/>
        <v>4.7977587902520016</v>
      </c>
      <c r="AT12" s="26">
        <f t="shared" si="6"/>
        <v>1.2794023440672004</v>
      </c>
      <c r="AU12" s="26">
        <f t="shared" si="67"/>
        <v>1.9191035161008008</v>
      </c>
      <c r="AV12" s="26">
        <f t="shared" si="7"/>
        <v>100.43308400927523</v>
      </c>
      <c r="AW12" s="16"/>
      <c r="AX12" s="16"/>
      <c r="AY12" s="16"/>
      <c r="AZ12" s="16"/>
      <c r="BA12" s="26"/>
      <c r="BB12" s="26">
        <v>0.04</v>
      </c>
      <c r="BC12" s="26">
        <f t="shared" si="71"/>
        <v>4.0000000000000036E-2</v>
      </c>
      <c r="BD12" s="26">
        <f t="shared" si="72"/>
        <v>0.96</v>
      </c>
      <c r="BE12" s="16"/>
      <c r="BF12" s="16"/>
      <c r="BG12" s="16" t="s">
        <v>944</v>
      </c>
      <c r="BH12" s="16" t="s">
        <v>945</v>
      </c>
      <c r="BI12" s="16" t="s">
        <v>946</v>
      </c>
      <c r="BJ12" s="16"/>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28"/>
      <c r="DW12" s="28"/>
      <c r="DX12" s="28"/>
      <c r="DY12" s="28"/>
      <c r="DZ12" s="28"/>
      <c r="EA12" s="28"/>
      <c r="EB12" s="28"/>
      <c r="EC12" s="28"/>
      <c r="ED12" s="28"/>
      <c r="EE12" s="28"/>
      <c r="EF12" s="28"/>
      <c r="EG12" s="28"/>
      <c r="EH12" s="28"/>
      <c r="EI12" s="28"/>
      <c r="EJ12" s="18"/>
      <c r="EK12" s="18"/>
      <c r="EL12" s="18">
        <f>IFERROR(CR12/'McDonough &amp; Sun 1995 values'!C$2,)</f>
        <v>0</v>
      </c>
      <c r="EM12" s="18">
        <f>IFERROR(CH12/'McDonough &amp; Sun 1995 values'!D$2,)</f>
        <v>0</v>
      </c>
      <c r="EN12" s="18">
        <f>IFERROR(CS12/'McDonough &amp; Sun 1995 values'!E$2,)</f>
        <v>0</v>
      </c>
      <c r="EO12" s="18">
        <f>IFERROR(DL12/'McDonough &amp; Sun 1995 values'!F$2,)</f>
        <v>0</v>
      </c>
      <c r="EP12" s="18">
        <f>IFERROR(DM12/'McDonough &amp; Sun 1995 values'!G$2,)</f>
        <v>0</v>
      </c>
      <c r="EQ12" s="18">
        <f>IFERROR(BR12/'McDonough &amp; Sun 1995 values'!H$2,)</f>
        <v>0</v>
      </c>
      <c r="ER12" s="18">
        <f>IFERROR(DI12/'McDonough &amp; Sun 1995 values'!I$2,)</f>
        <v>0</v>
      </c>
      <c r="ES12" s="18">
        <f>IFERROR(CM12/'McDonough &amp; Sun 1995 values'!J$2,)</f>
        <v>0</v>
      </c>
      <c r="ET12" s="18">
        <f>IFERROR(CU12/'McDonough &amp; Sun 1995 values'!K$2,)</f>
        <v>0</v>
      </c>
      <c r="EU12" s="18">
        <f>IFERROR(CV12/'McDonough &amp; Sun 1995 values'!L$2,)</f>
        <v>0</v>
      </c>
      <c r="EV12" s="18">
        <f>IFERROR(CW12/'McDonough &amp; Sun 1995 values'!M$2,)</f>
        <v>0</v>
      </c>
      <c r="EW12" s="18">
        <f>IFERROR(CI12/'McDonough &amp; Sun 1995 values'!N$2,)</f>
        <v>0</v>
      </c>
      <c r="EX12" s="18">
        <f>IFERROR(CX12/'McDonough &amp; Sun 1995 values'!O$2,)</f>
        <v>0</v>
      </c>
      <c r="EY12" s="18">
        <f>IFERROR(CY12/'McDonough &amp; Sun 1995 values'!P$2,)</f>
        <v>0</v>
      </c>
      <c r="EZ12" s="18">
        <f>IFERROR(DH12/'McDonough &amp; Sun 1995 values'!Q$2,)</f>
        <v>0</v>
      </c>
      <c r="FA12" s="18">
        <f>IFERROR(CK12/'McDonough &amp; Sun 1995 values'!R$2,)</f>
        <v>0</v>
      </c>
      <c r="FB12" s="18">
        <f>IFERROR(CZ12/'McDonough &amp; Sun 1995 values'!S$2,)</f>
        <v>0</v>
      </c>
      <c r="FC12" s="18">
        <f>IFERROR(BT12/'McDonough &amp; Sun 1995 values'!T$2,)</f>
        <v>0</v>
      </c>
      <c r="FD12" s="18">
        <f>IFERROR(DA12/'McDonough &amp; Sun 1995 values'!U$2,)</f>
        <v>0</v>
      </c>
      <c r="FE12" s="18">
        <f>IFERROR(DN12/'McDonough &amp; Sun 1995 values'!V$2,)</f>
        <v>0</v>
      </c>
      <c r="FF12" s="18">
        <f>IFERROR(DB12/'McDonough &amp; Sun 1995 values'!W$2,)</f>
        <v>0</v>
      </c>
      <c r="FG12" s="18">
        <f>IFERROR(CJ12/'McDonough &amp; Sun 1995 values'!X$2,)</f>
        <v>0</v>
      </c>
      <c r="FH12" s="18">
        <f>IFERROR(DC12/'McDonough &amp; Sun 1995 values'!Y$2,)</f>
        <v>0</v>
      </c>
      <c r="FI12" s="18">
        <f>IFERROR(DD12/'McDonough &amp; Sun 1995 values'!Z$2,)</f>
        <v>0</v>
      </c>
      <c r="FJ12" s="18">
        <f>IFERROR(DE12/'McDonough &amp; Sun 1995 values'!AA$2,)</f>
        <v>0</v>
      </c>
      <c r="FK12" s="18">
        <f>IFERROR(DF12/'McDonough &amp; Sun 1995 values'!AB$2,)</f>
        <v>0</v>
      </c>
      <c r="FL12" s="18">
        <f>IFERROR(DG12/'McDonough &amp; Sun 1995 values'!AC$2,)</f>
        <v>0</v>
      </c>
      <c r="FN12" s="28">
        <f t="shared" si="68"/>
        <v>0</v>
      </c>
      <c r="FO12" s="4">
        <f t="shared" si="8"/>
        <v>0</v>
      </c>
      <c r="FP12" s="4">
        <f t="shared" si="9"/>
        <v>0</v>
      </c>
      <c r="FQ12" s="4">
        <f t="shared" si="10"/>
        <v>0</v>
      </c>
      <c r="FR12" s="4">
        <f t="shared" si="11"/>
        <v>0</v>
      </c>
      <c r="FS12" s="4">
        <f t="shared" si="12"/>
        <v>0</v>
      </c>
      <c r="FT12" s="4">
        <f t="shared" si="13"/>
        <v>0</v>
      </c>
      <c r="FU12" s="4">
        <f t="shared" si="14"/>
        <v>0</v>
      </c>
      <c r="FV12" s="4">
        <f t="shared" si="15"/>
        <v>0</v>
      </c>
      <c r="FW12" s="4">
        <f t="shared" si="16"/>
        <v>0</v>
      </c>
      <c r="FX12" s="4">
        <f t="shared" si="17"/>
        <v>0</v>
      </c>
      <c r="FY12" s="4">
        <f t="shared" si="18"/>
        <v>0</v>
      </c>
      <c r="FZ12" s="4">
        <f t="shared" si="19"/>
        <v>0</v>
      </c>
      <c r="GA12" s="4">
        <f t="shared" si="20"/>
        <v>0</v>
      </c>
      <c r="GB12" s="4">
        <f t="shared" si="21"/>
        <v>0</v>
      </c>
      <c r="GC12" s="4">
        <f t="shared" si="22"/>
        <v>0</v>
      </c>
      <c r="GD12" s="4">
        <f t="shared" si="23"/>
        <v>0</v>
      </c>
      <c r="GE12" s="4">
        <f t="shared" si="24"/>
        <v>0</v>
      </c>
      <c r="GF12" s="4">
        <f t="shared" si="25"/>
        <v>0</v>
      </c>
      <c r="GG12" s="4">
        <f t="shared" si="26"/>
        <v>0</v>
      </c>
      <c r="GH12" s="4">
        <f t="shared" si="27"/>
        <v>0</v>
      </c>
      <c r="GI12" s="4">
        <f t="shared" si="28"/>
        <v>0</v>
      </c>
      <c r="GJ12" s="4">
        <f t="shared" si="29"/>
        <v>0</v>
      </c>
      <c r="GK12" s="4">
        <f t="shared" si="30"/>
        <v>0</v>
      </c>
      <c r="GL12" s="4">
        <f t="shared" si="31"/>
        <v>0</v>
      </c>
      <c r="GM12" s="4">
        <f t="shared" si="32"/>
        <v>0</v>
      </c>
      <c r="GN12" s="4">
        <f t="shared" si="33"/>
        <v>0</v>
      </c>
      <c r="GO12" s="4">
        <f t="shared" si="34"/>
        <v>0</v>
      </c>
      <c r="GP12" s="4">
        <f t="shared" si="35"/>
        <v>0</v>
      </c>
      <c r="GQ12" s="27">
        <f t="shared" si="70"/>
        <v>39827.98550789462</v>
      </c>
      <c r="GR12" s="28" t="str">
        <f t="shared" si="69"/>
        <v/>
      </c>
      <c r="GS12" s="28" t="str">
        <f t="shared" si="36"/>
        <v/>
      </c>
      <c r="GT12" s="28" t="str">
        <f t="shared" si="37"/>
        <v/>
      </c>
      <c r="GU12" s="28" t="str">
        <f t="shared" si="38"/>
        <v/>
      </c>
      <c r="GV12" s="28" t="str">
        <f t="shared" si="39"/>
        <v/>
      </c>
      <c r="GW12" s="28" t="str">
        <f t="shared" si="40"/>
        <v/>
      </c>
      <c r="GX12" s="28" t="str">
        <f t="shared" si="41"/>
        <v/>
      </c>
      <c r="GY12" s="28" t="str">
        <f t="shared" si="42"/>
        <v/>
      </c>
      <c r="GZ12" s="28" t="str">
        <f t="shared" si="43"/>
        <v/>
      </c>
      <c r="HA12" s="28" t="str">
        <f t="shared" si="44"/>
        <v/>
      </c>
      <c r="HB12" s="28" t="str">
        <f t="shared" si="45"/>
        <v/>
      </c>
      <c r="HC12" s="28" t="str">
        <f t="shared" si="46"/>
        <v/>
      </c>
      <c r="HD12" s="28" t="str">
        <f t="shared" si="47"/>
        <v/>
      </c>
      <c r="HE12" s="28" t="str">
        <f t="shared" si="48"/>
        <v/>
      </c>
      <c r="HF12" s="28" t="str">
        <f t="shared" si="49"/>
        <v/>
      </c>
      <c r="HG12" s="28" t="str">
        <f t="shared" si="50"/>
        <v/>
      </c>
      <c r="HH12" s="28" t="str">
        <f t="shared" si="51"/>
        <v/>
      </c>
      <c r="HI12" s="28" t="str">
        <f t="shared" si="52"/>
        <v/>
      </c>
      <c r="HJ12" s="28" t="str">
        <f t="shared" si="53"/>
        <v/>
      </c>
      <c r="HK12" s="28" t="str">
        <f t="shared" si="54"/>
        <v/>
      </c>
      <c r="HL12" s="28" t="str">
        <f t="shared" si="55"/>
        <v/>
      </c>
      <c r="HM12" s="28" t="str">
        <f t="shared" si="56"/>
        <v/>
      </c>
      <c r="HN12" s="28" t="str">
        <f t="shared" si="57"/>
        <v/>
      </c>
      <c r="HO12" s="28" t="str">
        <f t="shared" si="58"/>
        <v/>
      </c>
      <c r="HP12" s="28" t="str">
        <f t="shared" si="59"/>
        <v/>
      </c>
      <c r="HQ12" s="28" t="str">
        <f t="shared" si="60"/>
        <v/>
      </c>
      <c r="HR12" s="28" t="str">
        <f t="shared" si="61"/>
        <v/>
      </c>
      <c r="HT12" s="4">
        <f>IFERROR(GR12/'McDonough &amp; Sun 1995 values'!C$2,)</f>
        <v>0</v>
      </c>
      <c r="HU12" s="4">
        <f>IFERROR(GS12/'McDonough &amp; Sun 1995 values'!D$2,)</f>
        <v>0</v>
      </c>
      <c r="HV12" s="4">
        <f>IFERROR(GT12/'McDonough &amp; Sun 1995 values'!E$2,)</f>
        <v>0</v>
      </c>
      <c r="HW12" s="4">
        <f>IFERROR(GU12/'McDonough &amp; Sun 1995 values'!F$2,)</f>
        <v>0</v>
      </c>
      <c r="HX12" s="4">
        <f>IFERROR(GV12/'McDonough &amp; Sun 1995 values'!G$2,)</f>
        <v>0</v>
      </c>
      <c r="HY12" s="4">
        <f>IFERROR(GW12/'McDonough &amp; Sun 1995 values'!H$2,)</f>
        <v>0</v>
      </c>
      <c r="HZ12" s="4">
        <f>IFERROR(GX12/'McDonough &amp; Sun 1995 values'!I$2,)</f>
        <v>0</v>
      </c>
      <c r="IA12" s="4">
        <f>IFERROR(GY12/'McDonough &amp; Sun 1995 values'!J$2,)</f>
        <v>0</v>
      </c>
      <c r="IB12" s="4">
        <f>IFERROR(GZ12/'McDonough &amp; Sun 1995 values'!K$2,)</f>
        <v>0</v>
      </c>
      <c r="IC12" s="4">
        <f>IFERROR(HA12/'McDonough &amp; Sun 1995 values'!L$2,)</f>
        <v>0</v>
      </c>
      <c r="ID12" s="4">
        <f>IFERROR(HB12/'McDonough &amp; Sun 1995 values'!M$2,)</f>
        <v>0</v>
      </c>
      <c r="IE12" s="4">
        <f>IFERROR(HC12/'McDonough &amp; Sun 1995 values'!N$2,)</f>
        <v>0</v>
      </c>
      <c r="IF12" s="4">
        <f>IFERROR(HD12/'McDonough &amp; Sun 1995 values'!O$2,)</f>
        <v>0</v>
      </c>
      <c r="IG12" s="4">
        <f>IFERROR(HE12/'McDonough &amp; Sun 1995 values'!P$2,)</f>
        <v>0</v>
      </c>
      <c r="IH12" s="4">
        <f>IFERROR(HF12/'McDonough &amp; Sun 1995 values'!Q$2,)</f>
        <v>0</v>
      </c>
      <c r="II12" s="4">
        <f>IFERROR(HG12/'McDonough &amp; Sun 1995 values'!R$2,)</f>
        <v>0</v>
      </c>
      <c r="IJ12" s="4">
        <f>IFERROR(HH12/'McDonough &amp; Sun 1995 values'!S$2,)</f>
        <v>0</v>
      </c>
      <c r="IK12" s="4">
        <f>IFERROR(HI12/'McDonough &amp; Sun 1995 values'!T$2,)</f>
        <v>0</v>
      </c>
      <c r="IL12" s="4">
        <f>IFERROR(HJ12/'McDonough &amp; Sun 1995 values'!U$2,)</f>
        <v>0</v>
      </c>
      <c r="IM12" s="4">
        <f>IFERROR(HK12/'McDonough &amp; Sun 1995 values'!V$2,)</f>
        <v>0</v>
      </c>
      <c r="IN12" s="4">
        <f>IFERROR(HL12/'McDonough &amp; Sun 1995 values'!W$2,)</f>
        <v>0</v>
      </c>
      <c r="IO12" s="4">
        <f>IFERROR(HM12/'McDonough &amp; Sun 1995 values'!X$2,)</f>
        <v>0</v>
      </c>
      <c r="IP12" s="4">
        <f>IFERROR(HN12/'McDonough &amp; Sun 1995 values'!Y$2,)</f>
        <v>0</v>
      </c>
      <c r="IQ12" s="4">
        <f>IFERROR(HO12/'McDonough &amp; Sun 1995 values'!Z$2,)</f>
        <v>0</v>
      </c>
      <c r="IR12" s="4">
        <f>IFERROR(HP12/'McDonough &amp; Sun 1995 values'!AA$2,)</f>
        <v>0</v>
      </c>
      <c r="IS12" s="4">
        <f>IFERROR(HQ12/'McDonough &amp; Sun 1995 values'!AB$2,)</f>
        <v>0</v>
      </c>
      <c r="IT12" s="4">
        <f>IFERROR(HR12/'McDonough &amp; Sun 1995 values'!AC$2,)</f>
        <v>0</v>
      </c>
    </row>
    <row r="13" spans="1:254">
      <c r="A13" s="16" t="s">
        <v>842</v>
      </c>
      <c r="B13" s="16" t="s">
        <v>24</v>
      </c>
      <c r="C13" s="16" t="str">
        <f t="shared" si="0"/>
        <v>high-Mg carbonatitic</v>
      </c>
      <c r="D13" s="16" t="s">
        <v>1709</v>
      </c>
      <c r="E13" s="16" t="s">
        <v>237</v>
      </c>
      <c r="F13" s="16" t="s">
        <v>29</v>
      </c>
      <c r="G13" s="16" t="s">
        <v>595</v>
      </c>
      <c r="H13" s="27">
        <v>360</v>
      </c>
      <c r="I13" s="16" t="s">
        <v>712</v>
      </c>
      <c r="J13" s="16">
        <v>0</v>
      </c>
      <c r="K13" s="16" t="s">
        <v>913</v>
      </c>
      <c r="L13" s="16">
        <v>0</v>
      </c>
      <c r="M13" s="16" t="s">
        <v>61</v>
      </c>
      <c r="N13" s="16" t="s">
        <v>1084</v>
      </c>
      <c r="O13" s="26">
        <v>9.3000000000000007</v>
      </c>
      <c r="P13" s="26">
        <v>0.4</v>
      </c>
      <c r="Q13" s="26">
        <v>0.2</v>
      </c>
      <c r="R13" s="26">
        <v>4.3</v>
      </c>
      <c r="S13" s="26">
        <v>5.6</v>
      </c>
      <c r="T13" s="26">
        <v>40.200000000000003</v>
      </c>
      <c r="U13" s="26">
        <v>5.3</v>
      </c>
      <c r="V13" s="26">
        <v>18.3</v>
      </c>
      <c r="W13" s="26">
        <v>6.2</v>
      </c>
      <c r="X13" s="26">
        <v>5</v>
      </c>
      <c r="Y13" s="26"/>
      <c r="Z13" s="26">
        <v>1.7</v>
      </c>
      <c r="AA13" s="26"/>
      <c r="AB13" s="26"/>
      <c r="AC13" s="26"/>
      <c r="AD13" s="26">
        <v>2</v>
      </c>
      <c r="AE13" s="26"/>
      <c r="AF13" s="26">
        <v>1.5</v>
      </c>
      <c r="AG13" s="26"/>
      <c r="AH13" s="26"/>
      <c r="AI13" s="26"/>
      <c r="AJ13" s="26">
        <f t="shared" si="62"/>
        <v>93.000000000000014</v>
      </c>
      <c r="AK13" s="26">
        <f t="shared" si="63"/>
        <v>10.048767849795022</v>
      </c>
      <c r="AL13" s="26">
        <f t="shared" si="1"/>
        <v>0.43220506880838799</v>
      </c>
      <c r="AM13" s="26">
        <f t="shared" si="2"/>
        <v>4.6462044896901711</v>
      </c>
      <c r="AN13" s="26">
        <f t="shared" si="64"/>
        <v>6.0508709633174318</v>
      </c>
      <c r="AO13" s="26">
        <f t="shared" si="65"/>
        <v>43.436609415242998</v>
      </c>
      <c r="AP13" s="26">
        <f t="shared" si="3"/>
        <v>19.773381897983754</v>
      </c>
      <c r="AQ13" s="26">
        <f t="shared" si="4"/>
        <v>0</v>
      </c>
      <c r="AR13" s="26">
        <f t="shared" si="5"/>
        <v>6.6991785665300148</v>
      </c>
      <c r="AS13" s="26">
        <f t="shared" si="66"/>
        <v>5.4025633601048497</v>
      </c>
      <c r="AT13" s="26">
        <f t="shared" si="6"/>
        <v>1.8368715424356488</v>
      </c>
      <c r="AU13" s="26">
        <f t="shared" si="67"/>
        <v>2.1610253440419402</v>
      </c>
      <c r="AV13" s="26">
        <f t="shared" si="7"/>
        <v>100.48767849795021</v>
      </c>
      <c r="AW13" s="16"/>
      <c r="AX13" s="16"/>
      <c r="AY13" s="16"/>
      <c r="AZ13" s="16"/>
      <c r="BA13" s="26"/>
      <c r="BB13" s="26">
        <v>0.03</v>
      </c>
      <c r="BC13" s="26">
        <f t="shared" si="71"/>
        <v>3.0000000000000027E-2</v>
      </c>
      <c r="BD13" s="26">
        <f t="shared" si="72"/>
        <v>0.97</v>
      </c>
      <c r="BE13" s="16"/>
      <c r="BF13" s="16"/>
      <c r="BG13" s="16" t="s">
        <v>914</v>
      </c>
      <c r="BH13" s="16" t="s">
        <v>916</v>
      </c>
      <c r="BI13" s="16" t="s">
        <v>915</v>
      </c>
      <c r="BJ13" s="16"/>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28"/>
      <c r="DW13" s="28"/>
      <c r="DX13" s="28"/>
      <c r="DY13" s="28"/>
      <c r="DZ13" s="28"/>
      <c r="EA13" s="28"/>
      <c r="EB13" s="28"/>
      <c r="EC13" s="28"/>
      <c r="ED13" s="28"/>
      <c r="EE13" s="28"/>
      <c r="EF13" s="28"/>
      <c r="EG13" s="28"/>
      <c r="EH13" s="28"/>
      <c r="EI13" s="28"/>
      <c r="EJ13" s="18"/>
      <c r="EK13" s="18"/>
      <c r="EL13" s="18">
        <f>IFERROR(CR13/'McDonough &amp; Sun 1995 values'!C$2,)</f>
        <v>0</v>
      </c>
      <c r="EM13" s="18">
        <f>IFERROR(CH13/'McDonough &amp; Sun 1995 values'!D$2,)</f>
        <v>0</v>
      </c>
      <c r="EN13" s="18">
        <f>IFERROR(CS13/'McDonough &amp; Sun 1995 values'!E$2,)</f>
        <v>0</v>
      </c>
      <c r="EO13" s="18">
        <f>IFERROR(DL13/'McDonough &amp; Sun 1995 values'!F$2,)</f>
        <v>0</v>
      </c>
      <c r="EP13" s="18">
        <f>IFERROR(DM13/'McDonough &amp; Sun 1995 values'!G$2,)</f>
        <v>0</v>
      </c>
      <c r="EQ13" s="18">
        <f>IFERROR(BR13/'McDonough &amp; Sun 1995 values'!H$2,)</f>
        <v>0</v>
      </c>
      <c r="ER13" s="18">
        <f>IFERROR(DI13/'McDonough &amp; Sun 1995 values'!I$2,)</f>
        <v>0</v>
      </c>
      <c r="ES13" s="18">
        <f>IFERROR(CM13/'McDonough &amp; Sun 1995 values'!J$2,)</f>
        <v>0</v>
      </c>
      <c r="ET13" s="18">
        <f>IFERROR(CU13/'McDonough &amp; Sun 1995 values'!K$2,)</f>
        <v>0</v>
      </c>
      <c r="EU13" s="18">
        <f>IFERROR(CV13/'McDonough &amp; Sun 1995 values'!L$2,)</f>
        <v>0</v>
      </c>
      <c r="EV13" s="18">
        <f>IFERROR(CW13/'McDonough &amp; Sun 1995 values'!M$2,)</f>
        <v>0</v>
      </c>
      <c r="EW13" s="18">
        <f>IFERROR(CI13/'McDonough &amp; Sun 1995 values'!N$2,)</f>
        <v>0</v>
      </c>
      <c r="EX13" s="18">
        <f>IFERROR(CX13/'McDonough &amp; Sun 1995 values'!O$2,)</f>
        <v>0</v>
      </c>
      <c r="EY13" s="18">
        <f>IFERROR(CY13/'McDonough &amp; Sun 1995 values'!P$2,)</f>
        <v>0</v>
      </c>
      <c r="EZ13" s="18">
        <f>IFERROR(DH13/'McDonough &amp; Sun 1995 values'!Q$2,)</f>
        <v>0</v>
      </c>
      <c r="FA13" s="18">
        <f>IFERROR(CK13/'McDonough &amp; Sun 1995 values'!R$2,)</f>
        <v>0</v>
      </c>
      <c r="FB13" s="18">
        <f>IFERROR(CZ13/'McDonough &amp; Sun 1995 values'!S$2,)</f>
        <v>0</v>
      </c>
      <c r="FC13" s="18">
        <f>IFERROR(BT13/'McDonough &amp; Sun 1995 values'!T$2,)</f>
        <v>0</v>
      </c>
      <c r="FD13" s="18">
        <f>IFERROR(DA13/'McDonough &amp; Sun 1995 values'!U$2,)</f>
        <v>0</v>
      </c>
      <c r="FE13" s="18">
        <f>IFERROR(DN13/'McDonough &amp; Sun 1995 values'!V$2,)</f>
        <v>0</v>
      </c>
      <c r="FF13" s="18">
        <f>IFERROR(DB13/'McDonough &amp; Sun 1995 values'!W$2,)</f>
        <v>0</v>
      </c>
      <c r="FG13" s="18">
        <f>IFERROR(CJ13/'McDonough &amp; Sun 1995 values'!X$2,)</f>
        <v>0</v>
      </c>
      <c r="FH13" s="18">
        <f>IFERROR(DC13/'McDonough &amp; Sun 1995 values'!Y$2,)</f>
        <v>0</v>
      </c>
      <c r="FI13" s="18">
        <f>IFERROR(DD13/'McDonough &amp; Sun 1995 values'!Z$2,)</f>
        <v>0</v>
      </c>
      <c r="FJ13" s="18">
        <f>IFERROR(DE13/'McDonough &amp; Sun 1995 values'!AA$2,)</f>
        <v>0</v>
      </c>
      <c r="FK13" s="18">
        <f>IFERROR(DF13/'McDonough &amp; Sun 1995 values'!AB$2,)</f>
        <v>0</v>
      </c>
      <c r="FL13" s="18">
        <f>IFERROR(DG13/'McDonough &amp; Sun 1995 values'!AC$2,)</f>
        <v>0</v>
      </c>
      <c r="FN13" s="28">
        <f t="shared" si="68"/>
        <v>0</v>
      </c>
      <c r="FO13" s="4">
        <f t="shared" si="8"/>
        <v>0</v>
      </c>
      <c r="FP13" s="4">
        <f t="shared" si="9"/>
        <v>0</v>
      </c>
      <c r="FQ13" s="4">
        <f t="shared" si="10"/>
        <v>0</v>
      </c>
      <c r="FR13" s="4">
        <f t="shared" si="11"/>
        <v>0</v>
      </c>
      <c r="FS13" s="4">
        <f t="shared" si="12"/>
        <v>0</v>
      </c>
      <c r="FT13" s="4">
        <f t="shared" si="13"/>
        <v>0</v>
      </c>
      <c r="FU13" s="4">
        <f t="shared" si="14"/>
        <v>0</v>
      </c>
      <c r="FV13" s="4">
        <f t="shared" si="15"/>
        <v>0</v>
      </c>
      <c r="FW13" s="4">
        <f t="shared" si="16"/>
        <v>0</v>
      </c>
      <c r="FX13" s="4">
        <f t="shared" si="17"/>
        <v>0</v>
      </c>
      <c r="FY13" s="4">
        <f t="shared" si="18"/>
        <v>0</v>
      </c>
      <c r="FZ13" s="4">
        <f t="shared" si="19"/>
        <v>0</v>
      </c>
      <c r="GA13" s="4">
        <f t="shared" si="20"/>
        <v>0</v>
      </c>
      <c r="GB13" s="4">
        <f t="shared" si="21"/>
        <v>0</v>
      </c>
      <c r="GC13" s="4">
        <f t="shared" si="22"/>
        <v>0</v>
      </c>
      <c r="GD13" s="4">
        <f t="shared" si="23"/>
        <v>0</v>
      </c>
      <c r="GE13" s="4">
        <f t="shared" si="24"/>
        <v>0</v>
      </c>
      <c r="GF13" s="4">
        <f t="shared" si="25"/>
        <v>0</v>
      </c>
      <c r="GG13" s="4">
        <f t="shared" si="26"/>
        <v>0</v>
      </c>
      <c r="GH13" s="4">
        <f t="shared" si="27"/>
        <v>0</v>
      </c>
      <c r="GI13" s="4">
        <f t="shared" si="28"/>
        <v>0</v>
      </c>
      <c r="GJ13" s="4">
        <f t="shared" si="29"/>
        <v>0</v>
      </c>
      <c r="GK13" s="4">
        <f t="shared" si="30"/>
        <v>0</v>
      </c>
      <c r="GL13" s="4">
        <f t="shared" si="31"/>
        <v>0</v>
      </c>
      <c r="GM13" s="4">
        <f t="shared" si="32"/>
        <v>0</v>
      </c>
      <c r="GN13" s="4">
        <f t="shared" si="33"/>
        <v>0</v>
      </c>
      <c r="GO13" s="4">
        <f t="shared" si="34"/>
        <v>0</v>
      </c>
      <c r="GP13" s="4">
        <f t="shared" si="35"/>
        <v>0</v>
      </c>
      <c r="GQ13" s="27">
        <f t="shared" si="70"/>
        <v>44848.693862835164</v>
      </c>
      <c r="GR13" s="28" t="str">
        <f t="shared" si="69"/>
        <v/>
      </c>
      <c r="GS13" s="28" t="str">
        <f t="shared" si="36"/>
        <v/>
      </c>
      <c r="GT13" s="28" t="str">
        <f t="shared" si="37"/>
        <v/>
      </c>
      <c r="GU13" s="28" t="str">
        <f t="shared" si="38"/>
        <v/>
      </c>
      <c r="GV13" s="28" t="str">
        <f t="shared" si="39"/>
        <v/>
      </c>
      <c r="GW13" s="28" t="str">
        <f t="shared" si="40"/>
        <v/>
      </c>
      <c r="GX13" s="28" t="str">
        <f t="shared" si="41"/>
        <v/>
      </c>
      <c r="GY13" s="28" t="str">
        <f t="shared" si="42"/>
        <v/>
      </c>
      <c r="GZ13" s="28" t="str">
        <f t="shared" si="43"/>
        <v/>
      </c>
      <c r="HA13" s="28" t="str">
        <f t="shared" si="44"/>
        <v/>
      </c>
      <c r="HB13" s="28" t="str">
        <f t="shared" si="45"/>
        <v/>
      </c>
      <c r="HC13" s="28" t="str">
        <f t="shared" si="46"/>
        <v/>
      </c>
      <c r="HD13" s="28" t="str">
        <f t="shared" si="47"/>
        <v/>
      </c>
      <c r="HE13" s="28" t="str">
        <f t="shared" si="48"/>
        <v/>
      </c>
      <c r="HF13" s="28" t="str">
        <f t="shared" si="49"/>
        <v/>
      </c>
      <c r="HG13" s="28" t="str">
        <f t="shared" si="50"/>
        <v/>
      </c>
      <c r="HH13" s="28" t="str">
        <f t="shared" si="51"/>
        <v/>
      </c>
      <c r="HI13" s="28" t="str">
        <f t="shared" si="52"/>
        <v/>
      </c>
      <c r="HJ13" s="28" t="str">
        <f t="shared" si="53"/>
        <v/>
      </c>
      <c r="HK13" s="28" t="str">
        <f t="shared" si="54"/>
        <v/>
      </c>
      <c r="HL13" s="28" t="str">
        <f t="shared" si="55"/>
        <v/>
      </c>
      <c r="HM13" s="28" t="str">
        <f t="shared" si="56"/>
        <v/>
      </c>
      <c r="HN13" s="28" t="str">
        <f t="shared" si="57"/>
        <v/>
      </c>
      <c r="HO13" s="28" t="str">
        <f t="shared" si="58"/>
        <v/>
      </c>
      <c r="HP13" s="28" t="str">
        <f t="shared" si="59"/>
        <v/>
      </c>
      <c r="HQ13" s="28" t="str">
        <f t="shared" si="60"/>
        <v/>
      </c>
      <c r="HR13" s="28" t="str">
        <f t="shared" si="61"/>
        <v/>
      </c>
      <c r="HT13" s="4">
        <f>IFERROR(GR13/'McDonough &amp; Sun 1995 values'!C$2,)</f>
        <v>0</v>
      </c>
      <c r="HU13" s="4">
        <f>IFERROR(GS13/'McDonough &amp; Sun 1995 values'!D$2,)</f>
        <v>0</v>
      </c>
      <c r="HV13" s="4">
        <f>IFERROR(GT13/'McDonough &amp; Sun 1995 values'!E$2,)</f>
        <v>0</v>
      </c>
      <c r="HW13" s="4">
        <f>IFERROR(GU13/'McDonough &amp; Sun 1995 values'!F$2,)</f>
        <v>0</v>
      </c>
      <c r="HX13" s="4">
        <f>IFERROR(GV13/'McDonough &amp; Sun 1995 values'!G$2,)</f>
        <v>0</v>
      </c>
      <c r="HY13" s="4">
        <f>IFERROR(GW13/'McDonough &amp; Sun 1995 values'!H$2,)</f>
        <v>0</v>
      </c>
      <c r="HZ13" s="4">
        <f>IFERROR(GX13/'McDonough &amp; Sun 1995 values'!I$2,)</f>
        <v>0</v>
      </c>
      <c r="IA13" s="4">
        <f>IFERROR(GY13/'McDonough &amp; Sun 1995 values'!J$2,)</f>
        <v>0</v>
      </c>
      <c r="IB13" s="4">
        <f>IFERROR(GZ13/'McDonough &amp; Sun 1995 values'!K$2,)</f>
        <v>0</v>
      </c>
      <c r="IC13" s="4">
        <f>IFERROR(HA13/'McDonough &amp; Sun 1995 values'!L$2,)</f>
        <v>0</v>
      </c>
      <c r="ID13" s="4">
        <f>IFERROR(HB13/'McDonough &amp; Sun 1995 values'!M$2,)</f>
        <v>0</v>
      </c>
      <c r="IE13" s="4">
        <f>IFERROR(HC13/'McDonough &amp; Sun 1995 values'!N$2,)</f>
        <v>0</v>
      </c>
      <c r="IF13" s="4">
        <f>IFERROR(HD13/'McDonough &amp; Sun 1995 values'!O$2,)</f>
        <v>0</v>
      </c>
      <c r="IG13" s="4">
        <f>IFERROR(HE13/'McDonough &amp; Sun 1995 values'!P$2,)</f>
        <v>0</v>
      </c>
      <c r="IH13" s="4">
        <f>IFERROR(HF13/'McDonough &amp; Sun 1995 values'!Q$2,)</f>
        <v>0</v>
      </c>
      <c r="II13" s="4">
        <f>IFERROR(HG13/'McDonough &amp; Sun 1995 values'!R$2,)</f>
        <v>0</v>
      </c>
      <c r="IJ13" s="4">
        <f>IFERROR(HH13/'McDonough &amp; Sun 1995 values'!S$2,)</f>
        <v>0</v>
      </c>
      <c r="IK13" s="4">
        <f>IFERROR(HI13/'McDonough &amp; Sun 1995 values'!T$2,)</f>
        <v>0</v>
      </c>
      <c r="IL13" s="4">
        <f>IFERROR(HJ13/'McDonough &amp; Sun 1995 values'!U$2,)</f>
        <v>0</v>
      </c>
      <c r="IM13" s="4">
        <f>IFERROR(HK13/'McDonough &amp; Sun 1995 values'!V$2,)</f>
        <v>0</v>
      </c>
      <c r="IN13" s="4">
        <f>IFERROR(HL13/'McDonough &amp; Sun 1995 values'!W$2,)</f>
        <v>0</v>
      </c>
      <c r="IO13" s="4">
        <f>IFERROR(HM13/'McDonough &amp; Sun 1995 values'!X$2,)</f>
        <v>0</v>
      </c>
      <c r="IP13" s="4">
        <f>IFERROR(HN13/'McDonough &amp; Sun 1995 values'!Y$2,)</f>
        <v>0</v>
      </c>
      <c r="IQ13" s="4">
        <f>IFERROR(HO13/'McDonough &amp; Sun 1995 values'!Z$2,)</f>
        <v>0</v>
      </c>
      <c r="IR13" s="4">
        <f>IFERROR(HP13/'McDonough &amp; Sun 1995 values'!AA$2,)</f>
        <v>0</v>
      </c>
      <c r="IS13" s="4">
        <f>IFERROR(HQ13/'McDonough &amp; Sun 1995 values'!AB$2,)</f>
        <v>0</v>
      </c>
      <c r="IT13" s="4">
        <f>IFERROR(HR13/'McDonough &amp; Sun 1995 values'!AC$2,)</f>
        <v>0</v>
      </c>
    </row>
    <row r="14" spans="1:254">
      <c r="A14" s="16" t="s">
        <v>842</v>
      </c>
      <c r="B14" s="16" t="s">
        <v>24</v>
      </c>
      <c r="C14" s="16" t="str">
        <f t="shared" si="0"/>
        <v>high-Mg carbonatitic</v>
      </c>
      <c r="D14" s="16" t="s">
        <v>1709</v>
      </c>
      <c r="E14" s="16" t="s">
        <v>237</v>
      </c>
      <c r="F14" s="16" t="s">
        <v>29</v>
      </c>
      <c r="G14" s="16" t="s">
        <v>595</v>
      </c>
      <c r="H14" s="27">
        <v>360</v>
      </c>
      <c r="I14" s="16" t="s">
        <v>712</v>
      </c>
      <c r="J14" s="16">
        <v>0</v>
      </c>
      <c r="K14" s="16" t="s">
        <v>913</v>
      </c>
      <c r="L14" s="16">
        <v>0</v>
      </c>
      <c r="M14" s="16" t="s">
        <v>59</v>
      </c>
      <c r="N14" s="16" t="s">
        <v>1084</v>
      </c>
      <c r="O14" s="26">
        <v>13.9</v>
      </c>
      <c r="P14" s="26">
        <v>0.8</v>
      </c>
      <c r="Q14" s="26">
        <v>0.2</v>
      </c>
      <c r="R14" s="26">
        <v>2.2000000000000002</v>
      </c>
      <c r="S14" s="26">
        <v>5.7</v>
      </c>
      <c r="T14" s="26">
        <v>40.799999999999997</v>
      </c>
      <c r="U14" s="26">
        <v>4.2</v>
      </c>
      <c r="V14" s="26">
        <v>15.7</v>
      </c>
      <c r="W14" s="26">
        <v>8.3000000000000007</v>
      </c>
      <c r="X14" s="26">
        <v>3.9</v>
      </c>
      <c r="Y14" s="26"/>
      <c r="Z14" s="26">
        <v>1.4</v>
      </c>
      <c r="AA14" s="26"/>
      <c r="AB14" s="26"/>
      <c r="AC14" s="26"/>
      <c r="AD14" s="26">
        <v>1.7</v>
      </c>
      <c r="AE14" s="26"/>
      <c r="AF14" s="26">
        <v>1.1000000000000001</v>
      </c>
      <c r="AG14" s="26"/>
      <c r="AH14" s="26"/>
      <c r="AI14" s="26"/>
      <c r="AJ14" s="26">
        <f t="shared" si="62"/>
        <v>94.4</v>
      </c>
      <c r="AK14" s="26">
        <f t="shared" si="63"/>
        <v>14.784660713857084</v>
      </c>
      <c r="AL14" s="26">
        <f t="shared" si="1"/>
        <v>0.85091572453853714</v>
      </c>
      <c r="AM14" s="26">
        <f t="shared" si="2"/>
        <v>2.3400182424809772</v>
      </c>
      <c r="AN14" s="26">
        <f t="shared" si="64"/>
        <v>6.0627745373370772</v>
      </c>
      <c r="AO14" s="26">
        <f t="shared" si="65"/>
        <v>43.396701951465396</v>
      </c>
      <c r="AP14" s="26">
        <f t="shared" si="3"/>
        <v>16.699221094068793</v>
      </c>
      <c r="AQ14" s="26">
        <f t="shared" si="4"/>
        <v>0</v>
      </c>
      <c r="AR14" s="26">
        <f t="shared" si="5"/>
        <v>8.8282506420873244</v>
      </c>
      <c r="AS14" s="26">
        <f t="shared" si="66"/>
        <v>4.1482141571253681</v>
      </c>
      <c r="AT14" s="26">
        <f t="shared" si="6"/>
        <v>1.48910251794244</v>
      </c>
      <c r="AU14" s="26">
        <f t="shared" si="67"/>
        <v>1.8081959146443913</v>
      </c>
      <c r="AV14" s="26">
        <f t="shared" si="7"/>
        <v>100.40805549554739</v>
      </c>
      <c r="BB14" s="26">
        <v>0.02</v>
      </c>
      <c r="BC14" s="26">
        <f t="shared" si="71"/>
        <v>2.0000000000000018E-2</v>
      </c>
      <c r="BD14" s="26">
        <f t="shared" si="72"/>
        <v>0.98</v>
      </c>
      <c r="BE14" s="16"/>
      <c r="BF14" s="16"/>
      <c r="BG14" s="16" t="s">
        <v>923</v>
      </c>
      <c r="BH14" s="16" t="s">
        <v>924</v>
      </c>
      <c r="BI14" s="16" t="s">
        <v>925</v>
      </c>
      <c r="BJ14" s="16"/>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28"/>
      <c r="DW14" s="28"/>
      <c r="DX14" s="28"/>
      <c r="DY14" s="28"/>
      <c r="DZ14" s="28"/>
      <c r="EA14" s="28"/>
      <c r="EB14" s="28"/>
      <c r="EC14" s="28"/>
      <c r="ED14" s="28"/>
      <c r="EE14" s="28"/>
      <c r="EF14" s="28"/>
      <c r="EG14" s="28"/>
      <c r="EH14" s="28"/>
      <c r="EI14" s="28"/>
      <c r="EJ14" s="18"/>
      <c r="EK14" s="18"/>
      <c r="EL14" s="18">
        <f>IFERROR(CR14/'McDonough &amp; Sun 1995 values'!C$2,)</f>
        <v>0</v>
      </c>
      <c r="EM14" s="18">
        <f>IFERROR(CH14/'McDonough &amp; Sun 1995 values'!D$2,)</f>
        <v>0</v>
      </c>
      <c r="EN14" s="18">
        <f>IFERROR(CS14/'McDonough &amp; Sun 1995 values'!E$2,)</f>
        <v>0</v>
      </c>
      <c r="EO14" s="18">
        <f>IFERROR(DL14/'McDonough &amp; Sun 1995 values'!F$2,)</f>
        <v>0</v>
      </c>
      <c r="EP14" s="18">
        <f>IFERROR(DM14/'McDonough &amp; Sun 1995 values'!G$2,)</f>
        <v>0</v>
      </c>
      <c r="EQ14" s="18">
        <f>IFERROR(BR14/'McDonough &amp; Sun 1995 values'!H$2,)</f>
        <v>0</v>
      </c>
      <c r="ER14" s="18">
        <f>IFERROR(DI14/'McDonough &amp; Sun 1995 values'!I$2,)</f>
        <v>0</v>
      </c>
      <c r="ES14" s="18">
        <f>IFERROR(CM14/'McDonough &amp; Sun 1995 values'!J$2,)</f>
        <v>0</v>
      </c>
      <c r="ET14" s="18">
        <f>IFERROR(CU14/'McDonough &amp; Sun 1995 values'!K$2,)</f>
        <v>0</v>
      </c>
      <c r="EU14" s="18">
        <f>IFERROR(CV14/'McDonough &amp; Sun 1995 values'!L$2,)</f>
        <v>0</v>
      </c>
      <c r="EV14" s="18">
        <f>IFERROR(CW14/'McDonough &amp; Sun 1995 values'!M$2,)</f>
        <v>0</v>
      </c>
      <c r="EW14" s="18">
        <f>IFERROR(CI14/'McDonough &amp; Sun 1995 values'!N$2,)</f>
        <v>0</v>
      </c>
      <c r="EX14" s="18">
        <f>IFERROR(CX14/'McDonough &amp; Sun 1995 values'!O$2,)</f>
        <v>0</v>
      </c>
      <c r="EY14" s="18">
        <f>IFERROR(CY14/'McDonough &amp; Sun 1995 values'!P$2,)</f>
        <v>0</v>
      </c>
      <c r="EZ14" s="18">
        <f>IFERROR(DH14/'McDonough &amp; Sun 1995 values'!Q$2,)</f>
        <v>0</v>
      </c>
      <c r="FA14" s="18">
        <f>IFERROR(CK14/'McDonough &amp; Sun 1995 values'!R$2,)</f>
        <v>0</v>
      </c>
      <c r="FB14" s="18">
        <f>IFERROR(CZ14/'McDonough &amp; Sun 1995 values'!S$2,)</f>
        <v>0</v>
      </c>
      <c r="FC14" s="18">
        <f>IFERROR(BT14/'McDonough &amp; Sun 1995 values'!T$2,)</f>
        <v>0</v>
      </c>
      <c r="FD14" s="18">
        <f>IFERROR(DA14/'McDonough &amp; Sun 1995 values'!U$2,)</f>
        <v>0</v>
      </c>
      <c r="FE14" s="18">
        <f>IFERROR(DN14/'McDonough &amp; Sun 1995 values'!V$2,)</f>
        <v>0</v>
      </c>
      <c r="FF14" s="18">
        <f>IFERROR(DB14/'McDonough &amp; Sun 1995 values'!W$2,)</f>
        <v>0</v>
      </c>
      <c r="FG14" s="18">
        <f>IFERROR(CJ14/'McDonough &amp; Sun 1995 values'!X$2,)</f>
        <v>0</v>
      </c>
      <c r="FH14" s="18">
        <f>IFERROR(DC14/'McDonough &amp; Sun 1995 values'!Y$2,)</f>
        <v>0</v>
      </c>
      <c r="FI14" s="18">
        <f>IFERROR(DD14/'McDonough &amp; Sun 1995 values'!Z$2,)</f>
        <v>0</v>
      </c>
      <c r="FJ14" s="18">
        <f>IFERROR(DE14/'McDonough &amp; Sun 1995 values'!AA$2,)</f>
        <v>0</v>
      </c>
      <c r="FK14" s="18">
        <f>IFERROR(DF14/'McDonough &amp; Sun 1995 values'!AB$2,)</f>
        <v>0</v>
      </c>
      <c r="FL14" s="18">
        <f>IFERROR(DG14/'McDonough &amp; Sun 1995 values'!AC$2,)</f>
        <v>0</v>
      </c>
      <c r="FN14" s="28">
        <f t="shared" si="68"/>
        <v>0</v>
      </c>
      <c r="FO14" s="4">
        <f t="shared" si="8"/>
        <v>0</v>
      </c>
      <c r="FP14" s="4">
        <f t="shared" si="9"/>
        <v>0</v>
      </c>
      <c r="FQ14" s="4">
        <f t="shared" si="10"/>
        <v>0</v>
      </c>
      <c r="FR14" s="4">
        <f t="shared" si="11"/>
        <v>0</v>
      </c>
      <c r="FS14" s="4">
        <f t="shared" si="12"/>
        <v>0</v>
      </c>
      <c r="FT14" s="4">
        <f t="shared" si="13"/>
        <v>0</v>
      </c>
      <c r="FU14" s="4">
        <f t="shared" si="14"/>
        <v>0</v>
      </c>
      <c r="FV14" s="4">
        <f t="shared" si="15"/>
        <v>0</v>
      </c>
      <c r="FW14" s="4">
        <f t="shared" si="16"/>
        <v>0</v>
      </c>
      <c r="FX14" s="4">
        <f t="shared" si="17"/>
        <v>0</v>
      </c>
      <c r="FY14" s="4">
        <f t="shared" si="18"/>
        <v>0</v>
      </c>
      <c r="FZ14" s="4">
        <f t="shared" si="19"/>
        <v>0</v>
      </c>
      <c r="GA14" s="4">
        <f t="shared" si="20"/>
        <v>0</v>
      </c>
      <c r="GB14" s="4">
        <f t="shared" si="21"/>
        <v>0</v>
      </c>
      <c r="GC14" s="4">
        <f t="shared" si="22"/>
        <v>0</v>
      </c>
      <c r="GD14" s="4">
        <f t="shared" si="23"/>
        <v>0</v>
      </c>
      <c r="GE14" s="4">
        <f t="shared" si="24"/>
        <v>0</v>
      </c>
      <c r="GF14" s="4">
        <f t="shared" si="25"/>
        <v>0</v>
      </c>
      <c r="GG14" s="4">
        <f t="shared" si="26"/>
        <v>0</v>
      </c>
      <c r="GH14" s="4">
        <f t="shared" si="27"/>
        <v>0</v>
      </c>
      <c r="GI14" s="4">
        <f t="shared" si="28"/>
        <v>0</v>
      </c>
      <c r="GJ14" s="4">
        <f t="shared" si="29"/>
        <v>0</v>
      </c>
      <c r="GK14" s="4">
        <f t="shared" si="30"/>
        <v>0</v>
      </c>
      <c r="GL14" s="4">
        <f t="shared" si="31"/>
        <v>0</v>
      </c>
      <c r="GM14" s="4">
        <f t="shared" si="32"/>
        <v>0</v>
      </c>
      <c r="GN14" s="4">
        <f t="shared" si="33"/>
        <v>0</v>
      </c>
      <c r="GO14" s="4">
        <f t="shared" si="34"/>
        <v>0</v>
      </c>
      <c r="GP14" s="4">
        <f t="shared" si="35"/>
        <v>0</v>
      </c>
      <c r="GQ14" s="27">
        <f t="shared" si="70"/>
        <v>34435.873197567431</v>
      </c>
      <c r="GR14" s="28" t="str">
        <f t="shared" si="69"/>
        <v/>
      </c>
      <c r="GS14" s="28" t="str">
        <f t="shared" si="36"/>
        <v/>
      </c>
      <c r="GT14" s="28" t="str">
        <f t="shared" si="37"/>
        <v/>
      </c>
      <c r="GU14" s="28" t="str">
        <f t="shared" si="38"/>
        <v/>
      </c>
      <c r="GV14" s="28" t="str">
        <f t="shared" si="39"/>
        <v/>
      </c>
      <c r="GW14" s="28" t="str">
        <f t="shared" si="40"/>
        <v/>
      </c>
      <c r="GX14" s="28" t="str">
        <f t="shared" si="41"/>
        <v/>
      </c>
      <c r="GY14" s="28" t="str">
        <f t="shared" si="42"/>
        <v/>
      </c>
      <c r="GZ14" s="28" t="str">
        <f t="shared" si="43"/>
        <v/>
      </c>
      <c r="HA14" s="28" t="str">
        <f t="shared" si="44"/>
        <v/>
      </c>
      <c r="HB14" s="28" t="str">
        <f t="shared" si="45"/>
        <v/>
      </c>
      <c r="HC14" s="28" t="str">
        <f t="shared" si="46"/>
        <v/>
      </c>
      <c r="HD14" s="28" t="str">
        <f t="shared" si="47"/>
        <v/>
      </c>
      <c r="HE14" s="28" t="str">
        <f t="shared" si="48"/>
        <v/>
      </c>
      <c r="HF14" s="28" t="str">
        <f t="shared" si="49"/>
        <v/>
      </c>
      <c r="HG14" s="28" t="str">
        <f t="shared" si="50"/>
        <v/>
      </c>
      <c r="HH14" s="28" t="str">
        <f t="shared" si="51"/>
        <v/>
      </c>
      <c r="HI14" s="28" t="str">
        <f t="shared" si="52"/>
        <v/>
      </c>
      <c r="HJ14" s="28" t="str">
        <f t="shared" si="53"/>
        <v/>
      </c>
      <c r="HK14" s="28" t="str">
        <f t="shared" si="54"/>
        <v/>
      </c>
      <c r="HL14" s="28" t="str">
        <f t="shared" si="55"/>
        <v/>
      </c>
      <c r="HM14" s="28" t="str">
        <f t="shared" si="56"/>
        <v/>
      </c>
      <c r="HN14" s="28" t="str">
        <f t="shared" si="57"/>
        <v/>
      </c>
      <c r="HO14" s="28" t="str">
        <f t="shared" si="58"/>
        <v/>
      </c>
      <c r="HP14" s="28" t="str">
        <f t="shared" si="59"/>
        <v/>
      </c>
      <c r="HQ14" s="28" t="str">
        <f t="shared" si="60"/>
        <v/>
      </c>
      <c r="HR14" s="28" t="str">
        <f t="shared" si="61"/>
        <v/>
      </c>
      <c r="HT14" s="4">
        <f>IFERROR(GR14/'McDonough &amp; Sun 1995 values'!C$2,)</f>
        <v>0</v>
      </c>
      <c r="HU14" s="4">
        <f>IFERROR(GS14/'McDonough &amp; Sun 1995 values'!D$2,)</f>
        <v>0</v>
      </c>
      <c r="HV14" s="4">
        <f>IFERROR(GT14/'McDonough &amp; Sun 1995 values'!E$2,)</f>
        <v>0</v>
      </c>
      <c r="HW14" s="4">
        <f>IFERROR(GU14/'McDonough &amp; Sun 1995 values'!F$2,)</f>
        <v>0</v>
      </c>
      <c r="HX14" s="4">
        <f>IFERROR(GV14/'McDonough &amp; Sun 1995 values'!G$2,)</f>
        <v>0</v>
      </c>
      <c r="HY14" s="4">
        <f>IFERROR(GW14/'McDonough &amp; Sun 1995 values'!H$2,)</f>
        <v>0</v>
      </c>
      <c r="HZ14" s="4">
        <f>IFERROR(GX14/'McDonough &amp; Sun 1995 values'!I$2,)</f>
        <v>0</v>
      </c>
      <c r="IA14" s="4">
        <f>IFERROR(GY14/'McDonough &amp; Sun 1995 values'!J$2,)</f>
        <v>0</v>
      </c>
      <c r="IB14" s="4">
        <f>IFERROR(GZ14/'McDonough &amp; Sun 1995 values'!K$2,)</f>
        <v>0</v>
      </c>
      <c r="IC14" s="4">
        <f>IFERROR(HA14/'McDonough &amp; Sun 1995 values'!L$2,)</f>
        <v>0</v>
      </c>
      <c r="ID14" s="4">
        <f>IFERROR(HB14/'McDonough &amp; Sun 1995 values'!M$2,)</f>
        <v>0</v>
      </c>
      <c r="IE14" s="4">
        <f>IFERROR(HC14/'McDonough &amp; Sun 1995 values'!N$2,)</f>
        <v>0</v>
      </c>
      <c r="IF14" s="4">
        <f>IFERROR(HD14/'McDonough &amp; Sun 1995 values'!O$2,)</f>
        <v>0</v>
      </c>
      <c r="IG14" s="4">
        <f>IFERROR(HE14/'McDonough &amp; Sun 1995 values'!P$2,)</f>
        <v>0</v>
      </c>
      <c r="IH14" s="4">
        <f>IFERROR(HF14/'McDonough &amp; Sun 1995 values'!Q$2,)</f>
        <v>0</v>
      </c>
      <c r="II14" s="4">
        <f>IFERROR(HG14/'McDonough &amp; Sun 1995 values'!R$2,)</f>
        <v>0</v>
      </c>
      <c r="IJ14" s="4">
        <f>IFERROR(HH14/'McDonough &amp; Sun 1995 values'!S$2,)</f>
        <v>0</v>
      </c>
      <c r="IK14" s="4">
        <f>IFERROR(HI14/'McDonough &amp; Sun 1995 values'!T$2,)</f>
        <v>0</v>
      </c>
      <c r="IL14" s="4">
        <f>IFERROR(HJ14/'McDonough &amp; Sun 1995 values'!U$2,)</f>
        <v>0</v>
      </c>
      <c r="IM14" s="4">
        <f>IFERROR(HK14/'McDonough &amp; Sun 1995 values'!V$2,)</f>
        <v>0</v>
      </c>
      <c r="IN14" s="4">
        <f>IFERROR(HL14/'McDonough &amp; Sun 1995 values'!W$2,)</f>
        <v>0</v>
      </c>
      <c r="IO14" s="4">
        <f>IFERROR(HM14/'McDonough &amp; Sun 1995 values'!X$2,)</f>
        <v>0</v>
      </c>
      <c r="IP14" s="4">
        <f>IFERROR(HN14/'McDonough &amp; Sun 1995 values'!Y$2,)</f>
        <v>0</v>
      </c>
      <c r="IQ14" s="4">
        <f>IFERROR(HO14/'McDonough &amp; Sun 1995 values'!Z$2,)</f>
        <v>0</v>
      </c>
      <c r="IR14" s="4">
        <f>IFERROR(HP14/'McDonough &amp; Sun 1995 values'!AA$2,)</f>
        <v>0</v>
      </c>
      <c r="IS14" s="4">
        <f>IFERROR(HQ14/'McDonough &amp; Sun 1995 values'!AB$2,)</f>
        <v>0</v>
      </c>
      <c r="IT14" s="4">
        <f>IFERROR(HR14/'McDonough &amp; Sun 1995 values'!AC$2,)</f>
        <v>0</v>
      </c>
    </row>
    <row r="15" spans="1:254">
      <c r="A15" s="16" t="s">
        <v>842</v>
      </c>
      <c r="B15" s="16" t="s">
        <v>24</v>
      </c>
      <c r="C15" s="16" t="str">
        <f t="shared" si="0"/>
        <v>high-Mg carbonatitic</v>
      </c>
      <c r="D15" s="16" t="s">
        <v>1709</v>
      </c>
      <c r="E15" s="16" t="s">
        <v>237</v>
      </c>
      <c r="F15" s="16" t="s">
        <v>29</v>
      </c>
      <c r="G15" s="16" t="s">
        <v>595</v>
      </c>
      <c r="H15" s="27">
        <v>360</v>
      </c>
      <c r="I15" s="16" t="s">
        <v>712</v>
      </c>
      <c r="J15" s="16">
        <v>0</v>
      </c>
      <c r="K15" s="16" t="s">
        <v>913</v>
      </c>
      <c r="L15" s="16">
        <v>0</v>
      </c>
      <c r="M15" s="16" t="s">
        <v>66</v>
      </c>
      <c r="N15" s="16" t="s">
        <v>1084</v>
      </c>
      <c r="O15" s="26">
        <v>16.8</v>
      </c>
      <c r="P15" s="26">
        <v>2.6</v>
      </c>
      <c r="Q15" s="26">
        <v>0.2</v>
      </c>
      <c r="R15" s="26">
        <v>1.8</v>
      </c>
      <c r="S15" s="26">
        <v>11.3</v>
      </c>
      <c r="T15" s="26">
        <v>36.6</v>
      </c>
      <c r="U15" s="26">
        <v>3.8</v>
      </c>
      <c r="V15" s="26">
        <v>15.4</v>
      </c>
      <c r="W15" s="26">
        <v>4.7</v>
      </c>
      <c r="X15" s="26">
        <v>3.6</v>
      </c>
      <c r="Y15" s="26"/>
      <c r="Z15" s="26">
        <v>1</v>
      </c>
      <c r="AA15" s="26"/>
      <c r="AB15" s="26"/>
      <c r="AC15" s="26"/>
      <c r="AD15" s="26">
        <v>1.3</v>
      </c>
      <c r="AE15" s="26"/>
      <c r="AF15" s="26">
        <v>0.9</v>
      </c>
      <c r="AG15" s="26"/>
      <c r="AH15" s="26"/>
      <c r="AI15" s="26"/>
      <c r="AJ15" s="26">
        <f t="shared" si="62"/>
        <v>95.1</v>
      </c>
      <c r="AK15" s="26">
        <f t="shared" si="63"/>
        <v>17.720279865928571</v>
      </c>
      <c r="AL15" s="26">
        <f t="shared" si="1"/>
        <v>2.7424242649651358</v>
      </c>
      <c r="AM15" s="26">
        <f t="shared" si="2"/>
        <v>1.8986014142066328</v>
      </c>
      <c r="AN15" s="26">
        <f t="shared" si="64"/>
        <v>11.91899776696386</v>
      </c>
      <c r="AO15" s="26">
        <f t="shared" si="65"/>
        <v>38.60489542220153</v>
      </c>
      <c r="AP15" s="26">
        <f t="shared" si="3"/>
        <v>16.24358987710119</v>
      </c>
      <c r="AQ15" s="26">
        <f t="shared" si="4"/>
        <v>0</v>
      </c>
      <c r="AR15" s="26">
        <f t="shared" si="5"/>
        <v>4.9574592482062068</v>
      </c>
      <c r="AS15" s="26">
        <f t="shared" si="66"/>
        <v>3.7972028284132655</v>
      </c>
      <c r="AT15" s="26">
        <f t="shared" si="6"/>
        <v>1.054778563448129</v>
      </c>
      <c r="AU15" s="26">
        <f t="shared" si="67"/>
        <v>1.3712121324825679</v>
      </c>
      <c r="AV15" s="26">
        <f t="shared" si="7"/>
        <v>100.30944138391708</v>
      </c>
      <c r="BB15" s="26">
        <v>0.03</v>
      </c>
      <c r="BC15" s="26">
        <f t="shared" si="71"/>
        <v>3.0000000000000027E-2</v>
      </c>
      <c r="BD15" s="26">
        <f t="shared" si="72"/>
        <v>0.97</v>
      </c>
      <c r="BE15" s="25">
        <v>-5.4969999999999999</v>
      </c>
      <c r="BF15" s="16"/>
      <c r="BG15" s="16" t="s">
        <v>926</v>
      </c>
      <c r="BH15" s="16" t="s">
        <v>927</v>
      </c>
      <c r="BI15" s="16" t="s">
        <v>928</v>
      </c>
      <c r="BJ15" s="16"/>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28"/>
      <c r="DW15" s="28"/>
      <c r="DX15" s="28"/>
      <c r="DY15" s="28"/>
      <c r="DZ15" s="28"/>
      <c r="EA15" s="28"/>
      <c r="EB15" s="28"/>
      <c r="EC15" s="28"/>
      <c r="ED15" s="28"/>
      <c r="EE15" s="28"/>
      <c r="EF15" s="28"/>
      <c r="EG15" s="28"/>
      <c r="EH15" s="28"/>
      <c r="EI15" s="28"/>
      <c r="EJ15" s="18"/>
      <c r="EK15" s="18"/>
      <c r="EL15" s="18">
        <f>IFERROR(CR15/'McDonough &amp; Sun 1995 values'!C$2,)</f>
        <v>0</v>
      </c>
      <c r="EM15" s="18">
        <f>IFERROR(CH15/'McDonough &amp; Sun 1995 values'!D$2,)</f>
        <v>0</v>
      </c>
      <c r="EN15" s="18">
        <f>IFERROR(CS15/'McDonough &amp; Sun 1995 values'!E$2,)</f>
        <v>0</v>
      </c>
      <c r="EO15" s="18">
        <f>IFERROR(DL15/'McDonough &amp; Sun 1995 values'!F$2,)</f>
        <v>0</v>
      </c>
      <c r="EP15" s="18">
        <f>IFERROR(DM15/'McDonough &amp; Sun 1995 values'!G$2,)</f>
        <v>0</v>
      </c>
      <c r="EQ15" s="18">
        <f>IFERROR(BR15/'McDonough &amp; Sun 1995 values'!H$2,)</f>
        <v>0</v>
      </c>
      <c r="ER15" s="18">
        <f>IFERROR(DI15/'McDonough &amp; Sun 1995 values'!I$2,)</f>
        <v>0</v>
      </c>
      <c r="ES15" s="18">
        <f>IFERROR(CM15/'McDonough &amp; Sun 1995 values'!J$2,)</f>
        <v>0</v>
      </c>
      <c r="ET15" s="18">
        <f>IFERROR(CU15/'McDonough &amp; Sun 1995 values'!K$2,)</f>
        <v>0</v>
      </c>
      <c r="EU15" s="18">
        <f>IFERROR(CV15/'McDonough &amp; Sun 1995 values'!L$2,)</f>
        <v>0</v>
      </c>
      <c r="EV15" s="18">
        <f>IFERROR(CW15/'McDonough &amp; Sun 1995 values'!M$2,)</f>
        <v>0</v>
      </c>
      <c r="EW15" s="18">
        <f>IFERROR(CI15/'McDonough &amp; Sun 1995 values'!N$2,)</f>
        <v>0</v>
      </c>
      <c r="EX15" s="18">
        <f>IFERROR(CX15/'McDonough &amp; Sun 1995 values'!O$2,)</f>
        <v>0</v>
      </c>
      <c r="EY15" s="18">
        <f>IFERROR(CY15/'McDonough &amp; Sun 1995 values'!P$2,)</f>
        <v>0</v>
      </c>
      <c r="EZ15" s="18">
        <f>IFERROR(DH15/'McDonough &amp; Sun 1995 values'!Q$2,)</f>
        <v>0</v>
      </c>
      <c r="FA15" s="18">
        <f>IFERROR(CK15/'McDonough &amp; Sun 1995 values'!R$2,)</f>
        <v>0</v>
      </c>
      <c r="FB15" s="18">
        <f>IFERROR(CZ15/'McDonough &amp; Sun 1995 values'!S$2,)</f>
        <v>0</v>
      </c>
      <c r="FC15" s="18">
        <f>IFERROR(BT15/'McDonough &amp; Sun 1995 values'!T$2,)</f>
        <v>0</v>
      </c>
      <c r="FD15" s="18">
        <f>IFERROR(DA15/'McDonough &amp; Sun 1995 values'!U$2,)</f>
        <v>0</v>
      </c>
      <c r="FE15" s="18">
        <f>IFERROR(DN15/'McDonough &amp; Sun 1995 values'!V$2,)</f>
        <v>0</v>
      </c>
      <c r="FF15" s="18">
        <f>IFERROR(DB15/'McDonough &amp; Sun 1995 values'!W$2,)</f>
        <v>0</v>
      </c>
      <c r="FG15" s="18">
        <f>IFERROR(CJ15/'McDonough &amp; Sun 1995 values'!X$2,)</f>
        <v>0</v>
      </c>
      <c r="FH15" s="18">
        <f>IFERROR(DC15/'McDonough &amp; Sun 1995 values'!Y$2,)</f>
        <v>0</v>
      </c>
      <c r="FI15" s="18">
        <f>IFERROR(DD15/'McDonough &amp; Sun 1995 values'!Z$2,)</f>
        <v>0</v>
      </c>
      <c r="FJ15" s="18">
        <f>IFERROR(DE15/'McDonough &amp; Sun 1995 values'!AA$2,)</f>
        <v>0</v>
      </c>
      <c r="FK15" s="18">
        <f>IFERROR(DF15/'McDonough &amp; Sun 1995 values'!AB$2,)</f>
        <v>0</v>
      </c>
      <c r="FL15" s="18">
        <f>IFERROR(DG15/'McDonough &amp; Sun 1995 values'!AC$2,)</f>
        <v>0</v>
      </c>
      <c r="FN15" s="28">
        <f t="shared" si="68"/>
        <v>0</v>
      </c>
      <c r="FO15" s="4">
        <f t="shared" si="8"/>
        <v>0</v>
      </c>
      <c r="FP15" s="4">
        <f t="shared" si="9"/>
        <v>0</v>
      </c>
      <c r="FQ15" s="4">
        <f t="shared" si="10"/>
        <v>0</v>
      </c>
      <c r="FR15" s="4">
        <f t="shared" si="11"/>
        <v>0</v>
      </c>
      <c r="FS15" s="4">
        <f t="shared" si="12"/>
        <v>0</v>
      </c>
      <c r="FT15" s="4">
        <f t="shared" si="13"/>
        <v>0</v>
      </c>
      <c r="FU15" s="4">
        <f t="shared" si="14"/>
        <v>0</v>
      </c>
      <c r="FV15" s="4">
        <f t="shared" si="15"/>
        <v>0</v>
      </c>
      <c r="FW15" s="4">
        <f t="shared" si="16"/>
        <v>0</v>
      </c>
      <c r="FX15" s="4">
        <f t="shared" si="17"/>
        <v>0</v>
      </c>
      <c r="FY15" s="4">
        <f t="shared" si="18"/>
        <v>0</v>
      </c>
      <c r="FZ15" s="4">
        <f t="shared" si="19"/>
        <v>0</v>
      </c>
      <c r="GA15" s="4">
        <f t="shared" si="20"/>
        <v>0</v>
      </c>
      <c r="GB15" s="4">
        <f t="shared" si="21"/>
        <v>0</v>
      </c>
      <c r="GC15" s="4">
        <f t="shared" si="22"/>
        <v>0</v>
      </c>
      <c r="GD15" s="4">
        <f t="shared" si="23"/>
        <v>0</v>
      </c>
      <c r="GE15" s="4">
        <f t="shared" si="24"/>
        <v>0</v>
      </c>
      <c r="GF15" s="4">
        <f t="shared" si="25"/>
        <v>0</v>
      </c>
      <c r="GG15" s="4">
        <f t="shared" si="26"/>
        <v>0</v>
      </c>
      <c r="GH15" s="4">
        <f t="shared" si="27"/>
        <v>0</v>
      </c>
      <c r="GI15" s="4">
        <f t="shared" si="28"/>
        <v>0</v>
      </c>
      <c r="GJ15" s="4">
        <f t="shared" si="29"/>
        <v>0</v>
      </c>
      <c r="GK15" s="4">
        <f t="shared" si="30"/>
        <v>0</v>
      </c>
      <c r="GL15" s="4">
        <f t="shared" si="31"/>
        <v>0</v>
      </c>
      <c r="GM15" s="4">
        <f t="shared" si="32"/>
        <v>0</v>
      </c>
      <c r="GN15" s="4">
        <f t="shared" si="33"/>
        <v>0</v>
      </c>
      <c r="GO15" s="4">
        <f t="shared" si="34"/>
        <v>0</v>
      </c>
      <c r="GP15" s="4">
        <f t="shared" si="35"/>
        <v>0</v>
      </c>
      <c r="GQ15" s="27">
        <f t="shared" si="70"/>
        <v>31521.997214169325</v>
      </c>
      <c r="GR15" s="28" t="str">
        <f t="shared" si="69"/>
        <v/>
      </c>
      <c r="GS15" s="28" t="str">
        <f t="shared" si="36"/>
        <v/>
      </c>
      <c r="GT15" s="28" t="str">
        <f t="shared" si="37"/>
        <v/>
      </c>
      <c r="GU15" s="28" t="str">
        <f t="shared" si="38"/>
        <v/>
      </c>
      <c r="GV15" s="28" t="str">
        <f t="shared" si="39"/>
        <v/>
      </c>
      <c r="GW15" s="28" t="str">
        <f t="shared" si="40"/>
        <v/>
      </c>
      <c r="GX15" s="28" t="str">
        <f t="shared" si="41"/>
        <v/>
      </c>
      <c r="GY15" s="28" t="str">
        <f t="shared" si="42"/>
        <v/>
      </c>
      <c r="GZ15" s="28" t="str">
        <f t="shared" si="43"/>
        <v/>
      </c>
      <c r="HA15" s="28" t="str">
        <f t="shared" si="44"/>
        <v/>
      </c>
      <c r="HB15" s="28" t="str">
        <f t="shared" si="45"/>
        <v/>
      </c>
      <c r="HC15" s="28" t="str">
        <f t="shared" si="46"/>
        <v/>
      </c>
      <c r="HD15" s="28" t="str">
        <f t="shared" si="47"/>
        <v/>
      </c>
      <c r="HE15" s="28" t="str">
        <f t="shared" si="48"/>
        <v/>
      </c>
      <c r="HF15" s="28" t="str">
        <f t="shared" si="49"/>
        <v/>
      </c>
      <c r="HG15" s="28" t="str">
        <f t="shared" si="50"/>
        <v/>
      </c>
      <c r="HH15" s="28" t="str">
        <f t="shared" si="51"/>
        <v/>
      </c>
      <c r="HI15" s="28" t="str">
        <f t="shared" si="52"/>
        <v/>
      </c>
      <c r="HJ15" s="28" t="str">
        <f t="shared" si="53"/>
        <v/>
      </c>
      <c r="HK15" s="28" t="str">
        <f t="shared" si="54"/>
        <v/>
      </c>
      <c r="HL15" s="28" t="str">
        <f t="shared" si="55"/>
        <v/>
      </c>
      <c r="HM15" s="28" t="str">
        <f t="shared" si="56"/>
        <v/>
      </c>
      <c r="HN15" s="28" t="str">
        <f t="shared" si="57"/>
        <v/>
      </c>
      <c r="HO15" s="28" t="str">
        <f t="shared" si="58"/>
        <v/>
      </c>
      <c r="HP15" s="28" t="str">
        <f t="shared" si="59"/>
        <v/>
      </c>
      <c r="HQ15" s="28" t="str">
        <f t="shared" si="60"/>
        <v/>
      </c>
      <c r="HR15" s="28" t="str">
        <f t="shared" si="61"/>
        <v/>
      </c>
      <c r="HT15" s="4">
        <f>IFERROR(GR15/'McDonough &amp; Sun 1995 values'!C$2,)</f>
        <v>0</v>
      </c>
      <c r="HU15" s="4">
        <f>IFERROR(GS15/'McDonough &amp; Sun 1995 values'!D$2,)</f>
        <v>0</v>
      </c>
      <c r="HV15" s="4">
        <f>IFERROR(GT15/'McDonough &amp; Sun 1995 values'!E$2,)</f>
        <v>0</v>
      </c>
      <c r="HW15" s="4">
        <f>IFERROR(GU15/'McDonough &amp; Sun 1995 values'!F$2,)</f>
        <v>0</v>
      </c>
      <c r="HX15" s="4">
        <f>IFERROR(GV15/'McDonough &amp; Sun 1995 values'!G$2,)</f>
        <v>0</v>
      </c>
      <c r="HY15" s="4">
        <f>IFERROR(GW15/'McDonough &amp; Sun 1995 values'!H$2,)</f>
        <v>0</v>
      </c>
      <c r="HZ15" s="4">
        <f>IFERROR(GX15/'McDonough &amp; Sun 1995 values'!I$2,)</f>
        <v>0</v>
      </c>
      <c r="IA15" s="4">
        <f>IFERROR(GY15/'McDonough &amp; Sun 1995 values'!J$2,)</f>
        <v>0</v>
      </c>
      <c r="IB15" s="4">
        <f>IFERROR(GZ15/'McDonough &amp; Sun 1995 values'!K$2,)</f>
        <v>0</v>
      </c>
      <c r="IC15" s="4">
        <f>IFERROR(HA15/'McDonough &amp; Sun 1995 values'!L$2,)</f>
        <v>0</v>
      </c>
      <c r="ID15" s="4">
        <f>IFERROR(HB15/'McDonough &amp; Sun 1995 values'!M$2,)</f>
        <v>0</v>
      </c>
      <c r="IE15" s="4">
        <f>IFERROR(HC15/'McDonough &amp; Sun 1995 values'!N$2,)</f>
        <v>0</v>
      </c>
      <c r="IF15" s="4">
        <f>IFERROR(HD15/'McDonough &amp; Sun 1995 values'!O$2,)</f>
        <v>0</v>
      </c>
      <c r="IG15" s="4">
        <f>IFERROR(HE15/'McDonough &amp; Sun 1995 values'!P$2,)</f>
        <v>0</v>
      </c>
      <c r="IH15" s="4">
        <f>IFERROR(HF15/'McDonough &amp; Sun 1995 values'!Q$2,)</f>
        <v>0</v>
      </c>
      <c r="II15" s="4">
        <f>IFERROR(HG15/'McDonough &amp; Sun 1995 values'!R$2,)</f>
        <v>0</v>
      </c>
      <c r="IJ15" s="4">
        <f>IFERROR(HH15/'McDonough &amp; Sun 1995 values'!S$2,)</f>
        <v>0</v>
      </c>
      <c r="IK15" s="4">
        <f>IFERROR(HI15/'McDonough &amp; Sun 1995 values'!T$2,)</f>
        <v>0</v>
      </c>
      <c r="IL15" s="4">
        <f>IFERROR(HJ15/'McDonough &amp; Sun 1995 values'!U$2,)</f>
        <v>0</v>
      </c>
      <c r="IM15" s="4">
        <f>IFERROR(HK15/'McDonough &amp; Sun 1995 values'!V$2,)</f>
        <v>0</v>
      </c>
      <c r="IN15" s="4">
        <f>IFERROR(HL15/'McDonough &amp; Sun 1995 values'!W$2,)</f>
        <v>0</v>
      </c>
      <c r="IO15" s="4">
        <f>IFERROR(HM15/'McDonough &amp; Sun 1995 values'!X$2,)</f>
        <v>0</v>
      </c>
      <c r="IP15" s="4">
        <f>IFERROR(HN15/'McDonough &amp; Sun 1995 values'!Y$2,)</f>
        <v>0</v>
      </c>
      <c r="IQ15" s="4">
        <f>IFERROR(HO15/'McDonough &amp; Sun 1995 values'!Z$2,)</f>
        <v>0</v>
      </c>
      <c r="IR15" s="4">
        <f>IFERROR(HP15/'McDonough &amp; Sun 1995 values'!AA$2,)</f>
        <v>0</v>
      </c>
      <c r="IS15" s="4">
        <f>IFERROR(HQ15/'McDonough &amp; Sun 1995 values'!AB$2,)</f>
        <v>0</v>
      </c>
      <c r="IT15" s="4">
        <f>IFERROR(HR15/'McDonough &amp; Sun 1995 values'!AC$2,)</f>
        <v>0</v>
      </c>
    </row>
    <row r="16" spans="1:254">
      <c r="A16" s="16" t="s">
        <v>842</v>
      </c>
      <c r="B16" s="16" t="s">
        <v>24</v>
      </c>
      <c r="C16" s="16" t="str">
        <f t="shared" si="0"/>
        <v>high-Mg carbonatitic</v>
      </c>
      <c r="D16" s="16" t="s">
        <v>1709</v>
      </c>
      <c r="E16" s="16" t="s">
        <v>237</v>
      </c>
      <c r="F16" s="16" t="s">
        <v>29</v>
      </c>
      <c r="G16" s="16" t="s">
        <v>595</v>
      </c>
      <c r="H16" s="27">
        <v>360</v>
      </c>
      <c r="I16" s="16" t="s">
        <v>712</v>
      </c>
      <c r="J16" s="16">
        <v>0</v>
      </c>
      <c r="K16" s="16" t="s">
        <v>913</v>
      </c>
      <c r="L16" s="16">
        <v>0</v>
      </c>
      <c r="M16" s="16" t="s">
        <v>51</v>
      </c>
      <c r="N16" s="16" t="s">
        <v>1084</v>
      </c>
      <c r="O16" s="26">
        <v>10.199999999999999</v>
      </c>
      <c r="P16" s="26">
        <v>0.6</v>
      </c>
      <c r="Q16" s="26">
        <v>0.2</v>
      </c>
      <c r="R16" s="26">
        <v>3.1</v>
      </c>
      <c r="S16" s="26">
        <v>3.9</v>
      </c>
      <c r="T16" s="26">
        <v>45.7</v>
      </c>
      <c r="U16" s="26">
        <v>3.3</v>
      </c>
      <c r="V16" s="26">
        <v>19.3</v>
      </c>
      <c r="W16" s="26">
        <v>6.5</v>
      </c>
      <c r="X16" s="26">
        <v>3.1</v>
      </c>
      <c r="Y16" s="26"/>
      <c r="Z16" s="26">
        <v>1.3</v>
      </c>
      <c r="AA16" s="26"/>
      <c r="AB16" s="26"/>
      <c r="AC16" s="26"/>
      <c r="AD16" s="26">
        <v>2.1</v>
      </c>
      <c r="AE16" s="26"/>
      <c r="AF16" s="26">
        <v>0.8</v>
      </c>
      <c r="AG16" s="26"/>
      <c r="AH16" s="26"/>
      <c r="AI16" s="26"/>
      <c r="AJ16" s="26">
        <f t="shared" si="62"/>
        <v>95.799999999999983</v>
      </c>
      <c r="AK16" s="26">
        <f t="shared" si="63"/>
        <v>10.700113336746259</v>
      </c>
      <c r="AL16" s="26">
        <f t="shared" si="1"/>
        <v>0.62941843157330934</v>
      </c>
      <c r="AM16" s="26">
        <f t="shared" si="2"/>
        <v>3.251995229795432</v>
      </c>
      <c r="AN16" s="26">
        <f t="shared" si="64"/>
        <v>4.091219805226511</v>
      </c>
      <c r="AO16" s="26">
        <f t="shared" si="65"/>
        <v>47.940703871500403</v>
      </c>
      <c r="AP16" s="26">
        <f t="shared" si="3"/>
        <v>20.246292882274787</v>
      </c>
      <c r="AQ16" s="26">
        <f t="shared" si="4"/>
        <v>0</v>
      </c>
      <c r="AR16" s="26">
        <f t="shared" si="5"/>
        <v>6.8186996753775198</v>
      </c>
      <c r="AS16" s="26">
        <f t="shared" si="66"/>
        <v>3.251995229795432</v>
      </c>
      <c r="AT16" s="26">
        <f t="shared" si="6"/>
        <v>1.3637399350755037</v>
      </c>
      <c r="AU16" s="26">
        <f t="shared" si="67"/>
        <v>2.2029645105065834</v>
      </c>
      <c r="AV16" s="26">
        <f t="shared" si="7"/>
        <v>100.49714290787173</v>
      </c>
      <c r="AX16" s="95">
        <f>AVERAGE(BC107:BC179)</f>
        <v>0.71015559867046973</v>
      </c>
      <c r="BB16" s="26">
        <v>0.04</v>
      </c>
      <c r="BC16" s="26">
        <f t="shared" si="71"/>
        <v>4.0000000000000036E-2</v>
      </c>
      <c r="BD16" s="26">
        <f t="shared" si="72"/>
        <v>0.96</v>
      </c>
      <c r="BE16" s="16"/>
      <c r="BF16" s="16"/>
      <c r="BG16" s="16"/>
      <c r="BH16" s="16"/>
      <c r="BI16" s="16"/>
      <c r="BJ16" s="16"/>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28"/>
      <c r="DW16" s="28"/>
      <c r="DX16" s="28"/>
      <c r="DY16" s="28"/>
      <c r="DZ16" s="28"/>
      <c r="EA16" s="28"/>
      <c r="EB16" s="28"/>
      <c r="EC16" s="28"/>
      <c r="ED16" s="28"/>
      <c r="EE16" s="28"/>
      <c r="EF16" s="28"/>
      <c r="EG16" s="28"/>
      <c r="EH16" s="28"/>
      <c r="EI16" s="28"/>
      <c r="EJ16" s="18"/>
      <c r="EK16" s="18"/>
      <c r="EL16" s="18">
        <f>IFERROR(CR16/'McDonough &amp; Sun 1995 values'!C$2,)</f>
        <v>0</v>
      </c>
      <c r="EM16" s="18">
        <f>IFERROR(CH16/'McDonough &amp; Sun 1995 values'!D$2,)</f>
        <v>0</v>
      </c>
      <c r="EN16" s="18">
        <f>IFERROR(CS16/'McDonough &amp; Sun 1995 values'!E$2,)</f>
        <v>0</v>
      </c>
      <c r="EO16" s="18">
        <f>IFERROR(DL16/'McDonough &amp; Sun 1995 values'!F$2,)</f>
        <v>0</v>
      </c>
      <c r="EP16" s="18">
        <f>IFERROR(DM16/'McDonough &amp; Sun 1995 values'!G$2,)</f>
        <v>0</v>
      </c>
      <c r="EQ16" s="18">
        <f>IFERROR(BR16/'McDonough &amp; Sun 1995 values'!H$2,)</f>
        <v>0</v>
      </c>
      <c r="ER16" s="18">
        <f>IFERROR(DI16/'McDonough &amp; Sun 1995 values'!I$2,)</f>
        <v>0</v>
      </c>
      <c r="ES16" s="18">
        <f>IFERROR(CM16/'McDonough &amp; Sun 1995 values'!J$2,)</f>
        <v>0</v>
      </c>
      <c r="ET16" s="18">
        <f>IFERROR(CU16/'McDonough &amp; Sun 1995 values'!K$2,)</f>
        <v>0</v>
      </c>
      <c r="EU16" s="18">
        <f>IFERROR(CV16/'McDonough &amp; Sun 1995 values'!L$2,)</f>
        <v>0</v>
      </c>
      <c r="EV16" s="18">
        <f>IFERROR(CW16/'McDonough &amp; Sun 1995 values'!M$2,)</f>
        <v>0</v>
      </c>
      <c r="EW16" s="18">
        <f>IFERROR(CI16/'McDonough &amp; Sun 1995 values'!N$2,)</f>
        <v>0</v>
      </c>
      <c r="EX16" s="18">
        <f>IFERROR(CX16/'McDonough &amp; Sun 1995 values'!O$2,)</f>
        <v>0</v>
      </c>
      <c r="EY16" s="18">
        <f>IFERROR(CY16/'McDonough &amp; Sun 1995 values'!P$2,)</f>
        <v>0</v>
      </c>
      <c r="EZ16" s="18">
        <f>IFERROR(DH16/'McDonough &amp; Sun 1995 values'!Q$2,)</f>
        <v>0</v>
      </c>
      <c r="FA16" s="18">
        <f>IFERROR(CK16/'McDonough &amp; Sun 1995 values'!R$2,)</f>
        <v>0</v>
      </c>
      <c r="FB16" s="18">
        <f>IFERROR(CZ16/'McDonough &amp; Sun 1995 values'!S$2,)</f>
        <v>0</v>
      </c>
      <c r="FC16" s="18">
        <f>IFERROR(BT16/'McDonough &amp; Sun 1995 values'!T$2,)</f>
        <v>0</v>
      </c>
      <c r="FD16" s="18">
        <f>IFERROR(DA16/'McDonough &amp; Sun 1995 values'!U$2,)</f>
        <v>0</v>
      </c>
      <c r="FE16" s="18">
        <f>IFERROR(DN16/'McDonough &amp; Sun 1995 values'!V$2,)</f>
        <v>0</v>
      </c>
      <c r="FF16" s="18">
        <f>IFERROR(DB16/'McDonough &amp; Sun 1995 values'!W$2,)</f>
        <v>0</v>
      </c>
      <c r="FG16" s="18">
        <f>IFERROR(CJ16/'McDonough &amp; Sun 1995 values'!X$2,)</f>
        <v>0</v>
      </c>
      <c r="FH16" s="18">
        <f>IFERROR(DC16/'McDonough &amp; Sun 1995 values'!Y$2,)</f>
        <v>0</v>
      </c>
      <c r="FI16" s="18">
        <f>IFERROR(DD16/'McDonough &amp; Sun 1995 values'!Z$2,)</f>
        <v>0</v>
      </c>
      <c r="FJ16" s="18">
        <f>IFERROR(DE16/'McDonough &amp; Sun 1995 values'!AA$2,)</f>
        <v>0</v>
      </c>
      <c r="FK16" s="18">
        <f>IFERROR(DF16/'McDonough &amp; Sun 1995 values'!AB$2,)</f>
        <v>0</v>
      </c>
      <c r="FL16" s="18">
        <f>IFERROR(DG16/'McDonough &amp; Sun 1995 values'!AC$2,)</f>
        <v>0</v>
      </c>
      <c r="FN16" s="28">
        <f t="shared" si="68"/>
        <v>0</v>
      </c>
      <c r="FO16" s="4">
        <f t="shared" si="8"/>
        <v>0</v>
      </c>
      <c r="FP16" s="4">
        <f t="shared" si="9"/>
        <v>0</v>
      </c>
      <c r="FQ16" s="4">
        <f t="shared" si="10"/>
        <v>0</v>
      </c>
      <c r="FR16" s="4">
        <f t="shared" si="11"/>
        <v>0</v>
      </c>
      <c r="FS16" s="4">
        <f t="shared" si="12"/>
        <v>0</v>
      </c>
      <c r="FT16" s="4">
        <f t="shared" si="13"/>
        <v>0</v>
      </c>
      <c r="FU16" s="4">
        <f t="shared" si="14"/>
        <v>0</v>
      </c>
      <c r="FV16" s="4">
        <f t="shared" si="15"/>
        <v>0</v>
      </c>
      <c r="FW16" s="4">
        <f t="shared" si="16"/>
        <v>0</v>
      </c>
      <c r="FX16" s="4">
        <f t="shared" si="17"/>
        <v>0</v>
      </c>
      <c r="FY16" s="4">
        <f t="shared" si="18"/>
        <v>0</v>
      </c>
      <c r="FZ16" s="4">
        <f t="shared" si="19"/>
        <v>0</v>
      </c>
      <c r="GA16" s="4">
        <f t="shared" si="20"/>
        <v>0</v>
      </c>
      <c r="GB16" s="4">
        <f t="shared" si="21"/>
        <v>0</v>
      </c>
      <c r="GC16" s="4">
        <f t="shared" si="22"/>
        <v>0</v>
      </c>
      <c r="GD16" s="4">
        <f t="shared" si="23"/>
        <v>0</v>
      </c>
      <c r="GE16" s="4">
        <f t="shared" si="24"/>
        <v>0</v>
      </c>
      <c r="GF16" s="4">
        <f t="shared" si="25"/>
        <v>0</v>
      </c>
      <c r="GG16" s="4">
        <f t="shared" si="26"/>
        <v>0</v>
      </c>
      <c r="GH16" s="4">
        <f t="shared" si="27"/>
        <v>0</v>
      </c>
      <c r="GI16" s="4">
        <f t="shared" si="28"/>
        <v>0</v>
      </c>
      <c r="GJ16" s="4">
        <f t="shared" si="29"/>
        <v>0</v>
      </c>
      <c r="GK16" s="4">
        <f t="shared" si="30"/>
        <v>0</v>
      </c>
      <c r="GL16" s="4">
        <f t="shared" si="31"/>
        <v>0</v>
      </c>
      <c r="GM16" s="4">
        <f t="shared" si="32"/>
        <v>0</v>
      </c>
      <c r="GN16" s="4">
        <f t="shared" si="33"/>
        <v>0</v>
      </c>
      <c r="GO16" s="4">
        <f t="shared" si="34"/>
        <v>0</v>
      </c>
      <c r="GP16" s="4">
        <f t="shared" si="35"/>
        <v>0</v>
      </c>
      <c r="GQ16" s="27">
        <f t="shared" si="70"/>
        <v>26996.025549928043</v>
      </c>
      <c r="GR16" s="28" t="str">
        <f t="shared" si="69"/>
        <v/>
      </c>
      <c r="GS16" s="28" t="str">
        <f t="shared" si="36"/>
        <v/>
      </c>
      <c r="GT16" s="28" t="str">
        <f t="shared" si="37"/>
        <v/>
      </c>
      <c r="GU16" s="28" t="str">
        <f t="shared" si="38"/>
        <v/>
      </c>
      <c r="GV16" s="28" t="str">
        <f t="shared" si="39"/>
        <v/>
      </c>
      <c r="GW16" s="28" t="str">
        <f t="shared" si="40"/>
        <v/>
      </c>
      <c r="GX16" s="28" t="str">
        <f t="shared" si="41"/>
        <v/>
      </c>
      <c r="GY16" s="28" t="str">
        <f t="shared" si="42"/>
        <v/>
      </c>
      <c r="GZ16" s="28" t="str">
        <f t="shared" si="43"/>
        <v/>
      </c>
      <c r="HA16" s="28" t="str">
        <f t="shared" si="44"/>
        <v/>
      </c>
      <c r="HB16" s="28" t="str">
        <f t="shared" si="45"/>
        <v/>
      </c>
      <c r="HC16" s="28" t="str">
        <f t="shared" si="46"/>
        <v/>
      </c>
      <c r="HD16" s="28" t="str">
        <f t="shared" si="47"/>
        <v/>
      </c>
      <c r="HE16" s="28" t="str">
        <f t="shared" si="48"/>
        <v/>
      </c>
      <c r="HF16" s="28" t="str">
        <f t="shared" si="49"/>
        <v/>
      </c>
      <c r="HG16" s="28" t="str">
        <f t="shared" si="50"/>
        <v/>
      </c>
      <c r="HH16" s="28" t="str">
        <f t="shared" si="51"/>
        <v/>
      </c>
      <c r="HI16" s="28" t="str">
        <f t="shared" si="52"/>
        <v/>
      </c>
      <c r="HJ16" s="28" t="str">
        <f t="shared" si="53"/>
        <v/>
      </c>
      <c r="HK16" s="28" t="str">
        <f t="shared" si="54"/>
        <v/>
      </c>
      <c r="HL16" s="28" t="str">
        <f t="shared" si="55"/>
        <v/>
      </c>
      <c r="HM16" s="28" t="str">
        <f t="shared" si="56"/>
        <v/>
      </c>
      <c r="HN16" s="28" t="str">
        <f t="shared" si="57"/>
        <v/>
      </c>
      <c r="HO16" s="28" t="str">
        <f t="shared" si="58"/>
        <v/>
      </c>
      <c r="HP16" s="28" t="str">
        <f t="shared" si="59"/>
        <v/>
      </c>
      <c r="HQ16" s="28" t="str">
        <f t="shared" si="60"/>
        <v/>
      </c>
      <c r="HR16" s="28" t="str">
        <f t="shared" si="61"/>
        <v/>
      </c>
      <c r="HT16" s="4">
        <f>IFERROR(GR16/'McDonough &amp; Sun 1995 values'!C$2,)</f>
        <v>0</v>
      </c>
      <c r="HU16" s="4">
        <f>IFERROR(GS16/'McDonough &amp; Sun 1995 values'!D$2,)</f>
        <v>0</v>
      </c>
      <c r="HV16" s="4">
        <f>IFERROR(GT16/'McDonough &amp; Sun 1995 values'!E$2,)</f>
        <v>0</v>
      </c>
      <c r="HW16" s="4">
        <f>IFERROR(GU16/'McDonough &amp; Sun 1995 values'!F$2,)</f>
        <v>0</v>
      </c>
      <c r="HX16" s="4">
        <f>IFERROR(GV16/'McDonough &amp; Sun 1995 values'!G$2,)</f>
        <v>0</v>
      </c>
      <c r="HY16" s="4">
        <f>IFERROR(GW16/'McDonough &amp; Sun 1995 values'!H$2,)</f>
        <v>0</v>
      </c>
      <c r="HZ16" s="4">
        <f>IFERROR(GX16/'McDonough &amp; Sun 1995 values'!I$2,)</f>
        <v>0</v>
      </c>
      <c r="IA16" s="4">
        <f>IFERROR(GY16/'McDonough &amp; Sun 1995 values'!J$2,)</f>
        <v>0</v>
      </c>
      <c r="IB16" s="4">
        <f>IFERROR(GZ16/'McDonough &amp; Sun 1995 values'!K$2,)</f>
        <v>0</v>
      </c>
      <c r="IC16" s="4">
        <f>IFERROR(HA16/'McDonough &amp; Sun 1995 values'!L$2,)</f>
        <v>0</v>
      </c>
      <c r="ID16" s="4">
        <f>IFERROR(HB16/'McDonough &amp; Sun 1995 values'!M$2,)</f>
        <v>0</v>
      </c>
      <c r="IE16" s="4">
        <f>IFERROR(HC16/'McDonough &amp; Sun 1995 values'!N$2,)</f>
        <v>0</v>
      </c>
      <c r="IF16" s="4">
        <f>IFERROR(HD16/'McDonough &amp; Sun 1995 values'!O$2,)</f>
        <v>0</v>
      </c>
      <c r="IG16" s="4">
        <f>IFERROR(HE16/'McDonough &amp; Sun 1995 values'!P$2,)</f>
        <v>0</v>
      </c>
      <c r="IH16" s="4">
        <f>IFERROR(HF16/'McDonough &amp; Sun 1995 values'!Q$2,)</f>
        <v>0</v>
      </c>
      <c r="II16" s="4">
        <f>IFERROR(HG16/'McDonough &amp; Sun 1995 values'!R$2,)</f>
        <v>0</v>
      </c>
      <c r="IJ16" s="4">
        <f>IFERROR(HH16/'McDonough &amp; Sun 1995 values'!S$2,)</f>
        <v>0</v>
      </c>
      <c r="IK16" s="4">
        <f>IFERROR(HI16/'McDonough &amp; Sun 1995 values'!T$2,)</f>
        <v>0</v>
      </c>
      <c r="IL16" s="4">
        <f>IFERROR(HJ16/'McDonough &amp; Sun 1995 values'!U$2,)</f>
        <v>0</v>
      </c>
      <c r="IM16" s="4">
        <f>IFERROR(HK16/'McDonough &amp; Sun 1995 values'!V$2,)</f>
        <v>0</v>
      </c>
      <c r="IN16" s="4">
        <f>IFERROR(HL16/'McDonough &amp; Sun 1995 values'!W$2,)</f>
        <v>0</v>
      </c>
      <c r="IO16" s="4">
        <f>IFERROR(HM16/'McDonough &amp; Sun 1995 values'!X$2,)</f>
        <v>0</v>
      </c>
      <c r="IP16" s="4">
        <f>IFERROR(HN16/'McDonough &amp; Sun 1995 values'!Y$2,)</f>
        <v>0</v>
      </c>
      <c r="IQ16" s="4">
        <f>IFERROR(HO16/'McDonough &amp; Sun 1995 values'!Z$2,)</f>
        <v>0</v>
      </c>
      <c r="IR16" s="4">
        <f>IFERROR(HP16/'McDonough &amp; Sun 1995 values'!AA$2,)</f>
        <v>0</v>
      </c>
      <c r="IS16" s="4">
        <f>IFERROR(HQ16/'McDonough &amp; Sun 1995 values'!AB$2,)</f>
        <v>0</v>
      </c>
      <c r="IT16" s="4">
        <f>IFERROR(HR16/'McDonough &amp; Sun 1995 values'!AC$2,)</f>
        <v>0</v>
      </c>
    </row>
    <row r="17" spans="1:254">
      <c r="A17" s="16" t="s">
        <v>842</v>
      </c>
      <c r="B17" s="16" t="s">
        <v>24</v>
      </c>
      <c r="C17" s="16" t="str">
        <f t="shared" si="0"/>
        <v>high-Mg carbonatitic</v>
      </c>
      <c r="D17" s="16" t="s">
        <v>1709</v>
      </c>
      <c r="E17" s="16" t="s">
        <v>237</v>
      </c>
      <c r="F17" s="16" t="s">
        <v>29</v>
      </c>
      <c r="G17" s="16" t="s">
        <v>595</v>
      </c>
      <c r="H17" s="27">
        <v>360</v>
      </c>
      <c r="I17" s="16" t="s">
        <v>712</v>
      </c>
      <c r="J17" s="16">
        <v>0</v>
      </c>
      <c r="K17" s="16" t="s">
        <v>913</v>
      </c>
      <c r="L17" s="16">
        <v>0</v>
      </c>
      <c r="M17" s="16" t="s">
        <v>60</v>
      </c>
      <c r="N17" s="16" t="s">
        <v>1084</v>
      </c>
      <c r="O17" s="26">
        <v>12</v>
      </c>
      <c r="P17" s="26">
        <v>0.5</v>
      </c>
      <c r="Q17" s="26"/>
      <c r="R17" s="26">
        <v>1.6</v>
      </c>
      <c r="S17" s="26">
        <v>5.6</v>
      </c>
      <c r="T17" s="26">
        <v>40.299999999999997</v>
      </c>
      <c r="U17" s="26">
        <v>4.3</v>
      </c>
      <c r="V17" s="26">
        <v>17</v>
      </c>
      <c r="W17" s="26">
        <v>9.4</v>
      </c>
      <c r="X17" s="26">
        <v>4</v>
      </c>
      <c r="Y17" s="26"/>
      <c r="Z17" s="26">
        <v>2.2999999999999998</v>
      </c>
      <c r="AA17" s="26"/>
      <c r="AB17" s="26"/>
      <c r="AC17" s="26"/>
      <c r="AD17" s="26">
        <v>2.2999999999999998</v>
      </c>
      <c r="AE17" s="26"/>
      <c r="AF17" s="26">
        <v>0.7</v>
      </c>
      <c r="AG17" s="26"/>
      <c r="AH17" s="26"/>
      <c r="AI17" s="26"/>
      <c r="AJ17" s="26">
        <f t="shared" si="62"/>
        <v>95</v>
      </c>
      <c r="AK17" s="26">
        <f t="shared" si="63"/>
        <v>12.700971830355142</v>
      </c>
      <c r="AL17" s="26">
        <f t="shared" si="1"/>
        <v>0.52920715959813103</v>
      </c>
      <c r="AM17" s="26">
        <f t="shared" si="2"/>
        <v>1.6934629107140191</v>
      </c>
      <c r="AN17" s="26">
        <f t="shared" si="64"/>
        <v>5.9271201874990664</v>
      </c>
      <c r="AO17" s="26">
        <f t="shared" si="65"/>
        <v>42.654097063609356</v>
      </c>
      <c r="AP17" s="26">
        <f t="shared" si="3"/>
        <v>17.993043426336452</v>
      </c>
      <c r="AQ17" s="26">
        <f t="shared" si="4"/>
        <v>0</v>
      </c>
      <c r="AR17" s="26">
        <f t="shared" si="5"/>
        <v>9.9490946004448624</v>
      </c>
      <c r="AS17" s="26">
        <f t="shared" si="66"/>
        <v>4.2336572767850482</v>
      </c>
      <c r="AT17" s="26">
        <f t="shared" si="6"/>
        <v>2.4343529341514025</v>
      </c>
      <c r="AU17" s="26">
        <f t="shared" si="67"/>
        <v>2.4343529341514025</v>
      </c>
      <c r="AV17" s="26">
        <f t="shared" si="7"/>
        <v>100.5493603236449</v>
      </c>
      <c r="BB17" s="26">
        <v>0.03</v>
      </c>
      <c r="BC17" s="26">
        <f t="shared" si="71"/>
        <v>3.0000000000000027E-2</v>
      </c>
      <c r="BD17" s="26">
        <f t="shared" si="72"/>
        <v>0.97</v>
      </c>
      <c r="BE17" s="16"/>
      <c r="BF17" s="16"/>
      <c r="BG17" s="16" t="s">
        <v>929</v>
      </c>
      <c r="BH17" s="16" t="s">
        <v>930</v>
      </c>
      <c r="BI17" s="16" t="s">
        <v>931</v>
      </c>
      <c r="BJ17" s="16"/>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28"/>
      <c r="DW17" s="28"/>
      <c r="DX17" s="28"/>
      <c r="DY17" s="28"/>
      <c r="DZ17" s="28"/>
      <c r="EA17" s="28"/>
      <c r="EB17" s="28"/>
      <c r="EC17" s="28"/>
      <c r="ED17" s="28"/>
      <c r="EE17" s="28"/>
      <c r="EF17" s="28"/>
      <c r="EG17" s="28"/>
      <c r="EH17" s="28"/>
      <c r="EI17" s="28"/>
      <c r="EJ17" s="18"/>
      <c r="EK17" s="18"/>
      <c r="EL17" s="18">
        <f>IFERROR(CR17/'McDonough &amp; Sun 1995 values'!C$2,)</f>
        <v>0</v>
      </c>
      <c r="EM17" s="18">
        <f>IFERROR(CH17/'McDonough &amp; Sun 1995 values'!D$2,)</f>
        <v>0</v>
      </c>
      <c r="EN17" s="18">
        <f>IFERROR(CS17/'McDonough &amp; Sun 1995 values'!E$2,)</f>
        <v>0</v>
      </c>
      <c r="EO17" s="18">
        <f>IFERROR(DL17/'McDonough &amp; Sun 1995 values'!F$2,)</f>
        <v>0</v>
      </c>
      <c r="EP17" s="18">
        <f>IFERROR(DM17/'McDonough &amp; Sun 1995 values'!G$2,)</f>
        <v>0</v>
      </c>
      <c r="EQ17" s="18">
        <f>IFERROR(BR17/'McDonough &amp; Sun 1995 values'!H$2,)</f>
        <v>0</v>
      </c>
      <c r="ER17" s="18">
        <f>IFERROR(DI17/'McDonough &amp; Sun 1995 values'!I$2,)</f>
        <v>0</v>
      </c>
      <c r="ES17" s="18">
        <f>IFERROR(CM17/'McDonough &amp; Sun 1995 values'!J$2,)</f>
        <v>0</v>
      </c>
      <c r="ET17" s="18">
        <f>IFERROR(CU17/'McDonough &amp; Sun 1995 values'!K$2,)</f>
        <v>0</v>
      </c>
      <c r="EU17" s="18">
        <f>IFERROR(CV17/'McDonough &amp; Sun 1995 values'!L$2,)</f>
        <v>0</v>
      </c>
      <c r="EV17" s="18">
        <f>IFERROR(CW17/'McDonough &amp; Sun 1995 values'!M$2,)</f>
        <v>0</v>
      </c>
      <c r="EW17" s="18">
        <f>IFERROR(CI17/'McDonough &amp; Sun 1995 values'!N$2,)</f>
        <v>0</v>
      </c>
      <c r="EX17" s="18">
        <f>IFERROR(CX17/'McDonough &amp; Sun 1995 values'!O$2,)</f>
        <v>0</v>
      </c>
      <c r="EY17" s="18">
        <f>IFERROR(CY17/'McDonough &amp; Sun 1995 values'!P$2,)</f>
        <v>0</v>
      </c>
      <c r="EZ17" s="18">
        <f>IFERROR(DH17/'McDonough &amp; Sun 1995 values'!Q$2,)</f>
        <v>0</v>
      </c>
      <c r="FA17" s="18">
        <f>IFERROR(CK17/'McDonough &amp; Sun 1995 values'!R$2,)</f>
        <v>0</v>
      </c>
      <c r="FB17" s="18">
        <f>IFERROR(CZ17/'McDonough &amp; Sun 1995 values'!S$2,)</f>
        <v>0</v>
      </c>
      <c r="FC17" s="18">
        <f>IFERROR(BT17/'McDonough &amp; Sun 1995 values'!T$2,)</f>
        <v>0</v>
      </c>
      <c r="FD17" s="18">
        <f>IFERROR(DA17/'McDonough &amp; Sun 1995 values'!U$2,)</f>
        <v>0</v>
      </c>
      <c r="FE17" s="18">
        <f>IFERROR(DN17/'McDonough &amp; Sun 1995 values'!V$2,)</f>
        <v>0</v>
      </c>
      <c r="FF17" s="18">
        <f>IFERROR(DB17/'McDonough &amp; Sun 1995 values'!W$2,)</f>
        <v>0</v>
      </c>
      <c r="FG17" s="18">
        <f>IFERROR(CJ17/'McDonough &amp; Sun 1995 values'!X$2,)</f>
        <v>0</v>
      </c>
      <c r="FH17" s="18">
        <f>IFERROR(DC17/'McDonough &amp; Sun 1995 values'!Y$2,)</f>
        <v>0</v>
      </c>
      <c r="FI17" s="18">
        <f>IFERROR(DD17/'McDonough &amp; Sun 1995 values'!Z$2,)</f>
        <v>0</v>
      </c>
      <c r="FJ17" s="18">
        <f>IFERROR(DE17/'McDonough &amp; Sun 1995 values'!AA$2,)</f>
        <v>0</v>
      </c>
      <c r="FK17" s="18">
        <f>IFERROR(DF17/'McDonough &amp; Sun 1995 values'!AB$2,)</f>
        <v>0</v>
      </c>
      <c r="FL17" s="18">
        <f>IFERROR(DG17/'McDonough &amp; Sun 1995 values'!AC$2,)</f>
        <v>0</v>
      </c>
      <c r="FN17" s="28">
        <f t="shared" si="68"/>
        <v>0</v>
      </c>
      <c r="FO17" s="4">
        <f t="shared" si="8"/>
        <v>0</v>
      </c>
      <c r="FP17" s="4">
        <f t="shared" si="9"/>
        <v>0</v>
      </c>
      <c r="FQ17" s="4">
        <f t="shared" si="10"/>
        <v>0</v>
      </c>
      <c r="FR17" s="4">
        <f t="shared" si="11"/>
        <v>0</v>
      </c>
      <c r="FS17" s="4">
        <f t="shared" si="12"/>
        <v>0</v>
      </c>
      <c r="FT17" s="4">
        <f t="shared" si="13"/>
        <v>0</v>
      </c>
      <c r="FU17" s="4">
        <f t="shared" si="14"/>
        <v>0</v>
      </c>
      <c r="FV17" s="4">
        <f t="shared" si="15"/>
        <v>0</v>
      </c>
      <c r="FW17" s="4">
        <f t="shared" si="16"/>
        <v>0</v>
      </c>
      <c r="FX17" s="4">
        <f t="shared" si="17"/>
        <v>0</v>
      </c>
      <c r="FY17" s="4">
        <f t="shared" si="18"/>
        <v>0</v>
      </c>
      <c r="FZ17" s="4">
        <f t="shared" si="19"/>
        <v>0</v>
      </c>
      <c r="GA17" s="4">
        <f t="shared" si="20"/>
        <v>0</v>
      </c>
      <c r="GB17" s="4">
        <f t="shared" si="21"/>
        <v>0</v>
      </c>
      <c r="GC17" s="4">
        <f t="shared" si="22"/>
        <v>0</v>
      </c>
      <c r="GD17" s="4">
        <f t="shared" si="23"/>
        <v>0</v>
      </c>
      <c r="GE17" s="4">
        <f t="shared" si="24"/>
        <v>0</v>
      </c>
      <c r="GF17" s="4">
        <f t="shared" si="25"/>
        <v>0</v>
      </c>
      <c r="GG17" s="4">
        <f t="shared" si="26"/>
        <v>0</v>
      </c>
      <c r="GH17" s="4">
        <f t="shared" si="27"/>
        <v>0</v>
      </c>
      <c r="GI17" s="4">
        <f t="shared" si="28"/>
        <v>0</v>
      </c>
      <c r="GJ17" s="4">
        <f t="shared" si="29"/>
        <v>0</v>
      </c>
      <c r="GK17" s="4">
        <f t="shared" si="30"/>
        <v>0</v>
      </c>
      <c r="GL17" s="4">
        <f t="shared" si="31"/>
        <v>0</v>
      </c>
      <c r="GM17" s="4">
        <f t="shared" si="32"/>
        <v>0</v>
      </c>
      <c r="GN17" s="4">
        <f t="shared" si="33"/>
        <v>0</v>
      </c>
      <c r="GO17" s="4">
        <f t="shared" si="34"/>
        <v>0</v>
      </c>
      <c r="GP17" s="4">
        <f t="shared" si="35"/>
        <v>0</v>
      </c>
      <c r="GQ17" s="27">
        <f t="shared" si="70"/>
        <v>35145.168408170612</v>
      </c>
      <c r="GR17" s="28" t="str">
        <f t="shared" si="69"/>
        <v/>
      </c>
      <c r="GS17" s="28" t="str">
        <f t="shared" si="36"/>
        <v/>
      </c>
      <c r="GT17" s="28" t="str">
        <f t="shared" si="37"/>
        <v/>
      </c>
      <c r="GU17" s="28" t="str">
        <f t="shared" si="38"/>
        <v/>
      </c>
      <c r="GV17" s="28" t="str">
        <f t="shared" si="39"/>
        <v/>
      </c>
      <c r="GW17" s="28" t="str">
        <f t="shared" si="40"/>
        <v/>
      </c>
      <c r="GX17" s="28" t="str">
        <f t="shared" si="41"/>
        <v/>
      </c>
      <c r="GY17" s="28" t="str">
        <f t="shared" si="42"/>
        <v/>
      </c>
      <c r="GZ17" s="28" t="str">
        <f t="shared" si="43"/>
        <v/>
      </c>
      <c r="HA17" s="28" t="str">
        <f t="shared" si="44"/>
        <v/>
      </c>
      <c r="HB17" s="28" t="str">
        <f t="shared" si="45"/>
        <v/>
      </c>
      <c r="HC17" s="28" t="str">
        <f t="shared" si="46"/>
        <v/>
      </c>
      <c r="HD17" s="28" t="str">
        <f t="shared" si="47"/>
        <v/>
      </c>
      <c r="HE17" s="28" t="str">
        <f t="shared" si="48"/>
        <v/>
      </c>
      <c r="HF17" s="28" t="str">
        <f t="shared" si="49"/>
        <v/>
      </c>
      <c r="HG17" s="28" t="str">
        <f t="shared" si="50"/>
        <v/>
      </c>
      <c r="HH17" s="28" t="str">
        <f t="shared" si="51"/>
        <v/>
      </c>
      <c r="HI17" s="28" t="str">
        <f t="shared" si="52"/>
        <v/>
      </c>
      <c r="HJ17" s="28" t="str">
        <f t="shared" si="53"/>
        <v/>
      </c>
      <c r="HK17" s="28" t="str">
        <f t="shared" si="54"/>
        <v/>
      </c>
      <c r="HL17" s="28" t="str">
        <f t="shared" si="55"/>
        <v/>
      </c>
      <c r="HM17" s="28" t="str">
        <f t="shared" si="56"/>
        <v/>
      </c>
      <c r="HN17" s="28" t="str">
        <f t="shared" si="57"/>
        <v/>
      </c>
      <c r="HO17" s="28" t="str">
        <f t="shared" si="58"/>
        <v/>
      </c>
      <c r="HP17" s="28" t="str">
        <f t="shared" si="59"/>
        <v/>
      </c>
      <c r="HQ17" s="28" t="str">
        <f t="shared" si="60"/>
        <v/>
      </c>
      <c r="HR17" s="28" t="str">
        <f t="shared" si="61"/>
        <v/>
      </c>
      <c r="HT17" s="4">
        <f>IFERROR(GR17/'McDonough &amp; Sun 1995 values'!C$2,)</f>
        <v>0</v>
      </c>
      <c r="HU17" s="4">
        <f>IFERROR(GS17/'McDonough &amp; Sun 1995 values'!D$2,)</f>
        <v>0</v>
      </c>
      <c r="HV17" s="4">
        <f>IFERROR(GT17/'McDonough &amp; Sun 1995 values'!E$2,)</f>
        <v>0</v>
      </c>
      <c r="HW17" s="4">
        <f>IFERROR(GU17/'McDonough &amp; Sun 1995 values'!F$2,)</f>
        <v>0</v>
      </c>
      <c r="HX17" s="4">
        <f>IFERROR(GV17/'McDonough &amp; Sun 1995 values'!G$2,)</f>
        <v>0</v>
      </c>
      <c r="HY17" s="4">
        <f>IFERROR(GW17/'McDonough &amp; Sun 1995 values'!H$2,)</f>
        <v>0</v>
      </c>
      <c r="HZ17" s="4">
        <f>IFERROR(GX17/'McDonough &amp; Sun 1995 values'!I$2,)</f>
        <v>0</v>
      </c>
      <c r="IA17" s="4">
        <f>IFERROR(GY17/'McDonough &amp; Sun 1995 values'!J$2,)</f>
        <v>0</v>
      </c>
      <c r="IB17" s="4">
        <f>IFERROR(GZ17/'McDonough &amp; Sun 1995 values'!K$2,)</f>
        <v>0</v>
      </c>
      <c r="IC17" s="4">
        <f>IFERROR(HA17/'McDonough &amp; Sun 1995 values'!L$2,)</f>
        <v>0</v>
      </c>
      <c r="ID17" s="4">
        <f>IFERROR(HB17/'McDonough &amp; Sun 1995 values'!M$2,)</f>
        <v>0</v>
      </c>
      <c r="IE17" s="4">
        <f>IFERROR(HC17/'McDonough &amp; Sun 1995 values'!N$2,)</f>
        <v>0</v>
      </c>
      <c r="IF17" s="4">
        <f>IFERROR(HD17/'McDonough &amp; Sun 1995 values'!O$2,)</f>
        <v>0</v>
      </c>
      <c r="IG17" s="4">
        <f>IFERROR(HE17/'McDonough &amp; Sun 1995 values'!P$2,)</f>
        <v>0</v>
      </c>
      <c r="IH17" s="4">
        <f>IFERROR(HF17/'McDonough &amp; Sun 1995 values'!Q$2,)</f>
        <v>0</v>
      </c>
      <c r="II17" s="4">
        <f>IFERROR(HG17/'McDonough &amp; Sun 1995 values'!R$2,)</f>
        <v>0</v>
      </c>
      <c r="IJ17" s="4">
        <f>IFERROR(HH17/'McDonough &amp; Sun 1995 values'!S$2,)</f>
        <v>0</v>
      </c>
      <c r="IK17" s="4">
        <f>IFERROR(HI17/'McDonough &amp; Sun 1995 values'!T$2,)</f>
        <v>0</v>
      </c>
      <c r="IL17" s="4">
        <f>IFERROR(HJ17/'McDonough &amp; Sun 1995 values'!U$2,)</f>
        <v>0</v>
      </c>
      <c r="IM17" s="4">
        <f>IFERROR(HK17/'McDonough &amp; Sun 1995 values'!V$2,)</f>
        <v>0</v>
      </c>
      <c r="IN17" s="4">
        <f>IFERROR(HL17/'McDonough &amp; Sun 1995 values'!W$2,)</f>
        <v>0</v>
      </c>
      <c r="IO17" s="4">
        <f>IFERROR(HM17/'McDonough &amp; Sun 1995 values'!X$2,)</f>
        <v>0</v>
      </c>
      <c r="IP17" s="4">
        <f>IFERROR(HN17/'McDonough &amp; Sun 1995 values'!Y$2,)</f>
        <v>0</v>
      </c>
      <c r="IQ17" s="4">
        <f>IFERROR(HO17/'McDonough &amp; Sun 1995 values'!Z$2,)</f>
        <v>0</v>
      </c>
      <c r="IR17" s="4">
        <f>IFERROR(HP17/'McDonough &amp; Sun 1995 values'!AA$2,)</f>
        <v>0</v>
      </c>
      <c r="IS17" s="4">
        <f>IFERROR(HQ17/'McDonough &amp; Sun 1995 values'!AB$2,)</f>
        <v>0</v>
      </c>
      <c r="IT17" s="4">
        <f>IFERROR(HR17/'McDonough &amp; Sun 1995 values'!AC$2,)</f>
        <v>0</v>
      </c>
    </row>
    <row r="18" spans="1:254">
      <c r="A18" s="16" t="s">
        <v>842</v>
      </c>
      <c r="B18" s="16" t="s">
        <v>24</v>
      </c>
      <c r="C18" s="16" t="str">
        <f t="shared" si="0"/>
        <v>high-Mg carbonatitic</v>
      </c>
      <c r="D18" s="16" t="s">
        <v>1709</v>
      </c>
      <c r="E18" s="16" t="s">
        <v>237</v>
      </c>
      <c r="F18" s="16" t="s">
        <v>29</v>
      </c>
      <c r="G18" s="16" t="s">
        <v>595</v>
      </c>
      <c r="H18" s="27">
        <v>360</v>
      </c>
      <c r="I18" s="16" t="s">
        <v>712</v>
      </c>
      <c r="J18" s="16">
        <v>0</v>
      </c>
      <c r="K18" s="16" t="s">
        <v>913</v>
      </c>
      <c r="L18" s="16">
        <v>0</v>
      </c>
      <c r="M18" s="16" t="s">
        <v>57</v>
      </c>
      <c r="N18" s="16" t="s">
        <v>1084</v>
      </c>
      <c r="O18" s="26">
        <v>13.2</v>
      </c>
      <c r="P18" s="26">
        <v>0.4</v>
      </c>
      <c r="Q18" s="26">
        <v>0.5</v>
      </c>
      <c r="R18" s="26">
        <v>2.2999999999999998</v>
      </c>
      <c r="S18" s="26">
        <v>15.1</v>
      </c>
      <c r="T18" s="26">
        <v>41.1</v>
      </c>
      <c r="U18" s="26">
        <v>5</v>
      </c>
      <c r="V18" s="26">
        <v>5.0999999999999996</v>
      </c>
      <c r="W18" s="26">
        <v>8.1999999999999993</v>
      </c>
      <c r="X18" s="26">
        <v>4.5999999999999996</v>
      </c>
      <c r="Y18" s="26"/>
      <c r="Z18" s="26">
        <v>1.1000000000000001</v>
      </c>
      <c r="AA18" s="26"/>
      <c r="AB18" s="26"/>
      <c r="AC18" s="26"/>
      <c r="AD18" s="26">
        <v>2.1</v>
      </c>
      <c r="AE18" s="26"/>
      <c r="AF18" s="26">
        <v>1.2</v>
      </c>
      <c r="AG18" s="26"/>
      <c r="AH18" s="26"/>
      <c r="AI18" s="26"/>
      <c r="AJ18" s="26">
        <f t="shared" si="62"/>
        <v>93.199999999999974</v>
      </c>
      <c r="AK18" s="26">
        <f t="shared" si="63"/>
        <v>14.235475215536914</v>
      </c>
      <c r="AL18" s="26">
        <f t="shared" si="1"/>
        <v>0.43137803683445197</v>
      </c>
      <c r="AM18" s="26">
        <f t="shared" si="2"/>
        <v>2.4804237117980987</v>
      </c>
      <c r="AN18" s="26">
        <f t="shared" si="64"/>
        <v>16.284520890500559</v>
      </c>
      <c r="AO18" s="26">
        <f t="shared" si="65"/>
        <v>44.324093284739938</v>
      </c>
      <c r="AP18" s="26">
        <f t="shared" si="3"/>
        <v>5.5000699696392621</v>
      </c>
      <c r="AQ18" s="26">
        <f t="shared" si="4"/>
        <v>0</v>
      </c>
      <c r="AR18" s="26">
        <f t="shared" si="5"/>
        <v>8.8432497551062639</v>
      </c>
      <c r="AS18" s="26">
        <f t="shared" si="66"/>
        <v>4.9608474235961975</v>
      </c>
      <c r="AT18" s="26">
        <f t="shared" si="6"/>
        <v>1.1862896012947428</v>
      </c>
      <c r="AU18" s="26">
        <f t="shared" si="67"/>
        <v>2.2647346933808725</v>
      </c>
      <c r="AV18" s="26">
        <f t="shared" si="7"/>
        <v>100.51108258242729</v>
      </c>
      <c r="BB18" s="26">
        <v>0.06</v>
      </c>
      <c r="BC18" s="26">
        <f t="shared" si="71"/>
        <v>6.0000000000000053E-2</v>
      </c>
      <c r="BD18" s="26">
        <f t="shared" si="72"/>
        <v>0.94</v>
      </c>
      <c r="BE18" s="25">
        <v>-5.8666999999999998</v>
      </c>
      <c r="BF18" s="16"/>
      <c r="BG18" s="16" t="s">
        <v>932</v>
      </c>
      <c r="BH18" s="16" t="s">
        <v>933</v>
      </c>
      <c r="BI18" s="16" t="s">
        <v>934</v>
      </c>
      <c r="BJ18" s="16"/>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28"/>
      <c r="DW18" s="28"/>
      <c r="DX18" s="28"/>
      <c r="DY18" s="28"/>
      <c r="DZ18" s="28"/>
      <c r="EA18" s="28"/>
      <c r="EB18" s="28"/>
      <c r="EC18" s="28"/>
      <c r="ED18" s="28"/>
      <c r="EE18" s="28"/>
      <c r="EF18" s="28"/>
      <c r="EG18" s="28"/>
      <c r="EH18" s="28"/>
      <c r="EI18" s="28"/>
      <c r="EJ18" s="18"/>
      <c r="EK18" s="18"/>
      <c r="EL18" s="18">
        <f>IFERROR(CR18/'McDonough &amp; Sun 1995 values'!C$2,)</f>
        <v>0</v>
      </c>
      <c r="EM18" s="18">
        <f>IFERROR(CH18/'McDonough &amp; Sun 1995 values'!D$2,)</f>
        <v>0</v>
      </c>
      <c r="EN18" s="18">
        <f>IFERROR(CS18/'McDonough &amp; Sun 1995 values'!E$2,)</f>
        <v>0</v>
      </c>
      <c r="EO18" s="18">
        <f>IFERROR(DL18/'McDonough &amp; Sun 1995 values'!F$2,)</f>
        <v>0</v>
      </c>
      <c r="EP18" s="18">
        <f>IFERROR(DM18/'McDonough &amp; Sun 1995 values'!G$2,)</f>
        <v>0</v>
      </c>
      <c r="EQ18" s="18">
        <f>IFERROR(BR18/'McDonough &amp; Sun 1995 values'!H$2,)</f>
        <v>0</v>
      </c>
      <c r="ER18" s="18">
        <f>IFERROR(DI18/'McDonough &amp; Sun 1995 values'!I$2,)</f>
        <v>0</v>
      </c>
      <c r="ES18" s="18">
        <f>IFERROR(CM18/'McDonough &amp; Sun 1995 values'!J$2,)</f>
        <v>0</v>
      </c>
      <c r="ET18" s="18">
        <f>IFERROR(CU18/'McDonough &amp; Sun 1995 values'!K$2,)</f>
        <v>0</v>
      </c>
      <c r="EU18" s="18">
        <f>IFERROR(CV18/'McDonough &amp; Sun 1995 values'!L$2,)</f>
        <v>0</v>
      </c>
      <c r="EV18" s="18">
        <f>IFERROR(CW18/'McDonough &amp; Sun 1995 values'!M$2,)</f>
        <v>0</v>
      </c>
      <c r="EW18" s="18">
        <f>IFERROR(CI18/'McDonough &amp; Sun 1995 values'!N$2,)</f>
        <v>0</v>
      </c>
      <c r="EX18" s="18">
        <f>IFERROR(CX18/'McDonough &amp; Sun 1995 values'!O$2,)</f>
        <v>0</v>
      </c>
      <c r="EY18" s="18">
        <f>IFERROR(CY18/'McDonough &amp; Sun 1995 values'!P$2,)</f>
        <v>0</v>
      </c>
      <c r="EZ18" s="18">
        <f>IFERROR(DH18/'McDonough &amp; Sun 1995 values'!Q$2,)</f>
        <v>0</v>
      </c>
      <c r="FA18" s="18">
        <f>IFERROR(CK18/'McDonough &amp; Sun 1995 values'!R$2,)</f>
        <v>0</v>
      </c>
      <c r="FB18" s="18">
        <f>IFERROR(CZ18/'McDonough &amp; Sun 1995 values'!S$2,)</f>
        <v>0</v>
      </c>
      <c r="FC18" s="18">
        <f>IFERROR(BT18/'McDonough &amp; Sun 1995 values'!T$2,)</f>
        <v>0</v>
      </c>
      <c r="FD18" s="18">
        <f>IFERROR(DA18/'McDonough &amp; Sun 1995 values'!U$2,)</f>
        <v>0</v>
      </c>
      <c r="FE18" s="18">
        <f>IFERROR(DN18/'McDonough &amp; Sun 1995 values'!V$2,)</f>
        <v>0</v>
      </c>
      <c r="FF18" s="18">
        <f>IFERROR(DB18/'McDonough &amp; Sun 1995 values'!W$2,)</f>
        <v>0</v>
      </c>
      <c r="FG18" s="18">
        <f>IFERROR(CJ18/'McDonough &amp; Sun 1995 values'!X$2,)</f>
        <v>0</v>
      </c>
      <c r="FH18" s="18">
        <f>IFERROR(DC18/'McDonough &amp; Sun 1995 values'!Y$2,)</f>
        <v>0</v>
      </c>
      <c r="FI18" s="18">
        <f>IFERROR(DD18/'McDonough &amp; Sun 1995 values'!Z$2,)</f>
        <v>0</v>
      </c>
      <c r="FJ18" s="18">
        <f>IFERROR(DE18/'McDonough &amp; Sun 1995 values'!AA$2,)</f>
        <v>0</v>
      </c>
      <c r="FK18" s="18">
        <f>IFERROR(DF18/'McDonough &amp; Sun 1995 values'!AB$2,)</f>
        <v>0</v>
      </c>
      <c r="FL18" s="18">
        <f>IFERROR(DG18/'McDonough &amp; Sun 1995 values'!AC$2,)</f>
        <v>0</v>
      </c>
      <c r="FN18" s="28">
        <f t="shared" si="68"/>
        <v>0</v>
      </c>
      <c r="FO18" s="4">
        <f t="shared" si="8"/>
        <v>0</v>
      </c>
      <c r="FP18" s="4">
        <f t="shared" si="9"/>
        <v>0</v>
      </c>
      <c r="FQ18" s="4">
        <f t="shared" si="10"/>
        <v>0</v>
      </c>
      <c r="FR18" s="4">
        <f t="shared" si="11"/>
        <v>0</v>
      </c>
      <c r="FS18" s="4">
        <f t="shared" si="12"/>
        <v>0</v>
      </c>
      <c r="FT18" s="4">
        <f t="shared" si="13"/>
        <v>0</v>
      </c>
      <c r="FU18" s="4">
        <f t="shared" si="14"/>
        <v>0</v>
      </c>
      <c r="FV18" s="4">
        <f t="shared" si="15"/>
        <v>0</v>
      </c>
      <c r="FW18" s="4">
        <f t="shared" si="16"/>
        <v>0</v>
      </c>
      <c r="FX18" s="4">
        <f t="shared" si="17"/>
        <v>0</v>
      </c>
      <c r="FY18" s="4">
        <f t="shared" si="18"/>
        <v>0</v>
      </c>
      <c r="FZ18" s="4">
        <f t="shared" si="19"/>
        <v>0</v>
      </c>
      <c r="GA18" s="4">
        <f t="shared" si="20"/>
        <v>0</v>
      </c>
      <c r="GB18" s="4">
        <f t="shared" si="21"/>
        <v>0</v>
      </c>
      <c r="GC18" s="4">
        <f t="shared" si="22"/>
        <v>0</v>
      </c>
      <c r="GD18" s="4">
        <f t="shared" si="23"/>
        <v>0</v>
      </c>
      <c r="GE18" s="4">
        <f t="shared" si="24"/>
        <v>0</v>
      </c>
      <c r="GF18" s="4">
        <f t="shared" si="25"/>
        <v>0</v>
      </c>
      <c r="GG18" s="4">
        <f t="shared" si="26"/>
        <v>0</v>
      </c>
      <c r="GH18" s="4">
        <f t="shared" si="27"/>
        <v>0</v>
      </c>
      <c r="GI18" s="4">
        <f t="shared" si="28"/>
        <v>0</v>
      </c>
      <c r="GJ18" s="4">
        <f t="shared" si="29"/>
        <v>0</v>
      </c>
      <c r="GK18" s="4">
        <f t="shared" si="30"/>
        <v>0</v>
      </c>
      <c r="GL18" s="4">
        <f t="shared" si="31"/>
        <v>0</v>
      </c>
      <c r="GM18" s="4">
        <f t="shared" si="32"/>
        <v>0</v>
      </c>
      <c r="GN18" s="4">
        <f t="shared" si="33"/>
        <v>0</v>
      </c>
      <c r="GO18" s="4">
        <f t="shared" si="34"/>
        <v>0</v>
      </c>
      <c r="GP18" s="4">
        <f t="shared" si="35"/>
        <v>0</v>
      </c>
      <c r="GQ18" s="27">
        <f t="shared" si="70"/>
        <v>41181.84509302683</v>
      </c>
      <c r="GR18" s="28" t="str">
        <f t="shared" si="69"/>
        <v/>
      </c>
      <c r="GS18" s="28" t="str">
        <f t="shared" si="36"/>
        <v/>
      </c>
      <c r="GT18" s="28" t="str">
        <f t="shared" si="37"/>
        <v/>
      </c>
      <c r="GU18" s="28" t="str">
        <f t="shared" si="38"/>
        <v/>
      </c>
      <c r="GV18" s="28" t="str">
        <f t="shared" si="39"/>
        <v/>
      </c>
      <c r="GW18" s="28" t="str">
        <f t="shared" si="40"/>
        <v/>
      </c>
      <c r="GX18" s="28" t="str">
        <f t="shared" si="41"/>
        <v/>
      </c>
      <c r="GY18" s="28" t="str">
        <f t="shared" si="42"/>
        <v/>
      </c>
      <c r="GZ18" s="28" t="str">
        <f t="shared" si="43"/>
        <v/>
      </c>
      <c r="HA18" s="28" t="str">
        <f t="shared" si="44"/>
        <v/>
      </c>
      <c r="HB18" s="28" t="str">
        <f t="shared" si="45"/>
        <v/>
      </c>
      <c r="HC18" s="28" t="str">
        <f t="shared" si="46"/>
        <v/>
      </c>
      <c r="HD18" s="28" t="str">
        <f t="shared" si="47"/>
        <v/>
      </c>
      <c r="HE18" s="28" t="str">
        <f t="shared" si="48"/>
        <v/>
      </c>
      <c r="HF18" s="28" t="str">
        <f t="shared" si="49"/>
        <v/>
      </c>
      <c r="HG18" s="28" t="str">
        <f t="shared" si="50"/>
        <v/>
      </c>
      <c r="HH18" s="28" t="str">
        <f t="shared" si="51"/>
        <v/>
      </c>
      <c r="HI18" s="28" t="str">
        <f t="shared" si="52"/>
        <v/>
      </c>
      <c r="HJ18" s="28" t="str">
        <f t="shared" si="53"/>
        <v/>
      </c>
      <c r="HK18" s="28" t="str">
        <f t="shared" si="54"/>
        <v/>
      </c>
      <c r="HL18" s="28" t="str">
        <f t="shared" si="55"/>
        <v/>
      </c>
      <c r="HM18" s="28" t="str">
        <f t="shared" si="56"/>
        <v/>
      </c>
      <c r="HN18" s="28" t="str">
        <f t="shared" si="57"/>
        <v/>
      </c>
      <c r="HO18" s="28" t="str">
        <f t="shared" si="58"/>
        <v/>
      </c>
      <c r="HP18" s="28" t="str">
        <f t="shared" si="59"/>
        <v/>
      </c>
      <c r="HQ18" s="28" t="str">
        <f t="shared" si="60"/>
        <v/>
      </c>
      <c r="HR18" s="28" t="str">
        <f t="shared" si="61"/>
        <v/>
      </c>
      <c r="HT18" s="4">
        <f>IFERROR(GR18/'McDonough &amp; Sun 1995 values'!C$2,)</f>
        <v>0</v>
      </c>
      <c r="HU18" s="4">
        <f>IFERROR(GS18/'McDonough &amp; Sun 1995 values'!D$2,)</f>
        <v>0</v>
      </c>
      <c r="HV18" s="4">
        <f>IFERROR(GT18/'McDonough &amp; Sun 1995 values'!E$2,)</f>
        <v>0</v>
      </c>
      <c r="HW18" s="4">
        <f>IFERROR(GU18/'McDonough &amp; Sun 1995 values'!F$2,)</f>
        <v>0</v>
      </c>
      <c r="HX18" s="4">
        <f>IFERROR(GV18/'McDonough &amp; Sun 1995 values'!G$2,)</f>
        <v>0</v>
      </c>
      <c r="HY18" s="4">
        <f>IFERROR(GW18/'McDonough &amp; Sun 1995 values'!H$2,)</f>
        <v>0</v>
      </c>
      <c r="HZ18" s="4">
        <f>IFERROR(GX18/'McDonough &amp; Sun 1995 values'!I$2,)</f>
        <v>0</v>
      </c>
      <c r="IA18" s="4">
        <f>IFERROR(GY18/'McDonough &amp; Sun 1995 values'!J$2,)</f>
        <v>0</v>
      </c>
      <c r="IB18" s="4">
        <f>IFERROR(GZ18/'McDonough &amp; Sun 1995 values'!K$2,)</f>
        <v>0</v>
      </c>
      <c r="IC18" s="4">
        <f>IFERROR(HA18/'McDonough &amp; Sun 1995 values'!L$2,)</f>
        <v>0</v>
      </c>
      <c r="ID18" s="4">
        <f>IFERROR(HB18/'McDonough &amp; Sun 1995 values'!M$2,)</f>
        <v>0</v>
      </c>
      <c r="IE18" s="4">
        <f>IFERROR(HC18/'McDonough &amp; Sun 1995 values'!N$2,)</f>
        <v>0</v>
      </c>
      <c r="IF18" s="4">
        <f>IFERROR(HD18/'McDonough &amp; Sun 1995 values'!O$2,)</f>
        <v>0</v>
      </c>
      <c r="IG18" s="4">
        <f>IFERROR(HE18/'McDonough &amp; Sun 1995 values'!P$2,)</f>
        <v>0</v>
      </c>
      <c r="IH18" s="4">
        <f>IFERROR(HF18/'McDonough &amp; Sun 1995 values'!Q$2,)</f>
        <v>0</v>
      </c>
      <c r="II18" s="4">
        <f>IFERROR(HG18/'McDonough &amp; Sun 1995 values'!R$2,)</f>
        <v>0</v>
      </c>
      <c r="IJ18" s="4">
        <f>IFERROR(HH18/'McDonough &amp; Sun 1995 values'!S$2,)</f>
        <v>0</v>
      </c>
      <c r="IK18" s="4">
        <f>IFERROR(HI18/'McDonough &amp; Sun 1995 values'!T$2,)</f>
        <v>0</v>
      </c>
      <c r="IL18" s="4">
        <f>IFERROR(HJ18/'McDonough &amp; Sun 1995 values'!U$2,)</f>
        <v>0</v>
      </c>
      <c r="IM18" s="4">
        <f>IFERROR(HK18/'McDonough &amp; Sun 1995 values'!V$2,)</f>
        <v>0</v>
      </c>
      <c r="IN18" s="4">
        <f>IFERROR(HL18/'McDonough &amp; Sun 1995 values'!W$2,)</f>
        <v>0</v>
      </c>
      <c r="IO18" s="4">
        <f>IFERROR(HM18/'McDonough &amp; Sun 1995 values'!X$2,)</f>
        <v>0</v>
      </c>
      <c r="IP18" s="4">
        <f>IFERROR(HN18/'McDonough &amp; Sun 1995 values'!Y$2,)</f>
        <v>0</v>
      </c>
      <c r="IQ18" s="4">
        <f>IFERROR(HO18/'McDonough &amp; Sun 1995 values'!Z$2,)</f>
        <v>0</v>
      </c>
      <c r="IR18" s="4">
        <f>IFERROR(HP18/'McDonough &amp; Sun 1995 values'!AA$2,)</f>
        <v>0</v>
      </c>
      <c r="IS18" s="4">
        <f>IFERROR(HQ18/'McDonough &amp; Sun 1995 values'!AB$2,)</f>
        <v>0</v>
      </c>
      <c r="IT18" s="4">
        <f>IFERROR(HR18/'McDonough &amp; Sun 1995 values'!AC$2,)</f>
        <v>0</v>
      </c>
    </row>
    <row r="19" spans="1:254">
      <c r="A19" s="16" t="s">
        <v>842</v>
      </c>
      <c r="B19" s="16" t="s">
        <v>24</v>
      </c>
      <c r="C19" s="16" t="str">
        <f t="shared" si="0"/>
        <v>high-Mg carbonatitic</v>
      </c>
      <c r="D19" s="16" t="s">
        <v>1709</v>
      </c>
      <c r="E19" s="16" t="s">
        <v>237</v>
      </c>
      <c r="F19" s="16" t="s">
        <v>29</v>
      </c>
      <c r="G19" s="16" t="s">
        <v>595</v>
      </c>
      <c r="H19" s="27">
        <v>360</v>
      </c>
      <c r="I19" s="16" t="s">
        <v>712</v>
      </c>
      <c r="J19" s="16">
        <v>0</v>
      </c>
      <c r="K19" s="16" t="s">
        <v>913</v>
      </c>
      <c r="L19" s="16">
        <v>0</v>
      </c>
      <c r="M19" s="16" t="s">
        <v>56</v>
      </c>
      <c r="N19" s="16" t="s">
        <v>1084</v>
      </c>
      <c r="O19" s="26">
        <v>11.7</v>
      </c>
      <c r="P19" s="26">
        <v>0.9</v>
      </c>
      <c r="Q19" s="26">
        <v>0.2</v>
      </c>
      <c r="R19" s="26">
        <v>1.1000000000000001</v>
      </c>
      <c r="S19" s="26">
        <v>12.3</v>
      </c>
      <c r="T19" s="26">
        <v>42</v>
      </c>
      <c r="U19" s="26">
        <v>2.6</v>
      </c>
      <c r="V19" s="26">
        <v>19</v>
      </c>
      <c r="W19" s="26">
        <v>4.2</v>
      </c>
      <c r="X19" s="26">
        <v>2.4</v>
      </c>
      <c r="Y19" s="26"/>
      <c r="Z19" s="26">
        <v>2</v>
      </c>
      <c r="AA19" s="26"/>
      <c r="AB19" s="26"/>
      <c r="AC19" s="26"/>
      <c r="AD19" s="26">
        <v>0.9</v>
      </c>
      <c r="AE19" s="26"/>
      <c r="AF19" s="26">
        <v>0.8</v>
      </c>
      <c r="AG19" s="26"/>
      <c r="AH19" s="26"/>
      <c r="AI19" s="26"/>
      <c r="AJ19" s="26">
        <f t="shared" si="62"/>
        <v>96.500000000000014</v>
      </c>
      <c r="AK19" s="26">
        <f t="shared" si="63"/>
        <v>12.149924203033342</v>
      </c>
      <c r="AL19" s="26">
        <f t="shared" si="1"/>
        <v>0.93460955407948776</v>
      </c>
      <c r="AM19" s="26">
        <f t="shared" si="2"/>
        <v>1.1423005660971519</v>
      </c>
      <c r="AN19" s="26">
        <f t="shared" si="64"/>
        <v>12.772997239086333</v>
      </c>
      <c r="AO19" s="26">
        <f t="shared" si="65"/>
        <v>43.615112523709435</v>
      </c>
      <c r="AP19" s="26">
        <f t="shared" si="3"/>
        <v>19.730646141678076</v>
      </c>
      <c r="AQ19" s="26">
        <f t="shared" si="4"/>
        <v>0</v>
      </c>
      <c r="AR19" s="26">
        <f t="shared" si="5"/>
        <v>4.3615112523709438</v>
      </c>
      <c r="AS19" s="26">
        <f t="shared" si="66"/>
        <v>2.4922921442119672</v>
      </c>
      <c r="AT19" s="26">
        <f t="shared" si="6"/>
        <v>2.0769101201766391</v>
      </c>
      <c r="AU19" s="26">
        <f t="shared" si="67"/>
        <v>0.93460955407948776</v>
      </c>
      <c r="AV19" s="26">
        <f t="shared" si="7"/>
        <v>100.21091329852287</v>
      </c>
      <c r="BB19" s="26">
        <v>0.04</v>
      </c>
      <c r="BC19" s="26">
        <f t="shared" si="71"/>
        <v>4.0000000000000036E-2</v>
      </c>
      <c r="BD19" s="26">
        <f t="shared" si="72"/>
        <v>0.96</v>
      </c>
      <c r="BE19" s="16"/>
      <c r="BF19" s="16"/>
      <c r="BG19" s="16" t="s">
        <v>935</v>
      </c>
      <c r="BH19" s="16" t="s">
        <v>936</v>
      </c>
      <c r="BI19" s="16" t="s">
        <v>937</v>
      </c>
      <c r="BJ19" s="16"/>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28"/>
      <c r="DW19" s="28"/>
      <c r="DX19" s="28"/>
      <c r="DY19" s="28"/>
      <c r="DZ19" s="28"/>
      <c r="EA19" s="28"/>
      <c r="EB19" s="28"/>
      <c r="EC19" s="28"/>
      <c r="ED19" s="28"/>
      <c r="EE19" s="28"/>
      <c r="EF19" s="28"/>
      <c r="EG19" s="28"/>
      <c r="EH19" s="28"/>
      <c r="EI19" s="28"/>
      <c r="EJ19" s="18"/>
      <c r="EK19" s="18"/>
      <c r="EL19" s="18">
        <f>IFERROR(CR19/'McDonough &amp; Sun 1995 values'!C$2,)</f>
        <v>0</v>
      </c>
      <c r="EM19" s="18">
        <f>IFERROR(CH19/'McDonough &amp; Sun 1995 values'!D$2,)</f>
        <v>0</v>
      </c>
      <c r="EN19" s="18">
        <f>IFERROR(CS19/'McDonough &amp; Sun 1995 values'!E$2,)</f>
        <v>0</v>
      </c>
      <c r="EO19" s="18">
        <f>IFERROR(DL19/'McDonough &amp; Sun 1995 values'!F$2,)</f>
        <v>0</v>
      </c>
      <c r="EP19" s="18">
        <f>IFERROR(DM19/'McDonough &amp; Sun 1995 values'!G$2,)</f>
        <v>0</v>
      </c>
      <c r="EQ19" s="18">
        <f>IFERROR(BR19/'McDonough &amp; Sun 1995 values'!H$2,)</f>
        <v>0</v>
      </c>
      <c r="ER19" s="18">
        <f>IFERROR(DI19/'McDonough &amp; Sun 1995 values'!I$2,)</f>
        <v>0</v>
      </c>
      <c r="ES19" s="18">
        <f>IFERROR(CM19/'McDonough &amp; Sun 1995 values'!J$2,)</f>
        <v>0</v>
      </c>
      <c r="ET19" s="18">
        <f>IFERROR(CU19/'McDonough &amp; Sun 1995 values'!K$2,)</f>
        <v>0</v>
      </c>
      <c r="EU19" s="18">
        <f>IFERROR(CV19/'McDonough &amp; Sun 1995 values'!L$2,)</f>
        <v>0</v>
      </c>
      <c r="EV19" s="18">
        <f>IFERROR(CW19/'McDonough &amp; Sun 1995 values'!M$2,)</f>
        <v>0</v>
      </c>
      <c r="EW19" s="18">
        <f>IFERROR(CI19/'McDonough &amp; Sun 1995 values'!N$2,)</f>
        <v>0</v>
      </c>
      <c r="EX19" s="18">
        <f>IFERROR(CX19/'McDonough &amp; Sun 1995 values'!O$2,)</f>
        <v>0</v>
      </c>
      <c r="EY19" s="18">
        <f>IFERROR(CY19/'McDonough &amp; Sun 1995 values'!P$2,)</f>
        <v>0</v>
      </c>
      <c r="EZ19" s="18">
        <f>IFERROR(DH19/'McDonough &amp; Sun 1995 values'!Q$2,)</f>
        <v>0</v>
      </c>
      <c r="FA19" s="18">
        <f>IFERROR(CK19/'McDonough &amp; Sun 1995 values'!R$2,)</f>
        <v>0</v>
      </c>
      <c r="FB19" s="18">
        <f>IFERROR(CZ19/'McDonough &amp; Sun 1995 values'!S$2,)</f>
        <v>0</v>
      </c>
      <c r="FC19" s="18">
        <f>IFERROR(BT19/'McDonough &amp; Sun 1995 values'!T$2,)</f>
        <v>0</v>
      </c>
      <c r="FD19" s="18">
        <f>IFERROR(DA19/'McDonough &amp; Sun 1995 values'!U$2,)</f>
        <v>0</v>
      </c>
      <c r="FE19" s="18">
        <f>IFERROR(DN19/'McDonough &amp; Sun 1995 values'!V$2,)</f>
        <v>0</v>
      </c>
      <c r="FF19" s="18">
        <f>IFERROR(DB19/'McDonough &amp; Sun 1995 values'!W$2,)</f>
        <v>0</v>
      </c>
      <c r="FG19" s="18">
        <f>IFERROR(CJ19/'McDonough &amp; Sun 1995 values'!X$2,)</f>
        <v>0</v>
      </c>
      <c r="FH19" s="18">
        <f>IFERROR(DC19/'McDonough &amp; Sun 1995 values'!Y$2,)</f>
        <v>0</v>
      </c>
      <c r="FI19" s="18">
        <f>IFERROR(DD19/'McDonough &amp; Sun 1995 values'!Z$2,)</f>
        <v>0</v>
      </c>
      <c r="FJ19" s="18">
        <f>IFERROR(DE19/'McDonough &amp; Sun 1995 values'!AA$2,)</f>
        <v>0</v>
      </c>
      <c r="FK19" s="18">
        <f>IFERROR(DF19/'McDonough &amp; Sun 1995 values'!AB$2,)</f>
        <v>0</v>
      </c>
      <c r="FL19" s="18">
        <f>IFERROR(DG19/'McDonough &amp; Sun 1995 values'!AC$2,)</f>
        <v>0</v>
      </c>
      <c r="FN19" s="28">
        <f t="shared" si="68"/>
        <v>0</v>
      </c>
      <c r="FO19" s="4">
        <f t="shared" si="8"/>
        <v>0</v>
      </c>
      <c r="FP19" s="4">
        <f t="shared" si="9"/>
        <v>0</v>
      </c>
      <c r="FQ19" s="4">
        <f t="shared" si="10"/>
        <v>0</v>
      </c>
      <c r="FR19" s="4">
        <f t="shared" si="11"/>
        <v>0</v>
      </c>
      <c r="FS19" s="4">
        <f t="shared" si="12"/>
        <v>0</v>
      </c>
      <c r="FT19" s="4">
        <f t="shared" si="13"/>
        <v>0</v>
      </c>
      <c r="FU19" s="4">
        <f t="shared" si="14"/>
        <v>0</v>
      </c>
      <c r="FV19" s="4">
        <f t="shared" si="15"/>
        <v>0</v>
      </c>
      <c r="FW19" s="4">
        <f t="shared" si="16"/>
        <v>0</v>
      </c>
      <c r="FX19" s="4">
        <f t="shared" si="17"/>
        <v>0</v>
      </c>
      <c r="FY19" s="4">
        <f t="shared" si="18"/>
        <v>0</v>
      </c>
      <c r="FZ19" s="4">
        <f t="shared" si="19"/>
        <v>0</v>
      </c>
      <c r="GA19" s="4">
        <f t="shared" si="20"/>
        <v>0</v>
      </c>
      <c r="GB19" s="4">
        <f t="shared" si="21"/>
        <v>0</v>
      </c>
      <c r="GC19" s="4">
        <f t="shared" si="22"/>
        <v>0</v>
      </c>
      <c r="GD19" s="4">
        <f t="shared" si="23"/>
        <v>0</v>
      </c>
      <c r="GE19" s="4">
        <f t="shared" si="24"/>
        <v>0</v>
      </c>
      <c r="GF19" s="4">
        <f t="shared" si="25"/>
        <v>0</v>
      </c>
      <c r="GG19" s="4">
        <f t="shared" si="26"/>
        <v>0</v>
      </c>
      <c r="GH19" s="4">
        <f t="shared" si="27"/>
        <v>0</v>
      </c>
      <c r="GI19" s="4">
        <f t="shared" si="28"/>
        <v>0</v>
      </c>
      <c r="GJ19" s="4">
        <f t="shared" si="29"/>
        <v>0</v>
      </c>
      <c r="GK19" s="4">
        <f t="shared" si="30"/>
        <v>0</v>
      </c>
      <c r="GL19" s="4">
        <f t="shared" si="31"/>
        <v>0</v>
      </c>
      <c r="GM19" s="4">
        <f t="shared" si="32"/>
        <v>0</v>
      </c>
      <c r="GN19" s="4">
        <f t="shared" si="33"/>
        <v>0</v>
      </c>
      <c r="GO19" s="4">
        <f t="shared" si="34"/>
        <v>0</v>
      </c>
      <c r="GP19" s="4">
        <f t="shared" si="35"/>
        <v>0</v>
      </c>
      <c r="GQ19" s="27">
        <f t="shared" si="70"/>
        <v>20689.446831465255</v>
      </c>
      <c r="GR19" s="28" t="str">
        <f t="shared" si="69"/>
        <v/>
      </c>
      <c r="GS19" s="28" t="str">
        <f t="shared" si="36"/>
        <v/>
      </c>
      <c r="GT19" s="28" t="str">
        <f t="shared" si="37"/>
        <v/>
      </c>
      <c r="GU19" s="28" t="str">
        <f t="shared" si="38"/>
        <v/>
      </c>
      <c r="GV19" s="28" t="str">
        <f t="shared" si="39"/>
        <v/>
      </c>
      <c r="GW19" s="28" t="str">
        <f t="shared" si="40"/>
        <v/>
      </c>
      <c r="GX19" s="28" t="str">
        <f t="shared" si="41"/>
        <v/>
      </c>
      <c r="GY19" s="28" t="str">
        <f t="shared" si="42"/>
        <v/>
      </c>
      <c r="GZ19" s="28" t="str">
        <f t="shared" si="43"/>
        <v/>
      </c>
      <c r="HA19" s="28" t="str">
        <f t="shared" si="44"/>
        <v/>
      </c>
      <c r="HB19" s="28" t="str">
        <f t="shared" si="45"/>
        <v/>
      </c>
      <c r="HC19" s="28" t="str">
        <f t="shared" si="46"/>
        <v/>
      </c>
      <c r="HD19" s="28" t="str">
        <f t="shared" si="47"/>
        <v/>
      </c>
      <c r="HE19" s="28" t="str">
        <f t="shared" si="48"/>
        <v/>
      </c>
      <c r="HF19" s="28" t="str">
        <f t="shared" si="49"/>
        <v/>
      </c>
      <c r="HG19" s="28" t="str">
        <f t="shared" si="50"/>
        <v/>
      </c>
      <c r="HH19" s="28" t="str">
        <f t="shared" si="51"/>
        <v/>
      </c>
      <c r="HI19" s="28" t="str">
        <f t="shared" si="52"/>
        <v/>
      </c>
      <c r="HJ19" s="28" t="str">
        <f t="shared" si="53"/>
        <v/>
      </c>
      <c r="HK19" s="28" t="str">
        <f t="shared" si="54"/>
        <v/>
      </c>
      <c r="HL19" s="28" t="str">
        <f t="shared" si="55"/>
        <v/>
      </c>
      <c r="HM19" s="28" t="str">
        <f t="shared" si="56"/>
        <v/>
      </c>
      <c r="HN19" s="28" t="str">
        <f t="shared" si="57"/>
        <v/>
      </c>
      <c r="HO19" s="28" t="str">
        <f t="shared" si="58"/>
        <v/>
      </c>
      <c r="HP19" s="28" t="str">
        <f t="shared" si="59"/>
        <v/>
      </c>
      <c r="HQ19" s="28" t="str">
        <f t="shared" si="60"/>
        <v/>
      </c>
      <c r="HR19" s="28" t="str">
        <f t="shared" si="61"/>
        <v/>
      </c>
      <c r="HT19" s="4">
        <f>IFERROR(GR19/'McDonough &amp; Sun 1995 values'!C$2,)</f>
        <v>0</v>
      </c>
      <c r="HU19" s="4">
        <f>IFERROR(GS19/'McDonough &amp; Sun 1995 values'!D$2,)</f>
        <v>0</v>
      </c>
      <c r="HV19" s="4">
        <f>IFERROR(GT19/'McDonough &amp; Sun 1995 values'!E$2,)</f>
        <v>0</v>
      </c>
      <c r="HW19" s="4">
        <f>IFERROR(GU19/'McDonough &amp; Sun 1995 values'!F$2,)</f>
        <v>0</v>
      </c>
      <c r="HX19" s="4">
        <f>IFERROR(GV19/'McDonough &amp; Sun 1995 values'!G$2,)</f>
        <v>0</v>
      </c>
      <c r="HY19" s="4">
        <f>IFERROR(GW19/'McDonough &amp; Sun 1995 values'!H$2,)</f>
        <v>0</v>
      </c>
      <c r="HZ19" s="4">
        <f>IFERROR(GX19/'McDonough &amp; Sun 1995 values'!I$2,)</f>
        <v>0</v>
      </c>
      <c r="IA19" s="4">
        <f>IFERROR(GY19/'McDonough &amp; Sun 1995 values'!J$2,)</f>
        <v>0</v>
      </c>
      <c r="IB19" s="4">
        <f>IFERROR(GZ19/'McDonough &amp; Sun 1995 values'!K$2,)</f>
        <v>0</v>
      </c>
      <c r="IC19" s="4">
        <f>IFERROR(HA19/'McDonough &amp; Sun 1995 values'!L$2,)</f>
        <v>0</v>
      </c>
      <c r="ID19" s="4">
        <f>IFERROR(HB19/'McDonough &amp; Sun 1995 values'!M$2,)</f>
        <v>0</v>
      </c>
      <c r="IE19" s="4">
        <f>IFERROR(HC19/'McDonough &amp; Sun 1995 values'!N$2,)</f>
        <v>0</v>
      </c>
      <c r="IF19" s="4">
        <f>IFERROR(HD19/'McDonough &amp; Sun 1995 values'!O$2,)</f>
        <v>0</v>
      </c>
      <c r="IG19" s="4">
        <f>IFERROR(HE19/'McDonough &amp; Sun 1995 values'!P$2,)</f>
        <v>0</v>
      </c>
      <c r="IH19" s="4">
        <f>IFERROR(HF19/'McDonough &amp; Sun 1995 values'!Q$2,)</f>
        <v>0</v>
      </c>
      <c r="II19" s="4">
        <f>IFERROR(HG19/'McDonough &amp; Sun 1995 values'!R$2,)</f>
        <v>0</v>
      </c>
      <c r="IJ19" s="4">
        <f>IFERROR(HH19/'McDonough &amp; Sun 1995 values'!S$2,)</f>
        <v>0</v>
      </c>
      <c r="IK19" s="4">
        <f>IFERROR(HI19/'McDonough &amp; Sun 1995 values'!T$2,)</f>
        <v>0</v>
      </c>
      <c r="IL19" s="4">
        <f>IFERROR(HJ19/'McDonough &amp; Sun 1995 values'!U$2,)</f>
        <v>0</v>
      </c>
      <c r="IM19" s="4">
        <f>IFERROR(HK19/'McDonough &amp; Sun 1995 values'!V$2,)</f>
        <v>0</v>
      </c>
      <c r="IN19" s="4">
        <f>IFERROR(HL19/'McDonough &amp; Sun 1995 values'!W$2,)</f>
        <v>0</v>
      </c>
      <c r="IO19" s="4">
        <f>IFERROR(HM19/'McDonough &amp; Sun 1995 values'!X$2,)</f>
        <v>0</v>
      </c>
      <c r="IP19" s="4">
        <f>IFERROR(HN19/'McDonough &amp; Sun 1995 values'!Y$2,)</f>
        <v>0</v>
      </c>
      <c r="IQ19" s="4">
        <f>IFERROR(HO19/'McDonough &amp; Sun 1995 values'!Z$2,)</f>
        <v>0</v>
      </c>
      <c r="IR19" s="4">
        <f>IFERROR(HP19/'McDonough &amp; Sun 1995 values'!AA$2,)</f>
        <v>0</v>
      </c>
      <c r="IS19" s="4">
        <f>IFERROR(HQ19/'McDonough &amp; Sun 1995 values'!AB$2,)</f>
        <v>0</v>
      </c>
      <c r="IT19" s="4">
        <f>IFERROR(HR19/'McDonough &amp; Sun 1995 values'!AC$2,)</f>
        <v>0</v>
      </c>
    </row>
    <row r="20" spans="1:254">
      <c r="A20" s="16" t="s">
        <v>842</v>
      </c>
      <c r="B20" s="16" t="s">
        <v>24</v>
      </c>
      <c r="C20" s="16" t="str">
        <f t="shared" si="0"/>
        <v>high-Mg carbonatitic</v>
      </c>
      <c r="D20" s="16" t="s">
        <v>1709</v>
      </c>
      <c r="E20" s="16" t="s">
        <v>237</v>
      </c>
      <c r="F20" s="16" t="s">
        <v>29</v>
      </c>
      <c r="G20" s="16" t="s">
        <v>595</v>
      </c>
      <c r="H20" s="27">
        <v>360</v>
      </c>
      <c r="I20" s="16" t="s">
        <v>712</v>
      </c>
      <c r="J20" s="16">
        <v>0</v>
      </c>
      <c r="K20" s="16" t="s">
        <v>913</v>
      </c>
      <c r="L20" s="16">
        <v>0</v>
      </c>
      <c r="M20" s="16" t="s">
        <v>64</v>
      </c>
      <c r="N20" s="16" t="s">
        <v>1084</v>
      </c>
      <c r="O20" s="26">
        <v>12.6</v>
      </c>
      <c r="P20" s="26">
        <v>0.1</v>
      </c>
      <c r="Q20" s="26"/>
      <c r="R20" s="26">
        <v>1</v>
      </c>
      <c r="S20" s="26">
        <v>10.5</v>
      </c>
      <c r="T20" s="26">
        <v>37.6</v>
      </c>
      <c r="U20" s="26">
        <v>4.5</v>
      </c>
      <c r="V20" s="26">
        <v>27.4</v>
      </c>
      <c r="W20" s="26"/>
      <c r="X20" s="26">
        <v>4.2</v>
      </c>
      <c r="Y20" s="26"/>
      <c r="Z20" s="26">
        <v>1.2</v>
      </c>
      <c r="AA20" s="26"/>
      <c r="AB20" s="26"/>
      <c r="AC20" s="26"/>
      <c r="AD20" s="26">
        <v>0.9</v>
      </c>
      <c r="AE20" s="26"/>
      <c r="AF20" s="26"/>
      <c r="AG20" s="26"/>
      <c r="AH20" s="26"/>
      <c r="AI20" s="26"/>
      <c r="AJ20" s="26">
        <f t="shared" si="62"/>
        <v>95.5</v>
      </c>
      <c r="AK20" s="26">
        <f t="shared" si="63"/>
        <v>13.221836588199597</v>
      </c>
      <c r="AL20" s="26">
        <f t="shared" si="1"/>
        <v>0.10493521101745715</v>
      </c>
      <c r="AM20" s="26">
        <f t="shared" si="2"/>
        <v>1.0493521101745713</v>
      </c>
      <c r="AN20" s="26">
        <f t="shared" si="64"/>
        <v>11.018197156832999</v>
      </c>
      <c r="AO20" s="26">
        <f t="shared" si="65"/>
        <v>39.455639342563877</v>
      </c>
      <c r="AP20" s="26">
        <f t="shared" si="3"/>
        <v>28.75224781878325</v>
      </c>
      <c r="AQ20" s="26">
        <f t="shared" si="4"/>
        <v>0</v>
      </c>
      <c r="AR20" s="26">
        <f t="shared" si="5"/>
        <v>0</v>
      </c>
      <c r="AS20" s="26">
        <f t="shared" si="66"/>
        <v>4.4072788627331994</v>
      </c>
      <c r="AT20" s="26">
        <f t="shared" si="6"/>
        <v>1.2592225322094854</v>
      </c>
      <c r="AU20" s="26">
        <f t="shared" si="67"/>
        <v>0.94441689915711424</v>
      </c>
      <c r="AV20" s="26">
        <f t="shared" si="7"/>
        <v>100.21312652167155</v>
      </c>
      <c r="BB20" s="26">
        <v>0.03</v>
      </c>
      <c r="BC20" s="26">
        <f t="shared" si="71"/>
        <v>3.0000000000000027E-2</v>
      </c>
      <c r="BD20" s="26">
        <f t="shared" si="72"/>
        <v>0.97</v>
      </c>
      <c r="BE20" s="16"/>
      <c r="BF20" s="16"/>
      <c r="BG20" s="16" t="s">
        <v>950</v>
      </c>
      <c r="BH20" s="16" t="s">
        <v>951</v>
      </c>
      <c r="BI20" s="16" t="s">
        <v>952</v>
      </c>
      <c r="BJ20" s="16"/>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28"/>
      <c r="DW20" s="28"/>
      <c r="DX20" s="28"/>
      <c r="DY20" s="28"/>
      <c r="DZ20" s="28"/>
      <c r="EA20" s="28"/>
      <c r="EB20" s="28"/>
      <c r="EC20" s="28"/>
      <c r="ED20" s="28"/>
      <c r="EE20" s="28"/>
      <c r="EF20" s="28"/>
      <c r="EG20" s="28"/>
      <c r="EH20" s="28"/>
      <c r="EI20" s="28"/>
      <c r="EJ20" s="18"/>
      <c r="EK20" s="18"/>
      <c r="EL20" s="18">
        <f>IFERROR(CR20/'McDonough &amp; Sun 1995 values'!C$2,)</f>
        <v>0</v>
      </c>
      <c r="EM20" s="18">
        <f>IFERROR(CH20/'McDonough &amp; Sun 1995 values'!D$2,)</f>
        <v>0</v>
      </c>
      <c r="EN20" s="18">
        <f>IFERROR(CS20/'McDonough &amp; Sun 1995 values'!E$2,)</f>
        <v>0</v>
      </c>
      <c r="EO20" s="18">
        <f>IFERROR(DL20/'McDonough &amp; Sun 1995 values'!F$2,)</f>
        <v>0</v>
      </c>
      <c r="EP20" s="18">
        <f>IFERROR(DM20/'McDonough &amp; Sun 1995 values'!G$2,)</f>
        <v>0</v>
      </c>
      <c r="EQ20" s="18">
        <f>IFERROR(BR20/'McDonough &amp; Sun 1995 values'!H$2,)</f>
        <v>0</v>
      </c>
      <c r="ER20" s="18">
        <f>IFERROR(DI20/'McDonough &amp; Sun 1995 values'!I$2,)</f>
        <v>0</v>
      </c>
      <c r="ES20" s="18">
        <f>IFERROR(CM20/'McDonough &amp; Sun 1995 values'!J$2,)</f>
        <v>0</v>
      </c>
      <c r="ET20" s="18">
        <f>IFERROR(CU20/'McDonough &amp; Sun 1995 values'!K$2,)</f>
        <v>0</v>
      </c>
      <c r="EU20" s="18">
        <f>IFERROR(CV20/'McDonough &amp; Sun 1995 values'!L$2,)</f>
        <v>0</v>
      </c>
      <c r="EV20" s="18">
        <f>IFERROR(CW20/'McDonough &amp; Sun 1995 values'!M$2,)</f>
        <v>0</v>
      </c>
      <c r="EW20" s="18">
        <f>IFERROR(CI20/'McDonough &amp; Sun 1995 values'!N$2,)</f>
        <v>0</v>
      </c>
      <c r="EX20" s="18">
        <f>IFERROR(CX20/'McDonough &amp; Sun 1995 values'!O$2,)</f>
        <v>0</v>
      </c>
      <c r="EY20" s="18">
        <f>IFERROR(CY20/'McDonough &amp; Sun 1995 values'!P$2,)</f>
        <v>0</v>
      </c>
      <c r="EZ20" s="18">
        <f>IFERROR(DH20/'McDonough &amp; Sun 1995 values'!Q$2,)</f>
        <v>0</v>
      </c>
      <c r="FA20" s="18">
        <f>IFERROR(CK20/'McDonough &amp; Sun 1995 values'!R$2,)</f>
        <v>0</v>
      </c>
      <c r="FB20" s="18">
        <f>IFERROR(CZ20/'McDonough &amp; Sun 1995 values'!S$2,)</f>
        <v>0</v>
      </c>
      <c r="FC20" s="18">
        <f>IFERROR(BT20/'McDonough &amp; Sun 1995 values'!T$2,)</f>
        <v>0</v>
      </c>
      <c r="FD20" s="18">
        <f>IFERROR(DA20/'McDonough &amp; Sun 1995 values'!U$2,)</f>
        <v>0</v>
      </c>
      <c r="FE20" s="18">
        <f>IFERROR(DN20/'McDonough &amp; Sun 1995 values'!V$2,)</f>
        <v>0</v>
      </c>
      <c r="FF20" s="18">
        <f>IFERROR(DB20/'McDonough &amp; Sun 1995 values'!W$2,)</f>
        <v>0</v>
      </c>
      <c r="FG20" s="18">
        <f>IFERROR(CJ20/'McDonough &amp; Sun 1995 values'!X$2,)</f>
        <v>0</v>
      </c>
      <c r="FH20" s="18">
        <f>IFERROR(DC20/'McDonough &amp; Sun 1995 values'!Y$2,)</f>
        <v>0</v>
      </c>
      <c r="FI20" s="18">
        <f>IFERROR(DD20/'McDonough &amp; Sun 1995 values'!Z$2,)</f>
        <v>0</v>
      </c>
      <c r="FJ20" s="18">
        <f>IFERROR(DE20/'McDonough &amp; Sun 1995 values'!AA$2,)</f>
        <v>0</v>
      </c>
      <c r="FK20" s="18">
        <f>IFERROR(DF20/'McDonough &amp; Sun 1995 values'!AB$2,)</f>
        <v>0</v>
      </c>
      <c r="FL20" s="18">
        <f>IFERROR(DG20/'McDonough &amp; Sun 1995 values'!AC$2,)</f>
        <v>0</v>
      </c>
      <c r="FN20" s="28">
        <f t="shared" si="68"/>
        <v>0</v>
      </c>
      <c r="FO20" s="4">
        <f t="shared" si="8"/>
        <v>0</v>
      </c>
      <c r="FP20" s="4">
        <f t="shared" si="9"/>
        <v>0</v>
      </c>
      <c r="FQ20" s="4">
        <f t="shared" si="10"/>
        <v>0</v>
      </c>
      <c r="FR20" s="4">
        <f t="shared" si="11"/>
        <v>0</v>
      </c>
      <c r="FS20" s="4">
        <f t="shared" si="12"/>
        <v>0</v>
      </c>
      <c r="FT20" s="4">
        <f t="shared" si="13"/>
        <v>0</v>
      </c>
      <c r="FU20" s="4">
        <f t="shared" si="14"/>
        <v>0</v>
      </c>
      <c r="FV20" s="4">
        <f t="shared" si="15"/>
        <v>0</v>
      </c>
      <c r="FW20" s="4">
        <f t="shared" si="16"/>
        <v>0</v>
      </c>
      <c r="FX20" s="4">
        <f t="shared" si="17"/>
        <v>0</v>
      </c>
      <c r="FY20" s="4">
        <f t="shared" si="18"/>
        <v>0</v>
      </c>
      <c r="FZ20" s="4">
        <f t="shared" si="19"/>
        <v>0</v>
      </c>
      <c r="GA20" s="4">
        <f t="shared" si="20"/>
        <v>0</v>
      </c>
      <c r="GB20" s="4">
        <f t="shared" si="21"/>
        <v>0</v>
      </c>
      <c r="GC20" s="4">
        <f t="shared" si="22"/>
        <v>0</v>
      </c>
      <c r="GD20" s="4">
        <f t="shared" si="23"/>
        <v>0</v>
      </c>
      <c r="GE20" s="4">
        <f t="shared" si="24"/>
        <v>0</v>
      </c>
      <c r="GF20" s="4">
        <f t="shared" si="25"/>
        <v>0</v>
      </c>
      <c r="GG20" s="4">
        <f t="shared" si="26"/>
        <v>0</v>
      </c>
      <c r="GH20" s="4">
        <f t="shared" si="27"/>
        <v>0</v>
      </c>
      <c r="GI20" s="4">
        <f t="shared" si="28"/>
        <v>0</v>
      </c>
      <c r="GJ20" s="4">
        <f t="shared" si="29"/>
        <v>0</v>
      </c>
      <c r="GK20" s="4">
        <f t="shared" si="30"/>
        <v>0</v>
      </c>
      <c r="GL20" s="4">
        <f t="shared" si="31"/>
        <v>0</v>
      </c>
      <c r="GM20" s="4">
        <f t="shared" si="32"/>
        <v>0</v>
      </c>
      <c r="GN20" s="4">
        <f t="shared" si="33"/>
        <v>0</v>
      </c>
      <c r="GO20" s="4">
        <f t="shared" si="34"/>
        <v>0</v>
      </c>
      <c r="GP20" s="4">
        <f t="shared" si="35"/>
        <v>0</v>
      </c>
      <c r="GQ20" s="27">
        <f t="shared" si="70"/>
        <v>36586.4659621557</v>
      </c>
      <c r="GR20" s="28" t="str">
        <f t="shared" si="69"/>
        <v/>
      </c>
      <c r="GS20" s="28" t="str">
        <f t="shared" si="36"/>
        <v/>
      </c>
      <c r="GT20" s="28" t="str">
        <f t="shared" si="37"/>
        <v/>
      </c>
      <c r="GU20" s="28" t="str">
        <f t="shared" si="38"/>
        <v/>
      </c>
      <c r="GV20" s="28" t="str">
        <f t="shared" si="39"/>
        <v/>
      </c>
      <c r="GW20" s="28" t="str">
        <f t="shared" si="40"/>
        <v/>
      </c>
      <c r="GX20" s="28" t="str">
        <f t="shared" si="41"/>
        <v/>
      </c>
      <c r="GY20" s="28" t="str">
        <f t="shared" si="42"/>
        <v/>
      </c>
      <c r="GZ20" s="28" t="str">
        <f t="shared" si="43"/>
        <v/>
      </c>
      <c r="HA20" s="28" t="str">
        <f t="shared" si="44"/>
        <v/>
      </c>
      <c r="HB20" s="28" t="str">
        <f t="shared" si="45"/>
        <v/>
      </c>
      <c r="HC20" s="28" t="str">
        <f t="shared" si="46"/>
        <v/>
      </c>
      <c r="HD20" s="28" t="str">
        <f t="shared" si="47"/>
        <v/>
      </c>
      <c r="HE20" s="28" t="str">
        <f t="shared" si="48"/>
        <v/>
      </c>
      <c r="HF20" s="28" t="str">
        <f t="shared" si="49"/>
        <v/>
      </c>
      <c r="HG20" s="28" t="str">
        <f t="shared" si="50"/>
        <v/>
      </c>
      <c r="HH20" s="28" t="str">
        <f t="shared" si="51"/>
        <v/>
      </c>
      <c r="HI20" s="28" t="str">
        <f t="shared" si="52"/>
        <v/>
      </c>
      <c r="HJ20" s="28" t="str">
        <f t="shared" si="53"/>
        <v/>
      </c>
      <c r="HK20" s="28" t="str">
        <f t="shared" si="54"/>
        <v/>
      </c>
      <c r="HL20" s="28" t="str">
        <f t="shared" si="55"/>
        <v/>
      </c>
      <c r="HM20" s="28" t="str">
        <f t="shared" si="56"/>
        <v/>
      </c>
      <c r="HN20" s="28" t="str">
        <f t="shared" si="57"/>
        <v/>
      </c>
      <c r="HO20" s="28" t="str">
        <f t="shared" si="58"/>
        <v/>
      </c>
      <c r="HP20" s="28" t="str">
        <f t="shared" si="59"/>
        <v/>
      </c>
      <c r="HQ20" s="28" t="str">
        <f t="shared" si="60"/>
        <v/>
      </c>
      <c r="HR20" s="28" t="str">
        <f t="shared" si="61"/>
        <v/>
      </c>
      <c r="HT20" s="4">
        <f>IFERROR(GR20/'McDonough &amp; Sun 1995 values'!C$2,)</f>
        <v>0</v>
      </c>
      <c r="HU20" s="4">
        <f>IFERROR(GS20/'McDonough &amp; Sun 1995 values'!D$2,)</f>
        <v>0</v>
      </c>
      <c r="HV20" s="4">
        <f>IFERROR(GT20/'McDonough &amp; Sun 1995 values'!E$2,)</f>
        <v>0</v>
      </c>
      <c r="HW20" s="4">
        <f>IFERROR(GU20/'McDonough &amp; Sun 1995 values'!F$2,)</f>
        <v>0</v>
      </c>
      <c r="HX20" s="4">
        <f>IFERROR(GV20/'McDonough &amp; Sun 1995 values'!G$2,)</f>
        <v>0</v>
      </c>
      <c r="HY20" s="4">
        <f>IFERROR(GW20/'McDonough &amp; Sun 1995 values'!H$2,)</f>
        <v>0</v>
      </c>
      <c r="HZ20" s="4">
        <f>IFERROR(GX20/'McDonough &amp; Sun 1995 values'!I$2,)</f>
        <v>0</v>
      </c>
      <c r="IA20" s="4">
        <f>IFERROR(GY20/'McDonough &amp; Sun 1995 values'!J$2,)</f>
        <v>0</v>
      </c>
      <c r="IB20" s="4">
        <f>IFERROR(GZ20/'McDonough &amp; Sun 1995 values'!K$2,)</f>
        <v>0</v>
      </c>
      <c r="IC20" s="4">
        <f>IFERROR(HA20/'McDonough &amp; Sun 1995 values'!L$2,)</f>
        <v>0</v>
      </c>
      <c r="ID20" s="4">
        <f>IFERROR(HB20/'McDonough &amp; Sun 1995 values'!M$2,)</f>
        <v>0</v>
      </c>
      <c r="IE20" s="4">
        <f>IFERROR(HC20/'McDonough &amp; Sun 1995 values'!N$2,)</f>
        <v>0</v>
      </c>
      <c r="IF20" s="4">
        <f>IFERROR(HD20/'McDonough &amp; Sun 1995 values'!O$2,)</f>
        <v>0</v>
      </c>
      <c r="IG20" s="4">
        <f>IFERROR(HE20/'McDonough &amp; Sun 1995 values'!P$2,)</f>
        <v>0</v>
      </c>
      <c r="IH20" s="4">
        <f>IFERROR(HF20/'McDonough &amp; Sun 1995 values'!Q$2,)</f>
        <v>0</v>
      </c>
      <c r="II20" s="4">
        <f>IFERROR(HG20/'McDonough &amp; Sun 1995 values'!R$2,)</f>
        <v>0</v>
      </c>
      <c r="IJ20" s="4">
        <f>IFERROR(HH20/'McDonough &amp; Sun 1995 values'!S$2,)</f>
        <v>0</v>
      </c>
      <c r="IK20" s="4">
        <f>IFERROR(HI20/'McDonough &amp; Sun 1995 values'!T$2,)</f>
        <v>0</v>
      </c>
      <c r="IL20" s="4">
        <f>IFERROR(HJ20/'McDonough &amp; Sun 1995 values'!U$2,)</f>
        <v>0</v>
      </c>
      <c r="IM20" s="4">
        <f>IFERROR(HK20/'McDonough &amp; Sun 1995 values'!V$2,)</f>
        <v>0</v>
      </c>
      <c r="IN20" s="4">
        <f>IFERROR(HL20/'McDonough &amp; Sun 1995 values'!W$2,)</f>
        <v>0</v>
      </c>
      <c r="IO20" s="4">
        <f>IFERROR(HM20/'McDonough &amp; Sun 1995 values'!X$2,)</f>
        <v>0</v>
      </c>
      <c r="IP20" s="4">
        <f>IFERROR(HN20/'McDonough &amp; Sun 1995 values'!Y$2,)</f>
        <v>0</v>
      </c>
      <c r="IQ20" s="4">
        <f>IFERROR(HO20/'McDonough &amp; Sun 1995 values'!Z$2,)</f>
        <v>0</v>
      </c>
      <c r="IR20" s="4">
        <f>IFERROR(HP20/'McDonough &amp; Sun 1995 values'!AA$2,)</f>
        <v>0</v>
      </c>
      <c r="IS20" s="4">
        <f>IFERROR(HQ20/'McDonough &amp; Sun 1995 values'!AB$2,)</f>
        <v>0</v>
      </c>
      <c r="IT20" s="4">
        <f>IFERROR(HR20/'McDonough &amp; Sun 1995 values'!AC$2,)</f>
        <v>0</v>
      </c>
    </row>
    <row r="21" spans="1:254">
      <c r="A21" s="16" t="s">
        <v>842</v>
      </c>
      <c r="B21" s="16" t="s">
        <v>24</v>
      </c>
      <c r="C21" s="16" t="str">
        <f t="shared" si="0"/>
        <v>high-Mg carbonatitic</v>
      </c>
      <c r="D21" s="16" t="s">
        <v>1709</v>
      </c>
      <c r="E21" s="16" t="s">
        <v>237</v>
      </c>
      <c r="F21" s="16" t="s">
        <v>29</v>
      </c>
      <c r="G21" s="16" t="s">
        <v>595</v>
      </c>
      <c r="H21" s="27">
        <v>360</v>
      </c>
      <c r="I21" s="16" t="s">
        <v>712</v>
      </c>
      <c r="J21" s="16">
        <v>0</v>
      </c>
      <c r="K21" s="16" t="s">
        <v>913</v>
      </c>
      <c r="L21" s="16">
        <v>0</v>
      </c>
      <c r="M21" s="16" t="s">
        <v>65</v>
      </c>
      <c r="N21" s="16" t="s">
        <v>1084</v>
      </c>
      <c r="O21" s="26">
        <v>11.9</v>
      </c>
      <c r="P21" s="26"/>
      <c r="Q21" s="26">
        <v>0.1</v>
      </c>
      <c r="R21" s="26">
        <v>0.7</v>
      </c>
      <c r="S21" s="26">
        <v>16</v>
      </c>
      <c r="T21" s="26">
        <v>37</v>
      </c>
      <c r="U21" s="26">
        <v>7.8</v>
      </c>
      <c r="V21" s="26">
        <v>14.2</v>
      </c>
      <c r="W21" s="26">
        <v>3.9</v>
      </c>
      <c r="X21" s="26">
        <v>7.3</v>
      </c>
      <c r="Y21" s="26"/>
      <c r="Z21" s="26">
        <v>0.6</v>
      </c>
      <c r="AA21" s="26"/>
      <c r="AB21" s="26"/>
      <c r="AC21" s="26"/>
      <c r="AD21" s="26">
        <v>0.5</v>
      </c>
      <c r="AE21" s="26"/>
      <c r="AF21" s="26"/>
      <c r="AG21" s="26"/>
      <c r="AH21" s="26"/>
      <c r="AI21" s="26"/>
      <c r="AJ21" s="26">
        <f t="shared" si="62"/>
        <v>92.1</v>
      </c>
      <c r="AK21" s="26">
        <f t="shared" si="63"/>
        <v>12.936587400278141</v>
      </c>
      <c r="AL21" s="26">
        <f t="shared" si="1"/>
        <v>0</v>
      </c>
      <c r="AM21" s="26">
        <f t="shared" si="2"/>
        <v>0.76097572942812586</v>
      </c>
      <c r="AN21" s="26">
        <f t="shared" si="64"/>
        <v>17.393730958357164</v>
      </c>
      <c r="AO21" s="26">
        <f t="shared" si="65"/>
        <v>40.223002841200937</v>
      </c>
      <c r="AP21" s="26">
        <f t="shared" si="3"/>
        <v>15.436936225541981</v>
      </c>
      <c r="AQ21" s="26">
        <f t="shared" si="4"/>
        <v>0</v>
      </c>
      <c r="AR21" s="26">
        <f t="shared" si="5"/>
        <v>4.2397219210995587</v>
      </c>
      <c r="AS21" s="26">
        <f t="shared" si="66"/>
        <v>7.9358897497504559</v>
      </c>
      <c r="AT21" s="26">
        <f t="shared" si="6"/>
        <v>0.65226491093839356</v>
      </c>
      <c r="AU21" s="26">
        <f t="shared" si="67"/>
        <v>0.54355409244866137</v>
      </c>
      <c r="AV21" s="26">
        <f t="shared" si="7"/>
        <v>100.12266382904343</v>
      </c>
      <c r="AW21" s="16"/>
      <c r="AX21" s="16"/>
      <c r="AY21" s="16"/>
      <c r="AZ21" s="16"/>
      <c r="BA21" s="26"/>
      <c r="BB21" s="26">
        <v>0.02</v>
      </c>
      <c r="BC21" s="26">
        <f t="shared" si="71"/>
        <v>2.0000000000000018E-2</v>
      </c>
      <c r="BD21" s="26">
        <f t="shared" si="72"/>
        <v>0.98</v>
      </c>
      <c r="BE21" s="16"/>
      <c r="BF21" s="16"/>
      <c r="BG21" s="16" t="s">
        <v>953</v>
      </c>
      <c r="BH21" s="16" t="s">
        <v>954</v>
      </c>
      <c r="BI21" s="16" t="s">
        <v>955</v>
      </c>
      <c r="BJ21" s="16"/>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28"/>
      <c r="DW21" s="28"/>
      <c r="DX21" s="28"/>
      <c r="DY21" s="28"/>
      <c r="DZ21" s="28"/>
      <c r="EA21" s="28"/>
      <c r="EB21" s="28"/>
      <c r="EC21" s="28"/>
      <c r="ED21" s="28"/>
      <c r="EE21" s="28"/>
      <c r="EF21" s="28"/>
      <c r="EG21" s="28"/>
      <c r="EH21" s="28"/>
      <c r="EI21" s="28"/>
      <c r="EJ21" s="18"/>
      <c r="EK21" s="18"/>
      <c r="EL21" s="18">
        <f>IFERROR(CR21/'McDonough &amp; Sun 1995 values'!C$2,)</f>
        <v>0</v>
      </c>
      <c r="EM21" s="18">
        <f>IFERROR(CH21/'McDonough &amp; Sun 1995 values'!D$2,)</f>
        <v>0</v>
      </c>
      <c r="EN21" s="18">
        <f>IFERROR(CS21/'McDonough &amp; Sun 1995 values'!E$2,)</f>
        <v>0</v>
      </c>
      <c r="EO21" s="18">
        <f>IFERROR(DL21/'McDonough &amp; Sun 1995 values'!F$2,)</f>
        <v>0</v>
      </c>
      <c r="EP21" s="18">
        <f>IFERROR(DM21/'McDonough &amp; Sun 1995 values'!G$2,)</f>
        <v>0</v>
      </c>
      <c r="EQ21" s="18">
        <f>IFERROR(BR21/'McDonough &amp; Sun 1995 values'!H$2,)</f>
        <v>0</v>
      </c>
      <c r="ER21" s="18">
        <f>IFERROR(DI21/'McDonough &amp; Sun 1995 values'!I$2,)</f>
        <v>0</v>
      </c>
      <c r="ES21" s="18">
        <f>IFERROR(CM21/'McDonough &amp; Sun 1995 values'!J$2,)</f>
        <v>0</v>
      </c>
      <c r="ET21" s="18">
        <f>IFERROR(CU21/'McDonough &amp; Sun 1995 values'!K$2,)</f>
        <v>0</v>
      </c>
      <c r="EU21" s="18">
        <f>IFERROR(CV21/'McDonough &amp; Sun 1995 values'!L$2,)</f>
        <v>0</v>
      </c>
      <c r="EV21" s="18">
        <f>IFERROR(CW21/'McDonough &amp; Sun 1995 values'!M$2,)</f>
        <v>0</v>
      </c>
      <c r="EW21" s="18">
        <f>IFERROR(CI21/'McDonough &amp; Sun 1995 values'!N$2,)</f>
        <v>0</v>
      </c>
      <c r="EX21" s="18">
        <f>IFERROR(CX21/'McDonough &amp; Sun 1995 values'!O$2,)</f>
        <v>0</v>
      </c>
      <c r="EY21" s="18">
        <f>IFERROR(CY21/'McDonough &amp; Sun 1995 values'!P$2,)</f>
        <v>0</v>
      </c>
      <c r="EZ21" s="18">
        <f>IFERROR(DH21/'McDonough &amp; Sun 1995 values'!Q$2,)</f>
        <v>0</v>
      </c>
      <c r="FA21" s="18">
        <f>IFERROR(CK21/'McDonough &amp; Sun 1995 values'!R$2,)</f>
        <v>0</v>
      </c>
      <c r="FB21" s="18">
        <f>IFERROR(CZ21/'McDonough &amp; Sun 1995 values'!S$2,)</f>
        <v>0</v>
      </c>
      <c r="FC21" s="18">
        <f>IFERROR(BT21/'McDonough &amp; Sun 1995 values'!T$2,)</f>
        <v>0</v>
      </c>
      <c r="FD21" s="18">
        <f>IFERROR(DA21/'McDonough &amp; Sun 1995 values'!U$2,)</f>
        <v>0</v>
      </c>
      <c r="FE21" s="18">
        <f>IFERROR(DN21/'McDonough &amp; Sun 1995 values'!V$2,)</f>
        <v>0</v>
      </c>
      <c r="FF21" s="18">
        <f>IFERROR(DB21/'McDonough &amp; Sun 1995 values'!W$2,)</f>
        <v>0</v>
      </c>
      <c r="FG21" s="18">
        <f>IFERROR(CJ21/'McDonough &amp; Sun 1995 values'!X$2,)</f>
        <v>0</v>
      </c>
      <c r="FH21" s="18">
        <f>IFERROR(DC21/'McDonough &amp; Sun 1995 values'!Y$2,)</f>
        <v>0</v>
      </c>
      <c r="FI21" s="18">
        <f>IFERROR(DD21/'McDonough &amp; Sun 1995 values'!Z$2,)</f>
        <v>0</v>
      </c>
      <c r="FJ21" s="18">
        <f>IFERROR(DE21/'McDonough &amp; Sun 1995 values'!AA$2,)</f>
        <v>0</v>
      </c>
      <c r="FK21" s="18">
        <f>IFERROR(DF21/'McDonough &amp; Sun 1995 values'!AB$2,)</f>
        <v>0</v>
      </c>
      <c r="FL21" s="18">
        <f>IFERROR(DG21/'McDonough &amp; Sun 1995 values'!AC$2,)</f>
        <v>0</v>
      </c>
      <c r="FN21" s="28">
        <f t="shared" si="68"/>
        <v>0</v>
      </c>
      <c r="FO21" s="4">
        <f t="shared" si="8"/>
        <v>0</v>
      </c>
      <c r="FP21" s="4">
        <f t="shared" si="9"/>
        <v>0</v>
      </c>
      <c r="FQ21" s="4">
        <f t="shared" si="10"/>
        <v>0</v>
      </c>
      <c r="FR21" s="4">
        <f t="shared" si="11"/>
        <v>0</v>
      </c>
      <c r="FS21" s="4">
        <f t="shared" si="12"/>
        <v>0</v>
      </c>
      <c r="FT21" s="4">
        <f t="shared" si="13"/>
        <v>0</v>
      </c>
      <c r="FU21" s="4">
        <f t="shared" si="14"/>
        <v>0</v>
      </c>
      <c r="FV21" s="4">
        <f t="shared" si="15"/>
        <v>0</v>
      </c>
      <c r="FW21" s="4">
        <f t="shared" si="16"/>
        <v>0</v>
      </c>
      <c r="FX21" s="4">
        <f t="shared" si="17"/>
        <v>0</v>
      </c>
      <c r="FY21" s="4">
        <f t="shared" si="18"/>
        <v>0</v>
      </c>
      <c r="FZ21" s="4">
        <f t="shared" si="19"/>
        <v>0</v>
      </c>
      <c r="GA21" s="4">
        <f t="shared" si="20"/>
        <v>0</v>
      </c>
      <c r="GB21" s="4">
        <f t="shared" si="21"/>
        <v>0</v>
      </c>
      <c r="GC21" s="4">
        <f t="shared" si="22"/>
        <v>0</v>
      </c>
      <c r="GD21" s="4">
        <f t="shared" si="23"/>
        <v>0</v>
      </c>
      <c r="GE21" s="4">
        <f t="shared" si="24"/>
        <v>0</v>
      </c>
      <c r="GF21" s="4">
        <f t="shared" si="25"/>
        <v>0</v>
      </c>
      <c r="GG21" s="4">
        <f t="shared" si="26"/>
        <v>0</v>
      </c>
      <c r="GH21" s="4">
        <f t="shared" si="27"/>
        <v>0</v>
      </c>
      <c r="GI21" s="4">
        <f t="shared" si="28"/>
        <v>0</v>
      </c>
      <c r="GJ21" s="4">
        <f t="shared" si="29"/>
        <v>0</v>
      </c>
      <c r="GK21" s="4">
        <f t="shared" si="30"/>
        <v>0</v>
      </c>
      <c r="GL21" s="4">
        <f t="shared" si="31"/>
        <v>0</v>
      </c>
      <c r="GM21" s="4">
        <f t="shared" si="32"/>
        <v>0</v>
      </c>
      <c r="GN21" s="4">
        <f t="shared" si="33"/>
        <v>0</v>
      </c>
      <c r="GO21" s="4">
        <f t="shared" si="34"/>
        <v>0</v>
      </c>
      <c r="GP21" s="4">
        <f t="shared" si="35"/>
        <v>0</v>
      </c>
      <c r="GQ21" s="27">
        <f t="shared" si="70"/>
        <v>65878.7812733514</v>
      </c>
      <c r="GR21" s="28" t="str">
        <f t="shared" si="69"/>
        <v/>
      </c>
      <c r="GS21" s="28" t="str">
        <f t="shared" si="36"/>
        <v/>
      </c>
      <c r="GT21" s="28" t="str">
        <f t="shared" si="37"/>
        <v/>
      </c>
      <c r="GU21" s="28" t="str">
        <f t="shared" si="38"/>
        <v/>
      </c>
      <c r="GV21" s="28" t="str">
        <f t="shared" si="39"/>
        <v/>
      </c>
      <c r="GW21" s="28" t="str">
        <f t="shared" si="40"/>
        <v/>
      </c>
      <c r="GX21" s="28" t="str">
        <f t="shared" si="41"/>
        <v/>
      </c>
      <c r="GY21" s="28" t="str">
        <f t="shared" si="42"/>
        <v/>
      </c>
      <c r="GZ21" s="28" t="str">
        <f t="shared" si="43"/>
        <v/>
      </c>
      <c r="HA21" s="28" t="str">
        <f t="shared" si="44"/>
        <v/>
      </c>
      <c r="HB21" s="28" t="str">
        <f t="shared" si="45"/>
        <v/>
      </c>
      <c r="HC21" s="28" t="str">
        <f t="shared" si="46"/>
        <v/>
      </c>
      <c r="HD21" s="28" t="str">
        <f t="shared" si="47"/>
        <v/>
      </c>
      <c r="HE21" s="28" t="str">
        <f t="shared" si="48"/>
        <v/>
      </c>
      <c r="HF21" s="28" t="str">
        <f t="shared" si="49"/>
        <v/>
      </c>
      <c r="HG21" s="28" t="str">
        <f t="shared" si="50"/>
        <v/>
      </c>
      <c r="HH21" s="28" t="str">
        <f t="shared" si="51"/>
        <v/>
      </c>
      <c r="HI21" s="28" t="str">
        <f t="shared" si="52"/>
        <v/>
      </c>
      <c r="HJ21" s="28" t="str">
        <f t="shared" si="53"/>
        <v/>
      </c>
      <c r="HK21" s="28" t="str">
        <f t="shared" si="54"/>
        <v/>
      </c>
      <c r="HL21" s="28" t="str">
        <f t="shared" si="55"/>
        <v/>
      </c>
      <c r="HM21" s="28" t="str">
        <f t="shared" si="56"/>
        <v/>
      </c>
      <c r="HN21" s="28" t="str">
        <f t="shared" si="57"/>
        <v/>
      </c>
      <c r="HO21" s="28" t="str">
        <f t="shared" si="58"/>
        <v/>
      </c>
      <c r="HP21" s="28" t="str">
        <f t="shared" si="59"/>
        <v/>
      </c>
      <c r="HQ21" s="28" t="str">
        <f t="shared" si="60"/>
        <v/>
      </c>
      <c r="HR21" s="28" t="str">
        <f t="shared" si="61"/>
        <v/>
      </c>
      <c r="HT21" s="4">
        <f>IFERROR(GR21/'McDonough &amp; Sun 1995 values'!C$2,)</f>
        <v>0</v>
      </c>
      <c r="HU21" s="4">
        <f>IFERROR(GS21/'McDonough &amp; Sun 1995 values'!D$2,)</f>
        <v>0</v>
      </c>
      <c r="HV21" s="4">
        <f>IFERROR(GT21/'McDonough &amp; Sun 1995 values'!E$2,)</f>
        <v>0</v>
      </c>
      <c r="HW21" s="4">
        <f>IFERROR(GU21/'McDonough &amp; Sun 1995 values'!F$2,)</f>
        <v>0</v>
      </c>
      <c r="HX21" s="4">
        <f>IFERROR(GV21/'McDonough &amp; Sun 1995 values'!G$2,)</f>
        <v>0</v>
      </c>
      <c r="HY21" s="4">
        <f>IFERROR(GW21/'McDonough &amp; Sun 1995 values'!H$2,)</f>
        <v>0</v>
      </c>
      <c r="HZ21" s="4">
        <f>IFERROR(GX21/'McDonough &amp; Sun 1995 values'!I$2,)</f>
        <v>0</v>
      </c>
      <c r="IA21" s="4">
        <f>IFERROR(GY21/'McDonough &amp; Sun 1995 values'!J$2,)</f>
        <v>0</v>
      </c>
      <c r="IB21" s="4">
        <f>IFERROR(GZ21/'McDonough &amp; Sun 1995 values'!K$2,)</f>
        <v>0</v>
      </c>
      <c r="IC21" s="4">
        <f>IFERROR(HA21/'McDonough &amp; Sun 1995 values'!L$2,)</f>
        <v>0</v>
      </c>
      <c r="ID21" s="4">
        <f>IFERROR(HB21/'McDonough &amp; Sun 1995 values'!M$2,)</f>
        <v>0</v>
      </c>
      <c r="IE21" s="4">
        <f>IFERROR(HC21/'McDonough &amp; Sun 1995 values'!N$2,)</f>
        <v>0</v>
      </c>
      <c r="IF21" s="4">
        <f>IFERROR(HD21/'McDonough &amp; Sun 1995 values'!O$2,)</f>
        <v>0</v>
      </c>
      <c r="IG21" s="4">
        <f>IFERROR(HE21/'McDonough &amp; Sun 1995 values'!P$2,)</f>
        <v>0</v>
      </c>
      <c r="IH21" s="4">
        <f>IFERROR(HF21/'McDonough &amp; Sun 1995 values'!Q$2,)</f>
        <v>0</v>
      </c>
      <c r="II21" s="4">
        <f>IFERROR(HG21/'McDonough &amp; Sun 1995 values'!R$2,)</f>
        <v>0</v>
      </c>
      <c r="IJ21" s="4">
        <f>IFERROR(HH21/'McDonough &amp; Sun 1995 values'!S$2,)</f>
        <v>0</v>
      </c>
      <c r="IK21" s="4">
        <f>IFERROR(HI21/'McDonough &amp; Sun 1995 values'!T$2,)</f>
        <v>0</v>
      </c>
      <c r="IL21" s="4">
        <f>IFERROR(HJ21/'McDonough &amp; Sun 1995 values'!U$2,)</f>
        <v>0</v>
      </c>
      <c r="IM21" s="4">
        <f>IFERROR(HK21/'McDonough &amp; Sun 1995 values'!V$2,)</f>
        <v>0</v>
      </c>
      <c r="IN21" s="4">
        <f>IFERROR(HL21/'McDonough &amp; Sun 1995 values'!W$2,)</f>
        <v>0</v>
      </c>
      <c r="IO21" s="4">
        <f>IFERROR(HM21/'McDonough &amp; Sun 1995 values'!X$2,)</f>
        <v>0</v>
      </c>
      <c r="IP21" s="4">
        <f>IFERROR(HN21/'McDonough &amp; Sun 1995 values'!Y$2,)</f>
        <v>0</v>
      </c>
      <c r="IQ21" s="4">
        <f>IFERROR(HO21/'McDonough &amp; Sun 1995 values'!Z$2,)</f>
        <v>0</v>
      </c>
      <c r="IR21" s="4">
        <f>IFERROR(HP21/'McDonough &amp; Sun 1995 values'!AA$2,)</f>
        <v>0</v>
      </c>
      <c r="IS21" s="4">
        <f>IFERROR(HQ21/'McDonough &amp; Sun 1995 values'!AB$2,)</f>
        <v>0</v>
      </c>
      <c r="IT21" s="4">
        <f>IFERROR(HR21/'McDonough &amp; Sun 1995 values'!AC$2,)</f>
        <v>0</v>
      </c>
    </row>
    <row r="22" spans="1:254">
      <c r="A22" s="16" t="s">
        <v>842</v>
      </c>
      <c r="B22" s="16" t="s">
        <v>24</v>
      </c>
      <c r="C22" s="16" t="str">
        <f t="shared" si="0"/>
        <v>high-Mg carbonatitic</v>
      </c>
      <c r="D22" s="16" t="s">
        <v>1709</v>
      </c>
      <c r="E22" s="16" t="s">
        <v>237</v>
      </c>
      <c r="F22" s="16" t="s">
        <v>29</v>
      </c>
      <c r="G22" s="16" t="s">
        <v>595</v>
      </c>
      <c r="H22" s="27">
        <v>360</v>
      </c>
      <c r="I22" s="16" t="s">
        <v>712</v>
      </c>
      <c r="J22" s="16">
        <v>0</v>
      </c>
      <c r="K22" s="16" t="s">
        <v>913</v>
      </c>
      <c r="L22" s="16">
        <v>0</v>
      </c>
      <c r="M22" s="16" t="s">
        <v>53</v>
      </c>
      <c r="N22" s="16" t="s">
        <v>1084</v>
      </c>
      <c r="O22" s="26">
        <v>11.1</v>
      </c>
      <c r="P22" s="26">
        <v>1.2</v>
      </c>
      <c r="Q22" s="26">
        <v>0.4</v>
      </c>
      <c r="R22" s="26">
        <v>3.5</v>
      </c>
      <c r="S22" s="26">
        <v>13.1</v>
      </c>
      <c r="T22" s="26">
        <v>44.4</v>
      </c>
      <c r="U22" s="26">
        <v>1.7</v>
      </c>
      <c r="V22" s="26">
        <v>17.2</v>
      </c>
      <c r="W22" s="26">
        <v>3.6</v>
      </c>
      <c r="X22" s="26">
        <v>1.6</v>
      </c>
      <c r="Y22" s="26"/>
      <c r="Z22" s="26">
        <v>0.7</v>
      </c>
      <c r="AA22" s="26"/>
      <c r="AB22" s="26"/>
      <c r="AC22" s="26"/>
      <c r="AD22" s="26">
        <v>0.6</v>
      </c>
      <c r="AE22" s="26"/>
      <c r="AF22" s="26">
        <v>0.6</v>
      </c>
      <c r="AG22" s="26"/>
      <c r="AH22" s="26"/>
      <c r="AI22" s="26"/>
      <c r="AJ22" s="26">
        <f t="shared" si="62"/>
        <v>96.999999999999986</v>
      </c>
      <c r="AK22" s="26">
        <f t="shared" si="63"/>
        <v>11.459294960467115</v>
      </c>
      <c r="AL22" s="26">
        <f t="shared" si="1"/>
        <v>1.2388426984288774</v>
      </c>
      <c r="AM22" s="26">
        <f t="shared" si="2"/>
        <v>3.6132912037508929</v>
      </c>
      <c r="AN22" s="26">
        <f t="shared" si="64"/>
        <v>13.524032791181911</v>
      </c>
      <c r="AO22" s="26">
        <f t="shared" si="65"/>
        <v>45.837179841868462</v>
      </c>
      <c r="AP22" s="26">
        <f t="shared" si="3"/>
        <v>17.756745344147244</v>
      </c>
      <c r="AQ22" s="26">
        <f t="shared" si="4"/>
        <v>0</v>
      </c>
      <c r="AR22" s="26">
        <f t="shared" si="5"/>
        <v>3.7165280952866322</v>
      </c>
      <c r="AS22" s="26">
        <f t="shared" si="66"/>
        <v>1.651790264571837</v>
      </c>
      <c r="AT22" s="26">
        <f t="shared" si="6"/>
        <v>0.72265824075017848</v>
      </c>
      <c r="AU22" s="26">
        <f t="shared" si="67"/>
        <v>0.6194213492144387</v>
      </c>
      <c r="AV22" s="26">
        <f t="shared" si="7"/>
        <v>100.1397847896676</v>
      </c>
      <c r="AW22" s="16"/>
      <c r="AX22" s="16"/>
      <c r="AY22" s="16"/>
      <c r="AZ22" s="16"/>
      <c r="BA22" s="26"/>
      <c r="BB22" s="26">
        <v>0.03</v>
      </c>
      <c r="BC22" s="26">
        <f t="shared" si="71"/>
        <v>3.0000000000000027E-2</v>
      </c>
      <c r="BD22" s="26">
        <f t="shared" si="72"/>
        <v>0.97</v>
      </c>
      <c r="BE22" s="16"/>
      <c r="BF22" s="16"/>
      <c r="BG22" s="16"/>
      <c r="BH22" s="16"/>
      <c r="BI22" s="16"/>
      <c r="BJ22" s="16"/>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28"/>
      <c r="DW22" s="28"/>
      <c r="DX22" s="28"/>
      <c r="DY22" s="28"/>
      <c r="DZ22" s="28"/>
      <c r="EA22" s="28"/>
      <c r="EB22" s="28"/>
      <c r="EC22" s="28"/>
      <c r="ED22" s="28"/>
      <c r="EE22" s="28"/>
      <c r="EF22" s="28"/>
      <c r="EG22" s="28"/>
      <c r="EH22" s="28"/>
      <c r="EI22" s="28"/>
      <c r="EJ22" s="18"/>
      <c r="EK22" s="18"/>
      <c r="EL22" s="18">
        <f>IFERROR(CR22/'McDonough &amp; Sun 1995 values'!C$2,)</f>
        <v>0</v>
      </c>
      <c r="EM22" s="18">
        <f>IFERROR(CH22/'McDonough &amp; Sun 1995 values'!D$2,)</f>
        <v>0</v>
      </c>
      <c r="EN22" s="18">
        <f>IFERROR(CS22/'McDonough &amp; Sun 1995 values'!E$2,)</f>
        <v>0</v>
      </c>
      <c r="EO22" s="18">
        <f>IFERROR(DL22/'McDonough &amp; Sun 1995 values'!F$2,)</f>
        <v>0</v>
      </c>
      <c r="EP22" s="18">
        <f>IFERROR(DM22/'McDonough &amp; Sun 1995 values'!G$2,)</f>
        <v>0</v>
      </c>
      <c r="EQ22" s="18">
        <f>IFERROR(BR22/'McDonough &amp; Sun 1995 values'!H$2,)</f>
        <v>0</v>
      </c>
      <c r="ER22" s="18">
        <f>IFERROR(DI22/'McDonough &amp; Sun 1995 values'!I$2,)</f>
        <v>0</v>
      </c>
      <c r="ES22" s="18">
        <f>IFERROR(CM22/'McDonough &amp; Sun 1995 values'!J$2,)</f>
        <v>0</v>
      </c>
      <c r="ET22" s="18">
        <f>IFERROR(CU22/'McDonough &amp; Sun 1995 values'!K$2,)</f>
        <v>0</v>
      </c>
      <c r="EU22" s="18">
        <f>IFERROR(CV22/'McDonough &amp; Sun 1995 values'!L$2,)</f>
        <v>0</v>
      </c>
      <c r="EV22" s="18">
        <f>IFERROR(CW22/'McDonough &amp; Sun 1995 values'!M$2,)</f>
        <v>0</v>
      </c>
      <c r="EW22" s="18">
        <f>IFERROR(CI22/'McDonough &amp; Sun 1995 values'!N$2,)</f>
        <v>0</v>
      </c>
      <c r="EX22" s="18">
        <f>IFERROR(CX22/'McDonough &amp; Sun 1995 values'!O$2,)</f>
        <v>0</v>
      </c>
      <c r="EY22" s="18">
        <f>IFERROR(CY22/'McDonough &amp; Sun 1995 values'!P$2,)</f>
        <v>0</v>
      </c>
      <c r="EZ22" s="18">
        <f>IFERROR(DH22/'McDonough &amp; Sun 1995 values'!Q$2,)</f>
        <v>0</v>
      </c>
      <c r="FA22" s="18">
        <f>IFERROR(CK22/'McDonough &amp; Sun 1995 values'!R$2,)</f>
        <v>0</v>
      </c>
      <c r="FB22" s="18">
        <f>IFERROR(CZ22/'McDonough &amp; Sun 1995 values'!S$2,)</f>
        <v>0</v>
      </c>
      <c r="FC22" s="18">
        <f>IFERROR(BT22/'McDonough &amp; Sun 1995 values'!T$2,)</f>
        <v>0</v>
      </c>
      <c r="FD22" s="18">
        <f>IFERROR(DA22/'McDonough &amp; Sun 1995 values'!U$2,)</f>
        <v>0</v>
      </c>
      <c r="FE22" s="18">
        <f>IFERROR(DN22/'McDonough &amp; Sun 1995 values'!V$2,)</f>
        <v>0</v>
      </c>
      <c r="FF22" s="18">
        <f>IFERROR(DB22/'McDonough &amp; Sun 1995 values'!W$2,)</f>
        <v>0</v>
      </c>
      <c r="FG22" s="18">
        <f>IFERROR(CJ22/'McDonough &amp; Sun 1995 values'!X$2,)</f>
        <v>0</v>
      </c>
      <c r="FH22" s="18">
        <f>IFERROR(DC22/'McDonough &amp; Sun 1995 values'!Y$2,)</f>
        <v>0</v>
      </c>
      <c r="FI22" s="18">
        <f>IFERROR(DD22/'McDonough &amp; Sun 1995 values'!Z$2,)</f>
        <v>0</v>
      </c>
      <c r="FJ22" s="18">
        <f>IFERROR(DE22/'McDonough &amp; Sun 1995 values'!AA$2,)</f>
        <v>0</v>
      </c>
      <c r="FK22" s="18">
        <f>IFERROR(DF22/'McDonough &amp; Sun 1995 values'!AB$2,)</f>
        <v>0</v>
      </c>
      <c r="FL22" s="18">
        <f>IFERROR(DG22/'McDonough &amp; Sun 1995 values'!AC$2,)</f>
        <v>0</v>
      </c>
      <c r="FN22" s="28">
        <f t="shared" si="68"/>
        <v>0</v>
      </c>
      <c r="FO22" s="4">
        <f t="shared" si="8"/>
        <v>0</v>
      </c>
      <c r="FP22" s="4">
        <f t="shared" si="9"/>
        <v>0</v>
      </c>
      <c r="FQ22" s="4">
        <f t="shared" si="10"/>
        <v>0</v>
      </c>
      <c r="FR22" s="4">
        <f t="shared" si="11"/>
        <v>0</v>
      </c>
      <c r="FS22" s="4">
        <f t="shared" si="12"/>
        <v>0</v>
      </c>
      <c r="FT22" s="4">
        <f t="shared" si="13"/>
        <v>0</v>
      </c>
      <c r="FU22" s="4">
        <f t="shared" si="14"/>
        <v>0</v>
      </c>
      <c r="FV22" s="4">
        <f t="shared" si="15"/>
        <v>0</v>
      </c>
      <c r="FW22" s="4">
        <f t="shared" si="16"/>
        <v>0</v>
      </c>
      <c r="FX22" s="4">
        <f t="shared" si="17"/>
        <v>0</v>
      </c>
      <c r="FY22" s="4">
        <f t="shared" si="18"/>
        <v>0</v>
      </c>
      <c r="FZ22" s="4">
        <f t="shared" si="19"/>
        <v>0</v>
      </c>
      <c r="GA22" s="4">
        <f t="shared" si="20"/>
        <v>0</v>
      </c>
      <c r="GB22" s="4">
        <f t="shared" si="21"/>
        <v>0</v>
      </c>
      <c r="GC22" s="4">
        <f t="shared" si="22"/>
        <v>0</v>
      </c>
      <c r="GD22" s="4">
        <f t="shared" si="23"/>
        <v>0</v>
      </c>
      <c r="GE22" s="4">
        <f t="shared" si="24"/>
        <v>0</v>
      </c>
      <c r="GF22" s="4">
        <f t="shared" si="25"/>
        <v>0</v>
      </c>
      <c r="GG22" s="4">
        <f t="shared" si="26"/>
        <v>0</v>
      </c>
      <c r="GH22" s="4">
        <f t="shared" si="27"/>
        <v>0</v>
      </c>
      <c r="GI22" s="4">
        <f t="shared" si="28"/>
        <v>0</v>
      </c>
      <c r="GJ22" s="4">
        <f t="shared" si="29"/>
        <v>0</v>
      </c>
      <c r="GK22" s="4">
        <f t="shared" si="30"/>
        <v>0</v>
      </c>
      <c r="GL22" s="4">
        <f t="shared" si="31"/>
        <v>0</v>
      </c>
      <c r="GM22" s="4">
        <f t="shared" si="32"/>
        <v>0</v>
      </c>
      <c r="GN22" s="4">
        <f t="shared" si="33"/>
        <v>0</v>
      </c>
      <c r="GO22" s="4">
        <f t="shared" si="34"/>
        <v>0</v>
      </c>
      <c r="GP22" s="4">
        <f t="shared" si="35"/>
        <v>0</v>
      </c>
      <c r="GQ22" s="27">
        <f t="shared" si="70"/>
        <v>13712.127181782113</v>
      </c>
      <c r="GR22" s="28" t="str">
        <f t="shared" si="69"/>
        <v/>
      </c>
      <c r="GS22" s="28" t="str">
        <f t="shared" si="36"/>
        <v/>
      </c>
      <c r="GT22" s="28" t="str">
        <f t="shared" si="37"/>
        <v/>
      </c>
      <c r="GU22" s="28" t="str">
        <f t="shared" si="38"/>
        <v/>
      </c>
      <c r="GV22" s="28" t="str">
        <f t="shared" si="39"/>
        <v/>
      </c>
      <c r="GW22" s="28" t="str">
        <f t="shared" si="40"/>
        <v/>
      </c>
      <c r="GX22" s="28" t="str">
        <f t="shared" si="41"/>
        <v/>
      </c>
      <c r="GY22" s="28" t="str">
        <f t="shared" si="42"/>
        <v/>
      </c>
      <c r="GZ22" s="28" t="str">
        <f t="shared" si="43"/>
        <v/>
      </c>
      <c r="HA22" s="28" t="str">
        <f t="shared" si="44"/>
        <v/>
      </c>
      <c r="HB22" s="28" t="str">
        <f t="shared" si="45"/>
        <v/>
      </c>
      <c r="HC22" s="28" t="str">
        <f t="shared" si="46"/>
        <v/>
      </c>
      <c r="HD22" s="28" t="str">
        <f t="shared" si="47"/>
        <v/>
      </c>
      <c r="HE22" s="28" t="str">
        <f t="shared" si="48"/>
        <v/>
      </c>
      <c r="HF22" s="28" t="str">
        <f t="shared" si="49"/>
        <v/>
      </c>
      <c r="HG22" s="28" t="str">
        <f t="shared" si="50"/>
        <v/>
      </c>
      <c r="HH22" s="28" t="str">
        <f t="shared" si="51"/>
        <v/>
      </c>
      <c r="HI22" s="28" t="str">
        <f t="shared" si="52"/>
        <v/>
      </c>
      <c r="HJ22" s="28" t="str">
        <f t="shared" si="53"/>
        <v/>
      </c>
      <c r="HK22" s="28" t="str">
        <f t="shared" si="54"/>
        <v/>
      </c>
      <c r="HL22" s="28" t="str">
        <f t="shared" si="55"/>
        <v/>
      </c>
      <c r="HM22" s="28" t="str">
        <f t="shared" si="56"/>
        <v/>
      </c>
      <c r="HN22" s="28" t="str">
        <f t="shared" si="57"/>
        <v/>
      </c>
      <c r="HO22" s="28" t="str">
        <f t="shared" si="58"/>
        <v/>
      </c>
      <c r="HP22" s="28" t="str">
        <f t="shared" si="59"/>
        <v/>
      </c>
      <c r="HQ22" s="28" t="str">
        <f t="shared" si="60"/>
        <v/>
      </c>
      <c r="HR22" s="28" t="str">
        <f t="shared" si="61"/>
        <v/>
      </c>
      <c r="HT22" s="4">
        <f>IFERROR(GR22/'McDonough &amp; Sun 1995 values'!C$2,)</f>
        <v>0</v>
      </c>
      <c r="HU22" s="4">
        <f>IFERROR(GS22/'McDonough &amp; Sun 1995 values'!D$2,)</f>
        <v>0</v>
      </c>
      <c r="HV22" s="4">
        <f>IFERROR(GT22/'McDonough &amp; Sun 1995 values'!E$2,)</f>
        <v>0</v>
      </c>
      <c r="HW22" s="4">
        <f>IFERROR(GU22/'McDonough &amp; Sun 1995 values'!F$2,)</f>
        <v>0</v>
      </c>
      <c r="HX22" s="4">
        <f>IFERROR(GV22/'McDonough &amp; Sun 1995 values'!G$2,)</f>
        <v>0</v>
      </c>
      <c r="HY22" s="4">
        <f>IFERROR(GW22/'McDonough &amp; Sun 1995 values'!H$2,)</f>
        <v>0</v>
      </c>
      <c r="HZ22" s="4">
        <f>IFERROR(GX22/'McDonough &amp; Sun 1995 values'!I$2,)</f>
        <v>0</v>
      </c>
      <c r="IA22" s="4">
        <f>IFERROR(GY22/'McDonough &amp; Sun 1995 values'!J$2,)</f>
        <v>0</v>
      </c>
      <c r="IB22" s="4">
        <f>IFERROR(GZ22/'McDonough &amp; Sun 1995 values'!K$2,)</f>
        <v>0</v>
      </c>
      <c r="IC22" s="4">
        <f>IFERROR(HA22/'McDonough &amp; Sun 1995 values'!L$2,)</f>
        <v>0</v>
      </c>
      <c r="ID22" s="4">
        <f>IFERROR(HB22/'McDonough &amp; Sun 1995 values'!M$2,)</f>
        <v>0</v>
      </c>
      <c r="IE22" s="4">
        <f>IFERROR(HC22/'McDonough &amp; Sun 1995 values'!N$2,)</f>
        <v>0</v>
      </c>
      <c r="IF22" s="4">
        <f>IFERROR(HD22/'McDonough &amp; Sun 1995 values'!O$2,)</f>
        <v>0</v>
      </c>
      <c r="IG22" s="4">
        <f>IFERROR(HE22/'McDonough &amp; Sun 1995 values'!P$2,)</f>
        <v>0</v>
      </c>
      <c r="IH22" s="4">
        <f>IFERROR(HF22/'McDonough &amp; Sun 1995 values'!Q$2,)</f>
        <v>0</v>
      </c>
      <c r="II22" s="4">
        <f>IFERROR(HG22/'McDonough &amp; Sun 1995 values'!R$2,)</f>
        <v>0</v>
      </c>
      <c r="IJ22" s="4">
        <f>IFERROR(HH22/'McDonough &amp; Sun 1995 values'!S$2,)</f>
        <v>0</v>
      </c>
      <c r="IK22" s="4">
        <f>IFERROR(HI22/'McDonough &amp; Sun 1995 values'!T$2,)</f>
        <v>0</v>
      </c>
      <c r="IL22" s="4">
        <f>IFERROR(HJ22/'McDonough &amp; Sun 1995 values'!U$2,)</f>
        <v>0</v>
      </c>
      <c r="IM22" s="4">
        <f>IFERROR(HK22/'McDonough &amp; Sun 1995 values'!V$2,)</f>
        <v>0</v>
      </c>
      <c r="IN22" s="4">
        <f>IFERROR(HL22/'McDonough &amp; Sun 1995 values'!W$2,)</f>
        <v>0</v>
      </c>
      <c r="IO22" s="4">
        <f>IFERROR(HM22/'McDonough &amp; Sun 1995 values'!X$2,)</f>
        <v>0</v>
      </c>
      <c r="IP22" s="4">
        <f>IFERROR(HN22/'McDonough &amp; Sun 1995 values'!Y$2,)</f>
        <v>0</v>
      </c>
      <c r="IQ22" s="4">
        <f>IFERROR(HO22/'McDonough &amp; Sun 1995 values'!Z$2,)</f>
        <v>0</v>
      </c>
      <c r="IR22" s="4">
        <f>IFERROR(HP22/'McDonough &amp; Sun 1995 values'!AA$2,)</f>
        <v>0</v>
      </c>
      <c r="IS22" s="4">
        <f>IFERROR(HQ22/'McDonough &amp; Sun 1995 values'!AB$2,)</f>
        <v>0</v>
      </c>
      <c r="IT22" s="4">
        <f>IFERROR(HR22/'McDonough &amp; Sun 1995 values'!AC$2,)</f>
        <v>0</v>
      </c>
    </row>
    <row r="23" spans="1:254">
      <c r="A23" s="16" t="s">
        <v>842</v>
      </c>
      <c r="B23" s="16" t="s">
        <v>24</v>
      </c>
      <c r="C23" s="16" t="str">
        <f t="shared" si="0"/>
        <v>high-Mg carbonatitic</v>
      </c>
      <c r="D23" s="16" t="s">
        <v>1709</v>
      </c>
      <c r="E23" s="16" t="s">
        <v>237</v>
      </c>
      <c r="F23" s="16" t="s">
        <v>29</v>
      </c>
      <c r="G23" s="16" t="s">
        <v>595</v>
      </c>
      <c r="H23" s="27">
        <v>360</v>
      </c>
      <c r="I23" s="16" t="s">
        <v>712</v>
      </c>
      <c r="J23" s="16">
        <v>0</v>
      </c>
      <c r="K23" s="16" t="s">
        <v>913</v>
      </c>
      <c r="L23" s="16">
        <v>0</v>
      </c>
      <c r="M23" s="16" t="s">
        <v>54</v>
      </c>
      <c r="N23" s="16" t="s">
        <v>1084</v>
      </c>
      <c r="O23" s="26">
        <v>15.6</v>
      </c>
      <c r="P23" s="26">
        <v>1.7</v>
      </c>
      <c r="Q23" s="26"/>
      <c r="R23" s="26">
        <v>1.7</v>
      </c>
      <c r="S23" s="26">
        <v>7.1</v>
      </c>
      <c r="T23" s="26">
        <v>43.9</v>
      </c>
      <c r="U23" s="26">
        <v>4.5999999999999996</v>
      </c>
      <c r="V23" s="26">
        <v>16.100000000000001</v>
      </c>
      <c r="W23" s="26">
        <v>4</v>
      </c>
      <c r="X23" s="26">
        <v>4.3</v>
      </c>
      <c r="Y23" s="26"/>
      <c r="Z23" s="26">
        <v>0.9</v>
      </c>
      <c r="AA23" s="26"/>
      <c r="AB23" s="26"/>
      <c r="AC23" s="26"/>
      <c r="AD23" s="26">
        <v>0.1</v>
      </c>
      <c r="AE23" s="26"/>
      <c r="AF23" s="26"/>
      <c r="AG23" s="26"/>
      <c r="AH23" s="26"/>
      <c r="AI23" s="26"/>
      <c r="AJ23" s="26">
        <f t="shared" si="62"/>
        <v>95.399999999999991</v>
      </c>
      <c r="AK23" s="26">
        <f t="shared" si="63"/>
        <v>16.356070307855656</v>
      </c>
      <c r="AL23" s="26">
        <f t="shared" si="1"/>
        <v>1.7823922771381167</v>
      </c>
      <c r="AM23" s="26">
        <f t="shared" si="2"/>
        <v>1.7823922771381167</v>
      </c>
      <c r="AN23" s="26">
        <f t="shared" si="64"/>
        <v>7.4441089221650758</v>
      </c>
      <c r="AO23" s="26">
        <f t="shared" si="65"/>
        <v>46.027659391978418</v>
      </c>
      <c r="AP23" s="26">
        <f t="shared" si="3"/>
        <v>16.880303330543342</v>
      </c>
      <c r="AQ23" s="26">
        <f t="shared" si="4"/>
        <v>0</v>
      </c>
      <c r="AR23" s="26">
        <f t="shared" si="5"/>
        <v>4.1938641815014508</v>
      </c>
      <c r="AS23" s="26">
        <f t="shared" si="66"/>
        <v>4.50840399511406</v>
      </c>
      <c r="AT23" s="26">
        <f t="shared" si="6"/>
        <v>0.94361944083782656</v>
      </c>
      <c r="AU23" s="26">
        <f t="shared" si="67"/>
        <v>0.10484660453753628</v>
      </c>
      <c r="AV23" s="26">
        <f t="shared" si="7"/>
        <v>100.0236607288096</v>
      </c>
      <c r="AW23" s="16"/>
      <c r="AX23" s="16"/>
      <c r="AY23" s="16"/>
      <c r="AZ23" s="16"/>
      <c r="BA23" s="26"/>
      <c r="BB23" s="26">
        <v>0.03</v>
      </c>
      <c r="BC23" s="26">
        <f t="shared" si="71"/>
        <v>3.0000000000000027E-2</v>
      </c>
      <c r="BD23" s="26">
        <f t="shared" si="72"/>
        <v>0.97</v>
      </c>
      <c r="BE23" s="16"/>
      <c r="BF23" s="16"/>
      <c r="BG23" s="16" t="s">
        <v>917</v>
      </c>
      <c r="BH23" s="16" t="s">
        <v>918</v>
      </c>
      <c r="BI23" s="16" t="s">
        <v>919</v>
      </c>
      <c r="BJ23" s="16"/>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28"/>
      <c r="DW23" s="28"/>
      <c r="DX23" s="28"/>
      <c r="DY23" s="28"/>
      <c r="DZ23" s="28"/>
      <c r="EA23" s="28"/>
      <c r="EB23" s="28"/>
      <c r="EC23" s="28"/>
      <c r="ED23" s="28"/>
      <c r="EE23" s="28"/>
      <c r="EF23" s="28"/>
      <c r="EG23" s="28"/>
      <c r="EH23" s="28"/>
      <c r="EI23" s="28"/>
      <c r="EJ23" s="18"/>
      <c r="EK23" s="18"/>
      <c r="EL23" s="18">
        <f>IFERROR(CR23/'McDonough &amp; Sun 1995 values'!C$2,)</f>
        <v>0</v>
      </c>
      <c r="EM23" s="18">
        <f>IFERROR(CH23/'McDonough &amp; Sun 1995 values'!D$2,)</f>
        <v>0</v>
      </c>
      <c r="EN23" s="18">
        <f>IFERROR(CS23/'McDonough &amp; Sun 1995 values'!E$2,)</f>
        <v>0</v>
      </c>
      <c r="EO23" s="18">
        <f>IFERROR(DL23/'McDonough &amp; Sun 1995 values'!F$2,)</f>
        <v>0</v>
      </c>
      <c r="EP23" s="18">
        <f>IFERROR(DM23/'McDonough &amp; Sun 1995 values'!G$2,)</f>
        <v>0</v>
      </c>
      <c r="EQ23" s="18">
        <f>IFERROR(BR23/'McDonough &amp; Sun 1995 values'!H$2,)</f>
        <v>0</v>
      </c>
      <c r="ER23" s="18">
        <f>IFERROR(DI23/'McDonough &amp; Sun 1995 values'!I$2,)</f>
        <v>0</v>
      </c>
      <c r="ES23" s="18">
        <f>IFERROR(CM23/'McDonough &amp; Sun 1995 values'!J$2,)</f>
        <v>0</v>
      </c>
      <c r="ET23" s="18">
        <f>IFERROR(CU23/'McDonough &amp; Sun 1995 values'!K$2,)</f>
        <v>0</v>
      </c>
      <c r="EU23" s="18">
        <f>IFERROR(CV23/'McDonough &amp; Sun 1995 values'!L$2,)</f>
        <v>0</v>
      </c>
      <c r="EV23" s="18">
        <f>IFERROR(CW23/'McDonough &amp; Sun 1995 values'!M$2,)</f>
        <v>0</v>
      </c>
      <c r="EW23" s="18">
        <f>IFERROR(CI23/'McDonough &amp; Sun 1995 values'!N$2,)</f>
        <v>0</v>
      </c>
      <c r="EX23" s="18">
        <f>IFERROR(CX23/'McDonough &amp; Sun 1995 values'!O$2,)</f>
        <v>0</v>
      </c>
      <c r="EY23" s="18">
        <f>IFERROR(CY23/'McDonough &amp; Sun 1995 values'!P$2,)</f>
        <v>0</v>
      </c>
      <c r="EZ23" s="18">
        <f>IFERROR(DH23/'McDonough &amp; Sun 1995 values'!Q$2,)</f>
        <v>0</v>
      </c>
      <c r="FA23" s="18">
        <f>IFERROR(CK23/'McDonough &amp; Sun 1995 values'!R$2,)</f>
        <v>0</v>
      </c>
      <c r="FB23" s="18">
        <f>IFERROR(CZ23/'McDonough &amp; Sun 1995 values'!S$2,)</f>
        <v>0</v>
      </c>
      <c r="FC23" s="18">
        <f>IFERROR(BT23/'McDonough &amp; Sun 1995 values'!T$2,)</f>
        <v>0</v>
      </c>
      <c r="FD23" s="18">
        <f>IFERROR(DA23/'McDonough &amp; Sun 1995 values'!U$2,)</f>
        <v>0</v>
      </c>
      <c r="FE23" s="18">
        <f>IFERROR(DN23/'McDonough &amp; Sun 1995 values'!V$2,)</f>
        <v>0</v>
      </c>
      <c r="FF23" s="18">
        <f>IFERROR(DB23/'McDonough &amp; Sun 1995 values'!W$2,)</f>
        <v>0</v>
      </c>
      <c r="FG23" s="18">
        <f>IFERROR(CJ23/'McDonough &amp; Sun 1995 values'!X$2,)</f>
        <v>0</v>
      </c>
      <c r="FH23" s="18">
        <f>IFERROR(DC23/'McDonough &amp; Sun 1995 values'!Y$2,)</f>
        <v>0</v>
      </c>
      <c r="FI23" s="18">
        <f>IFERROR(DD23/'McDonough &amp; Sun 1995 values'!Z$2,)</f>
        <v>0</v>
      </c>
      <c r="FJ23" s="18">
        <f>IFERROR(DE23/'McDonough &amp; Sun 1995 values'!AA$2,)</f>
        <v>0</v>
      </c>
      <c r="FK23" s="18">
        <f>IFERROR(DF23/'McDonough &amp; Sun 1995 values'!AB$2,)</f>
        <v>0</v>
      </c>
      <c r="FL23" s="18">
        <f>IFERROR(DG23/'McDonough &amp; Sun 1995 values'!AC$2,)</f>
        <v>0</v>
      </c>
      <c r="FN23" s="28">
        <f t="shared" si="68"/>
        <v>0</v>
      </c>
      <c r="FO23" s="4">
        <f t="shared" si="8"/>
        <v>0</v>
      </c>
      <c r="FP23" s="4">
        <f t="shared" si="9"/>
        <v>0</v>
      </c>
      <c r="FQ23" s="4">
        <f t="shared" si="10"/>
        <v>0</v>
      </c>
      <c r="FR23" s="4">
        <f t="shared" si="11"/>
        <v>0</v>
      </c>
      <c r="FS23" s="4">
        <f t="shared" si="12"/>
        <v>0</v>
      </c>
      <c r="FT23" s="4">
        <f t="shared" si="13"/>
        <v>0</v>
      </c>
      <c r="FU23" s="4">
        <f t="shared" si="14"/>
        <v>0</v>
      </c>
      <c r="FV23" s="4">
        <f t="shared" si="15"/>
        <v>0</v>
      </c>
      <c r="FW23" s="4">
        <f t="shared" si="16"/>
        <v>0</v>
      </c>
      <c r="FX23" s="4">
        <f t="shared" si="17"/>
        <v>0</v>
      </c>
      <c r="FY23" s="4">
        <f t="shared" si="18"/>
        <v>0</v>
      </c>
      <c r="FZ23" s="4">
        <f t="shared" si="19"/>
        <v>0</v>
      </c>
      <c r="GA23" s="4">
        <f t="shared" si="20"/>
        <v>0</v>
      </c>
      <c r="GB23" s="4">
        <f t="shared" si="21"/>
        <v>0</v>
      </c>
      <c r="GC23" s="4">
        <f t="shared" si="22"/>
        <v>0</v>
      </c>
      <c r="GD23" s="4">
        <f t="shared" si="23"/>
        <v>0</v>
      </c>
      <c r="GE23" s="4">
        <f t="shared" si="24"/>
        <v>0</v>
      </c>
      <c r="GF23" s="4">
        <f t="shared" si="25"/>
        <v>0</v>
      </c>
      <c r="GG23" s="4">
        <f t="shared" si="26"/>
        <v>0</v>
      </c>
      <c r="GH23" s="4">
        <f t="shared" si="27"/>
        <v>0</v>
      </c>
      <c r="GI23" s="4">
        <f t="shared" si="28"/>
        <v>0</v>
      </c>
      <c r="GJ23" s="4">
        <f t="shared" si="29"/>
        <v>0</v>
      </c>
      <c r="GK23" s="4">
        <f t="shared" si="30"/>
        <v>0</v>
      </c>
      <c r="GL23" s="4">
        <f t="shared" si="31"/>
        <v>0</v>
      </c>
      <c r="GM23" s="4">
        <f t="shared" si="32"/>
        <v>0</v>
      </c>
      <c r="GN23" s="4">
        <f t="shared" si="33"/>
        <v>0</v>
      </c>
      <c r="GO23" s="4">
        <f t="shared" si="34"/>
        <v>0</v>
      </c>
      <c r="GP23" s="4">
        <f t="shared" si="35"/>
        <v>0</v>
      </c>
      <c r="GQ23" s="27">
        <f t="shared" si="70"/>
        <v>37425.943410486791</v>
      </c>
      <c r="GR23" s="28" t="str">
        <f t="shared" si="69"/>
        <v/>
      </c>
      <c r="GS23" s="28" t="str">
        <f t="shared" si="36"/>
        <v/>
      </c>
      <c r="GT23" s="28" t="str">
        <f t="shared" si="37"/>
        <v/>
      </c>
      <c r="GU23" s="28" t="str">
        <f t="shared" si="38"/>
        <v/>
      </c>
      <c r="GV23" s="28" t="str">
        <f t="shared" si="39"/>
        <v/>
      </c>
      <c r="GW23" s="28" t="str">
        <f t="shared" si="40"/>
        <v/>
      </c>
      <c r="GX23" s="28" t="str">
        <f t="shared" si="41"/>
        <v/>
      </c>
      <c r="GY23" s="28" t="str">
        <f t="shared" si="42"/>
        <v/>
      </c>
      <c r="GZ23" s="28" t="str">
        <f t="shared" si="43"/>
        <v/>
      </c>
      <c r="HA23" s="28" t="str">
        <f t="shared" si="44"/>
        <v/>
      </c>
      <c r="HB23" s="28" t="str">
        <f t="shared" si="45"/>
        <v/>
      </c>
      <c r="HC23" s="28" t="str">
        <f t="shared" si="46"/>
        <v/>
      </c>
      <c r="HD23" s="28" t="str">
        <f t="shared" si="47"/>
        <v/>
      </c>
      <c r="HE23" s="28" t="str">
        <f t="shared" si="48"/>
        <v/>
      </c>
      <c r="HF23" s="28" t="str">
        <f t="shared" si="49"/>
        <v/>
      </c>
      <c r="HG23" s="28" t="str">
        <f t="shared" si="50"/>
        <v/>
      </c>
      <c r="HH23" s="28" t="str">
        <f t="shared" si="51"/>
        <v/>
      </c>
      <c r="HI23" s="28" t="str">
        <f t="shared" si="52"/>
        <v/>
      </c>
      <c r="HJ23" s="28" t="str">
        <f t="shared" si="53"/>
        <v/>
      </c>
      <c r="HK23" s="28" t="str">
        <f t="shared" si="54"/>
        <v/>
      </c>
      <c r="HL23" s="28" t="str">
        <f t="shared" si="55"/>
        <v/>
      </c>
      <c r="HM23" s="28" t="str">
        <f t="shared" si="56"/>
        <v/>
      </c>
      <c r="HN23" s="28" t="str">
        <f t="shared" si="57"/>
        <v/>
      </c>
      <c r="HO23" s="28" t="str">
        <f t="shared" si="58"/>
        <v/>
      </c>
      <c r="HP23" s="28" t="str">
        <f t="shared" si="59"/>
        <v/>
      </c>
      <c r="HQ23" s="28" t="str">
        <f t="shared" si="60"/>
        <v/>
      </c>
      <c r="HR23" s="28" t="str">
        <f t="shared" si="61"/>
        <v/>
      </c>
      <c r="HT23" s="4">
        <f>IFERROR(GR23/'McDonough &amp; Sun 1995 values'!C$2,)</f>
        <v>0</v>
      </c>
      <c r="HU23" s="4">
        <f>IFERROR(GS23/'McDonough &amp; Sun 1995 values'!D$2,)</f>
        <v>0</v>
      </c>
      <c r="HV23" s="4">
        <f>IFERROR(GT23/'McDonough &amp; Sun 1995 values'!E$2,)</f>
        <v>0</v>
      </c>
      <c r="HW23" s="4">
        <f>IFERROR(GU23/'McDonough &amp; Sun 1995 values'!F$2,)</f>
        <v>0</v>
      </c>
      <c r="HX23" s="4">
        <f>IFERROR(GV23/'McDonough &amp; Sun 1995 values'!G$2,)</f>
        <v>0</v>
      </c>
      <c r="HY23" s="4">
        <f>IFERROR(GW23/'McDonough &amp; Sun 1995 values'!H$2,)</f>
        <v>0</v>
      </c>
      <c r="HZ23" s="4">
        <f>IFERROR(GX23/'McDonough &amp; Sun 1995 values'!I$2,)</f>
        <v>0</v>
      </c>
      <c r="IA23" s="4">
        <f>IFERROR(GY23/'McDonough &amp; Sun 1995 values'!J$2,)</f>
        <v>0</v>
      </c>
      <c r="IB23" s="4">
        <f>IFERROR(GZ23/'McDonough &amp; Sun 1995 values'!K$2,)</f>
        <v>0</v>
      </c>
      <c r="IC23" s="4">
        <f>IFERROR(HA23/'McDonough &amp; Sun 1995 values'!L$2,)</f>
        <v>0</v>
      </c>
      <c r="ID23" s="4">
        <f>IFERROR(HB23/'McDonough &amp; Sun 1995 values'!M$2,)</f>
        <v>0</v>
      </c>
      <c r="IE23" s="4">
        <f>IFERROR(HC23/'McDonough &amp; Sun 1995 values'!N$2,)</f>
        <v>0</v>
      </c>
      <c r="IF23" s="4">
        <f>IFERROR(HD23/'McDonough &amp; Sun 1995 values'!O$2,)</f>
        <v>0</v>
      </c>
      <c r="IG23" s="4">
        <f>IFERROR(HE23/'McDonough &amp; Sun 1995 values'!P$2,)</f>
        <v>0</v>
      </c>
      <c r="IH23" s="4">
        <f>IFERROR(HF23/'McDonough &amp; Sun 1995 values'!Q$2,)</f>
        <v>0</v>
      </c>
      <c r="II23" s="4">
        <f>IFERROR(HG23/'McDonough &amp; Sun 1995 values'!R$2,)</f>
        <v>0</v>
      </c>
      <c r="IJ23" s="4">
        <f>IFERROR(HH23/'McDonough &amp; Sun 1995 values'!S$2,)</f>
        <v>0</v>
      </c>
      <c r="IK23" s="4">
        <f>IFERROR(HI23/'McDonough &amp; Sun 1995 values'!T$2,)</f>
        <v>0</v>
      </c>
      <c r="IL23" s="4">
        <f>IFERROR(HJ23/'McDonough &amp; Sun 1995 values'!U$2,)</f>
        <v>0</v>
      </c>
      <c r="IM23" s="4">
        <f>IFERROR(HK23/'McDonough &amp; Sun 1995 values'!V$2,)</f>
        <v>0</v>
      </c>
      <c r="IN23" s="4">
        <f>IFERROR(HL23/'McDonough &amp; Sun 1995 values'!W$2,)</f>
        <v>0</v>
      </c>
      <c r="IO23" s="4">
        <f>IFERROR(HM23/'McDonough &amp; Sun 1995 values'!X$2,)</f>
        <v>0</v>
      </c>
      <c r="IP23" s="4">
        <f>IFERROR(HN23/'McDonough &amp; Sun 1995 values'!Y$2,)</f>
        <v>0</v>
      </c>
      <c r="IQ23" s="4">
        <f>IFERROR(HO23/'McDonough &amp; Sun 1995 values'!Z$2,)</f>
        <v>0</v>
      </c>
      <c r="IR23" s="4">
        <f>IFERROR(HP23/'McDonough &amp; Sun 1995 values'!AA$2,)</f>
        <v>0</v>
      </c>
      <c r="IS23" s="4">
        <f>IFERROR(HQ23/'McDonough &amp; Sun 1995 values'!AB$2,)</f>
        <v>0</v>
      </c>
      <c r="IT23" s="4">
        <f>IFERROR(HR23/'McDonough &amp; Sun 1995 values'!AC$2,)</f>
        <v>0</v>
      </c>
    </row>
    <row r="24" spans="1:254">
      <c r="A24" s="16" t="s">
        <v>1179</v>
      </c>
      <c r="B24" s="16" t="s">
        <v>24</v>
      </c>
      <c r="C24" s="16" t="str">
        <f t="shared" si="0"/>
        <v>high-Mg carbonatitic</v>
      </c>
      <c r="D24" s="16" t="s">
        <v>1709</v>
      </c>
      <c r="E24" s="16" t="s">
        <v>237</v>
      </c>
      <c r="F24" s="16" t="s">
        <v>29</v>
      </c>
      <c r="G24" s="16" t="s">
        <v>595</v>
      </c>
      <c r="H24" s="27">
        <v>360</v>
      </c>
      <c r="I24" s="16" t="s">
        <v>712</v>
      </c>
      <c r="J24" s="16">
        <v>0</v>
      </c>
      <c r="K24" s="16" t="s">
        <v>913</v>
      </c>
      <c r="L24" s="16">
        <v>0</v>
      </c>
      <c r="M24" s="16" t="s">
        <v>49</v>
      </c>
      <c r="N24" s="16" t="s">
        <v>1084</v>
      </c>
      <c r="O24" s="26">
        <v>4.2</v>
      </c>
      <c r="P24" s="26">
        <v>1.5</v>
      </c>
      <c r="Q24" s="26">
        <v>0.5</v>
      </c>
      <c r="R24" s="26">
        <v>0.9</v>
      </c>
      <c r="S24" s="26">
        <v>8.3000000000000007</v>
      </c>
      <c r="T24" s="26">
        <v>49.9</v>
      </c>
      <c r="U24" s="26">
        <v>0.9</v>
      </c>
      <c r="V24" s="26">
        <v>23.7</v>
      </c>
      <c r="W24" s="26">
        <v>6</v>
      </c>
      <c r="X24" s="26">
        <v>0.9</v>
      </c>
      <c r="Y24" s="26"/>
      <c r="Z24" s="26">
        <v>2.1</v>
      </c>
      <c r="AA24" s="26"/>
      <c r="AB24" s="26"/>
      <c r="AC24" s="26"/>
      <c r="AD24" s="26">
        <v>0.7</v>
      </c>
      <c r="AE24" s="26"/>
      <c r="AF24" s="26">
        <v>0.5</v>
      </c>
      <c r="AG24" s="26"/>
      <c r="AH24" s="26"/>
      <c r="AI24" s="26"/>
      <c r="AJ24" s="26">
        <f t="shared" si="62"/>
        <v>98.2</v>
      </c>
      <c r="AK24" s="26">
        <f t="shared" si="63"/>
        <v>4.2838769820375822</v>
      </c>
      <c r="AL24" s="26">
        <f t="shared" si="1"/>
        <v>1.5299560650134223</v>
      </c>
      <c r="AM24" s="26">
        <f t="shared" si="2"/>
        <v>0.91797363900805329</v>
      </c>
      <c r="AN24" s="26">
        <f t="shared" si="64"/>
        <v>8.4657568930742713</v>
      </c>
      <c r="AO24" s="26">
        <f t="shared" si="65"/>
        <v>50.896538429446515</v>
      </c>
      <c r="AP24" s="26">
        <f t="shared" si="3"/>
        <v>24.173305827212069</v>
      </c>
      <c r="AQ24" s="26">
        <f t="shared" si="4"/>
        <v>0</v>
      </c>
      <c r="AR24" s="26">
        <f t="shared" si="5"/>
        <v>6.1198242600536892</v>
      </c>
      <c r="AS24" s="26">
        <f t="shared" si="66"/>
        <v>0.91797363900805329</v>
      </c>
      <c r="AT24" s="26">
        <f t="shared" si="6"/>
        <v>2.1419384910187911</v>
      </c>
      <c r="AU24" s="26">
        <f t="shared" si="67"/>
        <v>0.71397949700626362</v>
      </c>
      <c r="AV24" s="26">
        <f t="shared" si="7"/>
        <v>100.16112372287871</v>
      </c>
      <c r="AW24" s="16"/>
      <c r="AX24" s="16"/>
      <c r="AY24" s="16"/>
      <c r="AZ24" s="16"/>
      <c r="BA24" s="26"/>
      <c r="BB24" s="26">
        <v>0.04</v>
      </c>
      <c r="BC24" s="26">
        <f t="shared" si="71"/>
        <v>4.0000000000000036E-2</v>
      </c>
      <c r="BD24" s="26">
        <f t="shared" si="72"/>
        <v>0.96</v>
      </c>
      <c r="BE24" s="16"/>
      <c r="BF24" s="16"/>
      <c r="BG24" s="16" t="s">
        <v>938</v>
      </c>
      <c r="BH24" s="16" t="s">
        <v>939</v>
      </c>
      <c r="BI24" s="16" t="s">
        <v>940</v>
      </c>
      <c r="BJ24" s="16"/>
      <c r="BK24" s="18"/>
      <c r="BL24" s="18"/>
      <c r="BM24" s="18"/>
      <c r="BN24" s="18"/>
      <c r="BO24" s="18"/>
      <c r="BP24" s="18"/>
      <c r="BQ24" s="18"/>
      <c r="BR24" s="18">
        <v>1428</v>
      </c>
      <c r="BS24" s="18"/>
      <c r="BT24" s="18"/>
      <c r="BU24" s="18">
        <v>7.82</v>
      </c>
      <c r="BV24" s="18">
        <v>7.95</v>
      </c>
      <c r="BW24" s="18"/>
      <c r="BX24" s="18">
        <v>10.6</v>
      </c>
      <c r="BY24" s="18">
        <v>2.93</v>
      </c>
      <c r="BZ24" s="18">
        <v>1.1399999999999999</v>
      </c>
      <c r="CA24" s="18">
        <v>0.42</v>
      </c>
      <c r="CB24" s="18">
        <v>1.02</v>
      </c>
      <c r="CC24" s="18"/>
      <c r="CD24" s="18"/>
      <c r="CE24" s="18"/>
      <c r="CF24" s="18"/>
      <c r="CG24" s="18"/>
      <c r="CH24" s="18">
        <v>3.35</v>
      </c>
      <c r="CI24" s="18">
        <v>22.2</v>
      </c>
      <c r="CJ24" s="18">
        <v>0.02</v>
      </c>
      <c r="CK24" s="18">
        <v>0.45</v>
      </c>
      <c r="CL24" s="18"/>
      <c r="CM24" s="18">
        <v>3.07</v>
      </c>
      <c r="CN24" s="18"/>
      <c r="CO24" s="18"/>
      <c r="CP24" s="18"/>
      <c r="CQ24" s="18"/>
      <c r="CR24" s="18">
        <v>0.05</v>
      </c>
      <c r="CS24" s="18">
        <v>40.1</v>
      </c>
      <c r="CT24" s="18">
        <v>0.73</v>
      </c>
      <c r="CU24" s="18">
        <v>2.4900000000000002</v>
      </c>
      <c r="CV24" s="18">
        <v>4.76</v>
      </c>
      <c r="CW24" s="18">
        <v>0.44</v>
      </c>
      <c r="CX24" s="18">
        <v>1.5</v>
      </c>
      <c r="CY24" s="18">
        <v>0.12</v>
      </c>
      <c r="CZ24" s="18">
        <v>0.03</v>
      </c>
      <c r="DA24" s="18">
        <v>0.05</v>
      </c>
      <c r="DB24" s="18">
        <v>0.02</v>
      </c>
      <c r="DC24" s="18">
        <v>0.02</v>
      </c>
      <c r="DD24" s="18">
        <v>0.01</v>
      </c>
      <c r="DE24" s="18">
        <v>0.01</v>
      </c>
      <c r="DF24" s="18">
        <v>0.01</v>
      </c>
      <c r="DG24" s="18" t="s">
        <v>491</v>
      </c>
      <c r="DH24" s="18">
        <v>0.02</v>
      </c>
      <c r="DI24" s="18">
        <v>0.14000000000000001</v>
      </c>
      <c r="DJ24" s="18"/>
      <c r="DK24" s="18">
        <v>0.44</v>
      </c>
      <c r="DL24" s="18">
        <v>0.28000000000000003</v>
      </c>
      <c r="DM24" s="18">
        <v>7.0000000000000007E-2</v>
      </c>
      <c r="DN24" s="18"/>
      <c r="DO24" s="18"/>
      <c r="DP24" s="18"/>
      <c r="DQ24" s="18"/>
      <c r="DR24" s="18"/>
      <c r="DS24" s="18"/>
      <c r="DT24" s="18"/>
      <c r="DU24" s="18"/>
      <c r="DV24" s="28"/>
      <c r="DW24" s="28"/>
      <c r="DX24" s="28"/>
      <c r="DY24" s="28"/>
      <c r="DZ24" s="28"/>
      <c r="EA24" s="28"/>
      <c r="EB24" s="28"/>
      <c r="EC24" s="28"/>
      <c r="ED24" s="28"/>
      <c r="EE24" s="28"/>
      <c r="EF24" s="28"/>
      <c r="EG24" s="28"/>
      <c r="EH24" s="28"/>
      <c r="EI24" s="28"/>
      <c r="EJ24" s="18"/>
      <c r="EK24" s="18"/>
      <c r="EL24" s="18">
        <f>IFERROR(CR24/'McDonough &amp; Sun 1995 values'!C$2,)</f>
        <v>2.3809523809523809</v>
      </c>
      <c r="EM24" s="18">
        <f>IFERROR(CH24/'McDonough &amp; Sun 1995 values'!D$2,)</f>
        <v>5.5833333333333339</v>
      </c>
      <c r="EN24" s="18">
        <f>IFERROR(CS24/'McDonough &amp; Sun 1995 values'!E$2,)</f>
        <v>6.0757575757575761</v>
      </c>
      <c r="EO24" s="18">
        <f>IFERROR(DL24/'McDonough &amp; Sun 1995 values'!F$2,)</f>
        <v>3.5220125786163523</v>
      </c>
      <c r="EP24" s="18">
        <f>IFERROR(DM24/'McDonough &amp; Sun 1995 values'!G$2,)</f>
        <v>3.4482758620689662</v>
      </c>
      <c r="EQ24" s="18">
        <f>IFERROR(BR24/'McDonough &amp; Sun 1995 values'!H$2,)</f>
        <v>5.95</v>
      </c>
      <c r="ER24" s="18">
        <f>IFERROR(DI24/'McDonough &amp; Sun 1995 values'!I$2,)</f>
        <v>3.7837837837837842</v>
      </c>
      <c r="ES24" s="18">
        <f>IFERROR(CM24/'McDonough &amp; Sun 1995 values'!J$2,)</f>
        <v>4.6656534954407292</v>
      </c>
      <c r="ET24" s="18">
        <f>IFERROR(CU24/'McDonough &amp; Sun 1995 values'!K$2,)</f>
        <v>3.842592592592593</v>
      </c>
      <c r="EU24" s="18">
        <f>IFERROR(CV24/'McDonough &amp; Sun 1995 values'!L$2,)</f>
        <v>2.841791044776119</v>
      </c>
      <c r="EV24" s="18">
        <f>IFERROR(CW24/'McDonough &amp; Sun 1995 values'!M$2,)</f>
        <v>1.7322834645669292</v>
      </c>
      <c r="EW24" s="18">
        <f>IFERROR(CI24/'McDonough &amp; Sun 1995 values'!N$2,)</f>
        <v>1.1155778894472361</v>
      </c>
      <c r="EX24" s="18">
        <f>IFERROR(CX24/'McDonough &amp; Sun 1995 values'!O$2,)</f>
        <v>1.2</v>
      </c>
      <c r="EY24" s="18">
        <f>IFERROR(CY24/'McDonough &amp; Sun 1995 values'!P$2,)</f>
        <v>0.29556650246305416</v>
      </c>
      <c r="EZ24" s="18">
        <f>IFERROR(DH24/'McDonough &amp; Sun 1995 values'!Q$2,)</f>
        <v>7.0671378091872794E-2</v>
      </c>
      <c r="FA24" s="18">
        <f>IFERROR(CK24/'McDonough &amp; Sun 1995 values'!R$2,)</f>
        <v>4.2857142857142858E-2</v>
      </c>
      <c r="FB24" s="18">
        <f>IFERROR(CZ24/'McDonough &amp; Sun 1995 values'!S$2,)</f>
        <v>0.19480519480519479</v>
      </c>
      <c r="FC24" s="18">
        <f>IFERROR(BT24/'McDonough &amp; Sun 1995 values'!T$2,)</f>
        <v>0</v>
      </c>
      <c r="FD24" s="18">
        <f>IFERROR(DA24/'McDonough &amp; Sun 1995 values'!U$2,)</f>
        <v>9.1911764705882346E-2</v>
      </c>
      <c r="FE24" s="18">
        <f>IFERROR(DN24/'McDonough &amp; Sun 1995 values'!V$2,)</f>
        <v>0</v>
      </c>
      <c r="FF24" s="18">
        <f>IFERROR(DB24/'McDonough &amp; Sun 1995 values'!W$2,)</f>
        <v>2.9673590504451036E-2</v>
      </c>
      <c r="FG24" s="18">
        <f>IFERROR(CJ24/'McDonough &amp; Sun 1995 values'!X$2,)</f>
        <v>4.6511627906976744E-3</v>
      </c>
      <c r="FH24" s="18">
        <f>IFERROR(DC24/'McDonough &amp; Sun 1995 values'!Y$2,)</f>
        <v>0.13422818791946309</v>
      </c>
      <c r="FI24" s="18">
        <f>IFERROR(DD24/'McDonough &amp; Sun 1995 values'!Z$2,)</f>
        <v>2.2831050228310501E-2</v>
      </c>
      <c r="FJ24" s="18">
        <f>IFERROR(DE24/'McDonough &amp; Sun 1995 values'!AA$2,)</f>
        <v>0.14705882352941177</v>
      </c>
      <c r="FK24" s="18">
        <f>IFERROR(DF24/'McDonough &amp; Sun 1995 values'!AB$2,)</f>
        <v>2.2675736961451247E-2</v>
      </c>
      <c r="FL24" s="18">
        <f>IFERROR(DG24/'McDonough &amp; Sun 1995 values'!AC$2,)</f>
        <v>0</v>
      </c>
      <c r="FN24" s="28">
        <f t="shared" si="68"/>
        <v>0.57954216169226325</v>
      </c>
      <c r="FO24" s="4">
        <f t="shared" si="8"/>
        <v>1.7619696969696967</v>
      </c>
      <c r="FP24" s="4">
        <f t="shared" si="9"/>
        <v>0.75488087189887942</v>
      </c>
      <c r="FQ24" s="4">
        <f t="shared" si="10"/>
        <v>1.0213836477987419</v>
      </c>
      <c r="FR24" s="4">
        <f t="shared" si="11"/>
        <v>0.8235915068162627</v>
      </c>
      <c r="FS24" s="4">
        <f t="shared" si="12"/>
        <v>1.0155423280423281</v>
      </c>
      <c r="FT24" s="4">
        <f t="shared" si="13"/>
        <v>2.3450000000000002</v>
      </c>
      <c r="FU24" s="4">
        <f t="shared" si="14"/>
        <v>0.81098688264812058</v>
      </c>
      <c r="FV24" s="4">
        <f t="shared" si="15"/>
        <v>0.14500000000000002</v>
      </c>
      <c r="FW24" s="4">
        <f t="shared" si="16"/>
        <v>0.60642857142857143</v>
      </c>
      <c r="FX24" s="4">
        <f t="shared" si="17"/>
        <v>1.0055025600713845</v>
      </c>
      <c r="FY24" s="4">
        <f t="shared" si="18"/>
        <v>0.77374845543193083</v>
      </c>
      <c r="FZ24" s="4">
        <f t="shared" si="19"/>
        <v>1.1819180776961185</v>
      </c>
      <c r="GA24" s="4">
        <f t="shared" si="20"/>
        <v>0.64399269072635901</v>
      </c>
      <c r="GB24" s="4">
        <f t="shared" si="21"/>
        <v>0.65909090909090906</v>
      </c>
      <c r="GC24" s="4">
        <f t="shared" si="22"/>
        <v>0.42643923240938164</v>
      </c>
      <c r="GD24" s="4">
        <f t="shared" si="23"/>
        <v>1.7250811688311689</v>
      </c>
      <c r="GE24" s="4">
        <f t="shared" si="24"/>
        <v>1.0881953867028493</v>
      </c>
      <c r="GF24" s="4">
        <f t="shared" si="25"/>
        <v>1.0211357270180801</v>
      </c>
      <c r="GG24" s="4">
        <f t="shared" si="26"/>
        <v>1.3022307768236108</v>
      </c>
      <c r="GH24" s="4">
        <f t="shared" si="27"/>
        <v>2.2182239057239057</v>
      </c>
      <c r="GI24" s="4">
        <f t="shared" si="28"/>
        <v>13.000771604938274</v>
      </c>
      <c r="GJ24" s="4">
        <f t="shared" si="29"/>
        <v>129.49537037037038</v>
      </c>
      <c r="GK24" s="4">
        <f t="shared" si="30"/>
        <v>169.45833333333334</v>
      </c>
      <c r="GL24" s="4">
        <f t="shared" si="31"/>
        <v>0</v>
      </c>
      <c r="GM24" s="4">
        <f t="shared" si="32"/>
        <v>0.63080822303576456</v>
      </c>
      <c r="GN24" s="4">
        <f t="shared" si="33"/>
        <v>1.2141941626689126</v>
      </c>
      <c r="GO24" s="4">
        <f t="shared" si="34"/>
        <v>1.3530395136778113</v>
      </c>
      <c r="GP24" s="4">
        <f t="shared" si="35"/>
        <v>1.7254999999999998</v>
      </c>
      <c r="GQ24" s="27">
        <f t="shared" si="70"/>
        <v>7620.4416248115849</v>
      </c>
      <c r="GR24" s="28">
        <f t="shared" si="69"/>
        <v>0.26682218574270261</v>
      </c>
      <c r="GS24" s="28">
        <f t="shared" si="36"/>
        <v>17.877086444761069</v>
      </c>
      <c r="GT24" s="28">
        <f t="shared" si="37"/>
        <v>213.99139296564746</v>
      </c>
      <c r="GU24" s="28">
        <f t="shared" si="38"/>
        <v>1.4942042401591344</v>
      </c>
      <c r="GV24" s="28">
        <f t="shared" si="39"/>
        <v>0.37355106003978361</v>
      </c>
      <c r="GW24" s="28">
        <f t="shared" si="40"/>
        <v>7620.4416248115849</v>
      </c>
      <c r="GX24" s="28">
        <f t="shared" si="41"/>
        <v>0.74710212007956722</v>
      </c>
      <c r="GY24" s="28">
        <f t="shared" si="42"/>
        <v>16.382882204601938</v>
      </c>
      <c r="GZ24" s="28">
        <f t="shared" si="43"/>
        <v>13.287744849986588</v>
      </c>
      <c r="HA24" s="28">
        <f t="shared" si="44"/>
        <v>25.401472082705283</v>
      </c>
      <c r="HB24" s="28">
        <f t="shared" si="45"/>
        <v>2.3480352345357827</v>
      </c>
      <c r="HC24" s="28">
        <f t="shared" si="46"/>
        <v>118.46905046975994</v>
      </c>
      <c r="HD24" s="28">
        <f t="shared" si="47"/>
        <v>8.0046655722810769</v>
      </c>
      <c r="HE24" s="28">
        <f t="shared" si="48"/>
        <v>0.64037324578248611</v>
      </c>
      <c r="HF24" s="28">
        <f t="shared" si="49"/>
        <v>0.10672887429708103</v>
      </c>
      <c r="HG24" s="28">
        <f t="shared" si="50"/>
        <v>2.4013996716843233</v>
      </c>
      <c r="HH24" s="28">
        <f t="shared" si="51"/>
        <v>0.16009331144562153</v>
      </c>
      <c r="HI24" s="28">
        <f t="shared" si="52"/>
        <v>0</v>
      </c>
      <c r="HJ24" s="28">
        <f t="shared" si="53"/>
        <v>0.26682218574270261</v>
      </c>
      <c r="HK24" s="28">
        <f t="shared" si="54"/>
        <v>0</v>
      </c>
      <c r="HL24" s="28">
        <f t="shared" si="55"/>
        <v>0.10672887429708103</v>
      </c>
      <c r="HM24" s="28">
        <f t="shared" si="56"/>
        <v>0.10672887429708103</v>
      </c>
      <c r="HN24" s="28">
        <f t="shared" si="57"/>
        <v>0.10672887429708103</v>
      </c>
      <c r="HO24" s="28">
        <f t="shared" si="58"/>
        <v>5.3364437148540514E-2</v>
      </c>
      <c r="HP24" s="28">
        <f t="shared" si="59"/>
        <v>5.3364437148540514E-2</v>
      </c>
      <c r="HQ24" s="28">
        <f t="shared" si="60"/>
        <v>5.3364437148540514E-2</v>
      </c>
      <c r="HR24" s="28" t="str">
        <f t="shared" si="61"/>
        <v/>
      </c>
      <c r="HT24" s="4">
        <f>IFERROR(GR24/'McDonough &amp; Sun 1995 values'!C$2,)</f>
        <v>12.705818368700124</v>
      </c>
      <c r="HU24" s="4">
        <f>IFERROR(GS24/'McDonough &amp; Sun 1995 values'!D$2,)</f>
        <v>29.795144074601783</v>
      </c>
      <c r="HV24" s="4">
        <f>IFERROR(GT24/'McDonough &amp; Sun 1995 values'!E$2,)</f>
        <v>32.422938328128403</v>
      </c>
      <c r="HW24" s="4">
        <f>IFERROR(GU24/'McDonough &amp; Sun 1995 values'!F$2,)</f>
        <v>18.795021888794142</v>
      </c>
      <c r="HX24" s="4">
        <f>IFERROR(GV24/'McDonough &amp; Sun 1995 values'!G$2,)</f>
        <v>18.40153005122087</v>
      </c>
      <c r="HY24" s="4">
        <f>IFERROR(GW24/'McDonough &amp; Sun 1995 values'!H$2,)</f>
        <v>31.751840103381603</v>
      </c>
      <c r="HZ24" s="4">
        <f>IFERROR(GX24/'McDonough &amp; Sun 1995 values'!I$2,)</f>
        <v>20.191949191339656</v>
      </c>
      <c r="IA24" s="4">
        <f>IFERROR(GY24/'McDonough &amp; Sun 1995 values'!J$2,)</f>
        <v>24.897997271431514</v>
      </c>
      <c r="IB24" s="4">
        <f>IFERROR(GZ24/'McDonough &amp; Sun 1995 values'!K$2,)</f>
        <v>20.505779089485475</v>
      </c>
      <c r="IC24" s="4">
        <f>IFERROR(HA24/'McDonough &amp; Sun 1995 values'!L$2,)</f>
        <v>15.165057959824049</v>
      </c>
      <c r="ID24" s="4">
        <f>IFERROR(HB24/'McDonough &amp; Sun 1995 values'!M$2,)</f>
        <v>9.2442332068337905</v>
      </c>
      <c r="IE24" s="4">
        <f>IFERROR(HC24/'McDonough &amp; Sun 1995 values'!N$2,)</f>
        <v>5.9532186165708518</v>
      </c>
      <c r="IF24" s="4">
        <f>IFERROR(HD24/'McDonough &amp; Sun 1995 values'!O$2,)</f>
        <v>6.4037324578248613</v>
      </c>
      <c r="IG24" s="4">
        <f>IFERROR(HE24/'McDonough &amp; Sun 1995 values'!P$2,)</f>
        <v>1.5772740043903597</v>
      </c>
      <c r="IH24" s="4">
        <f>IFERROR(HF24/'McDonough &amp; Sun 1995 values'!Q$2,)</f>
        <v>0.37713383143844892</v>
      </c>
      <c r="II24" s="4">
        <f>IFERROR(HG24/'McDonough &amp; Sun 1995 values'!R$2,)</f>
        <v>0.22870473063660221</v>
      </c>
      <c r="IJ24" s="4">
        <f>IFERROR(HH24/'McDonough &amp; Sun 1995 values'!S$2,)</f>
        <v>1.0395669574391009</v>
      </c>
      <c r="IK24" s="4">
        <f>IFERROR(HI24/'McDonough &amp; Sun 1995 values'!T$2,)</f>
        <v>0</v>
      </c>
      <c r="IL24" s="4">
        <f>IFERROR(HJ24/'McDonough &amp; Sun 1995 values'!U$2,)</f>
        <v>0.49048195908585035</v>
      </c>
      <c r="IM24" s="4">
        <f>IFERROR(HK24/'McDonough &amp; Sun 1995 values'!V$2,)</f>
        <v>0</v>
      </c>
      <c r="IN24" s="4">
        <f>IFERROR(HL24/'McDonough &amp; Sun 1995 values'!W$2,)</f>
        <v>0.1583514455446306</v>
      </c>
      <c r="IO24" s="4">
        <f>IFERROR(HM24/'McDonough &amp; Sun 1995 values'!X$2,)</f>
        <v>2.4820668441181637E-2</v>
      </c>
      <c r="IP24" s="4">
        <f>IFERROR(HN24/'McDonough &amp; Sun 1995 values'!Y$2,)</f>
        <v>0.71630116977906733</v>
      </c>
      <c r="IQ24" s="4">
        <f>IFERROR(HO24/'McDonough &amp; Sun 1995 values'!Z$2,)</f>
        <v>0.12183661449438474</v>
      </c>
      <c r="IR24" s="4">
        <f>IFERROR(HP24/'McDonough &amp; Sun 1995 values'!AA$2,)</f>
        <v>0.78477113453736047</v>
      </c>
      <c r="IS24" s="4">
        <f>IFERROR(HQ24/'McDonough &amp; Sun 1995 values'!AB$2,)</f>
        <v>0.12100779398762021</v>
      </c>
      <c r="IT24" s="4">
        <f>IFERROR(HR24/'McDonough &amp; Sun 1995 values'!AC$2,)</f>
        <v>0</v>
      </c>
    </row>
    <row r="25" spans="1:254">
      <c r="A25" s="16" t="s">
        <v>1179</v>
      </c>
      <c r="B25" s="16" t="s">
        <v>24</v>
      </c>
      <c r="C25" s="16" t="str">
        <f t="shared" si="0"/>
        <v>high-Mg carbonatitic</v>
      </c>
      <c r="D25" s="16" t="s">
        <v>1709</v>
      </c>
      <c r="E25" s="16" t="s">
        <v>237</v>
      </c>
      <c r="F25" s="16" t="s">
        <v>29</v>
      </c>
      <c r="G25" s="16" t="s">
        <v>595</v>
      </c>
      <c r="H25" s="27">
        <v>360</v>
      </c>
      <c r="I25" s="16" t="s">
        <v>712</v>
      </c>
      <c r="J25" s="16">
        <v>0</v>
      </c>
      <c r="K25" s="16" t="s">
        <v>913</v>
      </c>
      <c r="L25" s="16">
        <v>0</v>
      </c>
      <c r="M25" s="16" t="s">
        <v>52</v>
      </c>
      <c r="N25" s="16" t="s">
        <v>1084</v>
      </c>
      <c r="O25" s="26">
        <v>7.7</v>
      </c>
      <c r="P25" s="26">
        <v>0.1</v>
      </c>
      <c r="Q25" s="26"/>
      <c r="R25" s="26"/>
      <c r="S25" s="26">
        <v>3.4</v>
      </c>
      <c r="T25" s="26">
        <v>44.6</v>
      </c>
      <c r="U25" s="26">
        <v>7.5</v>
      </c>
      <c r="V25" s="26">
        <v>14.9</v>
      </c>
      <c r="W25" s="26">
        <v>13.1</v>
      </c>
      <c r="X25" s="26">
        <v>7</v>
      </c>
      <c r="Y25" s="26"/>
      <c r="Z25" s="26">
        <v>0.8</v>
      </c>
      <c r="AA25" s="26"/>
      <c r="AB25" s="26"/>
      <c r="AC25" s="26"/>
      <c r="AD25" s="26">
        <v>1</v>
      </c>
      <c r="AE25" s="26"/>
      <c r="AF25" s="26"/>
      <c r="AG25" s="26"/>
      <c r="AH25" s="26"/>
      <c r="AI25" s="26"/>
      <c r="AJ25" s="26">
        <f t="shared" si="62"/>
        <v>92.6</v>
      </c>
      <c r="AK25" s="26">
        <f t="shared" si="63"/>
        <v>8.3356490883050824</v>
      </c>
      <c r="AL25" s="26">
        <f t="shared" si="1"/>
        <v>0.10825518296500107</v>
      </c>
      <c r="AM25" s="26">
        <f t="shared" si="2"/>
        <v>0</v>
      </c>
      <c r="AN25" s="26">
        <f t="shared" si="64"/>
        <v>3.6806762208100361</v>
      </c>
      <c r="AO25" s="26">
        <f t="shared" si="65"/>
        <v>48.281811602390476</v>
      </c>
      <c r="AP25" s="26">
        <f t="shared" si="3"/>
        <v>16.130022261785161</v>
      </c>
      <c r="AQ25" s="26">
        <f t="shared" si="4"/>
        <v>0</v>
      </c>
      <c r="AR25" s="26">
        <f t="shared" si="5"/>
        <v>14.181428968415139</v>
      </c>
      <c r="AS25" s="26">
        <f t="shared" si="66"/>
        <v>7.5778628075500745</v>
      </c>
      <c r="AT25" s="26">
        <f t="shared" si="6"/>
        <v>0.86604146372000856</v>
      </c>
      <c r="AU25" s="26">
        <f t="shared" si="67"/>
        <v>1.0825518296500107</v>
      </c>
      <c r="AV25" s="26">
        <f t="shared" si="7"/>
        <v>100.244299425591</v>
      </c>
      <c r="AW25" s="16"/>
      <c r="AX25" s="16"/>
      <c r="AY25" s="16"/>
      <c r="AZ25" s="16"/>
      <c r="BA25" s="26"/>
      <c r="BB25" s="26">
        <v>7.0000000000000007E-2</v>
      </c>
      <c r="BC25" s="26">
        <f t="shared" si="71"/>
        <v>7.0000000000000062E-2</v>
      </c>
      <c r="BD25" s="26">
        <f t="shared" si="72"/>
        <v>0.92999999999999994</v>
      </c>
      <c r="BE25" s="16"/>
      <c r="BF25" s="16"/>
      <c r="BG25" s="16"/>
      <c r="BH25" s="16"/>
      <c r="BI25" s="16"/>
      <c r="BJ25" s="16"/>
      <c r="BK25" s="18"/>
      <c r="BL25" s="18"/>
      <c r="BM25" s="18"/>
      <c r="BN25" s="18"/>
      <c r="BO25" s="18"/>
      <c r="BP25" s="18"/>
      <c r="BQ25" s="18"/>
      <c r="BR25" s="18">
        <v>104</v>
      </c>
      <c r="BS25" s="18"/>
      <c r="BT25" s="18"/>
      <c r="BU25" s="18">
        <v>2.39</v>
      </c>
      <c r="BV25" s="18">
        <v>0.53</v>
      </c>
      <c r="BW25" s="18"/>
      <c r="BX25" s="18">
        <v>2.02</v>
      </c>
      <c r="BY25" s="18">
        <v>0.09</v>
      </c>
      <c r="BZ25" s="18">
        <v>0.3</v>
      </c>
      <c r="CA25" s="18">
        <v>0.04</v>
      </c>
      <c r="CB25" s="18">
        <v>7.0000000000000007E-2</v>
      </c>
      <c r="CC25" s="18"/>
      <c r="CD25" s="18"/>
      <c r="CE25" s="18"/>
      <c r="CF25" s="18"/>
      <c r="CG25" s="18"/>
      <c r="CH25" s="18">
        <v>0.38</v>
      </c>
      <c r="CI25" s="18">
        <v>1.1399999999999999</v>
      </c>
      <c r="CJ25" s="18" t="s">
        <v>491</v>
      </c>
      <c r="CK25" s="18">
        <v>0.02</v>
      </c>
      <c r="CL25" s="18"/>
      <c r="CM25" s="18">
        <v>7.0000000000000007E-2</v>
      </c>
      <c r="CN25" s="18"/>
      <c r="CO25" s="18"/>
      <c r="CP25" s="18"/>
      <c r="CQ25" s="18"/>
      <c r="CR25" s="18" t="s">
        <v>491</v>
      </c>
      <c r="CS25" s="18">
        <v>2.13</v>
      </c>
      <c r="CT25" s="18">
        <v>0.05</v>
      </c>
      <c r="CU25" s="18">
        <v>0.15</v>
      </c>
      <c r="CV25" s="18">
        <v>0.31</v>
      </c>
      <c r="CW25" s="18">
        <v>0.03</v>
      </c>
      <c r="CX25" s="18">
        <v>0.1</v>
      </c>
      <c r="CY25" s="18">
        <v>0.01</v>
      </c>
      <c r="CZ25" s="18"/>
      <c r="DA25" s="18" t="s">
        <v>491</v>
      </c>
      <c r="DB25" s="18" t="s">
        <v>491</v>
      </c>
      <c r="DC25" s="18" t="s">
        <v>491</v>
      </c>
      <c r="DD25" s="18" t="s">
        <v>491</v>
      </c>
      <c r="DE25" s="18" t="s">
        <v>491</v>
      </c>
      <c r="DF25" s="18" t="s">
        <v>491</v>
      </c>
      <c r="DG25" s="18" t="s">
        <v>491</v>
      </c>
      <c r="DH25" s="18" t="s">
        <v>491</v>
      </c>
      <c r="DI25" s="18">
        <v>0.01</v>
      </c>
      <c r="DJ25" s="18"/>
      <c r="DK25" s="18">
        <v>0.05</v>
      </c>
      <c r="DL25" s="18">
        <v>0.02</v>
      </c>
      <c r="DM25" s="18"/>
      <c r="DN25" s="18"/>
      <c r="DO25" s="18"/>
      <c r="DP25" s="18"/>
      <c r="DQ25" s="18"/>
      <c r="DR25" s="18"/>
      <c r="DS25" s="18"/>
      <c r="DT25" s="18"/>
      <c r="DU25" s="18"/>
      <c r="DV25" s="28"/>
      <c r="DW25" s="28"/>
      <c r="DX25" s="28"/>
      <c r="DY25" s="28"/>
      <c r="DZ25" s="28"/>
      <c r="EA25" s="28"/>
      <c r="EB25" s="28"/>
      <c r="EC25" s="28"/>
      <c r="ED25" s="28"/>
      <c r="EE25" s="28"/>
      <c r="EF25" s="28"/>
      <c r="EG25" s="28"/>
      <c r="EH25" s="28"/>
      <c r="EI25" s="28"/>
      <c r="EJ25" s="18"/>
      <c r="EK25" s="18"/>
      <c r="EL25" s="18">
        <f>IFERROR(CR25/'McDonough &amp; Sun 1995 values'!C$2,)</f>
        <v>0</v>
      </c>
      <c r="EM25" s="18">
        <f>IFERROR(CH25/'McDonough &amp; Sun 1995 values'!D$2,)</f>
        <v>0.63333333333333341</v>
      </c>
      <c r="EN25" s="18">
        <f>IFERROR(CS25/'McDonough &amp; Sun 1995 values'!E$2,)</f>
        <v>0.32272727272727275</v>
      </c>
      <c r="EO25" s="18">
        <f>IFERROR(DL25/'McDonough &amp; Sun 1995 values'!F$2,)</f>
        <v>0.25157232704402516</v>
      </c>
      <c r="EP25" s="18">
        <f>IFERROR(DM25/'McDonough &amp; Sun 1995 values'!G$2,)</f>
        <v>0</v>
      </c>
      <c r="EQ25" s="18">
        <f>IFERROR(BR25/'McDonough &amp; Sun 1995 values'!H$2,)</f>
        <v>0.43333333333333335</v>
      </c>
      <c r="ER25" s="18">
        <f>IFERROR(DI25/'McDonough &amp; Sun 1995 values'!I$2,)</f>
        <v>0.27027027027027029</v>
      </c>
      <c r="ES25" s="18">
        <f>IFERROR(CM25/'McDonough &amp; Sun 1995 values'!J$2,)</f>
        <v>0.10638297872340426</v>
      </c>
      <c r="ET25" s="18">
        <f>IFERROR(CU25/'McDonough &amp; Sun 1995 values'!K$2,)</f>
        <v>0.23148148148148145</v>
      </c>
      <c r="EU25" s="18">
        <f>IFERROR(CV25/'McDonough &amp; Sun 1995 values'!L$2,)</f>
        <v>0.18507462686567164</v>
      </c>
      <c r="EV25" s="18">
        <f>IFERROR(CW25/'McDonough &amp; Sun 1995 values'!M$2,)</f>
        <v>0.11811023622047244</v>
      </c>
      <c r="EW25" s="18">
        <f>IFERROR(CI25/'McDonough &amp; Sun 1995 values'!N$2,)</f>
        <v>5.7286432160804021E-2</v>
      </c>
      <c r="EX25" s="18">
        <f>IFERROR(CX25/'McDonough &amp; Sun 1995 values'!O$2,)</f>
        <v>0.08</v>
      </c>
      <c r="EY25" s="18">
        <f>IFERROR(CY25/'McDonough &amp; Sun 1995 values'!P$2,)</f>
        <v>2.463054187192118E-2</v>
      </c>
      <c r="EZ25" s="18">
        <f>IFERROR(DH25/'McDonough &amp; Sun 1995 values'!Q$2,)</f>
        <v>0</v>
      </c>
      <c r="FA25" s="18">
        <f>IFERROR(CK25/'McDonough &amp; Sun 1995 values'!R$2,)</f>
        <v>1.9047619047619048E-3</v>
      </c>
      <c r="FB25" s="18">
        <f>IFERROR(CZ25/'McDonough &amp; Sun 1995 values'!S$2,)</f>
        <v>0</v>
      </c>
      <c r="FC25" s="18">
        <f>IFERROR(BT25/'McDonough &amp; Sun 1995 values'!T$2,)</f>
        <v>0</v>
      </c>
      <c r="FD25" s="18">
        <f>IFERROR(DA25/'McDonough &amp; Sun 1995 values'!U$2,)</f>
        <v>0</v>
      </c>
      <c r="FE25" s="18">
        <f>IFERROR(DN25/'McDonough &amp; Sun 1995 values'!V$2,)</f>
        <v>0</v>
      </c>
      <c r="FF25" s="18">
        <f>IFERROR(DB25/'McDonough &amp; Sun 1995 values'!W$2,)</f>
        <v>0</v>
      </c>
      <c r="FG25" s="18">
        <f>IFERROR(CJ25/'McDonough &amp; Sun 1995 values'!X$2,)</f>
        <v>0</v>
      </c>
      <c r="FH25" s="18">
        <f>IFERROR(DC25/'McDonough &amp; Sun 1995 values'!Y$2,)</f>
        <v>0</v>
      </c>
      <c r="FI25" s="18">
        <f>IFERROR(DD25/'McDonough &amp; Sun 1995 values'!Z$2,)</f>
        <v>0</v>
      </c>
      <c r="FJ25" s="18">
        <f>IFERROR(DE25/'McDonough &amp; Sun 1995 values'!AA$2,)</f>
        <v>0</v>
      </c>
      <c r="FK25" s="18">
        <f>IFERROR(DF25/'McDonough &amp; Sun 1995 values'!AB$2,)</f>
        <v>0</v>
      </c>
      <c r="FL25" s="18">
        <f>IFERROR(DG25/'McDonough &amp; Sun 1995 values'!AC$2,)</f>
        <v>0</v>
      </c>
      <c r="FN25" s="28">
        <f t="shared" si="68"/>
        <v>0</v>
      </c>
      <c r="FO25" s="4">
        <f t="shared" si="8"/>
        <v>0</v>
      </c>
      <c r="FP25" s="4">
        <f t="shared" si="9"/>
        <v>2.3647798742138364</v>
      </c>
      <c r="FQ25" s="4">
        <f t="shared" si="10"/>
        <v>0</v>
      </c>
      <c r="FR25" s="4">
        <f t="shared" si="11"/>
        <v>2.1759259259259256</v>
      </c>
      <c r="FS25" s="4">
        <f t="shared" si="12"/>
        <v>0.85648148148148129</v>
      </c>
      <c r="FT25" s="4">
        <f t="shared" si="13"/>
        <v>0</v>
      </c>
      <c r="FU25" s="4">
        <f t="shared" si="14"/>
        <v>2.5405405405405408</v>
      </c>
      <c r="FV25" s="4">
        <f t="shared" si="15"/>
        <v>7.7333333333333337E-2</v>
      </c>
      <c r="FW25" s="4">
        <f t="shared" si="16"/>
        <v>0</v>
      </c>
      <c r="FX25" s="4">
        <f t="shared" si="17"/>
        <v>0</v>
      </c>
      <c r="FY25" s="4">
        <f t="shared" si="18"/>
        <v>0.58933605603659966</v>
      </c>
      <c r="FZ25" s="4">
        <f t="shared" si="19"/>
        <v>0</v>
      </c>
      <c r="GA25" s="4">
        <f t="shared" si="20"/>
        <v>0.48502512562814071</v>
      </c>
      <c r="GB25" s="4">
        <f t="shared" si="21"/>
        <v>0</v>
      </c>
      <c r="GC25" s="4">
        <f t="shared" si="22"/>
        <v>0</v>
      </c>
      <c r="GD25" s="4">
        <f t="shared" si="23"/>
        <v>1.2828409090909092</v>
      </c>
      <c r="GE25" s="4">
        <f t="shared" si="24"/>
        <v>0.50956937799043056</v>
      </c>
      <c r="GF25" s="4">
        <f t="shared" si="25"/>
        <v>0.74475524475524479</v>
      </c>
      <c r="GG25" s="4">
        <f t="shared" si="26"/>
        <v>3.0336363636363637</v>
      </c>
      <c r="GH25" s="4">
        <f t="shared" si="27"/>
        <v>1.9598765432098764</v>
      </c>
      <c r="GI25" s="4">
        <f t="shared" si="28"/>
        <v>9.3981481481481488</v>
      </c>
      <c r="GJ25" s="4">
        <f t="shared" si="29"/>
        <v>0</v>
      </c>
      <c r="GK25" s="4">
        <f t="shared" si="30"/>
        <v>0</v>
      </c>
      <c r="GL25" s="4">
        <f t="shared" si="31"/>
        <v>0</v>
      </c>
      <c r="GM25" s="4">
        <f t="shared" si="32"/>
        <v>0.39721946375372386</v>
      </c>
      <c r="GN25" s="4">
        <f t="shared" si="33"/>
        <v>0.45957446808510644</v>
      </c>
      <c r="GO25" s="4">
        <f t="shared" si="34"/>
        <v>0</v>
      </c>
      <c r="GP25" s="4">
        <f t="shared" si="35"/>
        <v>0</v>
      </c>
      <c r="GQ25" s="27">
        <f t="shared" si="70"/>
        <v>62906.666065232806</v>
      </c>
      <c r="GR25" s="28" t="str">
        <f t="shared" si="69"/>
        <v/>
      </c>
      <c r="GS25" s="28">
        <f t="shared" si="36"/>
        <v>229.85127985373526</v>
      </c>
      <c r="GT25" s="28">
        <f t="shared" si="37"/>
        <v>1288.3769107590949</v>
      </c>
      <c r="GU25" s="28">
        <f t="shared" si="38"/>
        <v>12.097435781775539</v>
      </c>
      <c r="GV25" s="28">
        <f t="shared" si="39"/>
        <v>0</v>
      </c>
      <c r="GW25" s="28">
        <f t="shared" si="40"/>
        <v>62906.666065232806</v>
      </c>
      <c r="GX25" s="28">
        <f t="shared" si="41"/>
        <v>6.0487178908877697</v>
      </c>
      <c r="GY25" s="28">
        <f t="shared" si="42"/>
        <v>42.341025236214392</v>
      </c>
      <c r="GZ25" s="28">
        <f t="shared" si="43"/>
        <v>90.730768363316542</v>
      </c>
      <c r="HA25" s="28">
        <f t="shared" si="44"/>
        <v>187.51025461752087</v>
      </c>
      <c r="HB25" s="28">
        <f t="shared" si="45"/>
        <v>18.146153672663306</v>
      </c>
      <c r="HC25" s="28">
        <f t="shared" si="46"/>
        <v>689.55383956120568</v>
      </c>
      <c r="HD25" s="28">
        <f t="shared" si="47"/>
        <v>60.487178908877702</v>
      </c>
      <c r="HE25" s="28">
        <f t="shared" si="48"/>
        <v>6.0487178908877697</v>
      </c>
      <c r="HF25" s="28" t="str">
        <f t="shared" si="49"/>
        <v/>
      </c>
      <c r="HG25" s="28">
        <f t="shared" si="50"/>
        <v>12.097435781775539</v>
      </c>
      <c r="HH25" s="28">
        <f t="shared" si="51"/>
        <v>0</v>
      </c>
      <c r="HI25" s="28">
        <f t="shared" si="52"/>
        <v>0</v>
      </c>
      <c r="HJ25" s="28" t="str">
        <f t="shared" si="53"/>
        <v/>
      </c>
      <c r="HK25" s="28">
        <f t="shared" si="54"/>
        <v>0</v>
      </c>
      <c r="HL25" s="28" t="str">
        <f t="shared" si="55"/>
        <v/>
      </c>
      <c r="HM25" s="28" t="str">
        <f t="shared" si="56"/>
        <v/>
      </c>
      <c r="HN25" s="28" t="str">
        <f t="shared" si="57"/>
        <v/>
      </c>
      <c r="HO25" s="28" t="str">
        <f t="shared" si="58"/>
        <v/>
      </c>
      <c r="HP25" s="28" t="str">
        <f t="shared" si="59"/>
        <v/>
      </c>
      <c r="HQ25" s="28" t="str">
        <f t="shared" si="60"/>
        <v/>
      </c>
      <c r="HR25" s="28" t="str">
        <f t="shared" si="61"/>
        <v/>
      </c>
      <c r="HT25" s="4">
        <f>IFERROR(GR25/'McDonough &amp; Sun 1995 values'!C$2,)</f>
        <v>0</v>
      </c>
      <c r="HU25" s="4">
        <f>IFERROR(GS25/'McDonough &amp; Sun 1995 values'!D$2,)</f>
        <v>383.08546642289213</v>
      </c>
      <c r="HV25" s="4">
        <f>IFERROR(GT25/'McDonough &amp; Sun 1995 values'!E$2,)</f>
        <v>195.20862284228713</v>
      </c>
      <c r="HW25" s="4">
        <f>IFERROR(GU25/'McDonough &amp; Sun 1995 values'!F$2,)</f>
        <v>152.1690035443464</v>
      </c>
      <c r="HX25" s="4">
        <f>IFERROR(GV25/'McDonough &amp; Sun 1995 values'!G$2,)</f>
        <v>0</v>
      </c>
      <c r="HY25" s="4">
        <f>IFERROR(GW25/'McDonough &amp; Sun 1995 values'!H$2,)</f>
        <v>262.11110860513668</v>
      </c>
      <c r="HZ25" s="4">
        <f>IFERROR(GX25/'McDonough &amp; Sun 1995 values'!I$2,)</f>
        <v>163.47886191588569</v>
      </c>
      <c r="IA25" s="4">
        <f>IFERROR(GY25/'McDonough &amp; Sun 1995 values'!J$2,)</f>
        <v>64.34806266901883</v>
      </c>
      <c r="IB25" s="4">
        <f>IFERROR(GZ25/'McDonough &amp; Sun 1995 values'!K$2,)</f>
        <v>140.01661784462428</v>
      </c>
      <c r="IC25" s="4">
        <f>IFERROR(HA25/'McDonough &amp; Sun 1995 values'!L$2,)</f>
        <v>111.94642066717664</v>
      </c>
      <c r="ID25" s="4">
        <f>IFERROR(HB25/'McDonough &amp; Sun 1995 values'!M$2,)</f>
        <v>71.441549892375221</v>
      </c>
      <c r="IE25" s="4">
        <f>IFERROR(HC25/'McDonough &amp; Sun 1995 values'!N$2,)</f>
        <v>34.650946711618381</v>
      </c>
      <c r="IF25" s="4">
        <f>IFERROR(HD25/'McDonough &amp; Sun 1995 values'!O$2,)</f>
        <v>48.389743127102165</v>
      </c>
      <c r="IG25" s="4">
        <f>IFERROR(HE25/'McDonough &amp; Sun 1995 values'!P$2,)</f>
        <v>14.898319928294999</v>
      </c>
      <c r="IH25" s="4">
        <f>IFERROR(HF25/'McDonough &amp; Sun 1995 values'!Q$2,)</f>
        <v>0</v>
      </c>
      <c r="II25" s="4">
        <f>IFERROR(HG25/'McDonough &amp; Sun 1995 values'!R$2,)</f>
        <v>1.15213674112148</v>
      </c>
      <c r="IJ25" s="4">
        <f>IFERROR(HH25/'McDonough &amp; Sun 1995 values'!S$2,)</f>
        <v>0</v>
      </c>
      <c r="IK25" s="4">
        <f>IFERROR(HI25/'McDonough &amp; Sun 1995 values'!T$2,)</f>
        <v>0</v>
      </c>
      <c r="IL25" s="4">
        <f>IFERROR(HJ25/'McDonough &amp; Sun 1995 values'!U$2,)</f>
        <v>0</v>
      </c>
      <c r="IM25" s="4">
        <f>IFERROR(HK25/'McDonough &amp; Sun 1995 values'!V$2,)</f>
        <v>0</v>
      </c>
      <c r="IN25" s="4">
        <f>IFERROR(HL25/'McDonough &amp; Sun 1995 values'!W$2,)</f>
        <v>0</v>
      </c>
      <c r="IO25" s="4">
        <f>IFERROR(HM25/'McDonough &amp; Sun 1995 values'!X$2,)</f>
        <v>0</v>
      </c>
      <c r="IP25" s="4">
        <f>IFERROR(HN25/'McDonough &amp; Sun 1995 values'!Y$2,)</f>
        <v>0</v>
      </c>
      <c r="IQ25" s="4">
        <f>IFERROR(HO25/'McDonough &amp; Sun 1995 values'!Z$2,)</f>
        <v>0</v>
      </c>
      <c r="IR25" s="4">
        <f>IFERROR(HP25/'McDonough &amp; Sun 1995 values'!AA$2,)</f>
        <v>0</v>
      </c>
      <c r="IS25" s="4">
        <f>IFERROR(HQ25/'McDonough &amp; Sun 1995 values'!AB$2,)</f>
        <v>0</v>
      </c>
      <c r="IT25" s="4">
        <f>IFERROR(HR25/'McDonough &amp; Sun 1995 values'!AC$2,)</f>
        <v>0</v>
      </c>
    </row>
    <row r="26" spans="1:254">
      <c r="A26" s="16" t="s">
        <v>1179</v>
      </c>
      <c r="B26" s="16" t="s">
        <v>24</v>
      </c>
      <c r="C26" s="16" t="str">
        <f t="shared" si="0"/>
        <v>high-Mg carbonatitic</v>
      </c>
      <c r="D26" s="16" t="s">
        <v>1709</v>
      </c>
      <c r="E26" s="16" t="s">
        <v>237</v>
      </c>
      <c r="F26" s="16" t="s">
        <v>29</v>
      </c>
      <c r="G26" s="16" t="s">
        <v>595</v>
      </c>
      <c r="H26" s="27">
        <v>360</v>
      </c>
      <c r="I26" s="16" t="s">
        <v>712</v>
      </c>
      <c r="J26" s="16">
        <v>0</v>
      </c>
      <c r="K26" s="16" t="s">
        <v>913</v>
      </c>
      <c r="L26" s="16">
        <v>0</v>
      </c>
      <c r="M26" s="16" t="s">
        <v>62</v>
      </c>
      <c r="N26" s="16" t="s">
        <v>1084</v>
      </c>
      <c r="O26" s="26">
        <v>8.6</v>
      </c>
      <c r="P26" s="26"/>
      <c r="Q26" s="26"/>
      <c r="R26" s="26"/>
      <c r="S26" s="26">
        <v>3.6</v>
      </c>
      <c r="T26" s="26">
        <v>39.4</v>
      </c>
      <c r="U26" s="26">
        <v>15.6</v>
      </c>
      <c r="V26" s="26">
        <v>5.6</v>
      </c>
      <c r="W26" s="26">
        <v>8.6</v>
      </c>
      <c r="X26" s="26">
        <v>14.6</v>
      </c>
      <c r="Y26" s="26"/>
      <c r="Z26" s="26">
        <v>2.5</v>
      </c>
      <c r="AA26" s="26"/>
      <c r="AB26" s="26"/>
      <c r="AC26" s="26"/>
      <c r="AD26" s="26">
        <v>1.6</v>
      </c>
      <c r="AE26" s="26"/>
      <c r="AF26" s="26"/>
      <c r="AG26" s="26"/>
      <c r="AH26" s="26"/>
      <c r="AI26" s="26"/>
      <c r="AJ26" s="26">
        <f t="shared" si="62"/>
        <v>84.499999999999986</v>
      </c>
      <c r="AK26" s="26">
        <f t="shared" si="63"/>
        <v>10.221190354457754</v>
      </c>
      <c r="AL26" s="26">
        <f t="shared" si="1"/>
        <v>0</v>
      </c>
      <c r="AM26" s="26">
        <f t="shared" si="2"/>
        <v>0</v>
      </c>
      <c r="AN26" s="26">
        <f t="shared" si="64"/>
        <v>4.2786378227962691</v>
      </c>
      <c r="AO26" s="26">
        <f t="shared" si="65"/>
        <v>46.827313949492499</v>
      </c>
      <c r="AP26" s="26">
        <f t="shared" si="3"/>
        <v>6.655658835460863</v>
      </c>
      <c r="AQ26" s="26">
        <f t="shared" si="4"/>
        <v>0</v>
      </c>
      <c r="AR26" s="26">
        <f t="shared" si="5"/>
        <v>10.221190354457754</v>
      </c>
      <c r="AS26" s="26">
        <f t="shared" si="66"/>
        <v>17.352253392451537</v>
      </c>
      <c r="AT26" s="26">
        <f t="shared" si="6"/>
        <v>2.9712762658307428</v>
      </c>
      <c r="AU26" s="26">
        <f t="shared" si="67"/>
        <v>1.9016168101316753</v>
      </c>
      <c r="AV26" s="26">
        <f t="shared" si="7"/>
        <v>100.42913778507908</v>
      </c>
      <c r="AW26" s="16"/>
      <c r="AX26" s="16"/>
      <c r="AY26" s="16"/>
      <c r="AZ26" s="16"/>
      <c r="BA26" s="26"/>
      <c r="BB26" s="26">
        <v>0.03</v>
      </c>
      <c r="BC26" s="26">
        <f t="shared" si="71"/>
        <v>3.0000000000000027E-2</v>
      </c>
      <c r="BD26" s="26">
        <f t="shared" si="72"/>
        <v>0.97</v>
      </c>
      <c r="BE26" s="16"/>
      <c r="BF26" s="16"/>
      <c r="BG26" s="16" t="s">
        <v>959</v>
      </c>
      <c r="BH26" s="16" t="s">
        <v>960</v>
      </c>
      <c r="BI26" s="16" t="s">
        <v>961</v>
      </c>
      <c r="BJ26" s="16"/>
      <c r="BK26" s="18"/>
      <c r="BL26" s="18"/>
      <c r="BM26" s="18"/>
      <c r="BN26" s="18"/>
      <c r="BO26" s="18"/>
      <c r="BP26" s="18"/>
      <c r="BQ26" s="18"/>
      <c r="BR26" s="18">
        <v>0.81</v>
      </c>
      <c r="BS26" s="18"/>
      <c r="BT26" s="18"/>
      <c r="BU26" s="18">
        <v>2.2799999999999998</v>
      </c>
      <c r="BV26" s="18" t="s">
        <v>491</v>
      </c>
      <c r="BW26" s="18"/>
      <c r="BX26" s="18">
        <v>0.28000000000000003</v>
      </c>
      <c r="BY26" s="18">
        <v>0.08</v>
      </c>
      <c r="BZ26" s="18">
        <v>0.15</v>
      </c>
      <c r="CA26" s="18" t="s">
        <v>491</v>
      </c>
      <c r="CB26" s="18" t="s">
        <v>491</v>
      </c>
      <c r="CC26" s="18"/>
      <c r="CD26" s="18"/>
      <c r="CE26" s="18"/>
      <c r="CF26" s="18"/>
      <c r="CG26" s="18"/>
      <c r="CH26" s="18" t="s">
        <v>491</v>
      </c>
      <c r="CI26" s="18">
        <v>0.02</v>
      </c>
      <c r="CJ26" s="18">
        <v>0</v>
      </c>
      <c r="CK26" s="18">
        <v>0</v>
      </c>
      <c r="CL26" s="18"/>
      <c r="CM26" s="18" t="s">
        <v>491</v>
      </c>
      <c r="CN26" s="18"/>
      <c r="CO26" s="18"/>
      <c r="CP26" s="18"/>
      <c r="CQ26" s="18"/>
      <c r="CR26" s="18" t="s">
        <v>491</v>
      </c>
      <c r="CS26" s="18">
        <v>0.05</v>
      </c>
      <c r="CT26" s="18">
        <v>0.01</v>
      </c>
      <c r="CU26" s="18">
        <v>0.01</v>
      </c>
      <c r="CV26" s="18">
        <v>0.04</v>
      </c>
      <c r="CW26" s="18"/>
      <c r="CX26" s="18">
        <v>0.03</v>
      </c>
      <c r="CY26" s="18" t="s">
        <v>491</v>
      </c>
      <c r="CZ26" s="18">
        <v>0.01</v>
      </c>
      <c r="DA26" s="18" t="s">
        <v>491</v>
      </c>
      <c r="DB26" s="18" t="s">
        <v>491</v>
      </c>
      <c r="DC26" s="18">
        <v>0.01</v>
      </c>
      <c r="DD26" s="18">
        <v>0.02</v>
      </c>
      <c r="DE26" s="18" t="s">
        <v>491</v>
      </c>
      <c r="DF26" s="18"/>
      <c r="DG26" s="18"/>
      <c r="DH26" s="18" t="s">
        <v>491</v>
      </c>
      <c r="DI26" s="18"/>
      <c r="DJ26" s="18"/>
      <c r="DK26" s="18">
        <v>0.01</v>
      </c>
      <c r="DL26" s="18"/>
      <c r="DM26" s="18">
        <v>0.01</v>
      </c>
      <c r="DN26" s="18"/>
      <c r="DO26" s="18"/>
      <c r="DP26" s="18"/>
      <c r="DQ26" s="18"/>
      <c r="DR26" s="18"/>
      <c r="DS26" s="18"/>
      <c r="DT26" s="18"/>
      <c r="DU26" s="18"/>
      <c r="DV26" s="28"/>
      <c r="DW26" s="28"/>
      <c r="DX26" s="28"/>
      <c r="DY26" s="28"/>
      <c r="DZ26" s="28"/>
      <c r="EA26" s="28"/>
      <c r="EB26" s="28"/>
      <c r="EC26" s="28"/>
      <c r="ED26" s="28"/>
      <c r="EE26" s="28"/>
      <c r="EF26" s="28"/>
      <c r="EG26" s="28"/>
      <c r="EH26" s="28"/>
      <c r="EI26" s="28"/>
      <c r="EJ26" s="18"/>
      <c r="EK26" s="18"/>
      <c r="EL26" s="18">
        <f>IFERROR(CR26/'McDonough &amp; Sun 1995 values'!C$2,)</f>
        <v>0</v>
      </c>
      <c r="EM26" s="18">
        <f>IFERROR(CH26/'McDonough &amp; Sun 1995 values'!D$2,)</f>
        <v>0</v>
      </c>
      <c r="EN26" s="18">
        <f>IFERROR(CS26/'McDonough &amp; Sun 1995 values'!E$2,)</f>
        <v>7.5757575757575768E-3</v>
      </c>
      <c r="EO26" s="18">
        <f>IFERROR(DL26/'McDonough &amp; Sun 1995 values'!F$2,)</f>
        <v>0</v>
      </c>
      <c r="EP26" s="18">
        <f>IFERROR(DM26/'McDonough &amp; Sun 1995 values'!G$2,)</f>
        <v>0.49261083743842371</v>
      </c>
      <c r="EQ26" s="18">
        <f>IFERROR(BR26/'McDonough &amp; Sun 1995 values'!H$2,)</f>
        <v>3.3750000000000004E-3</v>
      </c>
      <c r="ER26" s="18">
        <f>IFERROR(DI26/'McDonough &amp; Sun 1995 values'!I$2,)</f>
        <v>0</v>
      </c>
      <c r="ES26" s="18">
        <f>IFERROR(CM26/'McDonough &amp; Sun 1995 values'!J$2,)</f>
        <v>0</v>
      </c>
      <c r="ET26" s="18">
        <f>IFERROR(CU26/'McDonough &amp; Sun 1995 values'!K$2,)</f>
        <v>1.5432098765432098E-2</v>
      </c>
      <c r="EU26" s="18">
        <f>IFERROR(CV26/'McDonough &amp; Sun 1995 values'!L$2,)</f>
        <v>2.3880597014925373E-2</v>
      </c>
      <c r="EV26" s="18">
        <f>IFERROR(CW26/'McDonough &amp; Sun 1995 values'!M$2,)</f>
        <v>0</v>
      </c>
      <c r="EW26" s="18">
        <f>IFERROR(CI26/'McDonough &amp; Sun 1995 values'!N$2,)</f>
        <v>1.0050251256281408E-3</v>
      </c>
      <c r="EX26" s="18">
        <f>IFERROR(CX26/'McDonough &amp; Sun 1995 values'!O$2,)</f>
        <v>2.4E-2</v>
      </c>
      <c r="EY26" s="18">
        <f>IFERROR(CY26/'McDonough &amp; Sun 1995 values'!P$2,)</f>
        <v>0</v>
      </c>
      <c r="EZ26" s="18">
        <f>IFERROR(DH26/'McDonough &amp; Sun 1995 values'!Q$2,)</f>
        <v>0</v>
      </c>
      <c r="FA26" s="18">
        <f>IFERROR(CK26/'McDonough &amp; Sun 1995 values'!R$2,)</f>
        <v>0</v>
      </c>
      <c r="FB26" s="18">
        <f>IFERROR(CZ26/'McDonough &amp; Sun 1995 values'!S$2,)</f>
        <v>6.4935064935064943E-2</v>
      </c>
      <c r="FC26" s="18">
        <f>IFERROR(BT26/'McDonough &amp; Sun 1995 values'!T$2,)</f>
        <v>0</v>
      </c>
      <c r="FD26" s="18">
        <f>IFERROR(DA26/'McDonough &amp; Sun 1995 values'!U$2,)</f>
        <v>0</v>
      </c>
      <c r="FE26" s="18">
        <f>IFERROR(DN26/'McDonough &amp; Sun 1995 values'!V$2,)</f>
        <v>0</v>
      </c>
      <c r="FF26" s="18">
        <f>IFERROR(DB26/'McDonough &amp; Sun 1995 values'!W$2,)</f>
        <v>0</v>
      </c>
      <c r="FG26" s="18">
        <f>IFERROR(CJ26/'McDonough &amp; Sun 1995 values'!X$2,)</f>
        <v>0</v>
      </c>
      <c r="FH26" s="18">
        <f>IFERROR(DC26/'McDonough &amp; Sun 1995 values'!Y$2,)</f>
        <v>6.7114093959731544E-2</v>
      </c>
      <c r="FI26" s="18">
        <f>IFERROR(DD26/'McDonough &amp; Sun 1995 values'!Z$2,)</f>
        <v>4.5662100456621002E-2</v>
      </c>
      <c r="FJ26" s="18">
        <f>IFERROR(DE26/'McDonough &amp; Sun 1995 values'!AA$2,)</f>
        <v>0</v>
      </c>
      <c r="FK26" s="18">
        <f>IFERROR(DF26/'McDonough &amp; Sun 1995 values'!AB$2,)</f>
        <v>0</v>
      </c>
      <c r="FL26" s="18">
        <f>IFERROR(DG26/'McDonough &amp; Sun 1995 values'!AC$2,)</f>
        <v>0</v>
      </c>
      <c r="FN26" s="28">
        <f t="shared" si="68"/>
        <v>145.95876664842183</v>
      </c>
      <c r="FO26" s="4">
        <f t="shared" si="8"/>
        <v>1.5378787878787879E-2</v>
      </c>
      <c r="FP26" s="4">
        <f t="shared" si="9"/>
        <v>0</v>
      </c>
      <c r="FQ26" s="4">
        <f t="shared" si="10"/>
        <v>0</v>
      </c>
      <c r="FR26" s="4">
        <f t="shared" si="11"/>
        <v>0</v>
      </c>
      <c r="FS26" s="4">
        <f t="shared" si="12"/>
        <v>0</v>
      </c>
      <c r="FT26" s="4">
        <f t="shared" si="13"/>
        <v>0</v>
      </c>
      <c r="FU26" s="4">
        <f t="shared" si="14"/>
        <v>0</v>
      </c>
      <c r="FV26" s="4">
        <f t="shared" si="15"/>
        <v>0</v>
      </c>
      <c r="FW26" s="4">
        <f t="shared" si="16"/>
        <v>0</v>
      </c>
      <c r="FX26" s="4">
        <f t="shared" si="17"/>
        <v>0</v>
      </c>
      <c r="FY26" s="4">
        <f t="shared" si="18"/>
        <v>0</v>
      </c>
      <c r="FZ26" s="4">
        <f t="shared" si="19"/>
        <v>0</v>
      </c>
      <c r="GA26" s="4">
        <f t="shared" si="20"/>
        <v>0</v>
      </c>
      <c r="GB26" s="4">
        <f t="shared" si="21"/>
        <v>0</v>
      </c>
      <c r="GC26" s="4">
        <f t="shared" si="22"/>
        <v>0</v>
      </c>
      <c r="GD26" s="4">
        <f t="shared" si="23"/>
        <v>0</v>
      </c>
      <c r="GE26" s="4">
        <f t="shared" si="24"/>
        <v>0</v>
      </c>
      <c r="GF26" s="4">
        <f t="shared" si="25"/>
        <v>2.244668911335578</v>
      </c>
      <c r="GG26" s="4">
        <f t="shared" si="26"/>
        <v>0</v>
      </c>
      <c r="GH26" s="4">
        <f t="shared" si="27"/>
        <v>0</v>
      </c>
      <c r="GI26" s="4">
        <f t="shared" si="28"/>
        <v>0</v>
      </c>
      <c r="GJ26" s="4">
        <f t="shared" si="29"/>
        <v>0</v>
      </c>
      <c r="GK26" s="4">
        <f t="shared" si="30"/>
        <v>0</v>
      </c>
      <c r="GL26" s="4">
        <f t="shared" si="31"/>
        <v>0</v>
      </c>
      <c r="GM26" s="4">
        <f t="shared" si="32"/>
        <v>0</v>
      </c>
      <c r="GN26" s="4">
        <f t="shared" si="33"/>
        <v>0</v>
      </c>
      <c r="GO26" s="4">
        <f t="shared" si="34"/>
        <v>0</v>
      </c>
      <c r="GP26" s="4">
        <f t="shared" si="35"/>
        <v>6.8512499999999997E-3</v>
      </c>
      <c r="GQ26" s="27">
        <f t="shared" si="70"/>
        <v>144047.52861858127</v>
      </c>
      <c r="GR26" s="28" t="str">
        <f t="shared" si="69"/>
        <v/>
      </c>
      <c r="GS26" s="28" t="str">
        <f t="shared" si="36"/>
        <v/>
      </c>
      <c r="GT26" s="28">
        <f t="shared" si="37"/>
        <v>8891.8227542334116</v>
      </c>
      <c r="GU26" s="28">
        <f t="shared" si="38"/>
        <v>0</v>
      </c>
      <c r="GV26" s="28">
        <f t="shared" si="39"/>
        <v>1778.3645508466823</v>
      </c>
      <c r="GW26" s="28">
        <f t="shared" si="40"/>
        <v>144047.52861858127</v>
      </c>
      <c r="GX26" s="28">
        <f t="shared" si="41"/>
        <v>0</v>
      </c>
      <c r="GY26" s="28" t="str">
        <f t="shared" si="42"/>
        <v/>
      </c>
      <c r="GZ26" s="28">
        <f t="shared" si="43"/>
        <v>1778.3645508466823</v>
      </c>
      <c r="HA26" s="28">
        <f t="shared" si="44"/>
        <v>7113.4582033867291</v>
      </c>
      <c r="HB26" s="28">
        <f t="shared" si="45"/>
        <v>0</v>
      </c>
      <c r="HC26" s="28">
        <f t="shared" si="46"/>
        <v>3556.7291016933646</v>
      </c>
      <c r="HD26" s="28">
        <f t="shared" si="47"/>
        <v>5335.0936525400466</v>
      </c>
      <c r="HE26" s="28" t="str">
        <f t="shared" si="48"/>
        <v/>
      </c>
      <c r="HF26" s="28" t="str">
        <f t="shared" si="49"/>
        <v/>
      </c>
      <c r="HG26" s="28">
        <f t="shared" si="50"/>
        <v>0</v>
      </c>
      <c r="HH26" s="28">
        <f t="shared" si="51"/>
        <v>1778.3645508466823</v>
      </c>
      <c r="HI26" s="28">
        <f t="shared" si="52"/>
        <v>0</v>
      </c>
      <c r="HJ26" s="28" t="str">
        <f t="shared" si="53"/>
        <v/>
      </c>
      <c r="HK26" s="28">
        <f t="shared" si="54"/>
        <v>0</v>
      </c>
      <c r="HL26" s="28" t="str">
        <f t="shared" si="55"/>
        <v/>
      </c>
      <c r="HM26" s="28">
        <f t="shared" si="56"/>
        <v>0</v>
      </c>
      <c r="HN26" s="28">
        <f t="shared" si="57"/>
        <v>1778.3645508466823</v>
      </c>
      <c r="HO26" s="28">
        <f t="shared" si="58"/>
        <v>3556.7291016933646</v>
      </c>
      <c r="HP26" s="28" t="str">
        <f t="shared" si="59"/>
        <v/>
      </c>
      <c r="HQ26" s="28">
        <f t="shared" si="60"/>
        <v>0</v>
      </c>
      <c r="HR26" s="28">
        <f t="shared" si="61"/>
        <v>0</v>
      </c>
      <c r="HT26" s="4">
        <f>IFERROR(GR26/'McDonough &amp; Sun 1995 values'!C$2,)</f>
        <v>0</v>
      </c>
      <c r="HU26" s="4">
        <f>IFERROR(GS26/'McDonough &amp; Sun 1995 values'!D$2,)</f>
        <v>0</v>
      </c>
      <c r="HV26" s="4">
        <f>IFERROR(GT26/'McDonough &amp; Sun 1995 values'!E$2,)</f>
        <v>1347.2458718535472</v>
      </c>
      <c r="HW26" s="4">
        <f>IFERROR(GU26/'McDonough &amp; Sun 1995 values'!F$2,)</f>
        <v>0</v>
      </c>
      <c r="HX26" s="4">
        <f>IFERROR(GV26/'McDonough &amp; Sun 1995 values'!G$2,)</f>
        <v>87604.165066339032</v>
      </c>
      <c r="HY26" s="4">
        <f>IFERROR(GW26/'McDonough &amp; Sun 1995 values'!H$2,)</f>
        <v>600.19803591075527</v>
      </c>
      <c r="HZ26" s="4">
        <f>IFERROR(GX26/'McDonough &amp; Sun 1995 values'!I$2,)</f>
        <v>0</v>
      </c>
      <c r="IA26" s="4">
        <f>IFERROR(GY26/'McDonough &amp; Sun 1995 values'!J$2,)</f>
        <v>0</v>
      </c>
      <c r="IB26" s="4">
        <f>IFERROR(GZ26/'McDonough &amp; Sun 1995 values'!K$2,)</f>
        <v>2744.3897389609292</v>
      </c>
      <c r="IC26" s="4">
        <f>IFERROR(HA26/'McDonough &amp; Sun 1995 values'!L$2,)</f>
        <v>4246.8407184398384</v>
      </c>
      <c r="ID26" s="4">
        <f>IFERROR(HB26/'McDonough &amp; Sun 1995 values'!M$2,)</f>
        <v>0</v>
      </c>
      <c r="IE26" s="4">
        <f>IFERROR(HC26/'McDonough &amp; Sun 1995 values'!N$2,)</f>
        <v>178.7301056127319</v>
      </c>
      <c r="IF26" s="4">
        <f>IFERROR(HD26/'McDonough &amp; Sun 1995 values'!O$2,)</f>
        <v>4268.0749220320376</v>
      </c>
      <c r="IG26" s="4">
        <f>IFERROR(HE26/'McDonough &amp; Sun 1995 values'!P$2,)</f>
        <v>0</v>
      </c>
      <c r="IH26" s="4">
        <f>IFERROR(HF26/'McDonough &amp; Sun 1995 values'!Q$2,)</f>
        <v>0</v>
      </c>
      <c r="II26" s="4">
        <f>IFERROR(HG26/'McDonough &amp; Sun 1995 values'!R$2,)</f>
        <v>0</v>
      </c>
      <c r="IJ26" s="4">
        <f>IFERROR(HH26/'McDonough &amp; Sun 1995 values'!S$2,)</f>
        <v>11547.821758744691</v>
      </c>
      <c r="IK26" s="4">
        <f>IFERROR(HI26/'McDonough &amp; Sun 1995 values'!T$2,)</f>
        <v>0</v>
      </c>
      <c r="IL26" s="4">
        <f>IFERROR(HJ26/'McDonough &amp; Sun 1995 values'!U$2,)</f>
        <v>0</v>
      </c>
      <c r="IM26" s="4">
        <f>IFERROR(HK26/'McDonough &amp; Sun 1995 values'!V$2,)</f>
        <v>0</v>
      </c>
      <c r="IN26" s="4">
        <f>IFERROR(HL26/'McDonough &amp; Sun 1995 values'!W$2,)</f>
        <v>0</v>
      </c>
      <c r="IO26" s="4">
        <f>IFERROR(HM26/'McDonough &amp; Sun 1995 values'!X$2,)</f>
        <v>0</v>
      </c>
      <c r="IP26" s="4">
        <f>IFERROR(HN26/'McDonough &amp; Sun 1995 values'!Y$2,)</f>
        <v>11935.332556018002</v>
      </c>
      <c r="IQ26" s="4">
        <f>IFERROR(HO26/'McDonough &amp; Sun 1995 values'!Z$2,)</f>
        <v>8120.3860769254898</v>
      </c>
      <c r="IR26" s="4">
        <f>IFERROR(HP26/'McDonough &amp; Sun 1995 values'!AA$2,)</f>
        <v>0</v>
      </c>
      <c r="IS26" s="4">
        <f>IFERROR(HQ26/'McDonough &amp; Sun 1995 values'!AB$2,)</f>
        <v>0</v>
      </c>
      <c r="IT26" s="4">
        <f>IFERROR(HR26/'McDonough &amp; Sun 1995 values'!AC$2,)</f>
        <v>0</v>
      </c>
    </row>
    <row r="27" spans="1:254">
      <c r="A27" s="16" t="s">
        <v>1179</v>
      </c>
      <c r="B27" s="16" t="s">
        <v>24</v>
      </c>
      <c r="C27" s="16" t="str">
        <f t="shared" si="0"/>
        <v>high-Mg carbonatitic</v>
      </c>
      <c r="D27" s="16" t="s">
        <v>1709</v>
      </c>
      <c r="E27" s="16" t="s">
        <v>237</v>
      </c>
      <c r="F27" s="16" t="s">
        <v>29</v>
      </c>
      <c r="G27" s="16" t="s">
        <v>595</v>
      </c>
      <c r="H27" s="27">
        <v>360</v>
      </c>
      <c r="I27" s="16" t="s">
        <v>712</v>
      </c>
      <c r="J27" s="16">
        <v>0</v>
      </c>
      <c r="K27" s="16" t="s">
        <v>913</v>
      </c>
      <c r="L27" s="16">
        <v>0</v>
      </c>
      <c r="M27" s="16" t="s">
        <v>50</v>
      </c>
      <c r="N27" s="16" t="s">
        <v>1084</v>
      </c>
      <c r="O27" s="26">
        <v>12.6</v>
      </c>
      <c r="P27" s="26">
        <v>0.1</v>
      </c>
      <c r="Q27" s="26"/>
      <c r="R27" s="26">
        <v>1.7</v>
      </c>
      <c r="S27" s="26">
        <v>8.5</v>
      </c>
      <c r="T27" s="26">
        <v>46.6</v>
      </c>
      <c r="U27" s="26">
        <v>5</v>
      </c>
      <c r="V27" s="26">
        <v>18.8</v>
      </c>
      <c r="W27" s="26"/>
      <c r="X27" s="26">
        <v>4.7</v>
      </c>
      <c r="Y27" s="26"/>
      <c r="Z27" s="26">
        <v>1.4</v>
      </c>
      <c r="AA27" s="26"/>
      <c r="AB27" s="26"/>
      <c r="AC27" s="26"/>
      <c r="AD27" s="26">
        <v>0.6</v>
      </c>
      <c r="AE27" s="26"/>
      <c r="AF27" s="26"/>
      <c r="AG27" s="26"/>
      <c r="AH27" s="26"/>
      <c r="AI27" s="26"/>
      <c r="AJ27" s="26">
        <f t="shared" si="62"/>
        <v>95</v>
      </c>
      <c r="AK27" s="26">
        <f t="shared" si="63"/>
        <v>13.282088642412168</v>
      </c>
      <c r="AL27" s="26">
        <f t="shared" si="1"/>
        <v>0.10541340192390611</v>
      </c>
      <c r="AM27" s="26">
        <f t="shared" si="2"/>
        <v>1.7920278327064036</v>
      </c>
      <c r="AN27" s="26">
        <f t="shared" si="64"/>
        <v>8.960139163532018</v>
      </c>
      <c r="AO27" s="26">
        <f t="shared" si="65"/>
        <v>49.122645296540249</v>
      </c>
      <c r="AP27" s="26">
        <f t="shared" si="3"/>
        <v>19.817719561694346</v>
      </c>
      <c r="AQ27" s="26">
        <f t="shared" si="4"/>
        <v>0</v>
      </c>
      <c r="AR27" s="26">
        <f t="shared" si="5"/>
        <v>0</v>
      </c>
      <c r="AS27" s="26">
        <f t="shared" si="66"/>
        <v>4.9544298904235866</v>
      </c>
      <c r="AT27" s="26">
        <f t="shared" si="6"/>
        <v>1.4757876269346855</v>
      </c>
      <c r="AU27" s="26">
        <f t="shared" si="67"/>
        <v>0.63248041154343659</v>
      </c>
      <c r="AV27" s="26">
        <f t="shared" si="7"/>
        <v>100.1427318277108</v>
      </c>
      <c r="AW27" s="16"/>
      <c r="AX27" s="16"/>
      <c r="AY27" s="16"/>
      <c r="AZ27" s="16"/>
      <c r="BA27" s="26"/>
      <c r="BB27" s="26">
        <v>0.03</v>
      </c>
      <c r="BC27" s="26">
        <f t="shared" si="71"/>
        <v>3.0000000000000027E-2</v>
      </c>
      <c r="BD27" s="26">
        <f t="shared" si="72"/>
        <v>0.97</v>
      </c>
      <c r="BE27" s="16"/>
      <c r="BF27" s="16"/>
      <c r="BG27" s="16" t="s">
        <v>962</v>
      </c>
      <c r="BH27" s="16" t="s">
        <v>930</v>
      </c>
      <c r="BI27" s="16" t="s">
        <v>963</v>
      </c>
      <c r="BJ27" s="16"/>
      <c r="BK27" s="18"/>
      <c r="BL27" s="18"/>
      <c r="BM27" s="18"/>
      <c r="BN27" s="18"/>
      <c r="BO27" s="18"/>
      <c r="BP27" s="18"/>
      <c r="BQ27" s="18"/>
      <c r="BR27" s="18">
        <v>671</v>
      </c>
      <c r="BS27" s="18"/>
      <c r="BT27" s="18"/>
      <c r="BU27" s="18">
        <v>4.05</v>
      </c>
      <c r="BV27" s="18">
        <v>5.96</v>
      </c>
      <c r="BW27" s="18"/>
      <c r="BX27" s="18">
        <v>4.3899999999999997</v>
      </c>
      <c r="BY27" s="18">
        <v>2.15</v>
      </c>
      <c r="BZ27" s="18">
        <v>0.99</v>
      </c>
      <c r="CA27" s="18">
        <v>0.26</v>
      </c>
      <c r="CB27" s="18">
        <v>0.42</v>
      </c>
      <c r="CC27" s="18"/>
      <c r="CD27" s="18"/>
      <c r="CE27" s="18"/>
      <c r="CF27" s="18"/>
      <c r="CG27" s="18"/>
      <c r="CH27" s="18">
        <v>1.83</v>
      </c>
      <c r="CI27" s="18">
        <v>7.33</v>
      </c>
      <c r="CJ27" s="18">
        <v>0.02</v>
      </c>
      <c r="CK27" s="18">
        <v>0.55000000000000004</v>
      </c>
      <c r="CL27" s="18"/>
      <c r="CM27" s="18">
        <v>1.41</v>
      </c>
      <c r="CN27" s="18"/>
      <c r="CO27" s="18"/>
      <c r="CP27" s="18"/>
      <c r="CQ27" s="18"/>
      <c r="CR27" s="18">
        <v>0.02</v>
      </c>
      <c r="CS27" s="18">
        <v>15</v>
      </c>
      <c r="CT27" s="18">
        <v>0.55000000000000004</v>
      </c>
      <c r="CU27" s="18">
        <v>1.19</v>
      </c>
      <c r="CV27" s="18">
        <v>2.19</v>
      </c>
      <c r="CW27" s="18">
        <v>0.22</v>
      </c>
      <c r="CX27" s="18">
        <v>0.81</v>
      </c>
      <c r="CY27" s="18">
        <v>0.08</v>
      </c>
      <c r="CZ27" s="18">
        <v>0.02</v>
      </c>
      <c r="DA27" s="18">
        <v>0.04</v>
      </c>
      <c r="DB27" s="18">
        <v>0.01</v>
      </c>
      <c r="DC27" s="18"/>
      <c r="DD27" s="18"/>
      <c r="DE27" s="18" t="s">
        <v>491</v>
      </c>
      <c r="DF27" s="18" t="s">
        <v>491</v>
      </c>
      <c r="DG27" s="18" t="s">
        <v>491</v>
      </c>
      <c r="DH27" s="18">
        <v>0.02</v>
      </c>
      <c r="DI27" s="18">
        <v>7.0000000000000007E-2</v>
      </c>
      <c r="DJ27" s="18"/>
      <c r="DK27" s="18">
        <v>0.18</v>
      </c>
      <c r="DL27" s="18">
        <v>0.12</v>
      </c>
      <c r="DM27" s="18">
        <v>0.03</v>
      </c>
      <c r="DN27" s="18"/>
      <c r="DO27" s="18"/>
      <c r="DP27" s="18"/>
      <c r="DQ27" s="18"/>
      <c r="DR27" s="18"/>
      <c r="DS27" s="18"/>
      <c r="DT27" s="18"/>
      <c r="DU27" s="18"/>
      <c r="DV27" s="28"/>
      <c r="DW27" s="28"/>
      <c r="DX27" s="28"/>
      <c r="DY27" s="28"/>
      <c r="DZ27" s="28"/>
      <c r="EA27" s="28"/>
      <c r="EB27" s="28"/>
      <c r="EC27" s="28"/>
      <c r="ED27" s="28"/>
      <c r="EE27" s="28"/>
      <c r="EF27" s="28"/>
      <c r="EG27" s="28"/>
      <c r="EH27" s="28"/>
      <c r="EI27" s="28"/>
      <c r="EJ27" s="18"/>
      <c r="EK27" s="18"/>
      <c r="EL27" s="18">
        <f>IFERROR(CR27/'McDonough &amp; Sun 1995 values'!C$2,)</f>
        <v>0.95238095238095233</v>
      </c>
      <c r="EM27" s="18">
        <f>IFERROR(CH27/'McDonough &amp; Sun 1995 values'!D$2,)</f>
        <v>3.0500000000000003</v>
      </c>
      <c r="EN27" s="18">
        <f>IFERROR(CS27/'McDonough &amp; Sun 1995 values'!E$2,)</f>
        <v>2.2727272727272729</v>
      </c>
      <c r="EO27" s="18">
        <f>IFERROR(DL27/'McDonough &amp; Sun 1995 values'!F$2,)</f>
        <v>1.5094339622641508</v>
      </c>
      <c r="EP27" s="18">
        <f>IFERROR(DM27/'McDonough &amp; Sun 1995 values'!G$2,)</f>
        <v>1.4778325123152709</v>
      </c>
      <c r="EQ27" s="18">
        <f>IFERROR(BR27/'McDonough &amp; Sun 1995 values'!H$2,)</f>
        <v>2.7958333333333334</v>
      </c>
      <c r="ER27" s="18">
        <f>IFERROR(DI27/'McDonough &amp; Sun 1995 values'!I$2,)</f>
        <v>1.8918918918918921</v>
      </c>
      <c r="ES27" s="18">
        <f>IFERROR(CM27/'McDonough &amp; Sun 1995 values'!J$2,)</f>
        <v>2.1428571428571428</v>
      </c>
      <c r="ET27" s="18">
        <f>IFERROR(CU27/'McDonough &amp; Sun 1995 values'!K$2,)</f>
        <v>1.8364197530864197</v>
      </c>
      <c r="EU27" s="18">
        <f>IFERROR(CV27/'McDonough &amp; Sun 1995 values'!L$2,)</f>
        <v>1.3074626865671641</v>
      </c>
      <c r="EV27" s="18">
        <f>IFERROR(CW27/'McDonough &amp; Sun 1995 values'!M$2,)</f>
        <v>0.86614173228346458</v>
      </c>
      <c r="EW27" s="18">
        <f>IFERROR(CI27/'McDonough &amp; Sun 1995 values'!N$2,)</f>
        <v>0.36834170854271359</v>
      </c>
      <c r="EX27" s="18">
        <f>IFERROR(CX27/'McDonough &amp; Sun 1995 values'!O$2,)</f>
        <v>0.64800000000000002</v>
      </c>
      <c r="EY27" s="18">
        <f>IFERROR(CY27/'McDonough &amp; Sun 1995 values'!P$2,)</f>
        <v>0.19704433497536944</v>
      </c>
      <c r="EZ27" s="18">
        <f>IFERROR(DH27/'McDonough &amp; Sun 1995 values'!Q$2,)</f>
        <v>7.0671378091872794E-2</v>
      </c>
      <c r="FA27" s="18">
        <f>IFERROR(CK27/'McDonough &amp; Sun 1995 values'!R$2,)</f>
        <v>5.2380952380952382E-2</v>
      </c>
      <c r="FB27" s="18">
        <f>IFERROR(CZ27/'McDonough &amp; Sun 1995 values'!S$2,)</f>
        <v>0.12987012987012989</v>
      </c>
      <c r="FC27" s="18">
        <f>IFERROR(BT27/'McDonough &amp; Sun 1995 values'!T$2,)</f>
        <v>0</v>
      </c>
      <c r="FD27" s="18">
        <f>IFERROR(DA27/'McDonough &amp; Sun 1995 values'!U$2,)</f>
        <v>7.3529411764705885E-2</v>
      </c>
      <c r="FE27" s="18">
        <f>IFERROR(DN27/'McDonough &amp; Sun 1995 values'!V$2,)</f>
        <v>0</v>
      </c>
      <c r="FF27" s="18">
        <f>IFERROR(DB27/'McDonough &amp; Sun 1995 values'!W$2,)</f>
        <v>1.4836795252225518E-2</v>
      </c>
      <c r="FG27" s="18">
        <f>IFERROR(CJ27/'McDonough &amp; Sun 1995 values'!X$2,)</f>
        <v>4.6511627906976744E-3</v>
      </c>
      <c r="FH27" s="18">
        <f>IFERROR(DC27/'McDonough &amp; Sun 1995 values'!Y$2,)</f>
        <v>0</v>
      </c>
      <c r="FI27" s="18">
        <f>IFERROR(DD27/'McDonough &amp; Sun 1995 values'!Z$2,)</f>
        <v>0</v>
      </c>
      <c r="FJ27" s="18">
        <f>IFERROR(DE27/'McDonough &amp; Sun 1995 values'!AA$2,)</f>
        <v>0</v>
      </c>
      <c r="FK27" s="18">
        <f>IFERROR(DF27/'McDonough &amp; Sun 1995 values'!AB$2,)</f>
        <v>0</v>
      </c>
      <c r="FL27" s="18">
        <f>IFERROR(DG27/'McDonough &amp; Sun 1995 values'!AC$2,)</f>
        <v>0</v>
      </c>
      <c r="FN27" s="28">
        <f t="shared" si="68"/>
        <v>0.5285839090248361</v>
      </c>
      <c r="FO27" s="4">
        <f t="shared" si="8"/>
        <v>1.5378787878787881</v>
      </c>
      <c r="FP27" s="4">
        <f t="shared" si="9"/>
        <v>0.70440251572327039</v>
      </c>
      <c r="FQ27" s="4">
        <f t="shared" si="10"/>
        <v>1.0213836477987421</v>
      </c>
      <c r="FR27" s="4">
        <f t="shared" si="11"/>
        <v>0.85699588477366251</v>
      </c>
      <c r="FS27" s="4">
        <f t="shared" si="12"/>
        <v>0.97067901234567888</v>
      </c>
      <c r="FT27" s="4">
        <f t="shared" si="13"/>
        <v>3.2025000000000006</v>
      </c>
      <c r="FU27" s="4">
        <f t="shared" si="14"/>
        <v>0.88288288288288297</v>
      </c>
      <c r="FV27" s="4">
        <f t="shared" si="15"/>
        <v>0.26583333333333337</v>
      </c>
      <c r="FW27" s="4">
        <f t="shared" si="16"/>
        <v>0.74119047619047618</v>
      </c>
      <c r="FX27" s="4">
        <f t="shared" si="17"/>
        <v>0.95996105634659867</v>
      </c>
      <c r="FY27" s="4">
        <f t="shared" si="18"/>
        <v>0.49166456956159793</v>
      </c>
      <c r="FZ27" s="4">
        <f t="shared" si="19"/>
        <v>1.0789386537955128</v>
      </c>
      <c r="GA27" s="4">
        <f t="shared" si="20"/>
        <v>0.4252672453174966</v>
      </c>
      <c r="GB27" s="4">
        <f t="shared" si="21"/>
        <v>0.65909090909090928</v>
      </c>
      <c r="GC27" s="4">
        <f t="shared" si="22"/>
        <v>0.31225604996096795</v>
      </c>
      <c r="GD27" s="4">
        <f t="shared" si="23"/>
        <v>1.5056818181818183</v>
      </c>
      <c r="GE27" s="4">
        <f t="shared" si="24"/>
        <v>0.7451564828614009</v>
      </c>
      <c r="GF27" s="4">
        <f t="shared" si="25"/>
        <v>0.81289798130334645</v>
      </c>
      <c r="GG27" s="4">
        <f t="shared" si="26"/>
        <v>1.0606060606060608</v>
      </c>
      <c r="GH27" s="4">
        <f t="shared" si="27"/>
        <v>2.1202300785634116</v>
      </c>
      <c r="GI27" s="4">
        <f t="shared" si="28"/>
        <v>9.3198302469135808</v>
      </c>
      <c r="GJ27" s="4">
        <f t="shared" si="29"/>
        <v>123.7746913580247</v>
      </c>
      <c r="GK27" s="4">
        <f t="shared" si="30"/>
        <v>0</v>
      </c>
      <c r="GL27" s="4">
        <f t="shared" si="31"/>
        <v>0</v>
      </c>
      <c r="GM27" s="4">
        <f t="shared" si="32"/>
        <v>0.49489638107021333</v>
      </c>
      <c r="GN27" s="4">
        <f t="shared" si="33"/>
        <v>1.1668667466986795</v>
      </c>
      <c r="GO27" s="4">
        <f t="shared" si="34"/>
        <v>1.45</v>
      </c>
      <c r="GP27" s="4">
        <f t="shared" si="35"/>
        <v>1.8918472222222222</v>
      </c>
      <c r="GQ27" s="27">
        <f t="shared" si="70"/>
        <v>41128.570756118832</v>
      </c>
      <c r="GR27" s="28">
        <f t="shared" si="69"/>
        <v>1.2258888451898311</v>
      </c>
      <c r="GS27" s="28">
        <f t="shared" si="36"/>
        <v>112.16882933486956</v>
      </c>
      <c r="GT27" s="28">
        <f t="shared" si="37"/>
        <v>919.41663389237328</v>
      </c>
      <c r="GU27" s="28">
        <f t="shared" si="38"/>
        <v>7.3553330711389862</v>
      </c>
      <c r="GV27" s="28">
        <f t="shared" si="39"/>
        <v>1.8388332677847465</v>
      </c>
      <c r="GW27" s="28">
        <f t="shared" si="40"/>
        <v>41128.570756118832</v>
      </c>
      <c r="GX27" s="28">
        <f t="shared" si="41"/>
        <v>4.2906109581644092</v>
      </c>
      <c r="GY27" s="28">
        <f t="shared" si="42"/>
        <v>86.425163585883084</v>
      </c>
      <c r="GZ27" s="28">
        <f t="shared" si="43"/>
        <v>72.940386288794954</v>
      </c>
      <c r="HA27" s="28">
        <f t="shared" si="44"/>
        <v>134.23482854828649</v>
      </c>
      <c r="HB27" s="28">
        <f t="shared" si="45"/>
        <v>13.484777297088142</v>
      </c>
      <c r="HC27" s="28">
        <f t="shared" si="46"/>
        <v>449.28826176207309</v>
      </c>
      <c r="HD27" s="28">
        <f t="shared" si="47"/>
        <v>49.64849823018816</v>
      </c>
      <c r="HE27" s="28">
        <f t="shared" si="48"/>
        <v>4.9035553807593244</v>
      </c>
      <c r="HF27" s="28">
        <f t="shared" si="49"/>
        <v>1.2258888451898311</v>
      </c>
      <c r="HG27" s="28">
        <f t="shared" si="50"/>
        <v>33.711943242720359</v>
      </c>
      <c r="HH27" s="28">
        <f t="shared" si="51"/>
        <v>1.2258888451898311</v>
      </c>
      <c r="HI27" s="28">
        <f t="shared" si="52"/>
        <v>0</v>
      </c>
      <c r="HJ27" s="28">
        <f t="shared" si="53"/>
        <v>2.4517776903796622</v>
      </c>
      <c r="HK27" s="28">
        <f t="shared" si="54"/>
        <v>0</v>
      </c>
      <c r="HL27" s="28">
        <f t="shared" si="55"/>
        <v>0.61294442259491555</v>
      </c>
      <c r="HM27" s="28">
        <f t="shared" si="56"/>
        <v>1.2258888451898311</v>
      </c>
      <c r="HN27" s="28">
        <f t="shared" si="57"/>
        <v>0</v>
      </c>
      <c r="HO27" s="28">
        <f t="shared" si="58"/>
        <v>0</v>
      </c>
      <c r="HP27" s="28" t="str">
        <f t="shared" si="59"/>
        <v/>
      </c>
      <c r="HQ27" s="28" t="str">
        <f t="shared" si="60"/>
        <v/>
      </c>
      <c r="HR27" s="28" t="str">
        <f t="shared" si="61"/>
        <v/>
      </c>
      <c r="HT27" s="4">
        <f>IFERROR(GR27/'McDonough &amp; Sun 1995 values'!C$2,)</f>
        <v>58.375659294753859</v>
      </c>
      <c r="HU27" s="4">
        <f>IFERROR(GS27/'McDonough &amp; Sun 1995 values'!D$2,)</f>
        <v>186.94804889144928</v>
      </c>
      <c r="HV27" s="4">
        <f>IFERROR(GT27/'McDonough &amp; Sun 1995 values'!E$2,)</f>
        <v>139.30555058975352</v>
      </c>
      <c r="HW27" s="4">
        <f>IFERROR(GU27/'McDonough &amp; Sun 1995 values'!F$2,)</f>
        <v>92.519912844515545</v>
      </c>
      <c r="HX27" s="4">
        <f>IFERROR(GV27/'McDonough &amp; Sun 1995 values'!G$2,)</f>
        <v>90.582919595307715</v>
      </c>
      <c r="HY27" s="4">
        <f>IFERROR(GW27/'McDonough &amp; Sun 1995 values'!H$2,)</f>
        <v>171.36904481716181</v>
      </c>
      <c r="HZ27" s="4">
        <f>IFERROR(GX27/'McDonough &amp; Sun 1995 values'!I$2,)</f>
        <v>115.96245832876782</v>
      </c>
      <c r="IA27" s="4">
        <f>IFERROR(GY27/'McDonough &amp; Sun 1995 values'!J$2,)</f>
        <v>131.34523341319618</v>
      </c>
      <c r="IB27" s="4">
        <f>IFERROR(GZ27/'McDonough &amp; Sun 1995 values'!K$2,)</f>
        <v>112.5623245197453</v>
      </c>
      <c r="IC27" s="4">
        <f>IFERROR(HA27/'McDonough &amp; Sun 1995 values'!L$2,)</f>
        <v>80.140196148230743</v>
      </c>
      <c r="ID27" s="4">
        <f>IFERROR(HB27/'McDonough &amp; Sun 1995 values'!M$2,)</f>
        <v>53.089674397984808</v>
      </c>
      <c r="IE27" s="4">
        <f>IFERROR(HC27/'McDonough &amp; Sun 1995 values'!N$2,)</f>
        <v>22.577299586033824</v>
      </c>
      <c r="IF27" s="4">
        <f>IFERROR(HD27/'McDonough &amp; Sun 1995 values'!O$2,)</f>
        <v>39.718798584150527</v>
      </c>
      <c r="IG27" s="4">
        <f>IFERROR(HE27/'McDonough &amp; Sun 1995 values'!P$2,)</f>
        <v>12.077722612707694</v>
      </c>
      <c r="IH27" s="4">
        <f>IFERROR(HF27/'McDonough &amp; Sun 1995 values'!Q$2,)</f>
        <v>4.3317627038509938</v>
      </c>
      <c r="II27" s="4">
        <f>IFERROR(HG27/'McDonough &amp; Sun 1995 values'!R$2,)</f>
        <v>3.2106612612114627</v>
      </c>
      <c r="IJ27" s="4">
        <f>IFERROR(HH27/'McDonough &amp; Sun 1995 values'!S$2,)</f>
        <v>7.9603171765573446</v>
      </c>
      <c r="IK27" s="4">
        <f>IFERROR(HI27/'McDonough &amp; Sun 1995 values'!T$2,)</f>
        <v>0</v>
      </c>
      <c r="IL27" s="4">
        <f>IFERROR(HJ27/'McDonough &amp; Sun 1995 values'!U$2,)</f>
        <v>4.5069442837861438</v>
      </c>
      <c r="IM27" s="4">
        <f>IFERROR(HK27/'McDonough &amp; Sun 1995 values'!V$2,)</f>
        <v>0</v>
      </c>
      <c r="IN27" s="4">
        <f>IFERROR(HL27/'McDonough &amp; Sun 1995 values'!W$2,)</f>
        <v>0.9094130899034355</v>
      </c>
      <c r="IO27" s="4">
        <f>IFERROR(HM27/'McDonough &amp; Sun 1995 values'!X$2,)</f>
        <v>0.28509042911391425</v>
      </c>
      <c r="IP27" s="4">
        <f>IFERROR(HN27/'McDonough &amp; Sun 1995 values'!Y$2,)</f>
        <v>0</v>
      </c>
      <c r="IQ27" s="4">
        <f>IFERROR(HO27/'McDonough &amp; Sun 1995 values'!Z$2,)</f>
        <v>0</v>
      </c>
      <c r="IR27" s="4">
        <f>IFERROR(HP27/'McDonough &amp; Sun 1995 values'!AA$2,)</f>
        <v>0</v>
      </c>
      <c r="IS27" s="4">
        <f>IFERROR(HQ27/'McDonough &amp; Sun 1995 values'!AB$2,)</f>
        <v>0</v>
      </c>
      <c r="IT27" s="4">
        <f>IFERROR(HR27/'McDonough &amp; Sun 1995 values'!AC$2,)</f>
        <v>0</v>
      </c>
    </row>
    <row r="28" spans="1:254">
      <c r="A28" s="16" t="s">
        <v>842</v>
      </c>
      <c r="B28" s="16" t="s">
        <v>24</v>
      </c>
      <c r="C28" s="16" t="str">
        <f t="shared" si="0"/>
        <v>high-Mg carbonatitic</v>
      </c>
      <c r="D28" s="16" t="s">
        <v>1709</v>
      </c>
      <c r="E28" s="16" t="s">
        <v>237</v>
      </c>
      <c r="F28" s="16" t="s">
        <v>29</v>
      </c>
      <c r="G28" s="16" t="s">
        <v>595</v>
      </c>
      <c r="H28" s="27">
        <v>360</v>
      </c>
      <c r="I28" s="16" t="s">
        <v>712</v>
      </c>
      <c r="J28" s="16">
        <v>0</v>
      </c>
      <c r="K28" s="16" t="s">
        <v>913</v>
      </c>
      <c r="L28" s="16">
        <v>0</v>
      </c>
      <c r="M28" s="16" t="s">
        <v>68</v>
      </c>
      <c r="N28" s="16" t="s">
        <v>1084</v>
      </c>
      <c r="O28" s="26">
        <v>3.7</v>
      </c>
      <c r="P28" s="26"/>
      <c r="Q28" s="26">
        <v>0.4</v>
      </c>
      <c r="R28" s="26">
        <v>1.4</v>
      </c>
      <c r="S28" s="26">
        <v>9.4</v>
      </c>
      <c r="T28" s="26">
        <v>26.6</v>
      </c>
      <c r="U28" s="26">
        <v>6.7</v>
      </c>
      <c r="V28" s="26">
        <v>8.8000000000000007</v>
      </c>
      <c r="W28" s="26">
        <v>6.1</v>
      </c>
      <c r="X28" s="26">
        <v>6.3</v>
      </c>
      <c r="Y28" s="26"/>
      <c r="Z28" s="26">
        <v>0.3</v>
      </c>
      <c r="AA28" s="26"/>
      <c r="AB28" s="26"/>
      <c r="AC28" s="26"/>
      <c r="AD28" s="26">
        <v>0.8</v>
      </c>
      <c r="AE28" s="26"/>
      <c r="AF28" s="26">
        <v>29.6</v>
      </c>
      <c r="AG28" s="26"/>
      <c r="AH28" s="26"/>
      <c r="AI28" s="26"/>
      <c r="AJ28" s="26">
        <f t="shared" si="62"/>
        <v>63.4</v>
      </c>
      <c r="AK28" s="26">
        <f t="shared" si="63"/>
        <v>5.8526279153819729</v>
      </c>
      <c r="AL28" s="26">
        <f t="shared" si="1"/>
        <v>0</v>
      </c>
      <c r="AM28" s="26">
        <f t="shared" si="2"/>
        <v>2.21450785987426</v>
      </c>
      <c r="AN28" s="26">
        <f t="shared" si="64"/>
        <v>14.868838487727173</v>
      </c>
      <c r="AO28" s="26">
        <f t="shared" si="65"/>
        <v>42.07564933761094</v>
      </c>
      <c r="AP28" s="26">
        <f t="shared" si="3"/>
        <v>13.919763690638206</v>
      </c>
      <c r="AQ28" s="26">
        <f t="shared" si="4"/>
        <v>0</v>
      </c>
      <c r="AR28" s="26">
        <f t="shared" si="5"/>
        <v>9.6489271037378455</v>
      </c>
      <c r="AS28" s="26">
        <f t="shared" si="66"/>
        <v>9.9652853694341701</v>
      </c>
      <c r="AT28" s="26">
        <f t="shared" si="6"/>
        <v>0.47453739854448429</v>
      </c>
      <c r="AU28" s="26">
        <f t="shared" si="67"/>
        <v>1.2654330627852914</v>
      </c>
      <c r="AV28" s="26">
        <f t="shared" si="7"/>
        <v>100.28557022573435</v>
      </c>
      <c r="AW28" s="16"/>
      <c r="AX28" s="16"/>
      <c r="AY28" s="16"/>
      <c r="AZ28" s="16"/>
      <c r="BA28" s="26"/>
      <c r="BB28" s="26">
        <v>0.26</v>
      </c>
      <c r="BC28" s="26">
        <f t="shared" si="71"/>
        <v>0.26</v>
      </c>
      <c r="BD28" s="26">
        <f t="shared" si="72"/>
        <v>0.74</v>
      </c>
      <c r="BE28" s="16"/>
      <c r="BF28" s="16"/>
      <c r="BG28" s="16" t="s">
        <v>941</v>
      </c>
      <c r="BH28" s="16" t="s">
        <v>942</v>
      </c>
      <c r="BI28" s="16" t="s">
        <v>943</v>
      </c>
      <c r="BJ28" s="16"/>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v>0</v>
      </c>
      <c r="CZ28" s="18">
        <v>0</v>
      </c>
      <c r="DA28" s="18"/>
      <c r="DB28" s="18"/>
      <c r="DC28" s="18"/>
      <c r="DD28" s="18"/>
      <c r="DE28" s="18"/>
      <c r="DF28" s="18"/>
      <c r="DG28" s="18"/>
      <c r="DH28" s="18"/>
      <c r="DI28" s="18"/>
      <c r="DJ28" s="18"/>
      <c r="DK28" s="18"/>
      <c r="DL28" s="18"/>
      <c r="DM28" s="18"/>
      <c r="DN28" s="18"/>
      <c r="DO28" s="18"/>
      <c r="DP28" s="18"/>
      <c r="DQ28" s="18"/>
      <c r="DR28" s="18"/>
      <c r="DS28" s="18"/>
      <c r="DT28" s="18"/>
      <c r="DU28" s="18"/>
      <c r="DV28" s="28"/>
      <c r="DW28" s="28"/>
      <c r="DX28" s="28"/>
      <c r="DY28" s="28"/>
      <c r="DZ28" s="28"/>
      <c r="EA28" s="28"/>
      <c r="EB28" s="28"/>
      <c r="EC28" s="28"/>
      <c r="ED28" s="28"/>
      <c r="EE28" s="28"/>
      <c r="EF28" s="28"/>
      <c r="EG28" s="28"/>
      <c r="EH28" s="28"/>
      <c r="EI28" s="28"/>
      <c r="EJ28" s="18"/>
      <c r="EK28" s="18"/>
      <c r="EL28" s="18">
        <f>IFERROR(CR28/'McDonough &amp; Sun 1995 values'!C$2,)</f>
        <v>0</v>
      </c>
      <c r="EM28" s="18">
        <f>IFERROR(CH28/'McDonough &amp; Sun 1995 values'!D$2,)</f>
        <v>0</v>
      </c>
      <c r="EN28" s="18">
        <f>IFERROR(CS28/'McDonough &amp; Sun 1995 values'!E$2,)</f>
        <v>0</v>
      </c>
      <c r="EO28" s="18">
        <f>IFERROR(DL28/'McDonough &amp; Sun 1995 values'!F$2,)</f>
        <v>0</v>
      </c>
      <c r="EP28" s="18">
        <f>IFERROR(DM28/'McDonough &amp; Sun 1995 values'!G$2,)</f>
        <v>0</v>
      </c>
      <c r="EQ28" s="18">
        <f>IFERROR(BR28/'McDonough &amp; Sun 1995 values'!H$2,)</f>
        <v>0</v>
      </c>
      <c r="ER28" s="18">
        <f>IFERROR(DI28/'McDonough &amp; Sun 1995 values'!I$2,)</f>
        <v>0</v>
      </c>
      <c r="ES28" s="18">
        <f>IFERROR(CM28/'McDonough &amp; Sun 1995 values'!J$2,)</f>
        <v>0</v>
      </c>
      <c r="ET28" s="18">
        <f>IFERROR(CU28/'McDonough &amp; Sun 1995 values'!K$2,)</f>
        <v>0</v>
      </c>
      <c r="EU28" s="18">
        <f>IFERROR(CV28/'McDonough &amp; Sun 1995 values'!L$2,)</f>
        <v>0</v>
      </c>
      <c r="EV28" s="18">
        <f>IFERROR(CW28/'McDonough &amp; Sun 1995 values'!M$2,)</f>
        <v>0</v>
      </c>
      <c r="EW28" s="18">
        <f>IFERROR(CI28/'McDonough &amp; Sun 1995 values'!N$2,)</f>
        <v>0</v>
      </c>
      <c r="EX28" s="18">
        <f>IFERROR(CX28/'McDonough &amp; Sun 1995 values'!O$2,)</f>
        <v>0</v>
      </c>
      <c r="EY28" s="18">
        <f>IFERROR(CY28/'McDonough &amp; Sun 1995 values'!P$2,)</f>
        <v>0</v>
      </c>
      <c r="EZ28" s="18">
        <f>IFERROR(DH28/'McDonough &amp; Sun 1995 values'!Q$2,)</f>
        <v>0</v>
      </c>
      <c r="FA28" s="18">
        <f>IFERROR(CK28/'McDonough &amp; Sun 1995 values'!R$2,)</f>
        <v>0</v>
      </c>
      <c r="FB28" s="18">
        <f>IFERROR(CZ28/'McDonough &amp; Sun 1995 values'!S$2,)</f>
        <v>0</v>
      </c>
      <c r="FC28" s="18">
        <f>IFERROR(BT28/'McDonough &amp; Sun 1995 values'!T$2,)</f>
        <v>0</v>
      </c>
      <c r="FD28" s="18">
        <f>IFERROR(DA28/'McDonough &amp; Sun 1995 values'!U$2,)</f>
        <v>0</v>
      </c>
      <c r="FE28" s="18">
        <f>IFERROR(DN28/'McDonough &amp; Sun 1995 values'!V$2,)</f>
        <v>0</v>
      </c>
      <c r="FF28" s="18">
        <f>IFERROR(DB28/'McDonough &amp; Sun 1995 values'!W$2,)</f>
        <v>0</v>
      </c>
      <c r="FG28" s="18">
        <f>IFERROR(CJ28/'McDonough &amp; Sun 1995 values'!X$2,)</f>
        <v>0</v>
      </c>
      <c r="FH28" s="18">
        <f>IFERROR(DC28/'McDonough &amp; Sun 1995 values'!Y$2,)</f>
        <v>0</v>
      </c>
      <c r="FI28" s="18">
        <f>IFERROR(DD28/'McDonough &amp; Sun 1995 values'!Z$2,)</f>
        <v>0</v>
      </c>
      <c r="FJ28" s="18">
        <f>IFERROR(DE28/'McDonough &amp; Sun 1995 values'!AA$2,)</f>
        <v>0</v>
      </c>
      <c r="FK28" s="18">
        <f>IFERROR(DF28/'McDonough &amp; Sun 1995 values'!AB$2,)</f>
        <v>0</v>
      </c>
      <c r="FL28" s="18">
        <f>IFERROR(DG28/'McDonough &amp; Sun 1995 values'!AC$2,)</f>
        <v>0</v>
      </c>
      <c r="FN28" s="28">
        <f t="shared" si="68"/>
        <v>0</v>
      </c>
      <c r="FO28" s="4">
        <f t="shared" si="8"/>
        <v>0</v>
      </c>
      <c r="FP28" s="4">
        <f t="shared" si="9"/>
        <v>0</v>
      </c>
      <c r="FQ28" s="4">
        <f t="shared" si="10"/>
        <v>0</v>
      </c>
      <c r="FR28" s="4">
        <f t="shared" si="11"/>
        <v>0</v>
      </c>
      <c r="FS28" s="4">
        <f t="shared" si="12"/>
        <v>0</v>
      </c>
      <c r="FT28" s="4">
        <f t="shared" si="13"/>
        <v>0</v>
      </c>
      <c r="FU28" s="4">
        <f t="shared" si="14"/>
        <v>0</v>
      </c>
      <c r="FV28" s="4">
        <f t="shared" si="15"/>
        <v>0</v>
      </c>
      <c r="FW28" s="4">
        <f t="shared" si="16"/>
        <v>0</v>
      </c>
      <c r="FX28" s="4">
        <f t="shared" si="17"/>
        <v>0</v>
      </c>
      <c r="FY28" s="4">
        <f t="shared" si="18"/>
        <v>0</v>
      </c>
      <c r="FZ28" s="4">
        <f t="shared" si="19"/>
        <v>0</v>
      </c>
      <c r="GA28" s="4">
        <f t="shared" si="20"/>
        <v>0</v>
      </c>
      <c r="GB28" s="4">
        <f t="shared" si="21"/>
        <v>0</v>
      </c>
      <c r="GC28" s="4">
        <f t="shared" si="22"/>
        <v>0</v>
      </c>
      <c r="GD28" s="4">
        <f t="shared" si="23"/>
        <v>0</v>
      </c>
      <c r="GE28" s="4">
        <f t="shared" si="24"/>
        <v>0</v>
      </c>
      <c r="GF28" s="4">
        <f t="shared" si="25"/>
        <v>0</v>
      </c>
      <c r="GG28" s="4">
        <f t="shared" si="26"/>
        <v>0</v>
      </c>
      <c r="GH28" s="4">
        <f t="shared" si="27"/>
        <v>0</v>
      </c>
      <c r="GI28" s="4">
        <f t="shared" si="28"/>
        <v>0</v>
      </c>
      <c r="GJ28" s="4">
        <f t="shared" si="29"/>
        <v>0</v>
      </c>
      <c r="GK28" s="4">
        <f t="shared" si="30"/>
        <v>0</v>
      </c>
      <c r="GL28" s="4">
        <f t="shared" si="31"/>
        <v>0</v>
      </c>
      <c r="GM28" s="4">
        <f t="shared" si="32"/>
        <v>0</v>
      </c>
      <c r="GN28" s="4">
        <f t="shared" si="33"/>
        <v>0</v>
      </c>
      <c r="GO28" s="4">
        <f t="shared" si="34"/>
        <v>0</v>
      </c>
      <c r="GP28" s="4">
        <f t="shared" si="35"/>
        <v>0</v>
      </c>
      <c r="GQ28" s="27">
        <f t="shared" si="70"/>
        <v>82725.551372500617</v>
      </c>
      <c r="GR28" s="28" t="str">
        <f t="shared" si="69"/>
        <v/>
      </c>
      <c r="GS28" s="28" t="str">
        <f t="shared" si="36"/>
        <v/>
      </c>
      <c r="GT28" s="28" t="str">
        <f t="shared" si="37"/>
        <v/>
      </c>
      <c r="GU28" s="28" t="str">
        <f t="shared" si="38"/>
        <v/>
      </c>
      <c r="GV28" s="28" t="str">
        <f t="shared" si="39"/>
        <v/>
      </c>
      <c r="GW28" s="28" t="str">
        <f t="shared" si="40"/>
        <v/>
      </c>
      <c r="GX28" s="28" t="str">
        <f t="shared" si="41"/>
        <v/>
      </c>
      <c r="GY28" s="28" t="str">
        <f t="shared" si="42"/>
        <v/>
      </c>
      <c r="GZ28" s="28" t="str">
        <f t="shared" si="43"/>
        <v/>
      </c>
      <c r="HA28" s="28" t="str">
        <f t="shared" si="44"/>
        <v/>
      </c>
      <c r="HB28" s="28" t="str">
        <f t="shared" si="45"/>
        <v/>
      </c>
      <c r="HC28" s="28" t="str">
        <f t="shared" si="46"/>
        <v/>
      </c>
      <c r="HD28" s="28" t="str">
        <f t="shared" si="47"/>
        <v/>
      </c>
      <c r="HE28" s="28" t="str">
        <f t="shared" si="48"/>
        <v/>
      </c>
      <c r="HF28" s="28" t="str">
        <f t="shared" si="49"/>
        <v/>
      </c>
      <c r="HG28" s="28" t="str">
        <f t="shared" si="50"/>
        <v/>
      </c>
      <c r="HH28" s="28" t="str">
        <f t="shared" si="51"/>
        <v/>
      </c>
      <c r="HI28" s="28" t="str">
        <f t="shared" si="52"/>
        <v/>
      </c>
      <c r="HJ28" s="28" t="str">
        <f t="shared" si="53"/>
        <v/>
      </c>
      <c r="HK28" s="28" t="str">
        <f t="shared" si="54"/>
        <v/>
      </c>
      <c r="HL28" s="28" t="str">
        <f t="shared" si="55"/>
        <v/>
      </c>
      <c r="HM28" s="28" t="str">
        <f t="shared" si="56"/>
        <v/>
      </c>
      <c r="HN28" s="28" t="str">
        <f t="shared" si="57"/>
        <v/>
      </c>
      <c r="HO28" s="28" t="str">
        <f t="shared" si="58"/>
        <v/>
      </c>
      <c r="HP28" s="28" t="str">
        <f t="shared" si="59"/>
        <v/>
      </c>
      <c r="HQ28" s="28" t="str">
        <f t="shared" si="60"/>
        <v/>
      </c>
      <c r="HR28" s="28" t="str">
        <f t="shared" si="61"/>
        <v/>
      </c>
      <c r="HT28" s="4">
        <f>IFERROR(GR28/'McDonough &amp; Sun 1995 values'!C$2,)</f>
        <v>0</v>
      </c>
      <c r="HU28" s="4">
        <f>IFERROR(GS28/'McDonough &amp; Sun 1995 values'!D$2,)</f>
        <v>0</v>
      </c>
      <c r="HV28" s="4">
        <f>IFERROR(GT28/'McDonough &amp; Sun 1995 values'!E$2,)</f>
        <v>0</v>
      </c>
      <c r="HW28" s="4">
        <f>IFERROR(GU28/'McDonough &amp; Sun 1995 values'!F$2,)</f>
        <v>0</v>
      </c>
      <c r="HX28" s="4">
        <f>IFERROR(GV28/'McDonough &amp; Sun 1995 values'!G$2,)</f>
        <v>0</v>
      </c>
      <c r="HY28" s="4">
        <f>IFERROR(GW28/'McDonough &amp; Sun 1995 values'!H$2,)</f>
        <v>0</v>
      </c>
      <c r="HZ28" s="4">
        <f>IFERROR(GX28/'McDonough &amp; Sun 1995 values'!I$2,)</f>
        <v>0</v>
      </c>
      <c r="IA28" s="4">
        <f>IFERROR(GY28/'McDonough &amp; Sun 1995 values'!J$2,)</f>
        <v>0</v>
      </c>
      <c r="IB28" s="4">
        <f>IFERROR(GZ28/'McDonough &amp; Sun 1995 values'!K$2,)</f>
        <v>0</v>
      </c>
      <c r="IC28" s="4">
        <f>IFERROR(HA28/'McDonough &amp; Sun 1995 values'!L$2,)</f>
        <v>0</v>
      </c>
      <c r="ID28" s="4">
        <f>IFERROR(HB28/'McDonough &amp; Sun 1995 values'!M$2,)</f>
        <v>0</v>
      </c>
      <c r="IE28" s="4">
        <f>IFERROR(HC28/'McDonough &amp; Sun 1995 values'!N$2,)</f>
        <v>0</v>
      </c>
      <c r="IF28" s="4">
        <f>IFERROR(HD28/'McDonough &amp; Sun 1995 values'!O$2,)</f>
        <v>0</v>
      </c>
      <c r="IG28" s="4">
        <f>IFERROR(HE28/'McDonough &amp; Sun 1995 values'!P$2,)</f>
        <v>0</v>
      </c>
      <c r="IH28" s="4">
        <f>IFERROR(HF28/'McDonough &amp; Sun 1995 values'!Q$2,)</f>
        <v>0</v>
      </c>
      <c r="II28" s="4">
        <f>IFERROR(HG28/'McDonough &amp; Sun 1995 values'!R$2,)</f>
        <v>0</v>
      </c>
      <c r="IJ28" s="4">
        <f>IFERROR(HH28/'McDonough &amp; Sun 1995 values'!S$2,)</f>
        <v>0</v>
      </c>
      <c r="IK28" s="4">
        <f>IFERROR(HI28/'McDonough &amp; Sun 1995 values'!T$2,)</f>
        <v>0</v>
      </c>
      <c r="IL28" s="4">
        <f>IFERROR(HJ28/'McDonough &amp; Sun 1995 values'!U$2,)</f>
        <v>0</v>
      </c>
      <c r="IM28" s="4">
        <f>IFERROR(HK28/'McDonough &amp; Sun 1995 values'!V$2,)</f>
        <v>0</v>
      </c>
      <c r="IN28" s="4">
        <f>IFERROR(HL28/'McDonough &amp; Sun 1995 values'!W$2,)</f>
        <v>0</v>
      </c>
      <c r="IO28" s="4">
        <f>IFERROR(HM28/'McDonough &amp; Sun 1995 values'!X$2,)</f>
        <v>0</v>
      </c>
      <c r="IP28" s="4">
        <f>IFERROR(HN28/'McDonough &amp; Sun 1995 values'!Y$2,)</f>
        <v>0</v>
      </c>
      <c r="IQ28" s="4">
        <f>IFERROR(HO28/'McDonough &amp; Sun 1995 values'!Z$2,)</f>
        <v>0</v>
      </c>
      <c r="IR28" s="4">
        <f>IFERROR(HP28/'McDonough &amp; Sun 1995 values'!AA$2,)</f>
        <v>0</v>
      </c>
      <c r="IS28" s="4">
        <f>IFERROR(HQ28/'McDonough &amp; Sun 1995 values'!AB$2,)</f>
        <v>0</v>
      </c>
      <c r="IT28" s="4">
        <f>IFERROR(HR28/'McDonough &amp; Sun 1995 values'!AC$2,)</f>
        <v>0</v>
      </c>
    </row>
    <row r="29" spans="1:254">
      <c r="A29" s="16" t="s">
        <v>1179</v>
      </c>
      <c r="B29" s="16" t="s">
        <v>24</v>
      </c>
      <c r="C29" s="16" t="str">
        <f t="shared" si="0"/>
        <v>high-Mg carbonatitic</v>
      </c>
      <c r="D29" s="16" t="s">
        <v>1709</v>
      </c>
      <c r="E29" s="16" t="s">
        <v>237</v>
      </c>
      <c r="F29" s="16" t="s">
        <v>29</v>
      </c>
      <c r="G29" s="16" t="s">
        <v>595</v>
      </c>
      <c r="H29" s="27">
        <v>360</v>
      </c>
      <c r="I29" s="16" t="s">
        <v>712</v>
      </c>
      <c r="J29" s="16">
        <v>0</v>
      </c>
      <c r="K29" s="16" t="s">
        <v>913</v>
      </c>
      <c r="L29" s="16">
        <v>0</v>
      </c>
      <c r="M29" s="16" t="s">
        <v>69</v>
      </c>
      <c r="N29" s="16" t="s">
        <v>1084</v>
      </c>
      <c r="O29" s="26">
        <v>16.899999999999999</v>
      </c>
      <c r="P29" s="26">
        <v>1.8</v>
      </c>
      <c r="Q29" s="26">
        <v>0.1</v>
      </c>
      <c r="R29" s="26">
        <v>1.8</v>
      </c>
      <c r="S29" s="26">
        <v>8.8000000000000007</v>
      </c>
      <c r="T29" s="26">
        <v>20.6</v>
      </c>
      <c r="U29" s="26">
        <v>1.5</v>
      </c>
      <c r="V29" s="26">
        <v>38</v>
      </c>
      <c r="W29" s="26">
        <v>5</v>
      </c>
      <c r="X29" s="26">
        <v>1.4</v>
      </c>
      <c r="Y29" s="26"/>
      <c r="Z29" s="26">
        <v>2.7</v>
      </c>
      <c r="AA29" s="26"/>
      <c r="AB29" s="26"/>
      <c r="AC29" s="26"/>
      <c r="AD29" s="26">
        <v>0.8</v>
      </c>
      <c r="AE29" s="26"/>
      <c r="AF29" s="26">
        <v>0.5</v>
      </c>
      <c r="AG29" s="26"/>
      <c r="AH29" s="26"/>
      <c r="AI29" s="26"/>
      <c r="AJ29" s="26">
        <f t="shared" si="62"/>
        <v>97.800000000000011</v>
      </c>
      <c r="AK29" s="26">
        <f t="shared" si="63"/>
        <v>17.312121273417112</v>
      </c>
      <c r="AL29" s="26">
        <f t="shared" si="1"/>
        <v>1.8438945735000476</v>
      </c>
      <c r="AM29" s="26">
        <f t="shared" si="2"/>
        <v>1.8438945735000476</v>
      </c>
      <c r="AN29" s="26">
        <f t="shared" si="64"/>
        <v>9.0145956926668998</v>
      </c>
      <c r="AO29" s="26">
        <f t="shared" si="65"/>
        <v>21.10234900783388</v>
      </c>
      <c r="AP29" s="26">
        <f t="shared" si="3"/>
        <v>38.926663218334333</v>
      </c>
      <c r="AQ29" s="26">
        <f t="shared" si="4"/>
        <v>0</v>
      </c>
      <c r="AR29" s="26">
        <f t="shared" si="5"/>
        <v>5.121929370833465</v>
      </c>
      <c r="AS29" s="26">
        <f t="shared" si="66"/>
        <v>1.43414022383337</v>
      </c>
      <c r="AT29" s="26">
        <f t="shared" si="6"/>
        <v>2.7658418602500712</v>
      </c>
      <c r="AU29" s="26">
        <f t="shared" si="67"/>
        <v>0.81950869933335446</v>
      </c>
      <c r="AV29" s="26">
        <f t="shared" si="7"/>
        <v>100.1849384935026</v>
      </c>
      <c r="AW29" s="16"/>
      <c r="AX29" s="16"/>
      <c r="AY29" s="16"/>
      <c r="AZ29" s="16"/>
      <c r="BA29" s="26"/>
      <c r="BB29" s="26">
        <v>0.05</v>
      </c>
      <c r="BC29" s="26">
        <f t="shared" si="71"/>
        <v>5.0000000000000044E-2</v>
      </c>
      <c r="BD29" s="26">
        <f t="shared" si="72"/>
        <v>0.95</v>
      </c>
      <c r="BE29" s="16"/>
      <c r="BF29" s="16"/>
      <c r="BG29" s="16"/>
      <c r="BH29" s="16"/>
      <c r="BI29" s="16"/>
      <c r="BJ29" s="16"/>
      <c r="BK29" s="18"/>
      <c r="BL29" s="18"/>
      <c r="BM29" s="18"/>
      <c r="BN29" s="18"/>
      <c r="BO29" s="18"/>
      <c r="BP29" s="18"/>
      <c r="BQ29" s="18"/>
      <c r="BR29" s="18">
        <v>116</v>
      </c>
      <c r="BS29" s="18"/>
      <c r="BT29" s="18"/>
      <c r="BU29" s="18">
        <v>2.42</v>
      </c>
      <c r="BV29" s="18">
        <v>1.22</v>
      </c>
      <c r="BW29" s="18"/>
      <c r="BX29" s="18">
        <v>0.7</v>
      </c>
      <c r="BY29" s="18">
        <v>0.16</v>
      </c>
      <c r="BZ29" s="18">
        <v>0.98</v>
      </c>
      <c r="CA29" s="18">
        <v>0.06</v>
      </c>
      <c r="CB29" s="18">
        <v>0.1</v>
      </c>
      <c r="CC29" s="18"/>
      <c r="CD29" s="18"/>
      <c r="CE29" s="18"/>
      <c r="CF29" s="18"/>
      <c r="CG29" s="18"/>
      <c r="CH29" s="18">
        <v>0.46</v>
      </c>
      <c r="CI29" s="18">
        <v>2.29</v>
      </c>
      <c r="CJ29" s="18">
        <v>0.06</v>
      </c>
      <c r="CK29" s="18">
        <v>0.24</v>
      </c>
      <c r="CL29" s="18"/>
      <c r="CM29" s="18">
        <v>0.18</v>
      </c>
      <c r="CN29" s="18"/>
      <c r="CO29" s="18"/>
      <c r="CP29" s="18"/>
      <c r="CQ29" s="18"/>
      <c r="CR29" s="18">
        <v>0.02</v>
      </c>
      <c r="CS29" s="18">
        <v>3.61</v>
      </c>
      <c r="CT29" s="18">
        <v>0.1</v>
      </c>
      <c r="CU29" s="18">
        <v>0.27</v>
      </c>
      <c r="CV29" s="18">
        <v>0.48</v>
      </c>
      <c r="CW29" s="18">
        <v>0.05</v>
      </c>
      <c r="CX29" s="18">
        <v>0.21</v>
      </c>
      <c r="CY29" s="18">
        <v>0.03</v>
      </c>
      <c r="CZ29" s="18">
        <v>0.01</v>
      </c>
      <c r="DA29" s="18">
        <v>0.03</v>
      </c>
      <c r="DB29" s="18">
        <v>0.02</v>
      </c>
      <c r="DC29" s="18"/>
      <c r="DD29" s="18">
        <v>0.01</v>
      </c>
      <c r="DE29" s="18"/>
      <c r="DF29" s="18" t="s">
        <v>491</v>
      </c>
      <c r="DG29" s="18" t="s">
        <v>491</v>
      </c>
      <c r="DH29" s="18">
        <v>0.02</v>
      </c>
      <c r="DI29" s="18"/>
      <c r="DJ29" s="18"/>
      <c r="DK29" s="18">
        <v>0.04</v>
      </c>
      <c r="DL29" s="18">
        <v>0.03</v>
      </c>
      <c r="DM29" s="18">
        <v>0.01</v>
      </c>
      <c r="DN29" s="18"/>
      <c r="DO29" s="18"/>
      <c r="DP29" s="18"/>
      <c r="DQ29" s="18"/>
      <c r="DR29" s="18"/>
      <c r="DS29" s="18"/>
      <c r="DT29" s="18"/>
      <c r="DU29" s="18"/>
      <c r="DV29" s="28"/>
      <c r="DW29" s="28"/>
      <c r="DX29" s="28"/>
      <c r="DY29" s="28"/>
      <c r="DZ29" s="28"/>
      <c r="EA29" s="28"/>
      <c r="EB29" s="28"/>
      <c r="EC29" s="28"/>
      <c r="ED29" s="28"/>
      <c r="EE29" s="28"/>
      <c r="EF29" s="28"/>
      <c r="EG29" s="28"/>
      <c r="EH29" s="28"/>
      <c r="EI29" s="28"/>
      <c r="EJ29" s="18"/>
      <c r="EK29" s="18"/>
      <c r="EL29" s="18">
        <f>IFERROR(CR29/'McDonough &amp; Sun 1995 values'!C$2,)</f>
        <v>0.95238095238095233</v>
      </c>
      <c r="EM29" s="18">
        <f>IFERROR(CH29/'McDonough &amp; Sun 1995 values'!D$2,)</f>
        <v>0.76666666666666672</v>
      </c>
      <c r="EN29" s="18">
        <f>IFERROR(CS29/'McDonough &amp; Sun 1995 values'!E$2,)</f>
        <v>0.54696969696969699</v>
      </c>
      <c r="EO29" s="18">
        <f>IFERROR(DL29/'McDonough &amp; Sun 1995 values'!F$2,)</f>
        <v>0.37735849056603771</v>
      </c>
      <c r="EP29" s="18">
        <f>IFERROR(DM29/'McDonough &amp; Sun 1995 values'!G$2,)</f>
        <v>0.49261083743842371</v>
      </c>
      <c r="EQ29" s="18">
        <f>IFERROR(BR29/'McDonough &amp; Sun 1995 values'!H$2,)</f>
        <v>0.48333333333333334</v>
      </c>
      <c r="ER29" s="18">
        <f>IFERROR(DI29/'McDonough &amp; Sun 1995 values'!I$2,)</f>
        <v>0</v>
      </c>
      <c r="ES29" s="18">
        <f>IFERROR(CM29/'McDonough &amp; Sun 1995 values'!J$2,)</f>
        <v>0.2735562310030395</v>
      </c>
      <c r="ET29" s="18">
        <f>IFERROR(CU29/'McDonough &amp; Sun 1995 values'!K$2,)</f>
        <v>0.41666666666666669</v>
      </c>
      <c r="EU29" s="18">
        <f>IFERROR(CV29/'McDonough &amp; Sun 1995 values'!L$2,)</f>
        <v>0.28656716417910444</v>
      </c>
      <c r="EV29" s="18">
        <f>IFERROR(CW29/'McDonough &amp; Sun 1995 values'!M$2,)</f>
        <v>0.19685039370078741</v>
      </c>
      <c r="EW29" s="18">
        <f>IFERROR(CI29/'McDonough &amp; Sun 1995 values'!N$2,)</f>
        <v>0.11507537688442213</v>
      </c>
      <c r="EX29" s="18">
        <f>IFERROR(CX29/'McDonough &amp; Sun 1995 values'!O$2,)</f>
        <v>0.16799999999999998</v>
      </c>
      <c r="EY29" s="18">
        <f>IFERROR(CY29/'McDonough &amp; Sun 1995 values'!P$2,)</f>
        <v>7.389162561576354E-2</v>
      </c>
      <c r="EZ29" s="18">
        <f>IFERROR(DH29/'McDonough &amp; Sun 1995 values'!Q$2,)</f>
        <v>7.0671378091872794E-2</v>
      </c>
      <c r="FA29" s="18">
        <f>IFERROR(CK29/'McDonough &amp; Sun 1995 values'!R$2,)</f>
        <v>2.2857142857142857E-2</v>
      </c>
      <c r="FB29" s="18">
        <f>IFERROR(CZ29/'McDonough &amp; Sun 1995 values'!S$2,)</f>
        <v>6.4935064935064943E-2</v>
      </c>
      <c r="FC29" s="18">
        <f>IFERROR(BT29/'McDonough &amp; Sun 1995 values'!T$2,)</f>
        <v>0</v>
      </c>
      <c r="FD29" s="18">
        <f>IFERROR(DA29/'McDonough &amp; Sun 1995 values'!U$2,)</f>
        <v>5.5147058823529403E-2</v>
      </c>
      <c r="FE29" s="18">
        <f>IFERROR(DN29/'McDonough &amp; Sun 1995 values'!V$2,)</f>
        <v>0</v>
      </c>
      <c r="FF29" s="18">
        <f>IFERROR(DB29/'McDonough &amp; Sun 1995 values'!W$2,)</f>
        <v>2.9673590504451036E-2</v>
      </c>
      <c r="FG29" s="18">
        <f>IFERROR(CJ29/'McDonough &amp; Sun 1995 values'!X$2,)</f>
        <v>1.3953488372093023E-2</v>
      </c>
      <c r="FH29" s="18">
        <f>IFERROR(DC29/'McDonough &amp; Sun 1995 values'!Y$2,)</f>
        <v>0</v>
      </c>
      <c r="FI29" s="18">
        <f>IFERROR(DD29/'McDonough &amp; Sun 1995 values'!Z$2,)</f>
        <v>2.2831050228310501E-2</v>
      </c>
      <c r="FJ29" s="18">
        <f>IFERROR(DE29/'McDonough &amp; Sun 1995 values'!AA$2,)</f>
        <v>0</v>
      </c>
      <c r="FK29" s="18">
        <f>IFERROR(DF29/'McDonough &amp; Sun 1995 values'!AB$2,)</f>
        <v>0</v>
      </c>
      <c r="FL29" s="18">
        <f>IFERROR(DG29/'McDonough &amp; Sun 1995 values'!AC$2,)</f>
        <v>0</v>
      </c>
      <c r="FN29" s="28">
        <f t="shared" si="68"/>
        <v>1.0191948360794973</v>
      </c>
      <c r="FO29" s="4">
        <f t="shared" si="8"/>
        <v>1.1103484848484848</v>
      </c>
      <c r="FP29" s="4">
        <f t="shared" si="9"/>
        <v>1.379454926624738</v>
      </c>
      <c r="FQ29" s="4">
        <f t="shared" si="10"/>
        <v>0.76603773584905643</v>
      </c>
      <c r="FR29" s="4">
        <f t="shared" si="11"/>
        <v>1.5231481481481484</v>
      </c>
      <c r="FS29" s="4">
        <f t="shared" si="12"/>
        <v>0</v>
      </c>
      <c r="FT29" s="4">
        <f t="shared" si="13"/>
        <v>0.80500000000000005</v>
      </c>
      <c r="FU29" s="4">
        <f t="shared" si="14"/>
        <v>0</v>
      </c>
      <c r="FV29" s="4">
        <f t="shared" si="15"/>
        <v>0.30933333333333335</v>
      </c>
      <c r="FW29" s="4">
        <f t="shared" si="16"/>
        <v>0.3234285714285714</v>
      </c>
      <c r="FX29" s="4">
        <f t="shared" si="17"/>
        <v>1.0064433811802234</v>
      </c>
      <c r="FY29" s="4">
        <f t="shared" si="18"/>
        <v>0.63279002015764196</v>
      </c>
      <c r="FZ29" s="4">
        <f t="shared" si="19"/>
        <v>1.0172331181107894</v>
      </c>
      <c r="GA29" s="4">
        <f t="shared" si="20"/>
        <v>0.58458291457286438</v>
      </c>
      <c r="GB29" s="4">
        <f t="shared" si="21"/>
        <v>0.87878787878787901</v>
      </c>
      <c r="GC29" s="4">
        <f t="shared" si="22"/>
        <v>1.2422360248447204</v>
      </c>
      <c r="GD29" s="4">
        <f t="shared" si="23"/>
        <v>1.4494696969696972</v>
      </c>
      <c r="GE29" s="4">
        <f t="shared" si="24"/>
        <v>0.7134387351778656</v>
      </c>
      <c r="GF29" s="4">
        <f t="shared" si="25"/>
        <v>1.1316614420062696</v>
      </c>
      <c r="GG29" s="4">
        <f t="shared" si="26"/>
        <v>1.9994781144781146</v>
      </c>
      <c r="GH29" s="4">
        <f t="shared" si="27"/>
        <v>2.1166666666666667</v>
      </c>
      <c r="GI29" s="4">
        <f t="shared" si="28"/>
        <v>5.6388888888888893</v>
      </c>
      <c r="GJ29" s="4">
        <f t="shared" si="29"/>
        <v>14.041666666666668</v>
      </c>
      <c r="GK29" s="4">
        <f t="shared" si="30"/>
        <v>0</v>
      </c>
      <c r="GL29" s="4">
        <f t="shared" si="31"/>
        <v>0</v>
      </c>
      <c r="GM29" s="4">
        <f t="shared" si="32"/>
        <v>0.49220672682526656</v>
      </c>
      <c r="GN29" s="4">
        <f t="shared" si="33"/>
        <v>0.65653495440729481</v>
      </c>
      <c r="GO29" s="4">
        <f t="shared" si="34"/>
        <v>0.55531914893617007</v>
      </c>
      <c r="GP29" s="4">
        <f t="shared" si="35"/>
        <v>0.98116666666666652</v>
      </c>
      <c r="GQ29" s="27">
        <f t="shared" si="70"/>
        <v>11905.332999895154</v>
      </c>
      <c r="GR29" s="28">
        <f t="shared" si="69"/>
        <v>2.0526436206715784</v>
      </c>
      <c r="GS29" s="28">
        <f t="shared" si="36"/>
        <v>47.210803275446303</v>
      </c>
      <c r="GT29" s="28">
        <f t="shared" si="37"/>
        <v>370.50217353121985</v>
      </c>
      <c r="GU29" s="28">
        <f t="shared" si="38"/>
        <v>3.0789654310073673</v>
      </c>
      <c r="GV29" s="28">
        <f t="shared" si="39"/>
        <v>1.0263218103357892</v>
      </c>
      <c r="GW29" s="28">
        <f t="shared" si="40"/>
        <v>11905.332999895154</v>
      </c>
      <c r="GX29" s="28">
        <f t="shared" si="41"/>
        <v>0</v>
      </c>
      <c r="GY29" s="28">
        <f t="shared" si="42"/>
        <v>18.473792586044205</v>
      </c>
      <c r="GZ29" s="28">
        <f t="shared" si="43"/>
        <v>27.710688879066311</v>
      </c>
      <c r="HA29" s="28">
        <f t="shared" si="44"/>
        <v>49.263446896117877</v>
      </c>
      <c r="HB29" s="28">
        <f t="shared" si="45"/>
        <v>5.1316090516789465</v>
      </c>
      <c r="HC29" s="28">
        <f t="shared" si="46"/>
        <v>235.02769456689575</v>
      </c>
      <c r="HD29" s="28">
        <f t="shared" si="47"/>
        <v>21.55275801705157</v>
      </c>
      <c r="HE29" s="28">
        <f t="shared" si="48"/>
        <v>3.0789654310073673</v>
      </c>
      <c r="HF29" s="28">
        <f t="shared" si="49"/>
        <v>2.0526436206715784</v>
      </c>
      <c r="HG29" s="28">
        <f t="shared" si="50"/>
        <v>24.631723448058938</v>
      </c>
      <c r="HH29" s="28">
        <f t="shared" si="51"/>
        <v>1.0263218103357892</v>
      </c>
      <c r="HI29" s="28">
        <f t="shared" si="52"/>
        <v>0</v>
      </c>
      <c r="HJ29" s="28">
        <f t="shared" si="53"/>
        <v>3.0789654310073673</v>
      </c>
      <c r="HK29" s="28">
        <f t="shared" si="54"/>
        <v>0</v>
      </c>
      <c r="HL29" s="28">
        <f t="shared" si="55"/>
        <v>2.0526436206715784</v>
      </c>
      <c r="HM29" s="28">
        <f t="shared" si="56"/>
        <v>6.1579308620147346</v>
      </c>
      <c r="HN29" s="28">
        <f t="shared" si="57"/>
        <v>0</v>
      </c>
      <c r="HO29" s="28">
        <f t="shared" si="58"/>
        <v>1.0263218103357892</v>
      </c>
      <c r="HP29" s="28">
        <f t="shared" si="59"/>
        <v>0</v>
      </c>
      <c r="HQ29" s="28" t="str">
        <f t="shared" si="60"/>
        <v/>
      </c>
      <c r="HR29" s="28" t="str">
        <f t="shared" si="61"/>
        <v/>
      </c>
      <c r="HT29" s="4">
        <f>IFERROR(GR29/'McDonough &amp; Sun 1995 values'!C$2,)</f>
        <v>97.744934317694202</v>
      </c>
      <c r="HU29" s="4">
        <f>IFERROR(GS29/'McDonough &amp; Sun 1995 values'!D$2,)</f>
        <v>78.684672125743845</v>
      </c>
      <c r="HV29" s="4">
        <f>IFERROR(GT29/'McDonough &amp; Sun 1995 values'!E$2,)</f>
        <v>56.136692959275742</v>
      </c>
      <c r="HW29" s="4">
        <f>IFERROR(GU29/'McDonough &amp; Sun 1995 values'!F$2,)</f>
        <v>38.729124918331664</v>
      </c>
      <c r="HX29" s="4">
        <f>IFERROR(GV29/'McDonough &amp; Sun 1995 values'!G$2,)</f>
        <v>50.557724647083212</v>
      </c>
      <c r="HY29" s="4">
        <f>IFERROR(GW29/'McDonough &amp; Sun 1995 values'!H$2,)</f>
        <v>49.605554166229808</v>
      </c>
      <c r="HZ29" s="4">
        <f>IFERROR(GX29/'McDonough &amp; Sun 1995 values'!I$2,)</f>
        <v>0</v>
      </c>
      <c r="IA29" s="4">
        <f>IFERROR(GY29/'McDonough &amp; Sun 1995 values'!J$2,)</f>
        <v>28.075672623167485</v>
      </c>
      <c r="IB29" s="4">
        <f>IFERROR(GZ29/'McDonough &amp; Sun 1995 values'!K$2,)</f>
        <v>42.763408763991215</v>
      </c>
      <c r="IC29" s="4">
        <f>IFERROR(HA29/'McDonough &amp; Sun 1995 values'!L$2,)</f>
        <v>29.411013072309178</v>
      </c>
      <c r="ID29" s="4">
        <f>IFERROR(HB29/'McDonough &amp; Sun 1995 values'!M$2,)</f>
        <v>20.203185242830497</v>
      </c>
      <c r="IE29" s="4">
        <f>IFERROR(HC29/'McDonough &amp; Sun 1995 values'!N$2,)</f>
        <v>11.810436912909335</v>
      </c>
      <c r="IF29" s="4">
        <f>IFERROR(HD29/'McDonough &amp; Sun 1995 values'!O$2,)</f>
        <v>17.242206413641256</v>
      </c>
      <c r="IG29" s="4">
        <f>IFERROR(HE29/'McDonough &amp; Sun 1995 values'!P$2,)</f>
        <v>7.5836586970624804</v>
      </c>
      <c r="IH29" s="4">
        <f>IFERROR(HF29/'McDonough &amp; Sun 1995 values'!Q$2,)</f>
        <v>7.2531576702175924</v>
      </c>
      <c r="II29" s="4">
        <f>IFERROR(HG29/'McDonough &amp; Sun 1995 values'!R$2,)</f>
        <v>2.3458784236246606</v>
      </c>
      <c r="IJ29" s="4">
        <f>IFERROR(HH29/'McDonough &amp; Sun 1995 values'!S$2,)</f>
        <v>6.6644273398427867</v>
      </c>
      <c r="IK29" s="4">
        <f>IFERROR(HI29/'McDonough &amp; Sun 1995 values'!T$2,)</f>
        <v>0</v>
      </c>
      <c r="IL29" s="4">
        <f>IFERROR(HJ29/'McDonough &amp; Sun 1995 values'!U$2,)</f>
        <v>5.6598629246458954</v>
      </c>
      <c r="IM29" s="4">
        <f>IFERROR(HK29/'McDonough &amp; Sun 1995 values'!V$2,)</f>
        <v>0</v>
      </c>
      <c r="IN29" s="4">
        <f>IFERROR(HL29/'McDonough &amp; Sun 1995 values'!W$2,)</f>
        <v>3.0454653125691071</v>
      </c>
      <c r="IO29" s="4">
        <f>IFERROR(HM29/'McDonough &amp; Sun 1995 values'!X$2,)</f>
        <v>1.4320769446545896</v>
      </c>
      <c r="IP29" s="4">
        <f>IFERROR(HN29/'McDonough &amp; Sun 1995 values'!Y$2,)</f>
        <v>0</v>
      </c>
      <c r="IQ29" s="4">
        <f>IFERROR(HO29/'McDonough &amp; Sun 1995 values'!Z$2,)</f>
        <v>2.3432004802186968</v>
      </c>
      <c r="IR29" s="4">
        <f>IFERROR(HP29/'McDonough &amp; Sun 1995 values'!AA$2,)</f>
        <v>0</v>
      </c>
      <c r="IS29" s="4">
        <f>IFERROR(HQ29/'McDonough &amp; Sun 1995 values'!AB$2,)</f>
        <v>0</v>
      </c>
      <c r="IT29" s="4">
        <f>IFERROR(HR29/'McDonough &amp; Sun 1995 values'!AC$2,)</f>
        <v>0</v>
      </c>
    </row>
    <row r="30" spans="1:254">
      <c r="A30" s="16" t="s">
        <v>672</v>
      </c>
      <c r="B30" s="16" t="s">
        <v>24</v>
      </c>
      <c r="C30" s="16" t="str">
        <f t="shared" si="0"/>
        <v>high-Mg carbonatitic</v>
      </c>
      <c r="D30" s="16" t="s">
        <v>1723</v>
      </c>
      <c r="E30" s="16" t="s">
        <v>237</v>
      </c>
      <c r="F30" s="16" t="s">
        <v>29</v>
      </c>
      <c r="G30" s="16" t="s">
        <v>595</v>
      </c>
      <c r="H30" s="27">
        <v>360</v>
      </c>
      <c r="I30" s="16" t="s">
        <v>735</v>
      </c>
      <c r="J30" s="16" t="s">
        <v>1496</v>
      </c>
      <c r="K30" s="16">
        <v>0</v>
      </c>
      <c r="L30" s="16">
        <v>0</v>
      </c>
      <c r="M30" s="16" t="s">
        <v>31</v>
      </c>
      <c r="N30" s="16">
        <v>25</v>
      </c>
      <c r="O30" s="26">
        <v>4.79</v>
      </c>
      <c r="P30" s="26">
        <v>0.57999999999999996</v>
      </c>
      <c r="Q30" s="26">
        <v>0.49</v>
      </c>
      <c r="R30" s="26">
        <v>4.71</v>
      </c>
      <c r="S30" s="26">
        <v>11.82</v>
      </c>
      <c r="T30" s="26">
        <v>36.06</v>
      </c>
      <c r="U30" s="26">
        <v>0.83</v>
      </c>
      <c r="V30" s="26">
        <v>19.73</v>
      </c>
      <c r="W30" s="26">
        <v>6.25</v>
      </c>
      <c r="X30" s="26">
        <v>8.5399999999999991</v>
      </c>
      <c r="Y30" s="26"/>
      <c r="Z30" s="26">
        <v>2.1</v>
      </c>
      <c r="AA30" s="26"/>
      <c r="AB30" s="26"/>
      <c r="AC30" s="26"/>
      <c r="AD30" s="26">
        <v>3.05</v>
      </c>
      <c r="AE30" s="26"/>
      <c r="AF30" s="26">
        <v>1.05</v>
      </c>
      <c r="AG30" s="26"/>
      <c r="AH30" s="26"/>
      <c r="AI30" s="26"/>
      <c r="AJ30" s="26">
        <f t="shared" si="62"/>
        <v>97.629999999999981</v>
      </c>
      <c r="AK30" s="26">
        <f t="shared" si="63"/>
        <v>4.9411137544017203</v>
      </c>
      <c r="AL30" s="26">
        <f t="shared" si="1"/>
        <v>0.59829769886283868</v>
      </c>
      <c r="AM30" s="26">
        <f t="shared" si="2"/>
        <v>4.8585899338689149</v>
      </c>
      <c r="AN30" s="26">
        <f t="shared" si="64"/>
        <v>12.192894483721989</v>
      </c>
      <c r="AO30" s="26">
        <f t="shared" si="65"/>
        <v>37.197612105162008</v>
      </c>
      <c r="AP30" s="26">
        <f t="shared" si="3"/>
        <v>20.352437238903118</v>
      </c>
      <c r="AQ30" s="26">
        <f t="shared" si="4"/>
        <v>0</v>
      </c>
      <c r="AR30" s="26">
        <f t="shared" si="5"/>
        <v>6.4471734791254178</v>
      </c>
      <c r="AS30" s="26">
        <f t="shared" si="66"/>
        <v>8.8094178418769697</v>
      </c>
      <c r="AT30" s="26">
        <f t="shared" si="6"/>
        <v>2.1662502889861401</v>
      </c>
      <c r="AU30" s="26">
        <f t="shared" si="67"/>
        <v>3.1462206578132035</v>
      </c>
      <c r="AV30" s="26">
        <f t="shared" si="7"/>
        <v>100.71000748272232</v>
      </c>
      <c r="AW30" s="16"/>
      <c r="AX30" s="16"/>
      <c r="AY30" s="16"/>
      <c r="AZ30" s="16"/>
      <c r="BA30" s="26"/>
      <c r="BB30" s="26">
        <v>0.04</v>
      </c>
      <c r="BC30" s="26">
        <f t="shared" si="71"/>
        <v>4.0000000000000036E-2</v>
      </c>
      <c r="BD30" s="26">
        <f t="shared" si="72"/>
        <v>0.96</v>
      </c>
      <c r="BE30" s="16">
        <v>-6.2</v>
      </c>
      <c r="BF30" s="16"/>
      <c r="BG30" s="16">
        <v>192</v>
      </c>
      <c r="BH30" s="16"/>
      <c r="BI30" s="16"/>
      <c r="BJ30" s="16"/>
      <c r="BK30" s="18"/>
      <c r="BL30" s="18"/>
      <c r="BM30" s="18"/>
      <c r="BN30" s="18">
        <v>17</v>
      </c>
      <c r="BO30" s="18">
        <v>39</v>
      </c>
      <c r="BP30" s="18">
        <v>5</v>
      </c>
      <c r="BQ30" s="18"/>
      <c r="BR30" s="18">
        <v>40</v>
      </c>
      <c r="BS30" s="18">
        <v>186</v>
      </c>
      <c r="BT30" s="18">
        <v>13.41</v>
      </c>
      <c r="BU30" s="18"/>
      <c r="BV30" s="18">
        <v>0.65</v>
      </c>
      <c r="BW30" s="18">
        <v>16</v>
      </c>
      <c r="BX30" s="18">
        <v>0.32200000000000001</v>
      </c>
      <c r="BY30" s="18">
        <v>0.8</v>
      </c>
      <c r="BZ30" s="18"/>
      <c r="CA30" s="18">
        <v>2.9000000000000001E-2</v>
      </c>
      <c r="CB30" s="18">
        <v>2.9000000000000001E-2</v>
      </c>
      <c r="CC30" s="18"/>
      <c r="CD30" s="18"/>
      <c r="CE30" s="18"/>
      <c r="CF30" s="18"/>
      <c r="CG30" s="18"/>
      <c r="CH30" s="18">
        <v>0.08</v>
      </c>
      <c r="CI30" s="18">
        <v>2.2400000000000002</v>
      </c>
      <c r="CJ30" s="18">
        <v>0.02</v>
      </c>
      <c r="CK30" s="18">
        <v>0.14799999999999999</v>
      </c>
      <c r="CL30" s="18"/>
      <c r="CM30" s="18">
        <v>0.379</v>
      </c>
      <c r="CN30" s="18"/>
      <c r="CO30" s="18"/>
      <c r="CP30" s="18"/>
      <c r="CQ30" s="18"/>
      <c r="CR30" s="18">
        <v>4.0000000000000001E-3</v>
      </c>
      <c r="CS30" s="18">
        <v>3.76</v>
      </c>
      <c r="CT30" s="18">
        <v>5.8000000000000003E-2</v>
      </c>
      <c r="CU30" s="18">
        <v>0.26300000000000001</v>
      </c>
      <c r="CV30" s="18">
        <v>0.52</v>
      </c>
      <c r="CW30" s="18">
        <v>7.2999999999999995E-2</v>
      </c>
      <c r="CX30" s="18">
        <v>0.25700000000000001</v>
      </c>
      <c r="CY30" s="18">
        <v>1.2E-2</v>
      </c>
      <c r="CZ30" s="18">
        <v>6.0000000000000001E-3</v>
      </c>
      <c r="DA30" s="18">
        <v>8.0000000000000002E-3</v>
      </c>
      <c r="DB30" s="18">
        <v>5.0000000000000001E-3</v>
      </c>
      <c r="DC30" s="18">
        <v>3.0000000000000001E-3</v>
      </c>
      <c r="DD30" s="18">
        <v>5.0000000000000001E-3</v>
      </c>
      <c r="DE30" s="18"/>
      <c r="DF30" s="18">
        <v>8.0000000000000002E-3</v>
      </c>
      <c r="DG30" s="18">
        <v>3.0000000000000001E-3</v>
      </c>
      <c r="DH30" s="18">
        <v>8.0000000000000002E-3</v>
      </c>
      <c r="DI30" s="18">
        <v>2.1999999999999999E-2</v>
      </c>
      <c r="DJ30" s="18"/>
      <c r="DK30" s="18">
        <v>0.17299999999999999</v>
      </c>
      <c r="DL30" s="18">
        <v>2.9000000000000001E-2</v>
      </c>
      <c r="DM30" s="18">
        <v>8.0000000000000002E-3</v>
      </c>
      <c r="DN30" s="18"/>
      <c r="DO30" s="18"/>
      <c r="DP30" s="18"/>
      <c r="DQ30" s="18"/>
      <c r="DR30" s="18"/>
      <c r="DS30" s="18"/>
      <c r="DT30" s="18"/>
      <c r="DU30" s="18"/>
      <c r="DV30" s="28"/>
      <c r="DW30" s="28"/>
      <c r="DX30" s="28"/>
      <c r="DY30" s="28"/>
      <c r="DZ30" s="28"/>
      <c r="EA30" s="28"/>
      <c r="EB30" s="28"/>
      <c r="EC30" s="28"/>
      <c r="ED30" s="28"/>
      <c r="EE30" s="28"/>
      <c r="EF30" s="28"/>
      <c r="EG30" s="28"/>
      <c r="EH30" s="28"/>
      <c r="EI30" s="28"/>
      <c r="EJ30" s="18"/>
      <c r="EK30" s="18"/>
      <c r="EL30" s="18">
        <f>IFERROR(CR30/'McDonough &amp; Sun 1995 values'!C$2,)</f>
        <v>0.19047619047619047</v>
      </c>
      <c r="EM30" s="18">
        <f>IFERROR(CH30/'McDonough &amp; Sun 1995 values'!D$2,)</f>
        <v>0.13333333333333333</v>
      </c>
      <c r="EN30" s="18">
        <f>IFERROR(CS30/'McDonough &amp; Sun 1995 values'!E$2,)</f>
        <v>0.5696969696969697</v>
      </c>
      <c r="EO30" s="18">
        <f>IFERROR(DL30/'McDonough &amp; Sun 1995 values'!F$2,)</f>
        <v>0.36477987421383651</v>
      </c>
      <c r="EP30" s="18">
        <f>IFERROR(DM30/'McDonough &amp; Sun 1995 values'!G$2,)</f>
        <v>0.39408866995073893</v>
      </c>
      <c r="EQ30" s="18">
        <f>IFERROR(BR30/'McDonough &amp; Sun 1995 values'!H$2,)</f>
        <v>0.16666666666666666</v>
      </c>
      <c r="ER30" s="18">
        <f>IFERROR(DI30/'McDonough &amp; Sun 1995 values'!I$2,)</f>
        <v>0.59459459459459463</v>
      </c>
      <c r="ES30" s="18">
        <f>IFERROR(CM30/'McDonough &amp; Sun 1995 values'!J$2,)</f>
        <v>0.57598784194528874</v>
      </c>
      <c r="ET30" s="18">
        <f>IFERROR(CU30/'McDonough &amp; Sun 1995 values'!K$2,)</f>
        <v>0.40586419753086422</v>
      </c>
      <c r="EU30" s="18">
        <f>IFERROR(CV30/'McDonough &amp; Sun 1995 values'!L$2,)</f>
        <v>0.31044776119402984</v>
      </c>
      <c r="EV30" s="18">
        <f>IFERROR(CW30/'McDonough &amp; Sun 1995 values'!M$2,)</f>
        <v>0.2874015748031496</v>
      </c>
      <c r="EW30" s="18">
        <f>IFERROR(CI30/'McDonough &amp; Sun 1995 values'!N$2,)</f>
        <v>0.11256281407035178</v>
      </c>
      <c r="EX30" s="18">
        <f>IFERROR(CX30/'McDonough &amp; Sun 1995 values'!O$2,)</f>
        <v>0.2056</v>
      </c>
      <c r="EY30" s="18">
        <f>IFERROR(CY30/'McDonough &amp; Sun 1995 values'!P$2,)</f>
        <v>2.9556650246305417E-2</v>
      </c>
      <c r="EZ30" s="18">
        <f>IFERROR(DH30/'McDonough &amp; Sun 1995 values'!Q$2,)</f>
        <v>2.826855123674912E-2</v>
      </c>
      <c r="FA30" s="18">
        <f>IFERROR(CK30/'McDonough &amp; Sun 1995 values'!R$2,)</f>
        <v>1.4095238095238095E-2</v>
      </c>
      <c r="FB30" s="18">
        <f>IFERROR(CZ30/'McDonough &amp; Sun 1995 values'!S$2,)</f>
        <v>3.896103896103896E-2</v>
      </c>
      <c r="FC30" s="18">
        <f>IFERROR(BT30/'McDonough &amp; Sun 1995 values'!T$2,)</f>
        <v>1.1128630705394191E-2</v>
      </c>
      <c r="FD30" s="18">
        <f>IFERROR(DA30/'McDonough &amp; Sun 1995 values'!U$2,)</f>
        <v>1.4705882352941176E-2</v>
      </c>
      <c r="FE30" s="18">
        <f>IFERROR(DN30/'McDonough &amp; Sun 1995 values'!V$2,)</f>
        <v>0</v>
      </c>
      <c r="FF30" s="18">
        <f>IFERROR(DB30/'McDonough &amp; Sun 1995 values'!W$2,)</f>
        <v>7.418397626112759E-3</v>
      </c>
      <c r="FG30" s="18">
        <f>IFERROR(CJ30/'McDonough &amp; Sun 1995 values'!X$2,)</f>
        <v>4.6511627906976744E-3</v>
      </c>
      <c r="FH30" s="18">
        <f>IFERROR(DC30/'McDonough &amp; Sun 1995 values'!Y$2,)</f>
        <v>2.0134228187919465E-2</v>
      </c>
      <c r="FI30" s="18">
        <f>IFERROR(DD30/'McDonough &amp; Sun 1995 values'!Z$2,)</f>
        <v>1.1415525114155251E-2</v>
      </c>
      <c r="FJ30" s="18">
        <f>IFERROR(DE30/'McDonough &amp; Sun 1995 values'!AA$2,)</f>
        <v>0</v>
      </c>
      <c r="FK30" s="18">
        <f>IFERROR(DF30/'McDonough &amp; Sun 1995 values'!AB$2,)</f>
        <v>1.8140589569160998E-2</v>
      </c>
      <c r="FL30" s="18">
        <f>IFERROR(DG30/'McDonough &amp; Sun 1995 values'!AC$2,)</f>
        <v>4.4444444444444439E-2</v>
      </c>
      <c r="FN30" s="28">
        <f t="shared" si="68"/>
        <v>2.3645320197044337</v>
      </c>
      <c r="FO30" s="4">
        <f t="shared" si="8"/>
        <v>1.4456060606060606</v>
      </c>
      <c r="FP30" s="4">
        <f t="shared" si="9"/>
        <v>0.63331176050845495</v>
      </c>
      <c r="FQ30" s="4">
        <f t="shared" si="10"/>
        <v>0.92562893081761011</v>
      </c>
      <c r="FR30" s="4">
        <f t="shared" si="11"/>
        <v>0.70464021629369045</v>
      </c>
      <c r="FS30" s="4">
        <f t="shared" si="12"/>
        <v>0.68258978675645343</v>
      </c>
      <c r="FT30" s="4">
        <f t="shared" si="13"/>
        <v>0.70000000000000007</v>
      </c>
      <c r="FU30" s="4">
        <f t="shared" si="14"/>
        <v>1.0323040718819083</v>
      </c>
      <c r="FV30" s="4">
        <f t="shared" si="15"/>
        <v>0.47688888888888892</v>
      </c>
      <c r="FW30" s="4">
        <f t="shared" si="16"/>
        <v>0.49861904761904757</v>
      </c>
      <c r="FX30" s="4">
        <f t="shared" si="17"/>
        <v>1.7604523136438031</v>
      </c>
      <c r="FY30" s="4">
        <f t="shared" si="18"/>
        <v>0.46306165008540207</v>
      </c>
      <c r="FZ30" s="4">
        <f t="shared" si="19"/>
        <v>1.8687765666237952</v>
      </c>
      <c r="GA30" s="4">
        <f t="shared" si="20"/>
        <v>0.39165691471053909</v>
      </c>
      <c r="GB30" s="4">
        <f t="shared" si="21"/>
        <v>1.3181818181818181</v>
      </c>
      <c r="GC30" s="4">
        <f t="shared" si="22"/>
        <v>1.4285714285714286</v>
      </c>
      <c r="GD30" s="4">
        <f t="shared" si="23"/>
        <v>1.5617554858934168</v>
      </c>
      <c r="GE30" s="4">
        <f t="shared" si="24"/>
        <v>4.2727272727272725</v>
      </c>
      <c r="GF30" s="4">
        <f t="shared" si="25"/>
        <v>3.4181818181818184</v>
      </c>
      <c r="GG30" s="4">
        <f t="shared" si="26"/>
        <v>0.98907811625489728</v>
      </c>
      <c r="GH30" s="4">
        <f t="shared" si="27"/>
        <v>1.4121850160662948</v>
      </c>
      <c r="GI30" s="4">
        <f t="shared" si="28"/>
        <v>13.731738683127574</v>
      </c>
      <c r="GJ30" s="4">
        <f t="shared" si="29"/>
        <v>54.710493827160505</v>
      </c>
      <c r="GK30" s="4">
        <f t="shared" si="30"/>
        <v>22.373263888888889</v>
      </c>
      <c r="GL30" s="4">
        <f t="shared" si="31"/>
        <v>1.2665743403998437</v>
      </c>
      <c r="GM30" s="4">
        <f t="shared" si="32"/>
        <v>2.7358490566037736</v>
      </c>
      <c r="GN30" s="4">
        <f t="shared" si="33"/>
        <v>1.4191639603823083</v>
      </c>
      <c r="GO30" s="4">
        <f t="shared" si="34"/>
        <v>1.4615691489361702</v>
      </c>
      <c r="GP30" s="4">
        <f t="shared" si="35"/>
        <v>0.42291666666666661</v>
      </c>
      <c r="GQ30" s="27">
        <f t="shared" si="70"/>
        <v>73130.263833216857</v>
      </c>
      <c r="GR30" s="28">
        <f t="shared" si="69"/>
        <v>7.3130263833216862</v>
      </c>
      <c r="GS30" s="28">
        <f t="shared" si="36"/>
        <v>146.26052766643372</v>
      </c>
      <c r="GT30" s="28">
        <f t="shared" si="37"/>
        <v>6874.2448003223844</v>
      </c>
      <c r="GU30" s="28">
        <f t="shared" si="38"/>
        <v>53.019441279082223</v>
      </c>
      <c r="GV30" s="28">
        <f t="shared" si="39"/>
        <v>14.626052766643372</v>
      </c>
      <c r="GW30" s="28">
        <f t="shared" si="40"/>
        <v>73130.263833216857</v>
      </c>
      <c r="GX30" s="28">
        <f t="shared" si="41"/>
        <v>40.221645108269264</v>
      </c>
      <c r="GY30" s="28">
        <f t="shared" si="42"/>
        <v>692.90924981972978</v>
      </c>
      <c r="GZ30" s="28">
        <f t="shared" si="43"/>
        <v>480.83148470340086</v>
      </c>
      <c r="HA30" s="28">
        <f t="shared" si="44"/>
        <v>950.69342983181923</v>
      </c>
      <c r="HB30" s="28">
        <f t="shared" si="45"/>
        <v>133.46273149562074</v>
      </c>
      <c r="HC30" s="28">
        <f t="shared" si="46"/>
        <v>4095.2947746601444</v>
      </c>
      <c r="HD30" s="28">
        <f t="shared" si="47"/>
        <v>469.86194512841831</v>
      </c>
      <c r="HE30" s="28">
        <f t="shared" si="48"/>
        <v>21.93907914996506</v>
      </c>
      <c r="HF30" s="28">
        <f t="shared" si="49"/>
        <v>14.626052766643372</v>
      </c>
      <c r="HG30" s="28">
        <f t="shared" si="50"/>
        <v>270.58197618290234</v>
      </c>
      <c r="HH30" s="28">
        <f t="shared" si="51"/>
        <v>10.96953957498253</v>
      </c>
      <c r="HI30" s="28">
        <f t="shared" si="52"/>
        <v>24516.920950085951</v>
      </c>
      <c r="HJ30" s="28">
        <f t="shared" si="53"/>
        <v>14.626052766643372</v>
      </c>
      <c r="HK30" s="28">
        <f t="shared" si="54"/>
        <v>0</v>
      </c>
      <c r="HL30" s="28">
        <f t="shared" si="55"/>
        <v>9.1412829791521073</v>
      </c>
      <c r="HM30" s="28">
        <f t="shared" si="56"/>
        <v>36.565131916608429</v>
      </c>
      <c r="HN30" s="28">
        <f t="shared" si="57"/>
        <v>5.4847697874912651</v>
      </c>
      <c r="HO30" s="28">
        <f t="shared" si="58"/>
        <v>9.1412829791521073</v>
      </c>
      <c r="HP30" s="28">
        <f t="shared" si="59"/>
        <v>0</v>
      </c>
      <c r="HQ30" s="28">
        <f t="shared" si="60"/>
        <v>14.626052766643372</v>
      </c>
      <c r="HR30" s="28">
        <f t="shared" si="61"/>
        <v>5.4847697874912651</v>
      </c>
      <c r="HT30" s="4">
        <f>IFERROR(GR30/'McDonough &amp; Sun 1995 values'!C$2,)</f>
        <v>348.23935158674692</v>
      </c>
      <c r="HU30" s="4">
        <f>IFERROR(GS30/'McDonough &amp; Sun 1995 values'!D$2,)</f>
        <v>243.76754611072286</v>
      </c>
      <c r="HV30" s="4">
        <f>IFERROR(GT30/'McDonough &amp; Sun 1995 values'!E$2,)</f>
        <v>1041.5522424730887</v>
      </c>
      <c r="HW30" s="4">
        <f>IFERROR(GU30/'McDonough &amp; Sun 1995 values'!F$2,)</f>
        <v>666.91121105763796</v>
      </c>
      <c r="HX30" s="4">
        <f>IFERROR(GV30/'McDonough &amp; Sun 1995 values'!G$2,)</f>
        <v>720.49521017947654</v>
      </c>
      <c r="HY30" s="4">
        <f>IFERROR(GW30/'McDonough &amp; Sun 1995 values'!H$2,)</f>
        <v>304.7094326384036</v>
      </c>
      <c r="HZ30" s="4">
        <f>IFERROR(GX30/'McDonough &amp; Sun 1995 values'!I$2,)</f>
        <v>1087.0714894126829</v>
      </c>
      <c r="IA30" s="4">
        <f>IFERROR(GY30/'McDonough &amp; Sun 1995 values'!J$2,)</f>
        <v>1053.0535711546045</v>
      </c>
      <c r="IB30" s="4">
        <f>IFERROR(GZ30/'McDonough &amp; Sun 1995 values'!K$2,)</f>
        <v>742.02389614722358</v>
      </c>
      <c r="IC30" s="4">
        <f>IFERROR(HA30/'McDonough &amp; Sun 1995 values'!L$2,)</f>
        <v>567.57816706377264</v>
      </c>
      <c r="ID30" s="4">
        <f>IFERROR(HB30/'McDonough &amp; Sun 1995 values'!M$2,)</f>
        <v>525.44382478590842</v>
      </c>
      <c r="IE30" s="4">
        <f>IFERROR(HC30/'McDonough &amp; Sun 1995 values'!N$2,)</f>
        <v>205.793707269354</v>
      </c>
      <c r="IF30" s="4">
        <f>IFERROR(HD30/'McDonough &amp; Sun 1995 values'!O$2,)</f>
        <v>375.88955610273467</v>
      </c>
      <c r="IG30" s="4">
        <f>IFERROR(HE30/'McDonough &amp; Sun 1995 values'!P$2,)</f>
        <v>54.037140763460734</v>
      </c>
      <c r="IH30" s="4">
        <f>IFERROR(HF30/'McDonough &amp; Sun 1995 values'!Q$2,)</f>
        <v>51.682165253156796</v>
      </c>
      <c r="II30" s="4">
        <f>IFERROR(HG30/'McDonough &amp; Sun 1995 values'!R$2,)</f>
        <v>25.76971201741927</v>
      </c>
      <c r="IJ30" s="4">
        <f>IFERROR(HH30/'McDonough &amp; Sun 1995 values'!S$2,)</f>
        <v>71.230776460925526</v>
      </c>
      <c r="IK30" s="4">
        <f>IFERROR(HI30/'McDonough &amp; Sun 1995 values'!T$2,)</f>
        <v>20.345992489697885</v>
      </c>
      <c r="IL30" s="4">
        <f>IFERROR(HJ30/'McDonough &amp; Sun 1995 values'!U$2,)</f>
        <v>26.886126409270904</v>
      </c>
      <c r="IM30" s="4">
        <f>IFERROR(HK30/'McDonough &amp; Sun 1995 values'!V$2,)</f>
        <v>0</v>
      </c>
      <c r="IN30" s="4">
        <f>IFERROR(HL30/'McDonough &amp; Sun 1995 values'!W$2,)</f>
        <v>13.562734390433393</v>
      </c>
      <c r="IO30" s="4">
        <f>IFERROR(HM30/'McDonough &amp; Sun 1995 values'!X$2,)</f>
        <v>8.5035190503740541</v>
      </c>
      <c r="IP30" s="4">
        <f>IFERROR(HN30/'McDonough &amp; Sun 1995 values'!Y$2,)</f>
        <v>36.81053548651856</v>
      </c>
      <c r="IQ30" s="4">
        <f>IFERROR(HO30/'McDonough &amp; Sun 1995 values'!Z$2,)</f>
        <v>20.870509084822164</v>
      </c>
      <c r="IR30" s="4">
        <f>IFERROR(HP30/'McDonough &amp; Sun 1995 values'!AA$2,)</f>
        <v>0</v>
      </c>
      <c r="IS30" s="4">
        <f>IFERROR(HQ30/'McDonough &amp; Sun 1995 values'!AB$2,)</f>
        <v>33.165652532071142</v>
      </c>
      <c r="IT30" s="4">
        <f>IFERROR(HR30/'McDonough &amp; Sun 1995 values'!AC$2,)</f>
        <v>81.255848703574287</v>
      </c>
    </row>
    <row r="31" spans="1:254">
      <c r="A31" s="16" t="s">
        <v>672</v>
      </c>
      <c r="B31" s="16" t="s">
        <v>24</v>
      </c>
      <c r="C31" s="16" t="str">
        <f t="shared" si="0"/>
        <v>high-Mg carbonatitic</v>
      </c>
      <c r="D31" s="16" t="s">
        <v>1723</v>
      </c>
      <c r="E31" s="16" t="s">
        <v>237</v>
      </c>
      <c r="F31" s="16" t="s">
        <v>29</v>
      </c>
      <c r="G31" s="16" t="s">
        <v>595</v>
      </c>
      <c r="H31" s="27">
        <v>360</v>
      </c>
      <c r="I31" s="16" t="s">
        <v>735</v>
      </c>
      <c r="J31" s="16" t="s">
        <v>1496</v>
      </c>
      <c r="K31" s="16">
        <v>0</v>
      </c>
      <c r="L31" s="16">
        <v>0</v>
      </c>
      <c r="M31" s="16" t="s">
        <v>30</v>
      </c>
      <c r="N31" s="16">
        <v>24</v>
      </c>
      <c r="O31" s="26">
        <v>12.19</v>
      </c>
      <c r="P31" s="26">
        <v>0.93</v>
      </c>
      <c r="Q31" s="26">
        <v>1.1499999999999999</v>
      </c>
      <c r="R31" s="26">
        <v>5.4</v>
      </c>
      <c r="S31" s="26">
        <v>9.86</v>
      </c>
      <c r="T31" s="26">
        <v>24.35</v>
      </c>
      <c r="U31" s="26">
        <v>0.49</v>
      </c>
      <c r="V31" s="26">
        <v>15.02</v>
      </c>
      <c r="W31" s="26">
        <v>6.98</v>
      </c>
      <c r="X31" s="26">
        <v>14.46</v>
      </c>
      <c r="Y31" s="26"/>
      <c r="Z31" s="26">
        <v>3.17</v>
      </c>
      <c r="AA31" s="26"/>
      <c r="AB31" s="26"/>
      <c r="AC31" s="26"/>
      <c r="AD31" s="26">
        <v>4.93</v>
      </c>
      <c r="AE31" s="26"/>
      <c r="AF31" s="26">
        <v>1.05</v>
      </c>
      <c r="AG31" s="26"/>
      <c r="AH31" s="26"/>
      <c r="AI31" s="26"/>
      <c r="AJ31" s="26">
        <f t="shared" si="62"/>
        <v>97.289999999999992</v>
      </c>
      <c r="AK31" s="26">
        <f t="shared" si="63"/>
        <v>12.674489047557106</v>
      </c>
      <c r="AL31" s="26">
        <f t="shared" si="1"/>
        <v>0.96696265908352008</v>
      </c>
      <c r="AM31" s="26">
        <f t="shared" si="2"/>
        <v>5.6146218914526971</v>
      </c>
      <c r="AN31" s="26">
        <f t="shared" si="64"/>
        <v>10.251883675874739</v>
      </c>
      <c r="AO31" s="26">
        <f t="shared" si="65"/>
        <v>25.317785751272808</v>
      </c>
      <c r="AP31" s="26">
        <f t="shared" si="3"/>
        <v>15.616966816596205</v>
      </c>
      <c r="AQ31" s="26">
        <f t="shared" si="4"/>
        <v>0</v>
      </c>
      <c r="AR31" s="26">
        <f t="shared" si="5"/>
        <v>7.2574186670999685</v>
      </c>
      <c r="AS31" s="26">
        <f t="shared" si="66"/>
        <v>15.034709731556667</v>
      </c>
      <c r="AT31" s="26">
        <f t="shared" si="6"/>
        <v>3.2959909992416754</v>
      </c>
      <c r="AU31" s="26">
        <f t="shared" si="67"/>
        <v>5.1259418379373693</v>
      </c>
      <c r="AV31" s="26">
        <f t="shared" si="7"/>
        <v>101.15677107767276</v>
      </c>
      <c r="AW31" s="16"/>
      <c r="AX31" s="16"/>
      <c r="AY31" s="16"/>
      <c r="AZ31" s="16"/>
      <c r="BA31" s="26"/>
      <c r="BB31" s="26">
        <v>0.08</v>
      </c>
      <c r="BC31" s="26">
        <f t="shared" si="71"/>
        <v>7.999999999999996E-2</v>
      </c>
      <c r="BD31" s="26">
        <f t="shared" si="72"/>
        <v>0.92</v>
      </c>
      <c r="BE31" s="16"/>
      <c r="BF31" s="16"/>
      <c r="BG31" s="16">
        <v>1438</v>
      </c>
      <c r="BH31" s="16"/>
      <c r="BI31" s="16"/>
      <c r="BJ31" s="16"/>
      <c r="BK31" s="18"/>
      <c r="BL31" s="18"/>
      <c r="BM31" s="18"/>
      <c r="BN31" s="18">
        <v>91</v>
      </c>
      <c r="BO31" s="18">
        <v>114</v>
      </c>
      <c r="BP31" s="18">
        <v>26</v>
      </c>
      <c r="BQ31" s="18"/>
      <c r="BR31" s="18">
        <v>298</v>
      </c>
      <c r="BS31" s="18">
        <v>281</v>
      </c>
      <c r="BT31" s="18">
        <v>34.99</v>
      </c>
      <c r="BU31" s="18"/>
      <c r="BV31" s="18">
        <v>2.54</v>
      </c>
      <c r="BW31" s="18">
        <v>210</v>
      </c>
      <c r="BX31" s="18">
        <v>0.72199999999999998</v>
      </c>
      <c r="BY31" s="18">
        <v>2.69</v>
      </c>
      <c r="BZ31" s="18"/>
      <c r="CA31" s="18">
        <v>0.14899999999999999</v>
      </c>
      <c r="CB31" s="18">
        <v>6.9000000000000006E-2</v>
      </c>
      <c r="CC31" s="18"/>
      <c r="CD31" s="18"/>
      <c r="CE31" s="18"/>
      <c r="CF31" s="18"/>
      <c r="CG31" s="18"/>
      <c r="CH31" s="18">
        <v>1.18</v>
      </c>
      <c r="CI31" s="18">
        <v>7.24</v>
      </c>
      <c r="CJ31" s="18">
        <v>6.3E-2</v>
      </c>
      <c r="CK31" s="18">
        <v>0.72899999999999998</v>
      </c>
      <c r="CL31" s="18"/>
      <c r="CM31" s="18">
        <v>2.4289999999999998</v>
      </c>
      <c r="CN31" s="18"/>
      <c r="CO31" s="18"/>
      <c r="CP31" s="18"/>
      <c r="CQ31" s="18"/>
      <c r="CR31" s="18">
        <v>1.7000000000000001E-2</v>
      </c>
      <c r="CS31" s="18">
        <v>17.28</v>
      </c>
      <c r="CT31" s="18">
        <v>0.23699999999999999</v>
      </c>
      <c r="CU31" s="18">
        <v>1.04</v>
      </c>
      <c r="CV31" s="18">
        <v>1.53</v>
      </c>
      <c r="CW31" s="18">
        <v>0.18099999999999999</v>
      </c>
      <c r="CX31" s="18">
        <v>0.62</v>
      </c>
      <c r="CY31" s="18">
        <v>7.2999999999999995E-2</v>
      </c>
      <c r="CZ31" s="18">
        <v>2.3E-2</v>
      </c>
      <c r="DA31" s="18">
        <v>5.8000000000000003E-2</v>
      </c>
      <c r="DB31" s="18">
        <v>2.4E-2</v>
      </c>
      <c r="DC31" s="18">
        <v>1.2E-2</v>
      </c>
      <c r="DD31" s="18">
        <v>8.0000000000000002E-3</v>
      </c>
      <c r="DE31" s="18"/>
      <c r="DF31" s="18" t="s">
        <v>1366</v>
      </c>
      <c r="DG31" s="18">
        <v>8.0000000000000002E-3</v>
      </c>
      <c r="DH31" s="18">
        <v>3.1E-2</v>
      </c>
      <c r="DI31" s="18">
        <v>0.107</v>
      </c>
      <c r="DJ31" s="18"/>
      <c r="DK31" s="18">
        <v>0.47</v>
      </c>
      <c r="DL31" s="18">
        <v>0.16</v>
      </c>
      <c r="DM31" s="18">
        <v>3.1E-2</v>
      </c>
      <c r="DN31" s="18"/>
      <c r="DO31" s="18"/>
      <c r="DP31" s="18"/>
      <c r="DQ31" s="18"/>
      <c r="DR31" s="18"/>
      <c r="DS31" s="18"/>
      <c r="DT31" s="18"/>
      <c r="DU31" s="18"/>
      <c r="DV31" s="28"/>
      <c r="DW31" s="28"/>
      <c r="DX31" s="28"/>
      <c r="DY31" s="28"/>
      <c r="DZ31" s="28"/>
      <c r="EA31" s="28"/>
      <c r="EB31" s="28"/>
      <c r="EC31" s="28"/>
      <c r="ED31" s="28"/>
      <c r="EE31" s="28"/>
      <c r="EF31" s="28"/>
      <c r="EG31" s="28"/>
      <c r="EH31" s="28"/>
      <c r="EI31" s="28"/>
      <c r="EJ31" s="18"/>
      <c r="EK31" s="18"/>
      <c r="EL31" s="18">
        <f>IFERROR(CR31/'McDonough &amp; Sun 1995 values'!C$2,)</f>
        <v>0.80952380952380953</v>
      </c>
      <c r="EM31" s="18">
        <f>IFERROR(CH31/'McDonough &amp; Sun 1995 values'!D$2,)</f>
        <v>1.9666666666666666</v>
      </c>
      <c r="EN31" s="18">
        <f>IFERROR(CS31/'McDonough &amp; Sun 1995 values'!E$2,)</f>
        <v>2.6181818181818186</v>
      </c>
      <c r="EO31" s="18">
        <f>IFERROR(DL31/'McDonough &amp; Sun 1995 values'!F$2,)</f>
        <v>2.0125786163522013</v>
      </c>
      <c r="EP31" s="18">
        <f>IFERROR(DM31/'McDonough &amp; Sun 1995 values'!G$2,)</f>
        <v>1.5270935960591134</v>
      </c>
      <c r="EQ31" s="18">
        <f>IFERROR(BR31/'McDonough &amp; Sun 1995 values'!H$2,)</f>
        <v>1.2416666666666667</v>
      </c>
      <c r="ER31" s="18">
        <f>IFERROR(DI31/'McDonough &amp; Sun 1995 values'!I$2,)</f>
        <v>2.8918918918918921</v>
      </c>
      <c r="ES31" s="18">
        <f>IFERROR(CM31/'McDonough &amp; Sun 1995 values'!J$2,)</f>
        <v>3.6914893617021272</v>
      </c>
      <c r="ET31" s="18">
        <f>IFERROR(CU31/'McDonough &amp; Sun 1995 values'!K$2,)</f>
        <v>1.6049382716049383</v>
      </c>
      <c r="EU31" s="18">
        <f>IFERROR(CV31/'McDonough &amp; Sun 1995 values'!L$2,)</f>
        <v>0.91343283582089552</v>
      </c>
      <c r="EV31" s="18">
        <f>IFERROR(CW31/'McDonough &amp; Sun 1995 values'!M$2,)</f>
        <v>0.71259842519685035</v>
      </c>
      <c r="EW31" s="18">
        <f>IFERROR(CI31/'McDonough &amp; Sun 1995 values'!N$2,)</f>
        <v>0.36381909547738694</v>
      </c>
      <c r="EX31" s="18">
        <f>IFERROR(CX31/'McDonough &amp; Sun 1995 values'!O$2,)</f>
        <v>0.496</v>
      </c>
      <c r="EY31" s="18">
        <f>IFERROR(CY31/'McDonough &amp; Sun 1995 values'!P$2,)</f>
        <v>0.17980295566502461</v>
      </c>
      <c r="EZ31" s="18">
        <f>IFERROR(DH31/'McDonough &amp; Sun 1995 values'!Q$2,)</f>
        <v>0.10954063604240284</v>
      </c>
      <c r="FA31" s="18">
        <f>IFERROR(CK31/'McDonough &amp; Sun 1995 values'!R$2,)</f>
        <v>6.9428571428571423E-2</v>
      </c>
      <c r="FB31" s="18">
        <f>IFERROR(CZ31/'McDonough &amp; Sun 1995 values'!S$2,)</f>
        <v>0.14935064935064934</v>
      </c>
      <c r="FC31" s="18">
        <f>IFERROR(BT31/'McDonough &amp; Sun 1995 values'!T$2,)</f>
        <v>2.9037344398340249E-2</v>
      </c>
      <c r="FD31" s="18">
        <f>IFERROR(DA31/'McDonough &amp; Sun 1995 values'!U$2,)</f>
        <v>0.10661764705882353</v>
      </c>
      <c r="FE31" s="18">
        <f>IFERROR(DN31/'McDonough &amp; Sun 1995 values'!V$2,)</f>
        <v>0</v>
      </c>
      <c r="FF31" s="18">
        <f>IFERROR(DB31/'McDonough &amp; Sun 1995 values'!W$2,)</f>
        <v>3.5608308605341248E-2</v>
      </c>
      <c r="FG31" s="18">
        <f>IFERROR(CJ31/'McDonough &amp; Sun 1995 values'!X$2,)</f>
        <v>1.4651162790697675E-2</v>
      </c>
      <c r="FH31" s="18">
        <f>IFERROR(DC31/'McDonough &amp; Sun 1995 values'!Y$2,)</f>
        <v>8.0536912751677861E-2</v>
      </c>
      <c r="FI31" s="18">
        <f>IFERROR(DD31/'McDonough &amp; Sun 1995 values'!Z$2,)</f>
        <v>1.8264840182648401E-2</v>
      </c>
      <c r="FJ31" s="18">
        <f>IFERROR(DE31/'McDonough &amp; Sun 1995 values'!AA$2,)</f>
        <v>0</v>
      </c>
      <c r="FK31" s="18">
        <f>IFERROR(DF31/'McDonough &amp; Sun 1995 values'!AB$2,)</f>
        <v>0</v>
      </c>
      <c r="FL31" s="18">
        <f>IFERROR(DG31/'McDonough &amp; Sun 1995 values'!AC$2,)</f>
        <v>0.11851851851851851</v>
      </c>
      <c r="FN31" s="28">
        <f t="shared" si="68"/>
        <v>1.229874037094588</v>
      </c>
      <c r="FO31" s="4">
        <f t="shared" si="8"/>
        <v>1.7144868035190617</v>
      </c>
      <c r="FP31" s="4">
        <f t="shared" si="9"/>
        <v>0.54519420731154744</v>
      </c>
      <c r="FQ31" s="4">
        <f t="shared" si="10"/>
        <v>1.3179143842564414</v>
      </c>
      <c r="FR31" s="4">
        <f t="shared" si="11"/>
        <v>0.43476713985839832</v>
      </c>
      <c r="FS31" s="4">
        <f t="shared" si="12"/>
        <v>0.55497865466712815</v>
      </c>
      <c r="FT31" s="4">
        <f t="shared" si="13"/>
        <v>2.4294117647058822</v>
      </c>
      <c r="FU31" s="4">
        <f t="shared" si="14"/>
        <v>0.78339434535399965</v>
      </c>
      <c r="FV31" s="4">
        <f t="shared" si="15"/>
        <v>0.38613698630136989</v>
      </c>
      <c r="FW31" s="4">
        <f t="shared" si="16"/>
        <v>0.6338156682027648</v>
      </c>
      <c r="FX31" s="4">
        <f t="shared" si="17"/>
        <v>1.0428764406633519</v>
      </c>
      <c r="FY31" s="4">
        <f t="shared" si="18"/>
        <v>0.61195885365012315</v>
      </c>
      <c r="FZ31" s="4">
        <f t="shared" si="19"/>
        <v>1.0786837964271774</v>
      </c>
      <c r="GA31" s="4">
        <f t="shared" si="20"/>
        <v>0.51055276381909553</v>
      </c>
      <c r="GB31" s="4">
        <f t="shared" si="21"/>
        <v>0.83063511830635128</v>
      </c>
      <c r="GC31" s="4">
        <f t="shared" si="22"/>
        <v>0.41162227602905571</v>
      </c>
      <c r="GD31" s="4">
        <f t="shared" si="23"/>
        <v>1.300909090909091</v>
      </c>
      <c r="GE31" s="4">
        <f t="shared" si="24"/>
        <v>1.3312788906009247</v>
      </c>
      <c r="GF31" s="4">
        <f t="shared" si="25"/>
        <v>2.108602806589384</v>
      </c>
      <c r="GG31" s="4">
        <f t="shared" si="26"/>
        <v>0.70924810060256771</v>
      </c>
      <c r="GH31" s="4">
        <f t="shared" si="27"/>
        <v>2.2522338176113501</v>
      </c>
      <c r="GI31" s="4">
        <f t="shared" si="28"/>
        <v>8.926095044816508</v>
      </c>
      <c r="GJ31" s="4">
        <f t="shared" si="29"/>
        <v>45.072016460905346</v>
      </c>
      <c r="GK31" s="4">
        <f t="shared" si="30"/>
        <v>0</v>
      </c>
      <c r="GL31" s="4">
        <f t="shared" si="31"/>
        <v>2.3910096762340256</v>
      </c>
      <c r="GM31" s="4">
        <f t="shared" si="32"/>
        <v>1.0233450591621363</v>
      </c>
      <c r="GN31" s="4">
        <f t="shared" si="33"/>
        <v>2.3000818330605561</v>
      </c>
      <c r="GO31" s="4">
        <f t="shared" si="34"/>
        <v>2.4173301304049413</v>
      </c>
      <c r="GP31" s="4">
        <f t="shared" si="35"/>
        <v>0.81309139784946227</v>
      </c>
      <c r="GQ31" s="27">
        <f t="shared" si="70"/>
        <v>124808.73413654653</v>
      </c>
      <c r="GR31" s="28">
        <f t="shared" si="69"/>
        <v>7.1199613433600373</v>
      </c>
      <c r="GS31" s="28">
        <f t="shared" si="36"/>
        <v>494.20908148028485</v>
      </c>
      <c r="GT31" s="28">
        <f t="shared" si="37"/>
        <v>7237.2312948977324</v>
      </c>
      <c r="GU31" s="28">
        <f t="shared" si="38"/>
        <v>67.011400878682707</v>
      </c>
      <c r="GV31" s="28">
        <f t="shared" si="39"/>
        <v>12.983458920244773</v>
      </c>
      <c r="GW31" s="28">
        <f t="shared" si="40"/>
        <v>124808.73413654653</v>
      </c>
      <c r="GX31" s="28">
        <f t="shared" si="41"/>
        <v>44.813874337619055</v>
      </c>
      <c r="GY31" s="28">
        <f t="shared" si="42"/>
        <v>1017.3168295895017</v>
      </c>
      <c r="GZ31" s="28">
        <f t="shared" si="43"/>
        <v>435.57410571143754</v>
      </c>
      <c r="HA31" s="28">
        <f t="shared" si="44"/>
        <v>640.79652090240336</v>
      </c>
      <c r="HB31" s="28">
        <f t="shared" si="45"/>
        <v>75.806647244009795</v>
      </c>
      <c r="HC31" s="28">
        <f t="shared" si="46"/>
        <v>3032.2658897603924</v>
      </c>
      <c r="HD31" s="28">
        <f t="shared" si="47"/>
        <v>259.66917840489543</v>
      </c>
      <c r="HE31" s="28">
        <f t="shared" si="48"/>
        <v>30.57395165089898</v>
      </c>
      <c r="HF31" s="28">
        <f t="shared" si="49"/>
        <v>12.983458920244773</v>
      </c>
      <c r="HG31" s="28">
        <f t="shared" si="50"/>
        <v>305.320695253498</v>
      </c>
      <c r="HH31" s="28">
        <f t="shared" si="51"/>
        <v>9.6328888763106377</v>
      </c>
      <c r="HI31" s="28">
        <f t="shared" si="52"/>
        <v>14654.555729656924</v>
      </c>
      <c r="HJ31" s="28">
        <f t="shared" si="53"/>
        <v>24.29163281852248</v>
      </c>
      <c r="HK31" s="28">
        <f t="shared" si="54"/>
        <v>0</v>
      </c>
      <c r="HL31" s="28">
        <f t="shared" si="55"/>
        <v>10.051710131802405</v>
      </c>
      <c r="HM31" s="28">
        <f t="shared" si="56"/>
        <v>26.385739095981311</v>
      </c>
      <c r="HN31" s="28">
        <f t="shared" si="57"/>
        <v>5.0258550659012027</v>
      </c>
      <c r="HO31" s="28">
        <f t="shared" si="58"/>
        <v>3.3505700439341348</v>
      </c>
      <c r="HP31" s="28">
        <f t="shared" si="59"/>
        <v>0</v>
      </c>
      <c r="HQ31" s="28" t="str">
        <f t="shared" si="60"/>
        <v/>
      </c>
      <c r="HR31" s="28">
        <f t="shared" si="61"/>
        <v>3.3505700439341348</v>
      </c>
      <c r="HT31" s="4">
        <f>IFERROR(GR31/'McDonough &amp; Sun 1995 values'!C$2,)</f>
        <v>339.04577825523984</v>
      </c>
      <c r="HU31" s="4">
        <f>IFERROR(GS31/'McDonough &amp; Sun 1995 values'!D$2,)</f>
        <v>823.68180246714144</v>
      </c>
      <c r="HV31" s="4">
        <f>IFERROR(GT31/'McDonough &amp; Sun 1995 values'!E$2,)</f>
        <v>1096.5501961966261</v>
      </c>
      <c r="HW31" s="4">
        <f>IFERROR(GU31/'McDonough &amp; Sun 1995 values'!F$2,)</f>
        <v>842.910702876512</v>
      </c>
      <c r="HX31" s="4">
        <f>IFERROR(GV31/'McDonough &amp; Sun 1995 values'!G$2,)</f>
        <v>639.57925715491501</v>
      </c>
      <c r="HY31" s="4">
        <f>IFERROR(GW31/'McDonough &amp; Sun 1995 values'!H$2,)</f>
        <v>520.03639223561049</v>
      </c>
      <c r="HZ31" s="4">
        <f>IFERROR(GX31/'McDonough &amp; Sun 1995 values'!I$2,)</f>
        <v>1211.1857929086232</v>
      </c>
      <c r="IA31" s="4">
        <f>IFERROR(GY31/'McDonough &amp; Sun 1995 values'!J$2,)</f>
        <v>1546.0742091025861</v>
      </c>
      <c r="IB31" s="4">
        <f>IFERROR(GZ31/'McDonough &amp; Sun 1995 values'!K$2,)</f>
        <v>672.1822619003666</v>
      </c>
      <c r="IC31" s="4">
        <f>IFERROR(HA31/'McDonough &amp; Sun 1995 values'!L$2,)</f>
        <v>382.56508710591243</v>
      </c>
      <c r="ID31" s="4">
        <f>IFERROR(HB31/'McDonough &amp; Sun 1995 values'!M$2,)</f>
        <v>298.45136710240075</v>
      </c>
      <c r="IE31" s="4">
        <f>IFERROR(HC31/'McDonough &amp; Sun 1995 values'!N$2,)</f>
        <v>152.37517033971821</v>
      </c>
      <c r="IF31" s="4">
        <f>IFERROR(HD31/'McDonough &amp; Sun 1995 values'!O$2,)</f>
        <v>207.73534272391635</v>
      </c>
      <c r="IG31" s="4">
        <f>IFERROR(HE31/'McDonough &amp; Sun 1995 values'!P$2,)</f>
        <v>75.305299632756103</v>
      </c>
      <c r="IH31" s="4">
        <f>IFERROR(HF31/'McDonough &amp; Sun 1995 values'!Q$2,)</f>
        <v>45.877946714645844</v>
      </c>
      <c r="II31" s="4">
        <f>IFERROR(HG31/'McDonough &amp; Sun 1995 values'!R$2,)</f>
        <v>29.078161452714095</v>
      </c>
      <c r="IJ31" s="4">
        <f>IFERROR(HH31/'McDonough &amp; Sun 1995 values'!S$2,)</f>
        <v>62.551226469549597</v>
      </c>
      <c r="IK31" s="4">
        <f>IFERROR(HI31/'McDonough &amp; Sun 1995 values'!T$2,)</f>
        <v>12.161457037059687</v>
      </c>
      <c r="IL31" s="4">
        <f>IFERROR(HJ31/'McDonough &amp; Sun 1995 values'!U$2,)</f>
        <v>44.653736798754558</v>
      </c>
      <c r="IM31" s="4">
        <f>IFERROR(HK31/'McDonough &amp; Sun 1995 values'!V$2,)</f>
        <v>0</v>
      </c>
      <c r="IN31" s="4">
        <f>IFERROR(HL31/'McDonough &amp; Sun 1995 values'!W$2,)</f>
        <v>14.913516516027308</v>
      </c>
      <c r="IO31" s="4">
        <f>IFERROR(HM31/'McDonough &amp; Sun 1995 values'!X$2,)</f>
        <v>6.136218394414259</v>
      </c>
      <c r="IP31" s="4">
        <f>IFERROR(HN31/'McDonough &amp; Sun 1995 values'!Y$2,)</f>
        <v>33.730570912088609</v>
      </c>
      <c r="IQ31" s="4">
        <f>IFERROR(HO31/'McDonough &amp; Sun 1995 values'!Z$2,)</f>
        <v>7.6497032966532759</v>
      </c>
      <c r="IR31" s="4">
        <f>IFERROR(HP31/'McDonough &amp; Sun 1995 values'!AA$2,)</f>
        <v>0</v>
      </c>
      <c r="IS31" s="4">
        <f>IFERROR(HQ31/'McDonough &amp; Sun 1995 values'!AB$2,)</f>
        <v>0</v>
      </c>
      <c r="IT31" s="4">
        <f>IFERROR(HR31/'McDonough &amp; Sun 1995 values'!AC$2,)</f>
        <v>49.638074724950144</v>
      </c>
    </row>
    <row r="32" spans="1:254">
      <c r="A32" s="16" t="s">
        <v>672</v>
      </c>
      <c r="B32" s="16" t="s">
        <v>24</v>
      </c>
      <c r="C32" s="16" t="str">
        <f t="shared" si="0"/>
        <v>high-Mg carbonatitic</v>
      </c>
      <c r="D32" s="16" t="s">
        <v>1723</v>
      </c>
      <c r="E32" s="16" t="s">
        <v>237</v>
      </c>
      <c r="F32" s="16" t="s">
        <v>29</v>
      </c>
      <c r="G32" s="16" t="s">
        <v>595</v>
      </c>
      <c r="H32" s="27">
        <v>360</v>
      </c>
      <c r="I32" s="16" t="s">
        <v>735</v>
      </c>
      <c r="J32" s="16" t="s">
        <v>1496</v>
      </c>
      <c r="K32" s="16">
        <v>0</v>
      </c>
      <c r="L32" s="16">
        <v>0</v>
      </c>
      <c r="M32" s="16" t="s">
        <v>32</v>
      </c>
      <c r="N32" s="16">
        <v>27</v>
      </c>
      <c r="O32" s="26">
        <v>8.36</v>
      </c>
      <c r="P32" s="26">
        <v>1.4</v>
      </c>
      <c r="Q32" s="26">
        <v>0.33</v>
      </c>
      <c r="R32" s="26">
        <v>3.79</v>
      </c>
      <c r="S32" s="26">
        <v>26.55</v>
      </c>
      <c r="T32" s="26">
        <v>21.59</v>
      </c>
      <c r="U32" s="26">
        <v>0.67</v>
      </c>
      <c r="V32" s="26">
        <v>24.44</v>
      </c>
      <c r="W32" s="26">
        <v>2.84</v>
      </c>
      <c r="X32" s="26">
        <v>5.91</v>
      </c>
      <c r="Y32" s="26"/>
      <c r="Z32" s="26">
        <v>2.4300000000000002</v>
      </c>
      <c r="AA32" s="26"/>
      <c r="AB32" s="26"/>
      <c r="AC32" s="26"/>
      <c r="AD32" s="26">
        <v>0.93</v>
      </c>
      <c r="AE32" s="26"/>
      <c r="AF32" s="26">
        <v>0.76</v>
      </c>
      <c r="AG32" s="26"/>
      <c r="AH32" s="26"/>
      <c r="AI32" s="26"/>
      <c r="AJ32" s="26">
        <f t="shared" si="62"/>
        <v>98.240000000000009</v>
      </c>
      <c r="AK32" s="26">
        <f t="shared" si="63"/>
        <v>8.5279905892319441</v>
      </c>
      <c r="AL32" s="26">
        <f t="shared" si="1"/>
        <v>1.4281323953259235</v>
      </c>
      <c r="AM32" s="26">
        <f t="shared" si="2"/>
        <v>3.866158413060893</v>
      </c>
      <c r="AN32" s="26">
        <f t="shared" si="64"/>
        <v>27.083510782788057</v>
      </c>
      <c r="AO32" s="26">
        <f t="shared" si="65"/>
        <v>22.023841725061924</v>
      </c>
      <c r="AP32" s="26">
        <f t="shared" si="3"/>
        <v>24.93111124411827</v>
      </c>
      <c r="AQ32" s="26">
        <f t="shared" si="4"/>
        <v>0</v>
      </c>
      <c r="AR32" s="26">
        <f t="shared" si="5"/>
        <v>2.8970685733754453</v>
      </c>
      <c r="AS32" s="26">
        <f t="shared" si="66"/>
        <v>6.0287588974115787</v>
      </c>
      <c r="AT32" s="26">
        <f t="shared" si="6"/>
        <v>2.4788298004585676</v>
      </c>
      <c r="AU32" s="26">
        <f t="shared" si="67"/>
        <v>0.94868794832364944</v>
      </c>
      <c r="AV32" s="26">
        <f t="shared" si="7"/>
        <v>100.21409036915627</v>
      </c>
      <c r="AW32" s="16"/>
      <c r="AX32" s="16"/>
      <c r="AY32" s="16"/>
      <c r="AZ32" s="16"/>
      <c r="BA32" s="26"/>
      <c r="BB32" s="26">
        <v>7.0000000000000007E-2</v>
      </c>
      <c r="BC32" s="26">
        <f t="shared" si="71"/>
        <v>7.0000000000000062E-2</v>
      </c>
      <c r="BD32" s="26">
        <f t="shared" si="72"/>
        <v>0.92999999999999994</v>
      </c>
      <c r="BE32" s="16"/>
      <c r="BF32" s="16"/>
      <c r="BG32" s="16">
        <v>648</v>
      </c>
      <c r="BH32" s="16">
        <v>13</v>
      </c>
      <c r="BI32" s="16"/>
      <c r="BJ32" s="16"/>
      <c r="BK32" s="18"/>
      <c r="BL32" s="18"/>
      <c r="BM32" s="18"/>
      <c r="BN32" s="18">
        <v>49</v>
      </c>
      <c r="BO32" s="18">
        <v>352</v>
      </c>
      <c r="BP32" s="18">
        <v>12</v>
      </c>
      <c r="BQ32" s="18"/>
      <c r="BR32" s="18">
        <v>359</v>
      </c>
      <c r="BS32" s="18">
        <v>384</v>
      </c>
      <c r="BT32" s="18">
        <v>25.46</v>
      </c>
      <c r="BU32" s="18"/>
      <c r="BV32" s="18">
        <v>5.36</v>
      </c>
      <c r="BW32" s="18">
        <v>202</v>
      </c>
      <c r="BX32" s="18">
        <v>1.9019999999999999</v>
      </c>
      <c r="BY32" s="18">
        <v>0.92</v>
      </c>
      <c r="BZ32" s="18"/>
      <c r="CA32" s="18">
        <v>0.17699999999999999</v>
      </c>
      <c r="CB32" s="18">
        <v>4.7E-2</v>
      </c>
      <c r="CC32" s="18"/>
      <c r="CD32" s="18"/>
      <c r="CE32" s="18"/>
      <c r="CF32" s="18"/>
      <c r="CG32" s="18"/>
      <c r="CH32" s="18">
        <v>1.06</v>
      </c>
      <c r="CI32" s="18">
        <v>7.85</v>
      </c>
      <c r="CJ32" s="18">
        <v>6.6000000000000003E-2</v>
      </c>
      <c r="CK32" s="18">
        <v>1.2390000000000001</v>
      </c>
      <c r="CL32" s="18"/>
      <c r="CM32" s="18">
        <v>0.56899999999999995</v>
      </c>
      <c r="CN32" s="18"/>
      <c r="CO32" s="18"/>
      <c r="CP32" s="18"/>
      <c r="CQ32" s="18"/>
      <c r="CR32" s="18">
        <v>1.0999999999999999E-2</v>
      </c>
      <c r="CS32" s="18">
        <v>11.85</v>
      </c>
      <c r="CT32" s="18">
        <v>0.373</v>
      </c>
      <c r="CU32" s="18">
        <v>0.9</v>
      </c>
      <c r="CV32" s="18">
        <v>1.48</v>
      </c>
      <c r="CW32" s="18">
        <v>0.184</v>
      </c>
      <c r="CX32" s="18">
        <v>0.74</v>
      </c>
      <c r="CY32" s="18">
        <v>0.11799999999999999</v>
      </c>
      <c r="CZ32" s="18">
        <v>3.7999999999999999E-2</v>
      </c>
      <c r="DA32" s="18">
        <v>7.1999999999999995E-2</v>
      </c>
      <c r="DB32" s="18">
        <v>2.5999999999999999E-2</v>
      </c>
      <c r="DC32" s="18">
        <v>4.0000000000000001E-3</v>
      </c>
      <c r="DD32" s="18">
        <v>6.0000000000000001E-3</v>
      </c>
      <c r="DE32" s="18"/>
      <c r="DF32" s="18">
        <v>1.2E-2</v>
      </c>
      <c r="DG32" s="18">
        <v>5.0000000000000001E-3</v>
      </c>
      <c r="DH32" s="18">
        <v>2.9000000000000001E-2</v>
      </c>
      <c r="DI32" s="18">
        <v>2.1000000000000001E-2</v>
      </c>
      <c r="DJ32" s="18"/>
      <c r="DK32" s="18">
        <v>9.5000000000000001E-2</v>
      </c>
      <c r="DL32" s="18">
        <v>9.0999999999999998E-2</v>
      </c>
      <c r="DM32" s="18">
        <v>1.9E-2</v>
      </c>
      <c r="DN32" s="18"/>
      <c r="DO32" s="18"/>
      <c r="DP32" s="18"/>
      <c r="DQ32" s="18"/>
      <c r="DR32" s="18"/>
      <c r="DS32" s="18"/>
      <c r="DT32" s="18"/>
      <c r="DU32" s="18"/>
      <c r="DV32" s="28"/>
      <c r="DW32" s="28"/>
      <c r="DX32" s="28"/>
      <c r="DY32" s="28"/>
      <c r="DZ32" s="28"/>
      <c r="EA32" s="28"/>
      <c r="EB32" s="28"/>
      <c r="EC32" s="28"/>
      <c r="ED32" s="28"/>
      <c r="EE32" s="28"/>
      <c r="EF32" s="28"/>
      <c r="EG32" s="28"/>
      <c r="EH32" s="28"/>
      <c r="EI32" s="28"/>
      <c r="EJ32" s="18"/>
      <c r="EK32" s="18"/>
      <c r="EL32" s="18">
        <f>IFERROR(CR32/'McDonough &amp; Sun 1995 values'!C$2,)</f>
        <v>0.52380952380952372</v>
      </c>
      <c r="EM32" s="18">
        <f>IFERROR(CH32/'McDonough &amp; Sun 1995 values'!D$2,)</f>
        <v>1.7666666666666668</v>
      </c>
      <c r="EN32" s="18">
        <f>IFERROR(CS32/'McDonough &amp; Sun 1995 values'!E$2,)</f>
        <v>1.7954545454545454</v>
      </c>
      <c r="EO32" s="18">
        <f>IFERROR(DL32/'McDonough &amp; Sun 1995 values'!F$2,)</f>
        <v>1.1446540880503144</v>
      </c>
      <c r="EP32" s="18">
        <f>IFERROR(DM32/'McDonough &amp; Sun 1995 values'!G$2,)</f>
        <v>0.935960591133005</v>
      </c>
      <c r="EQ32" s="18">
        <f>IFERROR(BR32/'McDonough &amp; Sun 1995 values'!H$2,)</f>
        <v>1.4958333333333333</v>
      </c>
      <c r="ER32" s="18">
        <f>IFERROR(DI32/'McDonough &amp; Sun 1995 values'!I$2,)</f>
        <v>0.56756756756756765</v>
      </c>
      <c r="ES32" s="18">
        <f>IFERROR(CM32/'McDonough &amp; Sun 1995 values'!J$2,)</f>
        <v>0.86474164133738596</v>
      </c>
      <c r="ET32" s="18">
        <f>IFERROR(CU32/'McDonough &amp; Sun 1995 values'!K$2,)</f>
        <v>1.3888888888888888</v>
      </c>
      <c r="EU32" s="18">
        <f>IFERROR(CV32/'McDonough &amp; Sun 1995 values'!L$2,)</f>
        <v>0.88358208955223883</v>
      </c>
      <c r="EV32" s="18">
        <f>IFERROR(CW32/'McDonough &amp; Sun 1995 values'!M$2,)</f>
        <v>0.72440944881889757</v>
      </c>
      <c r="EW32" s="18">
        <f>IFERROR(CI32/'McDonough &amp; Sun 1995 values'!N$2,)</f>
        <v>0.39447236180904521</v>
      </c>
      <c r="EX32" s="18">
        <f>IFERROR(CX32/'McDonough &amp; Sun 1995 values'!O$2,)</f>
        <v>0.59199999999999997</v>
      </c>
      <c r="EY32" s="18">
        <f>IFERROR(CY32/'McDonough &amp; Sun 1995 values'!P$2,)</f>
        <v>0.29064039408866993</v>
      </c>
      <c r="EZ32" s="18">
        <f>IFERROR(DH32/'McDonough &amp; Sun 1995 values'!Q$2,)</f>
        <v>0.10247349823321557</v>
      </c>
      <c r="FA32" s="18">
        <f>IFERROR(CK32/'McDonough &amp; Sun 1995 values'!R$2,)</f>
        <v>0.11800000000000001</v>
      </c>
      <c r="FB32" s="18">
        <f>IFERROR(CZ32/'McDonough &amp; Sun 1995 values'!S$2,)</f>
        <v>0.24675324675324675</v>
      </c>
      <c r="FC32" s="18">
        <f>IFERROR(BT32/'McDonough &amp; Sun 1995 values'!T$2,)</f>
        <v>2.112863070539419E-2</v>
      </c>
      <c r="FD32" s="18">
        <f>IFERROR(DA32/'McDonough &amp; Sun 1995 values'!U$2,)</f>
        <v>0.13235294117647056</v>
      </c>
      <c r="FE32" s="18">
        <f>IFERROR(DN32/'McDonough &amp; Sun 1995 values'!V$2,)</f>
        <v>0</v>
      </c>
      <c r="FF32" s="18">
        <f>IFERROR(DB32/'McDonough &amp; Sun 1995 values'!W$2,)</f>
        <v>3.8575667655786343E-2</v>
      </c>
      <c r="FG32" s="18">
        <f>IFERROR(CJ32/'McDonough &amp; Sun 1995 values'!X$2,)</f>
        <v>1.5348837209302328E-2</v>
      </c>
      <c r="FH32" s="18">
        <f>IFERROR(DC32/'McDonough &amp; Sun 1995 values'!Y$2,)</f>
        <v>2.684563758389262E-2</v>
      </c>
      <c r="FI32" s="18">
        <f>IFERROR(DD32/'McDonough &amp; Sun 1995 values'!Z$2,)</f>
        <v>1.3698630136986302E-2</v>
      </c>
      <c r="FJ32" s="18">
        <f>IFERROR(DE32/'McDonough &amp; Sun 1995 values'!AA$2,)</f>
        <v>0</v>
      </c>
      <c r="FK32" s="18">
        <f>IFERROR(DF32/'McDonough &amp; Sun 1995 values'!AB$2,)</f>
        <v>2.7210884353741496E-2</v>
      </c>
      <c r="FL32" s="18">
        <f>IFERROR(DG32/'McDonough &amp; Sun 1995 values'!AC$2,)</f>
        <v>7.407407407407407E-2</v>
      </c>
      <c r="FN32" s="28">
        <f t="shared" si="68"/>
        <v>0.62571181579922341</v>
      </c>
      <c r="FO32" s="4">
        <f t="shared" si="8"/>
        <v>1.9183014354066983</v>
      </c>
      <c r="FP32" s="4">
        <f t="shared" si="9"/>
        <v>1.3236948856539665</v>
      </c>
      <c r="FQ32" s="4">
        <f t="shared" si="10"/>
        <v>1.2229725256537569</v>
      </c>
      <c r="FR32" s="4">
        <f t="shared" si="11"/>
        <v>1.6061316149189613</v>
      </c>
      <c r="FS32" s="4">
        <f t="shared" si="12"/>
        <v>2.4470899470899465</v>
      </c>
      <c r="FT32" s="4">
        <f t="shared" si="13"/>
        <v>3.3727272727272735</v>
      </c>
      <c r="FU32" s="4">
        <f t="shared" si="14"/>
        <v>0.65634351398850532</v>
      </c>
      <c r="FV32" s="4">
        <f t="shared" si="15"/>
        <v>0.40600000000000008</v>
      </c>
      <c r="FW32" s="4">
        <f t="shared" si="16"/>
        <v>1.1515172413793102</v>
      </c>
      <c r="FX32" s="4">
        <f t="shared" si="17"/>
        <v>1.1667004001307821</v>
      </c>
      <c r="FY32" s="4">
        <f t="shared" si="18"/>
        <v>0.60237047066263294</v>
      </c>
      <c r="FZ32" s="4">
        <f t="shared" si="19"/>
        <v>1.2581084826744784</v>
      </c>
      <c r="GA32" s="4">
        <f t="shared" si="20"/>
        <v>0.54454336901900813</v>
      </c>
      <c r="GB32" s="4">
        <f t="shared" si="21"/>
        <v>0.8489984591679508</v>
      </c>
      <c r="GC32" s="4">
        <f t="shared" si="22"/>
        <v>0.29649595687331531</v>
      </c>
      <c r="GD32" s="4">
        <f t="shared" si="23"/>
        <v>1.5685564435564436</v>
      </c>
      <c r="GE32" s="4">
        <f t="shared" si="24"/>
        <v>1.0162950257289878</v>
      </c>
      <c r="GF32" s="4">
        <f t="shared" si="25"/>
        <v>1.2003038743985819</v>
      </c>
      <c r="GG32" s="4">
        <f t="shared" si="26"/>
        <v>2.0762901421952389</v>
      </c>
      <c r="GH32" s="4">
        <f t="shared" si="27"/>
        <v>1.9172705314009664</v>
      </c>
      <c r="GI32" s="4">
        <f t="shared" si="28"/>
        <v>4.7787193973634654</v>
      </c>
      <c r="GJ32" s="4">
        <f t="shared" si="29"/>
        <v>36.004273504273513</v>
      </c>
      <c r="GK32" s="4">
        <f t="shared" si="30"/>
        <v>51.041666666666664</v>
      </c>
      <c r="GL32" s="4">
        <f t="shared" si="31"/>
        <v>5.5848389630793411</v>
      </c>
      <c r="GM32" s="4">
        <f t="shared" si="32"/>
        <v>0.6479174083303666</v>
      </c>
      <c r="GN32" s="4">
        <f t="shared" si="33"/>
        <v>0.62261398176291793</v>
      </c>
      <c r="GO32" s="4">
        <f t="shared" si="34"/>
        <v>0.92390817469204911</v>
      </c>
      <c r="GP32" s="4">
        <f t="shared" si="35"/>
        <v>1.5981798245614034</v>
      </c>
      <c r="GQ32" s="27">
        <f t="shared" si="70"/>
        <v>50046.976618448796</v>
      </c>
      <c r="GR32" s="28">
        <f t="shared" si="69"/>
        <v>1.5334728211780968</v>
      </c>
      <c r="GS32" s="28">
        <f t="shared" si="36"/>
        <v>147.7710173135257</v>
      </c>
      <c r="GT32" s="28">
        <f t="shared" si="37"/>
        <v>1651.9684482691314</v>
      </c>
      <c r="GU32" s="28">
        <f t="shared" si="38"/>
        <v>12.686002429746074</v>
      </c>
      <c r="GV32" s="28">
        <f t="shared" si="39"/>
        <v>2.6487257820348944</v>
      </c>
      <c r="GW32" s="28">
        <f t="shared" si="40"/>
        <v>50046.976618448796</v>
      </c>
      <c r="GX32" s="28">
        <f t="shared" si="41"/>
        <v>2.927539022249094</v>
      </c>
      <c r="GY32" s="28">
        <f t="shared" si="42"/>
        <v>79.322366840939736</v>
      </c>
      <c r="GZ32" s="28">
        <f t="shared" si="43"/>
        <v>125.46595809638974</v>
      </c>
      <c r="HA32" s="28">
        <f t="shared" si="44"/>
        <v>206.32179775850759</v>
      </c>
      <c r="HB32" s="28">
        <f t="shared" si="45"/>
        <v>25.650818099706346</v>
      </c>
      <c r="HC32" s="28">
        <f t="shared" si="46"/>
        <v>1094.3419678407327</v>
      </c>
      <c r="HD32" s="28">
        <f t="shared" si="47"/>
        <v>103.16089887925379</v>
      </c>
      <c r="HE32" s="28">
        <f t="shared" si="48"/>
        <v>16.449981172637763</v>
      </c>
      <c r="HF32" s="28">
        <f t="shared" si="49"/>
        <v>4.0427919831058912</v>
      </c>
      <c r="HG32" s="28">
        <f t="shared" si="50"/>
        <v>172.72480231269654</v>
      </c>
      <c r="HH32" s="28">
        <f t="shared" si="51"/>
        <v>5.2974515640697888</v>
      </c>
      <c r="HI32" s="28">
        <f t="shared" si="52"/>
        <v>3549.2925479267583</v>
      </c>
      <c r="HJ32" s="28">
        <f t="shared" si="53"/>
        <v>10.037276647711177</v>
      </c>
      <c r="HK32" s="28">
        <f t="shared" si="54"/>
        <v>0</v>
      </c>
      <c r="HL32" s="28">
        <f t="shared" si="55"/>
        <v>3.624572122784592</v>
      </c>
      <c r="HM32" s="28">
        <f t="shared" si="56"/>
        <v>9.2008369270685808</v>
      </c>
      <c r="HN32" s="28">
        <f t="shared" si="57"/>
        <v>0.55762648042839891</v>
      </c>
      <c r="HO32" s="28">
        <f t="shared" si="58"/>
        <v>0.83643972064259831</v>
      </c>
      <c r="HP32" s="28">
        <f t="shared" si="59"/>
        <v>0</v>
      </c>
      <c r="HQ32" s="28">
        <f t="shared" si="60"/>
        <v>1.6728794412851966</v>
      </c>
      <c r="HR32" s="28">
        <f t="shared" si="61"/>
        <v>0.6970331005354985</v>
      </c>
      <c r="HT32" s="4">
        <f>IFERROR(GR32/'McDonough &amp; Sun 1995 values'!C$2,)</f>
        <v>73.022515294195088</v>
      </c>
      <c r="HU32" s="4">
        <f>IFERROR(GS32/'McDonough &amp; Sun 1995 values'!D$2,)</f>
        <v>246.28502885587619</v>
      </c>
      <c r="HV32" s="4">
        <f>IFERROR(GT32/'McDonough &amp; Sun 1995 values'!E$2,)</f>
        <v>250.2982497377472</v>
      </c>
      <c r="HW32" s="4">
        <f>IFERROR(GU32/'McDonough &amp; Sun 1995 values'!F$2,)</f>
        <v>159.57235760686885</v>
      </c>
      <c r="HX32" s="4">
        <f>IFERROR(GV32/'McDonough &amp; Sun 1995 values'!G$2,)</f>
        <v>130.4791025632953</v>
      </c>
      <c r="HY32" s="4">
        <f>IFERROR(GW32/'McDonough &amp; Sun 1995 values'!H$2,)</f>
        <v>208.52906924353664</v>
      </c>
      <c r="HZ32" s="4">
        <f>IFERROR(GX32/'McDonough &amp; Sun 1995 values'!I$2,)</f>
        <v>79.12267627700254</v>
      </c>
      <c r="IA32" s="4">
        <f>IFERROR(GY32/'McDonough &amp; Sun 1995 values'!J$2,)</f>
        <v>120.55070948471084</v>
      </c>
      <c r="IB32" s="4">
        <f>IFERROR(GZ32/'McDonough &amp; Sun 1995 values'!K$2,)</f>
        <v>193.62030570430514</v>
      </c>
      <c r="IC32" s="4">
        <f>IFERROR(HA32/'McDonough &amp; Sun 1995 values'!L$2,)</f>
        <v>123.17719269164631</v>
      </c>
      <c r="ID32" s="4">
        <f>IFERROR(HB32/'McDonough &amp; Sun 1995 values'!M$2,)</f>
        <v>100.98747283348955</v>
      </c>
      <c r="IE32" s="4">
        <f>IFERROR(HC32/'McDonough &amp; Sun 1995 values'!N$2,)</f>
        <v>54.992058685463959</v>
      </c>
      <c r="IF32" s="4">
        <f>IFERROR(HD32/'McDonough &amp; Sun 1995 values'!O$2,)</f>
        <v>82.528719103403034</v>
      </c>
      <c r="IG32" s="4">
        <f>IFERROR(HE32/'McDonough &amp; Sun 1995 values'!P$2,)</f>
        <v>40.517195006496948</v>
      </c>
      <c r="IH32" s="4">
        <f>IFERROR(HF32/'McDonough &amp; Sun 1995 values'!Q$2,)</f>
        <v>14.285484039243434</v>
      </c>
      <c r="II32" s="4">
        <f>IFERROR(HG32/'McDonough &amp; Sun 1995 values'!R$2,)</f>
        <v>16.449981172637766</v>
      </c>
      <c r="IJ32" s="4">
        <f>IFERROR(HH32/'McDonough &amp; Sun 1995 values'!S$2,)</f>
        <v>34.399036130323303</v>
      </c>
      <c r="IK32" s="4">
        <f>IFERROR(HI32/'McDonough &amp; Sun 1995 values'!T$2,)</f>
        <v>2.9454709941300901</v>
      </c>
      <c r="IL32" s="4">
        <f>IFERROR(HJ32/'McDonough &amp; Sun 1995 values'!U$2,)</f>
        <v>18.450876190645545</v>
      </c>
      <c r="IM32" s="4">
        <f>IFERROR(HK32/'McDonough &amp; Sun 1995 values'!V$2,)</f>
        <v>0</v>
      </c>
      <c r="IN32" s="4">
        <f>IFERROR(HL32/'McDonough &amp; Sun 1995 values'!W$2,)</f>
        <v>5.3777034462679403</v>
      </c>
      <c r="IO32" s="4">
        <f>IFERROR(HM32/'McDonough &amp; Sun 1995 values'!X$2,)</f>
        <v>2.1397295179229259</v>
      </c>
      <c r="IP32" s="4">
        <f>IFERROR(HN32/'McDonough &amp; Sun 1995 values'!Y$2,)</f>
        <v>3.742459600190597</v>
      </c>
      <c r="IQ32" s="4">
        <f>IFERROR(HO32/'McDonough &amp; Sun 1995 values'!Z$2,)</f>
        <v>1.9096797274945168</v>
      </c>
      <c r="IR32" s="4">
        <f>IFERROR(HP32/'McDonough &amp; Sun 1995 values'!AA$2,)</f>
        <v>0</v>
      </c>
      <c r="IS32" s="4">
        <f>IFERROR(HQ32/'McDonough &amp; Sun 1995 values'!AB$2,)</f>
        <v>3.7933774178802646</v>
      </c>
      <c r="IT32" s="4">
        <f>IFERROR(HR32/'McDonough &amp; Sun 1995 values'!AC$2,)</f>
        <v>10.326416304229607</v>
      </c>
    </row>
    <row r="33" spans="1:254">
      <c r="A33" s="16" t="s">
        <v>672</v>
      </c>
      <c r="B33" s="16" t="s">
        <v>24</v>
      </c>
      <c r="C33" s="16" t="str">
        <f t="shared" si="0"/>
        <v>high-Mg carbonatitic</v>
      </c>
      <c r="D33" s="16" t="s">
        <v>1723</v>
      </c>
      <c r="E33" s="16" t="s">
        <v>237</v>
      </c>
      <c r="F33" s="16" t="s">
        <v>29</v>
      </c>
      <c r="G33" s="16" t="s">
        <v>595</v>
      </c>
      <c r="H33" s="27">
        <v>360</v>
      </c>
      <c r="I33" s="16" t="s">
        <v>735</v>
      </c>
      <c r="J33" s="16" t="s">
        <v>1496</v>
      </c>
      <c r="K33" s="16">
        <v>0</v>
      </c>
      <c r="L33" s="16">
        <v>0</v>
      </c>
      <c r="M33" s="16" t="s">
        <v>33</v>
      </c>
      <c r="N33" s="16">
        <v>24</v>
      </c>
      <c r="O33" s="26">
        <v>9.3800000000000008</v>
      </c>
      <c r="P33" s="26">
        <v>0.34</v>
      </c>
      <c r="Q33" s="26">
        <v>0.62</v>
      </c>
      <c r="R33" s="26">
        <v>3.44</v>
      </c>
      <c r="S33" s="26">
        <v>26.79</v>
      </c>
      <c r="T33" s="26">
        <v>20.5</v>
      </c>
      <c r="U33" s="26">
        <v>0.15</v>
      </c>
      <c r="V33" s="26">
        <v>17.14</v>
      </c>
      <c r="W33" s="26">
        <v>4.6399999999999997</v>
      </c>
      <c r="X33" s="26">
        <v>12.94</v>
      </c>
      <c r="Y33" s="26"/>
      <c r="Z33" s="26">
        <v>1.8</v>
      </c>
      <c r="AA33" s="26"/>
      <c r="AB33" s="26"/>
      <c r="AC33" s="26"/>
      <c r="AD33" s="26">
        <v>1.58</v>
      </c>
      <c r="AE33" s="26"/>
      <c r="AF33" s="26">
        <v>0.69</v>
      </c>
      <c r="AG33" s="26"/>
      <c r="AH33" s="26"/>
      <c r="AI33" s="26"/>
      <c r="AJ33" s="26">
        <f t="shared" si="62"/>
        <v>98.55</v>
      </c>
      <c r="AK33" s="26">
        <f t="shared" si="63"/>
        <v>9.5525728194038582</v>
      </c>
      <c r="AL33" s="26">
        <f t="shared" si="1"/>
        <v>0.34625530475451083</v>
      </c>
      <c r="AM33" s="26">
        <f t="shared" si="2"/>
        <v>3.5032889657515214</v>
      </c>
      <c r="AN33" s="26">
        <f t="shared" si="64"/>
        <v>27.282881218745132</v>
      </c>
      <c r="AO33" s="26">
        <f t="shared" si="65"/>
        <v>20.877158080786682</v>
      </c>
      <c r="AP33" s="26">
        <f t="shared" si="3"/>
        <v>17.455340951447987</v>
      </c>
      <c r="AQ33" s="26">
        <f t="shared" si="4"/>
        <v>0</v>
      </c>
      <c r="AR33" s="26">
        <f t="shared" si="5"/>
        <v>4.7253665119439114</v>
      </c>
      <c r="AS33" s="26">
        <f t="shared" si="66"/>
        <v>13.178069539774617</v>
      </c>
      <c r="AT33" s="26">
        <f t="shared" si="6"/>
        <v>1.8331163192885869</v>
      </c>
      <c r="AU33" s="26">
        <f t="shared" si="67"/>
        <v>1.609068769153315</v>
      </c>
      <c r="AV33" s="26">
        <f t="shared" si="7"/>
        <v>100.36311848105012</v>
      </c>
      <c r="AW33" s="16"/>
      <c r="AX33" s="16"/>
      <c r="AY33" s="16"/>
      <c r="AZ33" s="16"/>
      <c r="BA33" s="26"/>
      <c r="BB33" s="26" t="s">
        <v>34</v>
      </c>
      <c r="BC33" s="26"/>
      <c r="BD33" s="26"/>
      <c r="BE33" s="16"/>
      <c r="BF33" s="16"/>
      <c r="BG33" s="16">
        <v>584</v>
      </c>
      <c r="BH33" s="16">
        <v>12</v>
      </c>
      <c r="BI33" s="16"/>
      <c r="BJ33" s="16"/>
      <c r="BK33" s="18"/>
      <c r="BL33" s="18"/>
      <c r="BM33" s="18"/>
      <c r="BN33" s="18">
        <v>24</v>
      </c>
      <c r="BO33" s="18">
        <v>45</v>
      </c>
      <c r="BP33" s="18">
        <v>2</v>
      </c>
      <c r="BQ33" s="18"/>
      <c r="BR33" s="18">
        <v>57</v>
      </c>
      <c r="BS33" s="18">
        <v>75</v>
      </c>
      <c r="BT33" s="18">
        <v>0.49</v>
      </c>
      <c r="BU33" s="18"/>
      <c r="BV33" s="18">
        <v>0.44</v>
      </c>
      <c r="BW33" s="18">
        <v>14</v>
      </c>
      <c r="BX33" s="18">
        <v>0.71199999999999997</v>
      </c>
      <c r="BY33" s="18">
        <v>0.13800000000000001</v>
      </c>
      <c r="BZ33" s="18"/>
      <c r="CA33" s="18">
        <v>0.02</v>
      </c>
      <c r="CB33" s="18" t="s">
        <v>1366</v>
      </c>
      <c r="CC33" s="18"/>
      <c r="CD33" s="18"/>
      <c r="CE33" s="18"/>
      <c r="CF33" s="18"/>
      <c r="CG33" s="18"/>
      <c r="CH33" s="18">
        <v>0.2</v>
      </c>
      <c r="CI33" s="18">
        <v>1.01</v>
      </c>
      <c r="CJ33" s="18">
        <v>7.0000000000000001E-3</v>
      </c>
      <c r="CK33" s="18">
        <v>0.08</v>
      </c>
      <c r="CL33" s="18"/>
      <c r="CM33" s="18">
        <v>0.121</v>
      </c>
      <c r="CN33" s="18"/>
      <c r="CO33" s="18"/>
      <c r="CP33" s="18"/>
      <c r="CQ33" s="18"/>
      <c r="CR33" s="18">
        <v>8.9999999999999993E-3</v>
      </c>
      <c r="CS33" s="18">
        <v>1.85</v>
      </c>
      <c r="CT33" s="18">
        <v>7.0999999999999994E-2</v>
      </c>
      <c r="CU33" s="18">
        <v>0.122</v>
      </c>
      <c r="CV33" s="18">
        <v>0.193</v>
      </c>
      <c r="CW33" s="18">
        <v>2.5000000000000001E-2</v>
      </c>
      <c r="CX33" s="18">
        <v>8.3000000000000004E-2</v>
      </c>
      <c r="CY33" s="18">
        <v>8.0000000000000002E-3</v>
      </c>
      <c r="CZ33" s="18">
        <v>4.0000000000000001E-3</v>
      </c>
      <c r="DA33" s="18">
        <v>5.0000000000000001E-3</v>
      </c>
      <c r="DB33" s="18">
        <v>5.0000000000000001E-3</v>
      </c>
      <c r="DC33" s="18">
        <v>1E-3</v>
      </c>
      <c r="DD33" s="18">
        <v>5.0000000000000001E-3</v>
      </c>
      <c r="DE33" s="18"/>
      <c r="DF33" s="18" t="s">
        <v>1366</v>
      </c>
      <c r="DG33" s="18">
        <v>1E-3</v>
      </c>
      <c r="DH33" s="18">
        <v>4.0000000000000001E-3</v>
      </c>
      <c r="DI33" s="18">
        <v>6.0000000000000001E-3</v>
      </c>
      <c r="DJ33" s="18"/>
      <c r="DK33" s="18">
        <v>2.1000000000000001E-2</v>
      </c>
      <c r="DL33" s="18">
        <v>1.2E-2</v>
      </c>
      <c r="DM33" s="18">
        <v>4.0000000000000001E-3</v>
      </c>
      <c r="DN33" s="18"/>
      <c r="DO33" s="18"/>
      <c r="DP33" s="18"/>
      <c r="DQ33" s="18"/>
      <c r="DR33" s="18"/>
      <c r="DS33" s="18"/>
      <c r="DT33" s="18"/>
      <c r="DU33" s="18"/>
      <c r="DV33" s="28"/>
      <c r="DW33" s="28"/>
      <c r="DX33" s="28"/>
      <c r="DY33" s="28"/>
      <c r="DZ33" s="28"/>
      <c r="EA33" s="28"/>
      <c r="EB33" s="28"/>
      <c r="EC33" s="28"/>
      <c r="ED33" s="28"/>
      <c r="EE33" s="28"/>
      <c r="EF33" s="28"/>
      <c r="EG33" s="28"/>
      <c r="EH33" s="28"/>
      <c r="EI33" s="28"/>
      <c r="EJ33" s="18"/>
      <c r="EK33" s="18"/>
      <c r="EL33" s="18">
        <f>IFERROR(CR33/'McDonough &amp; Sun 1995 values'!C$2,)</f>
        <v>0.42857142857142849</v>
      </c>
      <c r="EM33" s="18">
        <f>IFERROR(CH33/'McDonough &amp; Sun 1995 values'!D$2,)</f>
        <v>0.33333333333333337</v>
      </c>
      <c r="EN33" s="18">
        <f>IFERROR(CS33/'McDonough &amp; Sun 1995 values'!E$2,)</f>
        <v>0.28030303030303033</v>
      </c>
      <c r="EO33" s="18">
        <f>IFERROR(DL33/'McDonough &amp; Sun 1995 values'!F$2,)</f>
        <v>0.15094339622641509</v>
      </c>
      <c r="EP33" s="18">
        <f>IFERROR(DM33/'McDonough &amp; Sun 1995 values'!G$2,)</f>
        <v>0.19704433497536947</v>
      </c>
      <c r="EQ33" s="18">
        <f>IFERROR(BR33/'McDonough &amp; Sun 1995 values'!H$2,)</f>
        <v>0.23749999999999999</v>
      </c>
      <c r="ER33" s="18">
        <f>IFERROR(DI33/'McDonough &amp; Sun 1995 values'!I$2,)</f>
        <v>0.16216216216216217</v>
      </c>
      <c r="ES33" s="18">
        <f>IFERROR(CM33/'McDonough &amp; Sun 1995 values'!J$2,)</f>
        <v>0.18389057750759877</v>
      </c>
      <c r="ET33" s="18">
        <f>IFERROR(CU33/'McDonough &amp; Sun 1995 values'!K$2,)</f>
        <v>0.18827160493827161</v>
      </c>
      <c r="EU33" s="18">
        <f>IFERROR(CV33/'McDonough &amp; Sun 1995 values'!L$2,)</f>
        <v>0.11522388059701492</v>
      </c>
      <c r="EV33" s="18">
        <f>IFERROR(CW33/'McDonough &amp; Sun 1995 values'!M$2,)</f>
        <v>9.8425196850393706E-2</v>
      </c>
      <c r="EW33" s="18">
        <f>IFERROR(CI33/'McDonough &amp; Sun 1995 values'!N$2,)</f>
        <v>5.0753768844221107E-2</v>
      </c>
      <c r="EX33" s="18">
        <f>IFERROR(CX33/'McDonough &amp; Sun 1995 values'!O$2,)</f>
        <v>6.6400000000000001E-2</v>
      </c>
      <c r="EY33" s="18">
        <f>IFERROR(CY33/'McDonough &amp; Sun 1995 values'!P$2,)</f>
        <v>1.9704433497536946E-2</v>
      </c>
      <c r="EZ33" s="18">
        <f>IFERROR(DH33/'McDonough &amp; Sun 1995 values'!Q$2,)</f>
        <v>1.413427561837456E-2</v>
      </c>
      <c r="FA33" s="18">
        <f>IFERROR(CK33/'McDonough &amp; Sun 1995 values'!R$2,)</f>
        <v>7.619047619047619E-3</v>
      </c>
      <c r="FB33" s="18">
        <f>IFERROR(CZ33/'McDonough &amp; Sun 1995 values'!S$2,)</f>
        <v>2.5974025974025976E-2</v>
      </c>
      <c r="FC33" s="18">
        <f>IFERROR(BT33/'McDonough &amp; Sun 1995 values'!T$2,)</f>
        <v>4.066390041493776E-4</v>
      </c>
      <c r="FD33" s="18">
        <f>IFERROR(DA33/'McDonough &amp; Sun 1995 values'!U$2,)</f>
        <v>9.1911764705882356E-3</v>
      </c>
      <c r="FE33" s="18">
        <f>IFERROR(DN33/'McDonough &amp; Sun 1995 values'!V$2,)</f>
        <v>0</v>
      </c>
      <c r="FF33" s="18">
        <f>IFERROR(DB33/'McDonough &amp; Sun 1995 values'!W$2,)</f>
        <v>7.418397626112759E-3</v>
      </c>
      <c r="FG33" s="18">
        <f>IFERROR(CJ33/'McDonough &amp; Sun 1995 values'!X$2,)</f>
        <v>1.6279069767441861E-3</v>
      </c>
      <c r="FH33" s="18">
        <f>IFERROR(DC33/'McDonough &amp; Sun 1995 values'!Y$2,)</f>
        <v>6.7114093959731551E-3</v>
      </c>
      <c r="FI33" s="18">
        <f>IFERROR(DD33/'McDonough &amp; Sun 1995 values'!Z$2,)</f>
        <v>1.1415525114155251E-2</v>
      </c>
      <c r="FJ33" s="18">
        <f>IFERROR(DE33/'McDonough &amp; Sun 1995 values'!AA$2,)</f>
        <v>0</v>
      </c>
      <c r="FK33" s="18">
        <f>IFERROR(DF33/'McDonough &amp; Sun 1995 values'!AB$2,)</f>
        <v>0</v>
      </c>
      <c r="FL33" s="18">
        <f>IFERROR(DG33/'McDonough &amp; Sun 1995 values'!AC$2,)</f>
        <v>1.4814814814814814E-2</v>
      </c>
      <c r="FN33" s="28">
        <f t="shared" si="68"/>
        <v>0.82966035779102942</v>
      </c>
      <c r="FO33" s="4">
        <f t="shared" si="8"/>
        <v>1.4225378787878789</v>
      </c>
      <c r="FP33" s="4">
        <f t="shared" si="9"/>
        <v>0.82083268361141437</v>
      </c>
      <c r="FQ33" s="4">
        <f t="shared" si="10"/>
        <v>0.76603773584905654</v>
      </c>
      <c r="FR33" s="4">
        <f t="shared" si="11"/>
        <v>1.0238240995816754</v>
      </c>
      <c r="FS33" s="4">
        <f t="shared" si="12"/>
        <v>1.1610082304526748</v>
      </c>
      <c r="FT33" s="4">
        <f t="shared" si="13"/>
        <v>0.77777777777777801</v>
      </c>
      <c r="FU33" s="4">
        <f t="shared" si="14"/>
        <v>0.88184051820415466</v>
      </c>
      <c r="FV33" s="4">
        <f t="shared" si="15"/>
        <v>0.38666666666666666</v>
      </c>
      <c r="FW33" s="4">
        <f t="shared" si="16"/>
        <v>0.539047619047619</v>
      </c>
      <c r="FX33" s="4">
        <f t="shared" si="17"/>
        <v>1.797783538930515</v>
      </c>
      <c r="FY33" s="4">
        <f t="shared" si="18"/>
        <v>0.62781416710848859</v>
      </c>
      <c r="FZ33" s="4">
        <f t="shared" si="19"/>
        <v>1.9300641387511024</v>
      </c>
      <c r="GA33" s="4">
        <f t="shared" si="20"/>
        <v>0.51565829145728648</v>
      </c>
      <c r="GB33" s="4">
        <f t="shared" si="21"/>
        <v>1.3181818181818183</v>
      </c>
      <c r="GC33" s="4">
        <f t="shared" si="22"/>
        <v>1.2857142857142854</v>
      </c>
      <c r="GD33" s="4">
        <f t="shared" si="23"/>
        <v>1.8570075757575759</v>
      </c>
      <c r="GE33" s="4">
        <f t="shared" si="24"/>
        <v>0.84090909090909094</v>
      </c>
      <c r="GF33" s="4">
        <f t="shared" si="25"/>
        <v>1.1802232854864436</v>
      </c>
      <c r="GG33" s="4">
        <f t="shared" si="26"/>
        <v>1.5242925118958179</v>
      </c>
      <c r="GH33" s="4">
        <f t="shared" si="27"/>
        <v>1.9128395061728394</v>
      </c>
      <c r="GI33" s="4">
        <f t="shared" si="28"/>
        <v>9.5547839506172831</v>
      </c>
      <c r="GJ33" s="4">
        <f t="shared" si="29"/>
        <v>25.379012345679016</v>
      </c>
      <c r="GK33" s="4">
        <f t="shared" si="30"/>
        <v>0</v>
      </c>
      <c r="GL33" s="4">
        <f t="shared" si="31"/>
        <v>18.736637512147716</v>
      </c>
      <c r="GM33" s="4">
        <f t="shared" si="32"/>
        <v>0.45283018867924524</v>
      </c>
      <c r="GN33" s="4">
        <f t="shared" si="33"/>
        <v>0.97673028053216393</v>
      </c>
      <c r="GO33" s="4">
        <f t="shared" si="34"/>
        <v>0.93324468085106371</v>
      </c>
      <c r="GP33" s="4">
        <f t="shared" si="35"/>
        <v>1.2053124999999998</v>
      </c>
      <c r="GQ33" s="27">
        <f t="shared" si="70"/>
        <v>109396.07129032073</v>
      </c>
      <c r="GR33" s="28">
        <f t="shared" si="69"/>
        <v>17.273063887945376</v>
      </c>
      <c r="GS33" s="28">
        <f t="shared" si="36"/>
        <v>383.84586417656396</v>
      </c>
      <c r="GT33" s="28">
        <f t="shared" si="37"/>
        <v>3550.5742436332171</v>
      </c>
      <c r="GU33" s="28">
        <f t="shared" si="38"/>
        <v>23.030751850593841</v>
      </c>
      <c r="GV33" s="28">
        <f t="shared" si="39"/>
        <v>7.6769172835312789</v>
      </c>
      <c r="GW33" s="28">
        <f t="shared" si="40"/>
        <v>109396.07129032073</v>
      </c>
      <c r="GX33" s="28">
        <f t="shared" si="41"/>
        <v>11.515375925296921</v>
      </c>
      <c r="GY33" s="28">
        <f t="shared" si="42"/>
        <v>232.2267478268212</v>
      </c>
      <c r="GZ33" s="28">
        <f t="shared" si="43"/>
        <v>234.145977147704</v>
      </c>
      <c r="HA33" s="28">
        <f t="shared" si="44"/>
        <v>370.41125893038424</v>
      </c>
      <c r="HB33" s="28">
        <f t="shared" si="45"/>
        <v>47.980733022070496</v>
      </c>
      <c r="HC33" s="28">
        <f t="shared" si="46"/>
        <v>1938.4216140916478</v>
      </c>
      <c r="HD33" s="28">
        <f t="shared" si="47"/>
        <v>159.29603363327405</v>
      </c>
      <c r="HE33" s="28">
        <f t="shared" si="48"/>
        <v>15.353834567062558</v>
      </c>
      <c r="HF33" s="28">
        <f t="shared" si="49"/>
        <v>7.6769172835312789</v>
      </c>
      <c r="HG33" s="28">
        <f t="shared" si="50"/>
        <v>153.5383456706256</v>
      </c>
      <c r="HH33" s="28">
        <f t="shared" si="51"/>
        <v>7.6769172835312789</v>
      </c>
      <c r="HI33" s="28">
        <f t="shared" si="52"/>
        <v>940.42236723258168</v>
      </c>
      <c r="HJ33" s="28">
        <f t="shared" si="53"/>
        <v>9.5961466044141002</v>
      </c>
      <c r="HK33" s="28">
        <f t="shared" si="54"/>
        <v>0</v>
      </c>
      <c r="HL33" s="28">
        <f t="shared" si="55"/>
        <v>9.5961466044141002</v>
      </c>
      <c r="HM33" s="28">
        <f t="shared" si="56"/>
        <v>13.434605246179739</v>
      </c>
      <c r="HN33" s="28">
        <f t="shared" si="57"/>
        <v>1.9192293208828197</v>
      </c>
      <c r="HO33" s="28">
        <f t="shared" si="58"/>
        <v>9.5961466044141002</v>
      </c>
      <c r="HP33" s="28">
        <f t="shared" si="59"/>
        <v>0</v>
      </c>
      <c r="HQ33" s="28" t="str">
        <f t="shared" si="60"/>
        <v/>
      </c>
      <c r="HR33" s="28">
        <f t="shared" si="61"/>
        <v>1.9192293208828197</v>
      </c>
      <c r="HT33" s="4">
        <f>IFERROR(GR33/'McDonough &amp; Sun 1995 values'!C$2,)</f>
        <v>822.52685180692265</v>
      </c>
      <c r="HU33" s="4">
        <f>IFERROR(GS33/'McDonough &amp; Sun 1995 values'!D$2,)</f>
        <v>639.74310696093994</v>
      </c>
      <c r="HV33" s="4">
        <f>IFERROR(GT33/'McDonough &amp; Sun 1995 values'!E$2,)</f>
        <v>537.96579448988143</v>
      </c>
      <c r="HW33" s="4">
        <f>IFERROR(GU33/'McDonough &amp; Sun 1995 values'!F$2,)</f>
        <v>289.69499183136907</v>
      </c>
      <c r="HX33" s="4">
        <f>IFERROR(GV33/'McDonough &amp; Sun 1995 values'!G$2,)</f>
        <v>378.17326519858517</v>
      </c>
      <c r="HY33" s="4">
        <f>IFERROR(GW33/'McDonough &amp; Sun 1995 values'!H$2,)</f>
        <v>455.81696370966972</v>
      </c>
      <c r="HZ33" s="4">
        <f>IFERROR(GX33/'McDonough &amp; Sun 1995 values'!I$2,)</f>
        <v>311.22637635937627</v>
      </c>
      <c r="IA33" s="4">
        <f>IFERROR(GY33/'McDonough &amp; Sun 1995 values'!J$2,)</f>
        <v>352.92818818665836</v>
      </c>
      <c r="IB33" s="4">
        <f>IFERROR(GZ33/'McDonough &amp; Sun 1995 values'!K$2,)</f>
        <v>361.33638448719751</v>
      </c>
      <c r="IC33" s="4">
        <f>IFERROR(HA33/'McDonough &amp; Sun 1995 values'!L$2,)</f>
        <v>221.14105010769208</v>
      </c>
      <c r="ID33" s="4">
        <f>IFERROR(HB33/'McDonough &amp; Sun 1995 values'!M$2,)</f>
        <v>188.90052370893895</v>
      </c>
      <c r="IE33" s="4">
        <f>IFERROR(HC33/'McDonough &amp; Sun 1995 values'!N$2,)</f>
        <v>97.408121311138089</v>
      </c>
      <c r="IF33" s="4">
        <f>IFERROR(HD33/'McDonough &amp; Sun 1995 values'!O$2,)</f>
        <v>127.43682690661925</v>
      </c>
      <c r="IG33" s="4">
        <f>IFERROR(HE33/'McDonough &amp; Sun 1995 values'!P$2,)</f>
        <v>37.817326519858511</v>
      </c>
      <c r="IH33" s="4">
        <f>IFERROR(HF33/'McDonough &amp; Sun 1995 values'!Q$2,)</f>
        <v>27.126916196223604</v>
      </c>
      <c r="II33" s="4">
        <f>IFERROR(HG33/'McDonough &amp; Sun 1995 values'!R$2,)</f>
        <v>14.622699587678628</v>
      </c>
      <c r="IJ33" s="4">
        <f>IFERROR(HH33/'McDonough &amp; Sun 1995 values'!S$2,)</f>
        <v>49.850112230722594</v>
      </c>
      <c r="IK33" s="4">
        <f>IFERROR(HI33/'McDonough &amp; Sun 1995 values'!T$2,)</f>
        <v>0.78043349977807608</v>
      </c>
      <c r="IL33" s="4">
        <f>IFERROR(HJ33/'McDonough &amp; Sun 1995 values'!U$2,)</f>
        <v>17.639975375761214</v>
      </c>
      <c r="IM33" s="4">
        <f>IFERROR(HK33/'McDonough &amp; Sun 1995 values'!V$2,)</f>
        <v>0</v>
      </c>
      <c r="IN33" s="4">
        <f>IFERROR(HL33/'McDonough &amp; Sun 1995 values'!W$2,)</f>
        <v>14.237606238003115</v>
      </c>
      <c r="IO33" s="4">
        <f>IFERROR(HM33/'McDonough &amp; Sun 1995 values'!X$2,)</f>
        <v>3.1243268014371486</v>
      </c>
      <c r="IP33" s="4">
        <f>IFERROR(HN33/'McDonough &amp; Sun 1995 values'!Y$2,)</f>
        <v>12.880733697200133</v>
      </c>
      <c r="IQ33" s="4">
        <f>IFERROR(HO33/'McDonough &amp; Sun 1995 values'!Z$2,)</f>
        <v>21.909010512360958</v>
      </c>
      <c r="IR33" s="4">
        <f>IFERROR(HP33/'McDonough &amp; Sun 1995 values'!AA$2,)</f>
        <v>0</v>
      </c>
      <c r="IS33" s="4">
        <f>IFERROR(HQ33/'McDonough &amp; Sun 1995 values'!AB$2,)</f>
        <v>0</v>
      </c>
      <c r="IT33" s="4">
        <f>IFERROR(HR33/'McDonough &amp; Sun 1995 values'!AC$2,)</f>
        <v>28.433026976041774</v>
      </c>
    </row>
    <row r="34" spans="1:254">
      <c r="A34" s="16" t="s">
        <v>672</v>
      </c>
      <c r="B34" s="16" t="s">
        <v>24</v>
      </c>
      <c r="C34" s="16" t="str">
        <f t="shared" si="0"/>
        <v>high-Mg carbonatitic</v>
      </c>
      <c r="D34" s="16" t="s">
        <v>1723</v>
      </c>
      <c r="E34" s="16" t="s">
        <v>237</v>
      </c>
      <c r="F34" s="16" t="s">
        <v>29</v>
      </c>
      <c r="G34" s="16" t="s">
        <v>595</v>
      </c>
      <c r="H34" s="27">
        <v>360</v>
      </c>
      <c r="I34" s="16" t="s">
        <v>735</v>
      </c>
      <c r="J34" s="16" t="s">
        <v>1496</v>
      </c>
      <c r="K34" s="16">
        <v>0</v>
      </c>
      <c r="L34" s="16">
        <v>0</v>
      </c>
      <c r="M34" s="16" t="s">
        <v>35</v>
      </c>
      <c r="N34" s="16">
        <v>30</v>
      </c>
      <c r="O34" s="26">
        <v>10.55</v>
      </c>
      <c r="P34" s="26">
        <v>2.66</v>
      </c>
      <c r="Q34" s="26">
        <v>0.62</v>
      </c>
      <c r="R34" s="26">
        <v>4.78</v>
      </c>
      <c r="S34" s="26">
        <v>16.04</v>
      </c>
      <c r="T34" s="26">
        <v>21.68</v>
      </c>
      <c r="U34" s="26">
        <v>0.78</v>
      </c>
      <c r="V34" s="26">
        <v>24.32</v>
      </c>
      <c r="W34" s="26">
        <v>5.15</v>
      </c>
      <c r="X34" s="26">
        <v>8.2799999999999994</v>
      </c>
      <c r="Y34" s="26"/>
      <c r="Z34" s="26">
        <v>2.16</v>
      </c>
      <c r="AA34" s="26"/>
      <c r="AB34" s="26"/>
      <c r="AC34" s="26"/>
      <c r="AD34" s="26">
        <v>2.06</v>
      </c>
      <c r="AE34" s="26"/>
      <c r="AF34" s="26">
        <v>0.91</v>
      </c>
      <c r="AG34" s="26"/>
      <c r="AH34" s="26"/>
      <c r="AI34" s="26"/>
      <c r="AJ34" s="26">
        <f t="shared" si="62"/>
        <v>97.68</v>
      </c>
      <c r="AK34" s="26">
        <f t="shared" ref="AK34:AK68" si="73">100*(O34/($AJ34-$AD34*8/35.45))</f>
        <v>10.852221354296637</v>
      </c>
      <c r="AL34" s="26">
        <f t="shared" ref="AL34:AL68" si="74">100*(P34/($AJ34-$AD34*8/35.45))</f>
        <v>2.7361998864861663</v>
      </c>
      <c r="AM34" s="26">
        <f t="shared" ref="AM34:AM68" si="75">100*(R34/($AJ34-$AD34*8/35.45))</f>
        <v>4.9169306230841636</v>
      </c>
      <c r="AN34" s="26">
        <f t="shared" ref="AN34:AN68" si="76">100*(S34/($AJ34-$AD34*8/35.45))</f>
        <v>16.499491044826357</v>
      </c>
      <c r="AO34" s="26">
        <f t="shared" ref="AO34:AO68" si="77">100*(T34/($AJ34-$AD34*8/35.45))</f>
        <v>22.30105772143612</v>
      </c>
      <c r="AP34" s="26">
        <f t="shared" ref="AP34:AP68" si="78">100*(V34/($AJ34-$AD34*8/35.45))</f>
        <v>25.01668467644495</v>
      </c>
      <c r="AQ34" s="26">
        <f t="shared" ref="AQ34:AQ68" si="79">100*(AB34/($AJ34-$AD34*8/35.45))</f>
        <v>0</v>
      </c>
      <c r="AR34" s="26">
        <f t="shared" ref="AR34:AR68" si="80">100*(W34/($AJ34-$AD34*8/35.45))</f>
        <v>5.2975298554149459</v>
      </c>
      <c r="AS34" s="26">
        <f t="shared" ref="AS34:AS68" si="81">100*(X34/($AJ34-$AD34*8/35.45))</f>
        <v>8.517193631618591</v>
      </c>
      <c r="AT34" s="26">
        <f t="shared" ref="AT34:AT68" si="82">100*(Z34/($AJ34-$AD34*8/35.45))</f>
        <v>2.2218765995526768</v>
      </c>
      <c r="AU34" s="26">
        <f t="shared" ref="AU34:AU68" si="83">100*(AD34/($AJ34-$AD34*8/35.45))</f>
        <v>2.1190119421659785</v>
      </c>
      <c r="AV34" s="26">
        <f t="shared" si="7"/>
        <v>100.4781973353266</v>
      </c>
      <c r="AW34" s="16"/>
      <c r="AX34" s="16"/>
      <c r="AY34" s="16"/>
      <c r="AZ34" s="16"/>
      <c r="BA34" s="26"/>
      <c r="BB34" s="26">
        <v>0.02</v>
      </c>
      <c r="BC34" s="26">
        <f t="shared" ref="BC34:BC50" si="84">1-BD34</f>
        <v>2.0000000000000018E-2</v>
      </c>
      <c r="BD34" s="26">
        <f t="shared" ref="BD34:BD50" si="85">1-BB34</f>
        <v>0.98</v>
      </c>
      <c r="BE34" s="16">
        <v>-6.5</v>
      </c>
      <c r="BF34" s="16"/>
      <c r="BG34" s="16">
        <v>317</v>
      </c>
      <c r="BH34" s="16"/>
      <c r="BI34" s="16"/>
      <c r="BJ34" s="16"/>
      <c r="BK34" s="18"/>
      <c r="BL34" s="18"/>
      <c r="BM34" s="18"/>
      <c r="BN34" s="18">
        <v>178</v>
      </c>
      <c r="BO34" s="18">
        <v>547</v>
      </c>
      <c r="BP34" s="18">
        <v>29</v>
      </c>
      <c r="BQ34" s="18"/>
      <c r="BR34" s="18">
        <v>423</v>
      </c>
      <c r="BS34" s="18">
        <v>469</v>
      </c>
      <c r="BT34" s="18">
        <v>13.39</v>
      </c>
      <c r="BU34" s="18"/>
      <c r="BV34" s="18">
        <v>6.14</v>
      </c>
      <c r="BW34" s="18">
        <v>789</v>
      </c>
      <c r="BX34" s="18">
        <v>1.8120000000000001</v>
      </c>
      <c r="BY34" s="18">
        <v>2.21</v>
      </c>
      <c r="BZ34" s="18"/>
      <c r="CA34" s="18">
        <v>0.26600000000000001</v>
      </c>
      <c r="CB34" s="18">
        <v>0.125</v>
      </c>
      <c r="CC34" s="18"/>
      <c r="CD34" s="18"/>
      <c r="CE34" s="18"/>
      <c r="CF34" s="18"/>
      <c r="CG34" s="18"/>
      <c r="CH34" s="18">
        <v>0.92</v>
      </c>
      <c r="CI34" s="18">
        <v>17.29</v>
      </c>
      <c r="CJ34" s="18">
        <v>1.6E-2</v>
      </c>
      <c r="CK34" s="18">
        <v>0.629</v>
      </c>
      <c r="CL34" s="18"/>
      <c r="CM34" s="18">
        <v>3.1789999999999998</v>
      </c>
      <c r="CN34" s="18"/>
      <c r="CO34" s="18"/>
      <c r="CP34" s="18"/>
      <c r="CQ34" s="18"/>
      <c r="CR34" s="18">
        <v>2.5000000000000001E-2</v>
      </c>
      <c r="CS34" s="18">
        <v>34.97</v>
      </c>
      <c r="CT34" s="18">
        <v>0.84</v>
      </c>
      <c r="CU34" s="18">
        <v>2.4300000000000002</v>
      </c>
      <c r="CV34" s="18">
        <v>4.1100000000000003</v>
      </c>
      <c r="CW34" s="18">
        <v>0.52</v>
      </c>
      <c r="CX34" s="18">
        <v>1.71</v>
      </c>
      <c r="CY34" s="18">
        <v>0.125</v>
      </c>
      <c r="CZ34" s="18">
        <v>2.3E-2</v>
      </c>
      <c r="DA34" s="18">
        <v>4.1000000000000002E-2</v>
      </c>
      <c r="DB34" s="18">
        <v>0.01</v>
      </c>
      <c r="DC34" s="18">
        <v>2E-3</v>
      </c>
      <c r="DD34" s="18" t="s">
        <v>1366</v>
      </c>
      <c r="DE34" s="18"/>
      <c r="DF34" s="18">
        <v>5.0000000000000001E-3</v>
      </c>
      <c r="DG34" s="18">
        <v>1E-3</v>
      </c>
      <c r="DH34" s="18">
        <v>1.6E-2</v>
      </c>
      <c r="DI34" s="18">
        <v>0.16300000000000001</v>
      </c>
      <c r="DJ34" s="18"/>
      <c r="DK34" s="18">
        <v>0.36199999999999999</v>
      </c>
      <c r="DL34" s="18">
        <v>0.309</v>
      </c>
      <c r="DM34" s="18">
        <v>7.3999999999999996E-2</v>
      </c>
      <c r="DN34" s="18"/>
      <c r="DO34" s="18"/>
      <c r="DP34" s="18"/>
      <c r="DQ34" s="18"/>
      <c r="DR34" s="18"/>
      <c r="DS34" s="18"/>
      <c r="DT34" s="18"/>
      <c r="DU34" s="18"/>
      <c r="DV34" s="28"/>
      <c r="DW34" s="28"/>
      <c r="DX34" s="28"/>
      <c r="DY34" s="28"/>
      <c r="DZ34" s="28"/>
      <c r="EA34" s="28"/>
      <c r="EB34" s="28"/>
      <c r="EC34" s="28"/>
      <c r="ED34" s="28"/>
      <c r="EE34" s="28"/>
      <c r="EF34" s="28"/>
      <c r="EG34" s="28"/>
      <c r="EH34" s="28"/>
      <c r="EI34" s="28"/>
      <c r="EJ34" s="18"/>
      <c r="EK34" s="18"/>
      <c r="EL34" s="18">
        <f>IFERROR(CR34/'McDonough &amp; Sun 1995 values'!C$2,)</f>
        <v>1.1904761904761905</v>
      </c>
      <c r="EM34" s="18">
        <f>IFERROR(CH34/'McDonough &amp; Sun 1995 values'!D$2,)</f>
        <v>1.5333333333333334</v>
      </c>
      <c r="EN34" s="18">
        <f>IFERROR(CS34/'McDonough &amp; Sun 1995 values'!E$2,)</f>
        <v>5.2984848484848488</v>
      </c>
      <c r="EO34" s="18">
        <f>IFERROR(DL34/'McDonough &amp; Sun 1995 values'!F$2,)</f>
        <v>3.8867924528301887</v>
      </c>
      <c r="EP34" s="18">
        <f>IFERROR(DM34/'McDonough &amp; Sun 1995 values'!G$2,)</f>
        <v>3.645320197044335</v>
      </c>
      <c r="EQ34" s="18">
        <f>IFERROR(BR34/'McDonough &amp; Sun 1995 values'!H$2,)</f>
        <v>1.7625</v>
      </c>
      <c r="ER34" s="18">
        <f>IFERROR(DI34/'McDonough &amp; Sun 1995 values'!I$2,)</f>
        <v>4.4054054054054061</v>
      </c>
      <c r="ES34" s="18">
        <f>IFERROR(CM34/'McDonough &amp; Sun 1995 values'!J$2,)</f>
        <v>4.8313069908814583</v>
      </c>
      <c r="ET34" s="18">
        <f>IFERROR(CU34/'McDonough &amp; Sun 1995 values'!K$2,)</f>
        <v>3.75</v>
      </c>
      <c r="EU34" s="18">
        <f>IFERROR(CV34/'McDonough &amp; Sun 1995 values'!L$2,)</f>
        <v>2.4537313432835823</v>
      </c>
      <c r="EV34" s="18">
        <f>IFERROR(CW34/'McDonough &amp; Sun 1995 values'!M$2,)</f>
        <v>2.0472440944881889</v>
      </c>
      <c r="EW34" s="18">
        <f>IFERROR(CI34/'McDonough &amp; Sun 1995 values'!N$2,)</f>
        <v>0.86884422110552761</v>
      </c>
      <c r="EX34" s="18">
        <f>IFERROR(CX34/'McDonough &amp; Sun 1995 values'!O$2,)</f>
        <v>1.3679999999999999</v>
      </c>
      <c r="EY34" s="18">
        <f>IFERROR(CY34/'McDonough &amp; Sun 1995 values'!P$2,)</f>
        <v>0.30788177339901474</v>
      </c>
      <c r="EZ34" s="18">
        <f>IFERROR(DH34/'McDonough &amp; Sun 1995 values'!Q$2,)</f>
        <v>5.6537102473498239E-2</v>
      </c>
      <c r="FA34" s="18">
        <f>IFERROR(CK34/'McDonough &amp; Sun 1995 values'!R$2,)</f>
        <v>5.9904761904761905E-2</v>
      </c>
      <c r="FB34" s="18">
        <f>IFERROR(CZ34/'McDonough &amp; Sun 1995 values'!S$2,)</f>
        <v>0.14935064935064934</v>
      </c>
      <c r="FC34" s="18">
        <f>IFERROR(BT34/'McDonough &amp; Sun 1995 values'!T$2,)</f>
        <v>1.1112033195020748E-2</v>
      </c>
      <c r="FD34" s="18">
        <f>IFERROR(DA34/'McDonough &amp; Sun 1995 values'!U$2,)</f>
        <v>7.5367647058823525E-2</v>
      </c>
      <c r="FE34" s="18">
        <f>IFERROR(DN34/'McDonough &amp; Sun 1995 values'!V$2,)</f>
        <v>0</v>
      </c>
      <c r="FF34" s="18">
        <f>IFERROR(DB34/'McDonough &amp; Sun 1995 values'!W$2,)</f>
        <v>1.4836795252225518E-2</v>
      </c>
      <c r="FG34" s="18">
        <f>IFERROR(CJ34/'McDonough &amp; Sun 1995 values'!X$2,)</f>
        <v>3.7209302325581397E-3</v>
      </c>
      <c r="FH34" s="18">
        <f>IFERROR(DC34/'McDonough &amp; Sun 1995 values'!Y$2,)</f>
        <v>1.342281879194631E-2</v>
      </c>
      <c r="FI34" s="18">
        <f>IFERROR(DD34/'McDonough &amp; Sun 1995 values'!Z$2,)</f>
        <v>0</v>
      </c>
      <c r="FJ34" s="18">
        <f>IFERROR(DE34/'McDonough &amp; Sun 1995 values'!AA$2,)</f>
        <v>0</v>
      </c>
      <c r="FK34" s="18">
        <f>IFERROR(DF34/'McDonough &amp; Sun 1995 values'!AB$2,)</f>
        <v>1.1337868480725623E-2</v>
      </c>
      <c r="FL34" s="18">
        <f>IFERROR(DG34/'McDonough &amp; Sun 1995 values'!AC$2,)</f>
        <v>1.4814814814814814E-2</v>
      </c>
      <c r="FN34" s="28">
        <f t="shared" si="68"/>
        <v>2.0682667784648712</v>
      </c>
      <c r="FO34" s="4">
        <f t="shared" ref="FO34:FO67" si="86">IFERROR(EN34/EP34,)</f>
        <v>1.453503276003276</v>
      </c>
      <c r="FP34" s="4">
        <f t="shared" ref="FP34:FP67" si="87">IFERROR(EO34/ES34,)</f>
        <v>0.80450123748419766</v>
      </c>
      <c r="FQ34" s="4">
        <f t="shared" ref="FQ34:FQ67" si="88">IFERROR(EO34/EP34,)</f>
        <v>1.0662417134115247</v>
      </c>
      <c r="FR34" s="4">
        <f t="shared" ref="FR34:FR67" si="89">IFERROR(ET34/ES34,)</f>
        <v>0.77618748033972962</v>
      </c>
      <c r="FS34" s="4">
        <f t="shared" ref="FS34:FS67" si="90">IFERROR(ET34/ER34,)</f>
        <v>0.85122699386503053</v>
      </c>
      <c r="FT34" s="4">
        <f t="shared" ref="FT34:FT67" si="91">IFERROR(EM34/EL34,)</f>
        <v>1.288</v>
      </c>
      <c r="FU34" s="4">
        <f t="shared" ref="FU34:FU67" si="92">IFERROR(ER34/ES34,)</f>
        <v>0.91184547239910585</v>
      </c>
      <c r="FV34" s="4">
        <f t="shared" ref="FV34:FV67" si="93">IFERROR(FA34/EY34,)</f>
        <v>0.1945706666666667</v>
      </c>
      <c r="FW34" s="4">
        <f t="shared" ref="FW34:FW67" si="94">IFERROR(FA34/EZ34,)</f>
        <v>1.059565476190476</v>
      </c>
      <c r="FX34" s="4">
        <f t="shared" ref="FX34:FX67" si="95">IFERROR(FB34/(0.5*FD34+0.5*EY34),)</f>
        <v>0.77939139045393335</v>
      </c>
      <c r="FY34" s="4">
        <f t="shared" ref="FY34:FY67" si="96">IFERROR(EW34/SQRT(EV34*EX34),)</f>
        <v>0.51917533841872654</v>
      </c>
      <c r="FZ34" s="4">
        <f t="shared" ref="FZ34:FZ67" si="97">IFERROR(FB34/SQRT(EY34*FD34),)</f>
        <v>0.98044367001724564</v>
      </c>
      <c r="GA34" s="4">
        <f t="shared" ref="GA34:GA67" si="98">IFERROR(EW34/EV34,)</f>
        <v>0.42439698492462313</v>
      </c>
      <c r="GB34" s="4">
        <f t="shared" ref="GB34:GB67" si="99">IFERROR(FB34/EY34,)</f>
        <v>0.48509090909090913</v>
      </c>
      <c r="GC34" s="4">
        <f t="shared" ref="GC34:GC67" si="100">IFERROR(EL34/EM34,)</f>
        <v>0.77639751552795022</v>
      </c>
      <c r="GD34" s="4">
        <f t="shared" ref="GD34:GD67" si="101">IFERROR(EN34/EO34,)</f>
        <v>1.3632024124742572</v>
      </c>
      <c r="GE34" s="4">
        <f t="shared" ref="GE34:GE67" si="102">IFERROR(EN34/EM34,)</f>
        <v>3.4555335968379448</v>
      </c>
      <c r="GF34" s="4">
        <f t="shared" ref="GF34:GF67" si="103">IFERROR(EN34/EQ34,)</f>
        <v>3.0062325381474322</v>
      </c>
      <c r="GG34" s="4">
        <f t="shared" ref="GG34:GG67" si="104">IFERROR(EN34/ES34,)</f>
        <v>1.0966980277769836</v>
      </c>
      <c r="GH34" s="4">
        <f t="shared" ref="GH34:GH67" si="105">IFERROR(ET34/EV34,)</f>
        <v>1.8317307692307694</v>
      </c>
      <c r="GI34" s="4">
        <f t="shared" ref="GI34:GI67" si="106">IFERROR(ET34/EY34,)</f>
        <v>12.180000000000001</v>
      </c>
      <c r="GJ34" s="4">
        <f t="shared" ref="GJ34:GJ67" si="107">IFERROR(ET34/FF34,)</f>
        <v>252.75000000000003</v>
      </c>
      <c r="GK34" s="4">
        <f t="shared" ref="GK34:GK67" si="108">IFERROR(ET34/FK34,)</f>
        <v>330.75</v>
      </c>
      <c r="GL34" s="4">
        <f t="shared" ref="GL34:GL67" si="109">IFERROR(FA34/FC34,)</f>
        <v>5.3909811870976911</v>
      </c>
      <c r="GM34" s="4">
        <f t="shared" ref="GM34:GM67" si="110">IFERROR(EO34/EM34,)</f>
        <v>2.5348646431501227</v>
      </c>
      <c r="GN34" s="4">
        <f t="shared" ref="GN34:GN67" si="111">IFERROR(ES34/ET34,)</f>
        <v>1.2883485309017222</v>
      </c>
      <c r="GO34" s="4">
        <f t="shared" ref="GO34:GO67" si="112">IFERROR(ES34/EP34,)</f>
        <v>1.3253450258769406</v>
      </c>
      <c r="GP34" s="4">
        <f t="shared" ref="GP34:GP67" si="113">IFERROR(EQ34/EP34,)</f>
        <v>0.4834966216216216</v>
      </c>
      <c r="GQ34" s="27">
        <f t="shared" ref="GQ34:GQ67" si="114">AS34*10000/1.20462</f>
        <v>70704.401650467291</v>
      </c>
      <c r="GR34" s="28">
        <f t="shared" ref="GR34:GR67" si="115">IFERROR(CR34/$BR34*$GQ34,"")</f>
        <v>4.1787471424626057</v>
      </c>
      <c r="GS34" s="28">
        <f t="shared" ref="GS34:GS67" si="116">IFERROR(CH34/$BR34*$GQ34,"")</f>
        <v>153.77789484262391</v>
      </c>
      <c r="GT34" s="28">
        <f t="shared" ref="GT34:GT67" si="117">IFERROR(CS34/$BR34*$GQ34,"")</f>
        <v>5845.2315028766934</v>
      </c>
      <c r="GU34" s="28">
        <f t="shared" ref="GU34:GU67" si="118">IFERROR(DL34/$BR34*$GQ34,"")</f>
        <v>51.649314680837804</v>
      </c>
      <c r="GV34" s="28">
        <f t="shared" ref="GV34:GV67" si="119">IFERROR(DM34/$BR34*$GQ34,"")</f>
        <v>12.369091541689313</v>
      </c>
      <c r="GW34" s="28">
        <f t="shared" ref="GW34:GW67" si="120">IFERROR(BR34/$BR34*$GQ34,"")</f>
        <v>70704.401650467291</v>
      </c>
      <c r="GX34" s="28">
        <f t="shared" ref="GX34:GX67" si="121">IFERROR(DI34/$BR34*$GQ34,"")</f>
        <v>27.245431368856188</v>
      </c>
      <c r="GY34" s="28">
        <f t="shared" ref="GY34:GY67" si="122">IFERROR(CM34/$BR34*$GQ34,"")</f>
        <v>531.36948663554494</v>
      </c>
      <c r="GZ34" s="28">
        <f t="shared" ref="GZ34:GZ67" si="123">IFERROR(CU34/$BR34*$GQ34,"")</f>
        <v>406.17422224736532</v>
      </c>
      <c r="HA34" s="28">
        <f t="shared" ref="HA34:HA67" si="124">IFERROR(CV34/$BR34*$GQ34,"")</f>
        <v>686.98603022085251</v>
      </c>
      <c r="HB34" s="28">
        <f t="shared" ref="HB34:HB67" si="125">IFERROR(CW34/$BR34*$GQ34,"")</f>
        <v>86.917940563222203</v>
      </c>
      <c r="HC34" s="28">
        <f t="shared" ref="HC34:HC67" si="126">IFERROR(CI34/$BR34*$GQ34,"")</f>
        <v>2890.0215237271382</v>
      </c>
      <c r="HD34" s="28">
        <f t="shared" ref="HD34:HD67" si="127">IFERROR(CX34/$BR34*$GQ34,"")</f>
        <v>285.82630454444222</v>
      </c>
      <c r="HE34" s="28">
        <f t="shared" ref="HE34:HE67" si="128">IFERROR(CY34/$BR34*$GQ34,"")</f>
        <v>20.893735712313028</v>
      </c>
      <c r="HF34" s="28">
        <f t="shared" ref="HF34:HF67" si="129">IFERROR(DH34/$BR34*$GQ34,"")</f>
        <v>2.674398171176068</v>
      </c>
      <c r="HG34" s="28">
        <f t="shared" ref="HG34:HG67" si="130">IFERROR(CK34/$BR34*$GQ34,"")</f>
        <v>105.13727810435917</v>
      </c>
      <c r="HH34" s="28">
        <f t="shared" ref="HH34:HH67" si="131">IFERROR(CZ34/$BR34*$GQ34,"")</f>
        <v>3.8444473710655971</v>
      </c>
      <c r="HI34" s="28">
        <f t="shared" ref="HI34:HI67" si="132">IFERROR(BT34/$BR34*$GQ34,"")</f>
        <v>2238.1369695029716</v>
      </c>
      <c r="HJ34" s="28">
        <f t="shared" ref="HJ34:HJ67" si="133">IFERROR(DA34/$BR34*$GQ34,"")</f>
        <v>6.8531453136386737</v>
      </c>
      <c r="HK34" s="28">
        <f t="shared" ref="HK34:HK67" si="134">IFERROR(DN34/$BR34*$GQ34,"")</f>
        <v>0</v>
      </c>
      <c r="HL34" s="28">
        <f t="shared" ref="HL34:HL67" si="135">IFERROR(DB34/$BR34*$GQ34,"")</f>
        <v>1.6714988569850424</v>
      </c>
      <c r="HM34" s="28">
        <f t="shared" ref="HM34:HM67" si="136">IFERROR(CJ34/$BR34*$GQ34,"")</f>
        <v>2.674398171176068</v>
      </c>
      <c r="HN34" s="28">
        <f t="shared" ref="HN34:HN67" si="137">IFERROR(DC34/$BR34*$GQ34,"")</f>
        <v>0.3342997713970085</v>
      </c>
      <c r="HO34" s="28" t="str">
        <f t="shared" ref="HO34:HO67" si="138">IFERROR(DD34/$BR34*$GQ34,"")</f>
        <v/>
      </c>
      <c r="HP34" s="28">
        <f t="shared" ref="HP34:HP67" si="139">IFERROR(DE34/$BR34*$GQ34,"")</f>
        <v>0</v>
      </c>
      <c r="HQ34" s="28">
        <f t="shared" ref="HQ34:HQ67" si="140">IFERROR(DF34/$BR34*$GQ34,"")</f>
        <v>0.83574942849252121</v>
      </c>
      <c r="HR34" s="28">
        <f t="shared" ref="HR34:HR67" si="141">IFERROR(DG34/$BR34*$GQ34,"")</f>
        <v>0.16714988569850425</v>
      </c>
      <c r="HT34" s="4">
        <f>IFERROR(GR34/'McDonough &amp; Sun 1995 values'!C$2,)</f>
        <v>198.98795916488598</v>
      </c>
      <c r="HU34" s="4">
        <f>IFERROR(GS34/'McDonough &amp; Sun 1995 values'!D$2,)</f>
        <v>256.29649140437317</v>
      </c>
      <c r="HV34" s="4">
        <f>IFERROR(GT34/'McDonough &amp; Sun 1995 values'!E$2,)</f>
        <v>885.64113679949901</v>
      </c>
      <c r="HW34" s="4">
        <f>IFERROR(GU34/'McDonough &amp; Sun 1995 values'!F$2,)</f>
        <v>649.67691422437485</v>
      </c>
      <c r="HX34" s="4">
        <f>IFERROR(GV34/'McDonough &amp; Sun 1995 values'!G$2,)</f>
        <v>609.31485427040957</v>
      </c>
      <c r="HY34" s="4">
        <f>IFERROR(GW34/'McDonough &amp; Sun 1995 values'!H$2,)</f>
        <v>294.60167354361369</v>
      </c>
      <c r="HZ34" s="4">
        <f>IFERROR(GX34/'McDonough &amp; Sun 1995 values'!I$2,)</f>
        <v>736.36300996908619</v>
      </c>
      <c r="IA34" s="4">
        <f>IFERROR(GY34/'McDonough &amp; Sun 1995 values'!J$2,)</f>
        <v>807.55241130022023</v>
      </c>
      <c r="IB34" s="4">
        <f>IFERROR(GZ34/'McDonough &amp; Sun 1995 values'!K$2,)</f>
        <v>626.81207136939088</v>
      </c>
      <c r="IC34" s="4">
        <f>IFERROR(HA34/'McDonough &amp; Sun 1995 values'!L$2,)</f>
        <v>410.14091356468805</v>
      </c>
      <c r="ID34" s="4">
        <f>IFERROR(HB34/'McDonough &amp; Sun 1995 values'!M$2,)</f>
        <v>342.19661639063861</v>
      </c>
      <c r="IE34" s="4">
        <f>IFERROR(HC34/'McDonough &amp; Sun 1995 values'!N$2,)</f>
        <v>145.22721224759491</v>
      </c>
      <c r="IF34" s="4">
        <f>IFERROR(HD34/'McDonough &amp; Sun 1995 values'!O$2,)</f>
        <v>228.66104363555377</v>
      </c>
      <c r="IG34" s="4">
        <f>IFERROR(HE34/'McDonough &amp; Sun 1995 values'!P$2,)</f>
        <v>51.462403232298094</v>
      </c>
      <c r="IH34" s="4">
        <f>IFERROR(HF34/'McDonough &amp; Sun 1995 values'!Q$2,)</f>
        <v>9.4501702161698518</v>
      </c>
      <c r="II34" s="4">
        <f>IFERROR(HG34/'McDonough &amp; Sun 1995 values'!R$2,)</f>
        <v>10.013074105177063</v>
      </c>
      <c r="IJ34" s="4">
        <f>IFERROR(HH34/'McDonough &amp; Sun 1995 values'!S$2,)</f>
        <v>24.963943967958421</v>
      </c>
      <c r="IK34" s="4">
        <f>IFERROR(HI34/'McDonough &amp; Sun 1995 values'!T$2,)</f>
        <v>1.8573750784257026</v>
      </c>
      <c r="IL34" s="4">
        <f>IFERROR(HJ34/'McDonough &amp; Sun 1995 values'!U$2,)</f>
        <v>12.597693591247561</v>
      </c>
      <c r="IM34" s="4">
        <f>IFERROR(HK34/'McDonough &amp; Sun 1995 values'!V$2,)</f>
        <v>0</v>
      </c>
      <c r="IN34" s="4">
        <f>IFERROR(HL34/'McDonough &amp; Sun 1995 values'!W$2,)</f>
        <v>2.479968630541606</v>
      </c>
      <c r="IO34" s="4">
        <f>IFERROR(HM34/'McDonough &amp; Sun 1995 values'!X$2,)</f>
        <v>0.62195306306420195</v>
      </c>
      <c r="IP34" s="4">
        <f>IFERROR(HN34/'McDonough &amp; Sun 1995 values'!Y$2,)</f>
        <v>2.2436226268255606</v>
      </c>
      <c r="IQ34" s="4">
        <f>IFERROR(HO34/'McDonough &amp; Sun 1995 values'!Z$2,)</f>
        <v>0</v>
      </c>
      <c r="IR34" s="4">
        <f>IFERROR(HP34/'McDonough &amp; Sun 1995 values'!AA$2,)</f>
        <v>0</v>
      </c>
      <c r="IS34" s="4">
        <f>IFERROR(HQ34/'McDonough &amp; Sun 1995 values'!AB$2,)</f>
        <v>1.8951234206179619</v>
      </c>
      <c r="IT34" s="4">
        <f>IFERROR(HR34/'McDonough &amp; Sun 1995 values'!AC$2,)</f>
        <v>2.4762946029408037</v>
      </c>
    </row>
    <row r="35" spans="1:254">
      <c r="A35" s="16" t="s">
        <v>672</v>
      </c>
      <c r="B35" s="16" t="s">
        <v>24</v>
      </c>
      <c r="C35" s="16" t="str">
        <f t="shared" si="0"/>
        <v>high-Mg carbonatitic</v>
      </c>
      <c r="D35" s="16" t="s">
        <v>1723</v>
      </c>
      <c r="E35" s="16" t="s">
        <v>237</v>
      </c>
      <c r="F35" s="16" t="s">
        <v>29</v>
      </c>
      <c r="G35" s="16" t="s">
        <v>595</v>
      </c>
      <c r="H35" s="27">
        <v>360</v>
      </c>
      <c r="I35" s="16" t="s">
        <v>735</v>
      </c>
      <c r="J35" s="16" t="s">
        <v>1496</v>
      </c>
      <c r="K35" s="16">
        <v>0</v>
      </c>
      <c r="L35" s="16">
        <v>0</v>
      </c>
      <c r="M35" s="16" t="s">
        <v>36</v>
      </c>
      <c r="N35" s="16">
        <v>24</v>
      </c>
      <c r="O35" s="26">
        <v>9.4600000000000009</v>
      </c>
      <c r="P35" s="26">
        <v>0.54</v>
      </c>
      <c r="Q35" s="26">
        <v>0.72</v>
      </c>
      <c r="R35" s="26">
        <v>7.71</v>
      </c>
      <c r="S35" s="26">
        <v>15.34</v>
      </c>
      <c r="T35" s="26">
        <v>23.81</v>
      </c>
      <c r="U35" s="26">
        <v>0.47</v>
      </c>
      <c r="V35" s="26">
        <v>25.89</v>
      </c>
      <c r="W35" s="26">
        <v>3.39</v>
      </c>
      <c r="X35" s="26">
        <v>7.84</v>
      </c>
      <c r="Y35" s="26"/>
      <c r="Z35" s="26">
        <v>1.84</v>
      </c>
      <c r="AA35" s="26"/>
      <c r="AB35" s="26"/>
      <c r="AC35" s="26"/>
      <c r="AD35" s="26">
        <v>2.08</v>
      </c>
      <c r="AE35" s="26"/>
      <c r="AF35" s="26">
        <v>0.91</v>
      </c>
      <c r="AG35" s="26"/>
      <c r="AH35" s="26"/>
      <c r="AI35" s="26"/>
      <c r="AJ35" s="26">
        <f t="shared" si="62"/>
        <v>97.9</v>
      </c>
      <c r="AK35" s="26">
        <f t="shared" si="73"/>
        <v>9.7094746106954002</v>
      </c>
      <c r="AL35" s="26">
        <f t="shared" si="74"/>
        <v>0.55424062259783458</v>
      </c>
      <c r="AM35" s="26">
        <f t="shared" si="75"/>
        <v>7.9133244448690823</v>
      </c>
      <c r="AN35" s="26">
        <f t="shared" si="76"/>
        <v>15.744539167871817</v>
      </c>
      <c r="AO35" s="26">
        <f t="shared" si="77"/>
        <v>24.437905970471185</v>
      </c>
      <c r="AP35" s="26">
        <f t="shared" si="78"/>
        <v>26.572758738996182</v>
      </c>
      <c r="AQ35" s="26">
        <f t="shared" si="79"/>
        <v>0</v>
      </c>
      <c r="AR35" s="26">
        <f t="shared" si="80"/>
        <v>3.4793994640864057</v>
      </c>
      <c r="AS35" s="26">
        <f t="shared" si="81"/>
        <v>8.0467527429018944</v>
      </c>
      <c r="AT35" s="26">
        <f t="shared" si="82"/>
        <v>1.8885236029259549</v>
      </c>
      <c r="AU35" s="26">
        <f t="shared" si="83"/>
        <v>2.1348527685249925</v>
      </c>
      <c r="AV35" s="26">
        <f t="shared" si="7"/>
        <v>100.48177213394075</v>
      </c>
      <c r="AW35" s="16"/>
      <c r="AX35" s="16"/>
      <c r="AY35" s="16"/>
      <c r="AZ35" s="16"/>
      <c r="BA35" s="26"/>
      <c r="BB35" s="26">
        <v>0.03</v>
      </c>
      <c r="BC35" s="26">
        <f t="shared" si="84"/>
        <v>3.0000000000000027E-2</v>
      </c>
      <c r="BD35" s="26">
        <f t="shared" si="85"/>
        <v>0.97</v>
      </c>
      <c r="BE35" s="16"/>
      <c r="BF35" s="16"/>
      <c r="BG35" s="16">
        <v>156</v>
      </c>
      <c r="BH35" s="16"/>
      <c r="BI35" s="16"/>
      <c r="BJ35" s="16"/>
      <c r="BK35" s="18"/>
      <c r="BL35" s="18"/>
      <c r="BM35" s="18"/>
      <c r="BN35" s="18">
        <v>55</v>
      </c>
      <c r="BO35" s="18">
        <v>124</v>
      </c>
      <c r="BP35" s="18">
        <v>10</v>
      </c>
      <c r="BQ35" s="18"/>
      <c r="BR35" s="18">
        <v>144</v>
      </c>
      <c r="BS35" s="18">
        <v>188</v>
      </c>
      <c r="BT35" s="18">
        <v>1.84</v>
      </c>
      <c r="BU35" s="18"/>
      <c r="BV35" s="18">
        <v>1.68</v>
      </c>
      <c r="BW35" s="18">
        <v>52</v>
      </c>
      <c r="BX35" s="18">
        <v>0.58899999999999997</v>
      </c>
      <c r="BY35" s="18">
        <v>0.88600000000000001</v>
      </c>
      <c r="BZ35" s="18"/>
      <c r="CA35" s="18">
        <v>6.6000000000000003E-2</v>
      </c>
      <c r="CB35" s="18">
        <v>4.2000000000000003E-2</v>
      </c>
      <c r="CC35" s="18"/>
      <c r="CD35" s="18"/>
      <c r="CE35" s="18"/>
      <c r="CF35" s="18"/>
      <c r="CG35" s="18"/>
      <c r="CH35" s="18">
        <v>0.31</v>
      </c>
      <c r="CI35" s="18">
        <v>6.49</v>
      </c>
      <c r="CJ35" s="18">
        <v>0.01</v>
      </c>
      <c r="CK35" s="18">
        <v>0.32500000000000001</v>
      </c>
      <c r="CL35" s="18"/>
      <c r="CM35" s="18">
        <v>0.89400000000000002</v>
      </c>
      <c r="CN35" s="18"/>
      <c r="CO35" s="18"/>
      <c r="CP35" s="18"/>
      <c r="CQ35" s="18"/>
      <c r="CR35" s="18">
        <v>1.0999999999999999E-2</v>
      </c>
      <c r="CS35" s="18">
        <v>12.78</v>
      </c>
      <c r="CT35" s="18">
        <v>0.217</v>
      </c>
      <c r="CU35" s="18">
        <v>0.746</v>
      </c>
      <c r="CV35" s="18">
        <v>1.286</v>
      </c>
      <c r="CW35" s="18">
        <v>0.151</v>
      </c>
      <c r="CX35" s="18">
        <v>0.44400000000000001</v>
      </c>
      <c r="CY35" s="18">
        <v>3.4000000000000002E-2</v>
      </c>
      <c r="CZ35" s="18">
        <v>5.0000000000000001E-3</v>
      </c>
      <c r="DA35" s="18">
        <v>4.0000000000000001E-3</v>
      </c>
      <c r="DB35" s="18">
        <v>3.0000000000000001E-3</v>
      </c>
      <c r="DC35" s="18">
        <v>1E-3</v>
      </c>
      <c r="DD35" s="18">
        <v>1E-3</v>
      </c>
      <c r="DE35" s="18"/>
      <c r="DF35" s="18" t="s">
        <v>1366</v>
      </c>
      <c r="DG35" s="18">
        <v>1E-3</v>
      </c>
      <c r="DH35" s="18">
        <v>1.0999999999999999E-2</v>
      </c>
      <c r="DI35" s="18">
        <v>4.2999999999999997E-2</v>
      </c>
      <c r="DJ35" s="18"/>
      <c r="DK35" s="18">
        <v>0.14299999999999999</v>
      </c>
      <c r="DL35" s="18">
        <v>6.6000000000000003E-2</v>
      </c>
      <c r="DM35" s="18">
        <v>1.7000000000000001E-2</v>
      </c>
      <c r="DN35" s="18"/>
      <c r="DO35" s="18"/>
      <c r="DP35" s="18"/>
      <c r="DQ35" s="18"/>
      <c r="DR35" s="18"/>
      <c r="DS35" s="18"/>
      <c r="DT35" s="18"/>
      <c r="DU35" s="18"/>
      <c r="DV35" s="28"/>
      <c r="DW35" s="28"/>
      <c r="DX35" s="28"/>
      <c r="DY35" s="28"/>
      <c r="DZ35" s="28"/>
      <c r="EA35" s="28"/>
      <c r="EB35" s="28"/>
      <c r="EC35" s="28"/>
      <c r="ED35" s="28"/>
      <c r="EE35" s="28"/>
      <c r="EF35" s="28"/>
      <c r="EG35" s="28"/>
      <c r="EH35" s="28"/>
      <c r="EI35" s="28"/>
      <c r="EJ35" s="18"/>
      <c r="EK35" s="18"/>
      <c r="EL35" s="18">
        <f>IFERROR(CR35/'McDonough &amp; Sun 1995 values'!C$2,)</f>
        <v>0.52380952380952372</v>
      </c>
      <c r="EM35" s="18">
        <f>IFERROR(CH35/'McDonough &amp; Sun 1995 values'!D$2,)</f>
        <v>0.51666666666666672</v>
      </c>
      <c r="EN35" s="18">
        <f>IFERROR(CS35/'McDonough &amp; Sun 1995 values'!E$2,)</f>
        <v>1.9363636363636363</v>
      </c>
      <c r="EO35" s="18">
        <f>IFERROR(DL35/'McDonough &amp; Sun 1995 values'!F$2,)</f>
        <v>0.83018867924528306</v>
      </c>
      <c r="EP35" s="18">
        <f>IFERROR(DM35/'McDonough &amp; Sun 1995 values'!G$2,)</f>
        <v>0.83743842364532028</v>
      </c>
      <c r="EQ35" s="18">
        <f>IFERROR(BR35/'McDonough &amp; Sun 1995 values'!H$2,)</f>
        <v>0.6</v>
      </c>
      <c r="ER35" s="18">
        <f>IFERROR(DI35/'McDonough &amp; Sun 1995 values'!I$2,)</f>
        <v>1.1621621621621621</v>
      </c>
      <c r="ES35" s="18">
        <f>IFERROR(CM35/'McDonough &amp; Sun 1995 values'!J$2,)</f>
        <v>1.3586626139817628</v>
      </c>
      <c r="ET35" s="18">
        <f>IFERROR(CU35/'McDonough &amp; Sun 1995 values'!K$2,)</f>
        <v>1.1512345679012346</v>
      </c>
      <c r="EU35" s="18">
        <f>IFERROR(CV35/'McDonough &amp; Sun 1995 values'!L$2,)</f>
        <v>0.76776119402985077</v>
      </c>
      <c r="EV35" s="18">
        <f>IFERROR(CW35/'McDonough &amp; Sun 1995 values'!M$2,)</f>
        <v>0.5944881889763779</v>
      </c>
      <c r="EW35" s="18">
        <f>IFERROR(CI35/'McDonough &amp; Sun 1995 values'!N$2,)</f>
        <v>0.32613065326633167</v>
      </c>
      <c r="EX35" s="18">
        <f>IFERROR(CX35/'McDonough &amp; Sun 1995 values'!O$2,)</f>
        <v>0.35520000000000002</v>
      </c>
      <c r="EY35" s="18">
        <f>IFERROR(CY35/'McDonough &amp; Sun 1995 values'!P$2,)</f>
        <v>8.3743842364532015E-2</v>
      </c>
      <c r="EZ35" s="18">
        <f>IFERROR(DH35/'McDonough &amp; Sun 1995 values'!Q$2,)</f>
        <v>3.8869257950530034E-2</v>
      </c>
      <c r="FA35" s="18">
        <f>IFERROR(CK35/'McDonough &amp; Sun 1995 values'!R$2,)</f>
        <v>3.0952380952380953E-2</v>
      </c>
      <c r="FB35" s="18">
        <f>IFERROR(CZ35/'McDonough &amp; Sun 1995 values'!S$2,)</f>
        <v>3.2467532467532471E-2</v>
      </c>
      <c r="FC35" s="18">
        <f>IFERROR(BT35/'McDonough &amp; Sun 1995 values'!T$2,)</f>
        <v>1.5269709543568465E-3</v>
      </c>
      <c r="FD35" s="18">
        <f>IFERROR(DA35/'McDonough &amp; Sun 1995 values'!U$2,)</f>
        <v>7.3529411764705881E-3</v>
      </c>
      <c r="FE35" s="18">
        <f>IFERROR(DN35/'McDonough &amp; Sun 1995 values'!V$2,)</f>
        <v>0</v>
      </c>
      <c r="FF35" s="18">
        <f>IFERROR(DB35/'McDonough &amp; Sun 1995 values'!W$2,)</f>
        <v>4.4510385756676559E-3</v>
      </c>
      <c r="FG35" s="18">
        <f>IFERROR(CJ35/'McDonough &amp; Sun 1995 values'!X$2,)</f>
        <v>2.3255813953488372E-3</v>
      </c>
      <c r="FH35" s="18">
        <f>IFERROR(DC35/'McDonough &amp; Sun 1995 values'!Y$2,)</f>
        <v>6.7114093959731551E-3</v>
      </c>
      <c r="FI35" s="18">
        <f>IFERROR(DD35/'McDonough &amp; Sun 1995 values'!Z$2,)</f>
        <v>2.2831050228310501E-3</v>
      </c>
      <c r="FJ35" s="18">
        <f>IFERROR(DE35/'McDonough &amp; Sun 1995 values'!AA$2,)</f>
        <v>0</v>
      </c>
      <c r="FK35" s="18">
        <f>IFERROR(DF35/'McDonough &amp; Sun 1995 values'!AB$2,)</f>
        <v>0</v>
      </c>
      <c r="FL35" s="18">
        <f>IFERROR(DG35/'McDonough &amp; Sun 1995 values'!AC$2,)</f>
        <v>1.4814814814814814E-2</v>
      </c>
      <c r="FN35" s="28">
        <f t="shared" si="68"/>
        <v>1.395730706075534</v>
      </c>
      <c r="FO35" s="4">
        <f t="shared" si="86"/>
        <v>2.3122459893048126</v>
      </c>
      <c r="FP35" s="4">
        <f t="shared" si="87"/>
        <v>0.61103372588746785</v>
      </c>
      <c r="FQ35" s="4">
        <f t="shared" si="88"/>
        <v>0.99134295227524971</v>
      </c>
      <c r="FR35" s="4">
        <f t="shared" si="89"/>
        <v>0.84732924572596469</v>
      </c>
      <c r="FS35" s="4">
        <f t="shared" si="90"/>
        <v>0.99059718633362048</v>
      </c>
      <c r="FT35" s="4">
        <f t="shared" si="91"/>
        <v>0.98636363636363666</v>
      </c>
      <c r="FU35" s="4">
        <f t="shared" si="92"/>
        <v>0.85537215067416406</v>
      </c>
      <c r="FV35" s="4">
        <f t="shared" si="93"/>
        <v>0.36960784313725492</v>
      </c>
      <c r="FW35" s="4">
        <f t="shared" si="94"/>
        <v>0.79632034632034643</v>
      </c>
      <c r="FX35" s="4">
        <f t="shared" si="95"/>
        <v>0.71281402494126167</v>
      </c>
      <c r="FY35" s="4">
        <f t="shared" si="96"/>
        <v>0.70971425196279803</v>
      </c>
      <c r="FZ35" s="4">
        <f t="shared" si="97"/>
        <v>1.3084053038707719</v>
      </c>
      <c r="GA35" s="4">
        <f t="shared" si="98"/>
        <v>0.54859063529568375</v>
      </c>
      <c r="GB35" s="4">
        <f t="shared" si="99"/>
        <v>0.38770053475935834</v>
      </c>
      <c r="GC35" s="4">
        <f t="shared" si="100"/>
        <v>1.0138248847926266</v>
      </c>
      <c r="GD35" s="4">
        <f t="shared" si="101"/>
        <v>2.3324380165289256</v>
      </c>
      <c r="GE35" s="4">
        <f t="shared" si="102"/>
        <v>3.7478005865102633</v>
      </c>
      <c r="GF35" s="4">
        <f t="shared" si="103"/>
        <v>3.2272727272727271</v>
      </c>
      <c r="GG35" s="4">
        <f t="shared" si="104"/>
        <v>1.4251982916412447</v>
      </c>
      <c r="GH35" s="4">
        <f t="shared" si="105"/>
        <v>1.9365137764696265</v>
      </c>
      <c r="GI35" s="4">
        <f t="shared" si="106"/>
        <v>13.747095134350037</v>
      </c>
      <c r="GJ35" s="4">
        <f t="shared" si="107"/>
        <v>258.64403292181072</v>
      </c>
      <c r="GK35" s="4">
        <f t="shared" si="108"/>
        <v>0</v>
      </c>
      <c r="GL35" s="4">
        <f t="shared" si="109"/>
        <v>20.270445134575571</v>
      </c>
      <c r="GM35" s="4">
        <f t="shared" si="110"/>
        <v>1.6068167985392574</v>
      </c>
      <c r="GN35" s="4">
        <f t="shared" si="111"/>
        <v>1.1801787853353649</v>
      </c>
      <c r="GO35" s="4">
        <f t="shared" si="112"/>
        <v>1.622403003754693</v>
      </c>
      <c r="GP35" s="4">
        <f t="shared" si="113"/>
        <v>0.71647058823529397</v>
      </c>
      <c r="GQ35" s="27">
        <f t="shared" si="114"/>
        <v>66799.096336619798</v>
      </c>
      <c r="GR35" s="28">
        <f t="shared" si="115"/>
        <v>5.1027087479362345</v>
      </c>
      <c r="GS35" s="28">
        <f t="shared" si="116"/>
        <v>143.80361016911206</v>
      </c>
      <c r="GT35" s="28">
        <f t="shared" si="117"/>
        <v>5928.4197998750069</v>
      </c>
      <c r="GU35" s="28">
        <f t="shared" si="118"/>
        <v>30.616252487617409</v>
      </c>
      <c r="GV35" s="28">
        <f t="shared" si="119"/>
        <v>7.8860044286287261</v>
      </c>
      <c r="GW35" s="28">
        <f t="shared" si="120"/>
        <v>66799.096336619798</v>
      </c>
      <c r="GX35" s="28">
        <f t="shared" si="121"/>
        <v>19.946952378296189</v>
      </c>
      <c r="GY35" s="28">
        <f t="shared" si="122"/>
        <v>414.71105642318122</v>
      </c>
      <c r="GZ35" s="28">
        <f t="shared" si="123"/>
        <v>346.05642963276642</v>
      </c>
      <c r="HA35" s="28">
        <f t="shared" si="124"/>
        <v>596.5530408950907</v>
      </c>
      <c r="HB35" s="28">
        <f t="shared" si="125"/>
        <v>70.046274630761033</v>
      </c>
      <c r="HC35" s="28">
        <f t="shared" si="126"/>
        <v>3010.5981612823784</v>
      </c>
      <c r="HD35" s="28">
        <f t="shared" si="127"/>
        <v>205.96388037124439</v>
      </c>
      <c r="HE35" s="28">
        <f t="shared" si="128"/>
        <v>15.772008857257452</v>
      </c>
      <c r="HF35" s="28">
        <f t="shared" si="129"/>
        <v>5.1027087479362345</v>
      </c>
      <c r="HG35" s="28">
        <f t="shared" si="130"/>
        <v>150.76184937084329</v>
      </c>
      <c r="HH35" s="28">
        <f t="shared" si="131"/>
        <v>2.319413067243743</v>
      </c>
      <c r="HI35" s="28">
        <f t="shared" si="132"/>
        <v>853.54400874569751</v>
      </c>
      <c r="HJ35" s="28">
        <f t="shared" si="133"/>
        <v>1.8555304537949944</v>
      </c>
      <c r="HK35" s="28">
        <f t="shared" si="134"/>
        <v>0</v>
      </c>
      <c r="HL35" s="28">
        <f t="shared" si="135"/>
        <v>1.3916478403462458</v>
      </c>
      <c r="HM35" s="28">
        <f t="shared" si="136"/>
        <v>4.6388261344874859</v>
      </c>
      <c r="HN35" s="28">
        <f t="shared" si="137"/>
        <v>0.46388261344874859</v>
      </c>
      <c r="HO35" s="28">
        <f t="shared" si="138"/>
        <v>0.46388261344874859</v>
      </c>
      <c r="HP35" s="28">
        <f t="shared" si="139"/>
        <v>0</v>
      </c>
      <c r="HQ35" s="28" t="str">
        <f t="shared" si="140"/>
        <v/>
      </c>
      <c r="HR35" s="28">
        <f t="shared" si="141"/>
        <v>0.46388261344874859</v>
      </c>
      <c r="HT35" s="4">
        <f>IFERROR(GR35/'McDonough &amp; Sun 1995 values'!C$2,)</f>
        <v>242.98613085410639</v>
      </c>
      <c r="HU35" s="4">
        <f>IFERROR(GS35/'McDonough &amp; Sun 1995 values'!D$2,)</f>
        <v>239.67268361518677</v>
      </c>
      <c r="HV35" s="4">
        <f>IFERROR(GT35/'McDonough &amp; Sun 1995 values'!E$2,)</f>
        <v>898.245424223486</v>
      </c>
      <c r="HW35" s="4">
        <f>IFERROR(GU35/'McDonough &amp; Sun 1995 values'!F$2,)</f>
        <v>385.11009418386675</v>
      </c>
      <c r="HX35" s="4">
        <f>IFERROR(GV35/'McDonough &amp; Sun 1995 values'!G$2,)</f>
        <v>388.47312456299147</v>
      </c>
      <c r="HY35" s="4">
        <f>IFERROR(GW35/'McDonough &amp; Sun 1995 values'!H$2,)</f>
        <v>278.32956806924915</v>
      </c>
      <c r="HZ35" s="4">
        <f>IFERROR(GX35/'McDonough &amp; Sun 1995 values'!I$2,)</f>
        <v>539.10682103503211</v>
      </c>
      <c r="IA35" s="4">
        <f>IFERROR(GY35/'McDonough &amp; Sun 1995 values'!J$2,)</f>
        <v>630.25996416896839</v>
      </c>
      <c r="IB35" s="4">
        <f>IFERROR(GZ35/'McDonough &amp; Sun 1995 values'!K$2,)</f>
        <v>534.03770005056549</v>
      </c>
      <c r="IC35" s="4">
        <f>IFERROR(HA35/'McDonough &amp; Sun 1995 values'!L$2,)</f>
        <v>356.15106919109894</v>
      </c>
      <c r="ID35" s="4">
        <f>IFERROR(HB35/'McDonough &amp; Sun 1995 values'!M$2,)</f>
        <v>275.77273476677573</v>
      </c>
      <c r="IE35" s="4">
        <f>IFERROR(HC35/'McDonough &amp; Sun 1995 values'!N$2,)</f>
        <v>151.28633976293361</v>
      </c>
      <c r="IF35" s="4">
        <f>IFERROR(HD35/'McDonough &amp; Sun 1995 values'!O$2,)</f>
        <v>164.7711042969955</v>
      </c>
      <c r="IG35" s="4">
        <f>IFERROR(HE35/'McDonough &amp; Sun 1995 values'!P$2,)</f>
        <v>38.847312456299143</v>
      </c>
      <c r="IH35" s="4">
        <f>IFERROR(HF35/'McDonough &amp; Sun 1995 values'!Q$2,)</f>
        <v>18.030772960905423</v>
      </c>
      <c r="II35" s="4">
        <f>IFERROR(HG35/'McDonough &amp; Sun 1995 values'!R$2,)</f>
        <v>14.358271368651742</v>
      </c>
      <c r="IJ35" s="4">
        <f>IFERROR(HH35/'McDonough &amp; Sun 1995 values'!S$2,)</f>
        <v>15.061123813271058</v>
      </c>
      <c r="IK35" s="4">
        <f>IFERROR(HI35/'McDonough &amp; Sun 1995 values'!T$2,)</f>
        <v>0.70833527696738385</v>
      </c>
      <c r="IL35" s="4">
        <f>IFERROR(HJ35/'McDonough &amp; Sun 1995 values'!U$2,)</f>
        <v>3.4109015694760925</v>
      </c>
      <c r="IM35" s="4">
        <f>IFERROR(HK35/'McDonough &amp; Sun 1995 values'!V$2,)</f>
        <v>0</v>
      </c>
      <c r="IN35" s="4">
        <f>IFERROR(HL35/'McDonough &amp; Sun 1995 values'!W$2,)</f>
        <v>2.0647594070419077</v>
      </c>
      <c r="IO35" s="4">
        <f>IFERROR(HM35/'McDonough &amp; Sun 1995 values'!X$2,)</f>
        <v>1.0787967754622061</v>
      </c>
      <c r="IP35" s="4">
        <f>IFERROR(HN35/'McDonough &amp; Sun 1995 values'!Y$2,)</f>
        <v>3.1133061305285143</v>
      </c>
      <c r="IQ35" s="4">
        <f>IFERROR(HO35/'McDonough &amp; Sun 1995 values'!Z$2,)</f>
        <v>1.0590927247688324</v>
      </c>
      <c r="IR35" s="4">
        <f>IFERROR(HP35/'McDonough &amp; Sun 1995 values'!AA$2,)</f>
        <v>0</v>
      </c>
      <c r="IS35" s="4">
        <f>IFERROR(HQ35/'McDonough &amp; Sun 1995 values'!AB$2,)</f>
        <v>0</v>
      </c>
      <c r="IT35" s="4">
        <f>IFERROR(HR35/'McDonough &amp; Sun 1995 values'!AC$2,)</f>
        <v>6.8723350140555342</v>
      </c>
    </row>
    <row r="36" spans="1:254">
      <c r="A36" s="16" t="s">
        <v>672</v>
      </c>
      <c r="B36" s="16" t="s">
        <v>24</v>
      </c>
      <c r="C36" s="16" t="str">
        <f t="shared" si="0"/>
        <v>high-Mg carbonatitic</v>
      </c>
      <c r="D36" s="16" t="s">
        <v>1723</v>
      </c>
      <c r="E36" s="16" t="s">
        <v>237</v>
      </c>
      <c r="F36" s="16" t="s">
        <v>29</v>
      </c>
      <c r="G36" s="16" t="s">
        <v>595</v>
      </c>
      <c r="H36" s="27">
        <v>360</v>
      </c>
      <c r="I36" s="16" t="s">
        <v>735</v>
      </c>
      <c r="J36" s="16" t="s">
        <v>1496</v>
      </c>
      <c r="K36" s="16">
        <v>0</v>
      </c>
      <c r="L36" s="16">
        <v>0</v>
      </c>
      <c r="M36" s="16" t="s">
        <v>37</v>
      </c>
      <c r="N36" s="16">
        <v>26</v>
      </c>
      <c r="O36" s="26">
        <v>7.23</v>
      </c>
      <c r="P36" s="26">
        <v>0.53</v>
      </c>
      <c r="Q36" s="26">
        <v>0.73</v>
      </c>
      <c r="R36" s="26">
        <v>4.51</v>
      </c>
      <c r="S36" s="26">
        <v>19.98</v>
      </c>
      <c r="T36" s="26">
        <v>22.64</v>
      </c>
      <c r="U36" s="26">
        <v>0.67</v>
      </c>
      <c r="V36" s="26">
        <v>23.44</v>
      </c>
      <c r="W36" s="26">
        <v>5.99</v>
      </c>
      <c r="X36" s="26">
        <v>10.18</v>
      </c>
      <c r="Y36" s="26"/>
      <c r="Z36" s="26">
        <v>0.72</v>
      </c>
      <c r="AA36" s="26"/>
      <c r="AB36" s="26"/>
      <c r="AC36" s="26"/>
      <c r="AD36" s="26">
        <v>2.56</v>
      </c>
      <c r="AE36" s="26"/>
      <c r="AF36" s="26">
        <v>0.82</v>
      </c>
      <c r="AG36" s="26"/>
      <c r="AH36" s="26"/>
      <c r="AI36" s="26"/>
      <c r="AJ36" s="26">
        <f t="shared" si="62"/>
        <v>97.78</v>
      </c>
      <c r="AK36" s="26">
        <f t="shared" si="73"/>
        <v>7.4380967554611805</v>
      </c>
      <c r="AL36" s="26">
        <f t="shared" si="74"/>
        <v>0.54525467225372415</v>
      </c>
      <c r="AM36" s="26">
        <f t="shared" si="75"/>
        <v>4.6398086261590485</v>
      </c>
      <c r="AN36" s="26">
        <f t="shared" si="76"/>
        <v>20.555072361564921</v>
      </c>
      <c r="AO36" s="26">
        <f t="shared" si="77"/>
        <v>23.291633546838327</v>
      </c>
      <c r="AP36" s="26">
        <f t="shared" si="78"/>
        <v>24.114659467221308</v>
      </c>
      <c r="AQ36" s="26">
        <f t="shared" si="79"/>
        <v>0</v>
      </c>
      <c r="AR36" s="26">
        <f t="shared" si="80"/>
        <v>6.1624065788675617</v>
      </c>
      <c r="AS36" s="26">
        <f t="shared" si="81"/>
        <v>10.473004836873418</v>
      </c>
      <c r="AT36" s="26">
        <f t="shared" si="82"/>
        <v>0.7407233283446818</v>
      </c>
      <c r="AU36" s="26">
        <f t="shared" si="83"/>
        <v>2.6336829452255355</v>
      </c>
      <c r="AV36" s="26">
        <f t="shared" si="7"/>
        <v>100.5943431188097</v>
      </c>
      <c r="AW36" s="16"/>
      <c r="AX36" s="16"/>
      <c r="AY36" s="16"/>
      <c r="AZ36" s="16"/>
      <c r="BA36" s="26"/>
      <c r="BB36" s="26">
        <v>0.04</v>
      </c>
      <c r="BC36" s="26">
        <f t="shared" si="84"/>
        <v>4.0000000000000036E-2</v>
      </c>
      <c r="BD36" s="26">
        <f t="shared" si="85"/>
        <v>0.96</v>
      </c>
      <c r="BE36" s="16">
        <v>-6.2</v>
      </c>
      <c r="BF36" s="16"/>
      <c r="BG36" s="16">
        <v>585</v>
      </c>
      <c r="BH36" s="16">
        <v>11</v>
      </c>
      <c r="BI36" s="16"/>
      <c r="BJ36" s="16"/>
      <c r="BK36" s="18"/>
      <c r="BL36" s="18"/>
      <c r="BM36" s="18"/>
      <c r="BN36" s="18">
        <v>159</v>
      </c>
      <c r="BO36" s="18">
        <v>368</v>
      </c>
      <c r="BP36" s="18">
        <v>17</v>
      </c>
      <c r="BQ36" s="18"/>
      <c r="BR36" s="18">
        <v>420</v>
      </c>
      <c r="BS36" s="18">
        <v>562</v>
      </c>
      <c r="BT36" s="18">
        <v>2.67</v>
      </c>
      <c r="BU36" s="18"/>
      <c r="BV36" s="18">
        <v>5.09</v>
      </c>
      <c r="BW36" s="18">
        <v>141</v>
      </c>
      <c r="BX36" s="18">
        <v>1.0920000000000001</v>
      </c>
      <c r="BY36" s="18">
        <v>1.1399999999999999</v>
      </c>
      <c r="BZ36" s="18"/>
      <c r="CA36" s="18">
        <v>0.16600000000000001</v>
      </c>
      <c r="CB36" s="18">
        <v>7.4999999999999997E-2</v>
      </c>
      <c r="CC36" s="18"/>
      <c r="CD36" s="18"/>
      <c r="CE36" s="18"/>
      <c r="CF36" s="18"/>
      <c r="CG36" s="18"/>
      <c r="CH36" s="18">
        <v>0.85</v>
      </c>
      <c r="CI36" s="18">
        <v>15.97</v>
      </c>
      <c r="CJ36" s="18">
        <v>1.4999999999999999E-2</v>
      </c>
      <c r="CK36" s="18">
        <v>0.26600000000000001</v>
      </c>
      <c r="CL36" s="18"/>
      <c r="CM36" s="18">
        <v>2.6789999999999998</v>
      </c>
      <c r="CN36" s="18"/>
      <c r="CO36" s="18"/>
      <c r="CP36" s="18"/>
      <c r="CQ36" s="18"/>
      <c r="CR36" s="18">
        <v>4.7E-2</v>
      </c>
      <c r="CS36" s="18">
        <v>30.19</v>
      </c>
      <c r="CT36" s="18">
        <v>0.51900000000000002</v>
      </c>
      <c r="CU36" s="18">
        <v>2.13</v>
      </c>
      <c r="CV36" s="18">
        <v>3.62</v>
      </c>
      <c r="CW36" s="18">
        <v>0.44800000000000001</v>
      </c>
      <c r="CX36" s="18">
        <v>1.52</v>
      </c>
      <c r="CY36" s="18">
        <v>9.4E-2</v>
      </c>
      <c r="CZ36" s="18">
        <v>1.4E-2</v>
      </c>
      <c r="DA36" s="18">
        <v>2.5999999999999999E-2</v>
      </c>
      <c r="DB36" s="18">
        <v>3.0000000000000001E-3</v>
      </c>
      <c r="DC36" s="18">
        <v>1E-3</v>
      </c>
      <c r="DD36" s="18">
        <v>2E-3</v>
      </c>
      <c r="DE36" s="18"/>
      <c r="DF36" s="18" t="s">
        <v>1366</v>
      </c>
      <c r="DG36" s="18">
        <v>1E-3</v>
      </c>
      <c r="DH36" s="18">
        <v>0.01</v>
      </c>
      <c r="DI36" s="18">
        <v>0.13200000000000001</v>
      </c>
      <c r="DJ36" s="18"/>
      <c r="DK36" s="18">
        <v>0.26</v>
      </c>
      <c r="DL36" s="18">
        <v>0.251</v>
      </c>
      <c r="DM36" s="18">
        <v>5.3999999999999999E-2</v>
      </c>
      <c r="DN36" s="18"/>
      <c r="DO36" s="18"/>
      <c r="DP36" s="18"/>
      <c r="DQ36" s="18"/>
      <c r="DR36" s="18"/>
      <c r="DS36" s="18"/>
      <c r="DT36" s="18"/>
      <c r="DU36" s="18"/>
      <c r="DV36" s="28"/>
      <c r="DW36" s="28"/>
      <c r="DX36" s="28"/>
      <c r="DY36" s="28"/>
      <c r="DZ36" s="28"/>
      <c r="EA36" s="28"/>
      <c r="EB36" s="28"/>
      <c r="EC36" s="28"/>
      <c r="ED36" s="28"/>
      <c r="EE36" s="28"/>
      <c r="EF36" s="28"/>
      <c r="EG36" s="28"/>
      <c r="EH36" s="28"/>
      <c r="EI36" s="28"/>
      <c r="EJ36" s="18"/>
      <c r="EK36" s="18"/>
      <c r="EL36" s="18">
        <f>IFERROR(CR36/'McDonough &amp; Sun 1995 values'!C$2,)</f>
        <v>2.2380952380952381</v>
      </c>
      <c r="EM36" s="18">
        <f>IFERROR(CH36/'McDonough &amp; Sun 1995 values'!D$2,)</f>
        <v>1.4166666666666667</v>
      </c>
      <c r="EN36" s="18">
        <f>IFERROR(CS36/'McDonough &amp; Sun 1995 values'!E$2,)</f>
        <v>4.5742424242424251</v>
      </c>
      <c r="EO36" s="18">
        <f>IFERROR(DL36/'McDonough &amp; Sun 1995 values'!F$2,)</f>
        <v>3.1572327044025155</v>
      </c>
      <c r="EP36" s="18">
        <f>IFERROR(DM36/'McDonough &amp; Sun 1995 values'!G$2,)</f>
        <v>2.660098522167488</v>
      </c>
      <c r="EQ36" s="18">
        <f>IFERROR(BR36/'McDonough &amp; Sun 1995 values'!H$2,)</f>
        <v>1.75</v>
      </c>
      <c r="ER36" s="18">
        <f>IFERROR(DI36/'McDonough &amp; Sun 1995 values'!I$2,)</f>
        <v>3.567567567567568</v>
      </c>
      <c r="ES36" s="18">
        <f>IFERROR(CM36/'McDonough &amp; Sun 1995 values'!J$2,)</f>
        <v>4.0714285714285712</v>
      </c>
      <c r="ET36" s="18">
        <f>IFERROR(CU36/'McDonough &amp; Sun 1995 values'!K$2,)</f>
        <v>3.2870370370370368</v>
      </c>
      <c r="EU36" s="18">
        <f>IFERROR(CV36/'McDonough &amp; Sun 1995 values'!L$2,)</f>
        <v>2.1611940298507464</v>
      </c>
      <c r="EV36" s="18">
        <f>IFERROR(CW36/'McDonough &amp; Sun 1995 values'!M$2,)</f>
        <v>1.7637795275590551</v>
      </c>
      <c r="EW36" s="18">
        <f>IFERROR(CI36/'McDonough &amp; Sun 1995 values'!N$2,)</f>
        <v>0.80251256281407046</v>
      </c>
      <c r="EX36" s="18">
        <f>IFERROR(CX36/'McDonough &amp; Sun 1995 values'!O$2,)</f>
        <v>1.216</v>
      </c>
      <c r="EY36" s="18">
        <f>IFERROR(CY36/'McDonough &amp; Sun 1995 values'!P$2,)</f>
        <v>0.23152709359605911</v>
      </c>
      <c r="EZ36" s="18">
        <f>IFERROR(DH36/'McDonough &amp; Sun 1995 values'!Q$2,)</f>
        <v>3.5335689045936397E-2</v>
      </c>
      <c r="FA36" s="18">
        <f>IFERROR(CK36/'McDonough &amp; Sun 1995 values'!R$2,)</f>
        <v>2.5333333333333336E-2</v>
      </c>
      <c r="FB36" s="18">
        <f>IFERROR(CZ36/'McDonough &amp; Sun 1995 values'!S$2,)</f>
        <v>9.0909090909090912E-2</v>
      </c>
      <c r="FC36" s="18">
        <f>IFERROR(BT36/'McDonough &amp; Sun 1995 values'!T$2,)</f>
        <v>2.2157676348547716E-3</v>
      </c>
      <c r="FD36" s="18">
        <f>IFERROR(DA36/'McDonough &amp; Sun 1995 values'!U$2,)</f>
        <v>4.779411764705882E-2</v>
      </c>
      <c r="FE36" s="18">
        <f>IFERROR(DN36/'McDonough &amp; Sun 1995 values'!V$2,)</f>
        <v>0</v>
      </c>
      <c r="FF36" s="18">
        <f>IFERROR(DB36/'McDonough &amp; Sun 1995 values'!W$2,)</f>
        <v>4.4510385756676559E-3</v>
      </c>
      <c r="FG36" s="18">
        <f>IFERROR(CJ36/'McDonough &amp; Sun 1995 values'!X$2,)</f>
        <v>3.4883720930232558E-3</v>
      </c>
      <c r="FH36" s="18">
        <f>IFERROR(DC36/'McDonough &amp; Sun 1995 values'!Y$2,)</f>
        <v>6.7114093959731551E-3</v>
      </c>
      <c r="FI36" s="18">
        <f>IFERROR(DD36/'McDonough &amp; Sun 1995 values'!Z$2,)</f>
        <v>4.5662100456621002E-3</v>
      </c>
      <c r="FJ36" s="18">
        <f>IFERROR(DE36/'McDonough &amp; Sun 1995 values'!AA$2,)</f>
        <v>0</v>
      </c>
      <c r="FK36" s="18">
        <f>IFERROR(DF36/'McDonough &amp; Sun 1995 values'!AB$2,)</f>
        <v>0</v>
      </c>
      <c r="FL36" s="18">
        <f>IFERROR(DG36/'McDonough &amp; Sun 1995 values'!AC$2,)</f>
        <v>1.4814814814814814E-2</v>
      </c>
      <c r="FN36" s="28">
        <f t="shared" si="68"/>
        <v>1.5200562983814216</v>
      </c>
      <c r="FO36" s="4">
        <f t="shared" si="86"/>
        <v>1.7195763187429856</v>
      </c>
      <c r="FP36" s="4">
        <f t="shared" si="87"/>
        <v>0.77546066423921434</v>
      </c>
      <c r="FQ36" s="4">
        <f t="shared" si="88"/>
        <v>1.1868856277661306</v>
      </c>
      <c r="FR36" s="4">
        <f t="shared" si="89"/>
        <v>0.80734243014944762</v>
      </c>
      <c r="FS36" s="4">
        <f t="shared" si="90"/>
        <v>0.92136644219977537</v>
      </c>
      <c r="FT36" s="4">
        <f t="shared" si="91"/>
        <v>0.63297872340425532</v>
      </c>
      <c r="FU36" s="4">
        <f t="shared" si="92"/>
        <v>0.87624466571835014</v>
      </c>
      <c r="FV36" s="4">
        <f t="shared" si="93"/>
        <v>0.10941843971631207</v>
      </c>
      <c r="FW36" s="4">
        <f t="shared" si="94"/>
        <v>0.71693333333333342</v>
      </c>
      <c r="FX36" s="4">
        <f t="shared" si="95"/>
        <v>0.65092866026536522</v>
      </c>
      <c r="FY36" s="4">
        <f t="shared" si="96"/>
        <v>0.54797772318989135</v>
      </c>
      <c r="FZ36" s="4">
        <f t="shared" si="97"/>
        <v>0.86420978778502133</v>
      </c>
      <c r="GA36" s="4">
        <f t="shared" si="98"/>
        <v>0.45499596195262032</v>
      </c>
      <c r="GB36" s="4">
        <f t="shared" si="99"/>
        <v>0.39264990328820121</v>
      </c>
      <c r="GC36" s="4">
        <f t="shared" si="100"/>
        <v>1.5798319327731092</v>
      </c>
      <c r="GD36" s="4">
        <f t="shared" si="101"/>
        <v>1.4488138355668241</v>
      </c>
      <c r="GE36" s="4">
        <f t="shared" si="102"/>
        <v>3.2288770053475941</v>
      </c>
      <c r="GF36" s="4">
        <f t="shared" si="103"/>
        <v>2.6138528138528145</v>
      </c>
      <c r="GG36" s="4">
        <f t="shared" si="104"/>
        <v>1.1234981392876133</v>
      </c>
      <c r="GH36" s="4">
        <f t="shared" si="105"/>
        <v>1.8636326058201056</v>
      </c>
      <c r="GI36" s="4">
        <f t="shared" si="106"/>
        <v>14.197202521670606</v>
      </c>
      <c r="GJ36" s="4">
        <f t="shared" si="107"/>
        <v>738.48765432098753</v>
      </c>
      <c r="GK36" s="4">
        <f t="shared" si="108"/>
        <v>0</v>
      </c>
      <c r="GL36" s="4">
        <f t="shared" si="109"/>
        <v>11.433208489388267</v>
      </c>
      <c r="GM36" s="4">
        <f t="shared" si="110"/>
        <v>2.2286348501664812</v>
      </c>
      <c r="GN36" s="4">
        <f t="shared" si="111"/>
        <v>1.2386317907444668</v>
      </c>
      <c r="GO36" s="4">
        <f t="shared" si="112"/>
        <v>1.5305555555555552</v>
      </c>
      <c r="GP36" s="4">
        <f t="shared" si="113"/>
        <v>0.65787037037037033</v>
      </c>
      <c r="GQ36" s="27">
        <f t="shared" si="114"/>
        <v>86940.320074989766</v>
      </c>
      <c r="GR36" s="28">
        <f t="shared" si="115"/>
        <v>9.7290358179155216</v>
      </c>
      <c r="GS36" s="28">
        <f t="shared" si="116"/>
        <v>175.95064777081259</v>
      </c>
      <c r="GT36" s="28">
        <f t="shared" si="117"/>
        <v>6249.3530072950971</v>
      </c>
      <c r="GU36" s="28">
        <f t="shared" si="118"/>
        <v>51.957191282910557</v>
      </c>
      <c r="GV36" s="28">
        <f t="shared" si="119"/>
        <v>11.178041152498684</v>
      </c>
      <c r="GW36" s="28">
        <f t="shared" si="120"/>
        <v>86940.320074989766</v>
      </c>
      <c r="GX36" s="28">
        <f t="shared" si="121"/>
        <v>27.324100594996786</v>
      </c>
      <c r="GY36" s="28">
        <f t="shared" si="122"/>
        <v>554.55504162118461</v>
      </c>
      <c r="GZ36" s="28">
        <f t="shared" si="123"/>
        <v>440.91162323744811</v>
      </c>
      <c r="HA36" s="28">
        <f t="shared" si="124"/>
        <v>749.34275874157856</v>
      </c>
      <c r="HB36" s="28">
        <f t="shared" si="125"/>
        <v>92.736341413322421</v>
      </c>
      <c r="HC36" s="28">
        <f t="shared" si="126"/>
        <v>3305.8021704704443</v>
      </c>
      <c r="HD36" s="28">
        <f t="shared" si="127"/>
        <v>314.64115836662961</v>
      </c>
      <c r="HE36" s="28">
        <f t="shared" si="128"/>
        <v>19.458071635831043</v>
      </c>
      <c r="HF36" s="28">
        <f t="shared" si="129"/>
        <v>2.0700076208330898</v>
      </c>
      <c r="HG36" s="28">
        <f t="shared" si="130"/>
        <v>55.062202714160193</v>
      </c>
      <c r="HH36" s="28">
        <f t="shared" si="131"/>
        <v>2.8980106691663257</v>
      </c>
      <c r="HI36" s="28">
        <f t="shared" si="132"/>
        <v>552.6920347624349</v>
      </c>
      <c r="HJ36" s="28">
        <f t="shared" si="133"/>
        <v>5.3820198141660329</v>
      </c>
      <c r="HK36" s="28">
        <f t="shared" si="134"/>
        <v>0</v>
      </c>
      <c r="HL36" s="28">
        <f t="shared" si="135"/>
        <v>0.62100228624992693</v>
      </c>
      <c r="HM36" s="28">
        <f t="shared" si="136"/>
        <v>3.105011431249634</v>
      </c>
      <c r="HN36" s="28">
        <f t="shared" si="137"/>
        <v>0.20700076208330898</v>
      </c>
      <c r="HO36" s="28">
        <f t="shared" si="138"/>
        <v>0.41400152416661795</v>
      </c>
      <c r="HP36" s="28">
        <f t="shared" si="139"/>
        <v>0</v>
      </c>
      <c r="HQ36" s="28" t="str">
        <f t="shared" si="140"/>
        <v/>
      </c>
      <c r="HR36" s="28">
        <f t="shared" si="141"/>
        <v>0.20700076208330898</v>
      </c>
      <c r="HT36" s="4">
        <f>IFERROR(GR36/'McDonough &amp; Sun 1995 values'!C$2,)</f>
        <v>463.28741990073911</v>
      </c>
      <c r="HU36" s="4">
        <f>IFERROR(GS36/'McDonough &amp; Sun 1995 values'!D$2,)</f>
        <v>293.25107961802098</v>
      </c>
      <c r="HV36" s="4">
        <f>IFERROR(GT36/'McDonough &amp; Sun 1995 values'!E$2,)</f>
        <v>946.87166777198445</v>
      </c>
      <c r="HW36" s="4">
        <f>IFERROR(GU36/'McDonough &amp; Sun 1995 values'!F$2,)</f>
        <v>653.54957588566742</v>
      </c>
      <c r="HX36" s="4">
        <f>IFERROR(GV36/'McDonough &amp; Sun 1995 values'!G$2,)</f>
        <v>550.64242130535399</v>
      </c>
      <c r="HY36" s="4">
        <f>IFERROR(GW36/'McDonough &amp; Sun 1995 values'!H$2,)</f>
        <v>362.25133364579068</v>
      </c>
      <c r="HZ36" s="4">
        <f>IFERROR(GX36/'McDonough &amp; Sun 1995 values'!I$2,)</f>
        <v>738.48920527018345</v>
      </c>
      <c r="IA36" s="4">
        <f>IFERROR(GY36/'McDonough &amp; Sun 1995 values'!J$2,)</f>
        <v>842.78881705347203</v>
      </c>
      <c r="IB36" s="4">
        <f>IFERROR(GZ36/'McDonough &amp; Sun 1995 values'!K$2,)</f>
        <v>680.41917166272856</v>
      </c>
      <c r="IC36" s="4">
        <f>IFERROR(HA36/'McDonough &amp; Sun 1995 values'!L$2,)</f>
        <v>447.36881118900209</v>
      </c>
      <c r="ID36" s="4">
        <f>IFERROR(HB36/'McDonough &amp; Sun 1995 values'!M$2,)</f>
        <v>365.10370635166305</v>
      </c>
      <c r="IE36" s="4">
        <f>IFERROR(HC36/'McDonough &amp; Sun 1995 values'!N$2,)</f>
        <v>166.12071208394192</v>
      </c>
      <c r="IF36" s="4">
        <f>IFERROR(HD36/'McDonough &amp; Sun 1995 values'!O$2,)</f>
        <v>251.7129266933037</v>
      </c>
      <c r="IG36" s="4">
        <f>IFERROR(HE36/'McDonough &amp; Sun 1995 values'!P$2,)</f>
        <v>47.926284817317836</v>
      </c>
      <c r="IH36" s="4">
        <f>IFERROR(HF36/'McDonough &amp; Sun 1995 values'!Q$2,)</f>
        <v>7.3145145612476679</v>
      </c>
      <c r="II36" s="4">
        <f>IFERROR(HG36/'McDonough &amp; Sun 1995 values'!R$2,)</f>
        <v>5.2440193061104949</v>
      </c>
      <c r="IJ36" s="4">
        <f>IFERROR(HH36/'McDonough &amp; Sun 1995 values'!S$2,)</f>
        <v>18.818251098482634</v>
      </c>
      <c r="IK36" s="4">
        <f>IFERROR(HI36/'McDonough &amp; Sun 1995 values'!T$2,)</f>
        <v>0.4586655890144688</v>
      </c>
      <c r="IL36" s="4">
        <f>IFERROR(HJ36/'McDonough &amp; Sun 1995 values'!U$2,)</f>
        <v>9.8934187760405017</v>
      </c>
      <c r="IM36" s="4">
        <f>IFERROR(HK36/'McDonough &amp; Sun 1995 values'!V$2,)</f>
        <v>0</v>
      </c>
      <c r="IN36" s="4">
        <f>IFERROR(HL36/'McDonough &amp; Sun 1995 values'!W$2,)</f>
        <v>0.92136837722541076</v>
      </c>
      <c r="IO36" s="4">
        <f>IFERROR(HM36/'McDonough &amp; Sun 1995 values'!X$2,)</f>
        <v>0.72209568168596139</v>
      </c>
      <c r="IP36" s="4">
        <f>IFERROR(HN36/'McDonough &amp; Sun 1995 values'!Y$2,)</f>
        <v>1.3892668596195235</v>
      </c>
      <c r="IQ36" s="4">
        <f>IFERROR(HO36/'McDonough &amp; Sun 1995 values'!Z$2,)</f>
        <v>0.94520895928451587</v>
      </c>
      <c r="IR36" s="4">
        <f>IFERROR(HP36/'McDonough &amp; Sun 1995 values'!AA$2,)</f>
        <v>0</v>
      </c>
      <c r="IS36" s="4">
        <f>IFERROR(HQ36/'McDonough &amp; Sun 1995 values'!AB$2,)</f>
        <v>0</v>
      </c>
      <c r="IT36" s="4">
        <f>IFERROR(HR36/'McDonough &amp; Sun 1995 values'!AC$2,)</f>
        <v>3.0666779567897624</v>
      </c>
    </row>
    <row r="37" spans="1:254">
      <c r="A37" s="16" t="s">
        <v>672</v>
      </c>
      <c r="B37" s="16" t="s">
        <v>24</v>
      </c>
      <c r="C37" s="16" t="str">
        <f t="shared" si="0"/>
        <v>high-Mg carbonatitic</v>
      </c>
      <c r="D37" s="16" t="s">
        <v>1723</v>
      </c>
      <c r="E37" s="16" t="s">
        <v>237</v>
      </c>
      <c r="F37" s="16" t="s">
        <v>29</v>
      </c>
      <c r="G37" s="16" t="s">
        <v>595</v>
      </c>
      <c r="H37" s="27">
        <v>360</v>
      </c>
      <c r="I37" s="16" t="s">
        <v>735</v>
      </c>
      <c r="J37" s="16" t="s">
        <v>1496</v>
      </c>
      <c r="K37" s="16">
        <v>0</v>
      </c>
      <c r="L37" s="16">
        <v>0</v>
      </c>
      <c r="M37" s="16" t="s">
        <v>38</v>
      </c>
      <c r="N37" s="16">
        <v>41</v>
      </c>
      <c r="O37" s="26">
        <v>6.95</v>
      </c>
      <c r="P37" s="26">
        <v>1.01</v>
      </c>
      <c r="Q37" s="26">
        <v>0.69</v>
      </c>
      <c r="R37" s="26">
        <v>5.3</v>
      </c>
      <c r="S37" s="26">
        <v>12.8</v>
      </c>
      <c r="T37" s="26">
        <v>19.55</v>
      </c>
      <c r="U37" s="26">
        <v>0.83</v>
      </c>
      <c r="V37" s="26">
        <v>20.88</v>
      </c>
      <c r="W37" s="26">
        <v>4.8899999999999997</v>
      </c>
      <c r="X37" s="26">
        <v>14.97</v>
      </c>
      <c r="Y37" s="26"/>
      <c r="Z37" s="26">
        <v>7.47</v>
      </c>
      <c r="AA37" s="26"/>
      <c r="AB37" s="26"/>
      <c r="AC37" s="26"/>
      <c r="AD37" s="26">
        <v>3.37</v>
      </c>
      <c r="AE37" s="26"/>
      <c r="AF37" s="26">
        <v>1.3</v>
      </c>
      <c r="AG37" s="26"/>
      <c r="AH37" s="26"/>
      <c r="AI37" s="26"/>
      <c r="AJ37" s="26">
        <f t="shared" si="62"/>
        <v>97.19</v>
      </c>
      <c r="AK37" s="26">
        <f t="shared" si="73"/>
        <v>7.2073385832161625</v>
      </c>
      <c r="AL37" s="26">
        <f t="shared" si="74"/>
        <v>1.0473974056184638</v>
      </c>
      <c r="AM37" s="26">
        <f t="shared" si="75"/>
        <v>5.4962438116612455</v>
      </c>
      <c r="AN37" s="26">
        <f t="shared" si="76"/>
        <v>13.273947318729048</v>
      </c>
      <c r="AO37" s="26">
        <f t="shared" si="77"/>
        <v>20.273880475090067</v>
      </c>
      <c r="AP37" s="26">
        <f t="shared" si="78"/>
        <v>21.653126563676757</v>
      </c>
      <c r="AQ37" s="26">
        <f t="shared" si="79"/>
        <v>0</v>
      </c>
      <c r="AR37" s="26">
        <f t="shared" si="80"/>
        <v>5.0710626866082054</v>
      </c>
      <c r="AS37" s="26">
        <f t="shared" si="81"/>
        <v>15.524296200107331</v>
      </c>
      <c r="AT37" s="26">
        <f t="shared" si="82"/>
        <v>7.7465926930395295</v>
      </c>
      <c r="AU37" s="26">
        <f t="shared" si="83"/>
        <v>3.4947814425091317</v>
      </c>
      <c r="AV37" s="26">
        <f t="shared" si="7"/>
        <v>100.78866718025594</v>
      </c>
      <c r="AW37" s="26"/>
      <c r="AX37" s="26"/>
      <c r="AY37" s="26"/>
      <c r="AZ37" s="26"/>
      <c r="BA37" s="26"/>
      <c r="BB37" s="26">
        <v>0.04</v>
      </c>
      <c r="BC37" s="26">
        <f t="shared" si="84"/>
        <v>4.0000000000000036E-2</v>
      </c>
      <c r="BD37" s="26">
        <f t="shared" si="85"/>
        <v>0.96</v>
      </c>
      <c r="BE37" s="16"/>
      <c r="BF37" s="16"/>
      <c r="BG37" s="16">
        <v>1137</v>
      </c>
      <c r="BH37" s="16">
        <v>0</v>
      </c>
      <c r="BI37" s="16"/>
      <c r="BJ37" s="16"/>
      <c r="BK37" s="18"/>
      <c r="BL37" s="18"/>
      <c r="BM37" s="18"/>
      <c r="BN37" s="18">
        <v>77</v>
      </c>
      <c r="BO37" s="18">
        <v>281</v>
      </c>
      <c r="BP37" s="18">
        <v>11</v>
      </c>
      <c r="BQ37" s="18"/>
      <c r="BR37" s="18">
        <v>431</v>
      </c>
      <c r="BS37" s="18">
        <v>228</v>
      </c>
      <c r="BT37" s="18">
        <v>6.83</v>
      </c>
      <c r="BU37" s="18"/>
      <c r="BV37" s="18">
        <v>3.95</v>
      </c>
      <c r="BW37" s="18">
        <v>113</v>
      </c>
      <c r="BX37" s="18">
        <v>2.1419999999999999</v>
      </c>
      <c r="BY37" s="18">
        <v>1.98</v>
      </c>
      <c r="BZ37" s="18"/>
      <c r="CA37" s="18">
        <v>0.122</v>
      </c>
      <c r="CB37" s="18">
        <v>0.113</v>
      </c>
      <c r="CC37" s="18"/>
      <c r="CD37" s="18"/>
      <c r="CE37" s="18"/>
      <c r="CF37" s="18"/>
      <c r="CG37" s="18"/>
      <c r="CH37" s="18">
        <v>1.17</v>
      </c>
      <c r="CI37" s="18">
        <v>20.71</v>
      </c>
      <c r="CJ37" s="18">
        <v>2.9000000000000001E-2</v>
      </c>
      <c r="CK37" s="18">
        <v>0.85899999999999999</v>
      </c>
      <c r="CL37" s="18"/>
      <c r="CM37" s="18">
        <v>3.9089999999999998</v>
      </c>
      <c r="CN37" s="18"/>
      <c r="CO37" s="18"/>
      <c r="CP37" s="18"/>
      <c r="CQ37" s="18"/>
      <c r="CR37" s="18">
        <v>2.3E-2</v>
      </c>
      <c r="CS37" s="18">
        <v>45.44</v>
      </c>
      <c r="CT37" s="18">
        <v>0.32200000000000001</v>
      </c>
      <c r="CU37" s="18">
        <v>4.54</v>
      </c>
      <c r="CV37" s="18">
        <v>5.86</v>
      </c>
      <c r="CW37" s="18">
        <v>0.59</v>
      </c>
      <c r="CX37" s="18">
        <v>1.79</v>
      </c>
      <c r="CY37" s="18">
        <v>0.17</v>
      </c>
      <c r="CZ37" s="18">
        <v>3.3000000000000002E-2</v>
      </c>
      <c r="DA37" s="18">
        <v>5.6000000000000001E-2</v>
      </c>
      <c r="DB37" s="18">
        <v>1.4E-2</v>
      </c>
      <c r="DC37" s="18">
        <v>2E-3</v>
      </c>
      <c r="DD37" s="18">
        <v>7.0000000000000001E-3</v>
      </c>
      <c r="DE37" s="18"/>
      <c r="DF37" s="18" t="s">
        <v>1366</v>
      </c>
      <c r="DG37" s="18">
        <v>1E-3</v>
      </c>
      <c r="DH37" s="18">
        <v>2.9000000000000001E-2</v>
      </c>
      <c r="DI37" s="18">
        <v>0.17</v>
      </c>
      <c r="DJ37" s="18"/>
      <c r="DK37" s="18">
        <v>2.2999999999999998</v>
      </c>
      <c r="DL37" s="18">
        <v>0.64</v>
      </c>
      <c r="DM37" s="18">
        <v>0.104</v>
      </c>
      <c r="DN37" s="18"/>
      <c r="DO37" s="18"/>
      <c r="DP37" s="18"/>
      <c r="DQ37" s="18"/>
      <c r="DR37" s="18"/>
      <c r="DS37" s="18"/>
      <c r="DT37" s="18"/>
      <c r="DU37" s="18"/>
      <c r="DV37" s="28"/>
      <c r="DW37" s="28"/>
      <c r="DX37" s="28"/>
      <c r="DY37" s="28"/>
      <c r="DZ37" s="28"/>
      <c r="EA37" s="28"/>
      <c r="EB37" s="28"/>
      <c r="EC37" s="28"/>
      <c r="ED37" s="28"/>
      <c r="EE37" s="28"/>
      <c r="EF37" s="28"/>
      <c r="EG37" s="28"/>
      <c r="EH37" s="28"/>
      <c r="EI37" s="28"/>
      <c r="EJ37" s="18"/>
      <c r="EK37" s="18"/>
      <c r="EL37" s="18">
        <f>IFERROR(CR37/'McDonough &amp; Sun 1995 values'!C$2,)</f>
        <v>1.0952380952380951</v>
      </c>
      <c r="EM37" s="18">
        <f>IFERROR(CH37/'McDonough &amp; Sun 1995 values'!D$2,)</f>
        <v>1.95</v>
      </c>
      <c r="EN37" s="18">
        <f>IFERROR(CS37/'McDonough &amp; Sun 1995 values'!E$2,)</f>
        <v>6.8848484848484848</v>
      </c>
      <c r="EO37" s="18">
        <f>IFERROR(DL37/'McDonough &amp; Sun 1995 values'!F$2,)</f>
        <v>8.050314465408805</v>
      </c>
      <c r="EP37" s="18">
        <f>IFERROR(DM37/'McDonough &amp; Sun 1995 values'!G$2,)</f>
        <v>5.1231527093596059</v>
      </c>
      <c r="EQ37" s="18">
        <f>IFERROR(BR37/'McDonough &amp; Sun 1995 values'!H$2,)</f>
        <v>1.7958333333333334</v>
      </c>
      <c r="ER37" s="18">
        <f>IFERROR(DI37/'McDonough &amp; Sun 1995 values'!I$2,)</f>
        <v>4.5945945945945947</v>
      </c>
      <c r="ES37" s="18">
        <f>IFERROR(CM37/'McDonough &amp; Sun 1995 values'!J$2,)</f>
        <v>5.9407294832826745</v>
      </c>
      <c r="ET37" s="18">
        <f>IFERROR(CU37/'McDonough &amp; Sun 1995 values'!K$2,)</f>
        <v>7.0061728395061724</v>
      </c>
      <c r="EU37" s="18">
        <f>IFERROR(CV37/'McDonough &amp; Sun 1995 values'!L$2,)</f>
        <v>3.4985074626865673</v>
      </c>
      <c r="EV37" s="18">
        <f>IFERROR(CW37/'McDonough &amp; Sun 1995 values'!M$2,)</f>
        <v>2.3228346456692912</v>
      </c>
      <c r="EW37" s="18">
        <f>IFERROR(CI37/'McDonough &amp; Sun 1995 values'!N$2,)</f>
        <v>1.0407035175879398</v>
      </c>
      <c r="EX37" s="18">
        <f>IFERROR(CX37/'McDonough &amp; Sun 1995 values'!O$2,)</f>
        <v>1.4319999999999999</v>
      </c>
      <c r="EY37" s="18">
        <f>IFERROR(CY37/'McDonough &amp; Sun 1995 values'!P$2,)</f>
        <v>0.41871921182266009</v>
      </c>
      <c r="EZ37" s="18">
        <f>IFERROR(DH37/'McDonough &amp; Sun 1995 values'!Q$2,)</f>
        <v>0.10247349823321557</v>
      </c>
      <c r="FA37" s="18">
        <f>IFERROR(CK37/'McDonough &amp; Sun 1995 values'!R$2,)</f>
        <v>8.1809523809523804E-2</v>
      </c>
      <c r="FB37" s="18">
        <f>IFERROR(CZ37/'McDonough &amp; Sun 1995 values'!S$2,)</f>
        <v>0.2142857142857143</v>
      </c>
      <c r="FC37" s="18">
        <f>IFERROR(BT37/'McDonough &amp; Sun 1995 values'!T$2,)</f>
        <v>5.6680497925311202E-3</v>
      </c>
      <c r="FD37" s="18">
        <f>IFERROR(DA37/'McDonough &amp; Sun 1995 values'!U$2,)</f>
        <v>0.10294117647058823</v>
      </c>
      <c r="FE37" s="18">
        <f>IFERROR(DN37/'McDonough &amp; Sun 1995 values'!V$2,)</f>
        <v>0</v>
      </c>
      <c r="FF37" s="18">
        <f>IFERROR(DB37/'McDonough &amp; Sun 1995 values'!W$2,)</f>
        <v>2.0771513353115726E-2</v>
      </c>
      <c r="FG37" s="18">
        <f>IFERROR(CJ37/'McDonough &amp; Sun 1995 values'!X$2,)</f>
        <v>6.7441860465116289E-3</v>
      </c>
      <c r="FH37" s="18">
        <f>IFERROR(DC37/'McDonough &amp; Sun 1995 values'!Y$2,)</f>
        <v>1.342281879194631E-2</v>
      </c>
      <c r="FI37" s="18">
        <f>IFERROR(DD37/'McDonough &amp; Sun 1995 values'!Z$2,)</f>
        <v>1.5981735159817351E-2</v>
      </c>
      <c r="FJ37" s="18">
        <f>IFERROR(DE37/'McDonough &amp; Sun 1995 values'!AA$2,)</f>
        <v>0</v>
      </c>
      <c r="FK37" s="18">
        <f>IFERROR(DF37/'McDonough &amp; Sun 1995 values'!AB$2,)</f>
        <v>0</v>
      </c>
      <c r="FL37" s="18">
        <f>IFERROR(DG37/'McDonough &amp; Sun 1995 values'!AC$2,)</f>
        <v>1.4814814814814814E-2</v>
      </c>
      <c r="FN37" s="28">
        <f t="shared" si="68"/>
        <v>2.8527996525436321</v>
      </c>
      <c r="FO37" s="4">
        <f t="shared" si="86"/>
        <v>1.3438694638694639</v>
      </c>
      <c r="FP37" s="4">
        <f t="shared" si="87"/>
        <v>1.3551053768838561</v>
      </c>
      <c r="FQ37" s="4">
        <f t="shared" si="88"/>
        <v>1.571359458151911</v>
      </c>
      <c r="FR37" s="4">
        <f t="shared" si="89"/>
        <v>1.1793455432067184</v>
      </c>
      <c r="FS37" s="4">
        <f t="shared" si="90"/>
        <v>1.524872912127814</v>
      </c>
      <c r="FT37" s="4">
        <f t="shared" si="91"/>
        <v>1.7804347826086957</v>
      </c>
      <c r="FU37" s="4">
        <f t="shared" si="92"/>
        <v>0.77340579259228537</v>
      </c>
      <c r="FV37" s="4">
        <f t="shared" si="93"/>
        <v>0.19538039215686273</v>
      </c>
      <c r="FW37" s="4">
        <f t="shared" si="94"/>
        <v>0.79834811165845632</v>
      </c>
      <c r="FX37" s="4">
        <f t="shared" si="95"/>
        <v>0.82155256214414674</v>
      </c>
      <c r="FY37" s="4">
        <f t="shared" si="96"/>
        <v>0.57061918085304641</v>
      </c>
      <c r="FZ37" s="4">
        <f t="shared" si="97"/>
        <v>1.0321366781821968</v>
      </c>
      <c r="GA37" s="4">
        <f t="shared" si="98"/>
        <v>0.44803168384294356</v>
      </c>
      <c r="GB37" s="4">
        <f t="shared" si="99"/>
        <v>0.51176470588235301</v>
      </c>
      <c r="GC37" s="4">
        <f t="shared" si="100"/>
        <v>0.56166056166056166</v>
      </c>
      <c r="GD37" s="4">
        <f t="shared" si="101"/>
        <v>0.85522727272727272</v>
      </c>
      <c r="GE37" s="4">
        <f t="shared" si="102"/>
        <v>3.5306915306915307</v>
      </c>
      <c r="GF37" s="4">
        <f t="shared" si="103"/>
        <v>3.8337903395908035</v>
      </c>
      <c r="GG37" s="4">
        <f t="shared" si="104"/>
        <v>1.1589230757304434</v>
      </c>
      <c r="GH37" s="4">
        <f t="shared" si="105"/>
        <v>3.016216781753505</v>
      </c>
      <c r="GI37" s="4">
        <f t="shared" si="106"/>
        <v>16.732389251997095</v>
      </c>
      <c r="GJ37" s="4">
        <f t="shared" si="107"/>
        <v>337.29717813051144</v>
      </c>
      <c r="GK37" s="4">
        <f t="shared" si="108"/>
        <v>0</v>
      </c>
      <c r="GL37" s="4">
        <f t="shared" si="109"/>
        <v>14.433451858049223</v>
      </c>
      <c r="GM37" s="4">
        <f t="shared" si="110"/>
        <v>4.1283663925173357</v>
      </c>
      <c r="GN37" s="4">
        <f t="shared" si="111"/>
        <v>0.84792790862713063</v>
      </c>
      <c r="GO37" s="4">
        <f t="shared" si="112"/>
        <v>1.159584697217676</v>
      </c>
      <c r="GP37" s="4">
        <f t="shared" si="113"/>
        <v>0.3505328525641026</v>
      </c>
      <c r="GQ37" s="27">
        <f t="shared" si="114"/>
        <v>128872.97405079886</v>
      </c>
      <c r="GR37" s="28">
        <f t="shared" si="115"/>
        <v>6.8772120723164125</v>
      </c>
      <c r="GS37" s="28">
        <f t="shared" si="116"/>
        <v>349.84078802653056</v>
      </c>
      <c r="GT37" s="28">
        <f t="shared" si="117"/>
        <v>13586.978981132947</v>
      </c>
      <c r="GU37" s="28">
        <f t="shared" si="118"/>
        <v>191.36590114271758</v>
      </c>
      <c r="GV37" s="28">
        <f t="shared" si="119"/>
        <v>31.096958935691603</v>
      </c>
      <c r="GW37" s="28">
        <f t="shared" si="120"/>
        <v>128872.97405079886</v>
      </c>
      <c r="GX37" s="28">
        <f t="shared" si="121"/>
        <v>50.831567491034356</v>
      </c>
      <c r="GY37" s="28">
        <f t="shared" si="122"/>
        <v>1168.8270430732546</v>
      </c>
      <c r="GZ37" s="28">
        <f t="shared" si="123"/>
        <v>1357.5018612311528</v>
      </c>
      <c r="HA37" s="28">
        <f t="shared" si="124"/>
        <v>1752.1940323380079</v>
      </c>
      <c r="HB37" s="28">
        <f t="shared" si="125"/>
        <v>176.41544011594274</v>
      </c>
      <c r="HC37" s="28">
        <f t="shared" si="126"/>
        <v>6192.4809572901268</v>
      </c>
      <c r="HD37" s="28">
        <f t="shared" si="127"/>
        <v>535.22650475853823</v>
      </c>
      <c r="HE37" s="28">
        <f t="shared" si="128"/>
        <v>50.831567491034356</v>
      </c>
      <c r="HF37" s="28">
        <f t="shared" si="129"/>
        <v>8.6712673955293909</v>
      </c>
      <c r="HG37" s="28">
        <f t="shared" si="130"/>
        <v>256.84892043999122</v>
      </c>
      <c r="HH37" s="28">
        <f t="shared" si="131"/>
        <v>9.8673042776713746</v>
      </c>
      <c r="HI37" s="28">
        <f t="shared" si="132"/>
        <v>2042.2329762574391</v>
      </c>
      <c r="HJ37" s="28">
        <f t="shared" si="133"/>
        <v>16.744516349987787</v>
      </c>
      <c r="HK37" s="28">
        <f t="shared" si="134"/>
        <v>0</v>
      </c>
      <c r="HL37" s="28">
        <f t="shared" si="135"/>
        <v>4.1861290874969468</v>
      </c>
      <c r="HM37" s="28">
        <f t="shared" si="136"/>
        <v>8.6712673955293909</v>
      </c>
      <c r="HN37" s="28">
        <f t="shared" si="137"/>
        <v>0.59801844107099245</v>
      </c>
      <c r="HO37" s="28">
        <f t="shared" si="138"/>
        <v>2.0930645437484734</v>
      </c>
      <c r="HP37" s="28">
        <f t="shared" si="139"/>
        <v>0</v>
      </c>
      <c r="HQ37" s="28" t="str">
        <f t="shared" si="140"/>
        <v/>
      </c>
      <c r="HR37" s="28">
        <f t="shared" si="141"/>
        <v>0.29900922053549622</v>
      </c>
      <c r="HT37" s="4">
        <f>IFERROR(GR37/'McDonough &amp; Sun 1995 values'!C$2,)</f>
        <v>327.48628915792438</v>
      </c>
      <c r="HU37" s="4">
        <f>IFERROR(GS37/'McDonough &amp; Sun 1995 values'!D$2,)</f>
        <v>583.06798004421762</v>
      </c>
      <c r="HV37" s="4">
        <f>IFERROR(GT37/'McDonough &amp; Sun 1995 values'!E$2,)</f>
        <v>2058.6331789595374</v>
      </c>
      <c r="HW37" s="4">
        <f>IFERROR(GU37/'McDonough &amp; Sun 1995 values'!F$2,)</f>
        <v>2407.1182533675164</v>
      </c>
      <c r="HX37" s="4">
        <f>IFERROR(GV37/'McDonough &amp; Sun 1995 values'!G$2,)</f>
        <v>1531.8698983099314</v>
      </c>
      <c r="HY37" s="4">
        <f>IFERROR(GW37/'McDonough &amp; Sun 1995 values'!H$2,)</f>
        <v>536.97072521166194</v>
      </c>
      <c r="HZ37" s="4">
        <f>IFERROR(GX37/'McDonough &amp; Sun 1995 values'!I$2,)</f>
        <v>1373.8261484063339</v>
      </c>
      <c r="IA37" s="4">
        <f>IFERROR(GY37/'McDonough &amp; Sun 1995 values'!J$2,)</f>
        <v>1776.3328922085934</v>
      </c>
      <c r="IB37" s="4">
        <f>IFERROR(GZ37/'McDonough &amp; Sun 1995 values'!K$2,)</f>
        <v>2094.9102796777047</v>
      </c>
      <c r="IC37" s="4">
        <f>IFERROR(HA37/'McDonough &amp; Sun 1995 values'!L$2,)</f>
        <v>1046.0859894555272</v>
      </c>
      <c r="ID37" s="4">
        <f>IFERROR(HB37/'McDonough &amp; Sun 1995 values'!M$2,)</f>
        <v>694.54897683442027</v>
      </c>
      <c r="IE37" s="4">
        <f>IFERROR(HC37/'McDonough &amp; Sun 1995 values'!N$2,)</f>
        <v>311.17994760251895</v>
      </c>
      <c r="IF37" s="4">
        <f>IFERROR(HD37/'McDonough &amp; Sun 1995 values'!O$2,)</f>
        <v>428.18120380683058</v>
      </c>
      <c r="IG37" s="4">
        <f>IFERROR(HE37/'McDonough &amp; Sun 1995 values'!P$2,)</f>
        <v>125.20090515033091</v>
      </c>
      <c r="IH37" s="4">
        <f>IFERROR(HF37/'McDonough &amp; Sun 1995 values'!Q$2,)</f>
        <v>30.640520832259334</v>
      </c>
      <c r="II37" s="4">
        <f>IFERROR(HG37/'McDonough &amp; Sun 1995 values'!R$2,)</f>
        <v>24.46180194666583</v>
      </c>
      <c r="IJ37" s="4">
        <f>IFERROR(HH37/'McDonough &amp; Sun 1995 values'!S$2,)</f>
        <v>64.073404400463474</v>
      </c>
      <c r="IK37" s="4">
        <f>IFERROR(HI37/'McDonough &amp; Sun 1995 values'!T$2,)</f>
        <v>1.6947991504211113</v>
      </c>
      <c r="IL37" s="4">
        <f>IFERROR(HJ37/'McDonough &amp; Sun 1995 values'!U$2,)</f>
        <v>30.780360937477546</v>
      </c>
      <c r="IM37" s="4">
        <f>IFERROR(HK37/'McDonough &amp; Sun 1995 values'!V$2,)</f>
        <v>0</v>
      </c>
      <c r="IN37" s="4">
        <f>IFERROR(HL37/'McDonough &amp; Sun 1995 values'!W$2,)</f>
        <v>6.2108740170577841</v>
      </c>
      <c r="IO37" s="4">
        <f>IFERROR(HM37/'McDonough &amp; Sun 1995 values'!X$2,)</f>
        <v>2.016573812913812</v>
      </c>
      <c r="IP37" s="4">
        <f>IFERROR(HN37/'McDonough &amp; Sun 1995 values'!Y$2,)</f>
        <v>4.0135465843690774</v>
      </c>
      <c r="IQ37" s="4">
        <f>IFERROR(HO37/'McDonough &amp; Sun 1995 values'!Z$2,)</f>
        <v>4.77868617294172</v>
      </c>
      <c r="IR37" s="4">
        <f>IFERROR(HP37/'McDonough &amp; Sun 1995 values'!AA$2,)</f>
        <v>0</v>
      </c>
      <c r="IS37" s="4">
        <f>IFERROR(HQ37/'McDonough &amp; Sun 1995 values'!AB$2,)</f>
        <v>0</v>
      </c>
      <c r="IT37" s="4">
        <f>IFERROR(HR37/'McDonough &amp; Sun 1995 values'!AC$2,)</f>
        <v>4.429766230155499</v>
      </c>
    </row>
    <row r="38" spans="1:254">
      <c r="A38" s="16" t="s">
        <v>672</v>
      </c>
      <c r="B38" s="16" t="s">
        <v>24</v>
      </c>
      <c r="C38" s="16" t="str">
        <f t="shared" si="0"/>
        <v>high-Mg carbonatitic</v>
      </c>
      <c r="D38" s="16" t="s">
        <v>1723</v>
      </c>
      <c r="E38" s="16" t="s">
        <v>237</v>
      </c>
      <c r="F38" s="16" t="s">
        <v>29</v>
      </c>
      <c r="G38" s="16" t="s">
        <v>595</v>
      </c>
      <c r="H38" s="27">
        <v>360</v>
      </c>
      <c r="I38" s="16" t="s">
        <v>735</v>
      </c>
      <c r="J38" s="16" t="s">
        <v>1496</v>
      </c>
      <c r="K38" s="16">
        <v>0</v>
      </c>
      <c r="L38" s="16">
        <v>0</v>
      </c>
      <c r="M38" s="16" t="s">
        <v>39</v>
      </c>
      <c r="N38" s="16">
        <v>24</v>
      </c>
      <c r="O38" s="26">
        <v>10.8</v>
      </c>
      <c r="P38" s="26">
        <v>0.62</v>
      </c>
      <c r="Q38" s="26">
        <v>0.79</v>
      </c>
      <c r="R38" s="26">
        <v>4.59</v>
      </c>
      <c r="S38" s="26">
        <v>17.62</v>
      </c>
      <c r="T38" s="26">
        <v>24.81</v>
      </c>
      <c r="U38" s="26">
        <v>0.71</v>
      </c>
      <c r="V38" s="26">
        <v>24.85</v>
      </c>
      <c r="W38" s="26">
        <v>3.85</v>
      </c>
      <c r="X38" s="26">
        <v>7.24</v>
      </c>
      <c r="Y38" s="26"/>
      <c r="Z38" s="26">
        <v>1.36</v>
      </c>
      <c r="AA38" s="26"/>
      <c r="AB38" s="26"/>
      <c r="AC38" s="26"/>
      <c r="AD38" s="26">
        <v>2.0099999999999998</v>
      </c>
      <c r="AE38" s="26"/>
      <c r="AF38" s="26">
        <v>0.74</v>
      </c>
      <c r="AG38" s="26"/>
      <c r="AH38" s="26"/>
      <c r="AI38" s="26"/>
      <c r="AJ38" s="26">
        <f t="shared" si="62"/>
        <v>97.749999999999986</v>
      </c>
      <c r="AK38" s="26">
        <f t="shared" si="73"/>
        <v>11.100101981425901</v>
      </c>
      <c r="AL38" s="26">
        <f t="shared" si="74"/>
        <v>0.63722807671148696</v>
      </c>
      <c r="AM38" s="26">
        <f t="shared" si="75"/>
        <v>4.7175433421060076</v>
      </c>
      <c r="AN38" s="26">
        <f t="shared" si="76"/>
        <v>18.109610825252258</v>
      </c>
      <c r="AO38" s="26">
        <f t="shared" si="77"/>
        <v>25.499400940664501</v>
      </c>
      <c r="AP38" s="26">
        <f t="shared" si="78"/>
        <v>25.540512429484597</v>
      </c>
      <c r="AQ38" s="26">
        <f t="shared" si="79"/>
        <v>0</v>
      </c>
      <c r="AR38" s="26">
        <f t="shared" si="80"/>
        <v>3.9569807989342336</v>
      </c>
      <c r="AS38" s="26">
        <f t="shared" si="81"/>
        <v>7.4411794764373633</v>
      </c>
      <c r="AT38" s="26">
        <f t="shared" si="82"/>
        <v>1.3977906198832617</v>
      </c>
      <c r="AU38" s="26">
        <f t="shared" si="83"/>
        <v>2.0658523132098203</v>
      </c>
      <c r="AV38" s="26">
        <f t="shared" si="7"/>
        <v>100.46620080410945</v>
      </c>
      <c r="AW38" s="26"/>
      <c r="AX38" s="26"/>
      <c r="AY38" s="26"/>
      <c r="AZ38" s="26"/>
      <c r="BA38" s="26"/>
      <c r="BB38" s="26">
        <v>0.09</v>
      </c>
      <c r="BC38" s="26">
        <f t="shared" si="84"/>
        <v>8.9999999999999969E-2</v>
      </c>
      <c r="BD38" s="26">
        <f t="shared" si="85"/>
        <v>0.91</v>
      </c>
      <c r="BE38" s="16"/>
      <c r="BF38" s="16"/>
      <c r="BG38" s="16">
        <v>205</v>
      </c>
      <c r="BH38" s="16">
        <v>0</v>
      </c>
      <c r="BI38" s="16"/>
      <c r="BJ38" s="16"/>
      <c r="BK38" s="18"/>
      <c r="BL38" s="18"/>
      <c r="BM38" s="18"/>
      <c r="BN38" s="18">
        <v>142</v>
      </c>
      <c r="BO38" s="18">
        <v>567</v>
      </c>
      <c r="BP38" s="18">
        <v>23</v>
      </c>
      <c r="BQ38" s="18"/>
      <c r="BR38" s="18">
        <v>362</v>
      </c>
      <c r="BS38" s="18">
        <v>615</v>
      </c>
      <c r="BT38" s="18">
        <v>5.87</v>
      </c>
      <c r="BU38" s="18"/>
      <c r="BV38" s="18">
        <v>5.87</v>
      </c>
      <c r="BW38" s="18">
        <v>201</v>
      </c>
      <c r="BX38" s="18">
        <v>1.3919999999999999</v>
      </c>
      <c r="BY38" s="18">
        <v>7.59</v>
      </c>
      <c r="BZ38" s="18"/>
      <c r="CA38" s="18">
        <v>0.22</v>
      </c>
      <c r="CB38" s="18">
        <v>0.184</v>
      </c>
      <c r="CC38" s="18"/>
      <c r="CD38" s="18"/>
      <c r="CE38" s="18"/>
      <c r="CF38" s="18"/>
      <c r="CG38" s="18"/>
      <c r="CH38" s="18">
        <v>0.86</v>
      </c>
      <c r="CI38" s="18">
        <v>40.06</v>
      </c>
      <c r="CJ38" s="18">
        <v>1.4E-2</v>
      </c>
      <c r="CK38" s="18">
        <v>0.33200000000000002</v>
      </c>
      <c r="CL38" s="18"/>
      <c r="CM38" s="18">
        <v>5.9690000000000003</v>
      </c>
      <c r="CN38" s="18"/>
      <c r="CO38" s="18"/>
      <c r="CP38" s="18"/>
      <c r="CQ38" s="18"/>
      <c r="CR38" s="18">
        <v>2.3E-2</v>
      </c>
      <c r="CS38" s="18">
        <v>59.38</v>
      </c>
      <c r="CT38" s="18">
        <v>0.78</v>
      </c>
      <c r="CU38" s="18">
        <v>7.04</v>
      </c>
      <c r="CV38" s="18">
        <v>10.5</v>
      </c>
      <c r="CW38" s="18">
        <v>0.96699999999999997</v>
      </c>
      <c r="CX38" s="18">
        <v>2.56</v>
      </c>
      <c r="CY38" s="18">
        <v>0.13700000000000001</v>
      </c>
      <c r="CZ38" s="18">
        <v>1.7999999999999999E-2</v>
      </c>
      <c r="DA38" s="18">
        <v>4.1000000000000002E-2</v>
      </c>
      <c r="DB38" s="18">
        <v>7.0000000000000001E-3</v>
      </c>
      <c r="DC38" s="18">
        <v>2E-3</v>
      </c>
      <c r="DD38" s="18">
        <v>6.0000000000000001E-3</v>
      </c>
      <c r="DE38" s="18"/>
      <c r="DF38" s="18" t="s">
        <v>1366</v>
      </c>
      <c r="DG38" s="18">
        <v>3.0000000000000001E-3</v>
      </c>
      <c r="DH38" s="18">
        <v>8.9999999999999993E-3</v>
      </c>
      <c r="DI38" s="18">
        <v>0.26800000000000002</v>
      </c>
      <c r="DJ38" s="18"/>
      <c r="DK38" s="18">
        <v>0.39700000000000002</v>
      </c>
      <c r="DL38" s="18">
        <v>1.0680000000000001</v>
      </c>
      <c r="DM38" s="18">
        <v>0.16600000000000001</v>
      </c>
      <c r="DN38" s="18"/>
      <c r="DO38" s="18"/>
      <c r="DP38" s="18"/>
      <c r="DQ38" s="18"/>
      <c r="DR38" s="18"/>
      <c r="DS38" s="18"/>
      <c r="DT38" s="18"/>
      <c r="DU38" s="18"/>
      <c r="DV38" s="28"/>
      <c r="DW38" s="28"/>
      <c r="DX38" s="28"/>
      <c r="DY38" s="28"/>
      <c r="DZ38" s="28"/>
      <c r="EA38" s="28"/>
      <c r="EB38" s="28"/>
      <c r="EC38" s="28"/>
      <c r="ED38" s="28"/>
      <c r="EE38" s="28"/>
      <c r="EF38" s="28"/>
      <c r="EG38" s="28"/>
      <c r="EH38" s="28"/>
      <c r="EI38" s="28"/>
      <c r="EJ38" s="18"/>
      <c r="EK38" s="18"/>
      <c r="EL38" s="18">
        <f>IFERROR(CR38/'McDonough &amp; Sun 1995 values'!C$2,)</f>
        <v>1.0952380952380951</v>
      </c>
      <c r="EM38" s="18">
        <f>IFERROR(CH38/'McDonough &amp; Sun 1995 values'!D$2,)</f>
        <v>1.4333333333333333</v>
      </c>
      <c r="EN38" s="18">
        <f>IFERROR(CS38/'McDonough &amp; Sun 1995 values'!E$2,)</f>
        <v>8.9969696969696979</v>
      </c>
      <c r="EO38" s="18">
        <f>IFERROR(DL38/'McDonough &amp; Sun 1995 values'!F$2,)</f>
        <v>13.433962264150944</v>
      </c>
      <c r="EP38" s="18">
        <f>IFERROR(DM38/'McDonough &amp; Sun 1995 values'!G$2,)</f>
        <v>8.1773399014778327</v>
      </c>
      <c r="EQ38" s="18">
        <f>IFERROR(BR38/'McDonough &amp; Sun 1995 values'!H$2,)</f>
        <v>1.5083333333333333</v>
      </c>
      <c r="ER38" s="18">
        <f>IFERROR(DI38/'McDonough &amp; Sun 1995 values'!I$2,)</f>
        <v>7.2432432432432439</v>
      </c>
      <c r="ES38" s="18">
        <f>IFERROR(CM38/'McDonough &amp; Sun 1995 values'!J$2,)</f>
        <v>9.0714285714285712</v>
      </c>
      <c r="ET38" s="18">
        <f>IFERROR(CU38/'McDonough &amp; Sun 1995 values'!K$2,)</f>
        <v>10.864197530864198</v>
      </c>
      <c r="EU38" s="18">
        <f>IFERROR(CV38/'McDonough &amp; Sun 1995 values'!L$2,)</f>
        <v>6.2686567164179099</v>
      </c>
      <c r="EV38" s="18">
        <f>IFERROR(CW38/'McDonough &amp; Sun 1995 values'!M$2,)</f>
        <v>3.8070866141732282</v>
      </c>
      <c r="EW38" s="18">
        <f>IFERROR(CI38/'McDonough &amp; Sun 1995 values'!N$2,)</f>
        <v>2.013065326633166</v>
      </c>
      <c r="EX38" s="18">
        <f>IFERROR(CX38/'McDonough &amp; Sun 1995 values'!O$2,)</f>
        <v>2.048</v>
      </c>
      <c r="EY38" s="18">
        <f>IFERROR(CY38/'McDonough &amp; Sun 1995 values'!P$2,)</f>
        <v>0.33743842364532017</v>
      </c>
      <c r="EZ38" s="18">
        <f>IFERROR(DH38/'McDonough &amp; Sun 1995 values'!Q$2,)</f>
        <v>3.180212014134276E-2</v>
      </c>
      <c r="FA38" s="18">
        <f>IFERROR(CK38/'McDonough &amp; Sun 1995 values'!R$2,)</f>
        <v>3.1619047619047623E-2</v>
      </c>
      <c r="FB38" s="18">
        <f>IFERROR(CZ38/'McDonough &amp; Sun 1995 values'!S$2,)</f>
        <v>0.11688311688311688</v>
      </c>
      <c r="FC38" s="18">
        <f>IFERROR(BT38/'McDonough &amp; Sun 1995 values'!T$2,)</f>
        <v>4.8713692946058089E-3</v>
      </c>
      <c r="FD38" s="18">
        <f>IFERROR(DA38/'McDonough &amp; Sun 1995 values'!U$2,)</f>
        <v>7.5367647058823525E-2</v>
      </c>
      <c r="FE38" s="18">
        <f>IFERROR(DN38/'McDonough &amp; Sun 1995 values'!V$2,)</f>
        <v>0</v>
      </c>
      <c r="FF38" s="18">
        <f>IFERROR(DB38/'McDonough &amp; Sun 1995 values'!W$2,)</f>
        <v>1.0385756676557863E-2</v>
      </c>
      <c r="FG38" s="18">
        <f>IFERROR(CJ38/'McDonough &amp; Sun 1995 values'!X$2,)</f>
        <v>3.2558139534883722E-3</v>
      </c>
      <c r="FH38" s="18">
        <f>IFERROR(DC38/'McDonough &amp; Sun 1995 values'!Y$2,)</f>
        <v>1.342281879194631E-2</v>
      </c>
      <c r="FI38" s="18">
        <f>IFERROR(DD38/'McDonough &amp; Sun 1995 values'!Z$2,)</f>
        <v>1.3698630136986302E-2</v>
      </c>
      <c r="FJ38" s="18">
        <f>IFERROR(DE38/'McDonough &amp; Sun 1995 values'!AA$2,)</f>
        <v>0</v>
      </c>
      <c r="FK38" s="18">
        <f>IFERROR(DF38/'McDonough &amp; Sun 1995 values'!AB$2,)</f>
        <v>0</v>
      </c>
      <c r="FL38" s="18">
        <f>IFERROR(DG38/'McDonough &amp; Sun 1995 values'!AC$2,)</f>
        <v>4.4444444444444439E-2</v>
      </c>
      <c r="FN38" s="28">
        <f t="shared" si="68"/>
        <v>5.4214408186593364</v>
      </c>
      <c r="FO38" s="4">
        <f t="shared" si="86"/>
        <v>1.1002318364366559</v>
      </c>
      <c r="FP38" s="4">
        <f t="shared" si="87"/>
        <v>1.4809092259693954</v>
      </c>
      <c r="FQ38" s="4">
        <f t="shared" si="88"/>
        <v>1.6428279154353262</v>
      </c>
      <c r="FR38" s="4">
        <f t="shared" si="89"/>
        <v>1.1976280742684944</v>
      </c>
      <c r="FS38" s="4">
        <f t="shared" si="90"/>
        <v>1.4999078680670719</v>
      </c>
      <c r="FT38" s="4">
        <f t="shared" si="91"/>
        <v>1.3086956521739133</v>
      </c>
      <c r="FU38" s="4">
        <f t="shared" si="92"/>
        <v>0.79846775909768042</v>
      </c>
      <c r="FV38" s="4">
        <f t="shared" si="93"/>
        <v>9.3703163017031646E-2</v>
      </c>
      <c r="FW38" s="4">
        <f t="shared" si="94"/>
        <v>0.99424338624338626</v>
      </c>
      <c r="FX38" s="4">
        <f t="shared" si="95"/>
        <v>0.56628584305334262</v>
      </c>
      <c r="FY38" s="4">
        <f t="shared" si="96"/>
        <v>0.72093566976930801</v>
      </c>
      <c r="FZ38" s="4">
        <f t="shared" si="97"/>
        <v>0.73292922460039844</v>
      </c>
      <c r="GA38" s="4">
        <f t="shared" si="98"/>
        <v>0.52876793481367546</v>
      </c>
      <c r="GB38" s="4">
        <f t="shared" si="99"/>
        <v>0.34638354346383543</v>
      </c>
      <c r="GC38" s="4">
        <f t="shared" si="100"/>
        <v>0.76411960132890355</v>
      </c>
      <c r="GD38" s="4">
        <f t="shared" si="101"/>
        <v>0.66971824991487916</v>
      </c>
      <c r="GE38" s="4">
        <f t="shared" si="102"/>
        <v>6.2769556025369981</v>
      </c>
      <c r="GF38" s="4">
        <f t="shared" si="103"/>
        <v>5.9648417880462086</v>
      </c>
      <c r="GG38" s="4">
        <f t="shared" si="104"/>
        <v>0.99179193509902186</v>
      </c>
      <c r="GH38" s="4">
        <f t="shared" si="105"/>
        <v>2.8536775313748772</v>
      </c>
      <c r="GI38" s="4">
        <f t="shared" si="106"/>
        <v>32.196089033072006</v>
      </c>
      <c r="GJ38" s="4">
        <f t="shared" si="107"/>
        <v>1046.0670194003528</v>
      </c>
      <c r="GK38" s="4">
        <f t="shared" si="108"/>
        <v>0</v>
      </c>
      <c r="GL38" s="4">
        <f t="shared" si="109"/>
        <v>6.4907925691571355</v>
      </c>
      <c r="GM38" s="4">
        <f t="shared" si="110"/>
        <v>9.3725318121983321</v>
      </c>
      <c r="GN38" s="4">
        <f t="shared" si="111"/>
        <v>0.83498376623376613</v>
      </c>
      <c r="GO38" s="4">
        <f t="shared" si="112"/>
        <v>1.1093373493975902</v>
      </c>
      <c r="GP38" s="4">
        <f t="shared" si="113"/>
        <v>0.18445281124497992</v>
      </c>
      <c r="GQ38" s="27">
        <f t="shared" si="114"/>
        <v>61772.006744345621</v>
      </c>
      <c r="GR38" s="28">
        <f t="shared" si="115"/>
        <v>3.9247407599998598</v>
      </c>
      <c r="GS38" s="28">
        <f t="shared" si="116"/>
        <v>146.75117624347303</v>
      </c>
      <c r="GT38" s="28">
        <f t="shared" si="117"/>
        <v>10132.656796903988</v>
      </c>
      <c r="GU38" s="28">
        <f t="shared" si="118"/>
        <v>182.24448398608047</v>
      </c>
      <c r="GV38" s="28">
        <f t="shared" si="119"/>
        <v>28.326389833042469</v>
      </c>
      <c r="GW38" s="28">
        <f t="shared" si="120"/>
        <v>61772.006744345621</v>
      </c>
      <c r="GX38" s="28">
        <f t="shared" si="121"/>
        <v>45.731761899128806</v>
      </c>
      <c r="GY38" s="28">
        <f t="shared" si="122"/>
        <v>1018.555547671268</v>
      </c>
      <c r="GZ38" s="28">
        <f t="shared" si="123"/>
        <v>1201.3119543651746</v>
      </c>
      <c r="HA38" s="28">
        <f t="shared" si="124"/>
        <v>1791.7294773912404</v>
      </c>
      <c r="HB38" s="28">
        <f t="shared" si="125"/>
        <v>165.00975282260279</v>
      </c>
      <c r="HC38" s="28">
        <f t="shared" si="126"/>
        <v>6835.8745585041042</v>
      </c>
      <c r="HD38" s="28">
        <f t="shared" si="127"/>
        <v>436.84071067824527</v>
      </c>
      <c r="HE38" s="28">
        <f t="shared" si="128"/>
        <v>23.377803657390469</v>
      </c>
      <c r="HF38" s="28">
        <f t="shared" si="129"/>
        <v>1.5357681234782059</v>
      </c>
      <c r="HG38" s="28">
        <f t="shared" si="130"/>
        <v>56.652779666084939</v>
      </c>
      <c r="HH38" s="28">
        <f t="shared" si="131"/>
        <v>3.0715362469564118</v>
      </c>
      <c r="HI38" s="28">
        <f t="shared" si="132"/>
        <v>1001.6620983130077</v>
      </c>
      <c r="HJ38" s="28">
        <f t="shared" si="133"/>
        <v>6.9962770069562721</v>
      </c>
      <c r="HK38" s="28">
        <f t="shared" si="134"/>
        <v>0</v>
      </c>
      <c r="HL38" s="28">
        <f t="shared" si="135"/>
        <v>1.194486318260827</v>
      </c>
      <c r="HM38" s="28">
        <f t="shared" si="136"/>
        <v>2.3889726365216539</v>
      </c>
      <c r="HN38" s="28">
        <f t="shared" si="137"/>
        <v>0.34128180521737916</v>
      </c>
      <c r="HO38" s="28">
        <f t="shared" si="138"/>
        <v>1.0238454156521375</v>
      </c>
      <c r="HP38" s="28">
        <f t="shared" si="139"/>
        <v>0</v>
      </c>
      <c r="HQ38" s="28" t="str">
        <f t="shared" si="140"/>
        <v/>
      </c>
      <c r="HR38" s="28">
        <f t="shared" si="141"/>
        <v>0.51192270782606875</v>
      </c>
      <c r="HT38" s="4">
        <f>IFERROR(GR38/'McDonough &amp; Sun 1995 values'!C$2,)</f>
        <v>186.89241714285046</v>
      </c>
      <c r="HU38" s="4">
        <f>IFERROR(GS38/'McDonough &amp; Sun 1995 values'!D$2,)</f>
        <v>244.58529373912171</v>
      </c>
      <c r="HV38" s="4">
        <f>IFERROR(GT38/'McDonough &amp; Sun 1995 values'!E$2,)</f>
        <v>1535.2510298339375</v>
      </c>
      <c r="HW38" s="4">
        <f>IFERROR(GU38/'McDonough &amp; Sun 1995 values'!F$2,)</f>
        <v>2292.3834463657922</v>
      </c>
      <c r="HX38" s="4">
        <f>IFERROR(GV38/'McDonough &amp; Sun 1995 values'!G$2,)</f>
        <v>1395.3886617262301</v>
      </c>
      <c r="HY38" s="4">
        <f>IFERROR(GW38/'McDonough &amp; Sun 1995 values'!H$2,)</f>
        <v>257.38336143477341</v>
      </c>
      <c r="HZ38" s="4">
        <f>IFERROR(GX38/'McDonough &amp; Sun 1995 values'!I$2,)</f>
        <v>1235.9935648413191</v>
      </c>
      <c r="IA38" s="4">
        <f>IFERROR(GY38/'McDonough &amp; Sun 1995 values'!J$2,)</f>
        <v>1547.9567593788265</v>
      </c>
      <c r="IB38" s="4">
        <f>IFERROR(GZ38/'McDonough &amp; Sun 1995 values'!K$2,)</f>
        <v>1853.8764727857633</v>
      </c>
      <c r="IC38" s="4">
        <f>IFERROR(HA38/'McDonough &amp; Sun 1995 values'!L$2,)</f>
        <v>1069.6892402335764</v>
      </c>
      <c r="ID38" s="4">
        <f>IFERROR(HB38/'McDonough &amp; Sun 1995 values'!M$2,)</f>
        <v>649.64469615197947</v>
      </c>
      <c r="IE38" s="4">
        <f>IFERROR(HC38/'McDonough &amp; Sun 1995 values'!N$2,)</f>
        <v>343.51128434693993</v>
      </c>
      <c r="IF38" s="4">
        <f>IFERROR(HD38/'McDonough &amp; Sun 1995 values'!O$2,)</f>
        <v>349.47256854259621</v>
      </c>
      <c r="IG38" s="4">
        <f>IFERROR(HE38/'McDonough &amp; Sun 1995 values'!P$2,)</f>
        <v>57.580797185690805</v>
      </c>
      <c r="IH38" s="4">
        <f>IFERROR(HF38/'McDonough &amp; Sun 1995 values'!Q$2,)</f>
        <v>5.4267424857887141</v>
      </c>
      <c r="II38" s="4">
        <f>IFERROR(HG38/'McDonough &amp; Sun 1995 values'!R$2,)</f>
        <v>5.3955028253414223</v>
      </c>
      <c r="IJ38" s="4">
        <f>IFERROR(HH38/'McDonough &amp; Sun 1995 values'!S$2,)</f>
        <v>19.945040564652025</v>
      </c>
      <c r="IK38" s="4">
        <f>IFERROR(HI38/'McDonough &amp; Sun 1995 values'!T$2,)</f>
        <v>0.83125485337179061</v>
      </c>
      <c r="IL38" s="4">
        <f>IFERROR(HJ38/'McDonough &amp; Sun 1995 values'!U$2,)</f>
        <v>12.860803321610794</v>
      </c>
      <c r="IM38" s="4">
        <f>IFERROR(HK38/'McDonough &amp; Sun 1995 values'!V$2,)</f>
        <v>0</v>
      </c>
      <c r="IN38" s="4">
        <f>IFERROR(HL38/'McDonough &amp; Sun 1995 values'!W$2,)</f>
        <v>1.7722348935620578</v>
      </c>
      <c r="IO38" s="4">
        <f>IFERROR(HM38/'McDonough &amp; Sun 1995 values'!X$2,)</f>
        <v>0.55557503174922185</v>
      </c>
      <c r="IP38" s="4">
        <f>IFERROR(HN38/'McDonough &amp; Sun 1995 values'!Y$2,)</f>
        <v>2.2904819142105985</v>
      </c>
      <c r="IQ38" s="4">
        <f>IFERROR(HO38/'McDonough &amp; Sun 1995 values'!Z$2,)</f>
        <v>2.3375466110779395</v>
      </c>
      <c r="IR38" s="4">
        <f>IFERROR(HP38/'McDonough &amp; Sun 1995 values'!AA$2,)</f>
        <v>0</v>
      </c>
      <c r="IS38" s="4">
        <f>IFERROR(HQ38/'McDonough &amp; Sun 1995 values'!AB$2,)</f>
        <v>0</v>
      </c>
      <c r="IT38" s="4">
        <f>IFERROR(HR38/'McDonough &amp; Sun 1995 values'!AC$2,)</f>
        <v>7.5840401159417583</v>
      </c>
    </row>
    <row r="39" spans="1:254">
      <c r="A39" s="16" t="s">
        <v>672</v>
      </c>
      <c r="B39" s="16" t="s">
        <v>24</v>
      </c>
      <c r="C39" s="16" t="str">
        <f t="shared" si="0"/>
        <v>high-Mg carbonatitic</v>
      </c>
      <c r="D39" s="16" t="s">
        <v>1723</v>
      </c>
      <c r="E39" s="16" t="s">
        <v>237</v>
      </c>
      <c r="F39" s="16" t="s">
        <v>29</v>
      </c>
      <c r="G39" s="16" t="s">
        <v>595</v>
      </c>
      <c r="H39" s="27">
        <v>360</v>
      </c>
      <c r="I39" s="16" t="s">
        <v>735</v>
      </c>
      <c r="J39" s="16" t="s">
        <v>1496</v>
      </c>
      <c r="K39" s="16">
        <v>0</v>
      </c>
      <c r="L39" s="16">
        <v>0</v>
      </c>
      <c r="M39" s="16" t="s">
        <v>40</v>
      </c>
      <c r="N39" s="16">
        <v>26</v>
      </c>
      <c r="O39" s="26">
        <v>7.96</v>
      </c>
      <c r="P39" s="26">
        <v>1.01</v>
      </c>
      <c r="Q39" s="26">
        <v>0.94</v>
      </c>
      <c r="R39" s="26">
        <v>5.51</v>
      </c>
      <c r="S39" s="26">
        <v>12.31</v>
      </c>
      <c r="T39" s="26">
        <v>22.79</v>
      </c>
      <c r="U39" s="26">
        <v>0.67</v>
      </c>
      <c r="V39" s="26">
        <v>27.09</v>
      </c>
      <c r="W39" s="26">
        <v>5.36</v>
      </c>
      <c r="X39" s="26">
        <v>8.27</v>
      </c>
      <c r="Y39" s="26"/>
      <c r="Z39" s="26">
        <v>6.32</v>
      </c>
      <c r="AA39" s="26"/>
      <c r="AB39" s="26"/>
      <c r="AC39" s="26"/>
      <c r="AD39" s="26">
        <v>1.77</v>
      </c>
      <c r="AE39" s="26"/>
      <c r="AF39" s="26" t="s">
        <v>34</v>
      </c>
      <c r="AG39" s="26"/>
      <c r="AH39" s="26"/>
      <c r="AI39" s="26"/>
      <c r="AJ39" s="26">
        <f t="shared" si="62"/>
        <v>98.39</v>
      </c>
      <c r="AK39" s="26">
        <f t="shared" si="73"/>
        <v>8.1232311162051669</v>
      </c>
      <c r="AL39" s="26">
        <f t="shared" si="74"/>
        <v>1.0307114858501532</v>
      </c>
      <c r="AM39" s="26">
        <f t="shared" si="75"/>
        <v>5.6229903832023194</v>
      </c>
      <c r="AN39" s="26">
        <f t="shared" si="76"/>
        <v>12.562434050312262</v>
      </c>
      <c r="AO39" s="26">
        <f t="shared" si="77"/>
        <v>23.25734134903464</v>
      </c>
      <c r="AP39" s="26">
        <f t="shared" si="78"/>
        <v>27.645518962060045</v>
      </c>
      <c r="AQ39" s="26">
        <f t="shared" si="79"/>
        <v>0</v>
      </c>
      <c r="AR39" s="26">
        <f t="shared" si="80"/>
        <v>5.4699144199572478</v>
      </c>
      <c r="AS39" s="26">
        <f t="shared" si="81"/>
        <v>8.4395881069116498</v>
      </c>
      <c r="AT39" s="26">
        <f t="shared" si="82"/>
        <v>6.4496005847257107</v>
      </c>
      <c r="AU39" s="26">
        <f t="shared" si="83"/>
        <v>1.8062963662918523</v>
      </c>
      <c r="AV39" s="26">
        <f t="shared" si="7"/>
        <v>100.40762682455103</v>
      </c>
      <c r="AW39" s="26"/>
      <c r="AX39" s="26"/>
      <c r="AY39" s="26"/>
      <c r="AZ39" s="26"/>
      <c r="BA39" s="26"/>
      <c r="BB39" s="26">
        <v>0.04</v>
      </c>
      <c r="BC39" s="26">
        <f t="shared" si="84"/>
        <v>4.0000000000000036E-2</v>
      </c>
      <c r="BD39" s="26">
        <f t="shared" si="85"/>
        <v>0.96</v>
      </c>
      <c r="BE39" s="16"/>
      <c r="BF39" s="16"/>
      <c r="BG39" s="16">
        <v>1187</v>
      </c>
      <c r="BH39" s="16">
        <v>4</v>
      </c>
      <c r="BI39" s="16"/>
      <c r="BJ39" s="16"/>
      <c r="BK39" s="18"/>
      <c r="BL39" s="18"/>
      <c r="BM39" s="18"/>
      <c r="BN39" s="18">
        <v>33</v>
      </c>
      <c r="BO39" s="18">
        <v>68</v>
      </c>
      <c r="BP39" s="18">
        <v>3</v>
      </c>
      <c r="BQ39" s="18"/>
      <c r="BR39" s="18">
        <v>87</v>
      </c>
      <c r="BS39" s="18">
        <v>95</v>
      </c>
      <c r="BT39" s="18">
        <v>2.59</v>
      </c>
      <c r="BU39" s="18"/>
      <c r="BV39" s="18">
        <v>0.93</v>
      </c>
      <c r="BW39" s="18">
        <v>25</v>
      </c>
      <c r="BX39" s="18">
        <v>1.6220000000000001</v>
      </c>
      <c r="BY39" s="18">
        <v>0.27400000000000002</v>
      </c>
      <c r="BZ39" s="18"/>
      <c r="CA39" s="18">
        <v>0.05</v>
      </c>
      <c r="CB39" s="18">
        <v>3.6999999999999998E-2</v>
      </c>
      <c r="CC39" s="18"/>
      <c r="CD39" s="18"/>
      <c r="CE39" s="18"/>
      <c r="CF39" s="18"/>
      <c r="CG39" s="18"/>
      <c r="CH39" s="18">
        <v>0.33</v>
      </c>
      <c r="CI39" s="18">
        <v>3.26</v>
      </c>
      <c r="CJ39" s="18">
        <v>7.0000000000000001E-3</v>
      </c>
      <c r="CK39" s="18">
        <v>0.20899999999999999</v>
      </c>
      <c r="CL39" s="18"/>
      <c r="CM39" s="18">
        <v>0.76900000000000002</v>
      </c>
      <c r="CN39" s="18"/>
      <c r="CO39" s="18"/>
      <c r="CP39" s="18"/>
      <c r="CQ39" s="18"/>
      <c r="CR39" s="18">
        <v>8.0000000000000002E-3</v>
      </c>
      <c r="CS39" s="18">
        <v>7.09</v>
      </c>
      <c r="CT39" s="18">
        <v>8.8999999999999996E-2</v>
      </c>
      <c r="CU39" s="18">
        <v>0.66</v>
      </c>
      <c r="CV39" s="18">
        <v>0.8</v>
      </c>
      <c r="CW39" s="18">
        <v>8.5999999999999993E-2</v>
      </c>
      <c r="CX39" s="18">
        <v>0.25800000000000001</v>
      </c>
      <c r="CY39" s="18">
        <v>2.9000000000000001E-2</v>
      </c>
      <c r="CZ39" s="18">
        <v>5.0000000000000001E-3</v>
      </c>
      <c r="DA39" s="18">
        <v>1.9E-2</v>
      </c>
      <c r="DB39" s="18">
        <v>4.0000000000000001E-3</v>
      </c>
      <c r="DC39" s="18">
        <v>1E-3</v>
      </c>
      <c r="DD39" s="18" t="s">
        <v>1366</v>
      </c>
      <c r="DE39" s="18"/>
      <c r="DF39" s="18">
        <v>8.0000000000000002E-3</v>
      </c>
      <c r="DG39" s="18">
        <v>3.0000000000000001E-3</v>
      </c>
      <c r="DH39" s="18">
        <v>5.0000000000000001E-3</v>
      </c>
      <c r="DI39" s="18">
        <v>3.2000000000000001E-2</v>
      </c>
      <c r="DJ39" s="18"/>
      <c r="DK39" s="18">
        <v>7.0000000000000007E-2</v>
      </c>
      <c r="DL39" s="18">
        <v>7.3999999999999996E-2</v>
      </c>
      <c r="DM39" s="18">
        <v>1.2999999999999999E-2</v>
      </c>
      <c r="DN39" s="18"/>
      <c r="DO39" s="18"/>
      <c r="DP39" s="18"/>
      <c r="DQ39" s="18"/>
      <c r="DR39" s="18"/>
      <c r="DS39" s="18"/>
      <c r="DT39" s="18"/>
      <c r="DU39" s="18"/>
      <c r="DV39" s="28"/>
      <c r="DW39" s="28"/>
      <c r="DX39" s="28"/>
      <c r="DY39" s="28"/>
      <c r="DZ39" s="28"/>
      <c r="EA39" s="28"/>
      <c r="EB39" s="28"/>
      <c r="EC39" s="28"/>
      <c r="ED39" s="28"/>
      <c r="EE39" s="28"/>
      <c r="EF39" s="28"/>
      <c r="EG39" s="28"/>
      <c r="EH39" s="28"/>
      <c r="EI39" s="28"/>
      <c r="EJ39" s="18"/>
      <c r="EK39" s="18"/>
      <c r="EL39" s="18">
        <f>IFERROR(CR39/'McDonough &amp; Sun 1995 values'!C$2,)</f>
        <v>0.38095238095238093</v>
      </c>
      <c r="EM39" s="18">
        <f>IFERROR(CH39/'McDonough &amp; Sun 1995 values'!D$2,)</f>
        <v>0.55000000000000004</v>
      </c>
      <c r="EN39" s="18">
        <f>IFERROR(CS39/'McDonough &amp; Sun 1995 values'!E$2,)</f>
        <v>1.0742424242424242</v>
      </c>
      <c r="EO39" s="18">
        <f>IFERROR(DL39/'McDonough &amp; Sun 1995 values'!F$2,)</f>
        <v>0.93081761006289299</v>
      </c>
      <c r="EP39" s="18">
        <f>IFERROR(DM39/'McDonough &amp; Sun 1995 values'!G$2,)</f>
        <v>0.64039408866995073</v>
      </c>
      <c r="EQ39" s="18">
        <f>IFERROR(BR39/'McDonough &amp; Sun 1995 values'!H$2,)</f>
        <v>0.36249999999999999</v>
      </c>
      <c r="ER39" s="18">
        <f>IFERROR(DI39/'McDonough &amp; Sun 1995 values'!I$2,)</f>
        <v>0.86486486486486491</v>
      </c>
      <c r="ES39" s="18">
        <f>IFERROR(CM39/'McDonough &amp; Sun 1995 values'!J$2,)</f>
        <v>1.168693009118541</v>
      </c>
      <c r="ET39" s="18">
        <f>IFERROR(CU39/'McDonough &amp; Sun 1995 values'!K$2,)</f>
        <v>1.0185185185185186</v>
      </c>
      <c r="EU39" s="18">
        <f>IFERROR(CV39/'McDonough &amp; Sun 1995 values'!L$2,)</f>
        <v>0.47761194029850745</v>
      </c>
      <c r="EV39" s="18">
        <f>IFERROR(CW39/'McDonough &amp; Sun 1995 values'!M$2,)</f>
        <v>0.33858267716535428</v>
      </c>
      <c r="EW39" s="18">
        <f>IFERROR(CI39/'McDonough &amp; Sun 1995 values'!N$2,)</f>
        <v>0.16381909547738693</v>
      </c>
      <c r="EX39" s="18">
        <f>IFERROR(CX39/'McDonough &amp; Sun 1995 values'!O$2,)</f>
        <v>0.2064</v>
      </c>
      <c r="EY39" s="18">
        <f>IFERROR(CY39/'McDonough &amp; Sun 1995 values'!P$2,)</f>
        <v>7.1428571428571425E-2</v>
      </c>
      <c r="EZ39" s="18">
        <f>IFERROR(DH39/'McDonough &amp; Sun 1995 values'!Q$2,)</f>
        <v>1.7667844522968199E-2</v>
      </c>
      <c r="FA39" s="18">
        <f>IFERROR(CK39/'McDonough &amp; Sun 1995 values'!R$2,)</f>
        <v>1.9904761904761904E-2</v>
      </c>
      <c r="FB39" s="18">
        <f>IFERROR(CZ39/'McDonough &amp; Sun 1995 values'!S$2,)</f>
        <v>3.2467532467532471E-2</v>
      </c>
      <c r="FC39" s="18">
        <f>IFERROR(BT39/'McDonough &amp; Sun 1995 values'!T$2,)</f>
        <v>2.1493775933609958E-3</v>
      </c>
      <c r="FD39" s="18">
        <f>IFERROR(DA39/'McDonough &amp; Sun 1995 values'!U$2,)</f>
        <v>3.4926470588235288E-2</v>
      </c>
      <c r="FE39" s="18">
        <f>IFERROR(DN39/'McDonough &amp; Sun 1995 values'!V$2,)</f>
        <v>0</v>
      </c>
      <c r="FF39" s="18">
        <f>IFERROR(DB39/'McDonough &amp; Sun 1995 values'!W$2,)</f>
        <v>5.9347181008902071E-3</v>
      </c>
      <c r="FG39" s="18">
        <f>IFERROR(CJ39/'McDonough &amp; Sun 1995 values'!X$2,)</f>
        <v>1.6279069767441861E-3</v>
      </c>
      <c r="FH39" s="18">
        <f>IFERROR(DC39/'McDonough &amp; Sun 1995 values'!Y$2,)</f>
        <v>6.7114093959731551E-3</v>
      </c>
      <c r="FI39" s="18">
        <f>IFERROR(DD39/'McDonough &amp; Sun 1995 values'!Z$2,)</f>
        <v>0</v>
      </c>
      <c r="FJ39" s="18">
        <f>IFERROR(DE39/'McDonough &amp; Sun 1995 values'!AA$2,)</f>
        <v>0</v>
      </c>
      <c r="FK39" s="18">
        <f>IFERROR(DF39/'McDonough &amp; Sun 1995 values'!AB$2,)</f>
        <v>1.8140589569160998E-2</v>
      </c>
      <c r="FL39" s="18">
        <f>IFERROR(DG39/'McDonough &amp; Sun 1995 values'!AC$2,)</f>
        <v>4.4444444444444439E-2</v>
      </c>
      <c r="FN39" s="28">
        <f t="shared" si="68"/>
        <v>1.7666043825377953</v>
      </c>
      <c r="FO39" s="4">
        <f t="shared" si="86"/>
        <v>1.6774708624708625</v>
      </c>
      <c r="FP39" s="4">
        <f t="shared" si="87"/>
        <v>0.79646032174432202</v>
      </c>
      <c r="FQ39" s="4">
        <f t="shared" si="88"/>
        <v>1.4535074987905174</v>
      </c>
      <c r="FR39" s="4">
        <f t="shared" si="89"/>
        <v>0.87150219139816032</v>
      </c>
      <c r="FS39" s="4">
        <f t="shared" si="90"/>
        <v>1.177662037037037</v>
      </c>
      <c r="FT39" s="4">
        <f t="shared" si="91"/>
        <v>1.4437500000000001</v>
      </c>
      <c r="FU39" s="4">
        <f t="shared" si="92"/>
        <v>0.74002741362949431</v>
      </c>
      <c r="FV39" s="4">
        <f t="shared" si="93"/>
        <v>0.27866666666666667</v>
      </c>
      <c r="FW39" s="4">
        <f t="shared" si="94"/>
        <v>1.1266095238095237</v>
      </c>
      <c r="FX39" s="4">
        <f t="shared" si="95"/>
        <v>0.61054994388327744</v>
      </c>
      <c r="FY39" s="4">
        <f t="shared" si="96"/>
        <v>0.61969402657448702</v>
      </c>
      <c r="FZ39" s="4">
        <f t="shared" si="97"/>
        <v>0.6500338169771015</v>
      </c>
      <c r="GA39" s="4">
        <f t="shared" si="98"/>
        <v>0.48383779361925916</v>
      </c>
      <c r="GB39" s="4">
        <f t="shared" si="99"/>
        <v>0.45454545454545464</v>
      </c>
      <c r="GC39" s="4">
        <f t="shared" si="100"/>
        <v>0.6926406926406925</v>
      </c>
      <c r="GD39" s="4">
        <f t="shared" si="101"/>
        <v>1.1540847665847667</v>
      </c>
      <c r="GE39" s="4">
        <f t="shared" si="102"/>
        <v>1.9531680440771348</v>
      </c>
      <c r="GF39" s="4">
        <f t="shared" si="103"/>
        <v>2.9634273772204809</v>
      </c>
      <c r="GG39" s="4">
        <f t="shared" si="104"/>
        <v>0.91918272451432403</v>
      </c>
      <c r="GH39" s="4">
        <f t="shared" si="105"/>
        <v>3.0081826012058577</v>
      </c>
      <c r="GI39" s="4">
        <f t="shared" si="106"/>
        <v>14.259259259259261</v>
      </c>
      <c r="GJ39" s="4">
        <f t="shared" si="107"/>
        <v>171.62037037037041</v>
      </c>
      <c r="GK39" s="4">
        <f t="shared" si="108"/>
        <v>56.145833333333336</v>
      </c>
      <c r="GL39" s="4">
        <f t="shared" si="109"/>
        <v>9.2607096892811178</v>
      </c>
      <c r="GM39" s="4">
        <f t="shared" si="110"/>
        <v>1.6923956546598053</v>
      </c>
      <c r="GN39" s="4">
        <f t="shared" si="111"/>
        <v>1.1474440453163857</v>
      </c>
      <c r="GO39" s="4">
        <f t="shared" si="112"/>
        <v>1.8249590834697218</v>
      </c>
      <c r="GP39" s="4">
        <f t="shared" si="113"/>
        <v>0.56605769230769232</v>
      </c>
      <c r="GQ39" s="27">
        <f t="shared" si="114"/>
        <v>70060.169239358889</v>
      </c>
      <c r="GR39" s="28">
        <f t="shared" si="115"/>
        <v>6.4423144128146106</v>
      </c>
      <c r="GS39" s="28">
        <f t="shared" si="116"/>
        <v>265.74546952860271</v>
      </c>
      <c r="GT39" s="28">
        <f t="shared" si="117"/>
        <v>5709.5011483569479</v>
      </c>
      <c r="GU39" s="28">
        <f t="shared" si="118"/>
        <v>59.591408318535144</v>
      </c>
      <c r="GV39" s="28">
        <f t="shared" si="119"/>
        <v>10.468760920823742</v>
      </c>
      <c r="GW39" s="28">
        <f t="shared" si="120"/>
        <v>70060.169239358889</v>
      </c>
      <c r="GX39" s="28">
        <f t="shared" si="121"/>
        <v>25.769257651258442</v>
      </c>
      <c r="GY39" s="28">
        <f t="shared" si="122"/>
        <v>619.26747293180449</v>
      </c>
      <c r="GZ39" s="28">
        <f t="shared" si="123"/>
        <v>531.49093905720542</v>
      </c>
      <c r="HA39" s="28">
        <f t="shared" si="124"/>
        <v>644.231441281461</v>
      </c>
      <c r="HB39" s="28">
        <f t="shared" si="125"/>
        <v>69.254879937757053</v>
      </c>
      <c r="HC39" s="28">
        <f t="shared" si="126"/>
        <v>2625.2431232219533</v>
      </c>
      <c r="HD39" s="28">
        <f t="shared" si="127"/>
        <v>207.7646398132712</v>
      </c>
      <c r="HE39" s="28">
        <f t="shared" si="128"/>
        <v>23.353389746452965</v>
      </c>
      <c r="HF39" s="28">
        <f t="shared" si="129"/>
        <v>4.0264465080091316</v>
      </c>
      <c r="HG39" s="28">
        <f t="shared" si="130"/>
        <v>168.30546403478169</v>
      </c>
      <c r="HH39" s="28">
        <f t="shared" si="131"/>
        <v>4.0264465080091316</v>
      </c>
      <c r="HI39" s="28">
        <f t="shared" si="132"/>
        <v>2085.69929114873</v>
      </c>
      <c r="HJ39" s="28">
        <f t="shared" si="133"/>
        <v>15.3004967304347</v>
      </c>
      <c r="HK39" s="28">
        <f t="shared" si="134"/>
        <v>0</v>
      </c>
      <c r="HL39" s="28">
        <f t="shared" si="135"/>
        <v>3.2211572064073053</v>
      </c>
      <c r="HM39" s="28">
        <f t="shared" si="136"/>
        <v>5.6370251112127843</v>
      </c>
      <c r="HN39" s="28">
        <f t="shared" si="137"/>
        <v>0.80528930160182632</v>
      </c>
      <c r="HO39" s="28" t="str">
        <f t="shared" si="138"/>
        <v/>
      </c>
      <c r="HP39" s="28">
        <f t="shared" si="139"/>
        <v>0</v>
      </c>
      <c r="HQ39" s="28">
        <f t="shared" si="140"/>
        <v>6.4423144128146106</v>
      </c>
      <c r="HR39" s="28">
        <f t="shared" si="141"/>
        <v>2.415867904805479</v>
      </c>
      <c r="HT39" s="4">
        <f>IFERROR(GR39/'McDonough &amp; Sun 1995 values'!C$2,)</f>
        <v>306.77687680069573</v>
      </c>
      <c r="HU39" s="4">
        <f>IFERROR(GS39/'McDonough &amp; Sun 1995 values'!D$2,)</f>
        <v>442.90911588100454</v>
      </c>
      <c r="HV39" s="4">
        <f>IFERROR(GT39/'McDonough &amp; Sun 1995 values'!E$2,)</f>
        <v>865.07593156923463</v>
      </c>
      <c r="HW39" s="4">
        <f>IFERROR(GU39/'McDonough &amp; Sun 1995 values'!F$2,)</f>
        <v>749.57746312622817</v>
      </c>
      <c r="HX39" s="4">
        <f>IFERROR(GV39/'McDonough &amp; Sun 1995 values'!G$2,)</f>
        <v>515.70250841496272</v>
      </c>
      <c r="HY39" s="4">
        <f>IFERROR(GW39/'McDonough &amp; Sun 1995 values'!H$2,)</f>
        <v>291.91737183066203</v>
      </c>
      <c r="HZ39" s="4">
        <f>IFERROR(GX39/'McDonough &amp; Sun 1995 values'!I$2,)</f>
        <v>696.466423006985</v>
      </c>
      <c r="IA39" s="4">
        <f>IFERROR(GY39/'McDonough &amp; Sun 1995 values'!J$2,)</f>
        <v>941.13597710000681</v>
      </c>
      <c r="IB39" s="4">
        <f>IFERROR(GZ39/'McDonough &amp; Sun 1995 values'!K$2,)</f>
        <v>820.20206644630468</v>
      </c>
      <c r="IC39" s="4">
        <f>IFERROR(HA39/'McDonough &amp; Sun 1995 values'!L$2,)</f>
        <v>384.61578583967821</v>
      </c>
      <c r="ID39" s="4">
        <f>IFERROR(HB39/'McDonough &amp; Sun 1995 values'!M$2,)</f>
        <v>272.65700762896478</v>
      </c>
      <c r="IE39" s="4">
        <f>IFERROR(HC39/'McDonough &amp; Sun 1995 values'!N$2,)</f>
        <v>131.92176498602782</v>
      </c>
      <c r="IF39" s="4">
        <f>IFERROR(HD39/'McDonough &amp; Sun 1995 values'!O$2,)</f>
        <v>166.21171185061695</v>
      </c>
      <c r="IG39" s="4">
        <f>IFERROR(HE39/'McDonough &amp; Sun 1995 values'!P$2,)</f>
        <v>57.52066440013045</v>
      </c>
      <c r="IH39" s="4">
        <f>IFERROR(HF39/'McDonough &amp; Sun 1995 values'!Q$2,)</f>
        <v>14.227726176710714</v>
      </c>
      <c r="II39" s="4">
        <f>IFERROR(HG39/'McDonough &amp; Sun 1995 values'!R$2,)</f>
        <v>16.029091812836352</v>
      </c>
      <c r="IJ39" s="4">
        <f>IFERROR(HH39/'McDonough &amp; Sun 1995 values'!S$2,)</f>
        <v>26.145756545513841</v>
      </c>
      <c r="IK39" s="4">
        <f>IFERROR(HI39/'McDonough &amp; Sun 1995 values'!T$2,)</f>
        <v>1.7308707810362904</v>
      </c>
      <c r="IL39" s="4">
        <f>IFERROR(HJ39/'McDonough &amp; Sun 1995 values'!U$2,)</f>
        <v>28.125913107416725</v>
      </c>
      <c r="IM39" s="4">
        <f>IFERROR(HK39/'McDonough &amp; Sun 1995 values'!V$2,)</f>
        <v>0</v>
      </c>
      <c r="IN39" s="4">
        <f>IFERROR(HL39/'McDonough &amp; Sun 1995 values'!W$2,)</f>
        <v>4.7791649946695918</v>
      </c>
      <c r="IO39" s="4">
        <f>IFERROR(HM39/'McDonough &amp; Sun 1995 values'!X$2,)</f>
        <v>1.3109360723750663</v>
      </c>
      <c r="IP39" s="4">
        <f>IFERROR(HN39/'McDonough &amp; Sun 1995 values'!Y$2,)</f>
        <v>5.4046261852471567</v>
      </c>
      <c r="IQ39" s="4">
        <f>IFERROR(HO39/'McDonough &amp; Sun 1995 values'!Z$2,)</f>
        <v>0</v>
      </c>
      <c r="IR39" s="4">
        <f>IFERROR(HP39/'McDonough &amp; Sun 1995 values'!AA$2,)</f>
        <v>0</v>
      </c>
      <c r="IS39" s="4">
        <f>IFERROR(HQ39/'McDonough &amp; Sun 1995 values'!AB$2,)</f>
        <v>14.608422704795036</v>
      </c>
      <c r="IT39" s="4">
        <f>IFERROR(HR39/'McDonough &amp; Sun 1995 values'!AC$2,)</f>
        <v>35.790635626747836</v>
      </c>
    </row>
    <row r="40" spans="1:254">
      <c r="A40" s="16" t="s">
        <v>672</v>
      </c>
      <c r="B40" s="16" t="s">
        <v>24</v>
      </c>
      <c r="C40" s="16" t="str">
        <f t="shared" si="0"/>
        <v>high-Mg carbonatitic</v>
      </c>
      <c r="D40" s="16" t="s">
        <v>1723</v>
      </c>
      <c r="E40" s="16" t="s">
        <v>237</v>
      </c>
      <c r="F40" s="16" t="s">
        <v>29</v>
      </c>
      <c r="G40" s="16" t="s">
        <v>595</v>
      </c>
      <c r="H40" s="27">
        <v>360</v>
      </c>
      <c r="I40" s="16" t="s">
        <v>735</v>
      </c>
      <c r="J40" s="16" t="s">
        <v>1496</v>
      </c>
      <c r="K40" s="16">
        <v>0</v>
      </c>
      <c r="L40" s="16">
        <v>0</v>
      </c>
      <c r="M40" s="16" t="s">
        <v>41</v>
      </c>
      <c r="N40" s="16">
        <v>27</v>
      </c>
      <c r="O40" s="26">
        <v>7.99</v>
      </c>
      <c r="P40" s="26">
        <v>0.78</v>
      </c>
      <c r="Q40" s="26">
        <v>0.46</v>
      </c>
      <c r="R40" s="26">
        <v>3.96</v>
      </c>
      <c r="S40" s="26">
        <v>22.82</v>
      </c>
      <c r="T40" s="26">
        <v>21.22</v>
      </c>
      <c r="U40" s="26">
        <v>0.61</v>
      </c>
      <c r="V40" s="26">
        <v>22.46</v>
      </c>
      <c r="W40" s="26">
        <v>5.98</v>
      </c>
      <c r="X40" s="26">
        <v>8.7200000000000006</v>
      </c>
      <c r="Y40" s="26"/>
      <c r="Z40" s="26">
        <v>1.1100000000000001</v>
      </c>
      <c r="AA40" s="26"/>
      <c r="AB40" s="26"/>
      <c r="AC40" s="26"/>
      <c r="AD40" s="26">
        <v>3.05</v>
      </c>
      <c r="AE40" s="26"/>
      <c r="AF40" s="26">
        <v>0.83</v>
      </c>
      <c r="AG40" s="26"/>
      <c r="AH40" s="26"/>
      <c r="AI40" s="26"/>
      <c r="AJ40" s="26">
        <f t="shared" si="62"/>
        <v>98.089999999999989</v>
      </c>
      <c r="AK40" s="26">
        <f t="shared" si="73"/>
        <v>8.2031416866535452</v>
      </c>
      <c r="AL40" s="26">
        <f t="shared" si="74"/>
        <v>0.80080732360322471</v>
      </c>
      <c r="AM40" s="26">
        <f t="shared" si="75"/>
        <v>4.0656371813702172</v>
      </c>
      <c r="AN40" s="26">
        <f t="shared" si="76"/>
        <v>23.42874759567383</v>
      </c>
      <c r="AO40" s="26">
        <f t="shared" si="77"/>
        <v>21.786065906231318</v>
      </c>
      <c r="AP40" s="26">
        <f t="shared" si="78"/>
        <v>23.059144215549267</v>
      </c>
      <c r="AQ40" s="26">
        <f t="shared" si="79"/>
        <v>0</v>
      </c>
      <c r="AR40" s="26">
        <f t="shared" si="80"/>
        <v>6.1395228142913894</v>
      </c>
      <c r="AS40" s="26">
        <f t="shared" si="81"/>
        <v>8.952615207461692</v>
      </c>
      <c r="AT40" s="26">
        <f t="shared" si="82"/>
        <v>1.1396104220507428</v>
      </c>
      <c r="AU40" s="26">
        <f t="shared" si="83"/>
        <v>3.1313619704997886</v>
      </c>
      <c r="AV40" s="26">
        <f t="shared" si="7"/>
        <v>100.706654323385</v>
      </c>
      <c r="AW40" s="26"/>
      <c r="AX40" s="26"/>
      <c r="AY40" s="26"/>
      <c r="AZ40" s="26"/>
      <c r="BA40" s="26"/>
      <c r="BB40" s="26">
        <v>0.05</v>
      </c>
      <c r="BC40" s="26">
        <f t="shared" si="84"/>
        <v>5.0000000000000044E-2</v>
      </c>
      <c r="BD40" s="26">
        <f t="shared" si="85"/>
        <v>0.95</v>
      </c>
      <c r="BE40" s="16">
        <v>-5.2</v>
      </c>
      <c r="BF40" s="16"/>
      <c r="BG40" s="16">
        <v>56</v>
      </c>
      <c r="BH40" s="16">
        <v>24</v>
      </c>
      <c r="BI40" s="16"/>
      <c r="BJ40" s="16"/>
      <c r="BK40" s="18"/>
      <c r="BL40" s="18"/>
      <c r="BM40" s="18"/>
      <c r="BN40" s="18">
        <v>64</v>
      </c>
      <c r="BO40" s="18">
        <v>112</v>
      </c>
      <c r="BP40" s="18">
        <v>7</v>
      </c>
      <c r="BQ40" s="18"/>
      <c r="BR40" s="18">
        <v>161</v>
      </c>
      <c r="BS40" s="18">
        <v>125</v>
      </c>
      <c r="BT40" s="18">
        <v>0.71</v>
      </c>
      <c r="BU40" s="18"/>
      <c r="BV40" s="18">
        <v>1.8</v>
      </c>
      <c r="BW40" s="18">
        <v>60</v>
      </c>
      <c r="BX40" s="18">
        <v>0.47199999999999998</v>
      </c>
      <c r="BY40" s="18">
        <v>0.59</v>
      </c>
      <c r="BZ40" s="18"/>
      <c r="CA40" s="18">
        <v>0.111</v>
      </c>
      <c r="CB40" s="18">
        <v>8.2000000000000003E-2</v>
      </c>
      <c r="CC40" s="18"/>
      <c r="CD40" s="18"/>
      <c r="CE40" s="18"/>
      <c r="CF40" s="18"/>
      <c r="CG40" s="18"/>
      <c r="CH40" s="18">
        <v>0.31</v>
      </c>
      <c r="CI40" s="18">
        <v>14.17</v>
      </c>
      <c r="CJ40" s="18">
        <v>1.4E-2</v>
      </c>
      <c r="CK40" s="18">
        <v>5.7000000000000002E-2</v>
      </c>
      <c r="CL40" s="18"/>
      <c r="CM40" s="18">
        <v>1.829</v>
      </c>
      <c r="CN40" s="18"/>
      <c r="CO40" s="18"/>
      <c r="CP40" s="18"/>
      <c r="CQ40" s="18"/>
      <c r="CR40" s="18">
        <v>1.7000000000000001E-2</v>
      </c>
      <c r="CS40" s="18">
        <v>26.59</v>
      </c>
      <c r="CT40" s="18">
        <v>0.19800000000000001</v>
      </c>
      <c r="CU40" s="18">
        <v>2.44</v>
      </c>
      <c r="CV40" s="18">
        <v>3.66</v>
      </c>
      <c r="CW40" s="18">
        <v>0.30499999999999999</v>
      </c>
      <c r="CX40" s="18">
        <v>0.59</v>
      </c>
      <c r="CY40" s="18">
        <v>3.5999999999999997E-2</v>
      </c>
      <c r="CZ40" s="18">
        <v>1.2E-2</v>
      </c>
      <c r="DA40" s="18">
        <v>1.9E-2</v>
      </c>
      <c r="DB40" s="18">
        <v>1.2999999999999999E-2</v>
      </c>
      <c r="DC40" s="18">
        <v>1.0999999999999999E-2</v>
      </c>
      <c r="DD40" s="18">
        <v>0.01</v>
      </c>
      <c r="DE40" s="18"/>
      <c r="DF40" s="18">
        <v>1.0999999999999999E-2</v>
      </c>
      <c r="DG40" s="18">
        <v>8.9999999999999993E-3</v>
      </c>
      <c r="DH40" s="18">
        <v>1.9E-2</v>
      </c>
      <c r="DI40" s="18">
        <v>8.2000000000000003E-2</v>
      </c>
      <c r="DJ40" s="18"/>
      <c r="DK40" s="18">
        <v>0.16600000000000001</v>
      </c>
      <c r="DL40" s="18">
        <v>0.42</v>
      </c>
      <c r="DM40" s="18">
        <v>5.6000000000000001E-2</v>
      </c>
      <c r="DN40" s="18"/>
      <c r="DO40" s="18"/>
      <c r="DP40" s="18"/>
      <c r="DQ40" s="18"/>
      <c r="DR40" s="18"/>
      <c r="DS40" s="18"/>
      <c r="DT40" s="18"/>
      <c r="DU40" s="18"/>
      <c r="DV40" s="28"/>
      <c r="DW40" s="28"/>
      <c r="DX40" s="28"/>
      <c r="DY40" s="28"/>
      <c r="DZ40" s="28"/>
      <c r="EA40" s="28"/>
      <c r="EB40" s="28"/>
      <c r="EC40" s="28"/>
      <c r="ED40" s="28"/>
      <c r="EE40" s="28"/>
      <c r="EF40" s="28"/>
      <c r="EG40" s="28"/>
      <c r="EH40" s="28"/>
      <c r="EI40" s="28"/>
      <c r="EJ40" s="18"/>
      <c r="EK40" s="18"/>
      <c r="EL40" s="18">
        <f>IFERROR(CR40/'McDonough &amp; Sun 1995 values'!C$2,)</f>
        <v>0.80952380952380953</v>
      </c>
      <c r="EM40" s="18">
        <f>IFERROR(CH40/'McDonough &amp; Sun 1995 values'!D$2,)</f>
        <v>0.51666666666666672</v>
      </c>
      <c r="EN40" s="18">
        <f>IFERROR(CS40/'McDonough &amp; Sun 1995 values'!E$2,)</f>
        <v>4.0287878787878793</v>
      </c>
      <c r="EO40" s="18">
        <f>IFERROR(DL40/'McDonough &amp; Sun 1995 values'!F$2,)</f>
        <v>5.283018867924528</v>
      </c>
      <c r="EP40" s="18">
        <f>IFERROR(DM40/'McDonough &amp; Sun 1995 values'!G$2,)</f>
        <v>2.7586206896551726</v>
      </c>
      <c r="EQ40" s="18">
        <f>IFERROR(BR40/'McDonough &amp; Sun 1995 values'!H$2,)</f>
        <v>0.67083333333333328</v>
      </c>
      <c r="ER40" s="18">
        <f>IFERROR(DI40/'McDonough &amp; Sun 1995 values'!I$2,)</f>
        <v>2.2162162162162162</v>
      </c>
      <c r="ES40" s="18">
        <f>IFERROR(CM40/'McDonough &amp; Sun 1995 values'!J$2,)</f>
        <v>2.7796352583586623</v>
      </c>
      <c r="ET40" s="18">
        <f>IFERROR(CU40/'McDonough &amp; Sun 1995 values'!K$2,)</f>
        <v>3.7654320987654319</v>
      </c>
      <c r="EU40" s="18">
        <f>IFERROR(CV40/'McDonough &amp; Sun 1995 values'!L$2,)</f>
        <v>2.1850746268656716</v>
      </c>
      <c r="EV40" s="18">
        <f>IFERROR(CW40/'McDonough &amp; Sun 1995 values'!M$2,)</f>
        <v>1.200787401574803</v>
      </c>
      <c r="EW40" s="18">
        <f>IFERROR(CI40/'McDonough &amp; Sun 1995 values'!N$2,)</f>
        <v>0.71206030150753774</v>
      </c>
      <c r="EX40" s="18">
        <f>IFERROR(CX40/'McDonough &amp; Sun 1995 values'!O$2,)</f>
        <v>0.47199999999999998</v>
      </c>
      <c r="EY40" s="18">
        <f>IFERROR(CY40/'McDonough &amp; Sun 1995 values'!P$2,)</f>
        <v>8.8669950738916245E-2</v>
      </c>
      <c r="EZ40" s="18">
        <f>IFERROR(DH40/'McDonough &amp; Sun 1995 values'!Q$2,)</f>
        <v>6.7137809187279157E-2</v>
      </c>
      <c r="FA40" s="18">
        <f>IFERROR(CK40/'McDonough &amp; Sun 1995 values'!R$2,)</f>
        <v>5.4285714285714284E-3</v>
      </c>
      <c r="FB40" s="18">
        <f>IFERROR(CZ40/'McDonough &amp; Sun 1995 values'!S$2,)</f>
        <v>7.792207792207792E-2</v>
      </c>
      <c r="FC40" s="18">
        <f>IFERROR(BT40/'McDonough &amp; Sun 1995 values'!T$2,)</f>
        <v>5.8921161825726143E-4</v>
      </c>
      <c r="FD40" s="18">
        <f>IFERROR(DA40/'McDonough &amp; Sun 1995 values'!U$2,)</f>
        <v>3.4926470588235288E-2</v>
      </c>
      <c r="FE40" s="18">
        <f>IFERROR(DN40/'McDonough &amp; Sun 1995 values'!V$2,)</f>
        <v>0</v>
      </c>
      <c r="FF40" s="18">
        <f>IFERROR(DB40/'McDonough &amp; Sun 1995 values'!W$2,)</f>
        <v>1.9287833827893171E-2</v>
      </c>
      <c r="FG40" s="18">
        <f>IFERROR(CJ40/'McDonough &amp; Sun 1995 values'!X$2,)</f>
        <v>3.2558139534883722E-3</v>
      </c>
      <c r="FH40" s="18">
        <f>IFERROR(DC40/'McDonough &amp; Sun 1995 values'!Y$2,)</f>
        <v>7.3825503355704702E-2</v>
      </c>
      <c r="FI40" s="18">
        <f>IFERROR(DD40/'McDonough &amp; Sun 1995 values'!Z$2,)</f>
        <v>2.2831050228310501E-2</v>
      </c>
      <c r="FJ40" s="18">
        <f>IFERROR(DE40/'McDonough &amp; Sun 1995 values'!AA$2,)</f>
        <v>0</v>
      </c>
      <c r="FK40" s="18">
        <f>IFERROR(DF40/'McDonough &amp; Sun 1995 values'!AB$2,)</f>
        <v>2.494331065759637E-2</v>
      </c>
      <c r="FL40" s="18">
        <f>IFERROR(DG40/'McDonough &amp; Sun 1995 values'!AC$2,)</f>
        <v>0.1333333333333333</v>
      </c>
      <c r="FN40" s="28">
        <f t="shared" si="68"/>
        <v>4.1122295994859721</v>
      </c>
      <c r="FO40" s="4">
        <f t="shared" si="86"/>
        <v>1.4604356060606061</v>
      </c>
      <c r="FP40" s="4">
        <f t="shared" si="87"/>
        <v>1.9006158639116129</v>
      </c>
      <c r="FQ40" s="4">
        <f t="shared" si="88"/>
        <v>1.9150943396226412</v>
      </c>
      <c r="FR40" s="4">
        <f t="shared" si="89"/>
        <v>1.3546497107641633</v>
      </c>
      <c r="FS40" s="4">
        <f t="shared" si="90"/>
        <v>1.6990364348087925</v>
      </c>
      <c r="FT40" s="4">
        <f t="shared" si="91"/>
        <v>0.63823529411764712</v>
      </c>
      <c r="FU40" s="4">
        <f t="shared" si="92"/>
        <v>0.79730468576832714</v>
      </c>
      <c r="FV40" s="4">
        <f t="shared" si="93"/>
        <v>6.1222222222222226E-2</v>
      </c>
      <c r="FW40" s="4">
        <f t="shared" si="94"/>
        <v>8.085714285714285E-2</v>
      </c>
      <c r="FX40" s="4">
        <f t="shared" si="95"/>
        <v>1.260911555292096</v>
      </c>
      <c r="FY40" s="4">
        <f t="shared" si="96"/>
        <v>0.94582919034325985</v>
      </c>
      <c r="FZ40" s="4">
        <f t="shared" si="97"/>
        <v>1.4002156938529591</v>
      </c>
      <c r="GA40" s="4">
        <f t="shared" si="98"/>
        <v>0.59299448059972004</v>
      </c>
      <c r="GB40" s="4">
        <f t="shared" si="99"/>
        <v>0.8787878787878789</v>
      </c>
      <c r="GC40" s="4">
        <f t="shared" si="100"/>
        <v>1.5668202764976957</v>
      </c>
      <c r="GD40" s="4">
        <f t="shared" si="101"/>
        <v>0.76259199134199152</v>
      </c>
      <c r="GE40" s="4">
        <f t="shared" si="102"/>
        <v>7.7976539589442817</v>
      </c>
      <c r="GF40" s="4">
        <f t="shared" si="103"/>
        <v>6.0056465273856592</v>
      </c>
      <c r="GG40" s="4">
        <f t="shared" si="104"/>
        <v>1.4493944364365363</v>
      </c>
      <c r="GH40" s="4">
        <f t="shared" si="105"/>
        <v>3.1358024691358026</v>
      </c>
      <c r="GI40" s="4">
        <f t="shared" si="106"/>
        <v>42.465706447187934</v>
      </c>
      <c r="GJ40" s="4">
        <f t="shared" si="107"/>
        <v>195.2231718898386</v>
      </c>
      <c r="GK40" s="4">
        <f t="shared" si="108"/>
        <v>150.95959595959596</v>
      </c>
      <c r="GL40" s="4">
        <f t="shared" si="109"/>
        <v>9.2132796780684103</v>
      </c>
      <c r="GM40" s="4">
        <f t="shared" si="110"/>
        <v>10.225197808886183</v>
      </c>
      <c r="GN40" s="4">
        <f t="shared" si="111"/>
        <v>0.73819821615426773</v>
      </c>
      <c r="GO40" s="4">
        <f t="shared" si="112"/>
        <v>1.0076177811550151</v>
      </c>
      <c r="GP40" s="4">
        <f t="shared" si="113"/>
        <v>0.24317708333333329</v>
      </c>
      <c r="GQ40" s="27">
        <f t="shared" si="114"/>
        <v>74318.998584297893</v>
      </c>
      <c r="GR40" s="28">
        <f t="shared" si="115"/>
        <v>7.847347676602884</v>
      </c>
      <c r="GS40" s="28">
        <f t="shared" si="116"/>
        <v>143.09869292628787</v>
      </c>
      <c r="GT40" s="28">
        <f t="shared" si="117"/>
        <v>12274.174983580628</v>
      </c>
      <c r="GU40" s="28">
        <f t="shared" si="118"/>
        <v>193.8756484807771</v>
      </c>
      <c r="GV40" s="28">
        <f t="shared" si="119"/>
        <v>25.850086464103615</v>
      </c>
      <c r="GW40" s="28">
        <f t="shared" si="120"/>
        <v>74318.998584297893</v>
      </c>
      <c r="GX40" s="28">
        <f t="shared" si="121"/>
        <v>37.851912322437435</v>
      </c>
      <c r="GY40" s="28">
        <f t="shared" si="122"/>
        <v>844.28228826509849</v>
      </c>
      <c r="GZ40" s="28">
        <f t="shared" si="123"/>
        <v>1126.3251959359432</v>
      </c>
      <c r="HA40" s="28">
        <f t="shared" si="124"/>
        <v>1689.487793903915</v>
      </c>
      <c r="HB40" s="28">
        <f t="shared" si="125"/>
        <v>140.79064949199289</v>
      </c>
      <c r="HC40" s="28">
        <f t="shared" si="126"/>
        <v>6540.9950927919326</v>
      </c>
      <c r="HD40" s="28">
        <f t="shared" si="127"/>
        <v>272.3491252468059</v>
      </c>
      <c r="HE40" s="28">
        <f t="shared" si="128"/>
        <v>16.617912726923752</v>
      </c>
      <c r="HF40" s="28">
        <f t="shared" si="129"/>
        <v>8.7705650503208687</v>
      </c>
      <c r="HG40" s="28">
        <f t="shared" si="130"/>
        <v>26.31169515096261</v>
      </c>
      <c r="HH40" s="28">
        <f t="shared" si="131"/>
        <v>5.5393042423079173</v>
      </c>
      <c r="HI40" s="28">
        <f t="shared" si="132"/>
        <v>327.74216766988513</v>
      </c>
      <c r="HJ40" s="28">
        <f t="shared" si="133"/>
        <v>8.7705650503208687</v>
      </c>
      <c r="HK40" s="28">
        <f t="shared" si="134"/>
        <v>0</v>
      </c>
      <c r="HL40" s="28">
        <f t="shared" si="135"/>
        <v>6.0009129291669101</v>
      </c>
      <c r="HM40" s="28">
        <f t="shared" si="136"/>
        <v>6.4625216160259038</v>
      </c>
      <c r="HN40" s="28">
        <f t="shared" si="137"/>
        <v>5.0776955554489245</v>
      </c>
      <c r="HO40" s="28">
        <f t="shared" si="138"/>
        <v>4.6160868685899317</v>
      </c>
      <c r="HP40" s="28">
        <f t="shared" si="139"/>
        <v>0</v>
      </c>
      <c r="HQ40" s="28">
        <f t="shared" si="140"/>
        <v>5.0776955554489245</v>
      </c>
      <c r="HR40" s="28">
        <f t="shared" si="141"/>
        <v>4.154478181730938</v>
      </c>
      <c r="HT40" s="4">
        <f>IFERROR(GR40/'McDonough &amp; Sun 1995 values'!C$2,)</f>
        <v>373.68322269537543</v>
      </c>
      <c r="HU40" s="4">
        <f>IFERROR(GS40/'McDonough &amp; Sun 1995 values'!D$2,)</f>
        <v>238.49782154381313</v>
      </c>
      <c r="HV40" s="4">
        <f>IFERROR(GT40/'McDonough &amp; Sun 1995 values'!E$2,)</f>
        <v>1859.7234823607012</v>
      </c>
      <c r="HW40" s="4">
        <f>IFERROR(GU40/'McDonough &amp; Sun 1995 values'!F$2,)</f>
        <v>2438.6874022739257</v>
      </c>
      <c r="HX40" s="4">
        <f>IFERROR(GV40/'McDonough &amp; Sun 1995 values'!G$2,)</f>
        <v>1273.4032740937741</v>
      </c>
      <c r="HY40" s="4">
        <f>IFERROR(GW40/'McDonough &amp; Sun 1995 values'!H$2,)</f>
        <v>309.66249410124124</v>
      </c>
      <c r="HZ40" s="4">
        <f>IFERROR(GX40/'McDonough &amp; Sun 1995 values'!I$2,)</f>
        <v>1023.024657363174</v>
      </c>
      <c r="IA40" s="4">
        <f>IFERROR(GY40/'McDonough &amp; Sun 1995 values'!J$2,)</f>
        <v>1283.1037815579004</v>
      </c>
      <c r="IB40" s="4">
        <f>IFERROR(GZ40/'McDonough &amp; Sun 1995 values'!K$2,)</f>
        <v>1738.1561665678134</v>
      </c>
      <c r="IC40" s="4">
        <f>IFERROR(HA40/'McDonough &amp; Sun 1995 values'!L$2,)</f>
        <v>1008.6494291963671</v>
      </c>
      <c r="ID40" s="4">
        <f>IFERROR(HB40/'McDonough &amp; Sun 1995 values'!M$2,)</f>
        <v>554.29389563776726</v>
      </c>
      <c r="IE40" s="4">
        <f>IFERROR(HC40/'McDonough &amp; Sun 1995 values'!N$2,)</f>
        <v>328.69322074331325</v>
      </c>
      <c r="IF40" s="4">
        <f>IFERROR(HD40/'McDonough &amp; Sun 1995 values'!O$2,)</f>
        <v>217.87930019744471</v>
      </c>
      <c r="IG40" s="4">
        <f>IFERROR(HE40/'McDonough &amp; Sun 1995 values'!P$2,)</f>
        <v>40.930819524442732</v>
      </c>
      <c r="IH40" s="4">
        <f>IFERROR(HF40/'McDonough &amp; Sun 1995 values'!Q$2,)</f>
        <v>30.991395937529575</v>
      </c>
      <c r="II40" s="4">
        <f>IFERROR(HG40/'McDonough &amp; Sun 1995 values'!R$2,)</f>
        <v>2.5058757286631055</v>
      </c>
      <c r="IJ40" s="4">
        <f>IFERROR(HH40/'McDonough &amp; Sun 1995 values'!S$2,)</f>
        <v>35.96950806693453</v>
      </c>
      <c r="IK40" s="4">
        <f>IFERROR(HI40/'McDonough &amp; Sun 1995 values'!T$2,)</f>
        <v>0.27198520138579679</v>
      </c>
      <c r="IL40" s="4">
        <f>IFERROR(HJ40/'McDonough &amp; Sun 1995 values'!U$2,)</f>
        <v>16.122362224854538</v>
      </c>
      <c r="IM40" s="4">
        <f>IFERROR(HK40/'McDonough &amp; Sun 1995 values'!V$2,)</f>
        <v>0</v>
      </c>
      <c r="IN40" s="4">
        <f>IFERROR(HL40/'McDonough &amp; Sun 1995 values'!W$2,)</f>
        <v>8.9034316456482347</v>
      </c>
      <c r="IO40" s="4">
        <f>IFERROR(HM40/'McDonough &amp; Sun 1995 values'!X$2,)</f>
        <v>1.5029120037269543</v>
      </c>
      <c r="IP40" s="4">
        <f>IFERROR(HN40/'McDonough &amp; Sun 1995 values'!Y$2,)</f>
        <v>34.078493660731041</v>
      </c>
      <c r="IQ40" s="4">
        <f>IFERROR(HO40/'McDonough &amp; Sun 1995 values'!Z$2,)</f>
        <v>10.539011115502127</v>
      </c>
      <c r="IR40" s="4">
        <f>IFERROR(HP40/'McDonough &amp; Sun 1995 values'!AA$2,)</f>
        <v>0</v>
      </c>
      <c r="IS40" s="4">
        <f>IFERROR(HQ40/'McDonough &amp; Sun 1995 values'!AB$2,)</f>
        <v>11.514048878568989</v>
      </c>
      <c r="IT40" s="4">
        <f>IFERROR(HR40/'McDonough &amp; Sun 1995 values'!AC$2,)</f>
        <v>61.547824914532413</v>
      </c>
    </row>
    <row r="41" spans="1:254">
      <c r="A41" s="16" t="s">
        <v>672</v>
      </c>
      <c r="B41" s="16" t="s">
        <v>24</v>
      </c>
      <c r="C41" s="16" t="str">
        <f t="shared" si="0"/>
        <v>high-Mg carbonatitic</v>
      </c>
      <c r="D41" s="16" t="s">
        <v>1723</v>
      </c>
      <c r="E41" s="16" t="s">
        <v>237</v>
      </c>
      <c r="F41" s="16" t="s">
        <v>29</v>
      </c>
      <c r="G41" s="16" t="s">
        <v>595</v>
      </c>
      <c r="H41" s="27">
        <v>360</v>
      </c>
      <c r="I41" s="16" t="s">
        <v>735</v>
      </c>
      <c r="J41" s="16" t="s">
        <v>1496</v>
      </c>
      <c r="K41" s="16">
        <v>0</v>
      </c>
      <c r="L41" s="16">
        <v>0</v>
      </c>
      <c r="M41" s="16" t="s">
        <v>84</v>
      </c>
      <c r="N41" s="16">
        <v>30</v>
      </c>
      <c r="O41" s="26">
        <v>6.63</v>
      </c>
      <c r="P41" s="26">
        <v>0.76</v>
      </c>
      <c r="Q41" s="26">
        <v>0.91</v>
      </c>
      <c r="R41" s="26">
        <v>4.2</v>
      </c>
      <c r="S41" s="26">
        <v>35.82</v>
      </c>
      <c r="T41" s="26">
        <v>16.010000000000002</v>
      </c>
      <c r="U41" s="26">
        <v>0.64</v>
      </c>
      <c r="V41" s="26">
        <v>16.670000000000002</v>
      </c>
      <c r="W41" s="26">
        <v>4.76</v>
      </c>
      <c r="X41" s="26">
        <v>7.15</v>
      </c>
      <c r="Y41" s="26"/>
      <c r="Z41" s="26">
        <v>2.21</v>
      </c>
      <c r="AA41" s="26"/>
      <c r="AB41" s="26"/>
      <c r="AC41" s="26"/>
      <c r="AD41" s="26">
        <v>2.95</v>
      </c>
      <c r="AE41" s="26"/>
      <c r="AF41" s="26">
        <v>1.3</v>
      </c>
      <c r="AG41" s="26"/>
      <c r="AH41" s="26"/>
      <c r="AI41" s="26"/>
      <c r="AJ41" s="26">
        <f t="shared" si="62"/>
        <v>97.160000000000011</v>
      </c>
      <c r="AK41" s="26">
        <f t="shared" si="73"/>
        <v>6.8708740435498701</v>
      </c>
      <c r="AL41" s="26">
        <f t="shared" si="74"/>
        <v>0.78761150423799409</v>
      </c>
      <c r="AM41" s="26">
        <f t="shared" si="75"/>
        <v>4.3525898918415473</v>
      </c>
      <c r="AN41" s="26">
        <f t="shared" si="76"/>
        <v>37.121373791848619</v>
      </c>
      <c r="AO41" s="26">
        <f t="shared" si="77"/>
        <v>16.591658135329325</v>
      </c>
      <c r="AP41" s="26">
        <f t="shared" si="78"/>
        <v>17.275636546904423</v>
      </c>
      <c r="AQ41" s="26">
        <f t="shared" si="79"/>
        <v>0</v>
      </c>
      <c r="AR41" s="26">
        <f t="shared" si="80"/>
        <v>4.9329352107537527</v>
      </c>
      <c r="AS41" s="26">
        <f t="shared" si="81"/>
        <v>7.4097661253969189</v>
      </c>
      <c r="AT41" s="26">
        <f t="shared" si="82"/>
        <v>2.2902913478499567</v>
      </c>
      <c r="AU41" s="26">
        <f t="shared" si="83"/>
        <v>3.057176233555372</v>
      </c>
      <c r="AV41" s="26">
        <f t="shared" si="7"/>
        <v>100.68991283126778</v>
      </c>
      <c r="AW41" s="26"/>
      <c r="AX41" s="26"/>
      <c r="AY41" s="26"/>
      <c r="AZ41" s="26"/>
      <c r="BA41" s="26"/>
      <c r="BB41" s="26">
        <v>0.04</v>
      </c>
      <c r="BC41" s="26">
        <f t="shared" si="84"/>
        <v>4.0000000000000036E-2</v>
      </c>
      <c r="BD41" s="26">
        <f t="shared" si="85"/>
        <v>0.96</v>
      </c>
      <c r="BE41" s="16"/>
      <c r="BF41" s="16"/>
      <c r="BG41" s="16">
        <v>345</v>
      </c>
      <c r="BH41" s="16"/>
      <c r="BI41" s="16"/>
      <c r="BJ41" s="16"/>
      <c r="BK41" s="18"/>
      <c r="BL41" s="18"/>
      <c r="BM41" s="18"/>
      <c r="BN41" s="18">
        <v>125</v>
      </c>
      <c r="BO41" s="18">
        <v>314</v>
      </c>
      <c r="BP41" s="18">
        <v>17</v>
      </c>
      <c r="BQ41" s="18"/>
      <c r="BR41" s="18">
        <v>360</v>
      </c>
      <c r="BS41" s="18">
        <v>299</v>
      </c>
      <c r="BT41" s="18">
        <v>6.66</v>
      </c>
      <c r="BU41" s="18"/>
      <c r="BV41" s="18">
        <v>4.33</v>
      </c>
      <c r="BW41" s="18">
        <v>210</v>
      </c>
      <c r="BX41" s="18">
        <v>0.95199999999999996</v>
      </c>
      <c r="BY41" s="18">
        <v>0.62</v>
      </c>
      <c r="BZ41" s="18"/>
      <c r="CA41" s="18">
        <v>0.18</v>
      </c>
      <c r="CB41" s="18">
        <v>0.153</v>
      </c>
      <c r="CC41" s="18"/>
      <c r="CD41" s="18"/>
      <c r="CE41" s="18"/>
      <c r="CF41" s="18"/>
      <c r="CG41" s="18"/>
      <c r="CH41" s="18">
        <v>0.85</v>
      </c>
      <c r="CI41" s="18">
        <v>35.71</v>
      </c>
      <c r="CJ41" s="18">
        <v>1.4999999999999999E-2</v>
      </c>
      <c r="CK41" s="18">
        <v>0.28899999999999998</v>
      </c>
      <c r="CL41" s="18"/>
      <c r="CM41" s="18">
        <v>3.3690000000000002</v>
      </c>
      <c r="CN41" s="18"/>
      <c r="CO41" s="18"/>
      <c r="CP41" s="18"/>
      <c r="CQ41" s="18"/>
      <c r="CR41" s="18">
        <v>2.9000000000000001E-2</v>
      </c>
      <c r="CS41" s="18">
        <v>88.01</v>
      </c>
      <c r="CT41" s="18">
        <v>0.39</v>
      </c>
      <c r="CU41" s="18">
        <v>6.71</v>
      </c>
      <c r="CV41" s="18">
        <v>7.72</v>
      </c>
      <c r="CW41" s="18">
        <v>0.59</v>
      </c>
      <c r="CX41" s="18">
        <v>1.31</v>
      </c>
      <c r="CY41" s="18">
        <v>7.2999999999999995E-2</v>
      </c>
      <c r="CZ41" s="18">
        <v>0.02</v>
      </c>
      <c r="DA41" s="18">
        <v>0.03</v>
      </c>
      <c r="DB41" s="18">
        <v>8.9999999999999993E-3</v>
      </c>
      <c r="DC41" s="18">
        <v>8.0000000000000002E-3</v>
      </c>
      <c r="DD41" s="18">
        <v>8.0000000000000002E-3</v>
      </c>
      <c r="DE41" s="18"/>
      <c r="DF41" s="18">
        <v>8.0000000000000002E-3</v>
      </c>
      <c r="DG41" s="18">
        <v>6.0000000000000001E-3</v>
      </c>
      <c r="DH41" s="18">
        <v>1.4999999999999999E-2</v>
      </c>
      <c r="DI41" s="18">
        <v>0.14599999999999999</v>
      </c>
      <c r="DJ41" s="18"/>
      <c r="DK41" s="18">
        <v>0.43</v>
      </c>
      <c r="DL41" s="18">
        <v>1.18</v>
      </c>
      <c r="DM41" s="18">
        <v>0.105</v>
      </c>
      <c r="DN41" s="18"/>
      <c r="DO41" s="18"/>
      <c r="DP41" s="18"/>
      <c r="DQ41" s="18"/>
      <c r="DR41" s="18"/>
      <c r="DS41" s="18"/>
      <c r="DT41" s="18"/>
      <c r="DU41" s="18"/>
      <c r="DV41" s="28"/>
      <c r="DW41" s="28"/>
      <c r="DX41" s="28"/>
      <c r="DY41" s="28"/>
      <c r="DZ41" s="28"/>
      <c r="EA41" s="28"/>
      <c r="EB41" s="28"/>
      <c r="EC41" s="28"/>
      <c r="ED41" s="28"/>
      <c r="EE41" s="28"/>
      <c r="EF41" s="28"/>
      <c r="EG41" s="28"/>
      <c r="EH41" s="28"/>
      <c r="EI41" s="28"/>
      <c r="EJ41" s="18"/>
      <c r="EK41" s="18"/>
      <c r="EL41" s="18">
        <f>IFERROR(CR41/'McDonough &amp; Sun 1995 values'!C$2,)</f>
        <v>1.3809523809523809</v>
      </c>
      <c r="EM41" s="18">
        <f>IFERROR(CH41/'McDonough &amp; Sun 1995 values'!D$2,)</f>
        <v>1.4166666666666667</v>
      </c>
      <c r="EN41" s="18">
        <f>IFERROR(CS41/'McDonough &amp; Sun 1995 values'!E$2,)</f>
        <v>13.334848484848486</v>
      </c>
      <c r="EO41" s="18">
        <f>IFERROR(DL41/'McDonough &amp; Sun 1995 values'!F$2,)</f>
        <v>14.842767295597483</v>
      </c>
      <c r="EP41" s="18">
        <f>IFERROR(DM41/'McDonough &amp; Sun 1995 values'!G$2,)</f>
        <v>5.1724137931034484</v>
      </c>
      <c r="EQ41" s="18">
        <f>IFERROR(BR41/'McDonough &amp; Sun 1995 values'!H$2,)</f>
        <v>1.5</v>
      </c>
      <c r="ER41" s="18">
        <f>IFERROR(DI41/'McDonough &amp; Sun 1995 values'!I$2,)</f>
        <v>3.9459459459459461</v>
      </c>
      <c r="ES41" s="18">
        <f>IFERROR(CM41/'McDonough &amp; Sun 1995 values'!J$2,)</f>
        <v>5.1200607902735564</v>
      </c>
      <c r="ET41" s="18">
        <f>IFERROR(CU41/'McDonough &amp; Sun 1995 values'!K$2,)</f>
        <v>10.354938271604938</v>
      </c>
      <c r="EU41" s="18">
        <f>IFERROR(CV41/'McDonough &amp; Sun 1995 values'!L$2,)</f>
        <v>4.6089552238805966</v>
      </c>
      <c r="EV41" s="18">
        <f>IFERROR(CW41/'McDonough &amp; Sun 1995 values'!M$2,)</f>
        <v>2.3228346456692912</v>
      </c>
      <c r="EW41" s="18">
        <f>IFERROR(CI41/'McDonough &amp; Sun 1995 values'!N$2,)</f>
        <v>1.7944723618090455</v>
      </c>
      <c r="EX41" s="18">
        <f>IFERROR(CX41/'McDonough &amp; Sun 1995 values'!O$2,)</f>
        <v>1.048</v>
      </c>
      <c r="EY41" s="18">
        <f>IFERROR(CY41/'McDonough &amp; Sun 1995 values'!P$2,)</f>
        <v>0.17980295566502461</v>
      </c>
      <c r="EZ41" s="18">
        <f>IFERROR(DH41/'McDonough &amp; Sun 1995 values'!Q$2,)</f>
        <v>5.3003533568904596E-2</v>
      </c>
      <c r="FA41" s="18">
        <f>IFERROR(CK41/'McDonough &amp; Sun 1995 values'!R$2,)</f>
        <v>2.7523809523809523E-2</v>
      </c>
      <c r="FB41" s="18">
        <f>IFERROR(CZ41/'McDonough &amp; Sun 1995 values'!S$2,)</f>
        <v>0.12987012987012989</v>
      </c>
      <c r="FC41" s="18">
        <f>IFERROR(BT41/'McDonough &amp; Sun 1995 values'!T$2,)</f>
        <v>5.526970954356847E-3</v>
      </c>
      <c r="FD41" s="18">
        <f>IFERROR(DA41/'McDonough &amp; Sun 1995 values'!U$2,)</f>
        <v>5.5147058823529403E-2</v>
      </c>
      <c r="FE41" s="18">
        <f>IFERROR(DN41/'McDonough &amp; Sun 1995 values'!V$2,)</f>
        <v>0</v>
      </c>
      <c r="FF41" s="18">
        <f>IFERROR(DB41/'McDonough &amp; Sun 1995 values'!W$2,)</f>
        <v>1.3353115727002965E-2</v>
      </c>
      <c r="FG41" s="18">
        <f>IFERROR(CJ41/'McDonough &amp; Sun 1995 values'!X$2,)</f>
        <v>3.4883720930232558E-3</v>
      </c>
      <c r="FH41" s="18">
        <f>IFERROR(DC41/'McDonough &amp; Sun 1995 values'!Y$2,)</f>
        <v>5.3691275167785241E-2</v>
      </c>
      <c r="FI41" s="18">
        <f>IFERROR(DD41/'McDonough &amp; Sun 1995 values'!Z$2,)</f>
        <v>1.8264840182648401E-2</v>
      </c>
      <c r="FJ41" s="18">
        <f>IFERROR(DE41/'McDonough &amp; Sun 1995 values'!AA$2,)</f>
        <v>0</v>
      </c>
      <c r="FK41" s="18">
        <f>IFERROR(DF41/'McDonough &amp; Sun 1995 values'!AB$2,)</f>
        <v>1.8140589569160998E-2</v>
      </c>
      <c r="FL41" s="18">
        <f>IFERROR(DG41/'McDonough &amp; Sun 1995 values'!AC$2,)</f>
        <v>8.8888888888888878E-2</v>
      </c>
      <c r="FN41" s="28">
        <f t="shared" si="68"/>
        <v>3.4482758620689657</v>
      </c>
      <c r="FO41" s="4">
        <f t="shared" si="86"/>
        <v>2.5780707070707072</v>
      </c>
      <c r="FP41" s="4">
        <f t="shared" si="87"/>
        <v>2.8989435679736251</v>
      </c>
      <c r="FQ41" s="4">
        <f t="shared" si="88"/>
        <v>2.8696016771488466</v>
      </c>
      <c r="FR41" s="4">
        <f t="shared" si="89"/>
        <v>2.0224248687195159</v>
      </c>
      <c r="FS41" s="4">
        <f t="shared" si="90"/>
        <v>2.6241966852697445</v>
      </c>
      <c r="FT41" s="4">
        <f t="shared" si="91"/>
        <v>1.0258620689655173</v>
      </c>
      <c r="FU41" s="4">
        <f t="shared" si="92"/>
        <v>0.77068341716605293</v>
      </c>
      <c r="FV41" s="4">
        <f t="shared" si="93"/>
        <v>0.15307762557077628</v>
      </c>
      <c r="FW41" s="4">
        <f t="shared" si="94"/>
        <v>0.51928253968253968</v>
      </c>
      <c r="FX41" s="4">
        <f t="shared" si="95"/>
        <v>1.1055128483633843</v>
      </c>
      <c r="FY41" s="4">
        <f t="shared" si="96"/>
        <v>1.150130140915528</v>
      </c>
      <c r="FZ41" s="4">
        <f t="shared" si="97"/>
        <v>1.3042164812625319</v>
      </c>
      <c r="GA41" s="4">
        <f t="shared" si="98"/>
        <v>0.77253555915169081</v>
      </c>
      <c r="GB41" s="4">
        <f t="shared" si="99"/>
        <v>0.72229140722291429</v>
      </c>
      <c r="GC41" s="4">
        <f t="shared" si="100"/>
        <v>0.97478991596638653</v>
      </c>
      <c r="GD41" s="4">
        <f t="shared" si="101"/>
        <v>0.89840716486902938</v>
      </c>
      <c r="GE41" s="4">
        <f t="shared" si="102"/>
        <v>9.4128342245989298</v>
      </c>
      <c r="GF41" s="4">
        <f t="shared" si="103"/>
        <v>8.88989898989899</v>
      </c>
      <c r="GG41" s="4">
        <f t="shared" si="104"/>
        <v>2.6044316720184932</v>
      </c>
      <c r="GH41" s="4">
        <f t="shared" si="105"/>
        <v>4.4578886796400923</v>
      </c>
      <c r="GI41" s="4">
        <f t="shared" si="106"/>
        <v>57.590478606460351</v>
      </c>
      <c r="GJ41" s="4">
        <f t="shared" si="107"/>
        <v>775.46982167352553</v>
      </c>
      <c r="GK41" s="4">
        <f t="shared" si="108"/>
        <v>570.81597222222217</v>
      </c>
      <c r="GL41" s="4">
        <f t="shared" si="109"/>
        <v>4.9799084799084792</v>
      </c>
      <c r="GM41" s="4">
        <f t="shared" si="110"/>
        <v>10.477247502774693</v>
      </c>
      <c r="GN41" s="4">
        <f t="shared" si="111"/>
        <v>0.49445594517097835</v>
      </c>
      <c r="GO41" s="4">
        <f t="shared" si="112"/>
        <v>0.98987841945288757</v>
      </c>
      <c r="GP41" s="4">
        <f t="shared" si="113"/>
        <v>0.28999999999999998</v>
      </c>
      <c r="GQ41" s="27">
        <f t="shared" si="114"/>
        <v>61511.232798699326</v>
      </c>
      <c r="GR41" s="28">
        <f t="shared" si="115"/>
        <v>4.9550715310063342</v>
      </c>
      <c r="GS41" s="28">
        <f t="shared" si="116"/>
        <v>145.2348552191512</v>
      </c>
      <c r="GT41" s="28">
        <f t="shared" si="117"/>
        <v>15037.787773926466</v>
      </c>
      <c r="GU41" s="28">
        <f t="shared" si="118"/>
        <v>201.62015195129223</v>
      </c>
      <c r="GV41" s="28">
        <f t="shared" si="119"/>
        <v>17.940776232953969</v>
      </c>
      <c r="GW41" s="28">
        <f t="shared" si="120"/>
        <v>61511.232798699326</v>
      </c>
      <c r="GX41" s="28">
        <f t="shared" si="121"/>
        <v>24.946222190583615</v>
      </c>
      <c r="GY41" s="28">
        <f t="shared" si="122"/>
        <v>575.64262027449456</v>
      </c>
      <c r="GZ41" s="28">
        <f t="shared" si="123"/>
        <v>1146.5010335535346</v>
      </c>
      <c r="HA41" s="28">
        <f t="shared" si="124"/>
        <v>1319.0742144609965</v>
      </c>
      <c r="HB41" s="28">
        <f t="shared" si="125"/>
        <v>100.81007597564611</v>
      </c>
      <c r="HC41" s="28">
        <f t="shared" si="126"/>
        <v>6101.5725645598695</v>
      </c>
      <c r="HD41" s="28">
        <f t="shared" si="127"/>
        <v>223.83254157304478</v>
      </c>
      <c r="HE41" s="28">
        <f t="shared" si="128"/>
        <v>12.473111095291808</v>
      </c>
      <c r="HF41" s="28">
        <f t="shared" si="129"/>
        <v>2.5629680332791387</v>
      </c>
      <c r="HG41" s="28">
        <f t="shared" si="130"/>
        <v>49.379850774511397</v>
      </c>
      <c r="HH41" s="28">
        <f t="shared" si="131"/>
        <v>3.4172907110388517</v>
      </c>
      <c r="HI41" s="28">
        <f t="shared" si="132"/>
        <v>1137.9578067759376</v>
      </c>
      <c r="HJ41" s="28">
        <f t="shared" si="133"/>
        <v>5.1259360665582774</v>
      </c>
      <c r="HK41" s="28">
        <f t="shared" si="134"/>
        <v>0</v>
      </c>
      <c r="HL41" s="28">
        <f t="shared" si="135"/>
        <v>1.5377808199674829</v>
      </c>
      <c r="HM41" s="28">
        <f t="shared" si="136"/>
        <v>2.5629680332791387</v>
      </c>
      <c r="HN41" s="28">
        <f t="shared" si="137"/>
        <v>1.3669162844155407</v>
      </c>
      <c r="HO41" s="28">
        <f t="shared" si="138"/>
        <v>1.3669162844155407</v>
      </c>
      <c r="HP41" s="28">
        <f t="shared" si="139"/>
        <v>0</v>
      </c>
      <c r="HQ41" s="28">
        <f t="shared" si="140"/>
        <v>1.3669162844155407</v>
      </c>
      <c r="HR41" s="28">
        <f t="shared" si="141"/>
        <v>1.0251872133116555</v>
      </c>
      <c r="HT41" s="4">
        <f>IFERROR(GR41/'McDonough &amp; Sun 1995 values'!C$2,)</f>
        <v>235.95578719077781</v>
      </c>
      <c r="HU41" s="4">
        <f>IFERROR(GS41/'McDonough &amp; Sun 1995 values'!D$2,)</f>
        <v>242.05809203191868</v>
      </c>
      <c r="HV41" s="4">
        <f>IFERROR(GT41/'McDonough &amp; Sun 1995 values'!E$2,)</f>
        <v>2278.4526930191614</v>
      </c>
      <c r="HW41" s="4">
        <f>IFERROR(GU41/'McDonough &amp; Sun 1995 values'!F$2,)</f>
        <v>2536.102540267827</v>
      </c>
      <c r="HX41" s="4">
        <f>IFERROR(GV41/'McDonough &amp; Sun 1995 values'!G$2,)</f>
        <v>883.78208044108226</v>
      </c>
      <c r="HY41" s="4">
        <f>IFERROR(GW41/'McDonough &amp; Sun 1995 values'!H$2,)</f>
        <v>256.29680332791384</v>
      </c>
      <c r="HZ41" s="4">
        <f>IFERROR(GX41/'McDonough &amp; Sun 1995 values'!I$2,)</f>
        <v>674.2222213671248</v>
      </c>
      <c r="IA41" s="4">
        <f>IFERROR(GY41/'McDonough &amp; Sun 1995 values'!J$2,)</f>
        <v>874.83680892780319</v>
      </c>
      <c r="IB41" s="4">
        <f>IFERROR(GZ41/'McDonough &amp; Sun 1995 values'!K$2,)</f>
        <v>1769.2917184468126</v>
      </c>
      <c r="IC41" s="4">
        <f>IFERROR(HA41/'McDonough &amp; Sun 1995 values'!L$2,)</f>
        <v>787.50699370805762</v>
      </c>
      <c r="ID41" s="4">
        <f>IFERROR(HB41/'McDonough &amp; Sun 1995 values'!M$2,)</f>
        <v>396.89006289624456</v>
      </c>
      <c r="IE41" s="4">
        <f>IFERROR(HC41/'McDonough &amp; Sun 1995 values'!N$2,)</f>
        <v>306.61168666129998</v>
      </c>
      <c r="IF41" s="4">
        <f>IFERROR(HD41/'McDonough &amp; Sun 1995 values'!O$2,)</f>
        <v>179.06603325843582</v>
      </c>
      <c r="IG41" s="4">
        <f>IFERROR(HE41/'McDonough &amp; Sun 1995 values'!P$2,)</f>
        <v>30.721948510570954</v>
      </c>
      <c r="IH41" s="4">
        <f>IFERROR(HF41/'McDonough &amp; Sun 1995 values'!Q$2,)</f>
        <v>9.0564241458626817</v>
      </c>
      <c r="II41" s="4">
        <f>IFERROR(HG41/'McDonough &amp; Sun 1995 values'!R$2,)</f>
        <v>4.702842930905847</v>
      </c>
      <c r="IJ41" s="4">
        <f>IFERROR(HH41/'McDonough &amp; Sun 1995 values'!S$2,)</f>
        <v>22.190199422330206</v>
      </c>
      <c r="IK41" s="4">
        <f>IFERROR(HI41/'McDonough &amp; Sun 1995 values'!T$2,)</f>
        <v>0.94436332512525945</v>
      </c>
      <c r="IL41" s="4">
        <f>IFERROR(HJ41/'McDonough &amp; Sun 1995 values'!U$2,)</f>
        <v>9.422676592938009</v>
      </c>
      <c r="IM41" s="4">
        <f>IFERROR(HK41/'McDonough &amp; Sun 1995 values'!V$2,)</f>
        <v>0</v>
      </c>
      <c r="IN41" s="4">
        <f>IFERROR(HL41/'McDonough &amp; Sun 1995 values'!W$2,)</f>
        <v>2.2815739168657014</v>
      </c>
      <c r="IO41" s="4">
        <f>IFERROR(HM41/'McDonough &amp; Sun 1995 values'!X$2,)</f>
        <v>0.59603907750677643</v>
      </c>
      <c r="IP41" s="4">
        <f>IFERROR(HN41/'McDonough &amp; Sun 1995 values'!Y$2,)</f>
        <v>9.1739347947351728</v>
      </c>
      <c r="IQ41" s="4">
        <f>IFERROR(HO41/'McDonough &amp; Sun 1995 values'!Z$2,)</f>
        <v>3.1208134347386776</v>
      </c>
      <c r="IR41" s="4">
        <f>IFERROR(HP41/'McDonough &amp; Sun 1995 values'!AA$2,)</f>
        <v>0</v>
      </c>
      <c r="IS41" s="4">
        <f>IFERROR(HQ41/'McDonough &amp; Sun 1995 values'!AB$2,)</f>
        <v>3.099583411373108</v>
      </c>
      <c r="IT41" s="4">
        <f>IFERROR(HR41/'McDonough &amp; Sun 1995 values'!AC$2,)</f>
        <v>15.187958715728229</v>
      </c>
    </row>
    <row r="42" spans="1:254">
      <c r="A42" s="16" t="s">
        <v>672</v>
      </c>
      <c r="B42" s="16" t="s">
        <v>24</v>
      </c>
      <c r="C42" s="16" t="str">
        <f t="shared" si="0"/>
        <v>high-Mg carbonatitic</v>
      </c>
      <c r="D42" s="16" t="s">
        <v>1723</v>
      </c>
      <c r="E42" s="16" t="s">
        <v>237</v>
      </c>
      <c r="F42" s="16" t="s">
        <v>29</v>
      </c>
      <c r="G42" s="16" t="s">
        <v>595</v>
      </c>
      <c r="H42" s="27">
        <v>360</v>
      </c>
      <c r="I42" s="16" t="s">
        <v>735</v>
      </c>
      <c r="J42" s="16" t="s">
        <v>1496</v>
      </c>
      <c r="K42" s="16">
        <v>0</v>
      </c>
      <c r="L42" s="16">
        <v>0</v>
      </c>
      <c r="M42" s="16" t="s">
        <v>94</v>
      </c>
      <c r="N42" s="16">
        <v>24</v>
      </c>
      <c r="O42" s="26">
        <v>9.0500000000000007</v>
      </c>
      <c r="P42" s="26">
        <v>1.96</v>
      </c>
      <c r="Q42" s="26">
        <v>0.48</v>
      </c>
      <c r="R42" s="26">
        <v>4.78</v>
      </c>
      <c r="S42" s="26">
        <v>28.44</v>
      </c>
      <c r="T42" s="26">
        <v>16.89</v>
      </c>
      <c r="U42" s="26">
        <v>0.88</v>
      </c>
      <c r="V42" s="26">
        <v>24.68</v>
      </c>
      <c r="W42" s="26">
        <v>2.6</v>
      </c>
      <c r="X42" s="26">
        <v>5.92</v>
      </c>
      <c r="Y42" s="26"/>
      <c r="Z42" s="26">
        <v>1.28</v>
      </c>
      <c r="AA42" s="26"/>
      <c r="AB42" s="26"/>
      <c r="AC42" s="26"/>
      <c r="AD42" s="26">
        <v>1.71</v>
      </c>
      <c r="AE42" s="26"/>
      <c r="AF42" s="26">
        <v>1.31</v>
      </c>
      <c r="AG42" s="26"/>
      <c r="AH42" s="26"/>
      <c r="AI42" s="26"/>
      <c r="AJ42" s="26">
        <f t="shared" si="62"/>
        <v>97.31</v>
      </c>
      <c r="AK42" s="26">
        <f t="shared" si="73"/>
        <v>9.3372026067245564</v>
      </c>
      <c r="AL42" s="26">
        <f t="shared" si="74"/>
        <v>2.0222007855447655</v>
      </c>
      <c r="AM42" s="26">
        <f t="shared" si="75"/>
        <v>4.9316937525020306</v>
      </c>
      <c r="AN42" s="26">
        <f t="shared" si="76"/>
        <v>29.342546092292416</v>
      </c>
      <c r="AO42" s="26">
        <f t="shared" si="77"/>
        <v>17.42600574890362</v>
      </c>
      <c r="AP42" s="26">
        <f t="shared" si="78"/>
        <v>25.463222136349394</v>
      </c>
      <c r="AQ42" s="26">
        <f t="shared" si="79"/>
        <v>0</v>
      </c>
      <c r="AR42" s="26">
        <f t="shared" si="80"/>
        <v>2.6825112461308116</v>
      </c>
      <c r="AS42" s="26">
        <f t="shared" si="81"/>
        <v>6.1078717604209238</v>
      </c>
      <c r="AT42" s="26">
        <f t="shared" si="82"/>
        <v>1.3206209211720918</v>
      </c>
      <c r="AU42" s="26">
        <f t="shared" si="83"/>
        <v>1.7642670118783412</v>
      </c>
      <c r="AV42" s="26">
        <f t="shared" si="7"/>
        <v>100.39814206191896</v>
      </c>
      <c r="AW42" s="26"/>
      <c r="AX42" s="26"/>
      <c r="AY42" s="26"/>
      <c r="AZ42" s="26"/>
      <c r="BA42" s="26"/>
      <c r="BB42" s="26">
        <v>0.03</v>
      </c>
      <c r="BC42" s="26">
        <f t="shared" si="84"/>
        <v>3.0000000000000027E-2</v>
      </c>
      <c r="BD42" s="26">
        <f t="shared" si="85"/>
        <v>0.97</v>
      </c>
      <c r="BE42" s="16"/>
      <c r="BF42" s="16"/>
      <c r="BG42" s="16">
        <v>276</v>
      </c>
      <c r="BH42" s="16"/>
      <c r="BI42" s="16"/>
      <c r="BJ42" s="16"/>
      <c r="BK42" s="18"/>
      <c r="BL42" s="18"/>
      <c r="BM42" s="18"/>
      <c r="BN42" s="18">
        <v>41</v>
      </c>
      <c r="BO42" s="18">
        <v>69</v>
      </c>
      <c r="BP42" s="18">
        <v>33</v>
      </c>
      <c r="BQ42" s="18"/>
      <c r="BR42" s="18">
        <v>26</v>
      </c>
      <c r="BS42" s="18">
        <v>159</v>
      </c>
      <c r="BT42" s="18">
        <v>4.33</v>
      </c>
      <c r="BU42" s="18"/>
      <c r="BV42" s="18">
        <v>0.8</v>
      </c>
      <c r="BW42" s="18">
        <v>53</v>
      </c>
      <c r="BX42" s="18">
        <v>0.34699999999999998</v>
      </c>
      <c r="BY42" s="18">
        <v>1.78</v>
      </c>
      <c r="BZ42" s="18"/>
      <c r="CA42" s="18">
        <v>4.2999999999999997E-2</v>
      </c>
      <c r="CB42" s="18">
        <v>3.5000000000000003E-2</v>
      </c>
      <c r="CC42" s="18"/>
      <c r="CD42" s="18"/>
      <c r="CE42" s="18"/>
      <c r="CF42" s="18"/>
      <c r="CG42" s="18"/>
      <c r="CH42" s="18">
        <v>7.0000000000000007E-2</v>
      </c>
      <c r="CI42" s="18">
        <v>0.86</v>
      </c>
      <c r="CJ42" s="18">
        <v>1.2E-2</v>
      </c>
      <c r="CK42" s="18">
        <v>9.5000000000000001E-2</v>
      </c>
      <c r="CL42" s="18"/>
      <c r="CM42" s="18">
        <v>0.10100000000000001</v>
      </c>
      <c r="CN42" s="18"/>
      <c r="CO42" s="18"/>
      <c r="CP42" s="18"/>
      <c r="CQ42" s="18"/>
      <c r="CR42" s="18">
        <v>4.0000000000000001E-3</v>
      </c>
      <c r="CS42" s="18">
        <v>1.69</v>
      </c>
      <c r="CT42" s="18">
        <v>0.4</v>
      </c>
      <c r="CU42" s="18">
        <v>0.11899999999999999</v>
      </c>
      <c r="CV42" s="18">
        <v>0.17899999999999999</v>
      </c>
      <c r="CW42" s="18">
        <v>2.8000000000000001E-2</v>
      </c>
      <c r="CX42" s="18">
        <v>6.8000000000000005E-2</v>
      </c>
      <c r="CY42" s="18">
        <v>1.7000000000000001E-2</v>
      </c>
      <c r="CZ42" s="18">
        <v>7.0000000000000001E-3</v>
      </c>
      <c r="DA42" s="18">
        <v>6.0000000000000001E-3</v>
      </c>
      <c r="DB42" s="18">
        <v>5.0000000000000001E-3</v>
      </c>
      <c r="DC42" s="18">
        <v>4.0000000000000001E-3</v>
      </c>
      <c r="DD42" s="18">
        <v>4.0000000000000001E-3</v>
      </c>
      <c r="DE42" s="18"/>
      <c r="DF42" s="18" t="s">
        <v>1366</v>
      </c>
      <c r="DG42" s="18">
        <v>3.0000000000000001E-3</v>
      </c>
      <c r="DH42" s="18">
        <v>3.0000000000000001E-3</v>
      </c>
      <c r="DI42" s="18">
        <v>6.0000000000000001E-3</v>
      </c>
      <c r="DJ42" s="18"/>
      <c r="DK42" s="18">
        <v>6.3E-2</v>
      </c>
      <c r="DL42" s="18">
        <v>1.4999999999999999E-2</v>
      </c>
      <c r="DM42" s="18">
        <v>6.0000000000000001E-3</v>
      </c>
      <c r="DN42" s="18"/>
      <c r="DO42" s="18"/>
      <c r="DP42" s="18"/>
      <c r="DQ42" s="18"/>
      <c r="DR42" s="18"/>
      <c r="DS42" s="18"/>
      <c r="DT42" s="18"/>
      <c r="DU42" s="18"/>
      <c r="DV42" s="28"/>
      <c r="DW42" s="28"/>
      <c r="DX42" s="28"/>
      <c r="DY42" s="28"/>
      <c r="DZ42" s="28"/>
      <c r="EA42" s="28"/>
      <c r="EB42" s="28"/>
      <c r="EC42" s="28"/>
      <c r="ED42" s="28"/>
      <c r="EE42" s="28"/>
      <c r="EF42" s="28"/>
      <c r="EG42" s="28"/>
      <c r="EH42" s="28"/>
      <c r="EI42" s="28"/>
      <c r="EJ42" s="18"/>
      <c r="EK42" s="18"/>
      <c r="EL42" s="18">
        <f>IFERROR(CR42/'McDonough &amp; Sun 1995 values'!C$2,)</f>
        <v>0.19047619047619047</v>
      </c>
      <c r="EM42" s="18">
        <f>IFERROR(CH42/'McDonough &amp; Sun 1995 values'!D$2,)</f>
        <v>0.11666666666666668</v>
      </c>
      <c r="EN42" s="18">
        <f>IFERROR(CS42/'McDonough &amp; Sun 1995 values'!E$2,)</f>
        <v>0.25606060606060604</v>
      </c>
      <c r="EO42" s="18">
        <f>IFERROR(DL42/'McDonough &amp; Sun 1995 values'!F$2,)</f>
        <v>0.18867924528301885</v>
      </c>
      <c r="EP42" s="18">
        <f>IFERROR(DM42/'McDonough &amp; Sun 1995 values'!G$2,)</f>
        <v>0.29556650246305421</v>
      </c>
      <c r="EQ42" s="18">
        <f>IFERROR(BR42/'McDonough &amp; Sun 1995 values'!H$2,)</f>
        <v>0.10833333333333334</v>
      </c>
      <c r="ER42" s="18">
        <f>IFERROR(DI42/'McDonough &amp; Sun 1995 values'!I$2,)</f>
        <v>0.16216216216216217</v>
      </c>
      <c r="ES42" s="18">
        <f>IFERROR(CM42/'McDonough &amp; Sun 1995 values'!J$2,)</f>
        <v>0.15349544072948329</v>
      </c>
      <c r="ET42" s="18">
        <f>IFERROR(CU42/'McDonough &amp; Sun 1995 values'!K$2,)</f>
        <v>0.18364197530864196</v>
      </c>
      <c r="EU42" s="18">
        <f>IFERROR(CV42/'McDonough &amp; Sun 1995 values'!L$2,)</f>
        <v>0.10686567164179103</v>
      </c>
      <c r="EV42" s="18">
        <f>IFERROR(CW42/'McDonough &amp; Sun 1995 values'!M$2,)</f>
        <v>0.11023622047244094</v>
      </c>
      <c r="EW42" s="18">
        <f>IFERROR(CI42/'McDonough &amp; Sun 1995 values'!N$2,)</f>
        <v>4.3216080402010054E-2</v>
      </c>
      <c r="EX42" s="18">
        <f>IFERROR(CX42/'McDonough &amp; Sun 1995 values'!O$2,)</f>
        <v>5.4400000000000004E-2</v>
      </c>
      <c r="EY42" s="18">
        <f>IFERROR(CY42/'McDonough &amp; Sun 1995 values'!P$2,)</f>
        <v>4.1871921182266007E-2</v>
      </c>
      <c r="EZ42" s="18">
        <f>IFERROR(DH42/'McDonough &amp; Sun 1995 values'!Q$2,)</f>
        <v>1.0600706713780919E-2</v>
      </c>
      <c r="FA42" s="18">
        <f>IFERROR(CK42/'McDonough &amp; Sun 1995 values'!R$2,)</f>
        <v>9.0476190476190474E-3</v>
      </c>
      <c r="FB42" s="18">
        <f>IFERROR(CZ42/'McDonough &amp; Sun 1995 values'!S$2,)</f>
        <v>4.5454545454545456E-2</v>
      </c>
      <c r="FC42" s="18">
        <f>IFERROR(BT42/'McDonough &amp; Sun 1995 values'!T$2,)</f>
        <v>3.5933609958506223E-3</v>
      </c>
      <c r="FD42" s="18">
        <f>IFERROR(DA42/'McDonough &amp; Sun 1995 values'!U$2,)</f>
        <v>1.1029411764705881E-2</v>
      </c>
      <c r="FE42" s="18">
        <f>IFERROR(DN42/'McDonough &amp; Sun 1995 values'!V$2,)</f>
        <v>0</v>
      </c>
      <c r="FF42" s="18">
        <f>IFERROR(DB42/'McDonough &amp; Sun 1995 values'!W$2,)</f>
        <v>7.418397626112759E-3</v>
      </c>
      <c r="FG42" s="18">
        <f>IFERROR(CJ42/'McDonough &amp; Sun 1995 values'!X$2,)</f>
        <v>2.7906976744186047E-3</v>
      </c>
      <c r="FH42" s="18">
        <f>IFERROR(DC42/'McDonough &amp; Sun 1995 values'!Y$2,)</f>
        <v>2.684563758389262E-2</v>
      </c>
      <c r="FI42" s="18">
        <f>IFERROR(DD42/'McDonough &amp; Sun 1995 values'!Z$2,)</f>
        <v>9.1324200913242004E-3</v>
      </c>
      <c r="FJ42" s="18">
        <f>IFERROR(DE42/'McDonough &amp; Sun 1995 values'!AA$2,)</f>
        <v>0</v>
      </c>
      <c r="FK42" s="18">
        <f>IFERROR(DF42/'McDonough &amp; Sun 1995 values'!AB$2,)</f>
        <v>0</v>
      </c>
      <c r="FL42" s="18">
        <f>IFERROR(DG42/'McDonough &amp; Sun 1995 values'!AC$2,)</f>
        <v>4.4444444444444439E-2</v>
      </c>
      <c r="FN42" s="28">
        <f t="shared" si="68"/>
        <v>2.7283061765820387</v>
      </c>
      <c r="FO42" s="4">
        <f t="shared" si="86"/>
        <v>0.86633838383838369</v>
      </c>
      <c r="FP42" s="4">
        <f t="shared" si="87"/>
        <v>1.2292172613487762</v>
      </c>
      <c r="FQ42" s="4">
        <f t="shared" si="88"/>
        <v>0.63836477987421369</v>
      </c>
      <c r="FR42" s="4">
        <f t="shared" si="89"/>
        <v>1.1964001955751129</v>
      </c>
      <c r="FS42" s="4">
        <f t="shared" si="90"/>
        <v>1.1324588477366253</v>
      </c>
      <c r="FT42" s="4">
        <f t="shared" si="91"/>
        <v>0.61250000000000016</v>
      </c>
      <c r="FU42" s="4">
        <f t="shared" si="92"/>
        <v>1.0564624029970564</v>
      </c>
      <c r="FV42" s="4">
        <f t="shared" si="93"/>
        <v>0.21607843137254903</v>
      </c>
      <c r="FW42" s="4">
        <f t="shared" si="94"/>
        <v>0.85349206349206341</v>
      </c>
      <c r="FX42" s="4">
        <f t="shared" si="95"/>
        <v>1.7184650337680125</v>
      </c>
      <c r="FY42" s="4">
        <f t="shared" si="96"/>
        <v>0.55806369158829705</v>
      </c>
      <c r="FZ42" s="4">
        <f t="shared" si="97"/>
        <v>2.1151428323169879</v>
      </c>
      <c r="GA42" s="4">
        <f t="shared" si="98"/>
        <v>0.39203158650394837</v>
      </c>
      <c r="GB42" s="4">
        <f t="shared" si="99"/>
        <v>1.0855614973262033</v>
      </c>
      <c r="GC42" s="4">
        <f t="shared" si="100"/>
        <v>1.6326530612244894</v>
      </c>
      <c r="GD42" s="4">
        <f t="shared" si="101"/>
        <v>1.3571212121212122</v>
      </c>
      <c r="GE42" s="4">
        <f t="shared" si="102"/>
        <v>2.1948051948051943</v>
      </c>
      <c r="GF42" s="4">
        <f t="shared" si="103"/>
        <v>2.3636363636363633</v>
      </c>
      <c r="GG42" s="4">
        <f t="shared" si="104"/>
        <v>1.6681968196819681</v>
      </c>
      <c r="GH42" s="4">
        <f t="shared" si="105"/>
        <v>1.665895061728395</v>
      </c>
      <c r="GI42" s="4">
        <f t="shared" si="106"/>
        <v>4.3858024691358022</v>
      </c>
      <c r="GJ42" s="4">
        <f t="shared" si="107"/>
        <v>24.754938271604939</v>
      </c>
      <c r="GK42" s="4">
        <f t="shared" si="108"/>
        <v>0</v>
      </c>
      <c r="GL42" s="4">
        <f t="shared" si="109"/>
        <v>2.5178708896953701</v>
      </c>
      <c r="GM42" s="4">
        <f t="shared" si="110"/>
        <v>1.6172506738544472</v>
      </c>
      <c r="GN42" s="4">
        <f t="shared" si="111"/>
        <v>0.83584071926643011</v>
      </c>
      <c r="GO42" s="4">
        <f t="shared" si="112"/>
        <v>0.51932624113475179</v>
      </c>
      <c r="GP42" s="4">
        <f t="shared" si="113"/>
        <v>0.36652777777777773</v>
      </c>
      <c r="GQ42" s="27">
        <f t="shared" si="114"/>
        <v>50703.722007113647</v>
      </c>
      <c r="GR42" s="28">
        <f t="shared" si="115"/>
        <v>7.8005726164790232</v>
      </c>
      <c r="GS42" s="28">
        <f t="shared" si="116"/>
        <v>136.51002078838292</v>
      </c>
      <c r="GT42" s="28">
        <f t="shared" si="117"/>
        <v>3295.7419304623872</v>
      </c>
      <c r="GU42" s="28">
        <f t="shared" si="118"/>
        <v>29.252147311796332</v>
      </c>
      <c r="GV42" s="28">
        <f t="shared" si="119"/>
        <v>11.700858924718533</v>
      </c>
      <c r="GW42" s="28">
        <f t="shared" si="120"/>
        <v>50703.722007113647</v>
      </c>
      <c r="GX42" s="28">
        <f t="shared" si="121"/>
        <v>11.700858924718533</v>
      </c>
      <c r="GY42" s="28">
        <f t="shared" si="122"/>
        <v>196.96445856609532</v>
      </c>
      <c r="GZ42" s="28">
        <f t="shared" si="123"/>
        <v>232.0670353402509</v>
      </c>
      <c r="HA42" s="28">
        <f t="shared" si="124"/>
        <v>349.07562458743621</v>
      </c>
      <c r="HB42" s="28">
        <f t="shared" si="125"/>
        <v>54.604008315353155</v>
      </c>
      <c r="HC42" s="28">
        <f t="shared" si="126"/>
        <v>1677.1231125429897</v>
      </c>
      <c r="HD42" s="28">
        <f t="shared" si="127"/>
        <v>132.6097344801434</v>
      </c>
      <c r="HE42" s="28">
        <f t="shared" si="128"/>
        <v>33.15243362003585</v>
      </c>
      <c r="HF42" s="28">
        <f t="shared" si="129"/>
        <v>5.8504294623592665</v>
      </c>
      <c r="HG42" s="28">
        <f t="shared" si="130"/>
        <v>185.26359964137677</v>
      </c>
      <c r="HH42" s="28">
        <f t="shared" si="131"/>
        <v>13.651002078838289</v>
      </c>
      <c r="HI42" s="28">
        <f t="shared" si="132"/>
        <v>8444.1198573385427</v>
      </c>
      <c r="HJ42" s="28">
        <f t="shared" si="133"/>
        <v>11.700858924718533</v>
      </c>
      <c r="HK42" s="28">
        <f t="shared" si="134"/>
        <v>0</v>
      </c>
      <c r="HL42" s="28">
        <f t="shared" si="135"/>
        <v>9.750715770598779</v>
      </c>
      <c r="HM42" s="28">
        <f t="shared" si="136"/>
        <v>23.401717849437066</v>
      </c>
      <c r="HN42" s="28">
        <f t="shared" si="137"/>
        <v>7.8005726164790232</v>
      </c>
      <c r="HO42" s="28">
        <f t="shared" si="138"/>
        <v>7.8005726164790232</v>
      </c>
      <c r="HP42" s="28">
        <f t="shared" si="139"/>
        <v>0</v>
      </c>
      <c r="HQ42" s="28" t="str">
        <f t="shared" si="140"/>
        <v/>
      </c>
      <c r="HR42" s="28">
        <f t="shared" si="141"/>
        <v>5.8504294623592665</v>
      </c>
      <c r="HT42" s="4">
        <f>IFERROR(GR42/'McDonough &amp; Sun 1995 values'!C$2,)</f>
        <v>371.45583887995349</v>
      </c>
      <c r="HU42" s="4">
        <f>IFERROR(GS42/'McDonough &amp; Sun 1995 values'!D$2,)</f>
        <v>227.51670131397154</v>
      </c>
      <c r="HV42" s="4">
        <f>IFERROR(GT42/'McDonough &amp; Sun 1995 values'!E$2,)</f>
        <v>499.35483794884658</v>
      </c>
      <c r="HW42" s="4">
        <f>IFERROR(GU42/'McDonough &amp; Sun 1995 values'!F$2,)</f>
        <v>367.95153851316138</v>
      </c>
      <c r="HX42" s="4">
        <f>IFERROR(GV42/'McDonough &amp; Sun 1995 values'!G$2,)</f>
        <v>576.39699136544505</v>
      </c>
      <c r="HY42" s="4">
        <f>IFERROR(GW42/'McDonough &amp; Sun 1995 values'!H$2,)</f>
        <v>211.26550836297352</v>
      </c>
      <c r="HZ42" s="4">
        <f>IFERROR(GX42/'McDonough &amp; Sun 1995 values'!I$2,)</f>
        <v>316.23943039779823</v>
      </c>
      <c r="IA42" s="4">
        <f>IFERROR(GY42/'McDonough &amp; Sun 1995 values'!J$2,)</f>
        <v>299.33808292719652</v>
      </c>
      <c r="IB42" s="4">
        <f>IFERROR(GZ42/'McDonough &amp; Sun 1995 values'!K$2,)</f>
        <v>358.12814095717732</v>
      </c>
      <c r="IC42" s="4">
        <f>IFERROR(HA42/'McDonough &amp; Sun 1995 values'!L$2,)</f>
        <v>208.40335796264847</v>
      </c>
      <c r="ID42" s="4">
        <f>IFERROR(HB42/'McDonough &amp; Sun 1995 values'!M$2,)</f>
        <v>214.97641069036675</v>
      </c>
      <c r="IE42" s="4">
        <f>IFERROR(HC42/'McDonough &amp; Sun 1995 values'!N$2,)</f>
        <v>84.277543343868828</v>
      </c>
      <c r="IF42" s="4">
        <f>IFERROR(HD42/'McDonough &amp; Sun 1995 values'!O$2,)</f>
        <v>106.08778758411472</v>
      </c>
      <c r="IG42" s="4">
        <f>IFERROR(HE42/'McDonough &amp; Sun 1995 values'!P$2,)</f>
        <v>81.656240443438051</v>
      </c>
      <c r="IH42" s="4">
        <f>IFERROR(HF42/'McDonough &amp; Sun 1995 values'!Q$2,)</f>
        <v>20.672895626711192</v>
      </c>
      <c r="II42" s="4">
        <f>IFERROR(HG42/'McDonough &amp; Sun 1995 values'!R$2,)</f>
        <v>17.644152346797789</v>
      </c>
      <c r="IJ42" s="4">
        <f>IFERROR(HH42/'McDonough &amp; Sun 1995 values'!S$2,)</f>
        <v>88.642870641807065</v>
      </c>
      <c r="IK42" s="4">
        <f>IFERROR(HI42/'McDonough &amp; Sun 1995 values'!T$2,)</f>
        <v>7.0075683463390392</v>
      </c>
      <c r="IL42" s="4">
        <f>IFERROR(HJ42/'McDonough &amp; Sun 1995 values'!U$2,)</f>
        <v>21.508931846909068</v>
      </c>
      <c r="IM42" s="4">
        <f>IFERROR(HK42/'McDonough &amp; Sun 1995 values'!V$2,)</f>
        <v>0</v>
      </c>
      <c r="IN42" s="4">
        <f>IFERROR(HL42/'McDonough &amp; Sun 1995 values'!W$2,)</f>
        <v>14.466937345102044</v>
      </c>
      <c r="IO42" s="4">
        <f>IFERROR(HM42/'McDonough &amp; Sun 1995 values'!X$2,)</f>
        <v>5.4422599649853645</v>
      </c>
      <c r="IP42" s="4">
        <f>IFERROR(HN42/'McDonough &amp; Sun 1995 values'!Y$2,)</f>
        <v>52.352836352208215</v>
      </c>
      <c r="IQ42" s="4">
        <f>IFERROR(HO42/'McDonough &amp; Sun 1995 values'!Z$2,)</f>
        <v>17.809526521641605</v>
      </c>
      <c r="IR42" s="4">
        <f>IFERROR(HP42/'McDonough &amp; Sun 1995 values'!AA$2,)</f>
        <v>0</v>
      </c>
      <c r="IS42" s="4">
        <f>IFERROR(HQ42/'McDonough &amp; Sun 1995 values'!AB$2,)</f>
        <v>0</v>
      </c>
      <c r="IT42" s="4">
        <f>IFERROR(HR42/'McDonough &amp; Sun 1995 values'!AC$2,)</f>
        <v>86.673029071989134</v>
      </c>
    </row>
    <row r="43" spans="1:254">
      <c r="A43" s="16" t="s">
        <v>844</v>
      </c>
      <c r="B43" s="16" t="s">
        <v>24</v>
      </c>
      <c r="C43" s="16" t="str">
        <f t="shared" si="0"/>
        <v>high-Mg carbonatitic</v>
      </c>
      <c r="D43" s="16" t="s">
        <v>25</v>
      </c>
      <c r="E43" s="16" t="s">
        <v>237</v>
      </c>
      <c r="F43" s="16" t="s">
        <v>238</v>
      </c>
      <c r="G43" s="16" t="s">
        <v>595</v>
      </c>
      <c r="H43" s="27">
        <v>355</v>
      </c>
      <c r="I43" s="16" t="s">
        <v>712</v>
      </c>
      <c r="J43" s="16">
        <v>0</v>
      </c>
      <c r="K43" s="16" t="s">
        <v>488</v>
      </c>
      <c r="L43" s="16">
        <v>0</v>
      </c>
      <c r="M43" s="16" t="s">
        <v>480</v>
      </c>
      <c r="N43" s="16">
        <v>10</v>
      </c>
      <c r="O43" s="26">
        <v>8.91</v>
      </c>
      <c r="P43" s="26">
        <v>0.91</v>
      </c>
      <c r="Q43" s="26"/>
      <c r="R43" s="26">
        <v>0.81</v>
      </c>
      <c r="S43" s="26">
        <v>9.73</v>
      </c>
      <c r="T43" s="26">
        <v>25.9</v>
      </c>
      <c r="U43" s="26"/>
      <c r="V43" s="26">
        <v>22.6</v>
      </c>
      <c r="W43" s="26">
        <v>6.05</v>
      </c>
      <c r="X43" s="26">
        <v>17.600000000000001</v>
      </c>
      <c r="Y43" s="26"/>
      <c r="Z43" s="26"/>
      <c r="AA43" s="26"/>
      <c r="AB43" s="26"/>
      <c r="AC43" s="26"/>
      <c r="AD43" s="26">
        <v>6.57</v>
      </c>
      <c r="AE43" s="26"/>
      <c r="AF43" s="26"/>
      <c r="AG43" s="26"/>
      <c r="AH43" s="26"/>
      <c r="AI43" s="26"/>
      <c r="AJ43" s="26">
        <f t="shared" si="62"/>
        <v>99.079999999999984</v>
      </c>
      <c r="AK43" s="26">
        <f t="shared" si="73"/>
        <v>9.1293463890958684</v>
      </c>
      <c r="AL43" s="26">
        <f t="shared" si="74"/>
        <v>0.93240238092898342</v>
      </c>
      <c r="AM43" s="26">
        <f t="shared" si="75"/>
        <v>0.82994058082689715</v>
      </c>
      <c r="AN43" s="26">
        <f t="shared" si="76"/>
        <v>9.9695331499329765</v>
      </c>
      <c r="AO43" s="26">
        <f t="shared" si="77"/>
        <v>26.537606226440293</v>
      </c>
      <c r="AP43" s="26">
        <f t="shared" si="78"/>
        <v>23.156366823071455</v>
      </c>
      <c r="AQ43" s="26">
        <f t="shared" si="79"/>
        <v>0</v>
      </c>
      <c r="AR43" s="26">
        <f t="shared" si="80"/>
        <v>6.198938906176207</v>
      </c>
      <c r="AS43" s="26">
        <f t="shared" si="81"/>
        <v>18.033276817967149</v>
      </c>
      <c r="AT43" s="26">
        <f t="shared" si="82"/>
        <v>0</v>
      </c>
      <c r="AU43" s="26">
        <f t="shared" si="83"/>
        <v>6.7317402667070549</v>
      </c>
      <c r="AV43" s="26">
        <f t="shared" si="7"/>
        <v>101.51915154114688</v>
      </c>
      <c r="AW43" s="26"/>
      <c r="AX43" s="26"/>
      <c r="AY43" s="26"/>
      <c r="AZ43" s="26"/>
      <c r="BA43" s="26"/>
      <c r="BB43" s="26">
        <v>0.09</v>
      </c>
      <c r="BC43" s="26">
        <f t="shared" si="84"/>
        <v>8.9999999999999969E-2</v>
      </c>
      <c r="BD43" s="26">
        <f t="shared" si="85"/>
        <v>0.91</v>
      </c>
      <c r="BE43" s="16"/>
      <c r="BF43" s="16"/>
      <c r="BG43" s="16">
        <v>0</v>
      </c>
      <c r="BH43" s="16"/>
      <c r="BI43" s="16"/>
      <c r="BJ43" s="16"/>
      <c r="BK43" s="18"/>
      <c r="BL43" s="18"/>
      <c r="BM43" s="18"/>
      <c r="BN43" s="18"/>
      <c r="BO43" s="18"/>
      <c r="BP43" s="18"/>
      <c r="BQ43" s="18"/>
      <c r="BR43" s="18">
        <v>187</v>
      </c>
      <c r="BS43" s="18"/>
      <c r="BT43" s="18"/>
      <c r="BU43" s="18">
        <v>2.6</v>
      </c>
      <c r="BV43" s="18">
        <v>0.68</v>
      </c>
      <c r="BW43" s="18"/>
      <c r="BX43" s="18">
        <v>2.11</v>
      </c>
      <c r="BY43" s="18">
        <v>38.200000000000003</v>
      </c>
      <c r="BZ43" s="18">
        <v>4.3600000000000003</v>
      </c>
      <c r="CA43" s="18">
        <v>0.06</v>
      </c>
      <c r="CB43" s="18">
        <v>0.23</v>
      </c>
      <c r="CC43" s="18"/>
      <c r="CD43" s="18"/>
      <c r="CE43" s="18"/>
      <c r="CF43" s="18"/>
      <c r="CG43" s="18"/>
      <c r="CH43" s="18">
        <v>0.54</v>
      </c>
      <c r="CI43" s="18">
        <v>1.67</v>
      </c>
      <c r="CJ43" s="18"/>
      <c r="CK43" s="18">
        <v>0.05</v>
      </c>
      <c r="CL43" s="18"/>
      <c r="CM43" s="18">
        <v>0.59</v>
      </c>
      <c r="CN43" s="18"/>
      <c r="CO43" s="18"/>
      <c r="CP43" s="18"/>
      <c r="CQ43" s="18"/>
      <c r="CR43" s="18">
        <v>0.04</v>
      </c>
      <c r="CS43" s="18">
        <v>9.02</v>
      </c>
      <c r="CT43" s="18">
        <v>0.06</v>
      </c>
      <c r="CU43" s="18">
        <v>0.43</v>
      </c>
      <c r="CV43" s="18">
        <v>0.86</v>
      </c>
      <c r="CW43" s="18">
        <v>7.0000000000000007E-2</v>
      </c>
      <c r="CX43" s="18">
        <v>0.09</v>
      </c>
      <c r="CY43" s="18">
        <v>0.01</v>
      </c>
      <c r="CZ43" s="18">
        <v>0.01</v>
      </c>
      <c r="DA43" s="18">
        <v>0.01</v>
      </c>
      <c r="DB43" s="18">
        <v>0.01</v>
      </c>
      <c r="DC43" s="18">
        <v>0.01</v>
      </c>
      <c r="DD43" s="18">
        <v>0.01</v>
      </c>
      <c r="DE43" s="18">
        <v>0.01</v>
      </c>
      <c r="DF43" s="18">
        <v>0.01</v>
      </c>
      <c r="DG43" s="18">
        <v>0.02</v>
      </c>
      <c r="DH43" s="18">
        <v>0</v>
      </c>
      <c r="DI43" s="18">
        <v>0.03</v>
      </c>
      <c r="DJ43" s="18">
        <v>0</v>
      </c>
      <c r="DK43" s="18">
        <v>0.11</v>
      </c>
      <c r="DL43" s="18">
        <v>0.05</v>
      </c>
      <c r="DM43" s="18">
        <v>0.01</v>
      </c>
      <c r="DN43" s="18"/>
      <c r="DO43" s="18"/>
      <c r="DP43" s="18"/>
      <c r="DQ43" s="18"/>
      <c r="DR43" s="18"/>
      <c r="DS43" s="18"/>
      <c r="DT43" s="18"/>
      <c r="DU43" s="18"/>
      <c r="DV43" s="28"/>
      <c r="DW43" s="28"/>
      <c r="DX43" s="28"/>
      <c r="DY43" s="28"/>
      <c r="DZ43" s="28"/>
      <c r="EA43" s="28"/>
      <c r="EB43" s="28"/>
      <c r="EC43" s="28"/>
      <c r="ED43" s="28"/>
      <c r="EE43" s="28"/>
      <c r="EF43" s="28"/>
      <c r="EG43" s="28"/>
      <c r="EH43" s="28"/>
      <c r="EI43" s="28"/>
      <c r="EJ43" s="18"/>
      <c r="EK43" s="18"/>
      <c r="EL43" s="18">
        <f>IFERROR(CR43/'McDonough &amp; Sun 1995 values'!C$2,)</f>
        <v>1.9047619047619047</v>
      </c>
      <c r="EM43" s="18">
        <f>IFERROR(CH43/'McDonough &amp; Sun 1995 values'!D$2,)</f>
        <v>0.90000000000000013</v>
      </c>
      <c r="EN43" s="18">
        <f>IFERROR(CS43/'McDonough &amp; Sun 1995 values'!E$2,)</f>
        <v>1.3666666666666667</v>
      </c>
      <c r="EO43" s="18">
        <f>IFERROR(DL43/'McDonough &amp; Sun 1995 values'!F$2,)</f>
        <v>0.62893081761006286</v>
      </c>
      <c r="EP43" s="18">
        <f>IFERROR(DM43/'McDonough &amp; Sun 1995 values'!G$2,)</f>
        <v>0.49261083743842371</v>
      </c>
      <c r="EQ43" s="18">
        <f>IFERROR(BR43/'McDonough &amp; Sun 1995 values'!H$2,)</f>
        <v>0.77916666666666667</v>
      </c>
      <c r="ER43" s="18">
        <f>IFERROR(DI43/'McDonough &amp; Sun 1995 values'!I$2,)</f>
        <v>0.81081081081081086</v>
      </c>
      <c r="ES43" s="18">
        <f>IFERROR(CM43/'McDonough &amp; Sun 1995 values'!J$2,)</f>
        <v>0.89665653495440722</v>
      </c>
      <c r="ET43" s="18">
        <f>IFERROR(CU43/'McDonough &amp; Sun 1995 values'!K$2,)</f>
        <v>0.6635802469135802</v>
      </c>
      <c r="EU43" s="18">
        <f>IFERROR(CV43/'McDonough &amp; Sun 1995 values'!L$2,)</f>
        <v>0.51343283582089549</v>
      </c>
      <c r="EV43" s="18">
        <f>IFERROR(CW43/'McDonough &amp; Sun 1995 values'!M$2,)</f>
        <v>0.27559055118110237</v>
      </c>
      <c r="EW43" s="18">
        <f>IFERROR(CI43/'McDonough &amp; Sun 1995 values'!N$2,)</f>
        <v>8.3919597989949746E-2</v>
      </c>
      <c r="EX43" s="18">
        <f>IFERROR(CX43/'McDonough &amp; Sun 1995 values'!O$2,)</f>
        <v>7.1999999999999995E-2</v>
      </c>
      <c r="EY43" s="18">
        <f>IFERROR(CY43/'McDonough &amp; Sun 1995 values'!P$2,)</f>
        <v>2.463054187192118E-2</v>
      </c>
      <c r="EZ43" s="18">
        <f>IFERROR(DH43/'McDonough &amp; Sun 1995 values'!Q$2,)</f>
        <v>0</v>
      </c>
      <c r="FA43" s="18">
        <f>IFERROR(CK43/'McDonough &amp; Sun 1995 values'!R$2,)</f>
        <v>4.7619047619047623E-3</v>
      </c>
      <c r="FB43" s="18">
        <f>IFERROR(CZ43/'McDonough &amp; Sun 1995 values'!S$2,)</f>
        <v>6.4935064935064943E-2</v>
      </c>
      <c r="FC43" s="18">
        <f>IFERROR(BT43/'McDonough &amp; Sun 1995 values'!T$2,)</f>
        <v>0</v>
      </c>
      <c r="FD43" s="18">
        <f>IFERROR(DA43/'McDonough &amp; Sun 1995 values'!U$2,)</f>
        <v>1.8382352941176471E-2</v>
      </c>
      <c r="FE43" s="18">
        <f>IFERROR(DN43/'McDonough &amp; Sun 1995 values'!V$2,)</f>
        <v>0</v>
      </c>
      <c r="FF43" s="18">
        <f>IFERROR(DB43/'McDonough &amp; Sun 1995 values'!W$2,)</f>
        <v>1.4836795252225518E-2</v>
      </c>
      <c r="FG43" s="18">
        <f>IFERROR(CJ43/'McDonough &amp; Sun 1995 values'!X$2,)</f>
        <v>0</v>
      </c>
      <c r="FH43" s="18">
        <f>IFERROR(DC43/'McDonough &amp; Sun 1995 values'!Y$2,)</f>
        <v>6.7114093959731544E-2</v>
      </c>
      <c r="FI43" s="18">
        <f>IFERROR(DD43/'McDonough &amp; Sun 1995 values'!Z$2,)</f>
        <v>2.2831050228310501E-2</v>
      </c>
      <c r="FJ43" s="18">
        <f>IFERROR(DE43/'McDonough &amp; Sun 1995 values'!AA$2,)</f>
        <v>0.14705882352941177</v>
      </c>
      <c r="FK43" s="18">
        <f>IFERROR(DF43/'McDonough &amp; Sun 1995 values'!AB$2,)</f>
        <v>2.2675736961451247E-2</v>
      </c>
      <c r="FL43" s="18">
        <f>IFERROR(DG43/'McDonough &amp; Sun 1995 values'!AC$2,)</f>
        <v>0.29629629629629628</v>
      </c>
      <c r="FN43" s="28">
        <f t="shared" si="68"/>
        <v>0.63222781275519624</v>
      </c>
      <c r="FO43" s="4">
        <f t="shared" si="86"/>
        <v>2.7743333333333329</v>
      </c>
      <c r="FP43" s="4">
        <f t="shared" si="87"/>
        <v>0.70141775930071426</v>
      </c>
      <c r="FQ43" s="4">
        <f t="shared" si="88"/>
        <v>1.2767295597484274</v>
      </c>
      <c r="FR43" s="4">
        <f t="shared" si="89"/>
        <v>0.74006068215107768</v>
      </c>
      <c r="FS43" s="4">
        <f t="shared" si="90"/>
        <v>0.8184156378600822</v>
      </c>
      <c r="FT43" s="4">
        <f t="shared" si="91"/>
        <v>0.47250000000000009</v>
      </c>
      <c r="FU43" s="4">
        <f t="shared" si="92"/>
        <v>0.9042601923957857</v>
      </c>
      <c r="FV43" s="4">
        <f t="shared" si="93"/>
        <v>0.19333333333333336</v>
      </c>
      <c r="FW43" s="4">
        <f t="shared" si="94"/>
        <v>0</v>
      </c>
      <c r="FX43" s="4">
        <f t="shared" si="95"/>
        <v>3.0193301435406701</v>
      </c>
      <c r="FY43" s="4">
        <f t="shared" si="96"/>
        <v>0.5957512809646377</v>
      </c>
      <c r="FZ43" s="4">
        <f t="shared" si="97"/>
        <v>3.0516993543323676</v>
      </c>
      <c r="GA43" s="4">
        <f t="shared" si="98"/>
        <v>0.30450825556353195</v>
      </c>
      <c r="GB43" s="4">
        <f t="shared" si="99"/>
        <v>2.6363636363636371</v>
      </c>
      <c r="GC43" s="4">
        <f t="shared" si="100"/>
        <v>2.1164021164021158</v>
      </c>
      <c r="GD43" s="4">
        <f t="shared" si="101"/>
        <v>2.173</v>
      </c>
      <c r="GE43" s="4">
        <f t="shared" si="102"/>
        <v>1.5185185185185184</v>
      </c>
      <c r="GF43" s="4">
        <f t="shared" si="103"/>
        <v>1.7540106951871659</v>
      </c>
      <c r="GG43" s="4">
        <f t="shared" si="104"/>
        <v>1.5241807909604521</v>
      </c>
      <c r="GH43" s="4">
        <f t="shared" si="105"/>
        <v>2.4078483245149909</v>
      </c>
      <c r="GI43" s="4">
        <f t="shared" si="106"/>
        <v>26.941358024691358</v>
      </c>
      <c r="GJ43" s="4">
        <f t="shared" si="107"/>
        <v>44.72530864197531</v>
      </c>
      <c r="GK43" s="4">
        <f t="shared" si="108"/>
        <v>29.263888888888886</v>
      </c>
      <c r="GL43" s="4">
        <f t="shared" si="109"/>
        <v>0</v>
      </c>
      <c r="GM43" s="4">
        <f t="shared" si="110"/>
        <v>0.69881201956673644</v>
      </c>
      <c r="GN43" s="4">
        <f t="shared" si="111"/>
        <v>1.3512405456987346</v>
      </c>
      <c r="GO43" s="4">
        <f t="shared" si="112"/>
        <v>1.8202127659574465</v>
      </c>
      <c r="GP43" s="4">
        <f t="shared" si="113"/>
        <v>1.581708333333333</v>
      </c>
      <c r="GQ43" s="27">
        <f t="shared" si="114"/>
        <v>149700.95812760163</v>
      </c>
      <c r="GR43" s="28">
        <f t="shared" si="115"/>
        <v>32.021595321412114</v>
      </c>
      <c r="GS43" s="28">
        <f t="shared" si="116"/>
        <v>432.2915368390635</v>
      </c>
      <c r="GT43" s="28">
        <f t="shared" si="117"/>
        <v>7220.8697449784313</v>
      </c>
      <c r="GU43" s="28">
        <f t="shared" si="118"/>
        <v>40.026994151765145</v>
      </c>
      <c r="GV43" s="28">
        <f t="shared" si="119"/>
        <v>8.0053988303530286</v>
      </c>
      <c r="GW43" s="28">
        <f t="shared" si="120"/>
        <v>149700.95812760163</v>
      </c>
      <c r="GX43" s="28">
        <f t="shared" si="121"/>
        <v>24.016196491059084</v>
      </c>
      <c r="GY43" s="28">
        <f t="shared" si="122"/>
        <v>472.31853099082861</v>
      </c>
      <c r="GZ43" s="28">
        <f t="shared" si="123"/>
        <v>344.23214970518018</v>
      </c>
      <c r="HA43" s="28">
        <f t="shared" si="124"/>
        <v>688.46429941036035</v>
      </c>
      <c r="HB43" s="28">
        <f t="shared" si="125"/>
        <v>56.037791812471205</v>
      </c>
      <c r="HC43" s="28">
        <f t="shared" si="126"/>
        <v>1336.9016046689555</v>
      </c>
      <c r="HD43" s="28">
        <f t="shared" si="127"/>
        <v>72.048589473177245</v>
      </c>
      <c r="HE43" s="28">
        <f t="shared" si="128"/>
        <v>8.0053988303530286</v>
      </c>
      <c r="HF43" s="28">
        <f t="shared" si="129"/>
        <v>0</v>
      </c>
      <c r="HG43" s="28">
        <f t="shared" si="130"/>
        <v>40.026994151765145</v>
      </c>
      <c r="HH43" s="28">
        <f t="shared" si="131"/>
        <v>8.0053988303530286</v>
      </c>
      <c r="HI43" s="28">
        <f t="shared" si="132"/>
        <v>0</v>
      </c>
      <c r="HJ43" s="28">
        <f t="shared" si="133"/>
        <v>8.0053988303530286</v>
      </c>
      <c r="HK43" s="28">
        <f t="shared" si="134"/>
        <v>0</v>
      </c>
      <c r="HL43" s="28">
        <f t="shared" si="135"/>
        <v>8.0053988303530286</v>
      </c>
      <c r="HM43" s="28">
        <f t="shared" si="136"/>
        <v>0</v>
      </c>
      <c r="HN43" s="28">
        <f t="shared" si="137"/>
        <v>8.0053988303530286</v>
      </c>
      <c r="HO43" s="28">
        <f t="shared" si="138"/>
        <v>8.0053988303530286</v>
      </c>
      <c r="HP43" s="28">
        <f t="shared" si="139"/>
        <v>8.0053988303530286</v>
      </c>
      <c r="HQ43" s="28">
        <f t="shared" si="140"/>
        <v>8.0053988303530286</v>
      </c>
      <c r="HR43" s="28">
        <f t="shared" si="141"/>
        <v>16.010797660706057</v>
      </c>
      <c r="HT43" s="4">
        <f>IFERROR(GR43/'McDonough &amp; Sun 1995 values'!C$2,)</f>
        <v>1524.8378724481959</v>
      </c>
      <c r="HU43" s="4">
        <f>IFERROR(GS43/'McDonough &amp; Sun 1995 values'!D$2,)</f>
        <v>720.48589473177253</v>
      </c>
      <c r="HV43" s="4">
        <f>IFERROR(GT43/'McDonough &amp; Sun 1995 values'!E$2,)</f>
        <v>1094.0711734815807</v>
      </c>
      <c r="HW43" s="4">
        <f>IFERROR(GU43/'McDonough &amp; Sun 1995 values'!F$2,)</f>
        <v>503.48420316685718</v>
      </c>
      <c r="HX43" s="4">
        <f>IFERROR(GV43/'McDonough &amp; Sun 1995 values'!G$2,)</f>
        <v>394.35462218487828</v>
      </c>
      <c r="HY43" s="4">
        <f>IFERROR(GW43/'McDonough &amp; Sun 1995 values'!H$2,)</f>
        <v>623.75399219834014</v>
      </c>
      <c r="HZ43" s="4">
        <f>IFERROR(GX43/'McDonough &amp; Sun 1995 values'!I$2,)</f>
        <v>649.08639165024556</v>
      </c>
      <c r="IA43" s="4">
        <f>IFERROR(GY43/'McDonough &amp; Sun 1995 values'!J$2,)</f>
        <v>717.80931761524096</v>
      </c>
      <c r="IB43" s="4">
        <f>IFERROR(GZ43/'McDonough &amp; Sun 1995 values'!K$2,)</f>
        <v>531.22245324873484</v>
      </c>
      <c r="IC43" s="4">
        <f>IFERROR(HA43/'McDonough &amp; Sun 1995 values'!L$2,)</f>
        <v>411.02346233454347</v>
      </c>
      <c r="ID43" s="4">
        <f>IFERROR(HB43/'McDonough &amp; Sun 1995 values'!M$2,)</f>
        <v>220.62122760815436</v>
      </c>
      <c r="IE43" s="4">
        <f>IFERROR(HC43/'McDonough &amp; Sun 1995 values'!N$2,)</f>
        <v>67.180985159244003</v>
      </c>
      <c r="IF43" s="4">
        <f>IFERROR(HD43/'McDonough &amp; Sun 1995 values'!O$2,)</f>
        <v>57.638871578541796</v>
      </c>
      <c r="IG43" s="4">
        <f>IFERROR(HE43/'McDonough &amp; Sun 1995 values'!P$2,)</f>
        <v>19.71773110924391</v>
      </c>
      <c r="IH43" s="4">
        <f>IFERROR(HF43/'McDonough &amp; Sun 1995 values'!Q$2,)</f>
        <v>0</v>
      </c>
      <c r="II43" s="4">
        <f>IFERROR(HG43/'McDonough &amp; Sun 1995 values'!R$2,)</f>
        <v>3.8120946811204899</v>
      </c>
      <c r="IJ43" s="4">
        <f>IFERROR(HH43/'McDonough &amp; Sun 1995 values'!S$2,)</f>
        <v>51.983109288006681</v>
      </c>
      <c r="IK43" s="4">
        <f>IFERROR(HI43/'McDonough &amp; Sun 1995 values'!T$2,)</f>
        <v>0</v>
      </c>
      <c r="IL43" s="4">
        <f>IFERROR(HJ43/'McDonough &amp; Sun 1995 values'!U$2,)</f>
        <v>14.715806673443065</v>
      </c>
      <c r="IM43" s="4">
        <f>IFERROR(HK43/'McDonough &amp; Sun 1995 values'!V$2,)</f>
        <v>0</v>
      </c>
      <c r="IN43" s="4">
        <f>IFERROR(HL43/'McDonough &amp; Sun 1995 values'!W$2,)</f>
        <v>11.877446335835353</v>
      </c>
      <c r="IO43" s="4">
        <f>IFERROR(HM43/'McDonough &amp; Sun 1995 values'!X$2,)</f>
        <v>0</v>
      </c>
      <c r="IP43" s="4">
        <f>IFERROR(HN43/'McDonough &amp; Sun 1995 values'!Y$2,)</f>
        <v>53.72750892854382</v>
      </c>
      <c r="IQ43" s="4">
        <f>IFERROR(HO43/'McDonough &amp; Sun 1995 values'!Z$2,)</f>
        <v>18.277166279344815</v>
      </c>
      <c r="IR43" s="4">
        <f>IFERROR(HP43/'McDonough &amp; Sun 1995 values'!AA$2,)</f>
        <v>117.72645338754452</v>
      </c>
      <c r="IS43" s="4">
        <f>IFERROR(HQ43/'McDonough &amp; Sun 1995 values'!AB$2,)</f>
        <v>18.152831814859475</v>
      </c>
      <c r="IT43" s="4">
        <f>IFERROR(HR43/'McDonough &amp; Sun 1995 values'!AC$2,)</f>
        <v>237.19700238083047</v>
      </c>
    </row>
    <row r="44" spans="1:254">
      <c r="A44" s="16" t="s">
        <v>844</v>
      </c>
      <c r="B44" s="16" t="s">
        <v>24</v>
      </c>
      <c r="C44" s="16" t="str">
        <f t="shared" si="0"/>
        <v>high-Mg carbonatitic</v>
      </c>
      <c r="D44" s="16" t="s">
        <v>25</v>
      </c>
      <c r="E44" s="16" t="s">
        <v>237</v>
      </c>
      <c r="F44" s="16" t="s">
        <v>238</v>
      </c>
      <c r="G44" s="16" t="s">
        <v>595</v>
      </c>
      <c r="H44" s="27">
        <v>355</v>
      </c>
      <c r="I44" s="16" t="s">
        <v>712</v>
      </c>
      <c r="J44" s="16">
        <v>0</v>
      </c>
      <c r="K44" s="16" t="s">
        <v>488</v>
      </c>
      <c r="L44" s="16">
        <v>0</v>
      </c>
      <c r="M44" s="16" t="s">
        <v>482</v>
      </c>
      <c r="N44" s="16">
        <v>18</v>
      </c>
      <c r="O44" s="26">
        <v>12.16</v>
      </c>
      <c r="P44" s="26">
        <v>0.55000000000000004</v>
      </c>
      <c r="Q44" s="26"/>
      <c r="R44" s="26">
        <v>1.35</v>
      </c>
      <c r="S44" s="26">
        <v>12.5</v>
      </c>
      <c r="T44" s="26">
        <v>28.1</v>
      </c>
      <c r="U44" s="26"/>
      <c r="V44" s="26">
        <v>25.5</v>
      </c>
      <c r="W44" s="26">
        <v>4.92</v>
      </c>
      <c r="X44" s="26">
        <v>13.4</v>
      </c>
      <c r="Y44" s="26"/>
      <c r="Z44" s="26">
        <v>0.43</v>
      </c>
      <c r="AA44" s="26"/>
      <c r="AB44" s="26"/>
      <c r="AC44" s="26"/>
      <c r="AD44" s="26">
        <v>1.04</v>
      </c>
      <c r="AE44" s="26"/>
      <c r="AF44" s="26">
        <v>0.06</v>
      </c>
      <c r="AG44" s="26"/>
      <c r="AH44" s="26"/>
      <c r="AI44" s="26"/>
      <c r="AJ44" s="26">
        <f t="shared" si="62"/>
        <v>99.950000000000017</v>
      </c>
      <c r="AK44" s="26">
        <f t="shared" si="73"/>
        <v>12.194717966453151</v>
      </c>
      <c r="AL44" s="26">
        <f t="shared" si="74"/>
        <v>0.55157030275898311</v>
      </c>
      <c r="AM44" s="26">
        <f t="shared" si="75"/>
        <v>1.3538543794993221</v>
      </c>
      <c r="AN44" s="26">
        <f t="shared" si="76"/>
        <v>12.535688699067796</v>
      </c>
      <c r="AO44" s="26">
        <f t="shared" si="77"/>
        <v>28.180228195504409</v>
      </c>
      <c r="AP44" s="26">
        <f t="shared" si="78"/>
        <v>25.572804946098305</v>
      </c>
      <c r="AQ44" s="26">
        <f t="shared" si="79"/>
        <v>0</v>
      </c>
      <c r="AR44" s="26">
        <f t="shared" si="80"/>
        <v>4.934047071953084</v>
      </c>
      <c r="AS44" s="26">
        <f t="shared" si="81"/>
        <v>13.438258285400678</v>
      </c>
      <c r="AT44" s="26">
        <f t="shared" si="82"/>
        <v>0.43122769124793214</v>
      </c>
      <c r="AU44" s="26">
        <f t="shared" si="83"/>
        <v>1.0429692997624407</v>
      </c>
      <c r="AV44" s="26">
        <f t="shared" si="7"/>
        <v>100.2353668377461</v>
      </c>
      <c r="AW44" s="26"/>
      <c r="AX44" s="26"/>
      <c r="AY44" s="26"/>
      <c r="AZ44" s="26"/>
      <c r="BA44" s="26"/>
      <c r="BB44" s="26">
        <v>0.13</v>
      </c>
      <c r="BC44" s="26">
        <f t="shared" si="84"/>
        <v>0.13</v>
      </c>
      <c r="BD44" s="26">
        <f t="shared" si="85"/>
        <v>0.87</v>
      </c>
      <c r="BE44" s="25">
        <v>-2.9249999999999998</v>
      </c>
      <c r="BF44" s="16"/>
      <c r="BG44" s="16">
        <v>0</v>
      </c>
      <c r="BH44" s="16"/>
      <c r="BI44" s="16"/>
      <c r="BJ44" s="16"/>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28"/>
      <c r="DW44" s="28"/>
      <c r="DX44" s="28"/>
      <c r="DY44" s="28"/>
      <c r="DZ44" s="28"/>
      <c r="EA44" s="28"/>
      <c r="EB44" s="28"/>
      <c r="EC44" s="28"/>
      <c r="ED44" s="28"/>
      <c r="EE44" s="28"/>
      <c r="EF44" s="28"/>
      <c r="EG44" s="28"/>
      <c r="EH44" s="28"/>
      <c r="EI44" s="28"/>
      <c r="EJ44" s="18"/>
      <c r="EK44" s="18"/>
      <c r="EL44" s="18">
        <f>IFERROR(CR44/'McDonough &amp; Sun 1995 values'!C$2,)</f>
        <v>0</v>
      </c>
      <c r="EM44" s="18">
        <f>IFERROR(CH44/'McDonough &amp; Sun 1995 values'!D$2,)</f>
        <v>0</v>
      </c>
      <c r="EN44" s="18">
        <f>IFERROR(CS44/'McDonough &amp; Sun 1995 values'!E$2,)</f>
        <v>0</v>
      </c>
      <c r="EO44" s="18">
        <f>IFERROR(DL44/'McDonough &amp; Sun 1995 values'!F$2,)</f>
        <v>0</v>
      </c>
      <c r="EP44" s="18">
        <f>IFERROR(DM44/'McDonough &amp; Sun 1995 values'!G$2,)</f>
        <v>0</v>
      </c>
      <c r="EQ44" s="18">
        <f>IFERROR(BR44/'McDonough &amp; Sun 1995 values'!H$2,)</f>
        <v>0</v>
      </c>
      <c r="ER44" s="18">
        <f>IFERROR(DI44/'McDonough &amp; Sun 1995 values'!I$2,)</f>
        <v>0</v>
      </c>
      <c r="ES44" s="18">
        <f>IFERROR(CM44/'McDonough &amp; Sun 1995 values'!J$2,)</f>
        <v>0</v>
      </c>
      <c r="ET44" s="18">
        <f>IFERROR(CU44/'McDonough &amp; Sun 1995 values'!K$2,)</f>
        <v>0</v>
      </c>
      <c r="EU44" s="18">
        <f>IFERROR(CV44/'McDonough &amp; Sun 1995 values'!L$2,)</f>
        <v>0</v>
      </c>
      <c r="EV44" s="18">
        <f>IFERROR(CW44/'McDonough &amp; Sun 1995 values'!M$2,)</f>
        <v>0</v>
      </c>
      <c r="EW44" s="18">
        <f>IFERROR(CI44/'McDonough &amp; Sun 1995 values'!N$2,)</f>
        <v>0</v>
      </c>
      <c r="EX44" s="18">
        <f>IFERROR(CX44/'McDonough &amp; Sun 1995 values'!O$2,)</f>
        <v>0</v>
      </c>
      <c r="EY44" s="18">
        <f>IFERROR(CY44/'McDonough &amp; Sun 1995 values'!P$2,)</f>
        <v>0</v>
      </c>
      <c r="EZ44" s="18">
        <f>IFERROR(DH44/'McDonough &amp; Sun 1995 values'!Q$2,)</f>
        <v>0</v>
      </c>
      <c r="FA44" s="18">
        <f>IFERROR(CK44/'McDonough &amp; Sun 1995 values'!R$2,)</f>
        <v>0</v>
      </c>
      <c r="FB44" s="18">
        <f>IFERROR(CZ44/'McDonough &amp; Sun 1995 values'!S$2,)</f>
        <v>0</v>
      </c>
      <c r="FC44" s="18">
        <f>IFERROR(BT44/'McDonough &amp; Sun 1995 values'!T$2,)</f>
        <v>0</v>
      </c>
      <c r="FD44" s="18">
        <f>IFERROR(DA44/'McDonough &amp; Sun 1995 values'!U$2,)</f>
        <v>0</v>
      </c>
      <c r="FE44" s="18">
        <f>IFERROR(DN44/'McDonough &amp; Sun 1995 values'!V$2,)</f>
        <v>0</v>
      </c>
      <c r="FF44" s="18">
        <f>IFERROR(DB44/'McDonough &amp; Sun 1995 values'!W$2,)</f>
        <v>0</v>
      </c>
      <c r="FG44" s="18">
        <f>IFERROR(CJ44/'McDonough &amp; Sun 1995 values'!X$2,)</f>
        <v>0</v>
      </c>
      <c r="FH44" s="18">
        <f>IFERROR(DC44/'McDonough &amp; Sun 1995 values'!Y$2,)</f>
        <v>0</v>
      </c>
      <c r="FI44" s="18">
        <f>IFERROR(DD44/'McDonough &amp; Sun 1995 values'!Z$2,)</f>
        <v>0</v>
      </c>
      <c r="FJ44" s="18">
        <f>IFERROR(DE44/'McDonough &amp; Sun 1995 values'!AA$2,)</f>
        <v>0</v>
      </c>
      <c r="FK44" s="18">
        <f>IFERROR(DF44/'McDonough &amp; Sun 1995 values'!AB$2,)</f>
        <v>0</v>
      </c>
      <c r="FL44" s="18">
        <f>IFERROR(DG44/'McDonough &amp; Sun 1995 values'!AC$2,)</f>
        <v>0</v>
      </c>
      <c r="FN44" s="28">
        <f t="shared" si="68"/>
        <v>0</v>
      </c>
      <c r="FO44" s="4">
        <f t="shared" si="86"/>
        <v>0</v>
      </c>
      <c r="FP44" s="4">
        <f t="shared" si="87"/>
        <v>0</v>
      </c>
      <c r="FQ44" s="4">
        <f t="shared" si="88"/>
        <v>0</v>
      </c>
      <c r="FR44" s="4">
        <f t="shared" si="89"/>
        <v>0</v>
      </c>
      <c r="FS44" s="4">
        <f t="shared" si="90"/>
        <v>0</v>
      </c>
      <c r="FT44" s="4">
        <f t="shared" si="91"/>
        <v>0</v>
      </c>
      <c r="FU44" s="4">
        <f t="shared" si="92"/>
        <v>0</v>
      </c>
      <c r="FV44" s="4">
        <f t="shared" si="93"/>
        <v>0</v>
      </c>
      <c r="FW44" s="4">
        <f t="shared" si="94"/>
        <v>0</v>
      </c>
      <c r="FX44" s="4">
        <f t="shared" si="95"/>
        <v>0</v>
      </c>
      <c r="FY44" s="4">
        <f t="shared" si="96"/>
        <v>0</v>
      </c>
      <c r="FZ44" s="4">
        <f t="shared" si="97"/>
        <v>0</v>
      </c>
      <c r="GA44" s="4">
        <f t="shared" si="98"/>
        <v>0</v>
      </c>
      <c r="GB44" s="4">
        <f t="shared" si="99"/>
        <v>0</v>
      </c>
      <c r="GC44" s="4">
        <f t="shared" si="100"/>
        <v>0</v>
      </c>
      <c r="GD44" s="4">
        <f t="shared" si="101"/>
        <v>0</v>
      </c>
      <c r="GE44" s="4">
        <f t="shared" si="102"/>
        <v>0</v>
      </c>
      <c r="GF44" s="4">
        <f t="shared" si="103"/>
        <v>0</v>
      </c>
      <c r="GG44" s="4">
        <f t="shared" si="104"/>
        <v>0</v>
      </c>
      <c r="GH44" s="4">
        <f t="shared" si="105"/>
        <v>0</v>
      </c>
      <c r="GI44" s="4">
        <f t="shared" si="106"/>
        <v>0</v>
      </c>
      <c r="GJ44" s="4">
        <f t="shared" si="107"/>
        <v>0</v>
      </c>
      <c r="GK44" s="4">
        <f t="shared" si="108"/>
        <v>0</v>
      </c>
      <c r="GL44" s="4">
        <f t="shared" si="109"/>
        <v>0</v>
      </c>
      <c r="GM44" s="4">
        <f t="shared" si="110"/>
        <v>0</v>
      </c>
      <c r="GN44" s="4">
        <f t="shared" si="111"/>
        <v>0</v>
      </c>
      <c r="GO44" s="4">
        <f t="shared" si="112"/>
        <v>0</v>
      </c>
      <c r="GP44" s="4">
        <f t="shared" si="113"/>
        <v>0</v>
      </c>
      <c r="GQ44" s="27">
        <f t="shared" si="114"/>
        <v>111555.9951304202</v>
      </c>
      <c r="GR44" s="28" t="str">
        <f t="shared" si="115"/>
        <v/>
      </c>
      <c r="GS44" s="28" t="str">
        <f t="shared" si="116"/>
        <v/>
      </c>
      <c r="GT44" s="28" t="str">
        <f t="shared" si="117"/>
        <v/>
      </c>
      <c r="GU44" s="28" t="str">
        <f t="shared" si="118"/>
        <v/>
      </c>
      <c r="GV44" s="28" t="str">
        <f t="shared" si="119"/>
        <v/>
      </c>
      <c r="GW44" s="28" t="str">
        <f t="shared" si="120"/>
        <v/>
      </c>
      <c r="GX44" s="28" t="str">
        <f t="shared" si="121"/>
        <v/>
      </c>
      <c r="GY44" s="28" t="str">
        <f t="shared" si="122"/>
        <v/>
      </c>
      <c r="GZ44" s="28" t="str">
        <f t="shared" si="123"/>
        <v/>
      </c>
      <c r="HA44" s="28" t="str">
        <f t="shared" si="124"/>
        <v/>
      </c>
      <c r="HB44" s="28" t="str">
        <f t="shared" si="125"/>
        <v/>
      </c>
      <c r="HC44" s="28" t="str">
        <f t="shared" si="126"/>
        <v/>
      </c>
      <c r="HD44" s="28" t="str">
        <f t="shared" si="127"/>
        <v/>
      </c>
      <c r="HE44" s="28" t="str">
        <f t="shared" si="128"/>
        <v/>
      </c>
      <c r="HF44" s="28" t="str">
        <f t="shared" si="129"/>
        <v/>
      </c>
      <c r="HG44" s="28" t="str">
        <f t="shared" si="130"/>
        <v/>
      </c>
      <c r="HH44" s="28" t="str">
        <f t="shared" si="131"/>
        <v/>
      </c>
      <c r="HI44" s="28" t="str">
        <f t="shared" si="132"/>
        <v/>
      </c>
      <c r="HJ44" s="28" t="str">
        <f t="shared" si="133"/>
        <v/>
      </c>
      <c r="HK44" s="28" t="str">
        <f t="shared" si="134"/>
        <v/>
      </c>
      <c r="HL44" s="28" t="str">
        <f t="shared" si="135"/>
        <v/>
      </c>
      <c r="HM44" s="28" t="str">
        <f t="shared" si="136"/>
        <v/>
      </c>
      <c r="HN44" s="28" t="str">
        <f t="shared" si="137"/>
        <v/>
      </c>
      <c r="HO44" s="28" t="str">
        <f t="shared" si="138"/>
        <v/>
      </c>
      <c r="HP44" s="28" t="str">
        <f t="shared" si="139"/>
        <v/>
      </c>
      <c r="HQ44" s="28" t="str">
        <f t="shared" si="140"/>
        <v/>
      </c>
      <c r="HR44" s="28" t="str">
        <f t="shared" si="141"/>
        <v/>
      </c>
      <c r="HT44" s="4">
        <f>IFERROR(GR44/'McDonough &amp; Sun 1995 values'!C$2,)</f>
        <v>0</v>
      </c>
      <c r="HU44" s="4">
        <f>IFERROR(GS44/'McDonough &amp; Sun 1995 values'!D$2,)</f>
        <v>0</v>
      </c>
      <c r="HV44" s="4">
        <f>IFERROR(GT44/'McDonough &amp; Sun 1995 values'!E$2,)</f>
        <v>0</v>
      </c>
      <c r="HW44" s="4">
        <f>IFERROR(GU44/'McDonough &amp; Sun 1995 values'!F$2,)</f>
        <v>0</v>
      </c>
      <c r="HX44" s="4">
        <f>IFERROR(GV44/'McDonough &amp; Sun 1995 values'!G$2,)</f>
        <v>0</v>
      </c>
      <c r="HY44" s="4">
        <f>IFERROR(GW44/'McDonough &amp; Sun 1995 values'!H$2,)</f>
        <v>0</v>
      </c>
      <c r="HZ44" s="4">
        <f>IFERROR(GX44/'McDonough &amp; Sun 1995 values'!I$2,)</f>
        <v>0</v>
      </c>
      <c r="IA44" s="4">
        <f>IFERROR(GY44/'McDonough &amp; Sun 1995 values'!J$2,)</f>
        <v>0</v>
      </c>
      <c r="IB44" s="4">
        <f>IFERROR(GZ44/'McDonough &amp; Sun 1995 values'!K$2,)</f>
        <v>0</v>
      </c>
      <c r="IC44" s="4">
        <f>IFERROR(HA44/'McDonough &amp; Sun 1995 values'!L$2,)</f>
        <v>0</v>
      </c>
      <c r="ID44" s="4">
        <f>IFERROR(HB44/'McDonough &amp; Sun 1995 values'!M$2,)</f>
        <v>0</v>
      </c>
      <c r="IE44" s="4">
        <f>IFERROR(HC44/'McDonough &amp; Sun 1995 values'!N$2,)</f>
        <v>0</v>
      </c>
      <c r="IF44" s="4">
        <f>IFERROR(HD44/'McDonough &amp; Sun 1995 values'!O$2,)</f>
        <v>0</v>
      </c>
      <c r="IG44" s="4">
        <f>IFERROR(HE44/'McDonough &amp; Sun 1995 values'!P$2,)</f>
        <v>0</v>
      </c>
      <c r="IH44" s="4">
        <f>IFERROR(HF44/'McDonough &amp; Sun 1995 values'!Q$2,)</f>
        <v>0</v>
      </c>
      <c r="II44" s="4">
        <f>IFERROR(HG44/'McDonough &amp; Sun 1995 values'!R$2,)</f>
        <v>0</v>
      </c>
      <c r="IJ44" s="4">
        <f>IFERROR(HH44/'McDonough &amp; Sun 1995 values'!S$2,)</f>
        <v>0</v>
      </c>
      <c r="IK44" s="4">
        <f>IFERROR(HI44/'McDonough &amp; Sun 1995 values'!T$2,)</f>
        <v>0</v>
      </c>
      <c r="IL44" s="4">
        <f>IFERROR(HJ44/'McDonough &amp; Sun 1995 values'!U$2,)</f>
        <v>0</v>
      </c>
      <c r="IM44" s="4">
        <f>IFERROR(HK44/'McDonough &amp; Sun 1995 values'!V$2,)</f>
        <v>0</v>
      </c>
      <c r="IN44" s="4">
        <f>IFERROR(HL44/'McDonough &amp; Sun 1995 values'!W$2,)</f>
        <v>0</v>
      </c>
      <c r="IO44" s="4">
        <f>IFERROR(HM44/'McDonough &amp; Sun 1995 values'!X$2,)</f>
        <v>0</v>
      </c>
      <c r="IP44" s="4">
        <f>IFERROR(HN44/'McDonough &amp; Sun 1995 values'!Y$2,)</f>
        <v>0</v>
      </c>
      <c r="IQ44" s="4">
        <f>IFERROR(HO44/'McDonough &amp; Sun 1995 values'!Z$2,)</f>
        <v>0</v>
      </c>
      <c r="IR44" s="4">
        <f>IFERROR(HP44/'McDonough &amp; Sun 1995 values'!AA$2,)</f>
        <v>0</v>
      </c>
      <c r="IS44" s="4">
        <f>IFERROR(HQ44/'McDonough &amp; Sun 1995 values'!AB$2,)</f>
        <v>0</v>
      </c>
      <c r="IT44" s="4">
        <f>IFERROR(HR44/'McDonough &amp; Sun 1995 values'!AC$2,)</f>
        <v>0</v>
      </c>
    </row>
    <row r="45" spans="1:254">
      <c r="A45" s="16" t="s">
        <v>844</v>
      </c>
      <c r="B45" s="16" t="s">
        <v>24</v>
      </c>
      <c r="C45" s="16" t="str">
        <f t="shared" si="0"/>
        <v>high-Mg carbonatitic</v>
      </c>
      <c r="D45" s="16" t="s">
        <v>25</v>
      </c>
      <c r="E45" s="16" t="s">
        <v>237</v>
      </c>
      <c r="F45" s="16" t="s">
        <v>238</v>
      </c>
      <c r="G45" s="16" t="s">
        <v>595</v>
      </c>
      <c r="H45" s="27">
        <v>355</v>
      </c>
      <c r="I45" s="16" t="s">
        <v>712</v>
      </c>
      <c r="J45" s="16">
        <v>0</v>
      </c>
      <c r="K45" s="16" t="s">
        <v>488</v>
      </c>
      <c r="L45" s="16">
        <v>0</v>
      </c>
      <c r="M45" s="16" t="s">
        <v>483</v>
      </c>
      <c r="N45" s="16">
        <v>20</v>
      </c>
      <c r="O45" s="26">
        <v>6.36</v>
      </c>
      <c r="P45" s="26">
        <v>0.68</v>
      </c>
      <c r="Q45" s="26"/>
      <c r="R45" s="26">
        <v>0.56000000000000005</v>
      </c>
      <c r="S45" s="26">
        <v>8.3000000000000007</v>
      </c>
      <c r="T45" s="26">
        <v>32.9</v>
      </c>
      <c r="U45" s="26"/>
      <c r="V45" s="26">
        <v>28.5</v>
      </c>
      <c r="W45" s="26">
        <v>6.55</v>
      </c>
      <c r="X45" s="26">
        <v>14</v>
      </c>
      <c r="Y45" s="26"/>
      <c r="Z45" s="26">
        <v>0.1</v>
      </c>
      <c r="AA45" s="26">
        <v>0.14000000000000001</v>
      </c>
      <c r="AB45" s="26"/>
      <c r="AC45" s="26"/>
      <c r="AD45" s="26">
        <v>1.84</v>
      </c>
      <c r="AE45" s="26"/>
      <c r="AF45" s="26"/>
      <c r="AG45" s="26"/>
      <c r="AH45" s="26"/>
      <c r="AI45" s="26"/>
      <c r="AJ45" s="26">
        <f t="shared" si="62"/>
        <v>99.789999999999992</v>
      </c>
      <c r="AK45" s="26">
        <f t="shared" si="73"/>
        <v>6.4000149879266308</v>
      </c>
      <c r="AL45" s="26">
        <f t="shared" si="74"/>
        <v>0.68427833204246991</v>
      </c>
      <c r="AM45" s="26">
        <f t="shared" si="75"/>
        <v>0.56352333227026929</v>
      </c>
      <c r="AN45" s="26">
        <f t="shared" si="76"/>
        <v>8.3522208175772068</v>
      </c>
      <c r="AO45" s="26">
        <f t="shared" si="77"/>
        <v>33.106995770878314</v>
      </c>
      <c r="AP45" s="26">
        <f t="shared" si="78"/>
        <v>28.679312445897629</v>
      </c>
      <c r="AQ45" s="26">
        <f t="shared" si="79"/>
        <v>0</v>
      </c>
      <c r="AR45" s="26">
        <f t="shared" si="80"/>
        <v>6.5912104042326138</v>
      </c>
      <c r="AS45" s="26">
        <f t="shared" si="81"/>
        <v>14.088083306756733</v>
      </c>
      <c r="AT45" s="26">
        <f t="shared" si="82"/>
        <v>0.10062916647683381</v>
      </c>
      <c r="AU45" s="26">
        <f t="shared" si="83"/>
        <v>1.8515766631737418</v>
      </c>
      <c r="AV45" s="26">
        <f t="shared" si="7"/>
        <v>100.41784522723243</v>
      </c>
      <c r="AW45" s="26"/>
      <c r="AX45" s="26"/>
      <c r="AY45" s="26"/>
      <c r="AZ45" s="26"/>
      <c r="BA45" s="26"/>
      <c r="BB45" s="26">
        <v>0.13</v>
      </c>
      <c r="BC45" s="26">
        <f t="shared" si="84"/>
        <v>0.13</v>
      </c>
      <c r="BD45" s="26">
        <f t="shared" si="85"/>
        <v>0.87</v>
      </c>
      <c r="BE45" s="25">
        <v>-5.18</v>
      </c>
      <c r="BF45" s="16"/>
      <c r="BG45" s="16">
        <v>0</v>
      </c>
      <c r="BH45" s="16"/>
      <c r="BI45" s="16"/>
      <c r="BJ45" s="16"/>
      <c r="BK45" s="18"/>
      <c r="BL45" s="18"/>
      <c r="BM45" s="18"/>
      <c r="BN45" s="18"/>
      <c r="BO45" s="18"/>
      <c r="BP45" s="18"/>
      <c r="BQ45" s="18"/>
      <c r="BR45" s="18" t="s">
        <v>491</v>
      </c>
      <c r="BS45" s="18"/>
      <c r="BT45" s="18"/>
      <c r="BU45" s="18">
        <v>2.5099999999999998</v>
      </c>
      <c r="BV45" s="18" t="s">
        <v>491</v>
      </c>
      <c r="BW45" s="18"/>
      <c r="BX45" s="18">
        <v>0.23</v>
      </c>
      <c r="BY45" s="18">
        <v>3.86</v>
      </c>
      <c r="BZ45" s="18">
        <v>0.56000000000000005</v>
      </c>
      <c r="CA45" s="18">
        <v>0.01</v>
      </c>
      <c r="CB45" s="18" t="s">
        <v>491</v>
      </c>
      <c r="CC45" s="18"/>
      <c r="CD45" s="18"/>
      <c r="CE45" s="18"/>
      <c r="CF45" s="18"/>
      <c r="CG45" s="18"/>
      <c r="CH45" s="18" t="s">
        <v>491</v>
      </c>
      <c r="CI45" s="18">
        <v>0.01</v>
      </c>
      <c r="CJ45" s="18" t="s">
        <v>491</v>
      </c>
      <c r="CK45" s="18" t="s">
        <v>491</v>
      </c>
      <c r="CL45" s="18"/>
      <c r="CM45" s="18" t="s">
        <v>491</v>
      </c>
      <c r="CN45" s="18"/>
      <c r="CO45" s="18"/>
      <c r="CP45" s="18"/>
      <c r="CQ45" s="18"/>
      <c r="CR45" s="18" t="s">
        <v>491</v>
      </c>
      <c r="CS45" s="18">
        <v>0.01</v>
      </c>
      <c r="CT45" s="18">
        <v>0.01</v>
      </c>
      <c r="CU45" s="18">
        <v>0.02</v>
      </c>
      <c r="CV45" s="18">
        <v>0.11</v>
      </c>
      <c r="CW45" s="18">
        <v>0</v>
      </c>
      <c r="CX45" s="18" t="s">
        <v>491</v>
      </c>
      <c r="CY45" s="18" t="s">
        <v>491</v>
      </c>
      <c r="CZ45" s="18">
        <v>0.01</v>
      </c>
      <c r="DA45" s="18" t="s">
        <v>491</v>
      </c>
      <c r="DB45" s="18">
        <v>0.01</v>
      </c>
      <c r="DC45" s="18" t="s">
        <v>491</v>
      </c>
      <c r="DD45" s="18"/>
      <c r="DE45" s="18"/>
      <c r="DF45" s="18" t="s">
        <v>491</v>
      </c>
      <c r="DG45" s="18" t="s">
        <v>491</v>
      </c>
      <c r="DH45" s="18" t="s">
        <v>491</v>
      </c>
      <c r="DI45" s="18" t="s">
        <v>491</v>
      </c>
      <c r="DJ45" s="18"/>
      <c r="DK45" s="18">
        <v>0.01</v>
      </c>
      <c r="DL45" s="18" t="s">
        <v>491</v>
      </c>
      <c r="DM45" s="18"/>
      <c r="DN45" s="18"/>
      <c r="DO45" s="18"/>
      <c r="DP45" s="18"/>
      <c r="DQ45" s="18"/>
      <c r="DR45" s="18"/>
      <c r="DS45" s="18"/>
      <c r="DT45" s="18"/>
      <c r="DU45" s="18"/>
      <c r="DV45" s="28"/>
      <c r="DW45" s="28"/>
      <c r="DX45" s="28"/>
      <c r="DY45" s="28"/>
      <c r="DZ45" s="28"/>
      <c r="EA45" s="28"/>
      <c r="EB45" s="28"/>
      <c r="EC45" s="28"/>
      <c r="ED45" s="28"/>
      <c r="EE45" s="28"/>
      <c r="EF45" s="28"/>
      <c r="EG45" s="28"/>
      <c r="EH45" s="28"/>
      <c r="EI45" s="28"/>
      <c r="EJ45" s="18"/>
      <c r="EK45" s="18"/>
      <c r="EL45" s="18">
        <f>IFERROR(CR45/'McDonough &amp; Sun 1995 values'!C$2,)</f>
        <v>0</v>
      </c>
      <c r="EM45" s="18">
        <f>IFERROR(CH45/'McDonough &amp; Sun 1995 values'!D$2,)</f>
        <v>0</v>
      </c>
      <c r="EN45" s="18">
        <f>IFERROR(CS45/'McDonough &amp; Sun 1995 values'!E$2,)</f>
        <v>1.5151515151515154E-3</v>
      </c>
      <c r="EO45" s="18">
        <f>IFERROR(DL45/'McDonough &amp; Sun 1995 values'!F$2,)</f>
        <v>0</v>
      </c>
      <c r="EP45" s="18">
        <f>IFERROR(DM45/'McDonough &amp; Sun 1995 values'!G$2,)</f>
        <v>0</v>
      </c>
      <c r="EQ45" s="18">
        <f>IFERROR(BR45/'McDonough &amp; Sun 1995 values'!H$2,)</f>
        <v>0</v>
      </c>
      <c r="ER45" s="18">
        <f>IFERROR(DI45/'McDonough &amp; Sun 1995 values'!I$2,)</f>
        <v>0</v>
      </c>
      <c r="ES45" s="18">
        <f>IFERROR(CM45/'McDonough &amp; Sun 1995 values'!J$2,)</f>
        <v>0</v>
      </c>
      <c r="ET45" s="18">
        <f>IFERROR(CU45/'McDonough &amp; Sun 1995 values'!K$2,)</f>
        <v>3.0864197530864196E-2</v>
      </c>
      <c r="EU45" s="18">
        <f>IFERROR(CV45/'McDonough &amp; Sun 1995 values'!L$2,)</f>
        <v>6.5671641791044774E-2</v>
      </c>
      <c r="EV45" s="18">
        <f>IFERROR(CW45/'McDonough &amp; Sun 1995 values'!M$2,)</f>
        <v>0</v>
      </c>
      <c r="EW45" s="18">
        <f>IFERROR(CI45/'McDonough &amp; Sun 1995 values'!N$2,)</f>
        <v>5.025125628140704E-4</v>
      </c>
      <c r="EX45" s="18">
        <f>IFERROR(CX45/'McDonough &amp; Sun 1995 values'!O$2,)</f>
        <v>0</v>
      </c>
      <c r="EY45" s="18">
        <f>IFERROR(CY45/'McDonough &amp; Sun 1995 values'!P$2,)</f>
        <v>0</v>
      </c>
      <c r="EZ45" s="18">
        <f>IFERROR(DH45/'McDonough &amp; Sun 1995 values'!Q$2,)</f>
        <v>0</v>
      </c>
      <c r="FA45" s="18">
        <f>IFERROR(CK45/'McDonough &amp; Sun 1995 values'!R$2,)</f>
        <v>0</v>
      </c>
      <c r="FB45" s="18">
        <f>IFERROR(CZ45/'McDonough &amp; Sun 1995 values'!S$2,)</f>
        <v>6.4935064935064943E-2</v>
      </c>
      <c r="FC45" s="18">
        <f>IFERROR(BT45/'McDonough &amp; Sun 1995 values'!T$2,)</f>
        <v>0</v>
      </c>
      <c r="FD45" s="18">
        <f>IFERROR(DA45/'McDonough &amp; Sun 1995 values'!U$2,)</f>
        <v>0</v>
      </c>
      <c r="FE45" s="18">
        <f>IFERROR(DN45/'McDonough &amp; Sun 1995 values'!V$2,)</f>
        <v>0</v>
      </c>
      <c r="FF45" s="18">
        <f>IFERROR(DB45/'McDonough &amp; Sun 1995 values'!W$2,)</f>
        <v>1.4836795252225518E-2</v>
      </c>
      <c r="FG45" s="18">
        <f>IFERROR(CJ45/'McDonough &amp; Sun 1995 values'!X$2,)</f>
        <v>0</v>
      </c>
      <c r="FH45" s="18">
        <f>IFERROR(DC45/'McDonough &amp; Sun 1995 values'!Y$2,)</f>
        <v>0</v>
      </c>
      <c r="FI45" s="18">
        <f>IFERROR(DD45/'McDonough &amp; Sun 1995 values'!Z$2,)</f>
        <v>0</v>
      </c>
      <c r="FJ45" s="18">
        <f>IFERROR(DE45/'McDonough &amp; Sun 1995 values'!AA$2,)</f>
        <v>0</v>
      </c>
      <c r="FK45" s="18">
        <f>IFERROR(DF45/'McDonough &amp; Sun 1995 values'!AB$2,)</f>
        <v>0</v>
      </c>
      <c r="FL45" s="18">
        <f>IFERROR(DG45/'McDonough &amp; Sun 1995 values'!AC$2,)</f>
        <v>0</v>
      </c>
      <c r="FN45" s="28">
        <f t="shared" si="68"/>
        <v>0</v>
      </c>
      <c r="FO45" s="4">
        <f t="shared" si="86"/>
        <v>0</v>
      </c>
      <c r="FP45" s="4">
        <f t="shared" si="87"/>
        <v>0</v>
      </c>
      <c r="FQ45" s="4">
        <f t="shared" si="88"/>
        <v>0</v>
      </c>
      <c r="FR45" s="4">
        <f t="shared" si="89"/>
        <v>0</v>
      </c>
      <c r="FS45" s="4">
        <f t="shared" si="90"/>
        <v>0</v>
      </c>
      <c r="FT45" s="4">
        <f t="shared" si="91"/>
        <v>0</v>
      </c>
      <c r="FU45" s="4">
        <f t="shared" si="92"/>
        <v>0</v>
      </c>
      <c r="FV45" s="4">
        <f t="shared" si="93"/>
        <v>0</v>
      </c>
      <c r="FW45" s="4">
        <f t="shared" si="94"/>
        <v>0</v>
      </c>
      <c r="FX45" s="4">
        <f t="shared" si="95"/>
        <v>0</v>
      </c>
      <c r="FY45" s="4">
        <f t="shared" si="96"/>
        <v>0</v>
      </c>
      <c r="FZ45" s="4">
        <f t="shared" si="97"/>
        <v>0</v>
      </c>
      <c r="GA45" s="4">
        <f t="shared" si="98"/>
        <v>0</v>
      </c>
      <c r="GB45" s="4">
        <f t="shared" si="99"/>
        <v>0</v>
      </c>
      <c r="GC45" s="4">
        <f t="shared" si="100"/>
        <v>0</v>
      </c>
      <c r="GD45" s="4">
        <f t="shared" si="101"/>
        <v>0</v>
      </c>
      <c r="GE45" s="4">
        <f t="shared" si="102"/>
        <v>0</v>
      </c>
      <c r="GF45" s="4">
        <f t="shared" si="103"/>
        <v>0</v>
      </c>
      <c r="GG45" s="4">
        <f t="shared" si="104"/>
        <v>0</v>
      </c>
      <c r="GH45" s="4">
        <f t="shared" si="105"/>
        <v>0</v>
      </c>
      <c r="GI45" s="4">
        <f t="shared" si="106"/>
        <v>0</v>
      </c>
      <c r="GJ45" s="4">
        <f t="shared" si="107"/>
        <v>2.0802469135802468</v>
      </c>
      <c r="GK45" s="4">
        <f t="shared" si="108"/>
        <v>0</v>
      </c>
      <c r="GL45" s="4">
        <f t="shared" si="109"/>
        <v>0</v>
      </c>
      <c r="GM45" s="4">
        <f t="shared" si="110"/>
        <v>0</v>
      </c>
      <c r="GN45" s="4">
        <f t="shared" si="111"/>
        <v>0</v>
      </c>
      <c r="GO45" s="4">
        <f t="shared" si="112"/>
        <v>0</v>
      </c>
      <c r="GP45" s="4">
        <f t="shared" si="113"/>
        <v>0</v>
      </c>
      <c r="GQ45" s="27">
        <f t="shared" si="114"/>
        <v>116950.43504803782</v>
      </c>
      <c r="GR45" s="28" t="str">
        <f t="shared" si="115"/>
        <v/>
      </c>
      <c r="GS45" s="28" t="str">
        <f t="shared" si="116"/>
        <v/>
      </c>
      <c r="GT45" s="28" t="str">
        <f t="shared" si="117"/>
        <v/>
      </c>
      <c r="GU45" s="28" t="str">
        <f t="shared" si="118"/>
        <v/>
      </c>
      <c r="GV45" s="28" t="str">
        <f t="shared" si="119"/>
        <v/>
      </c>
      <c r="GW45" s="28" t="str">
        <f t="shared" si="120"/>
        <v/>
      </c>
      <c r="GX45" s="28" t="str">
        <f t="shared" si="121"/>
        <v/>
      </c>
      <c r="GY45" s="28" t="str">
        <f t="shared" si="122"/>
        <v/>
      </c>
      <c r="GZ45" s="28" t="str">
        <f t="shared" si="123"/>
        <v/>
      </c>
      <c r="HA45" s="28" t="str">
        <f t="shared" si="124"/>
        <v/>
      </c>
      <c r="HB45" s="28" t="str">
        <f t="shared" si="125"/>
        <v/>
      </c>
      <c r="HC45" s="28" t="str">
        <f t="shared" si="126"/>
        <v/>
      </c>
      <c r="HD45" s="28" t="str">
        <f t="shared" si="127"/>
        <v/>
      </c>
      <c r="HE45" s="28" t="str">
        <f t="shared" si="128"/>
        <v/>
      </c>
      <c r="HF45" s="28" t="str">
        <f t="shared" si="129"/>
        <v/>
      </c>
      <c r="HG45" s="28" t="str">
        <f t="shared" si="130"/>
        <v/>
      </c>
      <c r="HH45" s="28" t="str">
        <f t="shared" si="131"/>
        <v/>
      </c>
      <c r="HI45" s="28" t="str">
        <f t="shared" si="132"/>
        <v/>
      </c>
      <c r="HJ45" s="28" t="str">
        <f t="shared" si="133"/>
        <v/>
      </c>
      <c r="HK45" s="28" t="str">
        <f t="shared" si="134"/>
        <v/>
      </c>
      <c r="HL45" s="28" t="str">
        <f t="shared" si="135"/>
        <v/>
      </c>
      <c r="HM45" s="28" t="str">
        <f t="shared" si="136"/>
        <v/>
      </c>
      <c r="HN45" s="28" t="str">
        <f t="shared" si="137"/>
        <v/>
      </c>
      <c r="HO45" s="28" t="str">
        <f t="shared" si="138"/>
        <v/>
      </c>
      <c r="HP45" s="28" t="str">
        <f t="shared" si="139"/>
        <v/>
      </c>
      <c r="HQ45" s="28" t="str">
        <f t="shared" si="140"/>
        <v/>
      </c>
      <c r="HR45" s="28" t="str">
        <f t="shared" si="141"/>
        <v/>
      </c>
      <c r="HT45" s="4">
        <f>IFERROR(GR45/'McDonough &amp; Sun 1995 values'!C$2,)</f>
        <v>0</v>
      </c>
      <c r="HU45" s="4">
        <f>IFERROR(GS45/'McDonough &amp; Sun 1995 values'!D$2,)</f>
        <v>0</v>
      </c>
      <c r="HV45" s="4">
        <f>IFERROR(GT45/'McDonough &amp; Sun 1995 values'!E$2,)</f>
        <v>0</v>
      </c>
      <c r="HW45" s="4">
        <f>IFERROR(GU45/'McDonough &amp; Sun 1995 values'!F$2,)</f>
        <v>0</v>
      </c>
      <c r="HX45" s="4">
        <f>IFERROR(GV45/'McDonough &amp; Sun 1995 values'!G$2,)</f>
        <v>0</v>
      </c>
      <c r="HY45" s="4">
        <f>IFERROR(GW45/'McDonough &amp; Sun 1995 values'!H$2,)</f>
        <v>0</v>
      </c>
      <c r="HZ45" s="4">
        <f>IFERROR(GX45/'McDonough &amp; Sun 1995 values'!I$2,)</f>
        <v>0</v>
      </c>
      <c r="IA45" s="4">
        <f>IFERROR(GY45/'McDonough &amp; Sun 1995 values'!J$2,)</f>
        <v>0</v>
      </c>
      <c r="IB45" s="4">
        <f>IFERROR(GZ45/'McDonough &amp; Sun 1995 values'!K$2,)</f>
        <v>0</v>
      </c>
      <c r="IC45" s="4">
        <f>IFERROR(HA45/'McDonough &amp; Sun 1995 values'!L$2,)</f>
        <v>0</v>
      </c>
      <c r="ID45" s="4">
        <f>IFERROR(HB45/'McDonough &amp; Sun 1995 values'!M$2,)</f>
        <v>0</v>
      </c>
      <c r="IE45" s="4">
        <f>IFERROR(HC45/'McDonough &amp; Sun 1995 values'!N$2,)</f>
        <v>0</v>
      </c>
      <c r="IF45" s="4">
        <f>IFERROR(HD45/'McDonough &amp; Sun 1995 values'!O$2,)</f>
        <v>0</v>
      </c>
      <c r="IG45" s="4">
        <f>IFERROR(HE45/'McDonough &amp; Sun 1995 values'!P$2,)</f>
        <v>0</v>
      </c>
      <c r="IH45" s="4">
        <f>IFERROR(HF45/'McDonough &amp; Sun 1995 values'!Q$2,)</f>
        <v>0</v>
      </c>
      <c r="II45" s="4">
        <f>IFERROR(HG45/'McDonough &amp; Sun 1995 values'!R$2,)</f>
        <v>0</v>
      </c>
      <c r="IJ45" s="4">
        <f>IFERROR(HH45/'McDonough &amp; Sun 1995 values'!S$2,)</f>
        <v>0</v>
      </c>
      <c r="IK45" s="4">
        <f>IFERROR(HI45/'McDonough &amp; Sun 1995 values'!T$2,)</f>
        <v>0</v>
      </c>
      <c r="IL45" s="4">
        <f>IFERROR(HJ45/'McDonough &amp; Sun 1995 values'!U$2,)</f>
        <v>0</v>
      </c>
      <c r="IM45" s="4">
        <f>IFERROR(HK45/'McDonough &amp; Sun 1995 values'!V$2,)</f>
        <v>0</v>
      </c>
      <c r="IN45" s="4">
        <f>IFERROR(HL45/'McDonough &amp; Sun 1995 values'!W$2,)</f>
        <v>0</v>
      </c>
      <c r="IO45" s="4">
        <f>IFERROR(HM45/'McDonough &amp; Sun 1995 values'!X$2,)</f>
        <v>0</v>
      </c>
      <c r="IP45" s="4">
        <f>IFERROR(HN45/'McDonough &amp; Sun 1995 values'!Y$2,)</f>
        <v>0</v>
      </c>
      <c r="IQ45" s="4">
        <f>IFERROR(HO45/'McDonough &amp; Sun 1995 values'!Z$2,)</f>
        <v>0</v>
      </c>
      <c r="IR45" s="4">
        <f>IFERROR(HP45/'McDonough &amp; Sun 1995 values'!AA$2,)</f>
        <v>0</v>
      </c>
      <c r="IS45" s="4">
        <f>IFERROR(HQ45/'McDonough &amp; Sun 1995 values'!AB$2,)</f>
        <v>0</v>
      </c>
      <c r="IT45" s="4">
        <f>IFERROR(HR45/'McDonough &amp; Sun 1995 values'!AC$2,)</f>
        <v>0</v>
      </c>
    </row>
    <row r="46" spans="1:254">
      <c r="A46" s="16" t="s">
        <v>844</v>
      </c>
      <c r="B46" s="16" t="s">
        <v>24</v>
      </c>
      <c r="C46" s="16" t="str">
        <f t="shared" si="0"/>
        <v>high-Mg carbonatitic</v>
      </c>
      <c r="D46" s="16" t="s">
        <v>25</v>
      </c>
      <c r="E46" s="16" t="s">
        <v>237</v>
      </c>
      <c r="F46" s="16" t="s">
        <v>238</v>
      </c>
      <c r="G46" s="16" t="s">
        <v>595</v>
      </c>
      <c r="H46" s="27">
        <v>355</v>
      </c>
      <c r="I46" s="16" t="s">
        <v>712</v>
      </c>
      <c r="J46" s="16">
        <v>0</v>
      </c>
      <c r="K46" s="16" t="s">
        <v>488</v>
      </c>
      <c r="L46" s="16">
        <v>0</v>
      </c>
      <c r="M46" s="16" t="s">
        <v>484</v>
      </c>
      <c r="N46" s="16">
        <v>10</v>
      </c>
      <c r="O46" s="26">
        <v>8.6300000000000008</v>
      </c>
      <c r="P46" s="26"/>
      <c r="Q46" s="26"/>
      <c r="R46" s="26">
        <v>1.05</v>
      </c>
      <c r="S46" s="26">
        <v>8.9</v>
      </c>
      <c r="T46" s="26">
        <v>30.1</v>
      </c>
      <c r="U46" s="26"/>
      <c r="V46" s="26">
        <v>30.4</v>
      </c>
      <c r="W46" s="26">
        <v>5.3</v>
      </c>
      <c r="X46" s="26">
        <v>14.5</v>
      </c>
      <c r="Y46" s="26"/>
      <c r="Z46" s="26">
        <v>0.39</v>
      </c>
      <c r="AA46" s="26"/>
      <c r="AB46" s="26"/>
      <c r="AC46" s="26"/>
      <c r="AD46" s="26">
        <v>1.1599999999999999</v>
      </c>
      <c r="AE46" s="26"/>
      <c r="AF46" s="26"/>
      <c r="AG46" s="26"/>
      <c r="AH46" s="26"/>
      <c r="AI46" s="26"/>
      <c r="AJ46" s="26">
        <f t="shared" si="62"/>
        <v>100.43</v>
      </c>
      <c r="AK46" s="26">
        <f t="shared" si="73"/>
        <v>8.6155067490837354</v>
      </c>
      <c r="AL46" s="26">
        <f t="shared" si="74"/>
        <v>0</v>
      </c>
      <c r="AM46" s="26">
        <f t="shared" si="75"/>
        <v>1.0482366264817986</v>
      </c>
      <c r="AN46" s="26">
        <f t="shared" si="76"/>
        <v>8.885053310179055</v>
      </c>
      <c r="AO46" s="26">
        <f t="shared" si="77"/>
        <v>30.049449959144891</v>
      </c>
      <c r="AP46" s="26">
        <f t="shared" si="78"/>
        <v>30.348946138139688</v>
      </c>
      <c r="AQ46" s="26">
        <f t="shared" si="79"/>
        <v>0</v>
      </c>
      <c r="AR46" s="26">
        <f t="shared" si="80"/>
        <v>5.2910991622414594</v>
      </c>
      <c r="AS46" s="26">
        <f t="shared" si="81"/>
        <v>14.475648651415312</v>
      </c>
      <c r="AT46" s="26">
        <f t="shared" si="82"/>
        <v>0.38934503269323945</v>
      </c>
      <c r="AU46" s="26">
        <f t="shared" si="83"/>
        <v>1.1580518921132248</v>
      </c>
      <c r="AV46" s="26">
        <f t="shared" si="7"/>
        <v>100.26133752149242</v>
      </c>
      <c r="AW46" s="26"/>
      <c r="AX46" s="26"/>
      <c r="AY46" s="26"/>
      <c r="AZ46" s="26"/>
      <c r="BA46" s="26"/>
      <c r="BB46" s="26">
        <v>0.14000000000000001</v>
      </c>
      <c r="BC46" s="26">
        <f t="shared" si="84"/>
        <v>0.14000000000000001</v>
      </c>
      <c r="BD46" s="26">
        <f t="shared" si="85"/>
        <v>0.86</v>
      </c>
      <c r="BE46" s="16"/>
      <c r="BF46" s="16"/>
      <c r="BG46" s="16">
        <v>0</v>
      </c>
      <c r="BH46" s="16"/>
      <c r="BI46" s="16"/>
      <c r="BJ46" s="16"/>
      <c r="BK46" s="18"/>
      <c r="BL46" s="18"/>
      <c r="BM46" s="18"/>
      <c r="BN46" s="18"/>
      <c r="BO46" s="18"/>
      <c r="BP46" s="18"/>
      <c r="BQ46" s="18"/>
      <c r="BR46" s="18">
        <v>1.08</v>
      </c>
      <c r="BS46" s="18"/>
      <c r="BT46" s="18"/>
      <c r="BU46" s="18">
        <v>2.54</v>
      </c>
      <c r="BV46" s="18" t="s">
        <v>491</v>
      </c>
      <c r="BW46" s="18"/>
      <c r="BX46" s="18" t="s">
        <v>491</v>
      </c>
      <c r="BY46" s="18">
        <v>7.0000000000000007E-2</v>
      </c>
      <c r="BZ46" s="18">
        <v>0.15</v>
      </c>
      <c r="CA46" s="18" t="s">
        <v>491</v>
      </c>
      <c r="CB46" s="18">
        <v>0.06</v>
      </c>
      <c r="CC46" s="18"/>
      <c r="CD46" s="18"/>
      <c r="CE46" s="18"/>
      <c r="CF46" s="18"/>
      <c r="CG46" s="18"/>
      <c r="CH46" s="18" t="s">
        <v>491</v>
      </c>
      <c r="CI46" s="18">
        <v>0.01</v>
      </c>
      <c r="CJ46" s="18">
        <v>0.01</v>
      </c>
      <c r="CK46" s="18">
        <v>0.02</v>
      </c>
      <c r="CL46" s="18"/>
      <c r="CM46" s="18">
        <v>0.01</v>
      </c>
      <c r="CN46" s="18"/>
      <c r="CO46" s="18"/>
      <c r="CP46" s="18"/>
      <c r="CQ46" s="18"/>
      <c r="CR46" s="18" t="s">
        <v>491</v>
      </c>
      <c r="CS46" s="18">
        <v>0.03</v>
      </c>
      <c r="CT46" s="18">
        <v>0.06</v>
      </c>
      <c r="CU46" s="18">
        <v>0.01</v>
      </c>
      <c r="CV46" s="18">
        <v>0</v>
      </c>
      <c r="CW46" s="18">
        <v>0.01</v>
      </c>
      <c r="CX46" s="18">
        <v>0.01</v>
      </c>
      <c r="CY46" s="18">
        <v>0.04</v>
      </c>
      <c r="CZ46" s="18">
        <v>0.02</v>
      </c>
      <c r="DA46" s="18">
        <v>0.03</v>
      </c>
      <c r="DB46" s="18">
        <v>0.01</v>
      </c>
      <c r="DC46" s="18"/>
      <c r="DD46" s="18" t="s">
        <v>491</v>
      </c>
      <c r="DE46" s="18">
        <v>0.03</v>
      </c>
      <c r="DF46" s="18">
        <v>0.01</v>
      </c>
      <c r="DG46" s="18"/>
      <c r="DH46" s="18" t="s">
        <v>491</v>
      </c>
      <c r="DI46" s="18">
        <v>0.01</v>
      </c>
      <c r="DJ46" s="18"/>
      <c r="DK46" s="18">
        <v>0.24</v>
      </c>
      <c r="DL46" s="18" t="s">
        <v>491</v>
      </c>
      <c r="DM46" s="18">
        <v>0.01</v>
      </c>
      <c r="DN46" s="18"/>
      <c r="DO46" s="18"/>
      <c r="DP46" s="18"/>
      <c r="DQ46" s="18"/>
      <c r="DR46" s="18"/>
      <c r="DS46" s="18"/>
      <c r="DT46" s="18"/>
      <c r="DU46" s="18"/>
      <c r="DV46" s="28"/>
      <c r="DW46" s="28"/>
      <c r="DX46" s="28"/>
      <c r="DY46" s="28"/>
      <c r="DZ46" s="28"/>
      <c r="EA46" s="28"/>
      <c r="EB46" s="28"/>
      <c r="EC46" s="28"/>
      <c r="ED46" s="28"/>
      <c r="EE46" s="28"/>
      <c r="EF46" s="28"/>
      <c r="EG46" s="28"/>
      <c r="EH46" s="28"/>
      <c r="EI46" s="28"/>
      <c r="EJ46" s="18"/>
      <c r="EK46" s="18"/>
      <c r="EL46" s="18">
        <f>IFERROR(CR46/'McDonough &amp; Sun 1995 values'!C$2,)</f>
        <v>0</v>
      </c>
      <c r="EM46" s="18">
        <f>IFERROR(CH46/'McDonough &amp; Sun 1995 values'!D$2,)</f>
        <v>0</v>
      </c>
      <c r="EN46" s="18">
        <f>IFERROR(CS46/'McDonough &amp; Sun 1995 values'!E$2,)</f>
        <v>4.5454545454545452E-3</v>
      </c>
      <c r="EO46" s="18">
        <f>IFERROR(DL46/'McDonough &amp; Sun 1995 values'!F$2,)</f>
        <v>0</v>
      </c>
      <c r="EP46" s="18">
        <f>IFERROR(DM46/'McDonough &amp; Sun 1995 values'!G$2,)</f>
        <v>0.49261083743842371</v>
      </c>
      <c r="EQ46" s="18">
        <f>IFERROR(BR46/'McDonough &amp; Sun 1995 values'!H$2,)</f>
        <v>4.5000000000000005E-3</v>
      </c>
      <c r="ER46" s="18">
        <f>IFERROR(DI46/'McDonough &amp; Sun 1995 values'!I$2,)</f>
        <v>0.27027027027027029</v>
      </c>
      <c r="ES46" s="18">
        <f>IFERROR(CM46/'McDonough &amp; Sun 1995 values'!J$2,)</f>
        <v>1.5197568389057751E-2</v>
      </c>
      <c r="ET46" s="18">
        <f>IFERROR(CU46/'McDonough &amp; Sun 1995 values'!K$2,)</f>
        <v>1.5432098765432098E-2</v>
      </c>
      <c r="EU46" s="18">
        <f>IFERROR(CV46/'McDonough &amp; Sun 1995 values'!L$2,)</f>
        <v>0</v>
      </c>
      <c r="EV46" s="18">
        <f>IFERROR(CW46/'McDonough &amp; Sun 1995 values'!M$2,)</f>
        <v>3.937007874015748E-2</v>
      </c>
      <c r="EW46" s="18">
        <f>IFERROR(CI46/'McDonough &amp; Sun 1995 values'!N$2,)</f>
        <v>5.025125628140704E-4</v>
      </c>
      <c r="EX46" s="18">
        <f>IFERROR(CX46/'McDonough &amp; Sun 1995 values'!O$2,)</f>
        <v>8.0000000000000002E-3</v>
      </c>
      <c r="EY46" s="18">
        <f>IFERROR(CY46/'McDonough &amp; Sun 1995 values'!P$2,)</f>
        <v>9.852216748768472E-2</v>
      </c>
      <c r="EZ46" s="18">
        <f>IFERROR(DH46/'McDonough &amp; Sun 1995 values'!Q$2,)</f>
        <v>0</v>
      </c>
      <c r="FA46" s="18">
        <f>IFERROR(CK46/'McDonough &amp; Sun 1995 values'!R$2,)</f>
        <v>1.9047619047619048E-3</v>
      </c>
      <c r="FB46" s="18">
        <f>IFERROR(CZ46/'McDonough &amp; Sun 1995 values'!S$2,)</f>
        <v>0.12987012987012989</v>
      </c>
      <c r="FC46" s="18">
        <f>IFERROR(BT46/'McDonough &amp; Sun 1995 values'!T$2,)</f>
        <v>0</v>
      </c>
      <c r="FD46" s="18">
        <f>IFERROR(DA46/'McDonough &amp; Sun 1995 values'!U$2,)</f>
        <v>5.5147058823529403E-2</v>
      </c>
      <c r="FE46" s="18">
        <f>IFERROR(DN46/'McDonough &amp; Sun 1995 values'!V$2,)</f>
        <v>0</v>
      </c>
      <c r="FF46" s="18">
        <f>IFERROR(DB46/'McDonough &amp; Sun 1995 values'!W$2,)</f>
        <v>1.4836795252225518E-2</v>
      </c>
      <c r="FG46" s="18">
        <f>IFERROR(CJ46/'McDonough &amp; Sun 1995 values'!X$2,)</f>
        <v>2.3255813953488372E-3</v>
      </c>
      <c r="FH46" s="18">
        <f>IFERROR(DC46/'McDonough &amp; Sun 1995 values'!Y$2,)</f>
        <v>0</v>
      </c>
      <c r="FI46" s="18">
        <f>IFERROR(DD46/'McDonough &amp; Sun 1995 values'!Z$2,)</f>
        <v>0</v>
      </c>
      <c r="FJ46" s="18">
        <f>IFERROR(DE46/'McDonough &amp; Sun 1995 values'!AA$2,)</f>
        <v>0.44117647058823523</v>
      </c>
      <c r="FK46" s="18">
        <f>IFERROR(DF46/'McDonough &amp; Sun 1995 values'!AB$2,)</f>
        <v>2.2675736961451247E-2</v>
      </c>
      <c r="FL46" s="18">
        <f>IFERROR(DG46/'McDonough &amp; Sun 1995 values'!AC$2,)</f>
        <v>0</v>
      </c>
      <c r="FN46" s="28">
        <f t="shared" si="68"/>
        <v>109.46907498631637</v>
      </c>
      <c r="FO46" s="4">
        <f t="shared" si="86"/>
        <v>9.2272727272727263E-3</v>
      </c>
      <c r="FP46" s="4">
        <f t="shared" si="87"/>
        <v>0</v>
      </c>
      <c r="FQ46" s="4">
        <f t="shared" si="88"/>
        <v>0</v>
      </c>
      <c r="FR46" s="4">
        <f t="shared" si="89"/>
        <v>1.0154320987654319</v>
      </c>
      <c r="FS46" s="4">
        <f t="shared" si="90"/>
        <v>5.7098765432098762E-2</v>
      </c>
      <c r="FT46" s="4">
        <f t="shared" si="91"/>
        <v>0</v>
      </c>
      <c r="FU46" s="4">
        <f t="shared" si="92"/>
        <v>17.783783783783786</v>
      </c>
      <c r="FV46" s="4">
        <f t="shared" si="93"/>
        <v>1.9333333333333334E-2</v>
      </c>
      <c r="FW46" s="4">
        <f t="shared" si="94"/>
        <v>0</v>
      </c>
      <c r="FX46" s="4">
        <f t="shared" si="95"/>
        <v>1.6902555311512297</v>
      </c>
      <c r="FY46" s="4">
        <f t="shared" si="96"/>
        <v>2.8315144898453885E-2</v>
      </c>
      <c r="FZ46" s="4">
        <f t="shared" si="97"/>
        <v>1.7618994437095996</v>
      </c>
      <c r="GA46" s="4">
        <f t="shared" si="98"/>
        <v>1.2763819095477389E-2</v>
      </c>
      <c r="GB46" s="4">
        <f t="shared" si="99"/>
        <v>1.3181818181818186</v>
      </c>
      <c r="GC46" s="4">
        <f t="shared" si="100"/>
        <v>0</v>
      </c>
      <c r="GD46" s="4">
        <f t="shared" si="101"/>
        <v>0</v>
      </c>
      <c r="GE46" s="4">
        <f t="shared" si="102"/>
        <v>0</v>
      </c>
      <c r="GF46" s="4">
        <f t="shared" si="103"/>
        <v>1.0101010101010099</v>
      </c>
      <c r="GG46" s="4">
        <f t="shared" si="104"/>
        <v>0.29909090909090907</v>
      </c>
      <c r="GH46" s="4">
        <f t="shared" si="105"/>
        <v>0.39197530864197527</v>
      </c>
      <c r="GI46" s="4">
        <f t="shared" si="106"/>
        <v>0.1566358024691358</v>
      </c>
      <c r="GJ46" s="4">
        <f t="shared" si="107"/>
        <v>1.0401234567901234</v>
      </c>
      <c r="GK46" s="4">
        <f t="shared" si="108"/>
        <v>0.68055555555555558</v>
      </c>
      <c r="GL46" s="4">
        <f t="shared" si="109"/>
        <v>0</v>
      </c>
      <c r="GM46" s="4">
        <f t="shared" si="110"/>
        <v>0</v>
      </c>
      <c r="GN46" s="4">
        <f t="shared" si="111"/>
        <v>0.98480243161094227</v>
      </c>
      <c r="GO46" s="4">
        <f t="shared" si="112"/>
        <v>3.085106382978723E-2</v>
      </c>
      <c r="GP46" s="4">
        <f t="shared" si="113"/>
        <v>9.134999999999999E-3</v>
      </c>
      <c r="GQ46" s="27">
        <f t="shared" si="114"/>
        <v>120167.75955417736</v>
      </c>
      <c r="GR46" s="28" t="str">
        <f t="shared" si="115"/>
        <v/>
      </c>
      <c r="GS46" s="28" t="str">
        <f t="shared" si="116"/>
        <v/>
      </c>
      <c r="GT46" s="28">
        <f t="shared" si="117"/>
        <v>3337.9933209493711</v>
      </c>
      <c r="GU46" s="28" t="str">
        <f t="shared" si="118"/>
        <v/>
      </c>
      <c r="GV46" s="28">
        <f t="shared" si="119"/>
        <v>1112.6644403164571</v>
      </c>
      <c r="GW46" s="28">
        <f t="shared" si="120"/>
        <v>120167.75955417736</v>
      </c>
      <c r="GX46" s="28">
        <f t="shared" si="121"/>
        <v>1112.6644403164571</v>
      </c>
      <c r="GY46" s="28">
        <f t="shared" si="122"/>
        <v>1112.6644403164571</v>
      </c>
      <c r="GZ46" s="28">
        <f t="shared" si="123"/>
        <v>1112.6644403164571</v>
      </c>
      <c r="HA46" s="28">
        <f t="shared" si="124"/>
        <v>0</v>
      </c>
      <c r="HB46" s="28">
        <f t="shared" si="125"/>
        <v>1112.6644403164571</v>
      </c>
      <c r="HC46" s="28">
        <f t="shared" si="126"/>
        <v>1112.6644403164571</v>
      </c>
      <c r="HD46" s="28">
        <f t="shared" si="127"/>
        <v>1112.6644403164571</v>
      </c>
      <c r="HE46" s="28">
        <f t="shared" si="128"/>
        <v>4450.6577612658284</v>
      </c>
      <c r="HF46" s="28" t="str">
        <f t="shared" si="129"/>
        <v/>
      </c>
      <c r="HG46" s="28">
        <f t="shared" si="130"/>
        <v>2225.3288806329142</v>
      </c>
      <c r="HH46" s="28">
        <f t="shared" si="131"/>
        <v>2225.3288806329142</v>
      </c>
      <c r="HI46" s="28">
        <f t="shared" si="132"/>
        <v>0</v>
      </c>
      <c r="HJ46" s="28">
        <f t="shared" si="133"/>
        <v>3337.9933209493711</v>
      </c>
      <c r="HK46" s="28">
        <f t="shared" si="134"/>
        <v>0</v>
      </c>
      <c r="HL46" s="28">
        <f t="shared" si="135"/>
        <v>1112.6644403164571</v>
      </c>
      <c r="HM46" s="28">
        <f t="shared" si="136"/>
        <v>1112.6644403164571</v>
      </c>
      <c r="HN46" s="28">
        <f t="shared" si="137"/>
        <v>0</v>
      </c>
      <c r="HO46" s="28" t="str">
        <f t="shared" si="138"/>
        <v/>
      </c>
      <c r="HP46" s="28">
        <f t="shared" si="139"/>
        <v>3337.9933209493711</v>
      </c>
      <c r="HQ46" s="28">
        <f t="shared" si="140"/>
        <v>1112.6644403164571</v>
      </c>
      <c r="HR46" s="28">
        <f t="shared" si="141"/>
        <v>0</v>
      </c>
      <c r="HT46" s="4">
        <f>IFERROR(GR46/'McDonough &amp; Sun 1995 values'!C$2,)</f>
        <v>0</v>
      </c>
      <c r="HU46" s="4">
        <f>IFERROR(GS46/'McDonough &amp; Sun 1995 values'!D$2,)</f>
        <v>0</v>
      </c>
      <c r="HV46" s="4">
        <f>IFERROR(GT46/'McDonough &amp; Sun 1995 values'!E$2,)</f>
        <v>505.75656378020778</v>
      </c>
      <c r="HW46" s="4">
        <f>IFERROR(GU46/'McDonough &amp; Sun 1995 values'!F$2,)</f>
        <v>0</v>
      </c>
      <c r="HX46" s="4">
        <f>IFERROR(GV46/'McDonough &amp; Sun 1995 values'!G$2,)</f>
        <v>54811.05617322449</v>
      </c>
      <c r="HY46" s="4">
        <f>IFERROR(GW46/'McDonough &amp; Sun 1995 values'!H$2,)</f>
        <v>500.69899814240569</v>
      </c>
      <c r="HZ46" s="4">
        <f>IFERROR(GX46/'McDonough &amp; Sun 1995 values'!I$2,)</f>
        <v>30072.011900444788</v>
      </c>
      <c r="IA46" s="4">
        <f>IFERROR(GY46/'McDonough &amp; Sun 1995 values'!J$2,)</f>
        <v>1690.9793925782021</v>
      </c>
      <c r="IB46" s="4">
        <f>IFERROR(GZ46/'McDonough &amp; Sun 1995 values'!K$2,)</f>
        <v>1717.0747535747794</v>
      </c>
      <c r="IC46" s="4">
        <f>IFERROR(HA46/'McDonough &amp; Sun 1995 values'!L$2,)</f>
        <v>0</v>
      </c>
      <c r="ID46" s="4">
        <f>IFERROR(HB46/'McDonough &amp; Sun 1995 values'!M$2,)</f>
        <v>4380.5686626632169</v>
      </c>
      <c r="IE46" s="4">
        <f>IFERROR(HC46/'McDonough &amp; Sun 1995 values'!N$2,)</f>
        <v>55.91278594555061</v>
      </c>
      <c r="IF46" s="4">
        <f>IFERROR(HD46/'McDonough &amp; Sun 1995 values'!O$2,)</f>
        <v>890.13155225316564</v>
      </c>
      <c r="IG46" s="4">
        <f>IFERROR(HE46/'McDonough &amp; Sun 1995 values'!P$2,)</f>
        <v>10962.211234644898</v>
      </c>
      <c r="IH46" s="4">
        <f>IFERROR(HF46/'McDonough &amp; Sun 1995 values'!Q$2,)</f>
        <v>0</v>
      </c>
      <c r="II46" s="4">
        <f>IFERROR(HG46/'McDonough &amp; Sun 1995 values'!R$2,)</f>
        <v>211.93608386980137</v>
      </c>
      <c r="IJ46" s="4">
        <f>IFERROR(HH46/'McDonough &amp; Sun 1995 values'!S$2,)</f>
        <v>14450.187536577365</v>
      </c>
      <c r="IK46" s="4">
        <f>IFERROR(HI46/'McDonough &amp; Sun 1995 values'!T$2,)</f>
        <v>0</v>
      </c>
      <c r="IL46" s="4">
        <f>IFERROR(HJ46/'McDonough &amp; Sun 1995 values'!U$2,)</f>
        <v>6136.0171340981078</v>
      </c>
      <c r="IM46" s="4">
        <f>IFERROR(HK46/'McDonough &amp; Sun 1995 values'!V$2,)</f>
        <v>0</v>
      </c>
      <c r="IN46" s="4">
        <f>IFERROR(HL46/'McDonough &amp; Sun 1995 values'!W$2,)</f>
        <v>1650.8374485407373</v>
      </c>
      <c r="IO46" s="4">
        <f>IFERROR(HM46/'McDonough &amp; Sun 1995 values'!X$2,)</f>
        <v>258.75917216661793</v>
      </c>
      <c r="IP46" s="4">
        <f>IFERROR(HN46/'McDonough &amp; Sun 1995 values'!Y$2,)</f>
        <v>0</v>
      </c>
      <c r="IQ46" s="4">
        <f>IFERROR(HO46/'McDonough &amp; Sun 1995 values'!Z$2,)</f>
        <v>0</v>
      </c>
      <c r="IR46" s="4">
        <f>IFERROR(HP46/'McDonough &amp; Sun 1995 values'!AA$2,)</f>
        <v>49088.137072784863</v>
      </c>
      <c r="IS46" s="4">
        <f>IFERROR(HQ46/'McDonough &amp; Sun 1995 values'!AB$2,)</f>
        <v>2523.048617497635</v>
      </c>
      <c r="IT46" s="4">
        <f>IFERROR(HR46/'McDonough &amp; Sun 1995 values'!AC$2,)</f>
        <v>0</v>
      </c>
    </row>
    <row r="47" spans="1:254">
      <c r="A47" s="16" t="s">
        <v>844</v>
      </c>
      <c r="B47" s="16" t="s">
        <v>24</v>
      </c>
      <c r="C47" s="16" t="str">
        <f t="shared" si="0"/>
        <v>high-Mg carbonatitic</v>
      </c>
      <c r="D47" s="16" t="s">
        <v>25</v>
      </c>
      <c r="E47" s="16" t="s">
        <v>237</v>
      </c>
      <c r="F47" s="16" t="s">
        <v>238</v>
      </c>
      <c r="G47" s="16" t="s">
        <v>595</v>
      </c>
      <c r="H47" s="27">
        <v>355</v>
      </c>
      <c r="I47" s="16" t="s">
        <v>712</v>
      </c>
      <c r="J47" s="16">
        <v>0</v>
      </c>
      <c r="K47" s="16" t="s">
        <v>488</v>
      </c>
      <c r="L47" s="16">
        <v>0</v>
      </c>
      <c r="M47" s="16" t="s">
        <v>486</v>
      </c>
      <c r="N47" s="16">
        <v>19</v>
      </c>
      <c r="O47" s="26">
        <v>12</v>
      </c>
      <c r="P47" s="26">
        <v>0.13</v>
      </c>
      <c r="Q47" s="26"/>
      <c r="R47" s="26">
        <v>0.48</v>
      </c>
      <c r="S47" s="26">
        <v>10.5</v>
      </c>
      <c r="T47" s="26">
        <v>30.2</v>
      </c>
      <c r="U47" s="26"/>
      <c r="V47" s="26">
        <v>24.7</v>
      </c>
      <c r="W47" s="26">
        <v>2.84</v>
      </c>
      <c r="X47" s="26">
        <v>18.2</v>
      </c>
      <c r="Y47" s="26"/>
      <c r="Z47" s="26">
        <v>0.62</v>
      </c>
      <c r="AA47" s="26">
        <v>0.31</v>
      </c>
      <c r="AB47" s="26"/>
      <c r="AC47" s="26"/>
      <c r="AD47" s="26">
        <v>0.37</v>
      </c>
      <c r="AE47" s="26"/>
      <c r="AF47" s="26"/>
      <c r="AG47" s="26"/>
      <c r="AH47" s="26"/>
      <c r="AI47" s="26"/>
      <c r="AJ47" s="26">
        <f t="shared" si="62"/>
        <v>100.04000000000002</v>
      </c>
      <c r="AK47" s="26">
        <f t="shared" si="73"/>
        <v>12.005222017588466</v>
      </c>
      <c r="AL47" s="26">
        <f t="shared" si="74"/>
        <v>0.13005657185720837</v>
      </c>
      <c r="AM47" s="26">
        <f t="shared" si="75"/>
        <v>0.48020888070353862</v>
      </c>
      <c r="AN47" s="26">
        <f t="shared" si="76"/>
        <v>10.504569265389907</v>
      </c>
      <c r="AO47" s="26">
        <f t="shared" si="77"/>
        <v>30.213142077597638</v>
      </c>
      <c r="AP47" s="26">
        <f t="shared" si="78"/>
        <v>24.71074865286959</v>
      </c>
      <c r="AQ47" s="26">
        <f t="shared" si="79"/>
        <v>0</v>
      </c>
      <c r="AR47" s="26">
        <f t="shared" si="80"/>
        <v>2.8412358774959365</v>
      </c>
      <c r="AS47" s="26">
        <f t="shared" si="81"/>
        <v>18.207920060009172</v>
      </c>
      <c r="AT47" s="26">
        <f t="shared" si="82"/>
        <v>0.62026980424207068</v>
      </c>
      <c r="AU47" s="26">
        <f t="shared" si="83"/>
        <v>0.37016101220897768</v>
      </c>
      <c r="AV47" s="26">
        <f t="shared" si="7"/>
        <v>100.08353421996252</v>
      </c>
      <c r="AW47" s="26"/>
      <c r="AX47" s="26"/>
      <c r="AY47" s="26"/>
      <c r="AZ47" s="26"/>
      <c r="BA47" s="26"/>
      <c r="BB47" s="26">
        <v>0.12</v>
      </c>
      <c r="BC47" s="26">
        <f t="shared" si="84"/>
        <v>0.12</v>
      </c>
      <c r="BD47" s="26">
        <f t="shared" si="85"/>
        <v>0.88</v>
      </c>
      <c r="BE47" s="16"/>
      <c r="BF47" s="16"/>
      <c r="BG47" s="16">
        <v>0</v>
      </c>
      <c r="BH47" s="16"/>
      <c r="BI47" s="16"/>
      <c r="BJ47" s="16"/>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28"/>
      <c r="DW47" s="28"/>
      <c r="DX47" s="28"/>
      <c r="DY47" s="28"/>
      <c r="DZ47" s="28"/>
      <c r="EA47" s="28"/>
      <c r="EB47" s="28"/>
      <c r="EC47" s="28"/>
      <c r="ED47" s="28"/>
      <c r="EE47" s="28"/>
      <c r="EF47" s="28"/>
      <c r="EG47" s="28"/>
      <c r="EH47" s="28"/>
      <c r="EI47" s="28"/>
      <c r="EJ47" s="18"/>
      <c r="EK47" s="18"/>
      <c r="EL47" s="18">
        <f>IFERROR(CR47/'McDonough &amp; Sun 1995 values'!C$2,)</f>
        <v>0</v>
      </c>
      <c r="EM47" s="18">
        <f>IFERROR(CH47/'McDonough &amp; Sun 1995 values'!D$2,)</f>
        <v>0</v>
      </c>
      <c r="EN47" s="18">
        <f>IFERROR(CS47/'McDonough &amp; Sun 1995 values'!E$2,)</f>
        <v>0</v>
      </c>
      <c r="EO47" s="18">
        <f>IFERROR(DL47/'McDonough &amp; Sun 1995 values'!F$2,)</f>
        <v>0</v>
      </c>
      <c r="EP47" s="18">
        <f>IFERROR(DM47/'McDonough &amp; Sun 1995 values'!G$2,)</f>
        <v>0</v>
      </c>
      <c r="EQ47" s="18">
        <f>IFERROR(BR47/'McDonough &amp; Sun 1995 values'!H$2,)</f>
        <v>0</v>
      </c>
      <c r="ER47" s="18">
        <f>IFERROR(DI47/'McDonough &amp; Sun 1995 values'!I$2,)</f>
        <v>0</v>
      </c>
      <c r="ES47" s="18">
        <f>IFERROR(CM47/'McDonough &amp; Sun 1995 values'!J$2,)</f>
        <v>0</v>
      </c>
      <c r="ET47" s="18">
        <f>IFERROR(CU47/'McDonough &amp; Sun 1995 values'!K$2,)</f>
        <v>0</v>
      </c>
      <c r="EU47" s="18">
        <f>IFERROR(CV47/'McDonough &amp; Sun 1995 values'!L$2,)</f>
        <v>0</v>
      </c>
      <c r="EV47" s="18">
        <f>IFERROR(CW47/'McDonough &amp; Sun 1995 values'!M$2,)</f>
        <v>0</v>
      </c>
      <c r="EW47" s="18">
        <f>IFERROR(CI47/'McDonough &amp; Sun 1995 values'!N$2,)</f>
        <v>0</v>
      </c>
      <c r="EX47" s="18">
        <f>IFERROR(CX47/'McDonough &amp; Sun 1995 values'!O$2,)</f>
        <v>0</v>
      </c>
      <c r="EY47" s="18">
        <f>IFERROR(CY47/'McDonough &amp; Sun 1995 values'!P$2,)</f>
        <v>0</v>
      </c>
      <c r="EZ47" s="18">
        <f>IFERROR(DH47/'McDonough &amp; Sun 1995 values'!Q$2,)</f>
        <v>0</v>
      </c>
      <c r="FA47" s="18">
        <f>IFERROR(CK47/'McDonough &amp; Sun 1995 values'!R$2,)</f>
        <v>0</v>
      </c>
      <c r="FB47" s="18">
        <f>IFERROR(CZ47/'McDonough &amp; Sun 1995 values'!S$2,)</f>
        <v>0</v>
      </c>
      <c r="FC47" s="18">
        <f>IFERROR(BT47/'McDonough &amp; Sun 1995 values'!T$2,)</f>
        <v>0</v>
      </c>
      <c r="FD47" s="18">
        <f>IFERROR(DA47/'McDonough &amp; Sun 1995 values'!U$2,)</f>
        <v>0</v>
      </c>
      <c r="FE47" s="18">
        <f>IFERROR(DN47/'McDonough &amp; Sun 1995 values'!V$2,)</f>
        <v>0</v>
      </c>
      <c r="FF47" s="18">
        <f>IFERROR(DB47/'McDonough &amp; Sun 1995 values'!W$2,)</f>
        <v>0</v>
      </c>
      <c r="FG47" s="18">
        <f>IFERROR(CJ47/'McDonough &amp; Sun 1995 values'!X$2,)</f>
        <v>0</v>
      </c>
      <c r="FH47" s="18">
        <f>IFERROR(DC47/'McDonough &amp; Sun 1995 values'!Y$2,)</f>
        <v>0</v>
      </c>
      <c r="FI47" s="18">
        <f>IFERROR(DD47/'McDonough &amp; Sun 1995 values'!Z$2,)</f>
        <v>0</v>
      </c>
      <c r="FJ47" s="18">
        <f>IFERROR(DE47/'McDonough &amp; Sun 1995 values'!AA$2,)</f>
        <v>0</v>
      </c>
      <c r="FK47" s="18">
        <f>IFERROR(DF47/'McDonough &amp; Sun 1995 values'!AB$2,)</f>
        <v>0</v>
      </c>
      <c r="FL47" s="18">
        <f>IFERROR(DG47/'McDonough &amp; Sun 1995 values'!AC$2,)</f>
        <v>0</v>
      </c>
      <c r="FN47" s="28">
        <f t="shared" si="68"/>
        <v>0</v>
      </c>
      <c r="FO47" s="4">
        <f t="shared" si="86"/>
        <v>0</v>
      </c>
      <c r="FP47" s="4">
        <f t="shared" si="87"/>
        <v>0</v>
      </c>
      <c r="FQ47" s="4">
        <f t="shared" si="88"/>
        <v>0</v>
      </c>
      <c r="FR47" s="4">
        <f t="shared" si="89"/>
        <v>0</v>
      </c>
      <c r="FS47" s="4">
        <f t="shared" si="90"/>
        <v>0</v>
      </c>
      <c r="FT47" s="4">
        <f t="shared" si="91"/>
        <v>0</v>
      </c>
      <c r="FU47" s="4">
        <f t="shared" si="92"/>
        <v>0</v>
      </c>
      <c r="FV47" s="4">
        <f t="shared" si="93"/>
        <v>0</v>
      </c>
      <c r="FW47" s="4">
        <f t="shared" si="94"/>
        <v>0</v>
      </c>
      <c r="FX47" s="4">
        <f t="shared" si="95"/>
        <v>0</v>
      </c>
      <c r="FY47" s="4">
        <f t="shared" si="96"/>
        <v>0</v>
      </c>
      <c r="FZ47" s="4">
        <f t="shared" si="97"/>
        <v>0</v>
      </c>
      <c r="GA47" s="4">
        <f t="shared" si="98"/>
        <v>0</v>
      </c>
      <c r="GB47" s="4">
        <f t="shared" si="99"/>
        <v>0</v>
      </c>
      <c r="GC47" s="4">
        <f t="shared" si="100"/>
        <v>0</v>
      </c>
      <c r="GD47" s="4">
        <f t="shared" si="101"/>
        <v>0</v>
      </c>
      <c r="GE47" s="4">
        <f t="shared" si="102"/>
        <v>0</v>
      </c>
      <c r="GF47" s="4">
        <f t="shared" si="103"/>
        <v>0</v>
      </c>
      <c r="GG47" s="4">
        <f t="shared" si="104"/>
        <v>0</v>
      </c>
      <c r="GH47" s="4">
        <f t="shared" si="105"/>
        <v>0</v>
      </c>
      <c r="GI47" s="4">
        <f t="shared" si="106"/>
        <v>0</v>
      </c>
      <c r="GJ47" s="4">
        <f t="shared" si="107"/>
        <v>0</v>
      </c>
      <c r="GK47" s="4">
        <f t="shared" si="108"/>
        <v>0</v>
      </c>
      <c r="GL47" s="4">
        <f t="shared" si="109"/>
        <v>0</v>
      </c>
      <c r="GM47" s="4">
        <f t="shared" si="110"/>
        <v>0</v>
      </c>
      <c r="GN47" s="4">
        <f t="shared" si="111"/>
        <v>0</v>
      </c>
      <c r="GO47" s="4">
        <f t="shared" si="112"/>
        <v>0</v>
      </c>
      <c r="GP47" s="4">
        <f t="shared" si="113"/>
        <v>0</v>
      </c>
      <c r="GQ47" s="27">
        <f t="shared" si="114"/>
        <v>151150.7368299478</v>
      </c>
      <c r="GR47" s="28" t="str">
        <f t="shared" si="115"/>
        <v/>
      </c>
      <c r="GS47" s="28" t="str">
        <f t="shared" si="116"/>
        <v/>
      </c>
      <c r="GT47" s="28" t="str">
        <f t="shared" si="117"/>
        <v/>
      </c>
      <c r="GU47" s="28" t="str">
        <f t="shared" si="118"/>
        <v/>
      </c>
      <c r="GV47" s="28" t="str">
        <f t="shared" si="119"/>
        <v/>
      </c>
      <c r="GW47" s="28" t="str">
        <f t="shared" si="120"/>
        <v/>
      </c>
      <c r="GX47" s="28" t="str">
        <f t="shared" si="121"/>
        <v/>
      </c>
      <c r="GY47" s="28" t="str">
        <f t="shared" si="122"/>
        <v/>
      </c>
      <c r="GZ47" s="28" t="str">
        <f t="shared" si="123"/>
        <v/>
      </c>
      <c r="HA47" s="28" t="str">
        <f t="shared" si="124"/>
        <v/>
      </c>
      <c r="HB47" s="28" t="str">
        <f t="shared" si="125"/>
        <v/>
      </c>
      <c r="HC47" s="28" t="str">
        <f t="shared" si="126"/>
        <v/>
      </c>
      <c r="HD47" s="28" t="str">
        <f t="shared" si="127"/>
        <v/>
      </c>
      <c r="HE47" s="28" t="str">
        <f t="shared" si="128"/>
        <v/>
      </c>
      <c r="HF47" s="28" t="str">
        <f t="shared" si="129"/>
        <v/>
      </c>
      <c r="HG47" s="28" t="str">
        <f t="shared" si="130"/>
        <v/>
      </c>
      <c r="HH47" s="28" t="str">
        <f t="shared" si="131"/>
        <v/>
      </c>
      <c r="HI47" s="28" t="str">
        <f t="shared" si="132"/>
        <v/>
      </c>
      <c r="HJ47" s="28" t="str">
        <f t="shared" si="133"/>
        <v/>
      </c>
      <c r="HK47" s="28" t="str">
        <f t="shared" si="134"/>
        <v/>
      </c>
      <c r="HL47" s="28" t="str">
        <f t="shared" si="135"/>
        <v/>
      </c>
      <c r="HM47" s="28" t="str">
        <f t="shared" si="136"/>
        <v/>
      </c>
      <c r="HN47" s="28" t="str">
        <f t="shared" si="137"/>
        <v/>
      </c>
      <c r="HO47" s="28" t="str">
        <f t="shared" si="138"/>
        <v/>
      </c>
      <c r="HP47" s="28" t="str">
        <f t="shared" si="139"/>
        <v/>
      </c>
      <c r="HQ47" s="28" t="str">
        <f t="shared" si="140"/>
        <v/>
      </c>
      <c r="HR47" s="28" t="str">
        <f t="shared" si="141"/>
        <v/>
      </c>
      <c r="HT47" s="4">
        <f>IFERROR(GR47/'McDonough &amp; Sun 1995 values'!C$2,)</f>
        <v>0</v>
      </c>
      <c r="HU47" s="4">
        <f>IFERROR(GS47/'McDonough &amp; Sun 1995 values'!D$2,)</f>
        <v>0</v>
      </c>
      <c r="HV47" s="4">
        <f>IFERROR(GT47/'McDonough &amp; Sun 1995 values'!E$2,)</f>
        <v>0</v>
      </c>
      <c r="HW47" s="4">
        <f>IFERROR(GU47/'McDonough &amp; Sun 1995 values'!F$2,)</f>
        <v>0</v>
      </c>
      <c r="HX47" s="4">
        <f>IFERROR(GV47/'McDonough &amp; Sun 1995 values'!G$2,)</f>
        <v>0</v>
      </c>
      <c r="HY47" s="4">
        <f>IFERROR(GW47/'McDonough &amp; Sun 1995 values'!H$2,)</f>
        <v>0</v>
      </c>
      <c r="HZ47" s="4">
        <f>IFERROR(GX47/'McDonough &amp; Sun 1995 values'!I$2,)</f>
        <v>0</v>
      </c>
      <c r="IA47" s="4">
        <f>IFERROR(GY47/'McDonough &amp; Sun 1995 values'!J$2,)</f>
        <v>0</v>
      </c>
      <c r="IB47" s="4">
        <f>IFERROR(GZ47/'McDonough &amp; Sun 1995 values'!K$2,)</f>
        <v>0</v>
      </c>
      <c r="IC47" s="4">
        <f>IFERROR(HA47/'McDonough &amp; Sun 1995 values'!L$2,)</f>
        <v>0</v>
      </c>
      <c r="ID47" s="4">
        <f>IFERROR(HB47/'McDonough &amp; Sun 1995 values'!M$2,)</f>
        <v>0</v>
      </c>
      <c r="IE47" s="4">
        <f>IFERROR(HC47/'McDonough &amp; Sun 1995 values'!N$2,)</f>
        <v>0</v>
      </c>
      <c r="IF47" s="4">
        <f>IFERROR(HD47/'McDonough &amp; Sun 1995 values'!O$2,)</f>
        <v>0</v>
      </c>
      <c r="IG47" s="4">
        <f>IFERROR(HE47/'McDonough &amp; Sun 1995 values'!P$2,)</f>
        <v>0</v>
      </c>
      <c r="IH47" s="4">
        <f>IFERROR(HF47/'McDonough &amp; Sun 1995 values'!Q$2,)</f>
        <v>0</v>
      </c>
      <c r="II47" s="4">
        <f>IFERROR(HG47/'McDonough &amp; Sun 1995 values'!R$2,)</f>
        <v>0</v>
      </c>
      <c r="IJ47" s="4">
        <f>IFERROR(HH47/'McDonough &amp; Sun 1995 values'!S$2,)</f>
        <v>0</v>
      </c>
      <c r="IK47" s="4">
        <f>IFERROR(HI47/'McDonough &amp; Sun 1995 values'!T$2,)</f>
        <v>0</v>
      </c>
      <c r="IL47" s="4">
        <f>IFERROR(HJ47/'McDonough &amp; Sun 1995 values'!U$2,)</f>
        <v>0</v>
      </c>
      <c r="IM47" s="4">
        <f>IFERROR(HK47/'McDonough &amp; Sun 1995 values'!V$2,)</f>
        <v>0</v>
      </c>
      <c r="IN47" s="4">
        <f>IFERROR(HL47/'McDonough &amp; Sun 1995 values'!W$2,)</f>
        <v>0</v>
      </c>
      <c r="IO47" s="4">
        <f>IFERROR(HM47/'McDonough &amp; Sun 1995 values'!X$2,)</f>
        <v>0</v>
      </c>
      <c r="IP47" s="4">
        <f>IFERROR(HN47/'McDonough &amp; Sun 1995 values'!Y$2,)</f>
        <v>0</v>
      </c>
      <c r="IQ47" s="4">
        <f>IFERROR(HO47/'McDonough &amp; Sun 1995 values'!Z$2,)</f>
        <v>0</v>
      </c>
      <c r="IR47" s="4">
        <f>IFERROR(HP47/'McDonough &amp; Sun 1995 values'!AA$2,)</f>
        <v>0</v>
      </c>
      <c r="IS47" s="4">
        <f>IFERROR(HQ47/'McDonough &amp; Sun 1995 values'!AB$2,)</f>
        <v>0</v>
      </c>
      <c r="IT47" s="4">
        <f>IFERROR(HR47/'McDonough &amp; Sun 1995 values'!AC$2,)</f>
        <v>0</v>
      </c>
    </row>
    <row r="48" spans="1:254">
      <c r="A48" s="16" t="s">
        <v>836</v>
      </c>
      <c r="B48" s="16" t="s">
        <v>24</v>
      </c>
      <c r="C48" s="16" t="str">
        <f t="shared" si="0"/>
        <v>high-Mg carbonatitic</v>
      </c>
      <c r="D48" s="16" t="s">
        <v>1706</v>
      </c>
      <c r="E48" s="16" t="s">
        <v>237</v>
      </c>
      <c r="F48" s="16" t="s">
        <v>163</v>
      </c>
      <c r="G48" s="16" t="s">
        <v>595</v>
      </c>
      <c r="H48" s="27">
        <v>355</v>
      </c>
      <c r="I48" s="16" t="s">
        <v>1148</v>
      </c>
      <c r="J48" s="3" t="s">
        <v>635</v>
      </c>
      <c r="K48" s="16" t="s">
        <v>128</v>
      </c>
      <c r="L48" s="16" t="s">
        <v>1509</v>
      </c>
      <c r="M48" s="16" t="s">
        <v>379</v>
      </c>
      <c r="N48" s="16">
        <v>15</v>
      </c>
      <c r="O48" s="26">
        <v>6</v>
      </c>
      <c r="P48" s="26"/>
      <c r="Q48" s="26"/>
      <c r="R48" s="26">
        <v>0.3</v>
      </c>
      <c r="S48" s="26">
        <v>9.57</v>
      </c>
      <c r="T48" s="26">
        <v>20.9</v>
      </c>
      <c r="U48" s="26"/>
      <c r="V48" s="26">
        <v>11.8</v>
      </c>
      <c r="W48" s="26">
        <v>13.3</v>
      </c>
      <c r="X48" s="26">
        <v>20.6</v>
      </c>
      <c r="Y48" s="26"/>
      <c r="Z48" s="26">
        <v>1.27</v>
      </c>
      <c r="AA48" s="26"/>
      <c r="AB48" s="26">
        <v>4.41</v>
      </c>
      <c r="AC48" s="26"/>
      <c r="AD48" s="26">
        <v>12</v>
      </c>
      <c r="AE48" s="26"/>
      <c r="AF48" s="26"/>
      <c r="AG48" s="26"/>
      <c r="AH48" s="26"/>
      <c r="AI48" s="26"/>
      <c r="AJ48" s="26">
        <f t="shared" si="62"/>
        <v>100.14999999999999</v>
      </c>
      <c r="AK48" s="26">
        <f t="shared" si="73"/>
        <v>6.157511577902147</v>
      </c>
      <c r="AL48" s="26">
        <f t="shared" si="74"/>
        <v>0</v>
      </c>
      <c r="AM48" s="26">
        <f t="shared" si="75"/>
        <v>0.30787557889510736</v>
      </c>
      <c r="AN48" s="26">
        <f t="shared" si="76"/>
        <v>9.8212309667539266</v>
      </c>
      <c r="AO48" s="26">
        <f t="shared" si="77"/>
        <v>21.448665329692478</v>
      </c>
      <c r="AP48" s="26">
        <f t="shared" si="78"/>
        <v>12.109772769874223</v>
      </c>
      <c r="AQ48" s="26">
        <f t="shared" si="79"/>
        <v>4.5257710097580786</v>
      </c>
      <c r="AR48" s="26">
        <f t="shared" si="80"/>
        <v>13.64915066434976</v>
      </c>
      <c r="AS48" s="26">
        <f t="shared" si="81"/>
        <v>21.140789750797374</v>
      </c>
      <c r="AT48" s="26">
        <f t="shared" si="82"/>
        <v>1.3033399506559546</v>
      </c>
      <c r="AU48" s="26">
        <f t="shared" si="83"/>
        <v>12.315023155804294</v>
      </c>
      <c r="AV48" s="26">
        <f t="shared" si="7"/>
        <v>102.77913075448335</v>
      </c>
      <c r="AW48" s="26"/>
      <c r="AX48" s="26"/>
      <c r="AY48" s="26"/>
      <c r="AZ48" s="26"/>
      <c r="BA48" s="26"/>
      <c r="BB48" s="26">
        <v>0.11</v>
      </c>
      <c r="BC48" s="26">
        <f t="shared" si="84"/>
        <v>0.10999999999999999</v>
      </c>
      <c r="BD48" s="26">
        <f t="shared" si="85"/>
        <v>0.89</v>
      </c>
      <c r="BE48" s="25">
        <v>-4.25</v>
      </c>
      <c r="BF48" s="16"/>
      <c r="BG48" s="16" t="s">
        <v>1098</v>
      </c>
      <c r="BH48" s="16"/>
      <c r="BI48" s="16" t="s">
        <v>1099</v>
      </c>
      <c r="BJ48" s="16"/>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28"/>
      <c r="DW48" s="28"/>
      <c r="DX48" s="28"/>
      <c r="DY48" s="28"/>
      <c r="DZ48" s="28"/>
      <c r="EA48" s="28"/>
      <c r="EB48" s="28"/>
      <c r="EC48" s="28"/>
      <c r="ED48" s="28"/>
      <c r="EE48" s="28"/>
      <c r="EF48" s="28"/>
      <c r="EG48" s="28"/>
      <c r="EH48" s="28"/>
      <c r="EI48" s="28"/>
      <c r="EJ48" s="18"/>
      <c r="EK48" s="18"/>
      <c r="EL48" s="18">
        <f>IFERROR(CR48/'McDonough &amp; Sun 1995 values'!C$2,)</f>
        <v>0</v>
      </c>
      <c r="EM48" s="18">
        <f>IFERROR(CH48/'McDonough &amp; Sun 1995 values'!D$2,)</f>
        <v>0</v>
      </c>
      <c r="EN48" s="18">
        <f>IFERROR(CS48/'McDonough &amp; Sun 1995 values'!E$2,)</f>
        <v>0</v>
      </c>
      <c r="EO48" s="18">
        <f>IFERROR(DL48/'McDonough &amp; Sun 1995 values'!F$2,)</f>
        <v>0</v>
      </c>
      <c r="EP48" s="18">
        <f>IFERROR(DM48/'McDonough &amp; Sun 1995 values'!G$2,)</f>
        <v>0</v>
      </c>
      <c r="EQ48" s="18">
        <f>IFERROR(BR48/'McDonough &amp; Sun 1995 values'!H$2,)</f>
        <v>0</v>
      </c>
      <c r="ER48" s="18">
        <f>IFERROR(DI48/'McDonough &amp; Sun 1995 values'!I$2,)</f>
        <v>0</v>
      </c>
      <c r="ES48" s="18">
        <f>IFERROR(CM48/'McDonough &amp; Sun 1995 values'!J$2,)</f>
        <v>0</v>
      </c>
      <c r="ET48" s="18">
        <f>IFERROR(CU48/'McDonough &amp; Sun 1995 values'!K$2,)</f>
        <v>0</v>
      </c>
      <c r="EU48" s="18">
        <f>IFERROR(CV48/'McDonough &amp; Sun 1995 values'!L$2,)</f>
        <v>0</v>
      </c>
      <c r="EV48" s="18">
        <f>IFERROR(CW48/'McDonough &amp; Sun 1995 values'!M$2,)</f>
        <v>0</v>
      </c>
      <c r="EW48" s="18">
        <f>IFERROR(CI48/'McDonough &amp; Sun 1995 values'!N$2,)</f>
        <v>0</v>
      </c>
      <c r="EX48" s="18">
        <f>IFERROR(CX48/'McDonough &amp; Sun 1995 values'!O$2,)</f>
        <v>0</v>
      </c>
      <c r="EY48" s="18">
        <f>IFERROR(CY48/'McDonough &amp; Sun 1995 values'!P$2,)</f>
        <v>0</v>
      </c>
      <c r="EZ48" s="18">
        <f>IFERROR(DH48/'McDonough &amp; Sun 1995 values'!Q$2,)</f>
        <v>0</v>
      </c>
      <c r="FA48" s="18">
        <f>IFERROR(CK48/'McDonough &amp; Sun 1995 values'!R$2,)</f>
        <v>0</v>
      </c>
      <c r="FB48" s="18">
        <f>IFERROR(CZ48/'McDonough &amp; Sun 1995 values'!S$2,)</f>
        <v>0</v>
      </c>
      <c r="FC48" s="18">
        <f>IFERROR(BT48/'McDonough &amp; Sun 1995 values'!T$2,)</f>
        <v>0</v>
      </c>
      <c r="FD48" s="18">
        <f>IFERROR(DA48/'McDonough &amp; Sun 1995 values'!U$2,)</f>
        <v>0</v>
      </c>
      <c r="FE48" s="18">
        <f>IFERROR(DN48/'McDonough &amp; Sun 1995 values'!V$2,)</f>
        <v>0</v>
      </c>
      <c r="FF48" s="18">
        <f>IFERROR(DB48/'McDonough &amp; Sun 1995 values'!W$2,)</f>
        <v>0</v>
      </c>
      <c r="FG48" s="18">
        <f>IFERROR(CJ48/'McDonough &amp; Sun 1995 values'!X$2,)</f>
        <v>0</v>
      </c>
      <c r="FH48" s="18">
        <f>IFERROR(DC48/'McDonough &amp; Sun 1995 values'!Y$2,)</f>
        <v>0</v>
      </c>
      <c r="FI48" s="18">
        <f>IFERROR(DD48/'McDonough &amp; Sun 1995 values'!Z$2,)</f>
        <v>0</v>
      </c>
      <c r="FJ48" s="18">
        <f>IFERROR(DE48/'McDonough &amp; Sun 1995 values'!AA$2,)</f>
        <v>0</v>
      </c>
      <c r="FK48" s="18">
        <f>IFERROR(DF48/'McDonough &amp; Sun 1995 values'!AB$2,)</f>
        <v>0</v>
      </c>
      <c r="FL48" s="18">
        <f>IFERROR(DG48/'McDonough &amp; Sun 1995 values'!AC$2,)</f>
        <v>0</v>
      </c>
      <c r="FN48" s="28">
        <f t="shared" si="68"/>
        <v>0</v>
      </c>
      <c r="FO48" s="4">
        <f t="shared" si="86"/>
        <v>0</v>
      </c>
      <c r="FP48" s="4">
        <f t="shared" si="87"/>
        <v>0</v>
      </c>
      <c r="FQ48" s="4">
        <f t="shared" si="88"/>
        <v>0</v>
      </c>
      <c r="FR48" s="4">
        <f t="shared" si="89"/>
        <v>0</v>
      </c>
      <c r="FS48" s="4">
        <f t="shared" si="90"/>
        <v>0</v>
      </c>
      <c r="FT48" s="4">
        <f t="shared" si="91"/>
        <v>0</v>
      </c>
      <c r="FU48" s="4">
        <f t="shared" si="92"/>
        <v>0</v>
      </c>
      <c r="FV48" s="4">
        <f t="shared" si="93"/>
        <v>0</v>
      </c>
      <c r="FW48" s="4">
        <f t="shared" si="94"/>
        <v>0</v>
      </c>
      <c r="FX48" s="4">
        <f t="shared" si="95"/>
        <v>0</v>
      </c>
      <c r="FY48" s="4">
        <f t="shared" si="96"/>
        <v>0</v>
      </c>
      <c r="FZ48" s="4">
        <f t="shared" si="97"/>
        <v>0</v>
      </c>
      <c r="GA48" s="4">
        <f t="shared" si="98"/>
        <v>0</v>
      </c>
      <c r="GB48" s="4">
        <f t="shared" si="99"/>
        <v>0</v>
      </c>
      <c r="GC48" s="4">
        <f t="shared" si="100"/>
        <v>0</v>
      </c>
      <c r="GD48" s="4">
        <f t="shared" si="101"/>
        <v>0</v>
      </c>
      <c r="GE48" s="4">
        <f t="shared" si="102"/>
        <v>0</v>
      </c>
      <c r="GF48" s="4">
        <f t="shared" si="103"/>
        <v>0</v>
      </c>
      <c r="GG48" s="4">
        <f t="shared" si="104"/>
        <v>0</v>
      </c>
      <c r="GH48" s="4">
        <f t="shared" si="105"/>
        <v>0</v>
      </c>
      <c r="GI48" s="4">
        <f t="shared" si="106"/>
        <v>0</v>
      </c>
      <c r="GJ48" s="4">
        <f t="shared" si="107"/>
        <v>0</v>
      </c>
      <c r="GK48" s="4">
        <f t="shared" si="108"/>
        <v>0</v>
      </c>
      <c r="GL48" s="4">
        <f t="shared" si="109"/>
        <v>0</v>
      </c>
      <c r="GM48" s="4">
        <f t="shared" si="110"/>
        <v>0</v>
      </c>
      <c r="GN48" s="4">
        <f t="shared" si="111"/>
        <v>0</v>
      </c>
      <c r="GO48" s="4">
        <f t="shared" si="112"/>
        <v>0</v>
      </c>
      <c r="GP48" s="4">
        <f t="shared" si="113"/>
        <v>0</v>
      </c>
      <c r="GQ48" s="27">
        <f t="shared" si="114"/>
        <v>175497.58223171934</v>
      </c>
      <c r="GR48" s="28" t="str">
        <f t="shared" si="115"/>
        <v/>
      </c>
      <c r="GS48" s="28" t="str">
        <f t="shared" si="116"/>
        <v/>
      </c>
      <c r="GT48" s="28" t="str">
        <f t="shared" si="117"/>
        <v/>
      </c>
      <c r="GU48" s="28" t="str">
        <f t="shared" si="118"/>
        <v/>
      </c>
      <c r="GV48" s="28" t="str">
        <f t="shared" si="119"/>
        <v/>
      </c>
      <c r="GW48" s="28" t="str">
        <f t="shared" si="120"/>
        <v/>
      </c>
      <c r="GX48" s="28" t="str">
        <f t="shared" si="121"/>
        <v/>
      </c>
      <c r="GY48" s="28" t="str">
        <f t="shared" si="122"/>
        <v/>
      </c>
      <c r="GZ48" s="28" t="str">
        <f t="shared" si="123"/>
        <v/>
      </c>
      <c r="HA48" s="28" t="str">
        <f t="shared" si="124"/>
        <v/>
      </c>
      <c r="HB48" s="28" t="str">
        <f t="shared" si="125"/>
        <v/>
      </c>
      <c r="HC48" s="28" t="str">
        <f t="shared" si="126"/>
        <v/>
      </c>
      <c r="HD48" s="28" t="str">
        <f t="shared" si="127"/>
        <v/>
      </c>
      <c r="HE48" s="28" t="str">
        <f t="shared" si="128"/>
        <v/>
      </c>
      <c r="HF48" s="28" t="str">
        <f t="shared" si="129"/>
        <v/>
      </c>
      <c r="HG48" s="28" t="str">
        <f t="shared" si="130"/>
        <v/>
      </c>
      <c r="HH48" s="28" t="str">
        <f t="shared" si="131"/>
        <v/>
      </c>
      <c r="HI48" s="28" t="str">
        <f t="shared" si="132"/>
        <v/>
      </c>
      <c r="HJ48" s="28" t="str">
        <f t="shared" si="133"/>
        <v/>
      </c>
      <c r="HK48" s="28" t="str">
        <f t="shared" si="134"/>
        <v/>
      </c>
      <c r="HL48" s="28" t="str">
        <f t="shared" si="135"/>
        <v/>
      </c>
      <c r="HM48" s="28" t="str">
        <f t="shared" si="136"/>
        <v/>
      </c>
      <c r="HN48" s="28" t="str">
        <f t="shared" si="137"/>
        <v/>
      </c>
      <c r="HO48" s="28" t="str">
        <f t="shared" si="138"/>
        <v/>
      </c>
      <c r="HP48" s="28" t="str">
        <f t="shared" si="139"/>
        <v/>
      </c>
      <c r="HQ48" s="28" t="str">
        <f t="shared" si="140"/>
        <v/>
      </c>
      <c r="HR48" s="28" t="str">
        <f t="shared" si="141"/>
        <v/>
      </c>
      <c r="HT48" s="4">
        <f>IFERROR(GR48/'McDonough &amp; Sun 1995 values'!C$2,)</f>
        <v>0</v>
      </c>
      <c r="HU48" s="4">
        <f>IFERROR(GS48/'McDonough &amp; Sun 1995 values'!D$2,)</f>
        <v>0</v>
      </c>
      <c r="HV48" s="4">
        <f>IFERROR(GT48/'McDonough &amp; Sun 1995 values'!E$2,)</f>
        <v>0</v>
      </c>
      <c r="HW48" s="4">
        <f>IFERROR(GU48/'McDonough &amp; Sun 1995 values'!F$2,)</f>
        <v>0</v>
      </c>
      <c r="HX48" s="4">
        <f>IFERROR(GV48/'McDonough &amp; Sun 1995 values'!G$2,)</f>
        <v>0</v>
      </c>
      <c r="HY48" s="4">
        <f>IFERROR(GW48/'McDonough &amp; Sun 1995 values'!H$2,)</f>
        <v>0</v>
      </c>
      <c r="HZ48" s="4">
        <f>IFERROR(GX48/'McDonough &amp; Sun 1995 values'!I$2,)</f>
        <v>0</v>
      </c>
      <c r="IA48" s="4">
        <f>IFERROR(GY48/'McDonough &amp; Sun 1995 values'!J$2,)</f>
        <v>0</v>
      </c>
      <c r="IB48" s="4">
        <f>IFERROR(GZ48/'McDonough &amp; Sun 1995 values'!K$2,)</f>
        <v>0</v>
      </c>
      <c r="IC48" s="4">
        <f>IFERROR(HA48/'McDonough &amp; Sun 1995 values'!L$2,)</f>
        <v>0</v>
      </c>
      <c r="ID48" s="4">
        <f>IFERROR(HB48/'McDonough &amp; Sun 1995 values'!M$2,)</f>
        <v>0</v>
      </c>
      <c r="IE48" s="4">
        <f>IFERROR(HC48/'McDonough &amp; Sun 1995 values'!N$2,)</f>
        <v>0</v>
      </c>
      <c r="IF48" s="4">
        <f>IFERROR(HD48/'McDonough &amp; Sun 1995 values'!O$2,)</f>
        <v>0</v>
      </c>
      <c r="IG48" s="4">
        <f>IFERROR(HE48/'McDonough &amp; Sun 1995 values'!P$2,)</f>
        <v>0</v>
      </c>
      <c r="IH48" s="4">
        <f>IFERROR(HF48/'McDonough &amp; Sun 1995 values'!Q$2,)</f>
        <v>0</v>
      </c>
      <c r="II48" s="4">
        <f>IFERROR(HG48/'McDonough &amp; Sun 1995 values'!R$2,)</f>
        <v>0</v>
      </c>
      <c r="IJ48" s="4">
        <f>IFERROR(HH48/'McDonough &amp; Sun 1995 values'!S$2,)</f>
        <v>0</v>
      </c>
      <c r="IK48" s="4">
        <f>IFERROR(HI48/'McDonough &amp; Sun 1995 values'!T$2,)</f>
        <v>0</v>
      </c>
      <c r="IL48" s="4">
        <f>IFERROR(HJ48/'McDonough &amp; Sun 1995 values'!U$2,)</f>
        <v>0</v>
      </c>
      <c r="IM48" s="4">
        <f>IFERROR(HK48/'McDonough &amp; Sun 1995 values'!V$2,)</f>
        <v>0</v>
      </c>
      <c r="IN48" s="4">
        <f>IFERROR(HL48/'McDonough &amp; Sun 1995 values'!W$2,)</f>
        <v>0</v>
      </c>
      <c r="IO48" s="4">
        <f>IFERROR(HM48/'McDonough &amp; Sun 1995 values'!X$2,)</f>
        <v>0</v>
      </c>
      <c r="IP48" s="4">
        <f>IFERROR(HN48/'McDonough &amp; Sun 1995 values'!Y$2,)</f>
        <v>0</v>
      </c>
      <c r="IQ48" s="4">
        <f>IFERROR(HO48/'McDonough &amp; Sun 1995 values'!Z$2,)</f>
        <v>0</v>
      </c>
      <c r="IR48" s="4">
        <f>IFERROR(HP48/'McDonough &amp; Sun 1995 values'!AA$2,)</f>
        <v>0</v>
      </c>
      <c r="IS48" s="4">
        <f>IFERROR(HQ48/'McDonough &amp; Sun 1995 values'!AB$2,)</f>
        <v>0</v>
      </c>
      <c r="IT48" s="4">
        <f>IFERROR(HR48/'McDonough &amp; Sun 1995 values'!AC$2,)</f>
        <v>0</v>
      </c>
    </row>
    <row r="49" spans="1:254">
      <c r="A49" s="16" t="s">
        <v>836</v>
      </c>
      <c r="B49" s="16" t="s">
        <v>24</v>
      </c>
      <c r="C49" s="16" t="str">
        <f t="shared" si="0"/>
        <v>high-Mg carbonatitic</v>
      </c>
      <c r="D49" s="16" t="s">
        <v>1706</v>
      </c>
      <c r="E49" s="16" t="s">
        <v>237</v>
      </c>
      <c r="F49" s="16" t="s">
        <v>163</v>
      </c>
      <c r="G49" s="16" t="s">
        <v>595</v>
      </c>
      <c r="H49" s="27">
        <v>355</v>
      </c>
      <c r="I49" s="16" t="s">
        <v>1148</v>
      </c>
      <c r="J49" s="3" t="s">
        <v>635</v>
      </c>
      <c r="K49" s="16" t="s">
        <v>128</v>
      </c>
      <c r="L49" s="16" t="s">
        <v>1509</v>
      </c>
      <c r="M49" s="16" t="s">
        <v>382</v>
      </c>
      <c r="N49" s="16">
        <v>31</v>
      </c>
      <c r="O49" s="26">
        <v>9.39</v>
      </c>
      <c r="P49" s="26">
        <v>1.36</v>
      </c>
      <c r="Q49" s="26"/>
      <c r="R49" s="26">
        <v>2.4900000000000002</v>
      </c>
      <c r="S49" s="26">
        <v>13.6</v>
      </c>
      <c r="T49" s="26">
        <v>18.899999999999999</v>
      </c>
      <c r="U49" s="26"/>
      <c r="V49" s="26">
        <v>33.700000000000003</v>
      </c>
      <c r="W49" s="26">
        <v>6.23</v>
      </c>
      <c r="X49" s="26">
        <v>9.9</v>
      </c>
      <c r="Y49" s="26"/>
      <c r="Z49" s="26">
        <v>2.64</v>
      </c>
      <c r="AA49" s="26"/>
      <c r="AB49" s="26">
        <v>0.1</v>
      </c>
      <c r="AC49" s="26"/>
      <c r="AD49" s="26">
        <v>1.59</v>
      </c>
      <c r="AE49" s="26"/>
      <c r="AF49" s="26"/>
      <c r="AG49" s="26"/>
      <c r="AH49" s="26"/>
      <c r="AI49" s="26"/>
      <c r="AJ49" s="26">
        <f t="shared" si="62"/>
        <v>99.9</v>
      </c>
      <c r="AK49" s="26">
        <f t="shared" si="73"/>
        <v>9.433281331695353</v>
      </c>
      <c r="AL49" s="26">
        <f t="shared" si="74"/>
        <v>1.3662686486800513</v>
      </c>
      <c r="AM49" s="26">
        <f t="shared" si="75"/>
        <v>2.5014771582450934</v>
      </c>
      <c r="AN49" s="26">
        <f t="shared" si="76"/>
        <v>13.66268648680051</v>
      </c>
      <c r="AO49" s="26">
        <f t="shared" si="77"/>
        <v>18.987115779450708</v>
      </c>
      <c r="AP49" s="26">
        <f t="shared" si="78"/>
        <v>33.855333426851267</v>
      </c>
      <c r="AQ49" s="26">
        <f t="shared" si="79"/>
        <v>0.10046093005000377</v>
      </c>
      <c r="AR49" s="26">
        <f t="shared" si="80"/>
        <v>6.2587159421152343</v>
      </c>
      <c r="AS49" s="26">
        <f t="shared" si="81"/>
        <v>9.9456320749503728</v>
      </c>
      <c r="AT49" s="26">
        <f t="shared" si="82"/>
        <v>2.6521685533200992</v>
      </c>
      <c r="AU49" s="26">
        <f t="shared" si="83"/>
        <v>1.5973287877950597</v>
      </c>
      <c r="AV49" s="26">
        <f t="shared" si="7"/>
        <v>100.36046911995375</v>
      </c>
      <c r="AW49" s="26"/>
      <c r="AX49" s="26"/>
      <c r="AY49" s="26"/>
      <c r="AZ49" s="26"/>
      <c r="BA49" s="26"/>
      <c r="BB49" s="26">
        <v>0.24</v>
      </c>
      <c r="BC49" s="26">
        <f t="shared" si="84"/>
        <v>0.24</v>
      </c>
      <c r="BD49" s="26">
        <f t="shared" si="85"/>
        <v>0.76</v>
      </c>
      <c r="BE49" s="25"/>
      <c r="BF49" s="16"/>
      <c r="BG49" s="16" t="s">
        <v>1104</v>
      </c>
      <c r="BH49" s="16"/>
      <c r="BI49" s="16" t="s">
        <v>1105</v>
      </c>
      <c r="BJ49" s="16"/>
      <c r="BK49" s="18"/>
      <c r="BL49" s="18"/>
      <c r="BM49" s="18"/>
      <c r="BN49" s="18"/>
      <c r="BO49" s="18"/>
      <c r="BP49" s="18"/>
      <c r="BQ49" s="18"/>
      <c r="BR49" s="18">
        <v>114082</v>
      </c>
      <c r="BS49" s="18"/>
      <c r="BT49" s="18">
        <v>11605</v>
      </c>
      <c r="BU49" s="18"/>
      <c r="BV49" s="18"/>
      <c r="BW49" s="18"/>
      <c r="BX49" s="18"/>
      <c r="BY49" s="18"/>
      <c r="BZ49" s="18"/>
      <c r="CA49" s="18"/>
      <c r="CB49" s="18"/>
      <c r="CC49" s="18"/>
      <c r="CD49" s="18"/>
      <c r="CE49" s="18"/>
      <c r="CF49" s="18"/>
      <c r="CG49" s="18"/>
      <c r="CH49" s="18">
        <v>609</v>
      </c>
      <c r="CI49" s="18">
        <v>6141</v>
      </c>
      <c r="CJ49" s="18">
        <v>40.700000000000003</v>
      </c>
      <c r="CK49" s="18">
        <v>5920</v>
      </c>
      <c r="CL49" s="18"/>
      <c r="CM49" s="18">
        <v>133</v>
      </c>
      <c r="CN49" s="18"/>
      <c r="CO49" s="18"/>
      <c r="CP49" s="18"/>
      <c r="CQ49" s="18"/>
      <c r="CR49" s="18"/>
      <c r="CS49" s="18">
        <v>10856</v>
      </c>
      <c r="CT49" s="18"/>
      <c r="CU49" s="18">
        <v>425</v>
      </c>
      <c r="CV49" s="18">
        <v>549</v>
      </c>
      <c r="CW49" s="18">
        <v>77.099999999999994</v>
      </c>
      <c r="CX49" s="18">
        <v>196</v>
      </c>
      <c r="CY49" s="18">
        <v>84.5</v>
      </c>
      <c r="CZ49" s="18">
        <v>25.4</v>
      </c>
      <c r="DA49" s="18">
        <v>24.6</v>
      </c>
      <c r="DB49" s="18">
        <v>14.4</v>
      </c>
      <c r="DC49" s="18">
        <v>16.399999999999999</v>
      </c>
      <c r="DD49" s="18">
        <v>23.8</v>
      </c>
      <c r="DE49" s="18"/>
      <c r="DF49" s="18">
        <v>22.2</v>
      </c>
      <c r="DG49" s="18">
        <v>9.81</v>
      </c>
      <c r="DH49" s="18">
        <v>95.7</v>
      </c>
      <c r="DI49" s="18">
        <v>22</v>
      </c>
      <c r="DJ49" s="18"/>
      <c r="DK49" s="18"/>
      <c r="DL49" s="18">
        <v>43.3</v>
      </c>
      <c r="DM49" s="18">
        <v>12.8</v>
      </c>
      <c r="DN49" s="18">
        <v>7.93</v>
      </c>
      <c r="DO49" s="18"/>
      <c r="DP49" s="18"/>
      <c r="DQ49" s="18"/>
      <c r="DR49" s="18"/>
      <c r="DS49" s="18"/>
      <c r="DT49" s="18"/>
      <c r="DU49" s="18"/>
      <c r="DV49" s="28"/>
      <c r="DW49" s="28"/>
      <c r="DX49" s="28"/>
      <c r="DY49" s="28"/>
      <c r="DZ49" s="28"/>
      <c r="EA49" s="28"/>
      <c r="EB49" s="28"/>
      <c r="EC49" s="28"/>
      <c r="ED49" s="28"/>
      <c r="EE49" s="28"/>
      <c r="EF49" s="28"/>
      <c r="EG49" s="28"/>
      <c r="EH49" s="28"/>
      <c r="EI49" s="28"/>
      <c r="EJ49" s="18"/>
      <c r="EK49" s="18"/>
      <c r="EL49" s="18">
        <f>IFERROR(CR49/'McDonough &amp; Sun 1995 values'!C$2,)</f>
        <v>0</v>
      </c>
      <c r="EM49" s="18">
        <f>IFERROR(CH49/'McDonough &amp; Sun 1995 values'!D$2,)</f>
        <v>1015</v>
      </c>
      <c r="EN49" s="18">
        <f>IFERROR(CS49/'McDonough &amp; Sun 1995 values'!E$2,)</f>
        <v>1644.848484848485</v>
      </c>
      <c r="EO49" s="18">
        <f>IFERROR(DL49/'McDonough &amp; Sun 1995 values'!F$2,)</f>
        <v>544.65408805031439</v>
      </c>
      <c r="EP49" s="18">
        <f>IFERROR(DM49/'McDonough &amp; Sun 1995 values'!G$2,)</f>
        <v>630.54187192118229</v>
      </c>
      <c r="EQ49" s="18">
        <f>IFERROR(BR49/'McDonough &amp; Sun 1995 values'!H$2,)</f>
        <v>475.34166666666664</v>
      </c>
      <c r="ER49" s="18">
        <f>IFERROR(DI49/'McDonough &amp; Sun 1995 values'!I$2,)</f>
        <v>594.59459459459458</v>
      </c>
      <c r="ES49" s="18">
        <f>IFERROR(CM49/'McDonough &amp; Sun 1995 values'!J$2,)</f>
        <v>202.12765957446808</v>
      </c>
      <c r="ET49" s="18">
        <f>IFERROR(CU49/'McDonough &amp; Sun 1995 values'!K$2,)</f>
        <v>655.8641975308642</v>
      </c>
      <c r="EU49" s="18">
        <f>IFERROR(CV49/'McDonough &amp; Sun 1995 values'!L$2,)</f>
        <v>327.76119402985074</v>
      </c>
      <c r="EV49" s="18">
        <f>IFERROR(CW49/'McDonough &amp; Sun 1995 values'!M$2,)</f>
        <v>303.54330708661416</v>
      </c>
      <c r="EW49" s="18">
        <f>IFERROR(CI49/'McDonough &amp; Sun 1995 values'!N$2,)</f>
        <v>308.5929648241206</v>
      </c>
      <c r="EX49" s="18">
        <f>IFERROR(CX49/'McDonough &amp; Sun 1995 values'!O$2,)</f>
        <v>156.80000000000001</v>
      </c>
      <c r="EY49" s="18">
        <f>IFERROR(CY49/'McDonough &amp; Sun 1995 values'!P$2,)</f>
        <v>208.12807881773398</v>
      </c>
      <c r="EZ49" s="18">
        <f>IFERROR(DH49/'McDonough &amp; Sun 1995 values'!Q$2,)</f>
        <v>338.16254416961135</v>
      </c>
      <c r="FA49" s="18">
        <f>IFERROR(CK49/'McDonough &amp; Sun 1995 values'!R$2,)</f>
        <v>563.80952380952385</v>
      </c>
      <c r="FB49" s="18">
        <f>IFERROR(CZ49/'McDonough &amp; Sun 1995 values'!S$2,)</f>
        <v>164.93506493506493</v>
      </c>
      <c r="FC49" s="18">
        <f>IFERROR(BT49/'McDonough &amp; Sun 1995 values'!T$2,)</f>
        <v>9.6307053941908709</v>
      </c>
      <c r="FD49" s="18">
        <f>IFERROR(DA49/'McDonough &amp; Sun 1995 values'!U$2,)</f>
        <v>45.220588235294116</v>
      </c>
      <c r="FE49" s="18">
        <f>IFERROR(DN49/'McDonough &amp; Sun 1995 values'!V$2,)</f>
        <v>80.10101010101009</v>
      </c>
      <c r="FF49" s="18">
        <f>IFERROR(DB49/'McDonough &amp; Sun 1995 values'!W$2,)</f>
        <v>21.364985163204746</v>
      </c>
      <c r="FG49" s="18">
        <f>IFERROR(CJ49/'McDonough &amp; Sun 1995 values'!X$2,)</f>
        <v>9.4651162790697683</v>
      </c>
      <c r="FH49" s="18">
        <f>IFERROR(DC49/'McDonough &amp; Sun 1995 values'!Y$2,)</f>
        <v>110.06711409395973</v>
      </c>
      <c r="FI49" s="18">
        <f>IFERROR(DD49/'McDonough &amp; Sun 1995 values'!Z$2,)</f>
        <v>54.337899543378995</v>
      </c>
      <c r="FJ49" s="18">
        <f>IFERROR(DE49/'McDonough &amp; Sun 1995 values'!AA$2,)</f>
        <v>0</v>
      </c>
      <c r="FK49" s="18">
        <f>IFERROR(DF49/'McDonough &amp; Sun 1995 values'!AB$2,)</f>
        <v>50.34013605442177</v>
      </c>
      <c r="FL49" s="18">
        <f>IFERROR(DG49/'McDonough &amp; Sun 1995 values'!AC$2,)</f>
        <v>145.33333333333334</v>
      </c>
      <c r="FN49" s="28">
        <f t="shared" si="68"/>
        <v>1.3265024216009866</v>
      </c>
      <c r="FO49" s="4">
        <f t="shared" si="86"/>
        <v>2.6086268939393942</v>
      </c>
      <c r="FP49" s="4">
        <f t="shared" si="87"/>
        <v>2.6946044356173449</v>
      </c>
      <c r="FQ49" s="4">
        <f t="shared" si="88"/>
        <v>0.86378734276729541</v>
      </c>
      <c r="FR49" s="4">
        <f t="shared" si="89"/>
        <v>3.2448018193632229</v>
      </c>
      <c r="FS49" s="4">
        <f t="shared" si="90"/>
        <v>1.1030443322109988</v>
      </c>
      <c r="FT49" s="4">
        <f t="shared" si="91"/>
        <v>0</v>
      </c>
      <c r="FU49" s="4">
        <f t="shared" si="92"/>
        <v>2.9416785206258891</v>
      </c>
      <c r="FV49" s="4">
        <f t="shared" si="93"/>
        <v>2.7089546351084817</v>
      </c>
      <c r="FW49" s="4">
        <f t="shared" si="94"/>
        <v>1.6672737224461363</v>
      </c>
      <c r="FX49" s="4">
        <f t="shared" si="95"/>
        <v>1.3020401240204085</v>
      </c>
      <c r="FY49" s="4">
        <f t="shared" si="96"/>
        <v>1.414499053155053</v>
      </c>
      <c r="FZ49" s="4">
        <f t="shared" si="97"/>
        <v>1.7001199139445937</v>
      </c>
      <c r="GA49" s="4">
        <f t="shared" si="98"/>
        <v>1.0166357077214869</v>
      </c>
      <c r="GB49" s="4">
        <f t="shared" si="99"/>
        <v>0.79246906939214634</v>
      </c>
      <c r="GC49" s="4">
        <f t="shared" si="100"/>
        <v>0</v>
      </c>
      <c r="GD49" s="4">
        <f t="shared" si="101"/>
        <v>3.0199874028973341</v>
      </c>
      <c r="GE49" s="4">
        <f t="shared" si="102"/>
        <v>1.6205403791610689</v>
      </c>
      <c r="GF49" s="4">
        <f t="shared" si="103"/>
        <v>3.4603498918640665</v>
      </c>
      <c r="GG49" s="4">
        <f t="shared" si="104"/>
        <v>8.1376714513556632</v>
      </c>
      <c r="GH49" s="4">
        <f t="shared" si="105"/>
        <v>2.1606939840835215</v>
      </c>
      <c r="GI49" s="4">
        <f t="shared" si="106"/>
        <v>3.1512528307400105</v>
      </c>
      <c r="GJ49" s="4">
        <f t="shared" si="107"/>
        <v>30.69808813443073</v>
      </c>
      <c r="GK49" s="4">
        <f t="shared" si="108"/>
        <v>13.028653653653654</v>
      </c>
      <c r="GL49" s="4">
        <f t="shared" si="109"/>
        <v>58.542910486038458</v>
      </c>
      <c r="GM49" s="4">
        <f t="shared" si="110"/>
        <v>0.53660501285745255</v>
      </c>
      <c r="GN49" s="4">
        <f t="shared" si="111"/>
        <v>0.30818523153942429</v>
      </c>
      <c r="GO49" s="4">
        <f t="shared" si="112"/>
        <v>0.32056183510638298</v>
      </c>
      <c r="GP49" s="4">
        <f t="shared" si="113"/>
        <v>0.75386217447916659</v>
      </c>
      <c r="GQ49" s="27">
        <f t="shared" si="114"/>
        <v>82562.402043386071</v>
      </c>
      <c r="GR49" s="28">
        <f t="shared" si="115"/>
        <v>0</v>
      </c>
      <c r="GS49" s="28">
        <f t="shared" si="116"/>
        <v>440.74001897251208</v>
      </c>
      <c r="GT49" s="28">
        <f t="shared" si="117"/>
        <v>7856.6069720288842</v>
      </c>
      <c r="GU49" s="28">
        <f t="shared" si="118"/>
        <v>31.336687720048886</v>
      </c>
      <c r="GV49" s="28">
        <f t="shared" si="119"/>
        <v>9.2635012197835049</v>
      </c>
      <c r="GW49" s="28">
        <f t="shared" si="120"/>
        <v>82562.402043386071</v>
      </c>
      <c r="GX49" s="28">
        <f t="shared" si="121"/>
        <v>15.921642721502897</v>
      </c>
      <c r="GY49" s="28">
        <f t="shared" si="122"/>
        <v>96.253567361812969</v>
      </c>
      <c r="GZ49" s="28">
        <f t="shared" si="123"/>
        <v>307.57718893812415</v>
      </c>
      <c r="HA49" s="28">
        <f t="shared" si="124"/>
        <v>397.31735700477685</v>
      </c>
      <c r="HB49" s="28">
        <f t="shared" si="125"/>
        <v>55.798120628539692</v>
      </c>
      <c r="HC49" s="28">
        <f t="shared" si="126"/>
        <v>4444.3094523976952</v>
      </c>
      <c r="HD49" s="28">
        <f t="shared" si="127"/>
        <v>141.84736242793491</v>
      </c>
      <c r="HE49" s="28">
        <f t="shared" si="128"/>
        <v>61.153582271227037</v>
      </c>
      <c r="HF49" s="28">
        <f t="shared" si="129"/>
        <v>69.259145838537606</v>
      </c>
      <c r="HG49" s="28">
        <f t="shared" si="130"/>
        <v>4284.3693141498707</v>
      </c>
      <c r="HH49" s="28">
        <f t="shared" si="131"/>
        <v>18.382260233007891</v>
      </c>
      <c r="HI49" s="28">
        <f t="shared" si="132"/>
        <v>8398.666535592778</v>
      </c>
      <c r="HJ49" s="28">
        <f t="shared" si="133"/>
        <v>17.803291406771422</v>
      </c>
      <c r="HK49" s="28">
        <f t="shared" si="134"/>
        <v>5.739028490068999</v>
      </c>
      <c r="HL49" s="28">
        <f t="shared" si="135"/>
        <v>10.421438872256441</v>
      </c>
      <c r="HM49" s="28">
        <f t="shared" si="136"/>
        <v>29.455039034780363</v>
      </c>
      <c r="HN49" s="28">
        <f t="shared" si="137"/>
        <v>11.868860937847613</v>
      </c>
      <c r="HO49" s="28">
        <f t="shared" si="138"/>
        <v>17.224322580534952</v>
      </c>
      <c r="HP49" s="28">
        <f t="shared" si="139"/>
        <v>0</v>
      </c>
      <c r="HQ49" s="28">
        <f t="shared" si="140"/>
        <v>16.066384928062014</v>
      </c>
      <c r="HR49" s="28">
        <f t="shared" si="141"/>
        <v>7.0996052317247011</v>
      </c>
      <c r="HT49" s="4">
        <f>IFERROR(GR49/'McDonough &amp; Sun 1995 values'!C$2,)</f>
        <v>0</v>
      </c>
      <c r="HU49" s="4">
        <f>IFERROR(GS49/'McDonough &amp; Sun 1995 values'!D$2,)</f>
        <v>734.56669828752013</v>
      </c>
      <c r="HV49" s="4">
        <f>IFERROR(GT49/'McDonough &amp; Sun 1995 values'!E$2,)</f>
        <v>1190.3949957619523</v>
      </c>
      <c r="HW49" s="4">
        <f>IFERROR(GU49/'McDonough &amp; Sun 1995 values'!F$2,)</f>
        <v>394.17217257923124</v>
      </c>
      <c r="HX49" s="4">
        <f>IFERROR(GV49/'McDonough &amp; Sun 1995 values'!G$2,)</f>
        <v>456.33010934894116</v>
      </c>
      <c r="HY49" s="4">
        <f>IFERROR(GW49/'McDonough &amp; Sun 1995 values'!H$2,)</f>
        <v>344.01000851410862</v>
      </c>
      <c r="HZ49" s="4">
        <f>IFERROR(GX49/'McDonough &amp; Sun 1995 values'!I$2,)</f>
        <v>430.31466814872698</v>
      </c>
      <c r="IA49" s="4">
        <f>IFERROR(GY49/'McDonough &amp; Sun 1995 values'!J$2,)</f>
        <v>146.28201726719297</v>
      </c>
      <c r="IB49" s="4">
        <f>IFERROR(GZ49/'McDonough &amp; Sun 1995 values'!K$2,)</f>
        <v>474.65615576871011</v>
      </c>
      <c r="IC49" s="4">
        <f>IFERROR(HA49/'McDonough &amp; Sun 1995 values'!L$2,)</f>
        <v>237.20439224165781</v>
      </c>
      <c r="ID49" s="4">
        <f>IFERROR(HB49/'McDonough &amp; Sun 1995 values'!M$2,)</f>
        <v>219.67764026984131</v>
      </c>
      <c r="IE49" s="4">
        <f>IFERROR(HC49/'McDonough &amp; Sun 1995 values'!N$2,)</f>
        <v>223.33213328631635</v>
      </c>
      <c r="IF49" s="4">
        <f>IFERROR(HD49/'McDonough &amp; Sun 1995 values'!O$2,)</f>
        <v>113.47788994234793</v>
      </c>
      <c r="IG49" s="4">
        <f>IFERROR(HE49/'McDonough &amp; Sun 1995 values'!P$2,)</f>
        <v>150.62458687494342</v>
      </c>
      <c r="IH49" s="4">
        <f>IFERROR(HF49/'McDonough &amp; Sun 1995 values'!Q$2,)</f>
        <v>244.73196409377249</v>
      </c>
      <c r="II49" s="4">
        <f>IFERROR(HG49/'McDonough &amp; Sun 1995 values'!R$2,)</f>
        <v>408.03517277617817</v>
      </c>
      <c r="IJ49" s="4">
        <f>IFERROR(HH49/'McDonough &amp; Sun 1995 values'!S$2,)</f>
        <v>119.36532618836293</v>
      </c>
      <c r="IK49" s="4">
        <f>IFERROR(HI49/'McDonough &amp; Sun 1995 values'!T$2,)</f>
        <v>6.969847747379899</v>
      </c>
      <c r="IL49" s="4">
        <f>IFERROR(HJ49/'McDonough &amp; Sun 1995 values'!U$2,)</f>
        <v>32.726638615388637</v>
      </c>
      <c r="IM49" s="4">
        <f>IFERROR(HK49/'McDonough &amp; Sun 1995 values'!V$2,)</f>
        <v>57.969984748171704</v>
      </c>
      <c r="IN49" s="4">
        <f>IFERROR(HL49/'McDonough &amp; Sun 1995 values'!W$2,)</f>
        <v>15.462075478125284</v>
      </c>
      <c r="IO49" s="4">
        <f>IFERROR(HM49/'McDonough &amp; Sun 1995 values'!X$2,)</f>
        <v>6.8500090778558986</v>
      </c>
      <c r="IP49" s="4">
        <f>IFERROR(HN49/'McDonough &amp; Sun 1995 values'!Y$2,)</f>
        <v>79.656784817769221</v>
      </c>
      <c r="IQ49" s="4">
        <f>IFERROR(HO49/'McDonough &amp; Sun 1995 values'!Z$2,)</f>
        <v>39.324937398481623</v>
      </c>
      <c r="IR49" s="4">
        <f>IFERROR(HP49/'McDonough &amp; Sun 1995 values'!AA$2,)</f>
        <v>0</v>
      </c>
      <c r="IS49" s="4">
        <f>IFERROR(HQ49/'McDonough &amp; Sun 1995 values'!AB$2,)</f>
        <v>36.431711855015905</v>
      </c>
      <c r="IT49" s="4">
        <f>IFERROR(HR49/'McDonough &amp; Sun 1995 values'!AC$2,)</f>
        <v>105.17933676629187</v>
      </c>
    </row>
    <row r="50" spans="1:254">
      <c r="A50" s="16" t="s">
        <v>836</v>
      </c>
      <c r="B50" s="16" t="s">
        <v>24</v>
      </c>
      <c r="C50" s="16" t="str">
        <f t="shared" si="0"/>
        <v>high-Mg carbonatitic</v>
      </c>
      <c r="D50" s="16" t="s">
        <v>1706</v>
      </c>
      <c r="E50" s="16" t="s">
        <v>237</v>
      </c>
      <c r="F50" s="16" t="s">
        <v>163</v>
      </c>
      <c r="G50" s="16" t="s">
        <v>595</v>
      </c>
      <c r="H50" s="27">
        <v>355</v>
      </c>
      <c r="I50" s="16" t="s">
        <v>1148</v>
      </c>
      <c r="J50" s="3" t="s">
        <v>635</v>
      </c>
      <c r="K50" s="16" t="s">
        <v>128</v>
      </c>
      <c r="L50" s="16" t="s">
        <v>1509</v>
      </c>
      <c r="M50" s="16" t="s">
        <v>383</v>
      </c>
      <c r="N50" s="16">
        <v>24</v>
      </c>
      <c r="O50" s="26">
        <v>9.9700000000000006</v>
      </c>
      <c r="P50" s="26"/>
      <c r="Q50" s="26"/>
      <c r="R50" s="26">
        <v>0.65</v>
      </c>
      <c r="S50" s="26">
        <v>7.47</v>
      </c>
      <c r="T50" s="26">
        <v>30.7</v>
      </c>
      <c r="U50" s="26"/>
      <c r="V50" s="26">
        <v>18.7</v>
      </c>
      <c r="W50" s="26">
        <v>9.99</v>
      </c>
      <c r="X50" s="26">
        <v>16</v>
      </c>
      <c r="Y50" s="26"/>
      <c r="Z50" s="26">
        <v>3.46</v>
      </c>
      <c r="AA50" s="26"/>
      <c r="AB50" s="26">
        <v>0.44</v>
      </c>
      <c r="AC50" s="26"/>
      <c r="AD50" s="26">
        <v>2.16</v>
      </c>
      <c r="AE50" s="26"/>
      <c r="AF50" s="26"/>
      <c r="AG50" s="26"/>
      <c r="AH50" s="26"/>
      <c r="AI50" s="26"/>
      <c r="AJ50" s="26">
        <f t="shared" si="62"/>
        <v>99.539999999999978</v>
      </c>
      <c r="AK50" s="26">
        <f t="shared" si="73"/>
        <v>10.065364000190238</v>
      </c>
      <c r="AL50" s="26">
        <f t="shared" si="74"/>
        <v>0</v>
      </c>
      <c r="AM50" s="26">
        <f t="shared" si="75"/>
        <v>0.65621731194821009</v>
      </c>
      <c r="AN50" s="26">
        <f t="shared" si="76"/>
        <v>7.5414512619278913</v>
      </c>
      <c r="AO50" s="26">
        <f t="shared" si="77"/>
        <v>30.993648425861615</v>
      </c>
      <c r="AP50" s="26">
        <f t="shared" si="78"/>
        <v>18.878867282202354</v>
      </c>
      <c r="AQ50" s="26">
        <f t="shared" si="79"/>
        <v>0.44420864193417303</v>
      </c>
      <c r="AR50" s="26">
        <f t="shared" si="80"/>
        <v>10.085555302096337</v>
      </c>
      <c r="AS50" s="26">
        <f t="shared" si="81"/>
        <v>16.153041524879018</v>
      </c>
      <c r="AT50" s="26">
        <f t="shared" si="82"/>
        <v>3.4930952297550872</v>
      </c>
      <c r="AU50" s="26">
        <f t="shared" si="83"/>
        <v>2.1806606058586677</v>
      </c>
      <c r="AV50" s="26">
        <f t="shared" si="7"/>
        <v>100.49210958665357</v>
      </c>
      <c r="AW50" s="26"/>
      <c r="AX50" s="26"/>
      <c r="AY50" s="26"/>
      <c r="AZ50" s="26"/>
      <c r="BA50" s="26"/>
      <c r="BB50" s="26">
        <v>0.09</v>
      </c>
      <c r="BC50" s="26">
        <f t="shared" si="84"/>
        <v>8.9999999999999969E-2</v>
      </c>
      <c r="BD50" s="26">
        <f t="shared" si="85"/>
        <v>0.91</v>
      </c>
      <c r="BE50" s="25">
        <v>-3.8</v>
      </c>
      <c r="BF50" s="16"/>
      <c r="BG50" s="16" t="s">
        <v>1106</v>
      </c>
      <c r="BH50" s="16"/>
      <c r="BI50" s="16" t="s">
        <v>1107</v>
      </c>
      <c r="BJ50" s="16"/>
      <c r="BK50" s="18"/>
      <c r="BL50" s="18"/>
      <c r="BM50" s="18"/>
      <c r="BN50" s="18"/>
      <c r="BO50" s="18"/>
      <c r="BP50" s="18"/>
      <c r="BQ50" s="18"/>
      <c r="BR50" s="18">
        <v>193507</v>
      </c>
      <c r="BS50" s="18"/>
      <c r="BT50" s="18" t="s">
        <v>1366</v>
      </c>
      <c r="BU50" s="18"/>
      <c r="BV50" s="18"/>
      <c r="BW50" s="18"/>
      <c r="BX50" s="18"/>
      <c r="BY50" s="18"/>
      <c r="BZ50" s="18"/>
      <c r="CA50" s="18"/>
      <c r="CB50" s="18"/>
      <c r="CC50" s="18"/>
      <c r="CD50" s="18"/>
      <c r="CE50" s="18"/>
      <c r="CF50" s="18"/>
      <c r="CG50" s="18"/>
      <c r="CH50" s="18">
        <v>993</v>
      </c>
      <c r="CI50" s="18">
        <v>6074</v>
      </c>
      <c r="CJ50" s="18">
        <v>12.2</v>
      </c>
      <c r="CK50" s="18">
        <v>472</v>
      </c>
      <c r="CL50" s="18"/>
      <c r="CM50" s="18">
        <v>1607</v>
      </c>
      <c r="CN50" s="18"/>
      <c r="CO50" s="18"/>
      <c r="CP50" s="18"/>
      <c r="CQ50" s="18"/>
      <c r="CR50" s="18"/>
      <c r="CS50" s="18">
        <v>16422</v>
      </c>
      <c r="CT50" s="18"/>
      <c r="CU50" s="18">
        <v>1383</v>
      </c>
      <c r="CV50" s="18">
        <v>2275</v>
      </c>
      <c r="CW50" s="18">
        <v>158</v>
      </c>
      <c r="CX50" s="18">
        <v>527</v>
      </c>
      <c r="CY50" s="18" t="s">
        <v>1366</v>
      </c>
      <c r="CZ50" s="18">
        <v>3.39</v>
      </c>
      <c r="DA50" s="18">
        <v>12.2</v>
      </c>
      <c r="DB50" s="18" t="s">
        <v>1366</v>
      </c>
      <c r="DC50" s="18">
        <v>1.48</v>
      </c>
      <c r="DD50" s="18">
        <v>18.8</v>
      </c>
      <c r="DE50" s="18"/>
      <c r="DF50" s="18">
        <v>6.94</v>
      </c>
      <c r="DG50" s="18" t="s">
        <v>1366</v>
      </c>
      <c r="DH50" s="18" t="s">
        <v>1366</v>
      </c>
      <c r="DI50" s="18">
        <v>62.4</v>
      </c>
      <c r="DJ50" s="18"/>
      <c r="DK50" s="18"/>
      <c r="DL50" s="18">
        <v>186</v>
      </c>
      <c r="DM50" s="18">
        <v>22.5</v>
      </c>
      <c r="DN50" s="18">
        <v>1.55</v>
      </c>
      <c r="DO50" s="18"/>
      <c r="DP50" s="18"/>
      <c r="DQ50" s="18"/>
      <c r="DR50" s="18"/>
      <c r="DS50" s="18"/>
      <c r="DT50" s="18"/>
      <c r="DU50" s="18"/>
      <c r="DV50" s="28"/>
      <c r="DW50" s="28"/>
      <c r="DX50" s="28"/>
      <c r="DY50" s="28"/>
      <c r="DZ50" s="28"/>
      <c r="EA50" s="28"/>
      <c r="EB50" s="28"/>
      <c r="EC50" s="28"/>
      <c r="ED50" s="28"/>
      <c r="EE50" s="28"/>
      <c r="EF50" s="28"/>
      <c r="EG50" s="28"/>
      <c r="EH50" s="28"/>
      <c r="EI50" s="28"/>
      <c r="EJ50" s="18"/>
      <c r="EK50" s="18"/>
      <c r="EL50" s="18">
        <f>IFERROR(CR50/'McDonough &amp; Sun 1995 values'!C$2,)</f>
        <v>0</v>
      </c>
      <c r="EM50" s="18">
        <f>IFERROR(CH50/'McDonough &amp; Sun 1995 values'!D$2,)</f>
        <v>1655</v>
      </c>
      <c r="EN50" s="18">
        <f>IFERROR(CS50/'McDonough &amp; Sun 1995 values'!E$2,)</f>
        <v>2488.1818181818185</v>
      </c>
      <c r="EO50" s="18">
        <f>IFERROR(DL50/'McDonough &amp; Sun 1995 values'!F$2,)</f>
        <v>2339.6226415094338</v>
      </c>
      <c r="EP50" s="18">
        <f>IFERROR(DM50/'McDonough &amp; Sun 1995 values'!G$2,)</f>
        <v>1108.3743842364534</v>
      </c>
      <c r="EQ50" s="18">
        <f>IFERROR(BR50/'McDonough &amp; Sun 1995 values'!H$2,)</f>
        <v>806.2791666666667</v>
      </c>
      <c r="ER50" s="18">
        <f>IFERROR(DI50/'McDonough &amp; Sun 1995 values'!I$2,)</f>
        <v>1686.4864864864865</v>
      </c>
      <c r="ES50" s="18">
        <f>IFERROR(CM50/'McDonough &amp; Sun 1995 values'!J$2,)</f>
        <v>2442.2492401215804</v>
      </c>
      <c r="ET50" s="18">
        <f>IFERROR(CU50/'McDonough &amp; Sun 1995 values'!K$2,)</f>
        <v>2134.2592592592591</v>
      </c>
      <c r="EU50" s="18">
        <f>IFERROR(CV50/'McDonough &amp; Sun 1995 values'!L$2,)</f>
        <v>1358.2089552238806</v>
      </c>
      <c r="EV50" s="18">
        <f>IFERROR(CW50/'McDonough &amp; Sun 1995 values'!M$2,)</f>
        <v>622.04724409448818</v>
      </c>
      <c r="EW50" s="18">
        <f>IFERROR(CI50/'McDonough &amp; Sun 1995 values'!N$2,)</f>
        <v>305.22613065326635</v>
      </c>
      <c r="EX50" s="18">
        <f>IFERROR(CX50/'McDonough &amp; Sun 1995 values'!O$2,)</f>
        <v>421.6</v>
      </c>
      <c r="EY50" s="18">
        <f>IFERROR(CY50/'McDonough &amp; Sun 1995 values'!P$2,)</f>
        <v>0</v>
      </c>
      <c r="EZ50" s="18">
        <f>IFERROR(DH50/'McDonough &amp; Sun 1995 values'!Q$2,)</f>
        <v>0</v>
      </c>
      <c r="FA50" s="18">
        <f>IFERROR(CK50/'McDonough &amp; Sun 1995 values'!R$2,)</f>
        <v>44.952380952380949</v>
      </c>
      <c r="FB50" s="18">
        <f>IFERROR(CZ50/'McDonough &amp; Sun 1995 values'!S$2,)</f>
        <v>22.012987012987015</v>
      </c>
      <c r="FC50" s="18">
        <f>IFERROR(BT50/'McDonough &amp; Sun 1995 values'!T$2,)</f>
        <v>0</v>
      </c>
      <c r="FD50" s="18">
        <f>IFERROR(DA50/'McDonough &amp; Sun 1995 values'!U$2,)</f>
        <v>22.42647058823529</v>
      </c>
      <c r="FE50" s="18">
        <f>IFERROR(DN50/'McDonough &amp; Sun 1995 values'!V$2,)</f>
        <v>15.656565656565656</v>
      </c>
      <c r="FF50" s="18">
        <f>IFERROR(DB50/'McDonough &amp; Sun 1995 values'!W$2,)</f>
        <v>0</v>
      </c>
      <c r="FG50" s="18">
        <f>IFERROR(CJ50/'McDonough &amp; Sun 1995 values'!X$2,)</f>
        <v>2.8372093023255816</v>
      </c>
      <c r="FH50" s="18">
        <f>IFERROR(DC50/'McDonough &amp; Sun 1995 values'!Y$2,)</f>
        <v>9.9328859060402692</v>
      </c>
      <c r="FI50" s="18">
        <f>IFERROR(DD50/'McDonough &amp; Sun 1995 values'!Z$2,)</f>
        <v>42.922374429223744</v>
      </c>
      <c r="FJ50" s="18">
        <f>IFERROR(DE50/'McDonough &amp; Sun 1995 values'!AA$2,)</f>
        <v>0</v>
      </c>
      <c r="FK50" s="18">
        <f>IFERROR(DF50/'McDonough &amp; Sun 1995 values'!AB$2,)</f>
        <v>15.736961451247167</v>
      </c>
      <c r="FL50" s="18">
        <f>IFERROR(DG50/'McDonough &amp; Sun 1995 values'!AC$2,)</f>
        <v>0</v>
      </c>
      <c r="FN50" s="28">
        <f t="shared" si="68"/>
        <v>1.3746781884725039</v>
      </c>
      <c r="FO50" s="4">
        <f t="shared" si="86"/>
        <v>2.2448929292929294</v>
      </c>
      <c r="FP50" s="4">
        <f t="shared" si="87"/>
        <v>0.95797865470641419</v>
      </c>
      <c r="FQ50" s="4">
        <f t="shared" si="88"/>
        <v>2.1108595387840667</v>
      </c>
      <c r="FR50" s="4">
        <f t="shared" si="89"/>
        <v>0.87389084791076077</v>
      </c>
      <c r="FS50" s="4">
        <f t="shared" si="90"/>
        <v>1.2655062915479582</v>
      </c>
      <c r="FT50" s="4">
        <f t="shared" si="91"/>
        <v>0</v>
      </c>
      <c r="FU50" s="4">
        <f t="shared" si="92"/>
        <v>0.69054642694966284</v>
      </c>
      <c r="FV50" s="4">
        <f t="shared" si="93"/>
        <v>0</v>
      </c>
      <c r="FW50" s="4">
        <f t="shared" si="94"/>
        <v>0</v>
      </c>
      <c r="FX50" s="4">
        <f t="shared" si="95"/>
        <v>1.9631253991909734</v>
      </c>
      <c r="FY50" s="4">
        <f t="shared" si="96"/>
        <v>0.59601847907763972</v>
      </c>
      <c r="FZ50" s="4">
        <f t="shared" si="97"/>
        <v>0</v>
      </c>
      <c r="GA50" s="4">
        <f t="shared" si="98"/>
        <v>0.49067998218942821</v>
      </c>
      <c r="GB50" s="4">
        <f t="shared" si="99"/>
        <v>0</v>
      </c>
      <c r="GC50" s="4">
        <f t="shared" si="100"/>
        <v>0</v>
      </c>
      <c r="GD50" s="4">
        <f t="shared" si="101"/>
        <v>1.0634970674486806</v>
      </c>
      <c r="GE50" s="4">
        <f t="shared" si="102"/>
        <v>1.5034331227684703</v>
      </c>
      <c r="GF50" s="4">
        <f t="shared" si="103"/>
        <v>3.0860053453551366</v>
      </c>
      <c r="GG50" s="4">
        <f t="shared" si="104"/>
        <v>1.0188074899587036</v>
      </c>
      <c r="GH50" s="4">
        <f t="shared" si="105"/>
        <v>3.4310243788091888</v>
      </c>
      <c r="GI50" s="4">
        <f t="shared" si="106"/>
        <v>0</v>
      </c>
      <c r="GJ50" s="4">
        <f t="shared" si="107"/>
        <v>0</v>
      </c>
      <c r="GK50" s="4">
        <f t="shared" si="108"/>
        <v>135.62079731027856</v>
      </c>
      <c r="GL50" s="4">
        <f t="shared" si="109"/>
        <v>0</v>
      </c>
      <c r="GM50" s="4">
        <f t="shared" si="110"/>
        <v>1.4136692697942199</v>
      </c>
      <c r="GN50" s="4">
        <f t="shared" si="111"/>
        <v>1.1443076699918902</v>
      </c>
      <c r="GO50" s="4">
        <f t="shared" si="112"/>
        <v>2.2034515366430254</v>
      </c>
      <c r="GP50" s="4">
        <f t="shared" si="113"/>
        <v>0.72744298148148145</v>
      </c>
      <c r="GQ50" s="27">
        <f t="shared" si="114"/>
        <v>134092.4235433499</v>
      </c>
      <c r="GR50" s="28">
        <f t="shared" si="115"/>
        <v>0</v>
      </c>
      <c r="GS50" s="28">
        <f t="shared" si="116"/>
        <v>688.10831948480643</v>
      </c>
      <c r="GT50" s="28">
        <f t="shared" si="117"/>
        <v>11379.773235226074</v>
      </c>
      <c r="GU50" s="28">
        <f t="shared" si="118"/>
        <v>128.89038008476737</v>
      </c>
      <c r="GV50" s="28">
        <f t="shared" si="119"/>
        <v>15.591578236060569</v>
      </c>
      <c r="GW50" s="28">
        <f t="shared" si="120"/>
        <v>134092.4235433499</v>
      </c>
      <c r="GX50" s="28">
        <f t="shared" si="121"/>
        <v>43.240643641341315</v>
      </c>
      <c r="GY50" s="28">
        <f t="shared" si="122"/>
        <v>1113.5851655710815</v>
      </c>
      <c r="GZ50" s="28">
        <f t="shared" si="123"/>
        <v>958.3623422431898</v>
      </c>
      <c r="HA50" s="28">
        <f t="shared" si="124"/>
        <v>1576.4817994239022</v>
      </c>
      <c r="HB50" s="28">
        <f t="shared" si="125"/>
        <v>109.48752716878089</v>
      </c>
      <c r="HC50" s="28">
        <f t="shared" si="126"/>
        <v>4209.0331647036401</v>
      </c>
      <c r="HD50" s="28">
        <f t="shared" si="127"/>
        <v>365.18941024017425</v>
      </c>
      <c r="HE50" s="28" t="str">
        <f t="shared" si="128"/>
        <v/>
      </c>
      <c r="HF50" s="28" t="str">
        <f t="shared" si="129"/>
        <v/>
      </c>
      <c r="HG50" s="28">
        <f t="shared" si="130"/>
        <v>327.07666344091507</v>
      </c>
      <c r="HH50" s="28">
        <f t="shared" si="131"/>
        <v>2.3491311208997927</v>
      </c>
      <c r="HI50" s="28" t="str">
        <f t="shared" si="132"/>
        <v/>
      </c>
      <c r="HJ50" s="28">
        <f t="shared" si="133"/>
        <v>8.4541001991083977</v>
      </c>
      <c r="HK50" s="28">
        <f t="shared" si="134"/>
        <v>1.0740865007063949</v>
      </c>
      <c r="HL50" s="28" t="str">
        <f t="shared" si="135"/>
        <v/>
      </c>
      <c r="HM50" s="28">
        <f t="shared" si="136"/>
        <v>8.4541001991083977</v>
      </c>
      <c r="HN50" s="28">
        <f t="shared" si="137"/>
        <v>1.0255793684164285</v>
      </c>
      <c r="HO50" s="28">
        <f t="shared" si="138"/>
        <v>13.0276298150195</v>
      </c>
      <c r="HP50" s="28">
        <f t="shared" si="139"/>
        <v>0</v>
      </c>
      <c r="HQ50" s="28">
        <f t="shared" si="140"/>
        <v>4.8091356870337938</v>
      </c>
      <c r="HR50" s="28" t="str">
        <f t="shared" si="141"/>
        <v/>
      </c>
      <c r="HT50" s="4">
        <f>IFERROR(GR50/'McDonough &amp; Sun 1995 values'!C$2,)</f>
        <v>0</v>
      </c>
      <c r="HU50" s="4">
        <f>IFERROR(GS50/'McDonough &amp; Sun 1995 values'!D$2,)</f>
        <v>1146.8471991413442</v>
      </c>
      <c r="HV50" s="4">
        <f>IFERROR(GT50/'McDonough &amp; Sun 1995 values'!E$2,)</f>
        <v>1724.2080659433445</v>
      </c>
      <c r="HW50" s="4">
        <f>IFERROR(GU50/'McDonough &amp; Sun 1995 values'!F$2,)</f>
        <v>1621.2626425756903</v>
      </c>
      <c r="HX50" s="4">
        <f>IFERROR(GV50/'McDonough &amp; Sun 1995 values'!G$2,)</f>
        <v>768.05804118524975</v>
      </c>
      <c r="HY50" s="4">
        <f>IFERROR(GW50/'McDonough &amp; Sun 1995 values'!H$2,)</f>
        <v>558.71843143062461</v>
      </c>
      <c r="HZ50" s="4">
        <f>IFERROR(GX50/'McDonough &amp; Sun 1995 values'!I$2,)</f>
        <v>1168.6660443605761</v>
      </c>
      <c r="IA50" s="4">
        <f>IFERROR(GY50/'McDonough &amp; Sun 1995 values'!J$2,)</f>
        <v>1692.3786710806708</v>
      </c>
      <c r="IB50" s="4">
        <f>IFERROR(GZ50/'McDonough &amp; Sun 1995 values'!K$2,)</f>
        <v>1478.9542318567744</v>
      </c>
      <c r="IC50" s="4">
        <f>IFERROR(HA50/'McDonough &amp; Sun 1995 values'!L$2,)</f>
        <v>941.18316383516549</v>
      </c>
      <c r="ID50" s="4">
        <f>IFERROR(HB50/'McDonough &amp; Sun 1995 values'!M$2,)</f>
        <v>431.0532565700035</v>
      </c>
      <c r="IE50" s="4">
        <f>IFERROR(HC50/'McDonough &amp; Sun 1995 values'!N$2,)</f>
        <v>211.50920425646433</v>
      </c>
      <c r="IF50" s="4">
        <f>IFERROR(HD50/'McDonough &amp; Sun 1995 values'!O$2,)</f>
        <v>292.15152819213938</v>
      </c>
      <c r="IG50" s="4">
        <f>IFERROR(HE50/'McDonough &amp; Sun 1995 values'!P$2,)</f>
        <v>0</v>
      </c>
      <c r="IH50" s="4">
        <f>IFERROR(HF50/'McDonough &amp; Sun 1995 values'!Q$2,)</f>
        <v>0</v>
      </c>
      <c r="II50" s="4">
        <f>IFERROR(HG50/'McDonough &amp; Sun 1995 values'!R$2,)</f>
        <v>31.150158422944294</v>
      </c>
      <c r="IJ50" s="4">
        <f>IFERROR(HH50/'McDonough &amp; Sun 1995 values'!S$2,)</f>
        <v>15.254098187660992</v>
      </c>
      <c r="IK50" s="4">
        <f>IFERROR(HI50/'McDonough &amp; Sun 1995 values'!T$2,)</f>
        <v>0</v>
      </c>
      <c r="IL50" s="4">
        <f>IFERROR(HJ50/'McDonough &amp; Sun 1995 values'!U$2,)</f>
        <v>15.540625366008083</v>
      </c>
      <c r="IM50" s="4">
        <f>IFERROR(HK50/'McDonough &amp; Sun 1995 values'!V$2,)</f>
        <v>10.849358592993887</v>
      </c>
      <c r="IN50" s="4">
        <f>IFERROR(HL50/'McDonough &amp; Sun 1995 values'!W$2,)</f>
        <v>0</v>
      </c>
      <c r="IO50" s="4">
        <f>IFERROR(HM50/'McDonough &amp; Sun 1995 values'!X$2,)</f>
        <v>1.966069813746139</v>
      </c>
      <c r="IP50" s="4">
        <f>IFERROR(HN50/'McDonough &amp; Sun 1995 values'!Y$2,)</f>
        <v>6.8830830095062314</v>
      </c>
      <c r="IQ50" s="4">
        <f>IFERROR(HO50/'McDonough &amp; Sun 1995 values'!Z$2,)</f>
        <v>29.743447066254568</v>
      </c>
      <c r="IR50" s="4">
        <f>IFERROR(HP50/'McDonough &amp; Sun 1995 values'!AA$2,)</f>
        <v>0</v>
      </c>
      <c r="IS50" s="4">
        <f>IFERROR(HQ50/'McDonough &amp; Sun 1995 values'!AB$2,)</f>
        <v>10.905069585110644</v>
      </c>
      <c r="IT50" s="4">
        <f>IFERROR(HR50/'McDonough &amp; Sun 1995 values'!AC$2,)</f>
        <v>0</v>
      </c>
    </row>
    <row r="51" spans="1:254">
      <c r="A51" s="16" t="s">
        <v>1494</v>
      </c>
      <c r="B51" s="16" t="s">
        <v>24</v>
      </c>
      <c r="C51" s="16" t="str">
        <f t="shared" si="0"/>
        <v>high-Mg carbonatitic</v>
      </c>
      <c r="D51" s="16" t="s">
        <v>25</v>
      </c>
      <c r="E51" s="16" t="s">
        <v>237</v>
      </c>
      <c r="F51" s="16" t="s">
        <v>163</v>
      </c>
      <c r="G51" s="16" t="s">
        <v>595</v>
      </c>
      <c r="H51" s="27">
        <v>355</v>
      </c>
      <c r="I51" s="16" t="s">
        <v>735</v>
      </c>
      <c r="J51" s="16" t="s">
        <v>1426</v>
      </c>
      <c r="K51" s="16" t="s">
        <v>115</v>
      </c>
      <c r="L51" s="16">
        <v>0</v>
      </c>
      <c r="M51" s="16" t="s">
        <v>807</v>
      </c>
      <c r="N51" s="16">
        <v>52</v>
      </c>
      <c r="O51" s="26">
        <v>9.8000000000000007</v>
      </c>
      <c r="P51" s="26">
        <v>1.3</v>
      </c>
      <c r="Q51" s="26">
        <v>0.6</v>
      </c>
      <c r="R51" s="26">
        <v>1.1000000000000001</v>
      </c>
      <c r="S51" s="26">
        <v>7.3</v>
      </c>
      <c r="T51" s="26">
        <v>25.5</v>
      </c>
      <c r="U51" s="26"/>
      <c r="V51" s="26">
        <v>20.5</v>
      </c>
      <c r="W51" s="26">
        <v>9.5</v>
      </c>
      <c r="X51" s="26">
        <v>17.3</v>
      </c>
      <c r="Y51" s="26"/>
      <c r="Z51" s="26">
        <v>3.5</v>
      </c>
      <c r="AA51" s="26"/>
      <c r="AB51" s="26">
        <v>0.6</v>
      </c>
      <c r="AC51" s="26"/>
      <c r="AD51" s="26">
        <v>2.5</v>
      </c>
      <c r="AE51" s="26"/>
      <c r="AF51" s="26"/>
      <c r="AG51" s="26"/>
      <c r="AH51" s="26"/>
      <c r="AI51" s="26">
        <v>5.4</v>
      </c>
      <c r="AJ51" s="26">
        <f t="shared" si="62"/>
        <v>98.899999999999991</v>
      </c>
      <c r="AK51" s="26">
        <f t="shared" si="73"/>
        <v>9.9658491597114764</v>
      </c>
      <c r="AL51" s="26">
        <f t="shared" si="74"/>
        <v>1.3220003987372366</v>
      </c>
      <c r="AM51" s="26">
        <f t="shared" si="75"/>
        <v>1.118615722008431</v>
      </c>
      <c r="AN51" s="26">
        <f t="shared" si="76"/>
        <v>7.4235407006014054</v>
      </c>
      <c r="AO51" s="26">
        <f t="shared" si="77"/>
        <v>25.931546282922717</v>
      </c>
      <c r="AP51" s="26">
        <f t="shared" si="78"/>
        <v>20.846929364702575</v>
      </c>
      <c r="AQ51" s="26">
        <f t="shared" si="79"/>
        <v>0.61015403018641678</v>
      </c>
      <c r="AR51" s="26">
        <f t="shared" si="80"/>
        <v>9.6607721446182673</v>
      </c>
      <c r="AS51" s="26">
        <f t="shared" si="81"/>
        <v>17.592774537041684</v>
      </c>
      <c r="AT51" s="26">
        <f t="shared" si="82"/>
        <v>3.5592318427540985</v>
      </c>
      <c r="AU51" s="26">
        <f t="shared" si="83"/>
        <v>2.5423084591100702</v>
      </c>
      <c r="AV51" s="26">
        <f t="shared" si="7"/>
        <v>100.5737226423944</v>
      </c>
      <c r="AW51" s="26"/>
      <c r="AX51" s="26"/>
      <c r="AY51" s="26"/>
      <c r="AZ51" s="26"/>
      <c r="BA51" s="26">
        <v>0.64</v>
      </c>
      <c r="BB51" s="53"/>
      <c r="BC51" s="26">
        <f t="shared" ref="BC51:BC57" si="142">1-BA51</f>
        <v>0.36</v>
      </c>
      <c r="BD51" s="26">
        <f t="shared" ref="BD51:BD57" si="143">BA51</f>
        <v>0.64</v>
      </c>
      <c r="BE51" s="16"/>
      <c r="BF51" s="16"/>
      <c r="BG51" s="16"/>
      <c r="BH51" s="16"/>
      <c r="BI51" s="16"/>
      <c r="BJ51" s="16"/>
      <c r="BK51" s="18"/>
      <c r="BL51" s="18"/>
      <c r="BM51" s="18"/>
      <c r="BN51" s="18"/>
      <c r="BO51" s="18"/>
      <c r="BP51" s="18"/>
      <c r="BQ51" s="18"/>
      <c r="BR51" s="18">
        <v>329</v>
      </c>
      <c r="BS51" s="18"/>
      <c r="BT51" s="18">
        <v>14.5</v>
      </c>
      <c r="BU51" s="18"/>
      <c r="BV51" s="18"/>
      <c r="BW51" s="18"/>
      <c r="BX51" s="18"/>
      <c r="BY51" s="18"/>
      <c r="BZ51" s="18">
        <v>0</v>
      </c>
      <c r="CA51" s="18">
        <v>0</v>
      </c>
      <c r="CB51" s="18"/>
      <c r="CC51" s="18"/>
      <c r="CD51" s="18"/>
      <c r="CE51" s="18"/>
      <c r="CF51" s="18"/>
      <c r="CG51" s="18"/>
      <c r="CH51" s="18">
        <v>1.62</v>
      </c>
      <c r="CI51" s="18">
        <v>12.7</v>
      </c>
      <c r="CJ51" s="18">
        <v>5.7000000000000002E-2</v>
      </c>
      <c r="CK51" s="18">
        <v>1.51</v>
      </c>
      <c r="CL51" s="18"/>
      <c r="CM51" s="18">
        <v>2.7915000000000001</v>
      </c>
      <c r="CN51" s="18"/>
      <c r="CO51" s="18"/>
      <c r="CP51" s="18"/>
      <c r="CQ51" s="18"/>
      <c r="CR51" s="18">
        <v>1.6E-2</v>
      </c>
      <c r="CS51" s="18">
        <v>26.8</v>
      </c>
      <c r="CT51" s="18"/>
      <c r="CU51" s="18">
        <v>2.2599999999999998</v>
      </c>
      <c r="CV51" s="18">
        <v>3.28</v>
      </c>
      <c r="CW51" s="18">
        <v>0.374</v>
      </c>
      <c r="CX51" s="18">
        <v>1.81</v>
      </c>
      <c r="CY51" s="18">
        <v>0.16</v>
      </c>
      <c r="CZ51" s="18">
        <v>3.4000000000000002E-2</v>
      </c>
      <c r="DA51" s="18">
        <v>7.5999999999999998E-2</v>
      </c>
      <c r="DB51" s="18"/>
      <c r="DC51" s="18"/>
      <c r="DD51" s="18"/>
      <c r="DE51" s="18"/>
      <c r="DF51" s="18"/>
      <c r="DG51" s="18"/>
      <c r="DH51" s="18">
        <v>0.04</v>
      </c>
      <c r="DI51" s="18">
        <v>0.13300000000000001</v>
      </c>
      <c r="DJ51" s="18"/>
      <c r="DK51" s="18"/>
      <c r="DL51" s="18">
        <v>0.27400000000000002</v>
      </c>
      <c r="DM51" s="18">
        <v>0.05</v>
      </c>
      <c r="DN51" s="18"/>
      <c r="DO51" s="18"/>
      <c r="DP51" s="18"/>
      <c r="DQ51" s="18"/>
      <c r="DR51" s="18"/>
      <c r="DS51" s="18"/>
      <c r="DT51" s="18"/>
      <c r="DU51" s="18"/>
      <c r="DV51" s="28">
        <v>0.70470999999999995</v>
      </c>
      <c r="DW51" s="28">
        <v>4.0000000000000003E-5</v>
      </c>
      <c r="DX51" s="28">
        <v>0.70321</v>
      </c>
      <c r="DY51" s="28"/>
      <c r="DZ51" s="28">
        <v>-12.4</v>
      </c>
      <c r="EA51" s="28"/>
      <c r="EB51" s="28"/>
      <c r="EC51" s="28"/>
      <c r="ED51" s="28"/>
      <c r="EE51" s="28"/>
      <c r="EF51" s="28"/>
      <c r="EG51" s="28"/>
      <c r="EH51" s="28"/>
      <c r="EI51" s="28"/>
      <c r="EJ51" s="18"/>
      <c r="EK51" s="18"/>
      <c r="EL51" s="18">
        <f>IFERROR(CR51/'McDonough &amp; Sun 1995 values'!C$2,)</f>
        <v>0.76190476190476186</v>
      </c>
      <c r="EM51" s="18">
        <f>IFERROR(CH51/'McDonough &amp; Sun 1995 values'!D$2,)</f>
        <v>2.7</v>
      </c>
      <c r="EN51" s="18">
        <f>IFERROR(CS51/'McDonough &amp; Sun 1995 values'!E$2,)</f>
        <v>4.0606060606060606</v>
      </c>
      <c r="EO51" s="18">
        <f>IFERROR(DL51/'McDonough &amp; Sun 1995 values'!F$2,)</f>
        <v>3.4465408805031448</v>
      </c>
      <c r="EP51" s="18">
        <f>IFERROR(DM51/'McDonough &amp; Sun 1995 values'!G$2,)</f>
        <v>2.4630541871921183</v>
      </c>
      <c r="EQ51" s="18">
        <f>IFERROR(BR51/'McDonough &amp; Sun 1995 values'!H$2,)</f>
        <v>1.3708333333333333</v>
      </c>
      <c r="ER51" s="18">
        <f>IFERROR(DI51/'McDonough &amp; Sun 1995 values'!I$2,)</f>
        <v>3.5945945945945952</v>
      </c>
      <c r="ES51" s="18">
        <f>IFERROR(CM51/'McDonough &amp; Sun 1995 values'!J$2,)</f>
        <v>4.2424012158054714</v>
      </c>
      <c r="ET51" s="18">
        <f>IFERROR(CU51/'McDonough &amp; Sun 1995 values'!K$2,)</f>
        <v>3.4876543209876538</v>
      </c>
      <c r="EU51" s="18">
        <f>IFERROR(CV51/'McDonough &amp; Sun 1995 values'!L$2,)</f>
        <v>1.9582089552238804</v>
      </c>
      <c r="EV51" s="18">
        <f>IFERROR(CW51/'McDonough &amp; Sun 1995 values'!M$2,)</f>
        <v>1.4724409448818898</v>
      </c>
      <c r="EW51" s="18">
        <f>IFERROR(CI51/'McDonough &amp; Sun 1995 values'!N$2,)</f>
        <v>0.63819095477386933</v>
      </c>
      <c r="EX51" s="18">
        <f>IFERROR(CX51/'McDonough &amp; Sun 1995 values'!O$2,)</f>
        <v>1.448</v>
      </c>
      <c r="EY51" s="18">
        <f>IFERROR(CY51/'McDonough &amp; Sun 1995 values'!P$2,)</f>
        <v>0.39408866995073888</v>
      </c>
      <c r="EZ51" s="18">
        <f>IFERROR(DH51/'McDonough &amp; Sun 1995 values'!Q$2,)</f>
        <v>0.14134275618374559</v>
      </c>
      <c r="FA51" s="18">
        <f>IFERROR(CK51/'McDonough &amp; Sun 1995 values'!R$2,)</f>
        <v>0.1438095238095238</v>
      </c>
      <c r="FB51" s="18">
        <f>IFERROR(CZ51/'McDonough &amp; Sun 1995 values'!S$2,)</f>
        <v>0.2207792207792208</v>
      </c>
      <c r="FC51" s="18">
        <f>IFERROR(BT51/'McDonough &amp; Sun 1995 values'!T$2,)</f>
        <v>1.2033195020746889E-2</v>
      </c>
      <c r="FD51" s="18">
        <f>IFERROR(DA51/'McDonough &amp; Sun 1995 values'!U$2,)</f>
        <v>0.13970588235294115</v>
      </c>
      <c r="FE51" s="18">
        <f>IFERROR(DN51/'McDonough &amp; Sun 1995 values'!V$2,)</f>
        <v>0</v>
      </c>
      <c r="FF51" s="18">
        <f>IFERROR(DB51/'McDonough &amp; Sun 1995 values'!W$2,)</f>
        <v>0</v>
      </c>
      <c r="FG51" s="18">
        <f>IFERROR(CJ51/'McDonough &amp; Sun 1995 values'!X$2,)</f>
        <v>1.3255813953488373E-2</v>
      </c>
      <c r="FH51" s="18">
        <f>IFERROR(DC51/'McDonough &amp; Sun 1995 values'!Y$2,)</f>
        <v>0</v>
      </c>
      <c r="FI51" s="18">
        <f>IFERROR(DD51/'McDonough &amp; Sun 1995 values'!Z$2,)</f>
        <v>0</v>
      </c>
      <c r="FJ51" s="18">
        <f>IFERROR(DE51/'McDonough &amp; Sun 1995 values'!AA$2,)</f>
        <v>0</v>
      </c>
      <c r="FK51" s="18">
        <f>IFERROR(DF51/'McDonough &amp; Sun 1995 values'!AB$2,)</f>
        <v>0</v>
      </c>
      <c r="FL51" s="18">
        <f>IFERROR(DG51/'McDonough &amp; Sun 1995 values'!AC$2,)</f>
        <v>0</v>
      </c>
      <c r="FN51" s="28">
        <f t="shared" si="68"/>
        <v>1.7967568538787488</v>
      </c>
      <c r="FO51" s="4">
        <f t="shared" si="86"/>
        <v>1.6486060606060604</v>
      </c>
      <c r="FP51" s="4">
        <f t="shared" si="87"/>
        <v>0.81240333131687947</v>
      </c>
      <c r="FQ51" s="4">
        <f t="shared" si="88"/>
        <v>1.3992955974842767</v>
      </c>
      <c r="FR51" s="4">
        <f t="shared" si="89"/>
        <v>0.82209440917423471</v>
      </c>
      <c r="FS51" s="4">
        <f t="shared" si="90"/>
        <v>0.97024969831987351</v>
      </c>
      <c r="FT51" s="4">
        <f t="shared" si="91"/>
        <v>3.5437500000000006</v>
      </c>
      <c r="FU51" s="4">
        <f t="shared" si="92"/>
        <v>0.84730189620033802</v>
      </c>
      <c r="FV51" s="4">
        <f t="shared" si="93"/>
        <v>0.36491666666666667</v>
      </c>
      <c r="FW51" s="4">
        <f t="shared" si="94"/>
        <v>1.0174523809523808</v>
      </c>
      <c r="FX51" s="4">
        <f t="shared" si="95"/>
        <v>0.82720672148642582</v>
      </c>
      <c r="FY51" s="4">
        <f t="shared" si="96"/>
        <v>0.43706639995772634</v>
      </c>
      <c r="FZ51" s="4">
        <f t="shared" si="97"/>
        <v>0.94092254671878073</v>
      </c>
      <c r="GA51" s="4">
        <f t="shared" si="98"/>
        <v>0.4334238035095262</v>
      </c>
      <c r="GB51" s="4">
        <f t="shared" si="99"/>
        <v>0.5602272727272728</v>
      </c>
      <c r="GC51" s="4">
        <f t="shared" si="100"/>
        <v>0.2821869488536155</v>
      </c>
      <c r="GD51" s="4">
        <f t="shared" si="101"/>
        <v>1.1781685467816854</v>
      </c>
      <c r="GE51" s="4">
        <f t="shared" si="102"/>
        <v>1.5039281705948371</v>
      </c>
      <c r="GF51" s="4">
        <f t="shared" si="103"/>
        <v>2.9621442387399832</v>
      </c>
      <c r="GG51" s="4">
        <f t="shared" si="104"/>
        <v>0.95714805225820798</v>
      </c>
      <c r="GH51" s="4">
        <f t="shared" si="105"/>
        <v>2.3686208490130056</v>
      </c>
      <c r="GI51" s="4">
        <f t="shared" si="106"/>
        <v>8.8499228395061724</v>
      </c>
      <c r="GJ51" s="4">
        <f t="shared" si="107"/>
        <v>0</v>
      </c>
      <c r="GK51" s="4">
        <f t="shared" si="108"/>
        <v>0</v>
      </c>
      <c r="GL51" s="4">
        <f t="shared" si="109"/>
        <v>11.951067323481116</v>
      </c>
      <c r="GM51" s="4">
        <f t="shared" si="110"/>
        <v>1.2764966224085721</v>
      </c>
      <c r="GN51" s="4">
        <f t="shared" si="111"/>
        <v>1.2164053043548433</v>
      </c>
      <c r="GO51" s="4">
        <f t="shared" si="112"/>
        <v>1.7224148936170214</v>
      </c>
      <c r="GP51" s="4">
        <f t="shared" si="113"/>
        <v>0.55655833333333327</v>
      </c>
      <c r="GQ51" s="27">
        <f t="shared" si="114"/>
        <v>146044.18436554004</v>
      </c>
      <c r="GR51" s="28">
        <f t="shared" si="115"/>
        <v>7.1024527351022515</v>
      </c>
      <c r="GS51" s="28">
        <f t="shared" si="116"/>
        <v>719.123339429103</v>
      </c>
      <c r="GT51" s="28">
        <f t="shared" si="117"/>
        <v>11896.608331296273</v>
      </c>
      <c r="GU51" s="28">
        <f t="shared" si="118"/>
        <v>121.62950308862607</v>
      </c>
      <c r="GV51" s="28">
        <f t="shared" si="119"/>
        <v>22.195164797194536</v>
      </c>
      <c r="GW51" s="28">
        <f t="shared" si="120"/>
        <v>146044.18436554004</v>
      </c>
      <c r="GX51" s="28">
        <f t="shared" si="121"/>
        <v>59.039138360537464</v>
      </c>
      <c r="GY51" s="28">
        <f t="shared" si="122"/>
        <v>1239.1560506273711</v>
      </c>
      <c r="GZ51" s="28">
        <f t="shared" si="123"/>
        <v>1003.2214488331929</v>
      </c>
      <c r="HA51" s="28">
        <f t="shared" si="124"/>
        <v>1456.0028106959614</v>
      </c>
      <c r="HB51" s="28">
        <f t="shared" si="125"/>
        <v>166.01983268301512</v>
      </c>
      <c r="HC51" s="28">
        <f t="shared" si="126"/>
        <v>5637.5718584874121</v>
      </c>
      <c r="HD51" s="28">
        <f t="shared" si="127"/>
        <v>803.46496565844222</v>
      </c>
      <c r="HE51" s="28">
        <f t="shared" si="128"/>
        <v>71.024527351022513</v>
      </c>
      <c r="HF51" s="28">
        <f t="shared" si="129"/>
        <v>17.756131837755628</v>
      </c>
      <c r="HG51" s="28">
        <f t="shared" si="130"/>
        <v>670.29397687527501</v>
      </c>
      <c r="HH51" s="28">
        <f t="shared" si="131"/>
        <v>15.092712062092284</v>
      </c>
      <c r="HI51" s="28">
        <f t="shared" si="132"/>
        <v>6436.5977911864156</v>
      </c>
      <c r="HJ51" s="28">
        <f t="shared" si="133"/>
        <v>33.736650491735695</v>
      </c>
      <c r="HK51" s="28">
        <f t="shared" si="134"/>
        <v>0</v>
      </c>
      <c r="HL51" s="28">
        <f t="shared" si="135"/>
        <v>0</v>
      </c>
      <c r="HM51" s="28">
        <f t="shared" si="136"/>
        <v>25.302487868801773</v>
      </c>
      <c r="HN51" s="28">
        <f t="shared" si="137"/>
        <v>0</v>
      </c>
      <c r="HO51" s="28">
        <f t="shared" si="138"/>
        <v>0</v>
      </c>
      <c r="HP51" s="28">
        <f t="shared" si="139"/>
        <v>0</v>
      </c>
      <c r="HQ51" s="28">
        <f t="shared" si="140"/>
        <v>0</v>
      </c>
      <c r="HR51" s="28">
        <f t="shared" si="141"/>
        <v>0</v>
      </c>
      <c r="HT51" s="4">
        <f>IFERROR(GR51/'McDonough &amp; Sun 1995 values'!C$2,)</f>
        <v>338.21203500486911</v>
      </c>
      <c r="HU51" s="4">
        <f>IFERROR(GS51/'McDonough &amp; Sun 1995 values'!D$2,)</f>
        <v>1198.5388990485051</v>
      </c>
      <c r="HV51" s="4">
        <f>IFERROR(GT51/'McDonough &amp; Sun 1995 values'!E$2,)</f>
        <v>1802.5164138327686</v>
      </c>
      <c r="HW51" s="4">
        <f>IFERROR(GU51/'McDonough &amp; Sun 1995 values'!F$2,)</f>
        <v>1529.9308564607052</v>
      </c>
      <c r="HX51" s="4">
        <f>IFERROR(GV51/'McDonough &amp; Sun 1995 values'!G$2,)</f>
        <v>1093.3578717829821</v>
      </c>
      <c r="HY51" s="4">
        <f>IFERROR(GW51/'McDonough &amp; Sun 1995 values'!H$2,)</f>
        <v>608.5174348564168</v>
      </c>
      <c r="HZ51" s="4">
        <f>IFERROR(GX51/'McDonough &amp; Sun 1995 values'!I$2,)</f>
        <v>1595.6523881226342</v>
      </c>
      <c r="IA51" s="4">
        <f>IFERROR(GY51/'McDonough &amp; Sun 1995 values'!J$2,)</f>
        <v>1883.2158824124181</v>
      </c>
      <c r="IB51" s="4">
        <f>IFERROR(GZ51/'McDonough &amp; Sun 1995 values'!K$2,)</f>
        <v>1548.1812481993718</v>
      </c>
      <c r="IC51" s="4">
        <f>IFERROR(HA51/'McDonough &amp; Sun 1995 values'!L$2,)</f>
        <v>869.25540937072321</v>
      </c>
      <c r="ID51" s="4">
        <f>IFERROR(HB51/'McDonough &amp; Sun 1995 values'!M$2,)</f>
        <v>653.62138851580755</v>
      </c>
      <c r="IE51" s="4">
        <f>IFERROR(HC51/'McDonough &amp; Sun 1995 values'!N$2,)</f>
        <v>283.29506826569911</v>
      </c>
      <c r="IF51" s="4">
        <f>IFERROR(HD51/'McDonough &amp; Sun 1995 values'!O$2,)</f>
        <v>642.77197252675376</v>
      </c>
      <c r="IG51" s="4">
        <f>IFERROR(HE51/'McDonough &amp; Sun 1995 values'!P$2,)</f>
        <v>174.93725948527711</v>
      </c>
      <c r="IH51" s="4">
        <f>IFERROR(HF51/'McDonough &amp; Sun 1995 values'!Q$2,)</f>
        <v>62.742515327758412</v>
      </c>
      <c r="II51" s="4">
        <f>IFERROR(HG51/'McDonough &amp; Sun 1995 values'!R$2,)</f>
        <v>63.837521607169052</v>
      </c>
      <c r="IJ51" s="4">
        <f>IFERROR(HH51/'McDonough &amp; Sun 1995 values'!S$2,)</f>
        <v>98.004623779820022</v>
      </c>
      <c r="IK51" s="4">
        <f>IFERROR(HI51/'McDonough &amp; Sun 1995 values'!T$2,)</f>
        <v>5.3415749304451579</v>
      </c>
      <c r="IL51" s="4">
        <f>IFERROR(HJ51/'McDonough &amp; Sun 1995 values'!U$2,)</f>
        <v>62.015901639220026</v>
      </c>
      <c r="IM51" s="4">
        <f>IFERROR(HK51/'McDonough &amp; Sun 1995 values'!V$2,)</f>
        <v>0</v>
      </c>
      <c r="IN51" s="4">
        <f>IFERROR(HL51/'McDonough &amp; Sun 1995 values'!W$2,)</f>
        <v>0</v>
      </c>
      <c r="IO51" s="4">
        <f>IFERROR(HM51/'McDonough &amp; Sun 1995 values'!X$2,)</f>
        <v>5.8842995043725059</v>
      </c>
      <c r="IP51" s="4">
        <f>IFERROR(HN51/'McDonough &amp; Sun 1995 values'!Y$2,)</f>
        <v>0</v>
      </c>
      <c r="IQ51" s="4">
        <f>IFERROR(HO51/'McDonough &amp; Sun 1995 values'!Z$2,)</f>
        <v>0</v>
      </c>
      <c r="IR51" s="4">
        <f>IFERROR(HP51/'McDonough &amp; Sun 1995 values'!AA$2,)</f>
        <v>0</v>
      </c>
      <c r="IS51" s="4">
        <f>IFERROR(HQ51/'McDonough &amp; Sun 1995 values'!AB$2,)</f>
        <v>0</v>
      </c>
      <c r="IT51" s="4">
        <f>IFERROR(HR51/'McDonough &amp; Sun 1995 values'!AC$2,)</f>
        <v>0</v>
      </c>
    </row>
    <row r="52" spans="1:254">
      <c r="A52" s="16" t="s">
        <v>1494</v>
      </c>
      <c r="B52" s="16" t="s">
        <v>24</v>
      </c>
      <c r="C52" s="16" t="str">
        <f t="shared" si="0"/>
        <v>high-Mg carbonatitic</v>
      </c>
      <c r="D52" s="16" t="s">
        <v>25</v>
      </c>
      <c r="E52" s="16" t="s">
        <v>237</v>
      </c>
      <c r="F52" s="16" t="s">
        <v>163</v>
      </c>
      <c r="G52" s="16" t="s">
        <v>595</v>
      </c>
      <c r="H52" s="27">
        <v>355</v>
      </c>
      <c r="I52" s="16" t="s">
        <v>735</v>
      </c>
      <c r="J52" s="16" t="s">
        <v>1426</v>
      </c>
      <c r="K52" s="16" t="s">
        <v>115</v>
      </c>
      <c r="L52" s="16">
        <v>0</v>
      </c>
      <c r="M52" s="16" t="s">
        <v>808</v>
      </c>
      <c r="N52" s="16">
        <v>35</v>
      </c>
      <c r="O52" s="26">
        <v>8.5</v>
      </c>
      <c r="P52" s="26">
        <v>1.7</v>
      </c>
      <c r="Q52" s="26">
        <v>0.4</v>
      </c>
      <c r="R52" s="26">
        <v>0.6</v>
      </c>
      <c r="S52" s="26">
        <v>7.9</v>
      </c>
      <c r="T52" s="26">
        <v>19.100000000000001</v>
      </c>
      <c r="U52" s="26"/>
      <c r="V52" s="26">
        <v>17.7</v>
      </c>
      <c r="W52" s="26">
        <v>10.5</v>
      </c>
      <c r="X52" s="26">
        <v>24</v>
      </c>
      <c r="Y52" s="26"/>
      <c r="Z52" s="26">
        <v>2.5</v>
      </c>
      <c r="AA52" s="26"/>
      <c r="AB52" s="26">
        <v>2.7</v>
      </c>
      <c r="AC52" s="26"/>
      <c r="AD52" s="26">
        <v>5.4</v>
      </c>
      <c r="AE52" s="26"/>
      <c r="AF52" s="26"/>
      <c r="AG52" s="26"/>
      <c r="AH52" s="26"/>
      <c r="AI52" s="26">
        <v>4.4000000000000004</v>
      </c>
      <c r="AJ52" s="26">
        <f t="shared" si="62"/>
        <v>100.60000000000001</v>
      </c>
      <c r="AK52" s="26">
        <f t="shared" si="73"/>
        <v>8.5529098201284661</v>
      </c>
      <c r="AL52" s="26">
        <f t="shared" si="74"/>
        <v>1.7105819640256936</v>
      </c>
      <c r="AM52" s="26">
        <f t="shared" si="75"/>
        <v>0.60373481083259761</v>
      </c>
      <c r="AN52" s="26">
        <f t="shared" si="76"/>
        <v>7.9491750092958693</v>
      </c>
      <c r="AO52" s="26">
        <f t="shared" si="77"/>
        <v>19.218891478171027</v>
      </c>
      <c r="AP52" s="26">
        <f t="shared" si="78"/>
        <v>17.810176919561631</v>
      </c>
      <c r="AQ52" s="26">
        <f t="shared" si="79"/>
        <v>2.7168066487466898</v>
      </c>
      <c r="AR52" s="26">
        <f t="shared" si="80"/>
        <v>10.56535918957046</v>
      </c>
      <c r="AS52" s="26">
        <f t="shared" si="81"/>
        <v>24.149392433303905</v>
      </c>
      <c r="AT52" s="26">
        <f t="shared" si="82"/>
        <v>2.5155617118024902</v>
      </c>
      <c r="AU52" s="26">
        <f t="shared" si="83"/>
        <v>5.4336132974933795</v>
      </c>
      <c r="AV52" s="26">
        <f t="shared" si="7"/>
        <v>101.2262032829322</v>
      </c>
      <c r="AW52" s="26"/>
      <c r="AX52" s="26"/>
      <c r="AY52" s="26"/>
      <c r="AZ52" s="26"/>
      <c r="BA52" s="26">
        <v>0.64</v>
      </c>
      <c r="BB52" s="53"/>
      <c r="BC52" s="26">
        <f t="shared" si="142"/>
        <v>0.36</v>
      </c>
      <c r="BD52" s="26">
        <f t="shared" si="143"/>
        <v>0.64</v>
      </c>
      <c r="BE52" s="16"/>
      <c r="BF52" s="16"/>
      <c r="BG52" s="16"/>
      <c r="BH52" s="16"/>
      <c r="BI52" s="16"/>
      <c r="BJ52" s="16"/>
      <c r="BK52" s="18"/>
      <c r="BL52" s="18"/>
      <c r="BM52" s="18"/>
      <c r="BN52" s="18"/>
      <c r="BO52" s="18"/>
      <c r="BP52" s="18"/>
      <c r="BQ52" s="18"/>
      <c r="BR52" s="18">
        <v>163</v>
      </c>
      <c r="BS52" s="18"/>
      <c r="BT52" s="18">
        <v>5.1100000000000003</v>
      </c>
      <c r="BU52" s="18"/>
      <c r="BV52" s="18"/>
      <c r="BW52" s="18"/>
      <c r="BX52" s="18"/>
      <c r="BY52" s="18"/>
      <c r="BZ52" s="18">
        <v>0</v>
      </c>
      <c r="CA52" s="18">
        <v>0</v>
      </c>
      <c r="CB52" s="18"/>
      <c r="CC52" s="18"/>
      <c r="CD52" s="18"/>
      <c r="CE52" s="18"/>
      <c r="CF52" s="18"/>
      <c r="CG52" s="18"/>
      <c r="CH52" s="18">
        <v>0.503</v>
      </c>
      <c r="CI52" s="18">
        <v>5.17</v>
      </c>
      <c r="CJ52" s="18">
        <v>2.8000000000000001E-2</v>
      </c>
      <c r="CK52" s="18">
        <v>0.30299999999999999</v>
      </c>
      <c r="CL52" s="18"/>
      <c r="CM52" s="18">
        <v>1.7585</v>
      </c>
      <c r="CN52" s="18"/>
      <c r="CO52" s="18"/>
      <c r="CP52" s="18"/>
      <c r="CQ52" s="18"/>
      <c r="CR52" s="18">
        <v>0.02</v>
      </c>
      <c r="CS52" s="18">
        <v>16.600000000000001</v>
      </c>
      <c r="CT52" s="18"/>
      <c r="CU52" s="18">
        <v>1.2</v>
      </c>
      <c r="CV52" s="18">
        <v>1.48</v>
      </c>
      <c r="CW52" s="18">
        <v>0.14699999999999999</v>
      </c>
      <c r="CX52" s="18">
        <v>0.46800000000000003</v>
      </c>
      <c r="CY52" s="18">
        <v>0.06</v>
      </c>
      <c r="CZ52" s="18">
        <v>1.2999999999999999E-2</v>
      </c>
      <c r="DA52" s="18">
        <v>3.7999999999999999E-2</v>
      </c>
      <c r="DB52" s="18"/>
      <c r="DC52" s="18"/>
      <c r="DD52" s="18"/>
      <c r="DE52" s="18"/>
      <c r="DF52" s="18"/>
      <c r="DG52" s="18"/>
      <c r="DH52" s="18"/>
      <c r="DI52" s="18">
        <v>9.5000000000000001E-2</v>
      </c>
      <c r="DJ52" s="18"/>
      <c r="DK52" s="18"/>
      <c r="DL52" s="18">
        <v>0.17399999999999999</v>
      </c>
      <c r="DM52" s="18">
        <v>2.8000000000000001E-2</v>
      </c>
      <c r="DN52" s="18"/>
      <c r="DO52" s="18"/>
      <c r="DP52" s="18"/>
      <c r="DQ52" s="18"/>
      <c r="DR52" s="18"/>
      <c r="DS52" s="18"/>
      <c r="DT52" s="18"/>
      <c r="DU52" s="18"/>
      <c r="DV52" s="51">
        <v>0.70430999999999999</v>
      </c>
      <c r="DW52" s="51">
        <v>1.6000000000000001E-4</v>
      </c>
      <c r="DX52" s="51">
        <v>0.70299999999999996</v>
      </c>
      <c r="DY52" s="51"/>
      <c r="DZ52" s="45">
        <v>-15.36</v>
      </c>
      <c r="EA52" s="28"/>
      <c r="EB52" s="28"/>
      <c r="EC52" s="28"/>
      <c r="ED52" s="28"/>
      <c r="EE52" s="28"/>
      <c r="EF52" s="28"/>
      <c r="EG52" s="28"/>
      <c r="EH52" s="28"/>
      <c r="EI52" s="28"/>
      <c r="EJ52" s="18"/>
      <c r="EK52" s="18"/>
      <c r="EL52" s="18">
        <f>IFERROR(CR52/'McDonough &amp; Sun 1995 values'!C$2,)</f>
        <v>0.95238095238095233</v>
      </c>
      <c r="EM52" s="18">
        <f>IFERROR(CH52/'McDonough &amp; Sun 1995 values'!D$2,)</f>
        <v>0.83833333333333337</v>
      </c>
      <c r="EN52" s="18">
        <f>IFERROR(CS52/'McDonough &amp; Sun 1995 values'!E$2,)</f>
        <v>2.5151515151515156</v>
      </c>
      <c r="EO52" s="18">
        <f>IFERROR(DL52/'McDonough &amp; Sun 1995 values'!F$2,)</f>
        <v>2.1886792452830188</v>
      </c>
      <c r="EP52" s="18">
        <f>IFERROR(DM52/'McDonough &amp; Sun 1995 values'!G$2,)</f>
        <v>1.3793103448275863</v>
      </c>
      <c r="EQ52" s="18">
        <f>IFERROR(BR52/'McDonough &amp; Sun 1995 values'!H$2,)</f>
        <v>0.6791666666666667</v>
      </c>
      <c r="ER52" s="18">
        <f>IFERROR(DI52/'McDonough &amp; Sun 1995 values'!I$2,)</f>
        <v>2.5675675675675675</v>
      </c>
      <c r="ES52" s="18">
        <f>IFERROR(CM52/'McDonough &amp; Sun 1995 values'!J$2,)</f>
        <v>2.6724924012158051</v>
      </c>
      <c r="ET52" s="18">
        <f>IFERROR(CU52/'McDonough &amp; Sun 1995 values'!K$2,)</f>
        <v>1.8518518518518516</v>
      </c>
      <c r="EU52" s="18">
        <f>IFERROR(CV52/'McDonough &amp; Sun 1995 values'!L$2,)</f>
        <v>0.88358208955223883</v>
      </c>
      <c r="EV52" s="18">
        <f>IFERROR(CW52/'McDonough &amp; Sun 1995 values'!M$2,)</f>
        <v>0.57874015748031493</v>
      </c>
      <c r="EW52" s="18">
        <f>IFERROR(CI52/'McDonough &amp; Sun 1995 values'!N$2,)</f>
        <v>0.25979899497487441</v>
      </c>
      <c r="EX52" s="18">
        <f>IFERROR(CX52/'McDonough &amp; Sun 1995 values'!O$2,)</f>
        <v>0.37440000000000001</v>
      </c>
      <c r="EY52" s="18">
        <f>IFERROR(CY52/'McDonough &amp; Sun 1995 values'!P$2,)</f>
        <v>0.14778325123152708</v>
      </c>
      <c r="EZ52" s="18">
        <f>IFERROR(DH52/'McDonough &amp; Sun 1995 values'!Q$2,)</f>
        <v>0</v>
      </c>
      <c r="FA52" s="18">
        <f>IFERROR(CK52/'McDonough &amp; Sun 1995 values'!R$2,)</f>
        <v>2.8857142857142856E-2</v>
      </c>
      <c r="FB52" s="18">
        <f>IFERROR(CZ52/'McDonough &amp; Sun 1995 values'!S$2,)</f>
        <v>8.4415584415584416E-2</v>
      </c>
      <c r="FC52" s="18">
        <f>IFERROR(BT52/'McDonough &amp; Sun 1995 values'!T$2,)</f>
        <v>4.2406639004149383E-3</v>
      </c>
      <c r="FD52" s="18">
        <f>IFERROR(DA52/'McDonough &amp; Sun 1995 values'!U$2,)</f>
        <v>6.9852941176470576E-2</v>
      </c>
      <c r="FE52" s="18">
        <f>IFERROR(DN52/'McDonough &amp; Sun 1995 values'!V$2,)</f>
        <v>0</v>
      </c>
      <c r="FF52" s="18">
        <f>IFERROR(DB52/'McDonough &amp; Sun 1995 values'!W$2,)</f>
        <v>0</v>
      </c>
      <c r="FG52" s="18">
        <f>IFERROR(CJ52/'McDonough &amp; Sun 1995 values'!X$2,)</f>
        <v>6.5116279069767444E-3</v>
      </c>
      <c r="FH52" s="18">
        <f>IFERROR(DC52/'McDonough &amp; Sun 1995 values'!Y$2,)</f>
        <v>0</v>
      </c>
      <c r="FI52" s="18">
        <f>IFERROR(DD52/'McDonough &amp; Sun 1995 values'!Z$2,)</f>
        <v>0</v>
      </c>
      <c r="FJ52" s="18">
        <f>IFERROR(DE52/'McDonough &amp; Sun 1995 values'!AA$2,)</f>
        <v>0</v>
      </c>
      <c r="FK52" s="18">
        <f>IFERROR(DF52/'McDonough &amp; Sun 1995 values'!AB$2,)</f>
        <v>0</v>
      </c>
      <c r="FL52" s="18">
        <f>IFERROR(DG52/'McDonough &amp; Sun 1995 values'!AC$2,)</f>
        <v>0</v>
      </c>
      <c r="FN52" s="28">
        <f t="shared" si="68"/>
        <v>2.0308863972921514</v>
      </c>
      <c r="FO52" s="4">
        <f t="shared" si="86"/>
        <v>1.8234848484848487</v>
      </c>
      <c r="FP52" s="4">
        <f t="shared" si="87"/>
        <v>0.81896556348946636</v>
      </c>
      <c r="FQ52" s="4">
        <f t="shared" si="88"/>
        <v>1.5867924528301884</v>
      </c>
      <c r="FR52" s="4">
        <f t="shared" si="89"/>
        <v>0.69293063322065318</v>
      </c>
      <c r="FS52" s="4">
        <f t="shared" si="90"/>
        <v>0.72124756335282647</v>
      </c>
      <c r="FT52" s="4">
        <f t="shared" si="91"/>
        <v>0.88025000000000009</v>
      </c>
      <c r="FU52" s="4">
        <f t="shared" si="92"/>
        <v>0.96073895903295969</v>
      </c>
      <c r="FV52" s="4">
        <f t="shared" si="93"/>
        <v>0.19526666666666667</v>
      </c>
      <c r="FW52" s="4">
        <f t="shared" si="94"/>
        <v>0</v>
      </c>
      <c r="FX52" s="4">
        <f t="shared" si="95"/>
        <v>0.77574950638111173</v>
      </c>
      <c r="FY52" s="4">
        <f t="shared" si="96"/>
        <v>0.55812019537399915</v>
      </c>
      <c r="FZ52" s="4">
        <f t="shared" si="97"/>
        <v>0.83084053097068133</v>
      </c>
      <c r="GA52" s="4">
        <f t="shared" si="98"/>
        <v>0.44890438587495307</v>
      </c>
      <c r="GB52" s="4">
        <f t="shared" si="99"/>
        <v>0.57121212121212128</v>
      </c>
      <c r="GC52" s="4">
        <f t="shared" si="100"/>
        <v>1.1360408974723089</v>
      </c>
      <c r="GD52" s="4">
        <f t="shared" si="101"/>
        <v>1.1491640543364683</v>
      </c>
      <c r="GE52" s="4">
        <f t="shared" si="102"/>
        <v>3.0001807337791435</v>
      </c>
      <c r="GF52" s="4">
        <f t="shared" si="103"/>
        <v>3.703290574456219</v>
      </c>
      <c r="GG52" s="4">
        <f t="shared" si="104"/>
        <v>0.94112578730150553</v>
      </c>
      <c r="GH52" s="4">
        <f t="shared" si="105"/>
        <v>3.1997984378936759</v>
      </c>
      <c r="GI52" s="4">
        <f t="shared" si="106"/>
        <v>12.530864197530864</v>
      </c>
      <c r="GJ52" s="4">
        <f t="shared" si="107"/>
        <v>0</v>
      </c>
      <c r="GK52" s="4">
        <f t="shared" si="108"/>
        <v>0</v>
      </c>
      <c r="GL52" s="4">
        <f t="shared" si="109"/>
        <v>6.8048644115180306</v>
      </c>
      <c r="GM52" s="4">
        <f t="shared" si="110"/>
        <v>2.6107505907948534</v>
      </c>
      <c r="GN52" s="4">
        <f t="shared" si="111"/>
        <v>1.4431458966565349</v>
      </c>
      <c r="GO52" s="4">
        <f t="shared" si="112"/>
        <v>1.9375569908814585</v>
      </c>
      <c r="GP52" s="4">
        <f t="shared" si="113"/>
        <v>0.49239583333333331</v>
      </c>
      <c r="GQ52" s="27">
        <f t="shared" si="114"/>
        <v>200473.11544971779</v>
      </c>
      <c r="GR52" s="28">
        <f t="shared" si="115"/>
        <v>24.597928276038996</v>
      </c>
      <c r="GS52" s="28">
        <f t="shared" si="116"/>
        <v>618.63789614238067</v>
      </c>
      <c r="GT52" s="28">
        <f t="shared" si="117"/>
        <v>20416.280469112367</v>
      </c>
      <c r="GU52" s="28">
        <f t="shared" si="118"/>
        <v>214.00197600153925</v>
      </c>
      <c r="GV52" s="28">
        <f t="shared" si="119"/>
        <v>34.437099586454593</v>
      </c>
      <c r="GW52" s="28">
        <f t="shared" si="120"/>
        <v>200473.11544971779</v>
      </c>
      <c r="GX52" s="28">
        <f t="shared" si="121"/>
        <v>116.8401593111852</v>
      </c>
      <c r="GY52" s="28">
        <f t="shared" si="122"/>
        <v>2162.7728436707284</v>
      </c>
      <c r="GZ52" s="28">
        <f t="shared" si="123"/>
        <v>1475.8756965623395</v>
      </c>
      <c r="HA52" s="28">
        <f t="shared" si="124"/>
        <v>1820.2466924268856</v>
      </c>
      <c r="HB52" s="28">
        <f t="shared" si="125"/>
        <v>180.79477282888658</v>
      </c>
      <c r="HC52" s="28">
        <f t="shared" si="126"/>
        <v>6358.5644593560801</v>
      </c>
      <c r="HD52" s="28">
        <f t="shared" si="127"/>
        <v>575.59152165931255</v>
      </c>
      <c r="HE52" s="28">
        <f t="shared" si="128"/>
        <v>73.793784828116969</v>
      </c>
      <c r="HF52" s="28">
        <f t="shared" si="129"/>
        <v>0</v>
      </c>
      <c r="HG52" s="28">
        <f t="shared" si="130"/>
        <v>372.65861338199073</v>
      </c>
      <c r="HH52" s="28">
        <f t="shared" si="131"/>
        <v>15.988653379425344</v>
      </c>
      <c r="HI52" s="28">
        <f t="shared" si="132"/>
        <v>6284.7706745279629</v>
      </c>
      <c r="HJ52" s="28">
        <f t="shared" si="133"/>
        <v>46.736063724474086</v>
      </c>
      <c r="HK52" s="28">
        <f t="shared" si="134"/>
        <v>0</v>
      </c>
      <c r="HL52" s="28">
        <f t="shared" si="135"/>
        <v>0</v>
      </c>
      <c r="HM52" s="28">
        <f t="shared" si="136"/>
        <v>34.437099586454593</v>
      </c>
      <c r="HN52" s="28">
        <f t="shared" si="137"/>
        <v>0</v>
      </c>
      <c r="HO52" s="28">
        <f t="shared" si="138"/>
        <v>0</v>
      </c>
      <c r="HP52" s="28">
        <f t="shared" si="139"/>
        <v>0</v>
      </c>
      <c r="HQ52" s="28">
        <f t="shared" si="140"/>
        <v>0</v>
      </c>
      <c r="HR52" s="28">
        <f t="shared" si="141"/>
        <v>0</v>
      </c>
      <c r="HT52" s="4">
        <f>IFERROR(GR52/'McDonough &amp; Sun 1995 values'!C$2,)</f>
        <v>1171.3299179066187</v>
      </c>
      <c r="HU52" s="4">
        <f>IFERROR(GS52/'McDonough &amp; Sun 1995 values'!D$2,)</f>
        <v>1031.0631602373012</v>
      </c>
      <c r="HV52" s="4">
        <f>IFERROR(GT52/'McDonough &amp; Sun 1995 values'!E$2,)</f>
        <v>3093.3758286533894</v>
      </c>
      <c r="HW52" s="4">
        <f>IFERROR(GU52/'McDonough &amp; Sun 1995 values'!F$2,)</f>
        <v>2691.8487547363429</v>
      </c>
      <c r="HX52" s="4">
        <f>IFERROR(GV52/'McDonough &amp; Sun 1995 values'!G$2,)</f>
        <v>1696.4088466233791</v>
      </c>
      <c r="HY52" s="4">
        <f>IFERROR(GW52/'McDonough &amp; Sun 1995 values'!H$2,)</f>
        <v>835.30464770715741</v>
      </c>
      <c r="HZ52" s="4">
        <f>IFERROR(GX52/'McDonough &amp; Sun 1995 values'!I$2,)</f>
        <v>3157.8421435455462</v>
      </c>
      <c r="IA52" s="4">
        <f>IFERROR(GY52/'McDonough &amp; Sun 1995 values'!J$2,)</f>
        <v>3286.8888201682803</v>
      </c>
      <c r="IB52" s="4">
        <f>IFERROR(GZ52/'McDonough &amp; Sun 1995 values'!K$2,)</f>
        <v>2277.5859514850918</v>
      </c>
      <c r="IC52" s="4">
        <f>IFERROR(HA52/'McDonough &amp; Sun 1995 values'!L$2,)</f>
        <v>1086.7144432399316</v>
      </c>
      <c r="ID52" s="4">
        <f>IFERROR(HB52/'McDonough &amp; Sun 1995 values'!M$2,)</f>
        <v>711.79044420821492</v>
      </c>
      <c r="IE52" s="4">
        <f>IFERROR(HC52/'McDonough &amp; Sun 1995 values'!N$2,)</f>
        <v>319.52585222894879</v>
      </c>
      <c r="IF52" s="4">
        <f>IFERROR(HD52/'McDonough &amp; Sun 1995 values'!O$2,)</f>
        <v>460.47321732745002</v>
      </c>
      <c r="IG52" s="4">
        <f>IFERROR(HE52/'McDonough &amp; Sun 1995 values'!P$2,)</f>
        <v>181.75809070964769</v>
      </c>
      <c r="IH52" s="4">
        <f>IFERROR(HF52/'McDonough &amp; Sun 1995 values'!Q$2,)</f>
        <v>0</v>
      </c>
      <c r="II52" s="4">
        <f>IFERROR(HG52/'McDonough &amp; Sun 1995 values'!R$2,)</f>
        <v>35.491296512570543</v>
      </c>
      <c r="IJ52" s="4">
        <f>IFERROR(HH52/'McDonough &amp; Sun 1995 values'!S$2,)</f>
        <v>103.82242454172301</v>
      </c>
      <c r="IK52" s="4">
        <f>IFERROR(HI52/'McDonough &amp; Sun 1995 values'!T$2,)</f>
        <v>5.21557732325972</v>
      </c>
      <c r="IL52" s="4">
        <f>IFERROR(HJ52/'McDonough &amp; Sun 1995 values'!U$2,)</f>
        <v>85.911881846459707</v>
      </c>
      <c r="IM52" s="4">
        <f>IFERROR(HK52/'McDonough &amp; Sun 1995 values'!V$2,)</f>
        <v>0</v>
      </c>
      <c r="IN52" s="4">
        <f>IFERROR(HL52/'McDonough &amp; Sun 1995 values'!W$2,)</f>
        <v>0</v>
      </c>
      <c r="IO52" s="4">
        <f>IFERROR(HM52/'McDonough &amp; Sun 1995 values'!X$2,)</f>
        <v>8.0086278108033948</v>
      </c>
      <c r="IP52" s="4">
        <f>IFERROR(HN52/'McDonough &amp; Sun 1995 values'!Y$2,)</f>
        <v>0</v>
      </c>
      <c r="IQ52" s="4">
        <f>IFERROR(HO52/'McDonough &amp; Sun 1995 values'!Z$2,)</f>
        <v>0</v>
      </c>
      <c r="IR52" s="4">
        <f>IFERROR(HP52/'McDonough &amp; Sun 1995 values'!AA$2,)</f>
        <v>0</v>
      </c>
      <c r="IS52" s="4">
        <f>IFERROR(HQ52/'McDonough &amp; Sun 1995 values'!AB$2,)</f>
        <v>0</v>
      </c>
      <c r="IT52" s="4">
        <f>IFERROR(HR52/'McDonough &amp; Sun 1995 values'!AC$2,)</f>
        <v>0</v>
      </c>
    </row>
    <row r="53" spans="1:254">
      <c r="A53" s="16" t="s">
        <v>1494</v>
      </c>
      <c r="B53" s="16" t="s">
        <v>24</v>
      </c>
      <c r="C53" s="16" t="str">
        <f t="shared" si="0"/>
        <v>high-Mg carbonatitic</v>
      </c>
      <c r="D53" s="16" t="s">
        <v>25</v>
      </c>
      <c r="E53" s="16" t="s">
        <v>237</v>
      </c>
      <c r="F53" s="16" t="s">
        <v>163</v>
      </c>
      <c r="G53" s="16" t="s">
        <v>595</v>
      </c>
      <c r="H53" s="27">
        <v>355</v>
      </c>
      <c r="I53" s="16" t="s">
        <v>735</v>
      </c>
      <c r="J53" s="16" t="s">
        <v>1426</v>
      </c>
      <c r="K53" s="16" t="s">
        <v>115</v>
      </c>
      <c r="L53" s="16">
        <v>0</v>
      </c>
      <c r="M53" s="16" t="s">
        <v>810</v>
      </c>
      <c r="N53" s="16">
        <v>27</v>
      </c>
      <c r="O53" s="26">
        <v>9.1999999999999993</v>
      </c>
      <c r="P53" s="26">
        <v>1.1000000000000001</v>
      </c>
      <c r="Q53" s="26">
        <v>0.8</v>
      </c>
      <c r="R53" s="26">
        <v>0.7</v>
      </c>
      <c r="S53" s="26">
        <v>7.1</v>
      </c>
      <c r="T53" s="26">
        <v>22.8</v>
      </c>
      <c r="U53" s="26"/>
      <c r="V53" s="26">
        <v>18.8</v>
      </c>
      <c r="W53" s="26">
        <v>12.1</v>
      </c>
      <c r="X53" s="26">
        <v>18.600000000000001</v>
      </c>
      <c r="Y53" s="26"/>
      <c r="Z53" s="26">
        <v>2.7</v>
      </c>
      <c r="AA53" s="26"/>
      <c r="AB53" s="26">
        <v>2.1</v>
      </c>
      <c r="AC53" s="26"/>
      <c r="AD53" s="26">
        <v>3.7</v>
      </c>
      <c r="AE53" s="26"/>
      <c r="AF53" s="26"/>
      <c r="AG53" s="26"/>
      <c r="AH53" s="26"/>
      <c r="AI53" s="26">
        <v>3.3</v>
      </c>
      <c r="AJ53" s="26">
        <f t="shared" si="62"/>
        <v>98.9</v>
      </c>
      <c r="AK53" s="26">
        <f t="shared" si="73"/>
        <v>9.3815306329383361</v>
      </c>
      <c r="AL53" s="26">
        <f t="shared" si="74"/>
        <v>1.1217047495904533</v>
      </c>
      <c r="AM53" s="26">
        <f t="shared" si="75"/>
        <v>0.71381211337574291</v>
      </c>
      <c r="AN53" s="26">
        <f t="shared" si="76"/>
        <v>7.2400942928111069</v>
      </c>
      <c r="AO53" s="26">
        <f t="shared" si="77"/>
        <v>23.249880264238488</v>
      </c>
      <c r="AP53" s="26">
        <f t="shared" si="78"/>
        <v>19.170953902091384</v>
      </c>
      <c r="AQ53" s="26">
        <f t="shared" si="79"/>
        <v>2.1414363401272287</v>
      </c>
      <c r="AR53" s="26">
        <f t="shared" si="80"/>
        <v>12.338752245494986</v>
      </c>
      <c r="AS53" s="26">
        <f t="shared" si="81"/>
        <v>18.967007583984032</v>
      </c>
      <c r="AT53" s="26">
        <f t="shared" si="82"/>
        <v>2.7532752944492946</v>
      </c>
      <c r="AU53" s="26">
        <f t="shared" si="83"/>
        <v>3.7730068849860703</v>
      </c>
      <c r="AV53" s="26">
        <f t="shared" si="7"/>
        <v>100.85145430408713</v>
      </c>
      <c r="AW53" s="26"/>
      <c r="AX53" s="26"/>
      <c r="AY53" s="26"/>
      <c r="AZ53" s="26"/>
      <c r="BA53" s="26">
        <v>0.67</v>
      </c>
      <c r="BB53" s="53"/>
      <c r="BC53" s="26">
        <f t="shared" si="142"/>
        <v>0.32999999999999996</v>
      </c>
      <c r="BD53" s="26">
        <f t="shared" si="143"/>
        <v>0.67</v>
      </c>
      <c r="BE53" s="25">
        <v>-4.0999999999999996</v>
      </c>
      <c r="BF53" s="16"/>
      <c r="BG53" s="16"/>
      <c r="BH53" s="16"/>
      <c r="BI53" s="16"/>
      <c r="BJ53" s="16"/>
      <c r="BK53" s="18"/>
      <c r="BL53" s="18"/>
      <c r="BM53" s="18"/>
      <c r="BN53" s="18"/>
      <c r="BO53" s="18"/>
      <c r="BP53" s="18"/>
      <c r="BQ53" s="18"/>
      <c r="BR53" s="18">
        <v>740</v>
      </c>
      <c r="BS53" s="18"/>
      <c r="BT53" s="18">
        <v>58.1</v>
      </c>
      <c r="BU53" s="18"/>
      <c r="BV53" s="18"/>
      <c r="BW53" s="18"/>
      <c r="BX53" s="18"/>
      <c r="BY53" s="18"/>
      <c r="BZ53" s="18">
        <v>0</v>
      </c>
      <c r="CA53" s="18">
        <v>0</v>
      </c>
      <c r="CB53" s="18"/>
      <c r="CC53" s="18"/>
      <c r="CD53" s="18"/>
      <c r="CE53" s="18"/>
      <c r="CF53" s="18"/>
      <c r="CG53" s="18"/>
      <c r="CH53" s="18">
        <v>3.77</v>
      </c>
      <c r="CI53" s="18">
        <v>21</v>
      </c>
      <c r="CJ53" s="18">
        <v>0.125</v>
      </c>
      <c r="CK53" s="18">
        <v>2.74</v>
      </c>
      <c r="CL53" s="18"/>
      <c r="CM53" s="18">
        <v>5.4189999999999996</v>
      </c>
      <c r="CN53" s="18"/>
      <c r="CO53" s="18"/>
      <c r="CP53" s="18"/>
      <c r="CQ53" s="18"/>
      <c r="CR53" s="18">
        <v>4.1000000000000002E-2</v>
      </c>
      <c r="CS53" s="18">
        <v>48.4</v>
      </c>
      <c r="CT53" s="18"/>
      <c r="CU53" s="18">
        <v>3.98</v>
      </c>
      <c r="CV53" s="18">
        <v>5.62</v>
      </c>
      <c r="CW53" s="18">
        <v>0.628</v>
      </c>
      <c r="CX53" s="18">
        <v>2.15</v>
      </c>
      <c r="CY53" s="18">
        <v>0.22800000000000001</v>
      </c>
      <c r="CZ53" s="18">
        <v>5.8999999999999997E-2</v>
      </c>
      <c r="DA53" s="18">
        <v>0.13500000000000001</v>
      </c>
      <c r="DB53" s="18">
        <v>4.2999999999999997E-2</v>
      </c>
      <c r="DC53" s="18">
        <v>6.0000000000000001E-3</v>
      </c>
      <c r="DD53" s="18">
        <v>0</v>
      </c>
      <c r="DE53" s="18"/>
      <c r="DF53" s="18">
        <v>1.2E-2</v>
      </c>
      <c r="DG53" s="18"/>
      <c r="DH53" s="18">
        <v>6.7000000000000004E-2</v>
      </c>
      <c r="DI53" s="18">
        <v>0.22700000000000001</v>
      </c>
      <c r="DJ53" s="18"/>
      <c r="DK53" s="18"/>
      <c r="DL53" s="18">
        <v>0.47899999999999998</v>
      </c>
      <c r="DM53" s="18">
        <v>8.6999999999999994E-2</v>
      </c>
      <c r="DN53" s="18"/>
      <c r="DO53" s="18"/>
      <c r="DP53" s="18"/>
      <c r="DQ53" s="18"/>
      <c r="DR53" s="18"/>
      <c r="DS53" s="18"/>
      <c r="DT53" s="18"/>
      <c r="DU53" s="18"/>
      <c r="DV53" s="28">
        <v>0.70526999999999995</v>
      </c>
      <c r="DW53" s="28">
        <v>4.0000000000000003E-5</v>
      </c>
      <c r="DX53" s="28">
        <v>0.70360999999999996</v>
      </c>
      <c r="DY53" s="28"/>
      <c r="DZ53" s="28">
        <v>-6.6639999999999997</v>
      </c>
      <c r="EA53" s="28"/>
      <c r="EB53" s="28"/>
      <c r="EC53" s="28"/>
      <c r="ED53" s="28"/>
      <c r="EE53" s="28"/>
      <c r="EF53" s="28"/>
      <c r="EG53" s="28"/>
      <c r="EH53" s="28"/>
      <c r="EI53" s="28"/>
      <c r="EJ53" s="18"/>
      <c r="EK53" s="18"/>
      <c r="EL53" s="18">
        <f>IFERROR(CR53/'McDonough &amp; Sun 1995 values'!C$2,)</f>
        <v>1.9523809523809523</v>
      </c>
      <c r="EM53" s="18">
        <f>IFERROR(CH53/'McDonough &amp; Sun 1995 values'!D$2,)</f>
        <v>6.2833333333333332</v>
      </c>
      <c r="EN53" s="18">
        <f>IFERROR(CS53/'McDonough &amp; Sun 1995 values'!E$2,)</f>
        <v>7.3333333333333339</v>
      </c>
      <c r="EO53" s="18">
        <f>IFERROR(DL53/'McDonough &amp; Sun 1995 values'!F$2,)</f>
        <v>6.0251572327044025</v>
      </c>
      <c r="EP53" s="18">
        <f>IFERROR(DM53/'McDonough &amp; Sun 1995 values'!G$2,)</f>
        <v>4.2857142857142856</v>
      </c>
      <c r="EQ53" s="18">
        <f>IFERROR(BR53/'McDonough &amp; Sun 1995 values'!H$2,)</f>
        <v>3.0833333333333335</v>
      </c>
      <c r="ER53" s="18">
        <f>IFERROR(DI53/'McDonough &amp; Sun 1995 values'!I$2,)</f>
        <v>6.135135135135136</v>
      </c>
      <c r="ES53" s="18">
        <f>IFERROR(CM53/'McDonough &amp; Sun 1995 values'!J$2,)</f>
        <v>8.2355623100303941</v>
      </c>
      <c r="ET53" s="18">
        <f>IFERROR(CU53/'McDonough &amp; Sun 1995 values'!K$2,)</f>
        <v>6.1419753086419755</v>
      </c>
      <c r="EU53" s="18">
        <f>IFERROR(CV53/'McDonough &amp; Sun 1995 values'!L$2,)</f>
        <v>3.3552238805970149</v>
      </c>
      <c r="EV53" s="18">
        <f>IFERROR(CW53/'McDonough &amp; Sun 1995 values'!M$2,)</f>
        <v>2.4724409448818898</v>
      </c>
      <c r="EW53" s="18">
        <f>IFERROR(CI53/'McDonough &amp; Sun 1995 values'!N$2,)</f>
        <v>1.0552763819095479</v>
      </c>
      <c r="EX53" s="18">
        <f>IFERROR(CX53/'McDonough &amp; Sun 1995 values'!O$2,)</f>
        <v>1.72</v>
      </c>
      <c r="EY53" s="18">
        <f>IFERROR(CY53/'McDonough &amp; Sun 1995 values'!P$2,)</f>
        <v>0.56157635467980294</v>
      </c>
      <c r="EZ53" s="18">
        <f>IFERROR(DH53/'McDonough &amp; Sun 1995 values'!Q$2,)</f>
        <v>0.2367491166077739</v>
      </c>
      <c r="FA53" s="18">
        <f>IFERROR(CK53/'McDonough &amp; Sun 1995 values'!R$2,)</f>
        <v>0.26095238095238099</v>
      </c>
      <c r="FB53" s="18">
        <f>IFERROR(CZ53/'McDonough &amp; Sun 1995 values'!S$2,)</f>
        <v>0.38311688311688308</v>
      </c>
      <c r="FC53" s="18">
        <f>IFERROR(BT53/'McDonough &amp; Sun 1995 values'!T$2,)</f>
        <v>4.8215767634854773E-2</v>
      </c>
      <c r="FD53" s="18">
        <f>IFERROR(DA53/'McDonough &amp; Sun 1995 values'!U$2,)</f>
        <v>0.24816176470588236</v>
      </c>
      <c r="FE53" s="18">
        <f>IFERROR(DN53/'McDonough &amp; Sun 1995 values'!V$2,)</f>
        <v>0</v>
      </c>
      <c r="FF53" s="18">
        <f>IFERROR(DB53/'McDonough &amp; Sun 1995 values'!W$2,)</f>
        <v>6.3798219584569729E-2</v>
      </c>
      <c r="FG53" s="18">
        <f>IFERROR(CJ53/'McDonough &amp; Sun 1995 values'!X$2,)</f>
        <v>2.9069767441860465E-2</v>
      </c>
      <c r="FH53" s="18">
        <f>IFERROR(DC53/'McDonough &amp; Sun 1995 values'!Y$2,)</f>
        <v>4.0268456375838931E-2</v>
      </c>
      <c r="FI53" s="18">
        <f>IFERROR(DD53/'McDonough &amp; Sun 1995 values'!Z$2,)</f>
        <v>0</v>
      </c>
      <c r="FJ53" s="18">
        <f>IFERROR(DE53/'McDonough &amp; Sun 1995 values'!AA$2,)</f>
        <v>0</v>
      </c>
      <c r="FK53" s="18">
        <f>IFERROR(DF53/'McDonough &amp; Sun 1995 values'!AB$2,)</f>
        <v>2.7210884353741496E-2</v>
      </c>
      <c r="FL53" s="18">
        <f>IFERROR(DG53/'McDonough &amp; Sun 1995 values'!AC$2,)</f>
        <v>0</v>
      </c>
      <c r="FN53" s="28">
        <f t="shared" si="68"/>
        <v>1.3899613899613898</v>
      </c>
      <c r="FO53" s="4">
        <f t="shared" si="86"/>
        <v>1.7111111111111112</v>
      </c>
      <c r="FP53" s="4">
        <f t="shared" si="87"/>
        <v>0.73160240987626823</v>
      </c>
      <c r="FQ53" s="4">
        <f t="shared" si="88"/>
        <v>1.4058700209643606</v>
      </c>
      <c r="FR53" s="4">
        <f t="shared" si="89"/>
        <v>0.74578700001594767</v>
      </c>
      <c r="FS53" s="4">
        <f t="shared" si="90"/>
        <v>1.0011149181486918</v>
      </c>
      <c r="FT53" s="4">
        <f t="shared" si="91"/>
        <v>3.2182926829268292</v>
      </c>
      <c r="FU53" s="4">
        <f t="shared" si="92"/>
        <v>0.74495643456706406</v>
      </c>
      <c r="FV53" s="4">
        <f t="shared" si="93"/>
        <v>0.46467836257309952</v>
      </c>
      <c r="FW53" s="4">
        <f t="shared" si="94"/>
        <v>1.102231698649609</v>
      </c>
      <c r="FX53" s="4">
        <f t="shared" si="95"/>
        <v>0.94627355176890515</v>
      </c>
      <c r="FY53" s="4">
        <f t="shared" si="96"/>
        <v>0.51172782394583161</v>
      </c>
      <c r="FZ53" s="4">
        <f t="shared" si="97"/>
        <v>1.0262648389023208</v>
      </c>
      <c r="GA53" s="4">
        <f t="shared" si="98"/>
        <v>0.42681560669589991</v>
      </c>
      <c r="GB53" s="4">
        <f t="shared" si="99"/>
        <v>0.68221690590111639</v>
      </c>
      <c r="GC53" s="4">
        <f t="shared" si="100"/>
        <v>0.31072375899962107</v>
      </c>
      <c r="GD53" s="4">
        <f t="shared" si="101"/>
        <v>1.2171189979123174</v>
      </c>
      <c r="GE53" s="4">
        <f t="shared" si="102"/>
        <v>1.1671087533156499</v>
      </c>
      <c r="GF53" s="4">
        <f t="shared" si="103"/>
        <v>2.3783783783783785</v>
      </c>
      <c r="GG53" s="4">
        <f t="shared" si="104"/>
        <v>0.89044719197884004</v>
      </c>
      <c r="GH53" s="4">
        <f t="shared" si="105"/>
        <v>2.4841747267437291</v>
      </c>
      <c r="GI53" s="4">
        <f t="shared" si="106"/>
        <v>10.937026207494045</v>
      </c>
      <c r="GJ53" s="4">
        <f t="shared" si="107"/>
        <v>96.271892047085856</v>
      </c>
      <c r="GK53" s="4">
        <f t="shared" si="108"/>
        <v>225.71759259259261</v>
      </c>
      <c r="GL53" s="4">
        <f t="shared" si="109"/>
        <v>5.4121793295631511</v>
      </c>
      <c r="GM53" s="4">
        <f t="shared" si="110"/>
        <v>0.95891096541714627</v>
      </c>
      <c r="GN53" s="4">
        <f t="shared" si="111"/>
        <v>1.3408654213315816</v>
      </c>
      <c r="GO53" s="4">
        <f t="shared" si="112"/>
        <v>1.9216312056737588</v>
      </c>
      <c r="GP53" s="4">
        <f t="shared" si="113"/>
        <v>0.71944444444444455</v>
      </c>
      <c r="GQ53" s="27">
        <f t="shared" si="114"/>
        <v>157452.20554186407</v>
      </c>
      <c r="GR53" s="28">
        <f t="shared" si="115"/>
        <v>8.7237032800221996</v>
      </c>
      <c r="GS53" s="28">
        <f t="shared" si="116"/>
        <v>802.15515526057777</v>
      </c>
      <c r="GT53" s="28">
        <f t="shared" si="117"/>
        <v>10298.225335440839</v>
      </c>
      <c r="GU53" s="28">
        <f t="shared" si="118"/>
        <v>101.91838710074714</v>
      </c>
      <c r="GV53" s="28">
        <f t="shared" si="119"/>
        <v>18.511272813705641</v>
      </c>
      <c r="GW53" s="28">
        <f t="shared" si="120"/>
        <v>157452.20554186407</v>
      </c>
      <c r="GX53" s="28">
        <f t="shared" si="121"/>
        <v>48.299527916220462</v>
      </c>
      <c r="GY53" s="28">
        <f t="shared" si="122"/>
        <v>1153.0182457180558</v>
      </c>
      <c r="GZ53" s="28">
        <f t="shared" si="123"/>
        <v>846.83753791435004</v>
      </c>
      <c r="HA53" s="28">
        <f t="shared" si="124"/>
        <v>1195.7856691152379</v>
      </c>
      <c r="HB53" s="28">
        <f t="shared" si="125"/>
        <v>133.62160145985223</v>
      </c>
      <c r="HC53" s="28">
        <f t="shared" si="126"/>
        <v>4468.2382653772238</v>
      </c>
      <c r="HD53" s="28">
        <f t="shared" si="127"/>
        <v>457.46248907433477</v>
      </c>
      <c r="HE53" s="28">
        <f t="shared" si="128"/>
        <v>48.51230116695271</v>
      </c>
      <c r="HF53" s="28">
        <f t="shared" si="129"/>
        <v>14.255807799060667</v>
      </c>
      <c r="HG53" s="28">
        <f t="shared" si="130"/>
        <v>582.99870700636154</v>
      </c>
      <c r="HH53" s="28">
        <f t="shared" si="131"/>
        <v>12.553621793202675</v>
      </c>
      <c r="HI53" s="28">
        <f t="shared" si="132"/>
        <v>12362.125867543653</v>
      </c>
      <c r="HJ53" s="28">
        <f t="shared" si="133"/>
        <v>28.724388848853582</v>
      </c>
      <c r="HK53" s="28">
        <f t="shared" si="134"/>
        <v>0</v>
      </c>
      <c r="HL53" s="28">
        <f t="shared" si="135"/>
        <v>9.1492497814866951</v>
      </c>
      <c r="HM53" s="28">
        <f t="shared" si="136"/>
        <v>26.596656341531094</v>
      </c>
      <c r="HN53" s="28">
        <f t="shared" si="137"/>
        <v>1.2766395043934926</v>
      </c>
      <c r="HO53" s="28">
        <f t="shared" si="138"/>
        <v>0</v>
      </c>
      <c r="HP53" s="28">
        <f t="shared" si="139"/>
        <v>0</v>
      </c>
      <c r="HQ53" s="28">
        <f t="shared" si="140"/>
        <v>2.5532790087869852</v>
      </c>
      <c r="HR53" s="28">
        <f t="shared" si="141"/>
        <v>0</v>
      </c>
      <c r="HT53" s="4">
        <f>IFERROR(GR53/'McDonough &amp; Sun 1995 values'!C$2,)</f>
        <v>415.41444190581899</v>
      </c>
      <c r="HU53" s="4">
        <f>IFERROR(GS53/'McDonough &amp; Sun 1995 values'!D$2,)</f>
        <v>1336.9252587676297</v>
      </c>
      <c r="HV53" s="4">
        <f>IFERROR(GT53/'McDonough &amp; Sun 1995 values'!E$2,)</f>
        <v>1560.3371720364908</v>
      </c>
      <c r="HW53" s="4">
        <f>IFERROR(GU53/'McDonough &amp; Sun 1995 values'!F$2,)</f>
        <v>1281.9922905754356</v>
      </c>
      <c r="HX53" s="4">
        <f>IFERROR(GV53/'McDonough &amp; Sun 1995 values'!G$2,)</f>
        <v>911.88536028106614</v>
      </c>
      <c r="HY53" s="4">
        <f>IFERROR(GW53/'McDonough &amp; Sun 1995 values'!H$2,)</f>
        <v>656.05085642443362</v>
      </c>
      <c r="HZ53" s="4">
        <f>IFERROR(GX53/'McDonough &amp; Sun 1995 values'!I$2,)</f>
        <v>1305.3926463843368</v>
      </c>
      <c r="IA53" s="4">
        <f>IFERROR(GY53/'McDonough &amp; Sun 1995 values'!J$2,)</f>
        <v>1752.3073643131547</v>
      </c>
      <c r="IB53" s="4">
        <f>IFERROR(GZ53/'McDonough &amp; Sun 1995 values'!K$2,)</f>
        <v>1306.8480523369599</v>
      </c>
      <c r="IC53" s="4">
        <f>IFERROR(HA53/'McDonough &amp; Sun 1995 values'!L$2,)</f>
        <v>713.9018920090972</v>
      </c>
      <c r="ID53" s="4">
        <f>IFERROR(HB53/'McDonough &amp; Sun 1995 values'!M$2,)</f>
        <v>526.06929708603241</v>
      </c>
      <c r="IE53" s="4">
        <f>IFERROR(HC53/'McDonough &amp; Sun 1995 values'!N$2,)</f>
        <v>224.53458619986051</v>
      </c>
      <c r="IF53" s="4">
        <f>IFERROR(HD53/'McDonough &amp; Sun 1995 values'!O$2,)</f>
        <v>365.9699912594678</v>
      </c>
      <c r="IG53" s="4">
        <f>IFERROR(HE53/'McDonough &amp; Sun 1995 values'!P$2,)</f>
        <v>119.48842651958795</v>
      </c>
      <c r="IH53" s="4">
        <f>IFERROR(HF53/'McDonough &amp; Sun 1995 values'!Q$2,)</f>
        <v>50.373879148624269</v>
      </c>
      <c r="II53" s="4">
        <f>IFERROR(HG53/'McDonough &amp; Sun 1995 values'!R$2,)</f>
        <v>55.523686381558242</v>
      </c>
      <c r="IJ53" s="4">
        <f>IFERROR(HH53/'McDonough &amp; Sun 1995 values'!S$2,)</f>
        <v>81.517024631186203</v>
      </c>
      <c r="IK53" s="4">
        <f>IFERROR(HI53/'McDonough &amp; Sun 1995 values'!T$2,)</f>
        <v>10.2590256162188</v>
      </c>
      <c r="IL53" s="4">
        <f>IFERROR(HJ53/'McDonough &amp; Sun 1995 values'!U$2,)</f>
        <v>52.802185383922023</v>
      </c>
      <c r="IM53" s="4">
        <f>IFERROR(HK53/'McDonough &amp; Sun 1995 values'!V$2,)</f>
        <v>0</v>
      </c>
      <c r="IN53" s="4">
        <f>IFERROR(HL53/'McDonough &amp; Sun 1995 values'!W$2,)</f>
        <v>13.574554571938716</v>
      </c>
      <c r="IO53" s="4">
        <f>IFERROR(HM53/'McDonough &amp; Sun 1995 values'!X$2,)</f>
        <v>6.1852689166351382</v>
      </c>
      <c r="IP53" s="4">
        <f>IFERROR(HN53/'McDonough &amp; Sun 1995 values'!Y$2,)</f>
        <v>8.5680503650569975</v>
      </c>
      <c r="IQ53" s="4">
        <f>IFERROR(HO53/'McDonough &amp; Sun 1995 values'!Z$2,)</f>
        <v>0</v>
      </c>
      <c r="IR53" s="4">
        <f>IFERROR(HP53/'McDonough &amp; Sun 1995 values'!AA$2,)</f>
        <v>0</v>
      </c>
      <c r="IS53" s="4">
        <f>IFERROR(HQ53/'McDonough &amp; Sun 1995 values'!AB$2,)</f>
        <v>5.7897483192448647</v>
      </c>
      <c r="IT53" s="4">
        <f>IFERROR(HR53/'McDonough &amp; Sun 1995 values'!AC$2,)</f>
        <v>0</v>
      </c>
    </row>
    <row r="54" spans="1:254">
      <c r="A54" s="16" t="s">
        <v>1494</v>
      </c>
      <c r="B54" s="16" t="s">
        <v>24</v>
      </c>
      <c r="C54" s="16" t="str">
        <f t="shared" si="0"/>
        <v>high-Mg carbonatitic</v>
      </c>
      <c r="D54" s="16" t="s">
        <v>25</v>
      </c>
      <c r="E54" s="16" t="s">
        <v>237</v>
      </c>
      <c r="F54" s="16" t="s">
        <v>163</v>
      </c>
      <c r="G54" s="16" t="s">
        <v>595</v>
      </c>
      <c r="H54" s="27">
        <v>355</v>
      </c>
      <c r="I54" s="16" t="s">
        <v>735</v>
      </c>
      <c r="J54" s="16" t="s">
        <v>1426</v>
      </c>
      <c r="K54" s="16" t="s">
        <v>115</v>
      </c>
      <c r="L54" s="16">
        <v>0</v>
      </c>
      <c r="M54" s="16" t="s">
        <v>812</v>
      </c>
      <c r="N54" s="16">
        <v>28</v>
      </c>
      <c r="O54" s="26">
        <v>8</v>
      </c>
      <c r="P54" s="26">
        <v>0.6</v>
      </c>
      <c r="Q54" s="26">
        <v>0.3</v>
      </c>
      <c r="R54" s="26">
        <v>0.6</v>
      </c>
      <c r="S54" s="26">
        <v>8.5</v>
      </c>
      <c r="T54" s="26">
        <v>22</v>
      </c>
      <c r="U54" s="26"/>
      <c r="V54" s="26">
        <v>20.6</v>
      </c>
      <c r="W54" s="26">
        <v>8.1999999999999993</v>
      </c>
      <c r="X54" s="26">
        <v>23.5</v>
      </c>
      <c r="Y54" s="26"/>
      <c r="Z54" s="26">
        <v>3.1</v>
      </c>
      <c r="AA54" s="26"/>
      <c r="AB54" s="26">
        <v>1.5</v>
      </c>
      <c r="AC54" s="26"/>
      <c r="AD54" s="26">
        <v>4</v>
      </c>
      <c r="AE54" s="26"/>
      <c r="AF54" s="26"/>
      <c r="AG54" s="26"/>
      <c r="AH54" s="26"/>
      <c r="AI54" s="26">
        <v>4.3</v>
      </c>
      <c r="AJ54" s="26">
        <f t="shared" si="62"/>
        <v>100.6</v>
      </c>
      <c r="AK54" s="26">
        <f t="shared" si="73"/>
        <v>8.024287901037555</v>
      </c>
      <c r="AL54" s="26">
        <f t="shared" si="74"/>
        <v>0.60182159257781664</v>
      </c>
      <c r="AM54" s="26">
        <f t="shared" si="75"/>
        <v>0.60182159257781664</v>
      </c>
      <c r="AN54" s="26">
        <f t="shared" si="76"/>
        <v>8.525805894852402</v>
      </c>
      <c r="AO54" s="26">
        <f t="shared" si="77"/>
        <v>22.066791727853278</v>
      </c>
      <c r="AP54" s="26">
        <f t="shared" si="78"/>
        <v>20.662541345171707</v>
      </c>
      <c r="AQ54" s="26">
        <f t="shared" si="79"/>
        <v>1.5045539814445417</v>
      </c>
      <c r="AR54" s="26">
        <f t="shared" si="80"/>
        <v>8.2248950985634934</v>
      </c>
      <c r="AS54" s="26">
        <f t="shared" si="81"/>
        <v>23.57134570929782</v>
      </c>
      <c r="AT54" s="26">
        <f t="shared" si="82"/>
        <v>3.1094115616520526</v>
      </c>
      <c r="AU54" s="26">
        <f t="shared" si="83"/>
        <v>4.0121439505187775</v>
      </c>
      <c r="AV54" s="26">
        <f t="shared" si="7"/>
        <v>100.90542035554726</v>
      </c>
      <c r="AW54" s="26"/>
      <c r="AX54" s="26"/>
      <c r="AY54" s="26"/>
      <c r="AZ54" s="26"/>
      <c r="BA54" s="26">
        <v>0.66</v>
      </c>
      <c r="BB54" s="53"/>
      <c r="BC54" s="26">
        <f t="shared" si="142"/>
        <v>0.33999999999999997</v>
      </c>
      <c r="BD54" s="26">
        <f t="shared" si="143"/>
        <v>0.66</v>
      </c>
      <c r="BE54" s="16"/>
      <c r="BF54" s="16"/>
      <c r="BG54" s="16"/>
      <c r="BH54" s="16"/>
      <c r="BI54" s="16"/>
      <c r="BJ54" s="16"/>
      <c r="BK54" s="18"/>
      <c r="BL54" s="18"/>
      <c r="BM54" s="18"/>
      <c r="BN54" s="18"/>
      <c r="BO54" s="18"/>
      <c r="BP54" s="18"/>
      <c r="BQ54" s="18"/>
      <c r="BR54" s="18">
        <v>435</v>
      </c>
      <c r="BS54" s="18"/>
      <c r="BT54" s="18">
        <v>9.6199999999999992</v>
      </c>
      <c r="BU54" s="18"/>
      <c r="BV54" s="18"/>
      <c r="BW54" s="18"/>
      <c r="BX54" s="18"/>
      <c r="BY54" s="18"/>
      <c r="BZ54" s="18">
        <v>0</v>
      </c>
      <c r="CA54" s="18">
        <v>0</v>
      </c>
      <c r="CB54" s="18"/>
      <c r="CC54" s="18"/>
      <c r="CD54" s="18"/>
      <c r="CE54" s="18"/>
      <c r="CF54" s="18"/>
      <c r="CG54" s="18"/>
      <c r="CH54" s="18">
        <v>1.56</v>
      </c>
      <c r="CI54" s="18">
        <v>13</v>
      </c>
      <c r="CJ54" s="18">
        <v>2.3E-2</v>
      </c>
      <c r="CK54" s="18">
        <v>0.91</v>
      </c>
      <c r="CL54" s="18"/>
      <c r="CM54" s="18">
        <v>3.6644999999999999</v>
      </c>
      <c r="CN54" s="18"/>
      <c r="CO54" s="18"/>
      <c r="CP54" s="18"/>
      <c r="CQ54" s="18"/>
      <c r="CR54" s="18">
        <v>2.1999999999999999E-2</v>
      </c>
      <c r="CS54" s="18">
        <v>36</v>
      </c>
      <c r="CT54" s="18"/>
      <c r="CU54" s="18">
        <v>2.83</v>
      </c>
      <c r="CV54" s="18">
        <v>3.72</v>
      </c>
      <c r="CW54" s="18">
        <v>0.38300000000000001</v>
      </c>
      <c r="CX54" s="18">
        <v>1.41</v>
      </c>
      <c r="CY54" s="18">
        <v>0.106</v>
      </c>
      <c r="CZ54" s="18">
        <v>2.3E-2</v>
      </c>
      <c r="DA54" s="18">
        <v>4.7E-2</v>
      </c>
      <c r="DB54" s="18"/>
      <c r="DC54" s="18"/>
      <c r="DD54" s="18"/>
      <c r="DE54" s="18"/>
      <c r="DF54" s="18"/>
      <c r="DG54" s="18"/>
      <c r="DH54" s="18">
        <v>2.4E-2</v>
      </c>
      <c r="DI54" s="18">
        <v>0.21099999999999999</v>
      </c>
      <c r="DJ54" s="18"/>
      <c r="DK54" s="18"/>
      <c r="DL54" s="18">
        <v>0.36399999999999999</v>
      </c>
      <c r="DM54" s="18">
        <v>6.5000000000000002E-2</v>
      </c>
      <c r="DN54" s="18"/>
      <c r="DO54" s="18"/>
      <c r="DP54" s="18"/>
      <c r="DQ54" s="18"/>
      <c r="DR54" s="18"/>
      <c r="DS54" s="18"/>
      <c r="DT54" s="18"/>
      <c r="DU54" s="18"/>
      <c r="DV54" s="51">
        <v>0.70477000000000001</v>
      </c>
      <c r="DW54" s="51">
        <v>6.0000000000000002E-5</v>
      </c>
      <c r="DX54" s="51">
        <v>0.70338999999999996</v>
      </c>
      <c r="DY54" s="51"/>
      <c r="DZ54" s="45">
        <v>-9.843</v>
      </c>
      <c r="EA54" s="28"/>
      <c r="EB54" s="28"/>
      <c r="EC54" s="28"/>
      <c r="ED54" s="28"/>
      <c r="EE54" s="28"/>
      <c r="EF54" s="28"/>
      <c r="EG54" s="28"/>
      <c r="EH54" s="28"/>
      <c r="EI54" s="28"/>
      <c r="EJ54" s="18"/>
      <c r="EK54" s="18"/>
      <c r="EL54" s="18">
        <f>IFERROR(CR54/'McDonough &amp; Sun 1995 values'!C$2,)</f>
        <v>1.0476190476190474</v>
      </c>
      <c r="EM54" s="18">
        <f>IFERROR(CH54/'McDonough &amp; Sun 1995 values'!D$2,)</f>
        <v>2.6</v>
      </c>
      <c r="EN54" s="18">
        <f>IFERROR(CS54/'McDonough &amp; Sun 1995 values'!E$2,)</f>
        <v>5.454545454545455</v>
      </c>
      <c r="EO54" s="18">
        <f>IFERROR(DL54/'McDonough &amp; Sun 1995 values'!F$2,)</f>
        <v>4.5786163522012577</v>
      </c>
      <c r="EP54" s="18">
        <f>IFERROR(DM54/'McDonough &amp; Sun 1995 values'!G$2,)</f>
        <v>3.201970443349754</v>
      </c>
      <c r="EQ54" s="18">
        <f>IFERROR(BR54/'McDonough &amp; Sun 1995 values'!H$2,)</f>
        <v>1.8125</v>
      </c>
      <c r="ER54" s="18">
        <f>IFERROR(DI54/'McDonough &amp; Sun 1995 values'!I$2,)</f>
        <v>5.7027027027027026</v>
      </c>
      <c r="ES54" s="18">
        <f>IFERROR(CM54/'McDonough &amp; Sun 1995 values'!J$2,)</f>
        <v>5.5691489361702127</v>
      </c>
      <c r="ET54" s="18">
        <f>IFERROR(CU54/'McDonough &amp; Sun 1995 values'!K$2,)</f>
        <v>4.367283950617284</v>
      </c>
      <c r="EU54" s="18">
        <f>IFERROR(CV54/'McDonough &amp; Sun 1995 values'!L$2,)</f>
        <v>2.2208955223880595</v>
      </c>
      <c r="EV54" s="18">
        <f>IFERROR(CW54/'McDonough &amp; Sun 1995 values'!M$2,)</f>
        <v>1.5078740157480315</v>
      </c>
      <c r="EW54" s="18">
        <f>IFERROR(CI54/'McDonough &amp; Sun 1995 values'!N$2,)</f>
        <v>0.65326633165829151</v>
      </c>
      <c r="EX54" s="18">
        <f>IFERROR(CX54/'McDonough &amp; Sun 1995 values'!O$2,)</f>
        <v>1.1279999999999999</v>
      </c>
      <c r="EY54" s="18">
        <f>IFERROR(CY54/'McDonough &amp; Sun 1995 values'!P$2,)</f>
        <v>0.26108374384236449</v>
      </c>
      <c r="EZ54" s="18">
        <f>IFERROR(DH54/'McDonough &amp; Sun 1995 values'!Q$2,)</f>
        <v>8.4805653710247356E-2</v>
      </c>
      <c r="FA54" s="18">
        <f>IFERROR(CK54/'McDonough &amp; Sun 1995 values'!R$2,)</f>
        <v>8.666666666666667E-2</v>
      </c>
      <c r="FB54" s="18">
        <f>IFERROR(CZ54/'McDonough &amp; Sun 1995 values'!S$2,)</f>
        <v>0.14935064935064934</v>
      </c>
      <c r="FC54" s="18">
        <f>IFERROR(BT54/'McDonough &amp; Sun 1995 values'!T$2,)</f>
        <v>7.9834024896265551E-3</v>
      </c>
      <c r="FD54" s="18">
        <f>IFERROR(DA54/'McDonough &amp; Sun 1995 values'!U$2,)</f>
        <v>8.639705882352941E-2</v>
      </c>
      <c r="FE54" s="18">
        <f>IFERROR(DN54/'McDonough &amp; Sun 1995 values'!V$2,)</f>
        <v>0</v>
      </c>
      <c r="FF54" s="18">
        <f>IFERROR(DB54/'McDonough &amp; Sun 1995 values'!W$2,)</f>
        <v>0</v>
      </c>
      <c r="FG54" s="18">
        <f>IFERROR(CJ54/'McDonough &amp; Sun 1995 values'!X$2,)</f>
        <v>5.3488372093023259E-3</v>
      </c>
      <c r="FH54" s="18">
        <f>IFERROR(DC54/'McDonough &amp; Sun 1995 values'!Y$2,)</f>
        <v>0</v>
      </c>
      <c r="FI54" s="18">
        <f>IFERROR(DD54/'McDonough &amp; Sun 1995 values'!Z$2,)</f>
        <v>0</v>
      </c>
      <c r="FJ54" s="18">
        <f>IFERROR(DE54/'McDonough &amp; Sun 1995 values'!AA$2,)</f>
        <v>0</v>
      </c>
      <c r="FK54" s="18">
        <f>IFERROR(DF54/'McDonough &amp; Sun 1995 values'!AB$2,)</f>
        <v>0</v>
      </c>
      <c r="FL54" s="18">
        <f>IFERROR(DG54/'McDonough &amp; Sun 1995 values'!AC$2,)</f>
        <v>0</v>
      </c>
      <c r="FN54" s="28">
        <f t="shared" si="68"/>
        <v>1.7666043825377953</v>
      </c>
      <c r="FO54" s="4">
        <f t="shared" si="86"/>
        <v>1.7034965034965035</v>
      </c>
      <c r="FP54" s="4">
        <f t="shared" si="87"/>
        <v>0.82213932589669192</v>
      </c>
      <c r="FQ54" s="4">
        <f t="shared" si="88"/>
        <v>1.4299371069182387</v>
      </c>
      <c r="FR54" s="4">
        <f t="shared" si="89"/>
        <v>0.78419234261322768</v>
      </c>
      <c r="FS54" s="4">
        <f t="shared" si="90"/>
        <v>0.76582704347317299</v>
      </c>
      <c r="FT54" s="4">
        <f t="shared" si="91"/>
        <v>2.4818181818181824</v>
      </c>
      <c r="FU54" s="4">
        <f t="shared" si="92"/>
        <v>1.023981001058365</v>
      </c>
      <c r="FV54" s="4">
        <f t="shared" si="93"/>
        <v>0.33194968553459125</v>
      </c>
      <c r="FW54" s="4">
        <f t="shared" si="94"/>
        <v>1.0219444444444443</v>
      </c>
      <c r="FX54" s="4">
        <f t="shared" si="95"/>
        <v>0.85961957152638113</v>
      </c>
      <c r="FY54" s="4">
        <f t="shared" si="96"/>
        <v>0.5009024978596196</v>
      </c>
      <c r="FZ54" s="4">
        <f t="shared" si="97"/>
        <v>0.99441512257125386</v>
      </c>
      <c r="GA54" s="4">
        <f t="shared" si="98"/>
        <v>0.43323667948095573</v>
      </c>
      <c r="GB54" s="4">
        <f t="shared" si="99"/>
        <v>0.57204116638078906</v>
      </c>
      <c r="GC54" s="4">
        <f t="shared" si="100"/>
        <v>0.40293040293040283</v>
      </c>
      <c r="GD54" s="4">
        <f t="shared" si="101"/>
        <v>1.1913086913086914</v>
      </c>
      <c r="GE54" s="4">
        <f t="shared" si="102"/>
        <v>2.0979020979020979</v>
      </c>
      <c r="GF54" s="4">
        <f t="shared" si="103"/>
        <v>3.0094043887147337</v>
      </c>
      <c r="GG54" s="4">
        <f t="shared" si="104"/>
        <v>0.97942172440739783</v>
      </c>
      <c r="GH54" s="4">
        <f t="shared" si="105"/>
        <v>2.8963188602004966</v>
      </c>
      <c r="GI54" s="4">
        <f t="shared" si="106"/>
        <v>16.72752154670394</v>
      </c>
      <c r="GJ54" s="4">
        <f t="shared" si="107"/>
        <v>0</v>
      </c>
      <c r="GK54" s="4">
        <f t="shared" si="108"/>
        <v>0</v>
      </c>
      <c r="GL54" s="4">
        <f t="shared" si="109"/>
        <v>10.855855855855857</v>
      </c>
      <c r="GM54" s="4">
        <f t="shared" si="110"/>
        <v>1.7610062893081759</v>
      </c>
      <c r="GN54" s="4">
        <f t="shared" si="111"/>
        <v>1.2751973535824375</v>
      </c>
      <c r="GO54" s="4">
        <f t="shared" si="112"/>
        <v>1.7392880523731586</v>
      </c>
      <c r="GP54" s="4">
        <f t="shared" si="113"/>
        <v>0.56605769230769221</v>
      </c>
      <c r="GQ54" s="27">
        <f t="shared" si="114"/>
        <v>195674.53395508809</v>
      </c>
      <c r="GR54" s="28">
        <f t="shared" si="115"/>
        <v>9.8961833264642252</v>
      </c>
      <c r="GS54" s="28">
        <f t="shared" si="116"/>
        <v>701.72936314928143</v>
      </c>
      <c r="GT54" s="28">
        <f t="shared" si="117"/>
        <v>16193.754534214186</v>
      </c>
      <c r="GU54" s="28">
        <f t="shared" si="118"/>
        <v>163.736851401499</v>
      </c>
      <c r="GV54" s="28">
        <f t="shared" si="119"/>
        <v>29.238723464553395</v>
      </c>
      <c r="GW54" s="28">
        <f t="shared" si="120"/>
        <v>195674.53395508809</v>
      </c>
      <c r="GX54" s="28">
        <f t="shared" si="121"/>
        <v>94.913394631088707</v>
      </c>
      <c r="GY54" s="28">
        <f t="shared" si="122"/>
        <v>1648.3892636285523</v>
      </c>
      <c r="GZ54" s="28">
        <f t="shared" si="123"/>
        <v>1273.0090369951708</v>
      </c>
      <c r="HA54" s="28">
        <f t="shared" si="124"/>
        <v>1673.3546352021326</v>
      </c>
      <c r="HB54" s="28">
        <f t="shared" si="125"/>
        <v>172.28355518344537</v>
      </c>
      <c r="HC54" s="28">
        <f t="shared" si="126"/>
        <v>5847.7446929106782</v>
      </c>
      <c r="HD54" s="28">
        <f t="shared" si="127"/>
        <v>634.25538592338899</v>
      </c>
      <c r="HE54" s="28">
        <f t="shared" si="128"/>
        <v>47.68161057296399</v>
      </c>
      <c r="HF54" s="28">
        <f t="shared" si="129"/>
        <v>10.795836356142791</v>
      </c>
      <c r="HG54" s="28">
        <f t="shared" si="130"/>
        <v>409.34212850374746</v>
      </c>
      <c r="HH54" s="28">
        <f t="shared" si="131"/>
        <v>10.346009841303507</v>
      </c>
      <c r="HI54" s="28">
        <f t="shared" si="132"/>
        <v>4327.3310727539019</v>
      </c>
      <c r="HJ54" s="28">
        <f t="shared" si="133"/>
        <v>21.141846197446299</v>
      </c>
      <c r="HK54" s="28">
        <f t="shared" si="134"/>
        <v>0</v>
      </c>
      <c r="HL54" s="28">
        <f t="shared" si="135"/>
        <v>0</v>
      </c>
      <c r="HM54" s="28">
        <f t="shared" si="136"/>
        <v>10.346009841303507</v>
      </c>
      <c r="HN54" s="28">
        <f t="shared" si="137"/>
        <v>0</v>
      </c>
      <c r="HO54" s="28">
        <f t="shared" si="138"/>
        <v>0</v>
      </c>
      <c r="HP54" s="28">
        <f t="shared" si="139"/>
        <v>0</v>
      </c>
      <c r="HQ54" s="28">
        <f t="shared" si="140"/>
        <v>0</v>
      </c>
      <c r="HR54" s="28">
        <f t="shared" si="141"/>
        <v>0</v>
      </c>
      <c r="HT54" s="4">
        <f>IFERROR(GR54/'McDonough &amp; Sun 1995 values'!C$2,)</f>
        <v>471.24682506972499</v>
      </c>
      <c r="HU54" s="4">
        <f>IFERROR(GS54/'McDonough &amp; Sun 1995 values'!D$2,)</f>
        <v>1169.5489385821359</v>
      </c>
      <c r="HV54" s="4">
        <f>IFERROR(GT54/'McDonough &amp; Sun 1995 values'!E$2,)</f>
        <v>2453.5991718506343</v>
      </c>
      <c r="HW54" s="4">
        <f>IFERROR(GU54/'McDonough &amp; Sun 1995 values'!F$2,)</f>
        <v>2059.5830364968429</v>
      </c>
      <c r="HX54" s="4">
        <f>IFERROR(GV54/'McDonough &amp; Sun 1995 values'!G$2,)</f>
        <v>1440.3312051504136</v>
      </c>
      <c r="HY54" s="4">
        <f>IFERROR(GW54/'McDonough &amp; Sun 1995 values'!H$2,)</f>
        <v>815.31055814620038</v>
      </c>
      <c r="HZ54" s="4">
        <f>IFERROR(GX54/'McDonough &amp; Sun 1995 values'!I$2,)</f>
        <v>2565.2268819213164</v>
      </c>
      <c r="IA54" s="4">
        <f>IFERROR(GY54/'McDonough &amp; Sun 1995 values'!J$2,)</f>
        <v>2505.150856578347</v>
      </c>
      <c r="IB54" s="4">
        <f>IFERROR(GZ54/'McDonough &amp; Sun 1995 values'!K$2,)</f>
        <v>1964.5201188197079</v>
      </c>
      <c r="IC54" s="4">
        <f>IFERROR(HA54/'McDonough &amp; Sun 1995 values'!L$2,)</f>
        <v>999.01769265798964</v>
      </c>
      <c r="ID54" s="4">
        <f>IFERROR(HB54/'McDonough &amp; Sun 1995 values'!M$2,)</f>
        <v>678.28171332065108</v>
      </c>
      <c r="IE54" s="4">
        <f>IFERROR(HC54/'McDonough &amp; Sun 1995 values'!N$2,)</f>
        <v>293.85651723169241</v>
      </c>
      <c r="IF54" s="4">
        <f>IFERROR(HD54/'McDonough &amp; Sun 1995 values'!O$2,)</f>
        <v>507.40430873871117</v>
      </c>
      <c r="IG54" s="4">
        <f>IFERROR(HE54/'McDonough &amp; Sun 1995 values'!P$2,)</f>
        <v>117.44239057380292</v>
      </c>
      <c r="IH54" s="4">
        <f>IFERROR(HF54/'McDonough &amp; Sun 1995 values'!Q$2,)</f>
        <v>38.147831647147676</v>
      </c>
      <c r="II54" s="4">
        <f>IFERROR(HG54/'McDonough &amp; Sun 1995 values'!R$2,)</f>
        <v>38.984964619404522</v>
      </c>
      <c r="IJ54" s="4">
        <f>IFERROR(HH54/'McDonough &amp; Sun 1995 values'!S$2,)</f>
        <v>67.181882086386409</v>
      </c>
      <c r="IK54" s="4">
        <f>IFERROR(HI54/'McDonough &amp; Sun 1995 values'!T$2,)</f>
        <v>3.5911461184679685</v>
      </c>
      <c r="IL54" s="4">
        <f>IFERROR(HJ54/'McDonough &amp; Sun 1995 values'!U$2,)</f>
        <v>38.863687862952752</v>
      </c>
      <c r="IM54" s="4">
        <f>IFERROR(HK54/'McDonough &amp; Sun 1995 values'!V$2,)</f>
        <v>0</v>
      </c>
      <c r="IN54" s="4">
        <f>IFERROR(HL54/'McDonough &amp; Sun 1995 values'!W$2,)</f>
        <v>0</v>
      </c>
      <c r="IO54" s="4">
        <f>IFERROR(HM54/'McDonough &amp; Sun 1995 values'!X$2,)</f>
        <v>2.4060488003031413</v>
      </c>
      <c r="IP54" s="4">
        <f>IFERROR(HN54/'McDonough &amp; Sun 1995 values'!Y$2,)</f>
        <v>0</v>
      </c>
      <c r="IQ54" s="4">
        <f>IFERROR(HO54/'McDonough &amp; Sun 1995 values'!Z$2,)</f>
        <v>0</v>
      </c>
      <c r="IR54" s="4">
        <f>IFERROR(HP54/'McDonough &amp; Sun 1995 values'!AA$2,)</f>
        <v>0</v>
      </c>
      <c r="IS54" s="4">
        <f>IFERROR(HQ54/'McDonough &amp; Sun 1995 values'!AB$2,)</f>
        <v>0</v>
      </c>
      <c r="IT54" s="4">
        <f>IFERROR(HR54/'McDonough &amp; Sun 1995 values'!AC$2,)</f>
        <v>0</v>
      </c>
    </row>
    <row r="55" spans="1:254">
      <c r="A55" s="16" t="s">
        <v>1469</v>
      </c>
      <c r="B55" s="16" t="s">
        <v>24</v>
      </c>
      <c r="C55" s="16" t="str">
        <f t="shared" si="0"/>
        <v>high-Mg carbonatitic</v>
      </c>
      <c r="D55" s="16" t="s">
        <v>25</v>
      </c>
      <c r="E55" s="16" t="s">
        <v>237</v>
      </c>
      <c r="F55" s="16" t="s">
        <v>163</v>
      </c>
      <c r="G55" s="16" t="s">
        <v>595</v>
      </c>
      <c r="H55" s="27">
        <v>355</v>
      </c>
      <c r="I55" s="16" t="s">
        <v>735</v>
      </c>
      <c r="J55" s="16" t="s">
        <v>596</v>
      </c>
      <c r="K55" s="16" t="s">
        <v>115</v>
      </c>
      <c r="L55" s="16">
        <v>0</v>
      </c>
      <c r="M55" s="16" t="s">
        <v>591</v>
      </c>
      <c r="N55" s="16">
        <v>29</v>
      </c>
      <c r="O55" s="26">
        <v>8.6</v>
      </c>
      <c r="P55" s="26">
        <v>1.2</v>
      </c>
      <c r="Q55" s="26"/>
      <c r="R55" s="26">
        <v>0.5</v>
      </c>
      <c r="S55" s="26">
        <v>10</v>
      </c>
      <c r="T55" s="26">
        <v>23.6</v>
      </c>
      <c r="U55" s="26"/>
      <c r="V55" s="26">
        <v>24.9</v>
      </c>
      <c r="W55" s="26">
        <v>6.9</v>
      </c>
      <c r="X55" s="26">
        <v>19.8</v>
      </c>
      <c r="Y55" s="26"/>
      <c r="Z55" s="26">
        <v>2</v>
      </c>
      <c r="AA55" s="26"/>
      <c r="AB55" s="26"/>
      <c r="AC55" s="26"/>
      <c r="AD55" s="26">
        <v>2.4</v>
      </c>
      <c r="AE55" s="26"/>
      <c r="AF55" s="26"/>
      <c r="AG55" s="26"/>
      <c r="AH55" s="26"/>
      <c r="AI55" s="26"/>
      <c r="AJ55" s="26">
        <f t="shared" si="62"/>
        <v>99.9</v>
      </c>
      <c r="AK55" s="26">
        <f t="shared" si="73"/>
        <v>8.6555345936055161</v>
      </c>
      <c r="AL55" s="26">
        <f t="shared" si="74"/>
        <v>1.2077490130612349</v>
      </c>
      <c r="AM55" s="26">
        <f t="shared" si="75"/>
        <v>0.50322875544218126</v>
      </c>
      <c r="AN55" s="26">
        <f t="shared" si="76"/>
        <v>10.064575108843623</v>
      </c>
      <c r="AO55" s="26">
        <f t="shared" si="77"/>
        <v>23.752397256870953</v>
      </c>
      <c r="AP55" s="26">
        <f t="shared" si="78"/>
        <v>25.060792021020621</v>
      </c>
      <c r="AQ55" s="26">
        <f t="shared" si="79"/>
        <v>0</v>
      </c>
      <c r="AR55" s="26">
        <f t="shared" si="80"/>
        <v>6.9445568251021008</v>
      </c>
      <c r="AS55" s="26">
        <f t="shared" si="81"/>
        <v>19.927858715510375</v>
      </c>
      <c r="AT55" s="26">
        <f t="shared" si="82"/>
        <v>2.0129150217687251</v>
      </c>
      <c r="AU55" s="26">
        <f t="shared" si="83"/>
        <v>2.4154980261224699</v>
      </c>
      <c r="AV55" s="26">
        <f t="shared" si="7"/>
        <v>100.54510533734779</v>
      </c>
      <c r="AW55" s="26"/>
      <c r="AX55" s="26"/>
      <c r="AY55" s="26"/>
      <c r="AZ55" s="26"/>
      <c r="BA55" s="26">
        <v>0.67</v>
      </c>
      <c r="BB55" s="53"/>
      <c r="BC55" s="26">
        <f t="shared" si="142"/>
        <v>0.32999999999999996</v>
      </c>
      <c r="BD55" s="26">
        <f t="shared" si="143"/>
        <v>0.67</v>
      </c>
      <c r="BE55" s="16"/>
      <c r="BF55" s="16"/>
      <c r="BG55" s="16">
        <v>0</v>
      </c>
      <c r="BH55" s="16"/>
      <c r="BI55" s="16"/>
      <c r="BJ55" s="16">
        <v>25.6</v>
      </c>
      <c r="BK55" s="18"/>
      <c r="BL55" s="18"/>
      <c r="BM55" s="18"/>
      <c r="BN55" s="18">
        <v>188.2</v>
      </c>
      <c r="BO55" s="18">
        <v>0</v>
      </c>
      <c r="BP55" s="18">
        <v>0</v>
      </c>
      <c r="BQ55" s="18">
        <v>0</v>
      </c>
      <c r="BR55" s="18">
        <v>42.8</v>
      </c>
      <c r="BS55" s="18"/>
      <c r="BT55" s="18"/>
      <c r="BU55" s="18">
        <v>5.14</v>
      </c>
      <c r="BV55" s="18"/>
      <c r="BW55" s="18">
        <v>165</v>
      </c>
      <c r="BX55" s="18"/>
      <c r="BY55" s="18"/>
      <c r="BZ55" s="18">
        <v>0.40100000000000002</v>
      </c>
      <c r="CA55" s="18">
        <v>0.154</v>
      </c>
      <c r="CB55" s="18"/>
      <c r="CC55" s="18">
        <v>9.35E-2</v>
      </c>
      <c r="CD55" s="18"/>
      <c r="CE55" s="18">
        <v>2.75E-2</v>
      </c>
      <c r="CF55" s="18"/>
      <c r="CG55" s="18">
        <v>0.89500000000000002</v>
      </c>
      <c r="CH55" s="18">
        <v>1.81</v>
      </c>
      <c r="CI55" s="18">
        <v>16.399999999999999</v>
      </c>
      <c r="CJ55" s="18"/>
      <c r="CK55" s="18">
        <v>1.9</v>
      </c>
      <c r="CL55" s="18">
        <v>1.8E-3</v>
      </c>
      <c r="CM55" s="18">
        <v>0</v>
      </c>
      <c r="CN55" s="18"/>
      <c r="CO55" s="18"/>
      <c r="CP55" s="18"/>
      <c r="CQ55" s="18"/>
      <c r="CR55" s="18">
        <v>2.2200000000000001E-2</v>
      </c>
      <c r="CS55" s="18">
        <v>21.9</v>
      </c>
      <c r="CT55" s="18"/>
      <c r="CU55" s="18">
        <v>2.38</v>
      </c>
      <c r="CV55" s="18">
        <v>3.34</v>
      </c>
      <c r="CW55" s="18"/>
      <c r="CX55" s="18">
        <v>0.86</v>
      </c>
      <c r="CY55" s="18">
        <v>0.13200000000000001</v>
      </c>
      <c r="CZ55" s="18">
        <v>2.6199999999999998E-2</v>
      </c>
      <c r="DA55" s="18">
        <v>0.27700000000000002</v>
      </c>
      <c r="DB55" s="18"/>
      <c r="DC55" s="18"/>
      <c r="DD55" s="18"/>
      <c r="DE55" s="18"/>
      <c r="DF55" s="18">
        <v>2.5000000000000001E-3</v>
      </c>
      <c r="DG55" s="18">
        <v>3.8999999999999999E-4</v>
      </c>
      <c r="DH55" s="18">
        <v>2.6800000000000001E-2</v>
      </c>
      <c r="DI55" s="18">
        <v>0.14799999999999999</v>
      </c>
      <c r="DJ55" s="18"/>
      <c r="DK55" s="18"/>
      <c r="DL55" s="18">
        <v>0.28199999999999997</v>
      </c>
      <c r="DM55" s="18">
        <v>7.0000000000000007E-2</v>
      </c>
      <c r="DN55" s="18">
        <v>6.4000000000000003E-3</v>
      </c>
      <c r="DO55" s="18"/>
      <c r="DP55" s="18" t="s">
        <v>34</v>
      </c>
      <c r="DQ55" s="18"/>
      <c r="DR55" s="18" t="s">
        <v>1322</v>
      </c>
      <c r="DS55" s="18"/>
      <c r="DT55" s="18"/>
      <c r="DU55" s="18"/>
      <c r="DV55" s="28"/>
      <c r="DW55" s="28"/>
      <c r="DX55" s="28"/>
      <c r="DY55" s="28"/>
      <c r="DZ55" s="28"/>
      <c r="EA55" s="28"/>
      <c r="EB55" s="28"/>
      <c r="EC55" s="28"/>
      <c r="ED55" s="28"/>
      <c r="EE55" s="28"/>
      <c r="EF55" s="28"/>
      <c r="EG55" s="28"/>
      <c r="EH55" s="28"/>
      <c r="EI55" s="28"/>
      <c r="EJ55" s="18"/>
      <c r="EK55" s="18"/>
      <c r="EL55" s="18">
        <f>IFERROR(CR55/'McDonough &amp; Sun 1995 values'!C$2,)</f>
        <v>1.0571428571428572</v>
      </c>
      <c r="EM55" s="18">
        <f>IFERROR(CH55/'McDonough &amp; Sun 1995 values'!D$2,)</f>
        <v>3.0166666666666671</v>
      </c>
      <c r="EN55" s="18">
        <f>IFERROR(CS55/'McDonough &amp; Sun 1995 values'!E$2,)</f>
        <v>3.3181818181818183</v>
      </c>
      <c r="EO55" s="18">
        <f>IFERROR(DL55/'McDonough &amp; Sun 1995 values'!F$2,)</f>
        <v>3.5471698113207544</v>
      </c>
      <c r="EP55" s="18">
        <f>IFERROR(DM55/'McDonough &amp; Sun 1995 values'!G$2,)</f>
        <v>3.4482758620689662</v>
      </c>
      <c r="EQ55" s="18">
        <f>IFERROR(BR55/'McDonough &amp; Sun 1995 values'!H$2,)</f>
        <v>0.17833333333333332</v>
      </c>
      <c r="ER55" s="18">
        <f>IFERROR(DI55/'McDonough &amp; Sun 1995 values'!I$2,)</f>
        <v>4</v>
      </c>
      <c r="ES55" s="18">
        <f>IFERROR(CM55/'McDonough &amp; Sun 1995 values'!J$2,)</f>
        <v>0</v>
      </c>
      <c r="ET55" s="18">
        <f>IFERROR(CU55/'McDonough &amp; Sun 1995 values'!K$2,)</f>
        <v>3.6728395061728394</v>
      </c>
      <c r="EU55" s="18">
        <f>IFERROR(CV55/'McDonough &amp; Sun 1995 values'!L$2,)</f>
        <v>1.9940298507462686</v>
      </c>
      <c r="EV55" s="18">
        <f>IFERROR(CW55/'McDonough &amp; Sun 1995 values'!M$2,)</f>
        <v>0</v>
      </c>
      <c r="EW55" s="18">
        <f>IFERROR(CI55/'McDonough &amp; Sun 1995 values'!N$2,)</f>
        <v>0.82412060301507539</v>
      </c>
      <c r="EX55" s="18">
        <f>IFERROR(CX55/'McDonough &amp; Sun 1995 values'!O$2,)</f>
        <v>0.68799999999999994</v>
      </c>
      <c r="EY55" s="18">
        <f>IFERROR(CY55/'McDonough &amp; Sun 1995 values'!P$2,)</f>
        <v>0.3251231527093596</v>
      </c>
      <c r="EZ55" s="18">
        <f>IFERROR(DH55/'McDonough &amp; Sun 1995 values'!Q$2,)</f>
        <v>9.469964664310955E-2</v>
      </c>
      <c r="FA55" s="18">
        <f>IFERROR(CK55/'McDonough &amp; Sun 1995 values'!R$2,)</f>
        <v>0.18095238095238095</v>
      </c>
      <c r="FB55" s="18">
        <f>IFERROR(CZ55/'McDonough &amp; Sun 1995 values'!S$2,)</f>
        <v>0.1701298701298701</v>
      </c>
      <c r="FC55" s="18">
        <f>IFERROR(BT55/'McDonough &amp; Sun 1995 values'!T$2,)</f>
        <v>0</v>
      </c>
      <c r="FD55" s="18">
        <f>IFERROR(DA55/'McDonough &amp; Sun 1995 values'!U$2,)</f>
        <v>0.5091911764705882</v>
      </c>
      <c r="FE55" s="18">
        <f>IFERROR(DN55/'McDonough &amp; Sun 1995 values'!V$2,)</f>
        <v>6.4646464646464646E-2</v>
      </c>
      <c r="FF55" s="18">
        <f>IFERROR(DB55/'McDonough &amp; Sun 1995 values'!W$2,)</f>
        <v>0</v>
      </c>
      <c r="FG55" s="18">
        <f>IFERROR(CJ55/'McDonough &amp; Sun 1995 values'!X$2,)</f>
        <v>0</v>
      </c>
      <c r="FH55" s="18">
        <f>IFERROR(DC55/'McDonough &amp; Sun 1995 values'!Y$2,)</f>
        <v>0</v>
      </c>
      <c r="FI55" s="18">
        <f>IFERROR(DD55/'McDonough &amp; Sun 1995 values'!Z$2,)</f>
        <v>0</v>
      </c>
      <c r="FJ55" s="18">
        <f>IFERROR(DE55/'McDonough &amp; Sun 1995 values'!AA$2,)</f>
        <v>0</v>
      </c>
      <c r="FK55" s="18">
        <f>IFERROR(DF55/'McDonough &amp; Sun 1995 values'!AB$2,)</f>
        <v>5.6689342403628117E-3</v>
      </c>
      <c r="FL55" s="18">
        <f>IFERROR(DG55/'McDonough &amp; Sun 1995 values'!AC$2,)</f>
        <v>5.7777777777777775E-3</v>
      </c>
      <c r="FN55" s="28">
        <f t="shared" si="68"/>
        <v>19.336126329358692</v>
      </c>
      <c r="FO55" s="4">
        <f t="shared" si="86"/>
        <v>0.96227272727272717</v>
      </c>
      <c r="FP55" s="4">
        <f t="shared" si="87"/>
        <v>0</v>
      </c>
      <c r="FQ55" s="4">
        <f t="shared" si="88"/>
        <v>1.0286792452830185</v>
      </c>
      <c r="FR55" s="4">
        <f t="shared" si="89"/>
        <v>0</v>
      </c>
      <c r="FS55" s="4">
        <f t="shared" si="90"/>
        <v>0.91820987654320985</v>
      </c>
      <c r="FT55" s="4">
        <f t="shared" si="91"/>
        <v>2.8536036036036041</v>
      </c>
      <c r="FU55" s="4">
        <f t="shared" si="92"/>
        <v>0</v>
      </c>
      <c r="FV55" s="4">
        <f t="shared" si="93"/>
        <v>0.5565656565656566</v>
      </c>
      <c r="FW55" s="4">
        <f t="shared" si="94"/>
        <v>1.9108031272210375</v>
      </c>
      <c r="FX55" s="4">
        <f t="shared" si="95"/>
        <v>0.40783159099542665</v>
      </c>
      <c r="FY55" s="4">
        <f t="shared" si="96"/>
        <v>0</v>
      </c>
      <c r="FZ55" s="4">
        <f t="shared" si="97"/>
        <v>0.418134677738489</v>
      </c>
      <c r="GA55" s="4">
        <f t="shared" si="98"/>
        <v>0</v>
      </c>
      <c r="GB55" s="4">
        <f t="shared" si="99"/>
        <v>0.52327823691460051</v>
      </c>
      <c r="GC55" s="4">
        <f t="shared" si="100"/>
        <v>0.35043409629044986</v>
      </c>
      <c r="GD55" s="4">
        <f t="shared" si="101"/>
        <v>0.93544487427466161</v>
      </c>
      <c r="GE55" s="4">
        <f t="shared" si="102"/>
        <v>1.0999497739829232</v>
      </c>
      <c r="GF55" s="4">
        <f t="shared" si="103"/>
        <v>18.606627017841973</v>
      </c>
      <c r="GG55" s="4">
        <f t="shared" si="104"/>
        <v>0</v>
      </c>
      <c r="GH55" s="4">
        <f t="shared" si="105"/>
        <v>0</v>
      </c>
      <c r="GI55" s="4">
        <f t="shared" si="106"/>
        <v>11.296763935652825</v>
      </c>
      <c r="GJ55" s="4">
        <f t="shared" si="107"/>
        <v>0</v>
      </c>
      <c r="GK55" s="4">
        <f t="shared" si="108"/>
        <v>647.88888888888891</v>
      </c>
      <c r="GL55" s="4">
        <f t="shared" si="109"/>
        <v>0</v>
      </c>
      <c r="GM55" s="4">
        <f t="shared" si="110"/>
        <v>1.1758573960179295</v>
      </c>
      <c r="GN55" s="4">
        <f t="shared" si="111"/>
        <v>0</v>
      </c>
      <c r="GO55" s="4">
        <f t="shared" si="112"/>
        <v>0</v>
      </c>
      <c r="GP55" s="4">
        <f t="shared" si="113"/>
        <v>5.1716666666666654E-2</v>
      </c>
      <c r="GQ55" s="27">
        <f t="shared" si="114"/>
        <v>165428.58922739432</v>
      </c>
      <c r="GR55" s="28">
        <f t="shared" si="115"/>
        <v>85.806417776826038</v>
      </c>
      <c r="GS55" s="28">
        <f t="shared" si="116"/>
        <v>6995.9286565790599</v>
      </c>
      <c r="GT55" s="28">
        <f t="shared" si="117"/>
        <v>84646.871590652707</v>
      </c>
      <c r="GU55" s="28">
        <f t="shared" si="118"/>
        <v>1089.9734150029251</v>
      </c>
      <c r="GV55" s="28">
        <f t="shared" si="119"/>
        <v>270.56077677377579</v>
      </c>
      <c r="GW55" s="28">
        <f t="shared" si="120"/>
        <v>165428.58922739432</v>
      </c>
      <c r="GX55" s="28">
        <f t="shared" si="121"/>
        <v>572.04278517884018</v>
      </c>
      <c r="GY55" s="28">
        <f t="shared" si="122"/>
        <v>0</v>
      </c>
      <c r="GZ55" s="28">
        <f t="shared" si="123"/>
        <v>9199.0664103083764</v>
      </c>
      <c r="HA55" s="28">
        <f t="shared" si="124"/>
        <v>12909.614206063015</v>
      </c>
      <c r="HB55" s="28">
        <f t="shared" si="125"/>
        <v>0</v>
      </c>
      <c r="HC55" s="28">
        <f t="shared" si="126"/>
        <v>63388.524844141743</v>
      </c>
      <c r="HD55" s="28">
        <f t="shared" si="127"/>
        <v>3324.032400363531</v>
      </c>
      <c r="HE55" s="28">
        <f t="shared" si="128"/>
        <v>510.20032191626296</v>
      </c>
      <c r="HF55" s="28">
        <f t="shared" si="129"/>
        <v>103.58612596481701</v>
      </c>
      <c r="HG55" s="28">
        <f t="shared" si="130"/>
        <v>7343.7925124310559</v>
      </c>
      <c r="HH55" s="28">
        <f t="shared" si="131"/>
        <v>101.26703359247036</v>
      </c>
      <c r="HI55" s="28">
        <f t="shared" si="132"/>
        <v>0</v>
      </c>
      <c r="HJ55" s="28">
        <f t="shared" si="133"/>
        <v>1070.64764523337</v>
      </c>
      <c r="HK55" s="28">
        <f t="shared" si="134"/>
        <v>24.736985305030927</v>
      </c>
      <c r="HL55" s="28">
        <f t="shared" si="135"/>
        <v>0</v>
      </c>
      <c r="HM55" s="28">
        <f t="shared" si="136"/>
        <v>0</v>
      </c>
      <c r="HN55" s="28">
        <f t="shared" si="137"/>
        <v>0</v>
      </c>
      <c r="HO55" s="28">
        <f t="shared" si="138"/>
        <v>0</v>
      </c>
      <c r="HP55" s="28">
        <f t="shared" si="139"/>
        <v>0</v>
      </c>
      <c r="HQ55" s="28">
        <f t="shared" si="140"/>
        <v>9.6628848847777054</v>
      </c>
      <c r="HR55" s="28">
        <f t="shared" si="141"/>
        <v>1.507410042025322</v>
      </c>
      <c r="HT55" s="4">
        <f>IFERROR(GR55/'McDonough &amp; Sun 1995 values'!C$2,)</f>
        <v>4086.019894134573</v>
      </c>
      <c r="HU55" s="4">
        <f>IFERROR(GS55/'McDonough &amp; Sun 1995 values'!D$2,)</f>
        <v>11659.881094298433</v>
      </c>
      <c r="HV55" s="4">
        <f>IFERROR(GT55/'McDonough &amp; Sun 1995 values'!E$2,)</f>
        <v>12825.28357434132</v>
      </c>
      <c r="HW55" s="4">
        <f>IFERROR(GU55/'McDonough &amp; Sun 1995 values'!F$2,)</f>
        <v>13710.357421420442</v>
      </c>
      <c r="HX55" s="4">
        <f>IFERROR(GV55/'McDonough &amp; Sun 1995 values'!G$2,)</f>
        <v>13328.11708245201</v>
      </c>
      <c r="HY55" s="4">
        <f>IFERROR(GW55/'McDonough &amp; Sun 1995 values'!H$2,)</f>
        <v>689.28578844747631</v>
      </c>
      <c r="HZ55" s="4">
        <f>IFERROR(GX55/'McDonough &amp; Sun 1995 values'!I$2,)</f>
        <v>15460.615815644331</v>
      </c>
      <c r="IA55" s="4">
        <f>IFERROR(GY55/'McDonough &amp; Sun 1995 values'!J$2,)</f>
        <v>0</v>
      </c>
      <c r="IB55" s="4">
        <f>IFERROR(GZ55/'McDonough &amp; Sun 1995 values'!K$2,)</f>
        <v>14196.090139364778</v>
      </c>
      <c r="IC55" s="4">
        <f>IFERROR(HA55/'McDonough &amp; Sun 1995 values'!L$2,)</f>
        <v>7707.2323618286655</v>
      </c>
      <c r="ID55" s="4">
        <f>IFERROR(HB55/'McDonough &amp; Sun 1995 values'!M$2,)</f>
        <v>0</v>
      </c>
      <c r="IE55" s="4">
        <f>IFERROR(HC55/'McDonough &amp; Sun 1995 values'!N$2,)</f>
        <v>3185.3530072433041</v>
      </c>
      <c r="IF55" s="4">
        <f>IFERROR(HD55/'McDonough &amp; Sun 1995 values'!O$2,)</f>
        <v>2659.2259202908249</v>
      </c>
      <c r="IG55" s="4">
        <f>IFERROR(HE55/'McDonough &amp; Sun 1995 values'!P$2,)</f>
        <v>1256.651039202618</v>
      </c>
      <c r="IH55" s="4">
        <f>IFERROR(HF55/'McDonough &amp; Sun 1995 values'!Q$2,)</f>
        <v>366.02871365659723</v>
      </c>
      <c r="II55" s="4">
        <f>IFERROR(HG55/'McDonough &amp; Sun 1995 values'!R$2,)</f>
        <v>699.40881070771957</v>
      </c>
      <c r="IJ55" s="4">
        <f>IFERROR(HH55/'McDonough &amp; Sun 1995 values'!S$2,)</f>
        <v>657.57814021084641</v>
      </c>
      <c r="IK55" s="4">
        <f>IFERROR(HI55/'McDonough &amp; Sun 1995 values'!T$2,)</f>
        <v>0</v>
      </c>
      <c r="IL55" s="4">
        <f>IFERROR(HJ55/'McDonough &amp; Sun 1995 values'!U$2,)</f>
        <v>1968.10228903193</v>
      </c>
      <c r="IM55" s="4">
        <f>IFERROR(HK55/'McDonough &amp; Sun 1995 values'!V$2,)</f>
        <v>249.86853843465582</v>
      </c>
      <c r="IN55" s="4">
        <f>IFERROR(HL55/'McDonough &amp; Sun 1995 values'!W$2,)</f>
        <v>0</v>
      </c>
      <c r="IO55" s="4">
        <f>IFERROR(HM55/'McDonough &amp; Sun 1995 values'!X$2,)</f>
        <v>0</v>
      </c>
      <c r="IP55" s="4">
        <f>IFERROR(HN55/'McDonough &amp; Sun 1995 values'!Y$2,)</f>
        <v>0</v>
      </c>
      <c r="IQ55" s="4">
        <f>IFERROR(HO55/'McDonough &amp; Sun 1995 values'!Z$2,)</f>
        <v>0</v>
      </c>
      <c r="IR55" s="4">
        <f>IFERROR(HP55/'McDonough &amp; Sun 1995 values'!AA$2,)</f>
        <v>0</v>
      </c>
      <c r="IS55" s="4">
        <f>IFERROR(HQ55/'McDonough &amp; Sun 1995 values'!AB$2,)</f>
        <v>21.911303593600238</v>
      </c>
      <c r="IT55" s="4">
        <f>IFERROR(HR55/'McDonough &amp; Sun 1995 values'!AC$2,)</f>
        <v>22.332000622597363</v>
      </c>
    </row>
    <row r="56" spans="1:254">
      <c r="A56" s="16" t="s">
        <v>1469</v>
      </c>
      <c r="B56" s="16" t="s">
        <v>24</v>
      </c>
      <c r="C56" s="16" t="str">
        <f t="shared" si="0"/>
        <v>high-Mg carbonatitic</v>
      </c>
      <c r="D56" s="16" t="s">
        <v>25</v>
      </c>
      <c r="E56" s="16" t="s">
        <v>237</v>
      </c>
      <c r="F56" s="16" t="s">
        <v>163</v>
      </c>
      <c r="G56" s="16" t="s">
        <v>595</v>
      </c>
      <c r="H56" s="27">
        <v>355</v>
      </c>
      <c r="I56" s="16" t="s">
        <v>735</v>
      </c>
      <c r="J56" s="16" t="s">
        <v>596</v>
      </c>
      <c r="K56" s="16" t="s">
        <v>115</v>
      </c>
      <c r="L56" s="16">
        <v>0</v>
      </c>
      <c r="M56" s="16" t="s">
        <v>593</v>
      </c>
      <c r="N56" s="16">
        <v>50</v>
      </c>
      <c r="O56" s="26">
        <v>8.6</v>
      </c>
      <c r="P56" s="26">
        <v>0.9</v>
      </c>
      <c r="Q56" s="26"/>
      <c r="R56" s="26">
        <v>0.6</v>
      </c>
      <c r="S56" s="26">
        <v>8.1999999999999993</v>
      </c>
      <c r="T56" s="26">
        <v>25.3</v>
      </c>
      <c r="U56" s="26"/>
      <c r="V56" s="26">
        <v>26.3</v>
      </c>
      <c r="W56" s="26">
        <v>7.5</v>
      </c>
      <c r="X56" s="26">
        <v>17.3</v>
      </c>
      <c r="Y56" s="26"/>
      <c r="Z56" s="26">
        <v>2.1</v>
      </c>
      <c r="AA56" s="26"/>
      <c r="AB56" s="26"/>
      <c r="AC56" s="26"/>
      <c r="AD56" s="26">
        <v>3.2</v>
      </c>
      <c r="AE56" s="26"/>
      <c r="AF56" s="26"/>
      <c r="AG56" s="26"/>
      <c r="AH56" s="26"/>
      <c r="AI56" s="26"/>
      <c r="AJ56" s="26">
        <f t="shared" si="62"/>
        <v>99.999999999999986</v>
      </c>
      <c r="AK56" s="26">
        <f t="shared" si="73"/>
        <v>8.6625561175200332</v>
      </c>
      <c r="AL56" s="26">
        <f t="shared" si="74"/>
        <v>0.90654657043814302</v>
      </c>
      <c r="AM56" s="26">
        <f t="shared" si="75"/>
        <v>0.60436438029209527</v>
      </c>
      <c r="AN56" s="26">
        <f t="shared" si="76"/>
        <v>8.2596465306586353</v>
      </c>
      <c r="AO56" s="26">
        <f t="shared" si="77"/>
        <v>25.484031368983352</v>
      </c>
      <c r="AP56" s="26">
        <f t="shared" si="78"/>
        <v>26.491305336136843</v>
      </c>
      <c r="AQ56" s="26">
        <f t="shared" si="79"/>
        <v>0</v>
      </c>
      <c r="AR56" s="26">
        <f t="shared" si="80"/>
        <v>7.5545547536511908</v>
      </c>
      <c r="AS56" s="26">
        <f t="shared" si="81"/>
        <v>17.425839631755416</v>
      </c>
      <c r="AT56" s="26">
        <f t="shared" si="82"/>
        <v>2.1152753310223336</v>
      </c>
      <c r="AU56" s="26">
        <f t="shared" si="83"/>
        <v>3.2232766948911751</v>
      </c>
      <c r="AV56" s="26">
        <f t="shared" si="7"/>
        <v>100.7273967153492</v>
      </c>
      <c r="AW56" s="26"/>
      <c r="AX56" s="26"/>
      <c r="AY56" s="26"/>
      <c r="AZ56" s="26"/>
      <c r="BA56" s="26">
        <v>0.66</v>
      </c>
      <c r="BB56" s="53"/>
      <c r="BC56" s="26">
        <f t="shared" si="142"/>
        <v>0.33999999999999997</v>
      </c>
      <c r="BD56" s="26">
        <f t="shared" si="143"/>
        <v>0.66</v>
      </c>
      <c r="BE56" s="16"/>
      <c r="BF56" s="16"/>
      <c r="BG56" s="16">
        <v>0</v>
      </c>
      <c r="BH56" s="16"/>
      <c r="BI56" s="16"/>
      <c r="BJ56" s="16">
        <v>81.7</v>
      </c>
      <c r="BK56" s="18"/>
      <c r="BL56" s="18"/>
      <c r="BM56" s="18"/>
      <c r="BN56" s="18">
        <v>109.3</v>
      </c>
      <c r="BO56" s="18">
        <v>0</v>
      </c>
      <c r="BP56" s="18">
        <v>0</v>
      </c>
      <c r="BQ56" s="18">
        <v>0</v>
      </c>
      <c r="BR56" s="18">
        <v>219.5</v>
      </c>
      <c r="BS56" s="18"/>
      <c r="BT56" s="18"/>
      <c r="BU56" s="18">
        <v>3.18</v>
      </c>
      <c r="BV56" s="18"/>
      <c r="BW56" s="18">
        <v>80.099999999999994</v>
      </c>
      <c r="BX56" s="18"/>
      <c r="BY56" s="18"/>
      <c r="BZ56" s="18">
        <v>0.192</v>
      </c>
      <c r="CA56" s="18">
        <v>8.3000000000000004E-2</v>
      </c>
      <c r="CB56" s="18"/>
      <c r="CC56" s="18">
        <v>4.5899999999999996E-2</v>
      </c>
      <c r="CD56" s="18"/>
      <c r="CE56" s="18">
        <v>2.2200000000000001E-2</v>
      </c>
      <c r="CF56" s="18"/>
      <c r="CG56" s="18">
        <v>0.27700000000000002</v>
      </c>
      <c r="CH56" s="18">
        <v>0.86899999999999999</v>
      </c>
      <c r="CI56" s="18">
        <v>9</v>
      </c>
      <c r="CJ56" s="18"/>
      <c r="CK56" s="18">
        <v>1.23</v>
      </c>
      <c r="CL56" s="18">
        <v>1.1000000000000001E-3</v>
      </c>
      <c r="CM56" s="18">
        <v>0</v>
      </c>
      <c r="CN56" s="18"/>
      <c r="CO56" s="18"/>
      <c r="CP56" s="18"/>
      <c r="CQ56" s="18"/>
      <c r="CR56" s="18">
        <v>1.0500000000000001E-2</v>
      </c>
      <c r="CS56" s="18">
        <v>11</v>
      </c>
      <c r="CT56" s="18"/>
      <c r="CU56" s="18">
        <v>1.42</v>
      </c>
      <c r="CV56" s="18">
        <v>1.86</v>
      </c>
      <c r="CW56" s="18"/>
      <c r="CX56" s="18">
        <v>0.498</v>
      </c>
      <c r="CY56" s="18">
        <v>8.6999999999999994E-2</v>
      </c>
      <c r="CZ56" s="18">
        <v>1.6899999999999998E-2</v>
      </c>
      <c r="DA56" s="18">
        <v>2.4899999999999999E-2</v>
      </c>
      <c r="DB56" s="18"/>
      <c r="DC56" s="18"/>
      <c r="DD56" s="18"/>
      <c r="DE56" s="18"/>
      <c r="DF56" s="18">
        <v>1E-3</v>
      </c>
      <c r="DG56" s="18">
        <v>5.0000000000000002E-5</v>
      </c>
      <c r="DH56" s="18">
        <v>1.7999999999999999E-2</v>
      </c>
      <c r="DI56" s="18">
        <v>7.4499999999999997E-2</v>
      </c>
      <c r="DJ56" s="18"/>
      <c r="DK56" s="18"/>
      <c r="DL56" s="18">
        <v>0.14399999999999999</v>
      </c>
      <c r="DM56" s="18">
        <v>3.2500000000000001E-2</v>
      </c>
      <c r="DN56" s="18">
        <v>3.7000000000000002E-3</v>
      </c>
      <c r="DO56" s="18"/>
      <c r="DP56" s="18">
        <v>1E-4</v>
      </c>
      <c r="DQ56" s="18"/>
      <c r="DR56" s="18">
        <v>1.7E-5</v>
      </c>
      <c r="DS56" s="18"/>
      <c r="DT56" s="18"/>
      <c r="DU56" s="18"/>
      <c r="DV56" s="28"/>
      <c r="DW56" s="28"/>
      <c r="DX56" s="28"/>
      <c r="DY56" s="28"/>
      <c r="DZ56" s="28"/>
      <c r="EA56" s="28"/>
      <c r="EB56" s="28"/>
      <c r="EC56" s="28"/>
      <c r="ED56" s="28"/>
      <c r="EE56" s="28"/>
      <c r="EF56" s="28"/>
      <c r="EG56" s="28"/>
      <c r="EH56" s="28"/>
      <c r="EI56" s="28"/>
      <c r="EJ56" s="18"/>
      <c r="EK56" s="18"/>
      <c r="EL56" s="18">
        <f>IFERROR(CR56/'McDonough &amp; Sun 1995 values'!C$2,)</f>
        <v>0.5</v>
      </c>
      <c r="EM56" s="18">
        <f>IFERROR(CH56/'McDonough &amp; Sun 1995 values'!D$2,)</f>
        <v>1.4483333333333335</v>
      </c>
      <c r="EN56" s="18">
        <f>IFERROR(CS56/'McDonough &amp; Sun 1995 values'!E$2,)</f>
        <v>1.6666666666666667</v>
      </c>
      <c r="EO56" s="18">
        <f>IFERROR(DL56/'McDonough &amp; Sun 1995 values'!F$2,)</f>
        <v>1.811320754716981</v>
      </c>
      <c r="EP56" s="18">
        <f>IFERROR(DM56/'McDonough &amp; Sun 1995 values'!G$2,)</f>
        <v>1.600985221674877</v>
      </c>
      <c r="EQ56" s="18">
        <f>IFERROR(BR56/'McDonough &amp; Sun 1995 values'!H$2,)</f>
        <v>0.9145833333333333</v>
      </c>
      <c r="ER56" s="18">
        <f>IFERROR(DI56/'McDonough &amp; Sun 1995 values'!I$2,)</f>
        <v>2.0135135135135136</v>
      </c>
      <c r="ES56" s="18">
        <f>IFERROR(CM56/'McDonough &amp; Sun 1995 values'!J$2,)</f>
        <v>0</v>
      </c>
      <c r="ET56" s="18">
        <f>IFERROR(CU56/'McDonough &amp; Sun 1995 values'!K$2,)</f>
        <v>2.191358024691358</v>
      </c>
      <c r="EU56" s="18">
        <f>IFERROR(CV56/'McDonough &amp; Sun 1995 values'!L$2,)</f>
        <v>1.1104477611940298</v>
      </c>
      <c r="EV56" s="18">
        <f>IFERROR(CW56/'McDonough &amp; Sun 1995 values'!M$2,)</f>
        <v>0</v>
      </c>
      <c r="EW56" s="18">
        <f>IFERROR(CI56/'McDonough &amp; Sun 1995 values'!N$2,)</f>
        <v>0.45226130653266333</v>
      </c>
      <c r="EX56" s="18">
        <f>IFERROR(CX56/'McDonough &amp; Sun 1995 values'!O$2,)</f>
        <v>0.39839999999999998</v>
      </c>
      <c r="EY56" s="18">
        <f>IFERROR(CY56/'McDonough &amp; Sun 1995 values'!P$2,)</f>
        <v>0.21428571428571425</v>
      </c>
      <c r="EZ56" s="18">
        <f>IFERROR(DH56/'McDonough &amp; Sun 1995 values'!Q$2,)</f>
        <v>6.360424028268552E-2</v>
      </c>
      <c r="FA56" s="18">
        <f>IFERROR(CK56/'McDonough &amp; Sun 1995 values'!R$2,)</f>
        <v>0.11714285714285715</v>
      </c>
      <c r="FB56" s="18">
        <f>IFERROR(CZ56/'McDonough &amp; Sun 1995 values'!S$2,)</f>
        <v>0.10974025974025974</v>
      </c>
      <c r="FC56" s="18">
        <f>IFERROR(BT56/'McDonough &amp; Sun 1995 values'!T$2,)</f>
        <v>0</v>
      </c>
      <c r="FD56" s="18">
        <f>IFERROR(DA56/'McDonough &amp; Sun 1995 values'!U$2,)</f>
        <v>4.5772058823529409E-2</v>
      </c>
      <c r="FE56" s="18">
        <f>IFERROR(DN56/'McDonough &amp; Sun 1995 values'!V$2,)</f>
        <v>3.7373737373737372E-2</v>
      </c>
      <c r="FF56" s="18">
        <f>IFERROR(DB56/'McDonough &amp; Sun 1995 values'!W$2,)</f>
        <v>0</v>
      </c>
      <c r="FG56" s="18">
        <f>IFERROR(CJ56/'McDonough &amp; Sun 1995 values'!X$2,)</f>
        <v>0</v>
      </c>
      <c r="FH56" s="18">
        <f>IFERROR(DC56/'McDonough &amp; Sun 1995 values'!Y$2,)</f>
        <v>0</v>
      </c>
      <c r="FI56" s="18">
        <f>IFERROR(DD56/'McDonough &amp; Sun 1995 values'!Z$2,)</f>
        <v>0</v>
      </c>
      <c r="FJ56" s="18">
        <f>IFERROR(DE56/'McDonough &amp; Sun 1995 values'!AA$2,)</f>
        <v>0</v>
      </c>
      <c r="FK56" s="18">
        <f>IFERROR(DF56/'McDonough &amp; Sun 1995 values'!AB$2,)</f>
        <v>2.2675736961451248E-3</v>
      </c>
      <c r="FL56" s="18">
        <f>IFERROR(DG56/'McDonough &amp; Sun 1995 values'!AC$2,)</f>
        <v>7.407407407407407E-4</v>
      </c>
      <c r="FN56" s="28">
        <f t="shared" si="68"/>
        <v>1.7505077594622802</v>
      </c>
      <c r="FO56" s="4">
        <f t="shared" si="86"/>
        <v>1.0410256410256409</v>
      </c>
      <c r="FP56" s="4">
        <f t="shared" si="87"/>
        <v>0</v>
      </c>
      <c r="FQ56" s="4">
        <f t="shared" si="88"/>
        <v>1.1313788098693758</v>
      </c>
      <c r="FR56" s="4">
        <f t="shared" si="89"/>
        <v>0</v>
      </c>
      <c r="FS56" s="4">
        <f t="shared" si="90"/>
        <v>1.0883254619272515</v>
      </c>
      <c r="FT56" s="4">
        <f t="shared" si="91"/>
        <v>2.8966666666666669</v>
      </c>
      <c r="FU56" s="4">
        <f t="shared" si="92"/>
        <v>0</v>
      </c>
      <c r="FV56" s="4">
        <f t="shared" si="93"/>
        <v>0.54666666666666675</v>
      </c>
      <c r="FW56" s="4">
        <f t="shared" si="94"/>
        <v>1.8417460317460315</v>
      </c>
      <c r="FX56" s="4">
        <f t="shared" si="95"/>
        <v>0.84396831079654477</v>
      </c>
      <c r="FY56" s="4">
        <f t="shared" si="96"/>
        <v>0</v>
      </c>
      <c r="FZ56" s="4">
        <f t="shared" si="97"/>
        <v>1.1080749846162274</v>
      </c>
      <c r="GA56" s="4">
        <f t="shared" si="98"/>
        <v>0</v>
      </c>
      <c r="GB56" s="4">
        <f t="shared" si="99"/>
        <v>0.5121212121212122</v>
      </c>
      <c r="GC56" s="4">
        <f t="shared" si="100"/>
        <v>0.34522439585730724</v>
      </c>
      <c r="GD56" s="4">
        <f t="shared" si="101"/>
        <v>0.92013888888888906</v>
      </c>
      <c r="GE56" s="4">
        <f t="shared" si="102"/>
        <v>1.1507479861910241</v>
      </c>
      <c r="GF56" s="4">
        <f t="shared" si="103"/>
        <v>1.8223234624145788</v>
      </c>
      <c r="GG56" s="4">
        <f t="shared" si="104"/>
        <v>0</v>
      </c>
      <c r="GH56" s="4">
        <f t="shared" si="105"/>
        <v>0</v>
      </c>
      <c r="GI56" s="4">
        <f t="shared" si="106"/>
        <v>10.226337448559672</v>
      </c>
      <c r="GJ56" s="4">
        <f t="shared" si="107"/>
        <v>0</v>
      </c>
      <c r="GK56" s="4">
        <f t="shared" si="108"/>
        <v>966.3888888888888</v>
      </c>
      <c r="GL56" s="4">
        <f t="shared" si="109"/>
        <v>0</v>
      </c>
      <c r="GM56" s="4">
        <f t="shared" si="110"/>
        <v>1.2506242265019429</v>
      </c>
      <c r="GN56" s="4">
        <f t="shared" si="111"/>
        <v>0</v>
      </c>
      <c r="GO56" s="4">
        <f t="shared" si="112"/>
        <v>0</v>
      </c>
      <c r="GP56" s="4">
        <f t="shared" si="113"/>
        <v>0.5712628205128204</v>
      </c>
      <c r="GQ56" s="27">
        <f t="shared" si="114"/>
        <v>144658.39544217609</v>
      </c>
      <c r="GR56" s="28">
        <f t="shared" si="115"/>
        <v>6.9198776862999951</v>
      </c>
      <c r="GS56" s="28">
        <f t="shared" si="116"/>
        <v>572.70225803759001</v>
      </c>
      <c r="GT56" s="28">
        <f t="shared" si="117"/>
        <v>7249.3956713618991</v>
      </c>
      <c r="GU56" s="28">
        <f t="shared" si="118"/>
        <v>94.901179697828496</v>
      </c>
      <c r="GV56" s="28">
        <f t="shared" si="119"/>
        <v>21.418669029023796</v>
      </c>
      <c r="GW56" s="28">
        <f t="shared" si="120"/>
        <v>144658.39544217609</v>
      </c>
      <c r="GX56" s="28">
        <f t="shared" si="121"/>
        <v>49.098179774223773</v>
      </c>
      <c r="GY56" s="28">
        <f t="shared" si="122"/>
        <v>0</v>
      </c>
      <c r="GZ56" s="28">
        <f t="shared" si="123"/>
        <v>935.83107757580888</v>
      </c>
      <c r="HA56" s="28">
        <f t="shared" si="124"/>
        <v>1225.8069044302849</v>
      </c>
      <c r="HB56" s="28">
        <f t="shared" si="125"/>
        <v>0</v>
      </c>
      <c r="HC56" s="28">
        <f t="shared" si="126"/>
        <v>5931.3237311142811</v>
      </c>
      <c r="HD56" s="28">
        <f t="shared" si="127"/>
        <v>328.19991312165689</v>
      </c>
      <c r="HE56" s="28">
        <f t="shared" si="128"/>
        <v>57.336129400771384</v>
      </c>
      <c r="HF56" s="28">
        <f t="shared" si="129"/>
        <v>11.862647462228562</v>
      </c>
      <c r="HG56" s="28">
        <f t="shared" si="130"/>
        <v>810.61424325228518</v>
      </c>
      <c r="HH56" s="28">
        <f t="shared" si="131"/>
        <v>11.137707895092371</v>
      </c>
      <c r="HI56" s="28">
        <f t="shared" si="132"/>
        <v>0</v>
      </c>
      <c r="HJ56" s="28">
        <f t="shared" si="133"/>
        <v>16.409995656082845</v>
      </c>
      <c r="HK56" s="28">
        <f t="shared" si="134"/>
        <v>2.4384330894580937</v>
      </c>
      <c r="HL56" s="28">
        <f t="shared" si="135"/>
        <v>0</v>
      </c>
      <c r="HM56" s="28">
        <f t="shared" si="136"/>
        <v>0</v>
      </c>
      <c r="HN56" s="28">
        <f t="shared" si="137"/>
        <v>0</v>
      </c>
      <c r="HO56" s="28">
        <f t="shared" si="138"/>
        <v>0</v>
      </c>
      <c r="HP56" s="28">
        <f t="shared" si="139"/>
        <v>0</v>
      </c>
      <c r="HQ56" s="28">
        <f t="shared" si="140"/>
        <v>0.6590359701238091</v>
      </c>
      <c r="HR56" s="28">
        <f t="shared" si="141"/>
        <v>3.2951798506190455E-2</v>
      </c>
      <c r="HT56" s="4">
        <f>IFERROR(GR56/'McDonough &amp; Sun 1995 values'!C$2,)</f>
        <v>329.51798506190448</v>
      </c>
      <c r="HU56" s="4">
        <f>IFERROR(GS56/'McDonough &amp; Sun 1995 values'!D$2,)</f>
        <v>954.50376339598336</v>
      </c>
      <c r="HV56" s="4">
        <f>IFERROR(GT56/'McDonough &amp; Sun 1995 values'!E$2,)</f>
        <v>1098.3932835396818</v>
      </c>
      <c r="HW56" s="4">
        <f>IFERROR(GU56/'McDonough &amp; Sun 1995 values'!F$2,)</f>
        <v>1193.7255307902956</v>
      </c>
      <c r="HX56" s="4">
        <f>IFERROR(GV56/'McDonough &amp; Sun 1995 values'!G$2,)</f>
        <v>1055.1068487203841</v>
      </c>
      <c r="HY56" s="4">
        <f>IFERROR(GW56/'McDonough &amp; Sun 1995 values'!H$2,)</f>
        <v>602.74331434240037</v>
      </c>
      <c r="HZ56" s="4">
        <f>IFERROR(GX56/'McDonough &amp; Sun 1995 values'!I$2,)</f>
        <v>1326.9778317357777</v>
      </c>
      <c r="IA56" s="4">
        <f>IFERROR(GY56/'McDonough &amp; Sun 1995 values'!J$2,)</f>
        <v>0</v>
      </c>
      <c r="IB56" s="4">
        <f>IFERROR(GZ56/'McDonough &amp; Sun 1995 values'!K$2,)</f>
        <v>1444.183761691063</v>
      </c>
      <c r="IC56" s="4">
        <f>IFERROR(HA56/'McDonough &amp; Sun 1995 values'!L$2,)</f>
        <v>731.82501757031935</v>
      </c>
      <c r="ID56" s="4">
        <f>IFERROR(HB56/'McDonough &amp; Sun 1995 values'!M$2,)</f>
        <v>0</v>
      </c>
      <c r="IE56" s="4">
        <f>IFERROR(HC56/'McDonough &amp; Sun 1995 values'!N$2,)</f>
        <v>298.05646890021518</v>
      </c>
      <c r="IF56" s="4">
        <f>IFERROR(HD56/'McDonough &amp; Sun 1995 values'!O$2,)</f>
        <v>262.55993049732552</v>
      </c>
      <c r="IG56" s="4">
        <f>IFERROR(HE56/'McDonough &amp; Sun 1995 values'!P$2,)</f>
        <v>141.22199359795906</v>
      </c>
      <c r="IH56" s="4">
        <f>IFERROR(HF56/'McDonough &amp; Sun 1995 values'!Q$2,)</f>
        <v>41.917482198687502</v>
      </c>
      <c r="II56" s="4">
        <f>IFERROR(HG56/'McDonough &amp; Sun 1995 values'!R$2,)</f>
        <v>77.201356500217642</v>
      </c>
      <c r="IJ56" s="4">
        <f>IFERROR(HH56/'McDonough &amp; Sun 1995 values'!S$2,)</f>
        <v>72.322778539560844</v>
      </c>
      <c r="IK56" s="4">
        <f>IFERROR(HI56/'McDonough &amp; Sun 1995 values'!T$2,)</f>
        <v>0</v>
      </c>
      <c r="IL56" s="4">
        <f>IFERROR(HJ56/'McDonough &amp; Sun 1995 values'!U$2,)</f>
        <v>30.165433191328759</v>
      </c>
      <c r="IM56" s="4">
        <f>IFERROR(HK56/'McDonough &amp; Sun 1995 values'!V$2,)</f>
        <v>24.630637267253469</v>
      </c>
      <c r="IN56" s="4">
        <f>IFERROR(HL56/'McDonough &amp; Sun 1995 values'!W$2,)</f>
        <v>0</v>
      </c>
      <c r="IO56" s="4">
        <f>IFERROR(HM56/'McDonough &amp; Sun 1995 values'!X$2,)</f>
        <v>0</v>
      </c>
      <c r="IP56" s="4">
        <f>IFERROR(HN56/'McDonough &amp; Sun 1995 values'!Y$2,)</f>
        <v>0</v>
      </c>
      <c r="IQ56" s="4">
        <f>IFERROR(HO56/'McDonough &amp; Sun 1995 values'!Z$2,)</f>
        <v>0</v>
      </c>
      <c r="IR56" s="4">
        <f>IFERROR(HP56/'McDonough &amp; Sun 1995 values'!AA$2,)</f>
        <v>0</v>
      </c>
      <c r="IS56" s="4">
        <f>IFERROR(HQ56/'McDonough &amp; Sun 1995 values'!AB$2,)</f>
        <v>1.4944126306662338</v>
      </c>
      <c r="IT56" s="4">
        <f>IFERROR(HR56/'McDonough &amp; Sun 1995 values'!AC$2,)</f>
        <v>0.48817479268430303</v>
      </c>
    </row>
    <row r="57" spans="1:254">
      <c r="A57" s="16" t="s">
        <v>1469</v>
      </c>
      <c r="B57" s="16" t="s">
        <v>24</v>
      </c>
      <c r="C57" s="16" t="str">
        <f t="shared" si="0"/>
        <v>high-Mg carbonatitic</v>
      </c>
      <c r="D57" s="16" t="s">
        <v>25</v>
      </c>
      <c r="E57" s="16" t="s">
        <v>237</v>
      </c>
      <c r="F57" s="16" t="s">
        <v>163</v>
      </c>
      <c r="G57" s="16" t="s">
        <v>595</v>
      </c>
      <c r="H57" s="27">
        <v>355</v>
      </c>
      <c r="I57" s="16" t="s">
        <v>735</v>
      </c>
      <c r="J57" s="16" t="s">
        <v>596</v>
      </c>
      <c r="K57" s="16" t="s">
        <v>115</v>
      </c>
      <c r="L57" s="16">
        <v>0</v>
      </c>
      <c r="M57" s="16" t="s">
        <v>594</v>
      </c>
      <c r="N57" s="16">
        <v>15</v>
      </c>
      <c r="O57" s="26">
        <v>9.8000000000000007</v>
      </c>
      <c r="P57" s="26">
        <v>0.2</v>
      </c>
      <c r="Q57" s="26"/>
      <c r="R57" s="26">
        <v>0.3</v>
      </c>
      <c r="S57" s="26">
        <v>10.4</v>
      </c>
      <c r="T57" s="26">
        <v>21.6</v>
      </c>
      <c r="U57" s="26"/>
      <c r="V57" s="26">
        <v>16.100000000000001</v>
      </c>
      <c r="W57" s="26">
        <v>6.3</v>
      </c>
      <c r="X57" s="26">
        <v>27.2</v>
      </c>
      <c r="Y57" s="26"/>
      <c r="Z57" s="26">
        <v>2.8</v>
      </c>
      <c r="AA57" s="26"/>
      <c r="AB57" s="26"/>
      <c r="AC57" s="26"/>
      <c r="AD57" s="26">
        <v>5.2</v>
      </c>
      <c r="AE57" s="26"/>
      <c r="AF57" s="26"/>
      <c r="AG57" s="26"/>
      <c r="AH57" s="26"/>
      <c r="AI57" s="26"/>
      <c r="AJ57" s="26">
        <f t="shared" si="62"/>
        <v>99.9</v>
      </c>
      <c r="AK57" s="26">
        <f t="shared" si="73"/>
        <v>9.9264112370369624</v>
      </c>
      <c r="AL57" s="26">
        <f t="shared" si="74"/>
        <v>0.20257982116401962</v>
      </c>
      <c r="AM57" s="26">
        <f t="shared" si="75"/>
        <v>0.30386973174602944</v>
      </c>
      <c r="AN57" s="26">
        <f t="shared" si="76"/>
        <v>10.534150700529022</v>
      </c>
      <c r="AO57" s="26">
        <f t="shared" si="77"/>
        <v>21.878620685714122</v>
      </c>
      <c r="AP57" s="26">
        <f t="shared" si="78"/>
        <v>16.307675603703579</v>
      </c>
      <c r="AQ57" s="26">
        <f t="shared" si="79"/>
        <v>0</v>
      </c>
      <c r="AR57" s="26">
        <f t="shared" si="80"/>
        <v>6.3812643666666187</v>
      </c>
      <c r="AS57" s="26">
        <f t="shared" si="81"/>
        <v>27.550855678306668</v>
      </c>
      <c r="AT57" s="26">
        <f t="shared" si="82"/>
        <v>2.8361174962962745</v>
      </c>
      <c r="AU57" s="26">
        <f t="shared" si="83"/>
        <v>5.2670753502645109</v>
      </c>
      <c r="AV57" s="26">
        <f t="shared" si="7"/>
        <v>101.1886206714278</v>
      </c>
      <c r="AW57" s="26"/>
      <c r="AX57" s="26"/>
      <c r="AY57" s="26"/>
      <c r="AZ57" s="26"/>
      <c r="BA57" s="26">
        <v>0.49</v>
      </c>
      <c r="BB57" s="53"/>
      <c r="BC57" s="26">
        <f t="shared" si="142"/>
        <v>0.51</v>
      </c>
      <c r="BD57" s="26">
        <f t="shared" si="143"/>
        <v>0.49</v>
      </c>
      <c r="BE57" s="16"/>
      <c r="BF57" s="16"/>
      <c r="BG57" s="16">
        <v>0</v>
      </c>
      <c r="BH57" s="16"/>
      <c r="BI57" s="16"/>
      <c r="BJ57" s="16">
        <v>40.799999999999997</v>
      </c>
      <c r="BK57" s="18"/>
      <c r="BL57" s="18"/>
      <c r="BM57" s="18"/>
      <c r="BN57" s="18">
        <v>12.44</v>
      </c>
      <c r="BO57" s="18">
        <v>0</v>
      </c>
      <c r="BP57" s="18">
        <v>0</v>
      </c>
      <c r="BQ57" s="18">
        <v>0</v>
      </c>
      <c r="BR57" s="18">
        <v>31.9</v>
      </c>
      <c r="BS57" s="18"/>
      <c r="BT57" s="18"/>
      <c r="BU57" s="18">
        <v>1.05</v>
      </c>
      <c r="BV57" s="18"/>
      <c r="BW57" s="18">
        <v>8.0500000000000007</v>
      </c>
      <c r="BX57" s="18"/>
      <c r="BY57" s="18"/>
      <c r="BZ57" s="18">
        <v>3.5499999999999997E-2</v>
      </c>
      <c r="CA57" s="18">
        <v>3.7600000000000001E-2</v>
      </c>
      <c r="CB57" s="18"/>
      <c r="CC57" s="18">
        <v>4.7000000000000002E-3</v>
      </c>
      <c r="CD57" s="18"/>
      <c r="CE57" s="18">
        <v>2E-3</v>
      </c>
      <c r="CF57" s="18"/>
      <c r="CG57" s="18">
        <v>3.1800000000000002E-2</v>
      </c>
      <c r="CH57" s="18">
        <v>0.112</v>
      </c>
      <c r="CI57" s="18">
        <v>1.64</v>
      </c>
      <c r="CJ57" s="18"/>
      <c r="CK57" s="18">
        <v>0.06</v>
      </c>
      <c r="CL57" s="18" t="s">
        <v>225</v>
      </c>
      <c r="CM57" s="18">
        <v>0</v>
      </c>
      <c r="CN57" s="18"/>
      <c r="CO57" s="18"/>
      <c r="CP57" s="18"/>
      <c r="CQ57" s="18"/>
      <c r="CR57" s="18">
        <v>2.5999999999999999E-3</v>
      </c>
      <c r="CS57" s="18">
        <v>2.2000000000000002</v>
      </c>
      <c r="CT57" s="18"/>
      <c r="CU57" s="18">
        <v>0.255</v>
      </c>
      <c r="CV57" s="18">
        <v>0.3</v>
      </c>
      <c r="CW57" s="18"/>
      <c r="CX57" s="18">
        <v>6.9000000000000006E-2</v>
      </c>
      <c r="CY57" s="18">
        <v>9.8000000000000014E-3</v>
      </c>
      <c r="CZ57" s="18">
        <v>1.4E-3</v>
      </c>
      <c r="DA57" s="18">
        <v>3.5000000000000001E-3</v>
      </c>
      <c r="DB57" s="18"/>
      <c r="DC57" s="18"/>
      <c r="DD57" s="18"/>
      <c r="DE57" s="18"/>
      <c r="DF57" s="18">
        <v>1E-3</v>
      </c>
      <c r="DG57" s="18" t="s">
        <v>34</v>
      </c>
      <c r="DH57" s="18">
        <v>1.3500000000000001E-3</v>
      </c>
      <c r="DI57" s="18">
        <v>1.12E-2</v>
      </c>
      <c r="DJ57" s="18"/>
      <c r="DK57" s="18"/>
      <c r="DL57" s="18">
        <v>0.03</v>
      </c>
      <c r="DM57" s="18">
        <v>3.3000000000000002E-2</v>
      </c>
      <c r="DN57" s="18">
        <v>2.5000000000000001E-4</v>
      </c>
      <c r="DO57" s="18"/>
      <c r="DP57" s="18">
        <v>1.4000000000000001E-4</v>
      </c>
      <c r="DQ57" s="18"/>
      <c r="DR57" s="18">
        <v>5.0000000000000004E-6</v>
      </c>
      <c r="DS57" s="18"/>
      <c r="DT57" s="18"/>
      <c r="DU57" s="18"/>
      <c r="DV57" s="28"/>
      <c r="DW57" s="28"/>
      <c r="DX57" s="28"/>
      <c r="DY57" s="28"/>
      <c r="DZ57" s="28"/>
      <c r="EA57" s="28"/>
      <c r="EB57" s="28"/>
      <c r="EC57" s="28"/>
      <c r="ED57" s="28"/>
      <c r="EE57" s="28"/>
      <c r="EF57" s="28"/>
      <c r="EG57" s="28"/>
      <c r="EH57" s="28"/>
      <c r="EI57" s="28"/>
      <c r="EJ57" s="18"/>
      <c r="EK57" s="18"/>
      <c r="EL57" s="18">
        <f>IFERROR(CR57/'McDonough &amp; Sun 1995 values'!C$2,)</f>
        <v>0.1238095238095238</v>
      </c>
      <c r="EM57" s="18">
        <f>IFERROR(CH57/'McDonough &amp; Sun 1995 values'!D$2,)</f>
        <v>0.18666666666666668</v>
      </c>
      <c r="EN57" s="18">
        <f>IFERROR(CS57/'McDonough &amp; Sun 1995 values'!E$2,)</f>
        <v>0.33333333333333337</v>
      </c>
      <c r="EO57" s="18">
        <f>IFERROR(DL57/'McDonough &amp; Sun 1995 values'!F$2,)</f>
        <v>0.37735849056603771</v>
      </c>
      <c r="EP57" s="18">
        <f>IFERROR(DM57/'McDonough &amp; Sun 1995 values'!G$2,)</f>
        <v>1.6256157635467983</v>
      </c>
      <c r="EQ57" s="18">
        <f>IFERROR(BR57/'McDonough &amp; Sun 1995 values'!H$2,)</f>
        <v>0.13291666666666666</v>
      </c>
      <c r="ER57" s="18">
        <f>IFERROR(DI57/'McDonough &amp; Sun 1995 values'!I$2,)</f>
        <v>0.30270270270270272</v>
      </c>
      <c r="ES57" s="18">
        <f>IFERROR(CM57/'McDonough &amp; Sun 1995 values'!J$2,)</f>
        <v>0</v>
      </c>
      <c r="ET57" s="18">
        <f>IFERROR(CU57/'McDonough &amp; Sun 1995 values'!K$2,)</f>
        <v>0.39351851851851849</v>
      </c>
      <c r="EU57" s="18">
        <f>IFERROR(CV57/'McDonough &amp; Sun 1995 values'!L$2,)</f>
        <v>0.17910447761194029</v>
      </c>
      <c r="EV57" s="18">
        <f>IFERROR(CW57/'McDonough &amp; Sun 1995 values'!M$2,)</f>
        <v>0</v>
      </c>
      <c r="EW57" s="18">
        <f>IFERROR(CI57/'McDonough &amp; Sun 1995 values'!N$2,)</f>
        <v>8.2412060301507536E-2</v>
      </c>
      <c r="EX57" s="18">
        <f>IFERROR(CX57/'McDonough &amp; Sun 1995 values'!O$2,)</f>
        <v>5.5200000000000006E-2</v>
      </c>
      <c r="EY57" s="18">
        <f>IFERROR(CY57/'McDonough &amp; Sun 1995 values'!P$2,)</f>
        <v>2.4137931034482762E-2</v>
      </c>
      <c r="EZ57" s="18">
        <f>IFERROR(DH57/'McDonough &amp; Sun 1995 values'!Q$2,)</f>
        <v>4.7703180212014138E-3</v>
      </c>
      <c r="FA57" s="18">
        <f>IFERROR(CK57/'McDonough &amp; Sun 1995 values'!R$2,)</f>
        <v>5.7142857142857143E-3</v>
      </c>
      <c r="FB57" s="18">
        <f>IFERROR(CZ57/'McDonough &amp; Sun 1995 values'!S$2,)</f>
        <v>9.0909090909090905E-3</v>
      </c>
      <c r="FC57" s="18">
        <f>IFERROR(BT57/'McDonough &amp; Sun 1995 values'!T$2,)</f>
        <v>0</v>
      </c>
      <c r="FD57" s="18">
        <f>IFERROR(DA57/'McDonough &amp; Sun 1995 values'!U$2,)</f>
        <v>6.4338235294117644E-3</v>
      </c>
      <c r="FE57" s="18">
        <f>IFERROR(DN57/'McDonough &amp; Sun 1995 values'!V$2,)</f>
        <v>2.525252525252525E-3</v>
      </c>
      <c r="FF57" s="18">
        <f>IFERROR(DB57/'McDonough &amp; Sun 1995 values'!W$2,)</f>
        <v>0</v>
      </c>
      <c r="FG57" s="18">
        <f>IFERROR(CJ57/'McDonough &amp; Sun 1995 values'!X$2,)</f>
        <v>0</v>
      </c>
      <c r="FH57" s="18">
        <f>IFERROR(DC57/'McDonough &amp; Sun 1995 values'!Y$2,)</f>
        <v>0</v>
      </c>
      <c r="FI57" s="18">
        <f>IFERROR(DD57/'McDonough &amp; Sun 1995 values'!Z$2,)</f>
        <v>0</v>
      </c>
      <c r="FJ57" s="18">
        <f>IFERROR(DE57/'McDonough &amp; Sun 1995 values'!AA$2,)</f>
        <v>0</v>
      </c>
      <c r="FK57" s="18">
        <f>IFERROR(DF57/'McDonough &amp; Sun 1995 values'!AB$2,)</f>
        <v>2.2675736961451248E-3</v>
      </c>
      <c r="FL57" s="18">
        <f>IFERROR(DG57/'McDonough &amp; Sun 1995 values'!AC$2,)</f>
        <v>0</v>
      </c>
      <c r="FN57" s="28">
        <f t="shared" si="68"/>
        <v>12.23033803295397</v>
      </c>
      <c r="FO57" s="4">
        <f t="shared" si="86"/>
        <v>0.20505050505050504</v>
      </c>
      <c r="FP57" s="4">
        <f t="shared" si="87"/>
        <v>0</v>
      </c>
      <c r="FQ57" s="4">
        <f t="shared" si="88"/>
        <v>0.23213264722698679</v>
      </c>
      <c r="FR57" s="4">
        <f t="shared" si="89"/>
        <v>0</v>
      </c>
      <c r="FS57" s="4">
        <f t="shared" si="90"/>
        <v>1.3000165343915342</v>
      </c>
      <c r="FT57" s="4">
        <f t="shared" si="91"/>
        <v>1.5076923076923079</v>
      </c>
      <c r="FU57" s="4">
        <f t="shared" si="92"/>
        <v>0</v>
      </c>
      <c r="FV57" s="4">
        <f t="shared" si="93"/>
        <v>0.236734693877551</v>
      </c>
      <c r="FW57" s="4">
        <f t="shared" si="94"/>
        <v>1.1978835978835978</v>
      </c>
      <c r="FX57" s="4">
        <f t="shared" si="95"/>
        <v>0.59472602868829272</v>
      </c>
      <c r="FY57" s="4">
        <f t="shared" si="96"/>
        <v>0</v>
      </c>
      <c r="FZ57" s="4">
        <f t="shared" si="97"/>
        <v>0.72949567507706836</v>
      </c>
      <c r="GA57" s="4">
        <f t="shared" si="98"/>
        <v>0</v>
      </c>
      <c r="GB57" s="4">
        <f t="shared" si="99"/>
        <v>0.37662337662337658</v>
      </c>
      <c r="GC57" s="4">
        <f t="shared" si="100"/>
        <v>0.66326530612244894</v>
      </c>
      <c r="GD57" s="4">
        <f t="shared" si="101"/>
        <v>0.88333333333333353</v>
      </c>
      <c r="GE57" s="4">
        <f t="shared" si="102"/>
        <v>1.7857142857142858</v>
      </c>
      <c r="GF57" s="4">
        <f t="shared" si="103"/>
        <v>2.5078369905956119</v>
      </c>
      <c r="GG57" s="4">
        <f t="shared" si="104"/>
        <v>0</v>
      </c>
      <c r="GH57" s="4">
        <f t="shared" si="105"/>
        <v>0</v>
      </c>
      <c r="GI57" s="4">
        <f t="shared" si="106"/>
        <v>16.30291005291005</v>
      </c>
      <c r="GJ57" s="4">
        <f t="shared" si="107"/>
        <v>0</v>
      </c>
      <c r="GK57" s="4">
        <f t="shared" si="108"/>
        <v>173.54166666666666</v>
      </c>
      <c r="GL57" s="4">
        <f t="shared" si="109"/>
        <v>0</v>
      </c>
      <c r="GM57" s="4">
        <f t="shared" si="110"/>
        <v>2.0215633423180592</v>
      </c>
      <c r="GN57" s="4">
        <f t="shared" si="111"/>
        <v>0</v>
      </c>
      <c r="GO57" s="4">
        <f t="shared" si="112"/>
        <v>0</v>
      </c>
      <c r="GP57" s="4">
        <f t="shared" si="113"/>
        <v>8.1763888888888872E-2</v>
      </c>
      <c r="GQ57" s="27">
        <f t="shared" si="114"/>
        <v>228709.93075249178</v>
      </c>
      <c r="GR57" s="28">
        <f t="shared" si="115"/>
        <v>18.640934794873939</v>
      </c>
      <c r="GS57" s="28">
        <f t="shared" si="116"/>
        <v>802.99411424072355</v>
      </c>
      <c r="GT57" s="28">
        <f t="shared" si="117"/>
        <v>15773.098672585644</v>
      </c>
      <c r="GU57" s="28">
        <f t="shared" si="118"/>
        <v>215.08770917162238</v>
      </c>
      <c r="GV57" s="28">
        <f t="shared" si="119"/>
        <v>236.5964800887846</v>
      </c>
      <c r="GW57" s="28">
        <f t="shared" si="120"/>
        <v>228709.93075249178</v>
      </c>
      <c r="GX57" s="28">
        <f t="shared" si="121"/>
        <v>80.29941142407236</v>
      </c>
      <c r="GY57" s="28">
        <f t="shared" si="122"/>
        <v>0</v>
      </c>
      <c r="GZ57" s="28">
        <f t="shared" si="123"/>
        <v>1828.24552795879</v>
      </c>
      <c r="HA57" s="28">
        <f t="shared" si="124"/>
        <v>2150.8770917162237</v>
      </c>
      <c r="HB57" s="28">
        <f t="shared" si="125"/>
        <v>0</v>
      </c>
      <c r="HC57" s="28">
        <f t="shared" si="126"/>
        <v>11758.128101382023</v>
      </c>
      <c r="HD57" s="28">
        <f t="shared" si="127"/>
        <v>494.70173109473149</v>
      </c>
      <c r="HE57" s="28">
        <f t="shared" si="128"/>
        <v>70.261984996063319</v>
      </c>
      <c r="HF57" s="28">
        <f t="shared" si="129"/>
        <v>9.6789469127230063</v>
      </c>
      <c r="HG57" s="28">
        <f t="shared" si="130"/>
        <v>430.17541834324476</v>
      </c>
      <c r="HH57" s="28">
        <f t="shared" si="131"/>
        <v>10.037426428009045</v>
      </c>
      <c r="HI57" s="28">
        <f t="shared" si="132"/>
        <v>0</v>
      </c>
      <c r="HJ57" s="28">
        <f t="shared" si="133"/>
        <v>25.093566070022611</v>
      </c>
      <c r="HK57" s="28">
        <f t="shared" si="134"/>
        <v>1.7923975764301865</v>
      </c>
      <c r="HL57" s="28">
        <f t="shared" si="135"/>
        <v>0</v>
      </c>
      <c r="HM57" s="28">
        <f t="shared" si="136"/>
        <v>0</v>
      </c>
      <c r="HN57" s="28">
        <f t="shared" si="137"/>
        <v>0</v>
      </c>
      <c r="HO57" s="28">
        <f t="shared" si="138"/>
        <v>0</v>
      </c>
      <c r="HP57" s="28">
        <f t="shared" si="139"/>
        <v>0</v>
      </c>
      <c r="HQ57" s="28">
        <f t="shared" si="140"/>
        <v>7.169590305720746</v>
      </c>
      <c r="HR57" s="28" t="str">
        <f t="shared" si="141"/>
        <v/>
      </c>
      <c r="HT57" s="4">
        <f>IFERROR(GR57/'McDonough &amp; Sun 1995 values'!C$2,)</f>
        <v>887.66356166066373</v>
      </c>
      <c r="HU57" s="4">
        <f>IFERROR(GS57/'McDonough &amp; Sun 1995 values'!D$2,)</f>
        <v>1338.3235237345393</v>
      </c>
      <c r="HV57" s="4">
        <f>IFERROR(GT57/'McDonough &amp; Sun 1995 values'!E$2,)</f>
        <v>2389.8634352402491</v>
      </c>
      <c r="HW57" s="4">
        <f>IFERROR(GU57/'McDonough &amp; Sun 1995 values'!F$2,)</f>
        <v>2705.5057757436775</v>
      </c>
      <c r="HX57" s="4">
        <f>IFERROR(GV57/'McDonough &amp; Sun 1995 values'!G$2,)</f>
        <v>11654.999019151952</v>
      </c>
      <c r="HY57" s="4">
        <f>IFERROR(GW57/'McDonough &amp; Sun 1995 values'!H$2,)</f>
        <v>952.95804480204913</v>
      </c>
      <c r="HZ57" s="4">
        <f>IFERROR(GX57/'McDonough &amp; Sun 1995 values'!I$2,)</f>
        <v>2170.2543628127664</v>
      </c>
      <c r="IA57" s="4">
        <f>IFERROR(GY57/'McDonough &amp; Sun 1995 values'!J$2,)</f>
        <v>0</v>
      </c>
      <c r="IB57" s="4">
        <f>IFERROR(GZ57/'McDonough &amp; Sun 1995 values'!K$2,)</f>
        <v>2821.3665554919598</v>
      </c>
      <c r="IC57" s="4">
        <f>IFERROR(HA57/'McDonough &amp; Sun 1995 values'!L$2,)</f>
        <v>1284.1057263977455</v>
      </c>
      <c r="ID57" s="4">
        <f>IFERROR(HB57/'McDonough &amp; Sun 1995 values'!M$2,)</f>
        <v>0</v>
      </c>
      <c r="IE57" s="4">
        <f>IFERROR(HC57/'McDonough &amp; Sun 1995 values'!N$2,)</f>
        <v>590.86070861216194</v>
      </c>
      <c r="IF57" s="4">
        <f>IFERROR(HD57/'McDonough &amp; Sun 1995 values'!O$2,)</f>
        <v>395.76138487578521</v>
      </c>
      <c r="IG57" s="4">
        <f>IFERROR(HE57/'McDonough &amp; Sun 1995 values'!P$2,)</f>
        <v>173.05907634498354</v>
      </c>
      <c r="IH57" s="4">
        <f>IFERROR(HF57/'McDonough &amp; Sun 1995 values'!Q$2,)</f>
        <v>34.201225840010629</v>
      </c>
      <c r="II57" s="4">
        <f>IFERROR(HG57/'McDonough &amp; Sun 1995 values'!R$2,)</f>
        <v>40.969087461261402</v>
      </c>
      <c r="IJ57" s="4">
        <f>IFERROR(HH57/'McDonough &amp; Sun 1995 values'!S$2,)</f>
        <v>65.178093688370424</v>
      </c>
      <c r="IK57" s="4">
        <f>IFERROR(HI57/'McDonough &amp; Sun 1995 values'!T$2,)</f>
        <v>0</v>
      </c>
      <c r="IL57" s="4">
        <f>IFERROR(HJ57/'McDonough &amp; Sun 1995 values'!U$2,)</f>
        <v>46.127878805188622</v>
      </c>
      <c r="IM57" s="4">
        <f>IFERROR(HK57/'McDonough &amp; Sun 1995 values'!V$2,)</f>
        <v>18.105026024547339</v>
      </c>
      <c r="IN57" s="4">
        <f>IFERROR(HL57/'McDonough &amp; Sun 1995 values'!W$2,)</f>
        <v>0</v>
      </c>
      <c r="IO57" s="4">
        <f>IFERROR(HM57/'McDonough &amp; Sun 1995 values'!X$2,)</f>
        <v>0</v>
      </c>
      <c r="IP57" s="4">
        <f>IFERROR(HN57/'McDonough &amp; Sun 1995 values'!Y$2,)</f>
        <v>0</v>
      </c>
      <c r="IQ57" s="4">
        <f>IFERROR(HO57/'McDonough &amp; Sun 1995 values'!Z$2,)</f>
        <v>0</v>
      </c>
      <c r="IR57" s="4">
        <f>IFERROR(HP57/'McDonough &amp; Sun 1995 values'!AA$2,)</f>
        <v>0</v>
      </c>
      <c r="IS57" s="4">
        <f>IFERROR(HQ57/'McDonough &amp; Sun 1995 values'!AB$2,)</f>
        <v>16.257574389389447</v>
      </c>
      <c r="IT57" s="4">
        <f>IFERROR(HR57/'McDonough &amp; Sun 1995 values'!AC$2,)</f>
        <v>0</v>
      </c>
    </row>
    <row r="58" spans="1:254">
      <c r="A58" s="16" t="s">
        <v>670</v>
      </c>
      <c r="B58" s="16" t="s">
        <v>24</v>
      </c>
      <c r="C58" s="16" t="str">
        <f t="shared" si="0"/>
        <v>high-Mg carbonatitic</v>
      </c>
      <c r="D58" s="16" t="s">
        <v>1707</v>
      </c>
      <c r="E58" s="16" t="s">
        <v>237</v>
      </c>
      <c r="F58" s="16" t="s">
        <v>661</v>
      </c>
      <c r="G58" s="16" t="s">
        <v>595</v>
      </c>
      <c r="H58" s="27">
        <v>376</v>
      </c>
      <c r="I58" s="16" t="s">
        <v>712</v>
      </c>
      <c r="J58" s="16" t="s">
        <v>635</v>
      </c>
      <c r="K58" s="16" t="s">
        <v>662</v>
      </c>
      <c r="L58" s="16">
        <v>0</v>
      </c>
      <c r="M58" s="16" t="s">
        <v>659</v>
      </c>
      <c r="N58" s="16">
        <v>19</v>
      </c>
      <c r="O58" s="26">
        <v>9.1</v>
      </c>
      <c r="P58" s="26">
        <v>0.85</v>
      </c>
      <c r="Q58" s="26">
        <v>0.53</v>
      </c>
      <c r="R58" s="26">
        <v>5.51</v>
      </c>
      <c r="S58" s="26">
        <v>7.23</v>
      </c>
      <c r="T58" s="26">
        <v>35.299999999999997</v>
      </c>
      <c r="U58" s="26">
        <v>0.21</v>
      </c>
      <c r="V58" s="26">
        <v>22.6</v>
      </c>
      <c r="W58" s="26">
        <v>5.63</v>
      </c>
      <c r="X58" s="26">
        <v>6.77</v>
      </c>
      <c r="Y58" s="26"/>
      <c r="Z58" s="26">
        <v>2.4300000000000002</v>
      </c>
      <c r="AA58" s="26"/>
      <c r="AB58" s="26">
        <v>1.06</v>
      </c>
      <c r="AC58" s="26"/>
      <c r="AD58" s="26">
        <v>1.18</v>
      </c>
      <c r="AE58" s="26"/>
      <c r="AF58" s="26">
        <v>0.67</v>
      </c>
      <c r="AG58" s="26"/>
      <c r="AH58" s="26"/>
      <c r="AI58" s="26"/>
      <c r="AJ58" s="26">
        <f t="shared" si="62"/>
        <v>97.660000000000011</v>
      </c>
      <c r="AK58" s="26">
        <f t="shared" si="73"/>
        <v>9.3435192595044825</v>
      </c>
      <c r="AL58" s="26">
        <f t="shared" si="74"/>
        <v>0.87274630445921009</v>
      </c>
      <c r="AM58" s="26">
        <f t="shared" si="75"/>
        <v>5.6574495736120545</v>
      </c>
      <c r="AN58" s="26">
        <f t="shared" si="76"/>
        <v>7.4234773896942219</v>
      </c>
      <c r="AO58" s="26">
        <f t="shared" si="77"/>
        <v>36.244640644011895</v>
      </c>
      <c r="AP58" s="26">
        <f t="shared" si="78"/>
        <v>23.204784095033116</v>
      </c>
      <c r="AQ58" s="26">
        <f t="shared" si="79"/>
        <v>1.0883659796785443</v>
      </c>
      <c r="AR58" s="26">
        <f t="shared" si="80"/>
        <v>5.7806608165945326</v>
      </c>
      <c r="AS58" s="26">
        <f t="shared" si="81"/>
        <v>6.9511676249280603</v>
      </c>
      <c r="AT58" s="26">
        <f t="shared" si="82"/>
        <v>2.4950276703951535</v>
      </c>
      <c r="AU58" s="26">
        <f t="shared" si="83"/>
        <v>1.2115772226610209</v>
      </c>
      <c r="AV58" s="26">
        <f t="shared" si="7"/>
        <v>100.2734165805723</v>
      </c>
      <c r="AW58" s="26"/>
      <c r="AX58" s="26"/>
      <c r="AY58" s="26"/>
      <c r="AZ58" s="26"/>
      <c r="BA58" s="26"/>
      <c r="BB58" s="26"/>
      <c r="BC58" s="26"/>
      <c r="BD58" s="26"/>
      <c r="BE58" s="16"/>
      <c r="BF58" s="16"/>
      <c r="BG58" s="16"/>
      <c r="BH58" s="16"/>
      <c r="BI58" s="16"/>
      <c r="BJ58" s="16"/>
      <c r="BK58" s="18"/>
      <c r="BL58" s="18"/>
      <c r="BM58" s="18"/>
      <c r="BN58" s="18"/>
      <c r="BO58" s="18"/>
      <c r="BP58" s="18"/>
      <c r="BQ58" s="18"/>
      <c r="BR58" s="18">
        <v>107858</v>
      </c>
      <c r="BS58" s="18"/>
      <c r="BT58" s="18">
        <v>5723</v>
      </c>
      <c r="BU58" s="18"/>
      <c r="BV58" s="18"/>
      <c r="BW58" s="18"/>
      <c r="BX58" s="18"/>
      <c r="BY58" s="18"/>
      <c r="BZ58" s="18"/>
      <c r="CA58" s="18"/>
      <c r="CB58" s="18"/>
      <c r="CC58" s="18"/>
      <c r="CD58" s="18"/>
      <c r="CE58" s="18"/>
      <c r="CF58" s="18"/>
      <c r="CG58" s="18"/>
      <c r="CH58" s="18">
        <v>551</v>
      </c>
      <c r="CI58" s="18">
        <v>3198</v>
      </c>
      <c r="CJ58" s="18">
        <v>9</v>
      </c>
      <c r="CK58" s="18">
        <v>121</v>
      </c>
      <c r="CL58" s="18"/>
      <c r="CM58" s="18">
        <v>437</v>
      </c>
      <c r="CN58" s="18"/>
      <c r="CO58" s="18"/>
      <c r="CP58" s="18"/>
      <c r="CQ58" s="18"/>
      <c r="CR58" s="18">
        <v>5</v>
      </c>
      <c r="CS58" s="18">
        <v>6960</v>
      </c>
      <c r="CT58" s="18"/>
      <c r="CU58" s="18">
        <v>297</v>
      </c>
      <c r="CV58" s="18">
        <v>448</v>
      </c>
      <c r="CW58" s="18">
        <v>57</v>
      </c>
      <c r="CX58" s="18">
        <v>217</v>
      </c>
      <c r="CY58" s="18">
        <v>25</v>
      </c>
      <c r="CZ58" s="18">
        <v>3</v>
      </c>
      <c r="DA58" s="18" t="s">
        <v>669</v>
      </c>
      <c r="DB58" s="18" t="s">
        <v>669</v>
      </c>
      <c r="DC58" s="18" t="s">
        <v>669</v>
      </c>
      <c r="DD58" s="18">
        <v>6</v>
      </c>
      <c r="DE58" s="18"/>
      <c r="DF58" s="18" t="s">
        <v>669</v>
      </c>
      <c r="DG58" s="18" t="s">
        <v>669</v>
      </c>
      <c r="DH58" s="18">
        <v>8</v>
      </c>
      <c r="DI58" s="18">
        <v>20</v>
      </c>
      <c r="DJ58" s="18"/>
      <c r="DK58" s="18"/>
      <c r="DL58" s="18">
        <v>33</v>
      </c>
      <c r="DM58" s="18">
        <v>5</v>
      </c>
      <c r="DN58" s="18"/>
      <c r="DO58" s="18"/>
      <c r="DP58" s="18"/>
      <c r="DQ58" s="18"/>
      <c r="DR58" s="18"/>
      <c r="DS58" s="18"/>
      <c r="DT58" s="18"/>
      <c r="DU58" s="18"/>
      <c r="DV58" s="28"/>
      <c r="DW58" s="28"/>
      <c r="DX58" s="28"/>
      <c r="DY58" s="28"/>
      <c r="DZ58" s="28"/>
      <c r="EA58" s="28"/>
      <c r="EB58" s="28"/>
      <c r="EC58" s="28"/>
      <c r="ED58" s="28"/>
      <c r="EE58" s="28"/>
      <c r="EF58" s="28"/>
      <c r="EG58" s="28"/>
      <c r="EH58" s="28"/>
      <c r="EI58" s="28"/>
      <c r="EJ58" s="18"/>
      <c r="EK58" s="18"/>
      <c r="EL58" s="18">
        <f>IFERROR(CR58/'McDonough &amp; Sun 1995 values'!C$2,)</f>
        <v>238.09523809523807</v>
      </c>
      <c r="EM58" s="18">
        <f>IFERROR(CH58/'McDonough &amp; Sun 1995 values'!D$2,)</f>
        <v>918.33333333333337</v>
      </c>
      <c r="EN58" s="18">
        <f>IFERROR(CS58/'McDonough &amp; Sun 1995 values'!E$2,)</f>
        <v>1054.5454545454545</v>
      </c>
      <c r="EO58" s="18">
        <f>IFERROR(DL58/'McDonough &amp; Sun 1995 values'!F$2,)</f>
        <v>415.09433962264148</v>
      </c>
      <c r="EP58" s="18">
        <f>IFERROR(DM58/'McDonough &amp; Sun 1995 values'!G$2,)</f>
        <v>246.30541871921184</v>
      </c>
      <c r="EQ58" s="18">
        <f>IFERROR(BR58/'McDonough &amp; Sun 1995 values'!H$2,)</f>
        <v>449.40833333333336</v>
      </c>
      <c r="ER58" s="18">
        <f>IFERROR(DI58/'McDonough &amp; Sun 1995 values'!I$2,)</f>
        <v>540.54054054054052</v>
      </c>
      <c r="ES58" s="18">
        <f>IFERROR(CM58/'McDonough &amp; Sun 1995 values'!J$2,)</f>
        <v>664.13373860182367</v>
      </c>
      <c r="ET58" s="18">
        <f>IFERROR(CU58/'McDonough &amp; Sun 1995 values'!K$2,)</f>
        <v>458.33333333333331</v>
      </c>
      <c r="EU58" s="18">
        <f>IFERROR(CV58/'McDonough &amp; Sun 1995 values'!L$2,)</f>
        <v>267.46268656716416</v>
      </c>
      <c r="EV58" s="18">
        <f>IFERROR(CW58/'McDonough &amp; Sun 1995 values'!M$2,)</f>
        <v>224.40944881889763</v>
      </c>
      <c r="EW58" s="18">
        <f>IFERROR(CI58/'McDonough &amp; Sun 1995 values'!N$2,)</f>
        <v>160.7035175879397</v>
      </c>
      <c r="EX58" s="18">
        <f>IFERROR(CX58/'McDonough &amp; Sun 1995 values'!O$2,)</f>
        <v>173.6</v>
      </c>
      <c r="EY58" s="18">
        <f>IFERROR(CY58/'McDonough &amp; Sun 1995 values'!P$2,)</f>
        <v>61.576354679802954</v>
      </c>
      <c r="EZ58" s="18">
        <f>IFERROR(DH58/'McDonough &amp; Sun 1995 values'!Q$2,)</f>
        <v>28.268551236749119</v>
      </c>
      <c r="FA58" s="18">
        <f>IFERROR(CK58/'McDonough &amp; Sun 1995 values'!R$2,)</f>
        <v>11.523809523809524</v>
      </c>
      <c r="FB58" s="18">
        <f>IFERROR(CZ58/'McDonough &amp; Sun 1995 values'!S$2,)</f>
        <v>19.480519480519479</v>
      </c>
      <c r="FC58" s="18">
        <f>IFERROR(BT58/'McDonough &amp; Sun 1995 values'!T$2,)</f>
        <v>4.7493775933609959</v>
      </c>
      <c r="FD58" s="18">
        <f>IFERROR(DA58/'McDonough &amp; Sun 1995 values'!U$2,)</f>
        <v>0</v>
      </c>
      <c r="FE58" s="18">
        <f>IFERROR(DN58/'McDonough &amp; Sun 1995 values'!V$2,)</f>
        <v>0</v>
      </c>
      <c r="FF58" s="18">
        <f>IFERROR(DB58/'McDonough &amp; Sun 1995 values'!W$2,)</f>
        <v>0</v>
      </c>
      <c r="FG58" s="18">
        <f>IFERROR(CJ58/'McDonough &amp; Sun 1995 values'!X$2,)</f>
        <v>2.0930232558139537</v>
      </c>
      <c r="FH58" s="18">
        <f>IFERROR(DC58/'McDonough &amp; Sun 1995 values'!Y$2,)</f>
        <v>0</v>
      </c>
      <c r="FI58" s="18">
        <f>IFERROR(DD58/'McDonough &amp; Sun 1995 values'!Z$2,)</f>
        <v>13.698630136986301</v>
      </c>
      <c r="FJ58" s="18">
        <f>IFERROR(DE58/'McDonough &amp; Sun 1995 values'!AA$2,)</f>
        <v>0</v>
      </c>
      <c r="FK58" s="18">
        <f>IFERROR(DF58/'McDonough &amp; Sun 1995 values'!AB$2,)</f>
        <v>0</v>
      </c>
      <c r="FL58" s="18">
        <f>IFERROR(DG58/'McDonough &amp; Sun 1995 values'!AC$2,)</f>
        <v>0</v>
      </c>
      <c r="FN58" s="28">
        <f t="shared" si="68"/>
        <v>0.54806598020184727</v>
      </c>
      <c r="FO58" s="4">
        <f t="shared" si="86"/>
        <v>4.2814545454545447</v>
      </c>
      <c r="FP58" s="4">
        <f t="shared" si="87"/>
        <v>0.62501619101075079</v>
      </c>
      <c r="FQ58" s="4">
        <f t="shared" si="88"/>
        <v>1.6852830188679242</v>
      </c>
      <c r="FR58" s="4">
        <f t="shared" si="89"/>
        <v>0.6901220442410374</v>
      </c>
      <c r="FS58" s="4">
        <f t="shared" si="90"/>
        <v>0.84791666666666665</v>
      </c>
      <c r="FT58" s="4">
        <f t="shared" si="91"/>
        <v>3.8570000000000007</v>
      </c>
      <c r="FU58" s="4">
        <f t="shared" si="92"/>
        <v>0.81390314799925789</v>
      </c>
      <c r="FV58" s="4">
        <f t="shared" si="93"/>
        <v>0.18714666666666668</v>
      </c>
      <c r="FW58" s="4">
        <f t="shared" si="94"/>
        <v>0.40765476190476185</v>
      </c>
      <c r="FX58" s="4">
        <f t="shared" si="95"/>
        <v>0.63272727272727269</v>
      </c>
      <c r="FY58" s="4">
        <f t="shared" si="96"/>
        <v>0.81419785341705464</v>
      </c>
      <c r="FZ58" s="4">
        <f t="shared" si="97"/>
        <v>0</v>
      </c>
      <c r="GA58" s="4">
        <f t="shared" si="98"/>
        <v>0.71611742925152078</v>
      </c>
      <c r="GB58" s="4">
        <f t="shared" si="99"/>
        <v>0.31636363636363635</v>
      </c>
      <c r="GC58" s="4">
        <f t="shared" si="100"/>
        <v>0.2592688618096966</v>
      </c>
      <c r="GD58" s="4">
        <f t="shared" si="101"/>
        <v>2.5404958677685952</v>
      </c>
      <c r="GE58" s="4">
        <f t="shared" si="102"/>
        <v>1.1483253588516746</v>
      </c>
      <c r="GF58" s="4">
        <f t="shared" si="103"/>
        <v>2.3465195821441993</v>
      </c>
      <c r="GG58" s="4">
        <f t="shared" si="104"/>
        <v>1.5878510505512795</v>
      </c>
      <c r="GH58" s="4">
        <f t="shared" si="105"/>
        <v>2.0423976608187133</v>
      </c>
      <c r="GI58" s="4">
        <f t="shared" si="106"/>
        <v>7.4433333333333334</v>
      </c>
      <c r="GJ58" s="4">
        <f t="shared" si="107"/>
        <v>0</v>
      </c>
      <c r="GK58" s="4">
        <f t="shared" si="108"/>
        <v>0</v>
      </c>
      <c r="GL58" s="4">
        <f t="shared" si="109"/>
        <v>2.4263830991071949</v>
      </c>
      <c r="GM58" s="4">
        <f t="shared" si="110"/>
        <v>0.45200835530596167</v>
      </c>
      <c r="GN58" s="4">
        <f t="shared" si="111"/>
        <v>1.4490190660403426</v>
      </c>
      <c r="GO58" s="4">
        <f t="shared" si="112"/>
        <v>2.6963829787234039</v>
      </c>
      <c r="GP58" s="4">
        <f t="shared" si="113"/>
        <v>1.8245978333333333</v>
      </c>
      <c r="GQ58" s="27">
        <f t="shared" si="114"/>
        <v>57704.235567465759</v>
      </c>
      <c r="GR58" s="28">
        <f t="shared" si="115"/>
        <v>2.6750095295418865</v>
      </c>
      <c r="GS58" s="28">
        <f t="shared" si="116"/>
        <v>294.78605015551591</v>
      </c>
      <c r="GT58" s="28">
        <f t="shared" si="117"/>
        <v>3723.6132651223056</v>
      </c>
      <c r="GU58" s="28">
        <f t="shared" si="118"/>
        <v>17.655062894976449</v>
      </c>
      <c r="GV58" s="28">
        <f t="shared" si="119"/>
        <v>2.6750095295418865</v>
      </c>
      <c r="GW58" s="28">
        <f t="shared" si="120"/>
        <v>57704.235567465759</v>
      </c>
      <c r="GX58" s="28">
        <f t="shared" si="121"/>
        <v>10.700038118167546</v>
      </c>
      <c r="GY58" s="28">
        <f t="shared" si="122"/>
        <v>233.79583288196091</v>
      </c>
      <c r="GZ58" s="28">
        <f t="shared" si="123"/>
        <v>158.89556605478808</v>
      </c>
      <c r="HA58" s="28">
        <f t="shared" si="124"/>
        <v>239.680853846953</v>
      </c>
      <c r="HB58" s="28">
        <f t="shared" si="125"/>
        <v>30.495108636777509</v>
      </c>
      <c r="HC58" s="28">
        <f t="shared" si="126"/>
        <v>1710.9360950949906</v>
      </c>
      <c r="HD58" s="28">
        <f t="shared" si="127"/>
        <v>116.09541358211787</v>
      </c>
      <c r="HE58" s="28">
        <f t="shared" si="128"/>
        <v>13.375047647709431</v>
      </c>
      <c r="HF58" s="28">
        <f t="shared" si="129"/>
        <v>4.280015247267019</v>
      </c>
      <c r="HG58" s="28">
        <f t="shared" si="130"/>
        <v>64.735230614913661</v>
      </c>
      <c r="HH58" s="28">
        <f t="shared" si="131"/>
        <v>1.6050057177251318</v>
      </c>
      <c r="HI58" s="28">
        <f t="shared" si="132"/>
        <v>3061.8159075136432</v>
      </c>
      <c r="HJ58" s="28" t="str">
        <f t="shared" si="133"/>
        <v/>
      </c>
      <c r="HK58" s="28">
        <f t="shared" si="134"/>
        <v>0</v>
      </c>
      <c r="HL58" s="28" t="str">
        <f t="shared" si="135"/>
        <v/>
      </c>
      <c r="HM58" s="28">
        <f t="shared" si="136"/>
        <v>4.815017153175396</v>
      </c>
      <c r="HN58" s="28" t="str">
        <f t="shared" si="137"/>
        <v/>
      </c>
      <c r="HO58" s="28">
        <f t="shared" si="138"/>
        <v>3.2100114354502636</v>
      </c>
      <c r="HP58" s="28">
        <f t="shared" si="139"/>
        <v>0</v>
      </c>
      <c r="HQ58" s="28" t="str">
        <f t="shared" si="140"/>
        <v/>
      </c>
      <c r="HR58" s="28" t="str">
        <f t="shared" si="141"/>
        <v/>
      </c>
      <c r="HT58" s="4">
        <f>IFERROR(GR58/'McDonough &amp; Sun 1995 values'!C$2,)</f>
        <v>127.38140616866126</v>
      </c>
      <c r="HU58" s="4">
        <f>IFERROR(GS58/'McDonough &amp; Sun 1995 values'!D$2,)</f>
        <v>491.31008359252655</v>
      </c>
      <c r="HV58" s="4">
        <f>IFERROR(GT58/'McDonough &amp; Sun 1995 values'!E$2,)</f>
        <v>564.18382804883424</v>
      </c>
      <c r="HW58" s="4">
        <f>IFERROR(GU58/'McDonough &amp; Sun 1995 values'!F$2,)</f>
        <v>222.07626282989244</v>
      </c>
      <c r="HX58" s="4">
        <f>IFERROR(GV58/'McDonough &amp; Sun 1995 values'!G$2,)</f>
        <v>131.77386845033925</v>
      </c>
      <c r="HY58" s="4">
        <f>IFERROR(GW58/'McDonough &amp; Sun 1995 values'!H$2,)</f>
        <v>240.43431486444067</v>
      </c>
      <c r="HZ58" s="4">
        <f>IFERROR(GX58/'McDonough &amp; Sun 1995 values'!I$2,)</f>
        <v>289.19021940993372</v>
      </c>
      <c r="IA58" s="4">
        <f>IFERROR(GY58/'McDonough &amp; Sun 1995 values'!J$2,)</f>
        <v>355.31281593003177</v>
      </c>
      <c r="IB58" s="4">
        <f>IFERROR(GZ58/'McDonough &amp; Sun 1995 values'!K$2,)</f>
        <v>245.20920687467296</v>
      </c>
      <c r="IC58" s="4">
        <f>IFERROR(HA58/'McDonough &amp; Sun 1995 values'!L$2,)</f>
        <v>143.09304707280776</v>
      </c>
      <c r="ID58" s="4">
        <f>IFERROR(HB58/'McDonough &amp; Sun 1995 values'!M$2,)</f>
        <v>120.0594828219587</v>
      </c>
      <c r="IE58" s="4">
        <f>IFERROR(HC58/'McDonough &amp; Sun 1995 values'!N$2,)</f>
        <v>85.976688195728173</v>
      </c>
      <c r="IF58" s="4">
        <f>IFERROR(HD58/'McDonough &amp; Sun 1995 values'!O$2,)</f>
        <v>92.8763308656943</v>
      </c>
      <c r="IG58" s="4">
        <f>IFERROR(HE58/'McDonough &amp; Sun 1995 values'!P$2,)</f>
        <v>32.943467112584806</v>
      </c>
      <c r="IH58" s="4">
        <f>IFERROR(HF58/'McDonough &amp; Sun 1995 values'!Q$2,)</f>
        <v>15.123728788929396</v>
      </c>
      <c r="II58" s="4">
        <f>IFERROR(HG58/'McDonough &amp; Sun 1995 values'!R$2,)</f>
        <v>6.1652600585632058</v>
      </c>
      <c r="IJ58" s="4">
        <f>IFERROR(HH58/'McDonough &amp; Sun 1995 values'!S$2,)</f>
        <v>10.422115050163194</v>
      </c>
      <c r="IK58" s="4">
        <f>IFERROR(HI58/'McDonough &amp; Sun 1995 values'!T$2,)</f>
        <v>2.5409260643266749</v>
      </c>
      <c r="IL58" s="4">
        <f>IFERROR(HJ58/'McDonough &amp; Sun 1995 values'!U$2,)</f>
        <v>0</v>
      </c>
      <c r="IM58" s="4">
        <f>IFERROR(HK58/'McDonough &amp; Sun 1995 values'!V$2,)</f>
        <v>0</v>
      </c>
      <c r="IN58" s="4">
        <f>IFERROR(HL58/'McDonough &amp; Sun 1995 values'!W$2,)</f>
        <v>0</v>
      </c>
      <c r="IO58" s="4">
        <f>IFERROR(HM58/'McDonough &amp; Sun 1995 values'!X$2,)</f>
        <v>1.1197714309710223</v>
      </c>
      <c r="IP58" s="4">
        <f>IFERROR(HN58/'McDonough &amp; Sun 1995 values'!Y$2,)</f>
        <v>0</v>
      </c>
      <c r="IQ58" s="4">
        <f>IFERROR(HO58/'McDonough &amp; Sun 1995 values'!Z$2,)</f>
        <v>7.3287932316216065</v>
      </c>
      <c r="IR58" s="4">
        <f>IFERROR(HP58/'McDonough &amp; Sun 1995 values'!AA$2,)</f>
        <v>0</v>
      </c>
      <c r="IS58" s="4">
        <f>IFERROR(HQ58/'McDonough &amp; Sun 1995 values'!AB$2,)</f>
        <v>0</v>
      </c>
      <c r="IT58" s="4">
        <f>IFERROR(HR58/'McDonough &amp; Sun 1995 values'!AC$2,)</f>
        <v>0</v>
      </c>
    </row>
    <row r="59" spans="1:254">
      <c r="A59" s="16" t="s">
        <v>827</v>
      </c>
      <c r="B59" s="16" t="s">
        <v>24</v>
      </c>
      <c r="C59" s="16" t="str">
        <f t="shared" si="0"/>
        <v>high-Mg carbonatitic</v>
      </c>
      <c r="D59" s="16" t="s">
        <v>25</v>
      </c>
      <c r="E59" s="16" t="s">
        <v>237</v>
      </c>
      <c r="F59" s="16" t="s">
        <v>826</v>
      </c>
      <c r="G59" s="16" t="s">
        <v>595</v>
      </c>
      <c r="H59" s="27">
        <v>0</v>
      </c>
      <c r="I59" s="16" t="s">
        <v>735</v>
      </c>
      <c r="J59" s="16">
        <v>0</v>
      </c>
      <c r="K59" s="16" t="s">
        <v>115</v>
      </c>
      <c r="L59" s="16">
        <v>0</v>
      </c>
      <c r="M59" s="16" t="s">
        <v>816</v>
      </c>
      <c r="N59" s="16">
        <v>23</v>
      </c>
      <c r="O59" s="26">
        <v>8.8000000000000007</v>
      </c>
      <c r="P59" s="26">
        <v>1.3</v>
      </c>
      <c r="Q59" s="26">
        <v>0.2</v>
      </c>
      <c r="R59" s="26">
        <v>0.5</v>
      </c>
      <c r="S59" s="26">
        <v>7.4</v>
      </c>
      <c r="T59" s="26">
        <v>24.1</v>
      </c>
      <c r="U59" s="26"/>
      <c r="V59" s="26">
        <v>18.2</v>
      </c>
      <c r="W59" s="26">
        <v>9.4</v>
      </c>
      <c r="X59" s="26">
        <v>20.6</v>
      </c>
      <c r="Y59" s="26"/>
      <c r="Z59" s="26">
        <v>3.5</v>
      </c>
      <c r="AA59" s="26"/>
      <c r="AB59" s="26">
        <v>1.6</v>
      </c>
      <c r="AC59" s="26"/>
      <c r="AD59" s="26">
        <v>4.0999999999999996</v>
      </c>
      <c r="AE59" s="26"/>
      <c r="AF59" s="26"/>
      <c r="AG59" s="26"/>
      <c r="AH59" s="26"/>
      <c r="AI59" s="26">
        <v>5.0999999999999996</v>
      </c>
      <c r="AJ59" s="26">
        <f t="shared" si="62"/>
        <v>99.5</v>
      </c>
      <c r="AK59" s="26">
        <f t="shared" si="73"/>
        <v>8.9272351354638406</v>
      </c>
      <c r="AL59" s="26">
        <f t="shared" si="74"/>
        <v>1.3187960995571579</v>
      </c>
      <c r="AM59" s="26">
        <f t="shared" si="75"/>
        <v>0.50722926906044541</v>
      </c>
      <c r="AN59" s="26">
        <f t="shared" si="76"/>
        <v>7.5069931820945914</v>
      </c>
      <c r="AO59" s="26">
        <f t="shared" si="77"/>
        <v>24.448450768713471</v>
      </c>
      <c r="AP59" s="26">
        <f t="shared" si="78"/>
        <v>18.463145393800211</v>
      </c>
      <c r="AQ59" s="26">
        <f t="shared" si="79"/>
        <v>1.6231336609934255</v>
      </c>
      <c r="AR59" s="26">
        <f t="shared" si="80"/>
        <v>9.535910258336374</v>
      </c>
      <c r="AS59" s="26">
        <f t="shared" si="81"/>
        <v>20.897845885290351</v>
      </c>
      <c r="AT59" s="26">
        <f t="shared" si="82"/>
        <v>3.5506048834231176</v>
      </c>
      <c r="AU59" s="26">
        <f t="shared" si="83"/>
        <v>4.1592800062956519</v>
      </c>
      <c r="AV59" s="26">
        <f t="shared" si="7"/>
        <v>100.93862454302864</v>
      </c>
      <c r="AW59" s="26"/>
      <c r="AX59" s="26"/>
      <c r="AY59" s="26"/>
      <c r="AZ59" s="26"/>
      <c r="BA59" s="26">
        <v>0.65</v>
      </c>
      <c r="BB59" s="26"/>
      <c r="BC59" s="26">
        <f>1-BA59</f>
        <v>0.35</v>
      </c>
      <c r="BD59" s="26">
        <f>BA59</f>
        <v>0.65</v>
      </c>
      <c r="BE59" s="16"/>
      <c r="BF59" s="16"/>
      <c r="BG59" s="16"/>
      <c r="BH59" s="16"/>
      <c r="BI59" s="16"/>
      <c r="BJ59" s="16"/>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28"/>
      <c r="DW59" s="28"/>
      <c r="DX59" s="28"/>
      <c r="DY59" s="28"/>
      <c r="DZ59" s="28"/>
      <c r="EA59" s="28"/>
      <c r="EB59" s="28"/>
      <c r="EC59" s="28"/>
      <c r="ED59" s="28"/>
      <c r="EE59" s="28"/>
      <c r="EF59" s="28"/>
      <c r="EG59" s="28"/>
      <c r="EH59" s="28"/>
      <c r="EI59" s="28"/>
      <c r="EJ59" s="18"/>
      <c r="EK59" s="18"/>
      <c r="EL59" s="18">
        <f>IFERROR(CR59/'McDonough &amp; Sun 1995 values'!C$2,)</f>
        <v>0</v>
      </c>
      <c r="EM59" s="18">
        <f>IFERROR(CH59/'McDonough &amp; Sun 1995 values'!D$2,)</f>
        <v>0</v>
      </c>
      <c r="EN59" s="18">
        <f>IFERROR(CS59/'McDonough &amp; Sun 1995 values'!E$2,)</f>
        <v>0</v>
      </c>
      <c r="EO59" s="18">
        <f>IFERROR(DL59/'McDonough &amp; Sun 1995 values'!F$2,)</f>
        <v>0</v>
      </c>
      <c r="EP59" s="18">
        <f>IFERROR(DM59/'McDonough &amp; Sun 1995 values'!G$2,)</f>
        <v>0</v>
      </c>
      <c r="EQ59" s="18">
        <f>IFERROR(BR59/'McDonough &amp; Sun 1995 values'!H$2,)</f>
        <v>0</v>
      </c>
      <c r="ER59" s="18">
        <f>IFERROR(DI59/'McDonough &amp; Sun 1995 values'!I$2,)</f>
        <v>0</v>
      </c>
      <c r="ES59" s="18">
        <f>IFERROR(CM59/'McDonough &amp; Sun 1995 values'!J$2,)</f>
        <v>0</v>
      </c>
      <c r="ET59" s="18">
        <f>IFERROR(CU59/'McDonough &amp; Sun 1995 values'!K$2,)</f>
        <v>0</v>
      </c>
      <c r="EU59" s="18">
        <f>IFERROR(CV59/'McDonough &amp; Sun 1995 values'!L$2,)</f>
        <v>0</v>
      </c>
      <c r="EV59" s="18">
        <f>IFERROR(CW59/'McDonough &amp; Sun 1995 values'!M$2,)</f>
        <v>0</v>
      </c>
      <c r="EW59" s="18">
        <f>IFERROR(CI59/'McDonough &amp; Sun 1995 values'!N$2,)</f>
        <v>0</v>
      </c>
      <c r="EX59" s="18">
        <f>IFERROR(CX59/'McDonough &amp; Sun 1995 values'!O$2,)</f>
        <v>0</v>
      </c>
      <c r="EY59" s="18">
        <f>IFERROR(CY59/'McDonough &amp; Sun 1995 values'!P$2,)</f>
        <v>0</v>
      </c>
      <c r="EZ59" s="18">
        <f>IFERROR(DH59/'McDonough &amp; Sun 1995 values'!Q$2,)</f>
        <v>0</v>
      </c>
      <c r="FA59" s="18">
        <f>IFERROR(CK59/'McDonough &amp; Sun 1995 values'!R$2,)</f>
        <v>0</v>
      </c>
      <c r="FB59" s="18">
        <f>IFERROR(CZ59/'McDonough &amp; Sun 1995 values'!S$2,)</f>
        <v>0</v>
      </c>
      <c r="FC59" s="18">
        <f>IFERROR(BT59/'McDonough &amp; Sun 1995 values'!T$2,)</f>
        <v>0</v>
      </c>
      <c r="FD59" s="18">
        <f>IFERROR(DA59/'McDonough &amp; Sun 1995 values'!U$2,)</f>
        <v>0</v>
      </c>
      <c r="FE59" s="18">
        <f>IFERROR(DN59/'McDonough &amp; Sun 1995 values'!V$2,)</f>
        <v>0</v>
      </c>
      <c r="FF59" s="18">
        <f>IFERROR(DB59/'McDonough &amp; Sun 1995 values'!W$2,)</f>
        <v>0</v>
      </c>
      <c r="FG59" s="18">
        <f>IFERROR(CJ59/'McDonough &amp; Sun 1995 values'!X$2,)</f>
        <v>0</v>
      </c>
      <c r="FH59" s="18">
        <f>IFERROR(DC59/'McDonough &amp; Sun 1995 values'!Y$2,)</f>
        <v>0</v>
      </c>
      <c r="FI59" s="18">
        <f>IFERROR(DD59/'McDonough &amp; Sun 1995 values'!Z$2,)</f>
        <v>0</v>
      </c>
      <c r="FJ59" s="18">
        <f>IFERROR(DE59/'McDonough &amp; Sun 1995 values'!AA$2,)</f>
        <v>0</v>
      </c>
      <c r="FK59" s="18">
        <f>IFERROR(DF59/'McDonough &amp; Sun 1995 values'!AB$2,)</f>
        <v>0</v>
      </c>
      <c r="FL59" s="18">
        <f>IFERROR(DG59/'McDonough &amp; Sun 1995 values'!AC$2,)</f>
        <v>0</v>
      </c>
      <c r="FN59" s="28">
        <f t="shared" si="68"/>
        <v>0</v>
      </c>
      <c r="FO59" s="4">
        <f t="shared" si="86"/>
        <v>0</v>
      </c>
      <c r="FP59" s="4">
        <f t="shared" si="87"/>
        <v>0</v>
      </c>
      <c r="FQ59" s="4">
        <f t="shared" si="88"/>
        <v>0</v>
      </c>
      <c r="FR59" s="4">
        <f t="shared" si="89"/>
        <v>0</v>
      </c>
      <c r="FS59" s="4">
        <f t="shared" si="90"/>
        <v>0</v>
      </c>
      <c r="FT59" s="4">
        <f t="shared" si="91"/>
        <v>0</v>
      </c>
      <c r="FU59" s="4">
        <f t="shared" si="92"/>
        <v>0</v>
      </c>
      <c r="FV59" s="4">
        <f t="shared" si="93"/>
        <v>0</v>
      </c>
      <c r="FW59" s="4">
        <f t="shared" si="94"/>
        <v>0</v>
      </c>
      <c r="FX59" s="4">
        <f t="shared" si="95"/>
        <v>0</v>
      </c>
      <c r="FY59" s="4">
        <f t="shared" si="96"/>
        <v>0</v>
      </c>
      <c r="FZ59" s="4">
        <f t="shared" si="97"/>
        <v>0</v>
      </c>
      <c r="GA59" s="4">
        <f t="shared" si="98"/>
        <v>0</v>
      </c>
      <c r="GB59" s="4">
        <f t="shared" si="99"/>
        <v>0</v>
      </c>
      <c r="GC59" s="4">
        <f t="shared" si="100"/>
        <v>0</v>
      </c>
      <c r="GD59" s="4">
        <f t="shared" si="101"/>
        <v>0</v>
      </c>
      <c r="GE59" s="4">
        <f t="shared" si="102"/>
        <v>0</v>
      </c>
      <c r="GF59" s="4">
        <f t="shared" si="103"/>
        <v>0</v>
      </c>
      <c r="GG59" s="4">
        <f t="shared" si="104"/>
        <v>0</v>
      </c>
      <c r="GH59" s="4">
        <f t="shared" si="105"/>
        <v>0</v>
      </c>
      <c r="GI59" s="4">
        <f t="shared" si="106"/>
        <v>0</v>
      </c>
      <c r="GJ59" s="4">
        <f t="shared" si="107"/>
        <v>0</v>
      </c>
      <c r="GK59" s="4">
        <f t="shared" si="108"/>
        <v>0</v>
      </c>
      <c r="GL59" s="4">
        <f t="shared" si="109"/>
        <v>0</v>
      </c>
      <c r="GM59" s="4">
        <f t="shared" si="110"/>
        <v>0</v>
      </c>
      <c r="GN59" s="4">
        <f t="shared" si="111"/>
        <v>0</v>
      </c>
      <c r="GO59" s="4">
        <f t="shared" si="112"/>
        <v>0</v>
      </c>
      <c r="GP59" s="4">
        <f t="shared" si="113"/>
        <v>0</v>
      </c>
      <c r="GQ59" s="27">
        <f t="shared" si="114"/>
        <v>173480.81457464056</v>
      </c>
      <c r="GR59" s="28" t="str">
        <f t="shared" si="115"/>
        <v/>
      </c>
      <c r="GS59" s="28" t="str">
        <f t="shared" si="116"/>
        <v/>
      </c>
      <c r="GT59" s="28" t="str">
        <f t="shared" si="117"/>
        <v/>
      </c>
      <c r="GU59" s="28" t="str">
        <f t="shared" si="118"/>
        <v/>
      </c>
      <c r="GV59" s="28" t="str">
        <f t="shared" si="119"/>
        <v/>
      </c>
      <c r="GW59" s="28" t="str">
        <f t="shared" si="120"/>
        <v/>
      </c>
      <c r="GX59" s="28" t="str">
        <f t="shared" si="121"/>
        <v/>
      </c>
      <c r="GY59" s="28" t="str">
        <f t="shared" si="122"/>
        <v/>
      </c>
      <c r="GZ59" s="28" t="str">
        <f t="shared" si="123"/>
        <v/>
      </c>
      <c r="HA59" s="28" t="str">
        <f t="shared" si="124"/>
        <v/>
      </c>
      <c r="HB59" s="28" t="str">
        <f t="shared" si="125"/>
        <v/>
      </c>
      <c r="HC59" s="28" t="str">
        <f t="shared" si="126"/>
        <v/>
      </c>
      <c r="HD59" s="28" t="str">
        <f t="shared" si="127"/>
        <v/>
      </c>
      <c r="HE59" s="28" t="str">
        <f t="shared" si="128"/>
        <v/>
      </c>
      <c r="HF59" s="28" t="str">
        <f t="shared" si="129"/>
        <v/>
      </c>
      <c r="HG59" s="28" t="str">
        <f t="shared" si="130"/>
        <v/>
      </c>
      <c r="HH59" s="28" t="str">
        <f t="shared" si="131"/>
        <v/>
      </c>
      <c r="HI59" s="28" t="str">
        <f t="shared" si="132"/>
        <v/>
      </c>
      <c r="HJ59" s="28" t="str">
        <f t="shared" si="133"/>
        <v/>
      </c>
      <c r="HK59" s="28" t="str">
        <f t="shared" si="134"/>
        <v/>
      </c>
      <c r="HL59" s="28" t="str">
        <f t="shared" si="135"/>
        <v/>
      </c>
      <c r="HM59" s="28" t="str">
        <f t="shared" si="136"/>
        <v/>
      </c>
      <c r="HN59" s="28" t="str">
        <f t="shared" si="137"/>
        <v/>
      </c>
      <c r="HO59" s="28" t="str">
        <f t="shared" si="138"/>
        <v/>
      </c>
      <c r="HP59" s="28" t="str">
        <f t="shared" si="139"/>
        <v/>
      </c>
      <c r="HQ59" s="28" t="str">
        <f t="shared" si="140"/>
        <v/>
      </c>
      <c r="HR59" s="28" t="str">
        <f t="shared" si="141"/>
        <v/>
      </c>
      <c r="HT59" s="4">
        <f>IFERROR(GR59/'McDonough &amp; Sun 1995 values'!C$2,)</f>
        <v>0</v>
      </c>
      <c r="HU59" s="4">
        <f>IFERROR(GS59/'McDonough &amp; Sun 1995 values'!D$2,)</f>
        <v>0</v>
      </c>
      <c r="HV59" s="4">
        <f>IFERROR(GT59/'McDonough &amp; Sun 1995 values'!E$2,)</f>
        <v>0</v>
      </c>
      <c r="HW59" s="4">
        <f>IFERROR(GU59/'McDonough &amp; Sun 1995 values'!F$2,)</f>
        <v>0</v>
      </c>
      <c r="HX59" s="4">
        <f>IFERROR(GV59/'McDonough &amp; Sun 1995 values'!G$2,)</f>
        <v>0</v>
      </c>
      <c r="HY59" s="4">
        <f>IFERROR(GW59/'McDonough &amp; Sun 1995 values'!H$2,)</f>
        <v>0</v>
      </c>
      <c r="HZ59" s="4">
        <f>IFERROR(GX59/'McDonough &amp; Sun 1995 values'!I$2,)</f>
        <v>0</v>
      </c>
      <c r="IA59" s="4">
        <f>IFERROR(GY59/'McDonough &amp; Sun 1995 values'!J$2,)</f>
        <v>0</v>
      </c>
      <c r="IB59" s="4">
        <f>IFERROR(GZ59/'McDonough &amp; Sun 1995 values'!K$2,)</f>
        <v>0</v>
      </c>
      <c r="IC59" s="4">
        <f>IFERROR(HA59/'McDonough &amp; Sun 1995 values'!L$2,)</f>
        <v>0</v>
      </c>
      <c r="ID59" s="4">
        <f>IFERROR(HB59/'McDonough &amp; Sun 1995 values'!M$2,)</f>
        <v>0</v>
      </c>
      <c r="IE59" s="4">
        <f>IFERROR(HC59/'McDonough &amp; Sun 1995 values'!N$2,)</f>
        <v>0</v>
      </c>
      <c r="IF59" s="4">
        <f>IFERROR(HD59/'McDonough &amp; Sun 1995 values'!O$2,)</f>
        <v>0</v>
      </c>
      <c r="IG59" s="4">
        <f>IFERROR(HE59/'McDonough &amp; Sun 1995 values'!P$2,)</f>
        <v>0</v>
      </c>
      <c r="IH59" s="4">
        <f>IFERROR(HF59/'McDonough &amp; Sun 1995 values'!Q$2,)</f>
        <v>0</v>
      </c>
      <c r="II59" s="4">
        <f>IFERROR(HG59/'McDonough &amp; Sun 1995 values'!R$2,)</f>
        <v>0</v>
      </c>
      <c r="IJ59" s="4">
        <f>IFERROR(HH59/'McDonough &amp; Sun 1995 values'!S$2,)</f>
        <v>0</v>
      </c>
      <c r="IK59" s="4">
        <f>IFERROR(HI59/'McDonough &amp; Sun 1995 values'!T$2,)</f>
        <v>0</v>
      </c>
      <c r="IL59" s="4">
        <f>IFERROR(HJ59/'McDonough &amp; Sun 1995 values'!U$2,)</f>
        <v>0</v>
      </c>
      <c r="IM59" s="4">
        <f>IFERROR(HK59/'McDonough &amp; Sun 1995 values'!V$2,)</f>
        <v>0</v>
      </c>
      <c r="IN59" s="4">
        <f>IFERROR(HL59/'McDonough &amp; Sun 1995 values'!W$2,)</f>
        <v>0</v>
      </c>
      <c r="IO59" s="4">
        <f>IFERROR(HM59/'McDonough &amp; Sun 1995 values'!X$2,)</f>
        <v>0</v>
      </c>
      <c r="IP59" s="4">
        <f>IFERROR(HN59/'McDonough &amp; Sun 1995 values'!Y$2,)</f>
        <v>0</v>
      </c>
      <c r="IQ59" s="4">
        <f>IFERROR(HO59/'McDonough &amp; Sun 1995 values'!Z$2,)</f>
        <v>0</v>
      </c>
      <c r="IR59" s="4">
        <f>IFERROR(HP59/'McDonough &amp; Sun 1995 values'!AA$2,)</f>
        <v>0</v>
      </c>
      <c r="IS59" s="4">
        <f>IFERROR(HQ59/'McDonough &amp; Sun 1995 values'!AB$2,)</f>
        <v>0</v>
      </c>
      <c r="IT59" s="4">
        <f>IFERROR(HR59/'McDonough &amp; Sun 1995 values'!AC$2,)</f>
        <v>0</v>
      </c>
    </row>
    <row r="60" spans="1:254">
      <c r="A60" s="16" t="s">
        <v>827</v>
      </c>
      <c r="B60" s="16" t="s">
        <v>24</v>
      </c>
      <c r="C60" s="16" t="str">
        <f t="shared" si="0"/>
        <v>high-Mg carbonatitic</v>
      </c>
      <c r="D60" s="16" t="s">
        <v>25</v>
      </c>
      <c r="E60" s="16" t="s">
        <v>237</v>
      </c>
      <c r="F60" s="16" t="s">
        <v>26</v>
      </c>
      <c r="G60" s="16" t="s">
        <v>595</v>
      </c>
      <c r="H60" s="27">
        <v>358</v>
      </c>
      <c r="I60" s="16" t="s">
        <v>735</v>
      </c>
      <c r="J60" s="16">
        <v>0</v>
      </c>
      <c r="K60" s="16" t="s">
        <v>115</v>
      </c>
      <c r="L60" s="16">
        <v>0</v>
      </c>
      <c r="M60" s="16" t="s">
        <v>815</v>
      </c>
      <c r="N60" s="16">
        <v>14</v>
      </c>
      <c r="O60" s="26">
        <v>8.8000000000000007</v>
      </c>
      <c r="P60" s="26">
        <v>1.2</v>
      </c>
      <c r="Q60" s="26">
        <v>0.2</v>
      </c>
      <c r="R60" s="26">
        <v>1.7</v>
      </c>
      <c r="S60" s="26">
        <v>8</v>
      </c>
      <c r="T60" s="26">
        <v>22.6</v>
      </c>
      <c r="U60" s="26"/>
      <c r="V60" s="26">
        <v>18.600000000000001</v>
      </c>
      <c r="W60" s="26">
        <v>4</v>
      </c>
      <c r="X60" s="26">
        <v>25.6</v>
      </c>
      <c r="Y60" s="26"/>
      <c r="Z60" s="26">
        <v>3.6</v>
      </c>
      <c r="AA60" s="26"/>
      <c r="AB60" s="26">
        <v>2.2000000000000002</v>
      </c>
      <c r="AC60" s="26"/>
      <c r="AD60" s="26">
        <v>4.3</v>
      </c>
      <c r="AE60" s="26"/>
      <c r="AF60" s="26"/>
      <c r="AG60" s="26"/>
      <c r="AH60" s="26"/>
      <c r="AI60" s="26">
        <v>3</v>
      </c>
      <c r="AJ60" s="26">
        <f t="shared" si="62"/>
        <v>100.6</v>
      </c>
      <c r="AK60" s="26">
        <f t="shared" si="73"/>
        <v>8.8327146808914279</v>
      </c>
      <c r="AL60" s="26">
        <f t="shared" si="74"/>
        <v>1.2044610928488308</v>
      </c>
      <c r="AM60" s="26">
        <f t="shared" si="75"/>
        <v>1.7063198815358438</v>
      </c>
      <c r="AN60" s="26">
        <f t="shared" si="76"/>
        <v>8.0297406189922054</v>
      </c>
      <c r="AO60" s="26">
        <f t="shared" si="77"/>
        <v>22.684017248652982</v>
      </c>
      <c r="AP60" s="26">
        <f t="shared" si="78"/>
        <v>18.669146939156882</v>
      </c>
      <c r="AQ60" s="26">
        <f t="shared" si="79"/>
        <v>2.208178670222857</v>
      </c>
      <c r="AR60" s="26">
        <f t="shared" si="80"/>
        <v>4.0148703094961027</v>
      </c>
      <c r="AS60" s="26">
        <f t="shared" si="81"/>
        <v>25.695169980775063</v>
      </c>
      <c r="AT60" s="26">
        <f t="shared" si="82"/>
        <v>3.6133832785464928</v>
      </c>
      <c r="AU60" s="26">
        <f t="shared" si="83"/>
        <v>4.3159855827083105</v>
      </c>
      <c r="AV60" s="26">
        <f t="shared" si="7"/>
        <v>100.973988283827</v>
      </c>
      <c r="AW60" s="26"/>
      <c r="AX60" s="26"/>
      <c r="AY60" s="26"/>
      <c r="AZ60" s="26"/>
      <c r="BA60" s="26">
        <v>0.63</v>
      </c>
      <c r="BB60" s="26"/>
      <c r="BC60" s="26">
        <f>1-BA60</f>
        <v>0.37</v>
      </c>
      <c r="BD60" s="26">
        <f>BA60</f>
        <v>0.63</v>
      </c>
      <c r="BE60" s="16"/>
      <c r="BF60" s="16"/>
      <c r="BG60" s="16"/>
      <c r="BH60" s="16"/>
      <c r="BI60" s="16"/>
      <c r="BJ60" s="16"/>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28"/>
      <c r="DW60" s="28"/>
      <c r="DX60" s="28"/>
      <c r="DY60" s="28"/>
      <c r="DZ60" s="28"/>
      <c r="EA60" s="28"/>
      <c r="EB60" s="28"/>
      <c r="EC60" s="28"/>
      <c r="ED60" s="28"/>
      <c r="EE60" s="28"/>
      <c r="EF60" s="28"/>
      <c r="EG60" s="28"/>
      <c r="EH60" s="28"/>
      <c r="EI60" s="28"/>
      <c r="EJ60" s="18"/>
      <c r="EK60" s="18"/>
      <c r="EL60" s="18">
        <f>IFERROR(CR60/'McDonough &amp; Sun 1995 values'!C$2,)</f>
        <v>0</v>
      </c>
      <c r="EM60" s="18">
        <f>IFERROR(CH60/'McDonough &amp; Sun 1995 values'!D$2,)</f>
        <v>0</v>
      </c>
      <c r="EN60" s="18">
        <f>IFERROR(CS60/'McDonough &amp; Sun 1995 values'!E$2,)</f>
        <v>0</v>
      </c>
      <c r="EO60" s="18">
        <f>IFERROR(DL60/'McDonough &amp; Sun 1995 values'!F$2,)</f>
        <v>0</v>
      </c>
      <c r="EP60" s="18">
        <f>IFERROR(DM60/'McDonough &amp; Sun 1995 values'!G$2,)</f>
        <v>0</v>
      </c>
      <c r="EQ60" s="18">
        <f>IFERROR(BR60/'McDonough &amp; Sun 1995 values'!H$2,)</f>
        <v>0</v>
      </c>
      <c r="ER60" s="18">
        <f>IFERROR(DI60/'McDonough &amp; Sun 1995 values'!I$2,)</f>
        <v>0</v>
      </c>
      <c r="ES60" s="18">
        <f>IFERROR(CM60/'McDonough &amp; Sun 1995 values'!J$2,)</f>
        <v>0</v>
      </c>
      <c r="ET60" s="18">
        <f>IFERROR(CU60/'McDonough &amp; Sun 1995 values'!K$2,)</f>
        <v>0</v>
      </c>
      <c r="EU60" s="18">
        <f>IFERROR(CV60/'McDonough &amp; Sun 1995 values'!L$2,)</f>
        <v>0</v>
      </c>
      <c r="EV60" s="18">
        <f>IFERROR(CW60/'McDonough &amp; Sun 1995 values'!M$2,)</f>
        <v>0</v>
      </c>
      <c r="EW60" s="18">
        <f>IFERROR(CI60/'McDonough &amp; Sun 1995 values'!N$2,)</f>
        <v>0</v>
      </c>
      <c r="EX60" s="18">
        <f>IFERROR(CX60/'McDonough &amp; Sun 1995 values'!O$2,)</f>
        <v>0</v>
      </c>
      <c r="EY60" s="18">
        <f>IFERROR(CY60/'McDonough &amp; Sun 1995 values'!P$2,)</f>
        <v>0</v>
      </c>
      <c r="EZ60" s="18">
        <f>IFERROR(DH60/'McDonough &amp; Sun 1995 values'!Q$2,)</f>
        <v>0</v>
      </c>
      <c r="FA60" s="18">
        <f>IFERROR(CK60/'McDonough &amp; Sun 1995 values'!R$2,)</f>
        <v>0</v>
      </c>
      <c r="FB60" s="18">
        <f>IFERROR(CZ60/'McDonough &amp; Sun 1995 values'!S$2,)</f>
        <v>0</v>
      </c>
      <c r="FC60" s="18">
        <f>IFERROR(BT60/'McDonough &amp; Sun 1995 values'!T$2,)</f>
        <v>0</v>
      </c>
      <c r="FD60" s="18">
        <f>IFERROR(DA60/'McDonough &amp; Sun 1995 values'!U$2,)</f>
        <v>0</v>
      </c>
      <c r="FE60" s="18">
        <f>IFERROR(DN60/'McDonough &amp; Sun 1995 values'!V$2,)</f>
        <v>0</v>
      </c>
      <c r="FF60" s="18">
        <f>IFERROR(DB60/'McDonough &amp; Sun 1995 values'!W$2,)</f>
        <v>0</v>
      </c>
      <c r="FG60" s="18">
        <f>IFERROR(CJ60/'McDonough &amp; Sun 1995 values'!X$2,)</f>
        <v>0</v>
      </c>
      <c r="FH60" s="18">
        <f>IFERROR(DC60/'McDonough &amp; Sun 1995 values'!Y$2,)</f>
        <v>0</v>
      </c>
      <c r="FI60" s="18">
        <f>IFERROR(DD60/'McDonough &amp; Sun 1995 values'!Z$2,)</f>
        <v>0</v>
      </c>
      <c r="FJ60" s="18">
        <f>IFERROR(DE60/'McDonough &amp; Sun 1995 values'!AA$2,)</f>
        <v>0</v>
      </c>
      <c r="FK60" s="18">
        <f>IFERROR(DF60/'McDonough &amp; Sun 1995 values'!AB$2,)</f>
        <v>0</v>
      </c>
      <c r="FL60" s="18">
        <f>IFERROR(DG60/'McDonough &amp; Sun 1995 values'!AC$2,)</f>
        <v>0</v>
      </c>
      <c r="FN60" s="28">
        <f t="shared" si="68"/>
        <v>0</v>
      </c>
      <c r="FO60" s="4">
        <f t="shared" si="86"/>
        <v>0</v>
      </c>
      <c r="FP60" s="4">
        <f t="shared" si="87"/>
        <v>0</v>
      </c>
      <c r="FQ60" s="4">
        <f t="shared" si="88"/>
        <v>0</v>
      </c>
      <c r="FR60" s="4">
        <f t="shared" si="89"/>
        <v>0</v>
      </c>
      <c r="FS60" s="4">
        <f t="shared" si="90"/>
        <v>0</v>
      </c>
      <c r="FT60" s="4">
        <f t="shared" si="91"/>
        <v>0</v>
      </c>
      <c r="FU60" s="4">
        <f t="shared" si="92"/>
        <v>0</v>
      </c>
      <c r="FV60" s="4">
        <f t="shared" si="93"/>
        <v>0</v>
      </c>
      <c r="FW60" s="4">
        <f t="shared" si="94"/>
        <v>0</v>
      </c>
      <c r="FX60" s="4">
        <f t="shared" si="95"/>
        <v>0</v>
      </c>
      <c r="FY60" s="4">
        <f t="shared" si="96"/>
        <v>0</v>
      </c>
      <c r="FZ60" s="4">
        <f t="shared" si="97"/>
        <v>0</v>
      </c>
      <c r="GA60" s="4">
        <f t="shared" si="98"/>
        <v>0</v>
      </c>
      <c r="GB60" s="4">
        <f t="shared" si="99"/>
        <v>0</v>
      </c>
      <c r="GC60" s="4">
        <f t="shared" si="100"/>
        <v>0</v>
      </c>
      <c r="GD60" s="4">
        <f t="shared" si="101"/>
        <v>0</v>
      </c>
      <c r="GE60" s="4">
        <f t="shared" si="102"/>
        <v>0</v>
      </c>
      <c r="GF60" s="4">
        <f t="shared" si="103"/>
        <v>0</v>
      </c>
      <c r="GG60" s="4">
        <f t="shared" si="104"/>
        <v>0</v>
      </c>
      <c r="GH60" s="4">
        <f t="shared" si="105"/>
        <v>0</v>
      </c>
      <c r="GI60" s="4">
        <f t="shared" si="106"/>
        <v>0</v>
      </c>
      <c r="GJ60" s="4">
        <f t="shared" si="107"/>
        <v>0</v>
      </c>
      <c r="GK60" s="4">
        <f t="shared" si="108"/>
        <v>0</v>
      </c>
      <c r="GL60" s="4">
        <f t="shared" si="109"/>
        <v>0</v>
      </c>
      <c r="GM60" s="4">
        <f t="shared" si="110"/>
        <v>0</v>
      </c>
      <c r="GN60" s="4">
        <f t="shared" si="111"/>
        <v>0</v>
      </c>
      <c r="GO60" s="4">
        <f t="shared" si="112"/>
        <v>0</v>
      </c>
      <c r="GP60" s="4">
        <f t="shared" si="113"/>
        <v>0</v>
      </c>
      <c r="GQ60" s="27">
        <f t="shared" si="114"/>
        <v>213305.19151911029</v>
      </c>
      <c r="GR60" s="28" t="str">
        <f t="shared" si="115"/>
        <v/>
      </c>
      <c r="GS60" s="28" t="str">
        <f t="shared" si="116"/>
        <v/>
      </c>
      <c r="GT60" s="28" t="str">
        <f t="shared" si="117"/>
        <v/>
      </c>
      <c r="GU60" s="28" t="str">
        <f t="shared" si="118"/>
        <v/>
      </c>
      <c r="GV60" s="28" t="str">
        <f t="shared" si="119"/>
        <v/>
      </c>
      <c r="GW60" s="28" t="str">
        <f t="shared" si="120"/>
        <v/>
      </c>
      <c r="GX60" s="28" t="str">
        <f t="shared" si="121"/>
        <v/>
      </c>
      <c r="GY60" s="28" t="str">
        <f t="shared" si="122"/>
        <v/>
      </c>
      <c r="GZ60" s="28" t="str">
        <f t="shared" si="123"/>
        <v/>
      </c>
      <c r="HA60" s="28" t="str">
        <f t="shared" si="124"/>
        <v/>
      </c>
      <c r="HB60" s="28" t="str">
        <f t="shared" si="125"/>
        <v/>
      </c>
      <c r="HC60" s="28" t="str">
        <f t="shared" si="126"/>
        <v/>
      </c>
      <c r="HD60" s="28" t="str">
        <f t="shared" si="127"/>
        <v/>
      </c>
      <c r="HE60" s="28" t="str">
        <f t="shared" si="128"/>
        <v/>
      </c>
      <c r="HF60" s="28" t="str">
        <f t="shared" si="129"/>
        <v/>
      </c>
      <c r="HG60" s="28" t="str">
        <f t="shared" si="130"/>
        <v/>
      </c>
      <c r="HH60" s="28" t="str">
        <f t="shared" si="131"/>
        <v/>
      </c>
      <c r="HI60" s="28" t="str">
        <f t="shared" si="132"/>
        <v/>
      </c>
      <c r="HJ60" s="28" t="str">
        <f t="shared" si="133"/>
        <v/>
      </c>
      <c r="HK60" s="28" t="str">
        <f t="shared" si="134"/>
        <v/>
      </c>
      <c r="HL60" s="28" t="str">
        <f t="shared" si="135"/>
        <v/>
      </c>
      <c r="HM60" s="28" t="str">
        <f t="shared" si="136"/>
        <v/>
      </c>
      <c r="HN60" s="28" t="str">
        <f t="shared" si="137"/>
        <v/>
      </c>
      <c r="HO60" s="28" t="str">
        <f t="shared" si="138"/>
        <v/>
      </c>
      <c r="HP60" s="28" t="str">
        <f t="shared" si="139"/>
        <v/>
      </c>
      <c r="HQ60" s="28" t="str">
        <f t="shared" si="140"/>
        <v/>
      </c>
      <c r="HR60" s="28" t="str">
        <f t="shared" si="141"/>
        <v/>
      </c>
      <c r="HT60" s="4">
        <f>IFERROR(GR60/'McDonough &amp; Sun 1995 values'!C$2,)</f>
        <v>0</v>
      </c>
      <c r="HU60" s="4">
        <f>IFERROR(GS60/'McDonough &amp; Sun 1995 values'!D$2,)</f>
        <v>0</v>
      </c>
      <c r="HV60" s="4">
        <f>IFERROR(GT60/'McDonough &amp; Sun 1995 values'!E$2,)</f>
        <v>0</v>
      </c>
      <c r="HW60" s="4">
        <f>IFERROR(GU60/'McDonough &amp; Sun 1995 values'!F$2,)</f>
        <v>0</v>
      </c>
      <c r="HX60" s="4">
        <f>IFERROR(GV60/'McDonough &amp; Sun 1995 values'!G$2,)</f>
        <v>0</v>
      </c>
      <c r="HY60" s="4">
        <f>IFERROR(GW60/'McDonough &amp; Sun 1995 values'!H$2,)</f>
        <v>0</v>
      </c>
      <c r="HZ60" s="4">
        <f>IFERROR(GX60/'McDonough &amp; Sun 1995 values'!I$2,)</f>
        <v>0</v>
      </c>
      <c r="IA60" s="4">
        <f>IFERROR(GY60/'McDonough &amp; Sun 1995 values'!J$2,)</f>
        <v>0</v>
      </c>
      <c r="IB60" s="4">
        <f>IFERROR(GZ60/'McDonough &amp; Sun 1995 values'!K$2,)</f>
        <v>0</v>
      </c>
      <c r="IC60" s="4">
        <f>IFERROR(HA60/'McDonough &amp; Sun 1995 values'!L$2,)</f>
        <v>0</v>
      </c>
      <c r="ID60" s="4">
        <f>IFERROR(HB60/'McDonough &amp; Sun 1995 values'!M$2,)</f>
        <v>0</v>
      </c>
      <c r="IE60" s="4">
        <f>IFERROR(HC60/'McDonough &amp; Sun 1995 values'!N$2,)</f>
        <v>0</v>
      </c>
      <c r="IF60" s="4">
        <f>IFERROR(HD60/'McDonough &amp; Sun 1995 values'!O$2,)</f>
        <v>0</v>
      </c>
      <c r="IG60" s="4">
        <f>IFERROR(HE60/'McDonough &amp; Sun 1995 values'!P$2,)</f>
        <v>0</v>
      </c>
      <c r="IH60" s="4">
        <f>IFERROR(HF60/'McDonough &amp; Sun 1995 values'!Q$2,)</f>
        <v>0</v>
      </c>
      <c r="II60" s="4">
        <f>IFERROR(HG60/'McDonough &amp; Sun 1995 values'!R$2,)</f>
        <v>0</v>
      </c>
      <c r="IJ60" s="4">
        <f>IFERROR(HH60/'McDonough &amp; Sun 1995 values'!S$2,)</f>
        <v>0</v>
      </c>
      <c r="IK60" s="4">
        <f>IFERROR(HI60/'McDonough &amp; Sun 1995 values'!T$2,)</f>
        <v>0</v>
      </c>
      <c r="IL60" s="4">
        <f>IFERROR(HJ60/'McDonough &amp; Sun 1995 values'!U$2,)</f>
        <v>0</v>
      </c>
      <c r="IM60" s="4">
        <f>IFERROR(HK60/'McDonough &amp; Sun 1995 values'!V$2,)</f>
        <v>0</v>
      </c>
      <c r="IN60" s="4">
        <f>IFERROR(HL60/'McDonough &amp; Sun 1995 values'!W$2,)</f>
        <v>0</v>
      </c>
      <c r="IO60" s="4">
        <f>IFERROR(HM60/'McDonough &amp; Sun 1995 values'!X$2,)</f>
        <v>0</v>
      </c>
      <c r="IP60" s="4">
        <f>IFERROR(HN60/'McDonough &amp; Sun 1995 values'!Y$2,)</f>
        <v>0</v>
      </c>
      <c r="IQ60" s="4">
        <f>IFERROR(HO60/'McDonough &amp; Sun 1995 values'!Z$2,)</f>
        <v>0</v>
      </c>
      <c r="IR60" s="4">
        <f>IFERROR(HP60/'McDonough &amp; Sun 1995 values'!AA$2,)</f>
        <v>0</v>
      </c>
      <c r="IS60" s="4">
        <f>IFERROR(HQ60/'McDonough &amp; Sun 1995 values'!AB$2,)</f>
        <v>0</v>
      </c>
      <c r="IT60" s="4">
        <f>IFERROR(HR60/'McDonough &amp; Sun 1995 values'!AC$2,)</f>
        <v>0</v>
      </c>
    </row>
    <row r="61" spans="1:254">
      <c r="A61" s="16" t="s">
        <v>1323</v>
      </c>
      <c r="B61" s="16" t="s">
        <v>24</v>
      </c>
      <c r="C61" s="16" t="str">
        <f t="shared" si="0"/>
        <v>high-Mg carbonatitic</v>
      </c>
      <c r="D61" s="16" t="s">
        <v>25</v>
      </c>
      <c r="E61" s="16" t="s">
        <v>237</v>
      </c>
      <c r="F61" s="16" t="s">
        <v>26</v>
      </c>
      <c r="G61" s="16" t="s">
        <v>595</v>
      </c>
      <c r="H61" s="27">
        <v>358</v>
      </c>
      <c r="I61" s="16" t="s">
        <v>735</v>
      </c>
      <c r="J61" s="16" t="s">
        <v>635</v>
      </c>
      <c r="K61" s="16" t="s">
        <v>115</v>
      </c>
      <c r="L61" s="16">
        <v>0</v>
      </c>
      <c r="M61" s="16" t="s">
        <v>813</v>
      </c>
      <c r="N61" s="16">
        <v>25</v>
      </c>
      <c r="O61" s="26">
        <v>9.5</v>
      </c>
      <c r="P61" s="26">
        <v>0.9</v>
      </c>
      <c r="Q61" s="26">
        <v>0.7</v>
      </c>
      <c r="R61" s="26">
        <v>1.7</v>
      </c>
      <c r="S61" s="26">
        <v>6.3</v>
      </c>
      <c r="T61" s="26">
        <v>23.1</v>
      </c>
      <c r="U61" s="26"/>
      <c r="V61" s="26">
        <v>16.899999999999999</v>
      </c>
      <c r="W61" s="26">
        <v>9.6999999999999993</v>
      </c>
      <c r="X61" s="26">
        <v>23</v>
      </c>
      <c r="Y61" s="26"/>
      <c r="Z61" s="26">
        <v>1.9</v>
      </c>
      <c r="AA61" s="26"/>
      <c r="AB61" s="26">
        <v>0.6</v>
      </c>
      <c r="AC61" s="26"/>
      <c r="AD61" s="26">
        <v>5</v>
      </c>
      <c r="AE61" s="26"/>
      <c r="AF61" s="26"/>
      <c r="AG61" s="26"/>
      <c r="AH61" s="26"/>
      <c r="AI61" s="26">
        <v>3.3</v>
      </c>
      <c r="AJ61" s="26">
        <f t="shared" si="62"/>
        <v>98.6</v>
      </c>
      <c r="AK61" s="26">
        <f t="shared" si="73"/>
        <v>9.7464236825578752</v>
      </c>
      <c r="AL61" s="26">
        <f t="shared" si="74"/>
        <v>0.92334540150548294</v>
      </c>
      <c r="AM61" s="26">
        <f t="shared" si="75"/>
        <v>1.7440968695103567</v>
      </c>
      <c r="AN61" s="26">
        <f t="shared" si="76"/>
        <v>6.4634178105383802</v>
      </c>
      <c r="AO61" s="26">
        <f t="shared" si="77"/>
        <v>23.699198638640727</v>
      </c>
      <c r="AP61" s="26">
        <f t="shared" si="78"/>
        <v>17.338374761602953</v>
      </c>
      <c r="AQ61" s="26">
        <f t="shared" si="79"/>
        <v>0.61556360100365526</v>
      </c>
      <c r="AR61" s="26">
        <f t="shared" si="80"/>
        <v>9.9516115495590931</v>
      </c>
      <c r="AS61" s="26">
        <f t="shared" si="81"/>
        <v>23.596604705140116</v>
      </c>
      <c r="AT61" s="26">
        <f t="shared" si="82"/>
        <v>1.9492847365115746</v>
      </c>
      <c r="AU61" s="26">
        <f t="shared" si="83"/>
        <v>5.12969667503046</v>
      </c>
      <c r="AV61" s="26">
        <f t="shared" si="7"/>
        <v>101.15761843160067</v>
      </c>
      <c r="AW61" s="26"/>
      <c r="AX61" s="26"/>
      <c r="AY61" s="26"/>
      <c r="AZ61" s="26"/>
      <c r="BA61" s="26">
        <v>0.68</v>
      </c>
      <c r="BB61" s="26"/>
      <c r="BC61" s="26">
        <f>1-BA61</f>
        <v>0.31999999999999995</v>
      </c>
      <c r="BD61" s="26">
        <f>BA61</f>
        <v>0.68</v>
      </c>
      <c r="BE61" s="25">
        <v>-5.14</v>
      </c>
      <c r="BF61" s="16"/>
      <c r="BG61" s="16"/>
      <c r="BH61" s="16"/>
      <c r="BI61" s="16"/>
      <c r="BJ61" s="16"/>
      <c r="BK61" s="18"/>
      <c r="BL61" s="18"/>
      <c r="BM61" s="18"/>
      <c r="BN61" s="18"/>
      <c r="BO61" s="18"/>
      <c r="BP61" s="18"/>
      <c r="BQ61" s="18"/>
      <c r="BR61" s="18">
        <v>480</v>
      </c>
      <c r="BS61" s="18"/>
      <c r="BT61" s="18">
        <v>30.4</v>
      </c>
      <c r="BU61" s="18"/>
      <c r="BV61" s="18"/>
      <c r="BW61" s="18"/>
      <c r="BX61" s="18"/>
      <c r="BY61" s="18"/>
      <c r="BZ61" s="18"/>
      <c r="CA61" s="18"/>
      <c r="CB61" s="18"/>
      <c r="CC61" s="18"/>
      <c r="CD61" s="18"/>
      <c r="CE61" s="18"/>
      <c r="CF61" s="18"/>
      <c r="CG61" s="18"/>
      <c r="CH61" s="18">
        <v>2.2400000000000002</v>
      </c>
      <c r="CI61" s="18">
        <v>12</v>
      </c>
      <c r="CJ61" s="18">
        <v>5.2999999999999999E-2</v>
      </c>
      <c r="CK61" s="18">
        <v>0.93899999999999995</v>
      </c>
      <c r="CL61" s="18"/>
      <c r="CM61" s="18">
        <v>4.3540000000000001</v>
      </c>
      <c r="CN61" s="18"/>
      <c r="CO61" s="18"/>
      <c r="CP61" s="18"/>
      <c r="CQ61" s="18"/>
      <c r="CR61" s="18">
        <v>2.8000000000000001E-2</v>
      </c>
      <c r="CS61" s="18">
        <v>36.299999999999997</v>
      </c>
      <c r="CT61" s="18"/>
      <c r="CU61" s="18">
        <v>2.68</v>
      </c>
      <c r="CV61" s="18">
        <v>3.36</v>
      </c>
      <c r="CW61" s="18">
        <v>0.34</v>
      </c>
      <c r="CX61" s="18">
        <v>1.22</v>
      </c>
      <c r="CY61" s="18">
        <v>0.106</v>
      </c>
      <c r="CZ61" s="18">
        <v>2.5999999999999999E-2</v>
      </c>
      <c r="DA61" s="18">
        <v>4.4999999999999998E-2</v>
      </c>
      <c r="DB61" s="18">
        <v>2.1000000000000001E-2</v>
      </c>
      <c r="DC61" s="18">
        <v>0</v>
      </c>
      <c r="DD61" s="18">
        <v>0</v>
      </c>
      <c r="DE61" s="18"/>
      <c r="DF61" s="18">
        <v>0</v>
      </c>
      <c r="DG61" s="18"/>
      <c r="DH61" s="18"/>
      <c r="DI61" s="18">
        <v>0.28000000000000003</v>
      </c>
      <c r="DJ61" s="18"/>
      <c r="DK61" s="18"/>
      <c r="DL61" s="18">
        <v>0.39800000000000002</v>
      </c>
      <c r="DM61" s="18">
        <v>5.8000000000000003E-2</v>
      </c>
      <c r="DN61" s="18"/>
      <c r="DO61" s="18"/>
      <c r="DP61" s="18"/>
      <c r="DQ61" s="18"/>
      <c r="DR61" s="18"/>
      <c r="DS61" s="18"/>
      <c r="DT61" s="18"/>
      <c r="DU61" s="18"/>
      <c r="DV61" s="28"/>
      <c r="DW61" s="28"/>
      <c r="DX61" s="28"/>
      <c r="DY61" s="28"/>
      <c r="DZ61" s="28"/>
      <c r="EA61" s="28"/>
      <c r="EB61" s="28"/>
      <c r="EC61" s="28"/>
      <c r="ED61" s="28"/>
      <c r="EE61" s="28"/>
      <c r="EF61" s="28"/>
      <c r="EG61" s="28"/>
      <c r="EH61" s="28"/>
      <c r="EI61" s="28"/>
      <c r="EJ61" s="18"/>
      <c r="EK61" s="18"/>
      <c r="EL61" s="18">
        <f>IFERROR(CR61/'McDonough &amp; Sun 1995 values'!C$2,)</f>
        <v>1.3333333333333333</v>
      </c>
      <c r="EM61" s="18">
        <f>IFERROR(CH61/'McDonough &amp; Sun 1995 values'!D$2,)</f>
        <v>3.7333333333333338</v>
      </c>
      <c r="EN61" s="18">
        <f>IFERROR(CS61/'McDonough &amp; Sun 1995 values'!E$2,)</f>
        <v>5.5</v>
      </c>
      <c r="EO61" s="18">
        <f>IFERROR(DL61/'McDonough &amp; Sun 1995 values'!F$2,)</f>
        <v>5.0062893081761004</v>
      </c>
      <c r="EP61" s="18">
        <f>IFERROR(DM61/'McDonough &amp; Sun 1995 values'!G$2,)</f>
        <v>2.8571428571428577</v>
      </c>
      <c r="EQ61" s="18">
        <f>IFERROR(BR61/'McDonough &amp; Sun 1995 values'!H$2,)</f>
        <v>2</v>
      </c>
      <c r="ER61" s="18">
        <f>IFERROR(DI61/'McDonough &amp; Sun 1995 values'!I$2,)</f>
        <v>7.5675675675675684</v>
      </c>
      <c r="ES61" s="18">
        <f>IFERROR(CM61/'McDonough &amp; Sun 1995 values'!J$2,)</f>
        <v>6.6170212765957448</v>
      </c>
      <c r="ET61" s="18">
        <f>IFERROR(CU61/'McDonough &amp; Sun 1995 values'!K$2,)</f>
        <v>4.1358024691358022</v>
      </c>
      <c r="EU61" s="18">
        <f>IFERROR(CV61/'McDonough &amp; Sun 1995 values'!L$2,)</f>
        <v>2.0059701492537312</v>
      </c>
      <c r="EV61" s="18">
        <f>IFERROR(CW61/'McDonough &amp; Sun 1995 values'!M$2,)</f>
        <v>1.3385826771653544</v>
      </c>
      <c r="EW61" s="18">
        <f>IFERROR(CI61/'McDonough &amp; Sun 1995 values'!N$2,)</f>
        <v>0.60301507537688448</v>
      </c>
      <c r="EX61" s="18">
        <f>IFERROR(CX61/'McDonough &amp; Sun 1995 values'!O$2,)</f>
        <v>0.97599999999999998</v>
      </c>
      <c r="EY61" s="18">
        <f>IFERROR(CY61/'McDonough &amp; Sun 1995 values'!P$2,)</f>
        <v>0.26108374384236449</v>
      </c>
      <c r="EZ61" s="18">
        <f>IFERROR(DH61/'McDonough &amp; Sun 1995 values'!Q$2,)</f>
        <v>0</v>
      </c>
      <c r="FA61" s="18">
        <f>IFERROR(CK61/'McDonough &amp; Sun 1995 values'!R$2,)</f>
        <v>8.9428571428571427E-2</v>
      </c>
      <c r="FB61" s="18">
        <f>IFERROR(CZ61/'McDonough &amp; Sun 1995 values'!S$2,)</f>
        <v>0.16883116883116883</v>
      </c>
      <c r="FC61" s="18">
        <f>IFERROR(BT61/'McDonough &amp; Sun 1995 values'!T$2,)</f>
        <v>2.5228215767634853E-2</v>
      </c>
      <c r="FD61" s="18">
        <f>IFERROR(DA61/'McDonough &amp; Sun 1995 values'!U$2,)</f>
        <v>8.2720588235294115E-2</v>
      </c>
      <c r="FE61" s="18">
        <f>IFERROR(DN61/'McDonough &amp; Sun 1995 values'!V$2,)</f>
        <v>0</v>
      </c>
      <c r="FF61" s="18">
        <f>IFERROR(DB61/'McDonough &amp; Sun 1995 values'!W$2,)</f>
        <v>3.1157270029673591E-2</v>
      </c>
      <c r="FG61" s="18">
        <f>IFERROR(CJ61/'McDonough &amp; Sun 1995 values'!X$2,)</f>
        <v>1.2325581395348837E-2</v>
      </c>
      <c r="FH61" s="18">
        <f>IFERROR(DC61/'McDonough &amp; Sun 1995 values'!Y$2,)</f>
        <v>0</v>
      </c>
      <c r="FI61" s="18">
        <f>IFERROR(DD61/'McDonough &amp; Sun 1995 values'!Z$2,)</f>
        <v>0</v>
      </c>
      <c r="FJ61" s="18">
        <f>IFERROR(DE61/'McDonough &amp; Sun 1995 values'!AA$2,)</f>
        <v>0</v>
      </c>
      <c r="FK61" s="18">
        <f>IFERROR(DF61/'McDonough &amp; Sun 1995 values'!AB$2,)</f>
        <v>0</v>
      </c>
      <c r="FL61" s="18">
        <f>IFERROR(DG61/'McDonough &amp; Sun 1995 values'!AC$2,)</f>
        <v>0</v>
      </c>
      <c r="FN61" s="28">
        <f t="shared" si="68"/>
        <v>1.4285714285714288</v>
      </c>
      <c r="FO61" s="4">
        <f t="shared" si="86"/>
        <v>1.9249999999999996</v>
      </c>
      <c r="FP61" s="4">
        <f t="shared" si="87"/>
        <v>0.75657748387227242</v>
      </c>
      <c r="FQ61" s="4">
        <f t="shared" si="88"/>
        <v>1.7522012578616348</v>
      </c>
      <c r="FR61" s="4">
        <f t="shared" si="89"/>
        <v>0.62502481044817593</v>
      </c>
      <c r="FS61" s="4">
        <f t="shared" si="90"/>
        <v>0.5465167548500881</v>
      </c>
      <c r="FT61" s="4">
        <f t="shared" si="91"/>
        <v>2.8000000000000007</v>
      </c>
      <c r="FU61" s="4">
        <f t="shared" si="92"/>
        <v>1.1436516902754845</v>
      </c>
      <c r="FV61" s="4">
        <f t="shared" si="93"/>
        <v>0.34252830188679251</v>
      </c>
      <c r="FW61" s="4">
        <f t="shared" si="94"/>
        <v>0</v>
      </c>
      <c r="FX61" s="4">
        <f t="shared" si="95"/>
        <v>0.98213520353800088</v>
      </c>
      <c r="FY61" s="4">
        <f t="shared" si="96"/>
        <v>0.52757069114902322</v>
      </c>
      <c r="FZ61" s="4">
        <f t="shared" si="97"/>
        <v>1.1488303604092995</v>
      </c>
      <c r="GA61" s="4">
        <f t="shared" si="98"/>
        <v>0.45048773278155485</v>
      </c>
      <c r="GB61" s="4">
        <f t="shared" si="99"/>
        <v>0.646655231560892</v>
      </c>
      <c r="GC61" s="4">
        <f t="shared" si="100"/>
        <v>0.3571428571428571</v>
      </c>
      <c r="GD61" s="4">
        <f t="shared" si="101"/>
        <v>1.0986180904522613</v>
      </c>
      <c r="GE61" s="4">
        <f t="shared" si="102"/>
        <v>1.4732142857142856</v>
      </c>
      <c r="GF61" s="4">
        <f t="shared" si="103"/>
        <v>2.75</v>
      </c>
      <c r="GG61" s="4">
        <f t="shared" si="104"/>
        <v>0.8311897106109325</v>
      </c>
      <c r="GH61" s="4">
        <f t="shared" si="105"/>
        <v>3.0896877269426284</v>
      </c>
      <c r="GI61" s="4">
        <f t="shared" si="106"/>
        <v>15.84090379687864</v>
      </c>
      <c r="GJ61" s="4">
        <f t="shared" si="107"/>
        <v>132.73956496178718</v>
      </c>
      <c r="GK61" s="4">
        <f t="shared" si="108"/>
        <v>0</v>
      </c>
      <c r="GL61" s="4">
        <f t="shared" si="109"/>
        <v>3.5447838345864664</v>
      </c>
      <c r="GM61" s="4">
        <f t="shared" si="110"/>
        <v>1.3409703504043125</v>
      </c>
      <c r="GN61" s="4">
        <f t="shared" si="111"/>
        <v>1.5999364877738966</v>
      </c>
      <c r="GO61" s="4">
        <f t="shared" si="112"/>
        <v>2.3159574468085102</v>
      </c>
      <c r="GP61" s="4">
        <f t="shared" si="113"/>
        <v>0.69999999999999984</v>
      </c>
      <c r="GQ61" s="27">
        <f t="shared" si="114"/>
        <v>195884.21830237017</v>
      </c>
      <c r="GR61" s="28">
        <f t="shared" si="115"/>
        <v>11.426579400971592</v>
      </c>
      <c r="GS61" s="28">
        <f t="shared" si="116"/>
        <v>914.12635207772746</v>
      </c>
      <c r="GT61" s="28">
        <f t="shared" si="117"/>
        <v>14813.744009116743</v>
      </c>
      <c r="GU61" s="28">
        <f t="shared" si="118"/>
        <v>162.42066434238194</v>
      </c>
      <c r="GV61" s="28">
        <f t="shared" si="119"/>
        <v>23.669343044869727</v>
      </c>
      <c r="GW61" s="28">
        <f t="shared" si="120"/>
        <v>195884.21830237017</v>
      </c>
      <c r="GX61" s="28">
        <f t="shared" si="121"/>
        <v>114.26579400971593</v>
      </c>
      <c r="GY61" s="28">
        <f t="shared" si="122"/>
        <v>1776.8330968510827</v>
      </c>
      <c r="GZ61" s="28">
        <f t="shared" si="123"/>
        <v>1093.6868855215669</v>
      </c>
      <c r="HA61" s="28">
        <f t="shared" si="124"/>
        <v>1371.1895281165912</v>
      </c>
      <c r="HB61" s="28">
        <f t="shared" si="125"/>
        <v>138.75132129751222</v>
      </c>
      <c r="HC61" s="28">
        <f t="shared" si="126"/>
        <v>4897.1054575592543</v>
      </c>
      <c r="HD61" s="28">
        <f t="shared" si="127"/>
        <v>497.8723881851908</v>
      </c>
      <c r="HE61" s="28">
        <f t="shared" si="128"/>
        <v>43.257764875106744</v>
      </c>
      <c r="HF61" s="28">
        <f t="shared" si="129"/>
        <v>0</v>
      </c>
      <c r="HG61" s="28">
        <f t="shared" si="130"/>
        <v>383.19850205401167</v>
      </c>
      <c r="HH61" s="28">
        <f t="shared" si="131"/>
        <v>10.61039515804505</v>
      </c>
      <c r="HI61" s="28">
        <f t="shared" si="132"/>
        <v>12406.000492483443</v>
      </c>
      <c r="HJ61" s="28">
        <f t="shared" si="133"/>
        <v>18.364145465847205</v>
      </c>
      <c r="HK61" s="28">
        <f t="shared" si="134"/>
        <v>0</v>
      </c>
      <c r="HL61" s="28">
        <f t="shared" si="135"/>
        <v>8.5699345507286946</v>
      </c>
      <c r="HM61" s="28">
        <f t="shared" si="136"/>
        <v>21.628882437553372</v>
      </c>
      <c r="HN61" s="28">
        <f t="shared" si="137"/>
        <v>0</v>
      </c>
      <c r="HO61" s="28">
        <f t="shared" si="138"/>
        <v>0</v>
      </c>
      <c r="HP61" s="28">
        <f t="shared" si="139"/>
        <v>0</v>
      </c>
      <c r="HQ61" s="28">
        <f t="shared" si="140"/>
        <v>0</v>
      </c>
      <c r="HR61" s="28">
        <f t="shared" si="141"/>
        <v>0</v>
      </c>
      <c r="HT61" s="4">
        <f>IFERROR(GR61/'McDonough &amp; Sun 1995 values'!C$2,)</f>
        <v>544.12282861769484</v>
      </c>
      <c r="HU61" s="4">
        <f>IFERROR(GS61/'McDonough &amp; Sun 1995 values'!D$2,)</f>
        <v>1523.5439201295458</v>
      </c>
      <c r="HV61" s="4">
        <f>IFERROR(GT61/'McDonough &amp; Sun 1995 values'!E$2,)</f>
        <v>2244.5066680479913</v>
      </c>
      <c r="HW61" s="4">
        <f>IFERROR(GU61/'McDonough &amp; Sun 1995 values'!F$2,)</f>
        <v>2043.0272244324772</v>
      </c>
      <c r="HX61" s="4">
        <f>IFERROR(GV61/'McDonough &amp; Sun 1995 values'!G$2,)</f>
        <v>1165.9774898950604</v>
      </c>
      <c r="HY61" s="4">
        <f>IFERROR(GW61/'McDonough &amp; Sun 1995 values'!H$2,)</f>
        <v>816.18424292654231</v>
      </c>
      <c r="HZ61" s="4">
        <f>IFERROR(GX61/'McDonough &amp; Sun 1995 values'!I$2,)</f>
        <v>3088.2647029652958</v>
      </c>
      <c r="IA61" s="4">
        <f>IFERROR(GY61/'McDonough &amp; Sun 1995 values'!J$2,)</f>
        <v>2700.3542505335604</v>
      </c>
      <c r="IB61" s="4">
        <f>IFERROR(GZ61/'McDonough &amp; Sun 1995 values'!K$2,)</f>
        <v>1687.7884035826648</v>
      </c>
      <c r="IC61" s="4">
        <f>IFERROR(HA61/'McDonough &amp; Sun 1995 values'!L$2,)</f>
        <v>818.62061380094997</v>
      </c>
      <c r="ID61" s="4">
        <f>IFERROR(HB61/'McDonough &amp; Sun 1995 values'!M$2,)</f>
        <v>546.26504447839454</v>
      </c>
      <c r="IE61" s="4">
        <f>IFERROR(HC61/'McDonough &amp; Sun 1995 values'!N$2,)</f>
        <v>246.08570138488716</v>
      </c>
      <c r="IF61" s="4">
        <f>IFERROR(HD61/'McDonough &amp; Sun 1995 values'!O$2,)</f>
        <v>398.29791054815263</v>
      </c>
      <c r="IG61" s="4">
        <f>IFERROR(HE61/'McDonough &amp; Sun 1995 values'!P$2,)</f>
        <v>106.5462189042038</v>
      </c>
      <c r="IH61" s="4">
        <f>IFERROR(HF61/'McDonough &amp; Sun 1995 values'!Q$2,)</f>
        <v>0</v>
      </c>
      <c r="II61" s="4">
        <f>IFERROR(HG61/'McDonough &amp; Sun 1995 values'!R$2,)</f>
        <v>36.495095433715399</v>
      </c>
      <c r="IJ61" s="4">
        <f>IFERROR(HH61/'McDonough &amp; Sun 1995 values'!S$2,)</f>
        <v>68.898669857435394</v>
      </c>
      <c r="IK61" s="4">
        <f>IFERROR(HI61/'McDonough &amp; Sun 1995 values'!T$2,)</f>
        <v>10.295436093347256</v>
      </c>
      <c r="IL61" s="4">
        <f>IFERROR(HJ61/'McDonough &amp; Sun 1995 values'!U$2,)</f>
        <v>33.75762034163089</v>
      </c>
      <c r="IM61" s="4">
        <f>IFERROR(HK61/'McDonough &amp; Sun 1995 values'!V$2,)</f>
        <v>0</v>
      </c>
      <c r="IN61" s="4">
        <f>IFERROR(HL61/'McDonough &amp; Sun 1995 values'!W$2,)</f>
        <v>12.715036425413492</v>
      </c>
      <c r="IO61" s="4">
        <f>IFERROR(HM61/'McDonough &amp; Sun 1995 values'!X$2,)</f>
        <v>5.0299726598961332</v>
      </c>
      <c r="IP61" s="4">
        <f>IFERROR(HN61/'McDonough &amp; Sun 1995 values'!Y$2,)</f>
        <v>0</v>
      </c>
      <c r="IQ61" s="4">
        <f>IFERROR(HO61/'McDonough &amp; Sun 1995 values'!Z$2,)</f>
        <v>0</v>
      </c>
      <c r="IR61" s="4">
        <f>IFERROR(HP61/'McDonough &amp; Sun 1995 values'!AA$2,)</f>
        <v>0</v>
      </c>
      <c r="IS61" s="4">
        <f>IFERROR(HQ61/'McDonough &amp; Sun 1995 values'!AB$2,)</f>
        <v>0</v>
      </c>
      <c r="IT61" s="4">
        <f>IFERROR(HR61/'McDonough &amp; Sun 1995 values'!AC$2,)</f>
        <v>0</v>
      </c>
    </row>
    <row r="62" spans="1:254">
      <c r="A62" s="16" t="s">
        <v>1175</v>
      </c>
      <c r="B62" s="16" t="s">
        <v>24</v>
      </c>
      <c r="C62" s="16" t="str">
        <f t="shared" si="0"/>
        <v>high-Mg carbonatitic</v>
      </c>
      <c r="D62" s="16" t="s">
        <v>1707</v>
      </c>
      <c r="E62" s="16" t="s">
        <v>171</v>
      </c>
      <c r="F62" s="16" t="s">
        <v>45</v>
      </c>
      <c r="G62" s="16" t="s">
        <v>595</v>
      </c>
      <c r="H62" s="27">
        <v>55</v>
      </c>
      <c r="I62" s="16" t="s">
        <v>712</v>
      </c>
      <c r="J62" s="16">
        <v>0</v>
      </c>
      <c r="K62" s="16">
        <v>0</v>
      </c>
      <c r="L62" s="16" t="s">
        <v>773</v>
      </c>
      <c r="M62" s="16" t="s">
        <v>46</v>
      </c>
      <c r="N62" s="16">
        <v>60</v>
      </c>
      <c r="O62" s="26">
        <v>9.3000000000000007</v>
      </c>
      <c r="P62" s="26">
        <v>1</v>
      </c>
      <c r="Q62" s="26"/>
      <c r="R62" s="26">
        <v>1.6</v>
      </c>
      <c r="S62" s="26">
        <v>7.7</v>
      </c>
      <c r="T62" s="26">
        <v>18.600000000000001</v>
      </c>
      <c r="U62" s="26"/>
      <c r="V62" s="26">
        <v>13</v>
      </c>
      <c r="W62" s="26">
        <v>15.5</v>
      </c>
      <c r="X62" s="26">
        <v>13</v>
      </c>
      <c r="Y62" s="26"/>
      <c r="Z62" s="26">
        <v>3</v>
      </c>
      <c r="AA62" s="26">
        <v>2.2999999999999998</v>
      </c>
      <c r="AB62" s="26">
        <v>7.7</v>
      </c>
      <c r="AC62" s="26"/>
      <c r="AD62" s="26">
        <v>9.1</v>
      </c>
      <c r="AE62" s="26"/>
      <c r="AF62" s="26"/>
      <c r="AG62" s="26"/>
      <c r="AH62" s="26"/>
      <c r="AI62" s="26"/>
      <c r="AJ62" s="26">
        <f t="shared" si="62"/>
        <v>99.5</v>
      </c>
      <c r="AK62" s="26">
        <f t="shared" si="73"/>
        <v>9.5437077993038031</v>
      </c>
      <c r="AL62" s="26">
        <f t="shared" si="74"/>
        <v>1.0262051397100862</v>
      </c>
      <c r="AM62" s="26">
        <f t="shared" si="75"/>
        <v>1.6419282235361381</v>
      </c>
      <c r="AN62" s="26">
        <f t="shared" si="76"/>
        <v>7.9017795757676641</v>
      </c>
      <c r="AO62" s="26">
        <f t="shared" si="77"/>
        <v>19.087415598607606</v>
      </c>
      <c r="AP62" s="26">
        <f t="shared" si="78"/>
        <v>13.340666816231121</v>
      </c>
      <c r="AQ62" s="26">
        <f t="shared" si="79"/>
        <v>7.9017795757676641</v>
      </c>
      <c r="AR62" s="26">
        <f t="shared" si="80"/>
        <v>15.906179665506336</v>
      </c>
      <c r="AS62" s="26">
        <f t="shared" si="81"/>
        <v>13.340666816231121</v>
      </c>
      <c r="AT62" s="26">
        <f t="shared" si="82"/>
        <v>3.0786154191302586</v>
      </c>
      <c r="AU62" s="26">
        <f t="shared" si="83"/>
        <v>9.3384667713617837</v>
      </c>
      <c r="AV62" s="26">
        <f t="shared" si="7"/>
        <v>102.10741140115358</v>
      </c>
      <c r="AW62" s="26"/>
      <c r="AX62" s="26"/>
      <c r="AY62" s="26"/>
      <c r="AZ62" s="26"/>
      <c r="BA62" s="26"/>
      <c r="BB62" s="26">
        <v>0</v>
      </c>
      <c r="BC62" s="26"/>
      <c r="BD62" s="26"/>
      <c r="BE62" s="25">
        <v>-10.933333333333332</v>
      </c>
      <c r="BF62" s="25">
        <v>-3.6666666666666665</v>
      </c>
      <c r="BG62" s="16">
        <v>730.8</v>
      </c>
      <c r="BH62" s="16"/>
      <c r="BI62" s="16"/>
      <c r="BJ62" s="16"/>
      <c r="BK62" s="18"/>
      <c r="BL62" s="18"/>
      <c r="BM62" s="18"/>
      <c r="BN62" s="18"/>
      <c r="BO62" s="18"/>
      <c r="BP62" s="18"/>
      <c r="BQ62" s="18"/>
      <c r="BR62" s="18">
        <v>250</v>
      </c>
      <c r="BS62" s="18"/>
      <c r="BT62" s="18">
        <v>1.3</v>
      </c>
      <c r="BU62" s="18"/>
      <c r="BV62" s="18"/>
      <c r="BW62" s="18"/>
      <c r="BX62" s="18"/>
      <c r="BY62" s="18"/>
      <c r="BZ62" s="18"/>
      <c r="CA62" s="18"/>
      <c r="CB62" s="18"/>
      <c r="CC62" s="18"/>
      <c r="CD62" s="18"/>
      <c r="CE62" s="18"/>
      <c r="CF62" s="18"/>
      <c r="CG62" s="18"/>
      <c r="CH62" s="18">
        <v>0.35</v>
      </c>
      <c r="CI62" s="18">
        <v>10.199999999999999</v>
      </c>
      <c r="CJ62" s="18">
        <v>4.3E-3</v>
      </c>
      <c r="CK62" s="18">
        <v>0.27</v>
      </c>
      <c r="CL62" s="18"/>
      <c r="CM62" s="18">
        <v>1.9490000000000001</v>
      </c>
      <c r="CN62" s="18"/>
      <c r="CO62" s="18"/>
      <c r="CP62" s="18"/>
      <c r="CQ62" s="18"/>
      <c r="CR62" s="18">
        <v>3.1E-2</v>
      </c>
      <c r="CS62" s="18">
        <v>130</v>
      </c>
      <c r="CT62" s="18"/>
      <c r="CU62" s="18">
        <v>6.2</v>
      </c>
      <c r="CV62" s="18">
        <v>5.0999999999999996</v>
      </c>
      <c r="CW62" s="18">
        <v>0.28999999999999998</v>
      </c>
      <c r="CX62" s="18">
        <v>0.79</v>
      </c>
      <c r="CY62" s="18">
        <v>0.05</v>
      </c>
      <c r="CZ62" s="18">
        <v>1.4E-2</v>
      </c>
      <c r="DA62" s="18">
        <v>2.7E-2</v>
      </c>
      <c r="DB62" s="18"/>
      <c r="DC62" s="18"/>
      <c r="DD62" s="18"/>
      <c r="DE62" s="18"/>
      <c r="DF62" s="18">
        <v>1.4E-2</v>
      </c>
      <c r="DG62" s="18"/>
      <c r="DH62" s="18"/>
      <c r="DI62" s="18">
        <v>8.6999999999999994E-2</v>
      </c>
      <c r="DJ62" s="18"/>
      <c r="DK62" s="18"/>
      <c r="DL62" s="18">
        <v>1.5</v>
      </c>
      <c r="DM62" s="18">
        <v>0.18</v>
      </c>
      <c r="DN62" s="18"/>
      <c r="DO62" s="18"/>
      <c r="DP62" s="18"/>
      <c r="DQ62" s="18"/>
      <c r="DR62" s="18"/>
      <c r="DS62" s="18"/>
      <c r="DT62" s="18"/>
      <c r="DU62" s="18"/>
      <c r="DV62" s="28"/>
      <c r="DW62" s="28"/>
      <c r="DX62" s="28"/>
      <c r="DY62" s="28"/>
      <c r="DZ62" s="28"/>
      <c r="EA62" s="28"/>
      <c r="EB62" s="28"/>
      <c r="EC62" s="28"/>
      <c r="ED62" s="28"/>
      <c r="EE62" s="28"/>
      <c r="EF62" s="28"/>
      <c r="EG62" s="28"/>
      <c r="EH62" s="28"/>
      <c r="EI62" s="28"/>
      <c r="EJ62" s="18"/>
      <c r="EK62" s="18"/>
      <c r="EL62" s="18">
        <f>IFERROR(CR62/'McDonough &amp; Sun 1995 values'!C$2,)</f>
        <v>1.4761904761904761</v>
      </c>
      <c r="EM62" s="18">
        <f>IFERROR(CH62/'McDonough &amp; Sun 1995 values'!D$2,)</f>
        <v>0.58333333333333337</v>
      </c>
      <c r="EN62" s="18">
        <f>IFERROR(CS62/'McDonough &amp; Sun 1995 values'!E$2,)</f>
        <v>19.696969696969699</v>
      </c>
      <c r="EO62" s="18">
        <f>IFERROR(DL62/'McDonough &amp; Sun 1995 values'!F$2,)</f>
        <v>18.867924528301888</v>
      </c>
      <c r="EP62" s="18">
        <f>IFERROR(DM62/'McDonough &amp; Sun 1995 values'!G$2,)</f>
        <v>8.8669950738916263</v>
      </c>
      <c r="EQ62" s="18">
        <f>IFERROR(BR62/'McDonough &amp; Sun 1995 values'!H$2,)</f>
        <v>1.0416666666666667</v>
      </c>
      <c r="ER62" s="18">
        <f>IFERROR(DI62/'McDonough &amp; Sun 1995 values'!I$2,)</f>
        <v>2.3513513513513513</v>
      </c>
      <c r="ES62" s="18">
        <f>IFERROR(CM62/'McDonough &amp; Sun 1995 values'!J$2,)</f>
        <v>2.9620060790273555</v>
      </c>
      <c r="ET62" s="18">
        <f>IFERROR(CU62/'McDonough &amp; Sun 1995 values'!K$2,)</f>
        <v>9.567901234567902</v>
      </c>
      <c r="EU62" s="18">
        <f>IFERROR(CV62/'McDonough &amp; Sun 1995 values'!L$2,)</f>
        <v>3.044776119402985</v>
      </c>
      <c r="EV62" s="18">
        <f>IFERROR(CW62/'McDonough &amp; Sun 1995 values'!M$2,)</f>
        <v>1.1417322834645669</v>
      </c>
      <c r="EW62" s="18">
        <f>IFERROR(CI62/'McDonough &amp; Sun 1995 values'!N$2,)</f>
        <v>0.51256281407035176</v>
      </c>
      <c r="EX62" s="18">
        <f>IFERROR(CX62/'McDonough &amp; Sun 1995 values'!O$2,)</f>
        <v>0.63200000000000001</v>
      </c>
      <c r="EY62" s="18">
        <f>IFERROR(CY62/'McDonough &amp; Sun 1995 values'!P$2,)</f>
        <v>0.12315270935960591</v>
      </c>
      <c r="EZ62" s="18">
        <f>IFERROR(DH62/'McDonough &amp; Sun 1995 values'!Q$2,)</f>
        <v>0</v>
      </c>
      <c r="FA62" s="18">
        <f>IFERROR(CK62/'McDonough &amp; Sun 1995 values'!R$2,)</f>
        <v>2.5714285714285717E-2</v>
      </c>
      <c r="FB62" s="18">
        <f>IFERROR(CZ62/'McDonough &amp; Sun 1995 values'!S$2,)</f>
        <v>9.0909090909090912E-2</v>
      </c>
      <c r="FC62" s="18">
        <f>IFERROR(BT62/'McDonough &amp; Sun 1995 values'!T$2,)</f>
        <v>1.0788381742738589E-3</v>
      </c>
      <c r="FD62" s="18">
        <f>IFERROR(DA62/'McDonough &amp; Sun 1995 values'!U$2,)</f>
        <v>4.9632352941176468E-2</v>
      </c>
      <c r="FE62" s="18">
        <f>IFERROR(DN62/'McDonough &amp; Sun 1995 values'!V$2,)</f>
        <v>0</v>
      </c>
      <c r="FF62" s="18">
        <f>IFERROR(DB62/'McDonough &amp; Sun 1995 values'!W$2,)</f>
        <v>0</v>
      </c>
      <c r="FG62" s="18">
        <f>IFERROR(CJ62/'McDonough &amp; Sun 1995 values'!X$2,)</f>
        <v>1E-3</v>
      </c>
      <c r="FH62" s="18">
        <f>IFERROR(DC62/'McDonough &amp; Sun 1995 values'!Y$2,)</f>
        <v>0</v>
      </c>
      <c r="FI62" s="18">
        <f>IFERROR(DD62/'McDonough &amp; Sun 1995 values'!Z$2,)</f>
        <v>0</v>
      </c>
      <c r="FJ62" s="18">
        <f>IFERROR(DE62/'McDonough &amp; Sun 1995 values'!AA$2,)</f>
        <v>0</v>
      </c>
      <c r="FK62" s="18">
        <f>IFERROR(DF62/'McDonough &amp; Sun 1995 values'!AB$2,)</f>
        <v>3.1746031746031744E-2</v>
      </c>
      <c r="FL62" s="18">
        <f>IFERROR(DG62/'McDonough &amp; Sun 1995 values'!AC$2,)</f>
        <v>0</v>
      </c>
      <c r="FN62" s="28">
        <f t="shared" si="68"/>
        <v>8.5123152709359609</v>
      </c>
      <c r="FO62" s="4">
        <f t="shared" si="86"/>
        <v>2.2213804713804715</v>
      </c>
      <c r="FP62" s="4">
        <f t="shared" si="87"/>
        <v>6.3699817032440444</v>
      </c>
      <c r="FQ62" s="4">
        <f t="shared" si="88"/>
        <v>2.1278825995807127</v>
      </c>
      <c r="FR62" s="4">
        <f t="shared" si="89"/>
        <v>3.2302098575401126</v>
      </c>
      <c r="FS62" s="4">
        <f t="shared" si="90"/>
        <v>4.0691074215978436</v>
      </c>
      <c r="FT62" s="4">
        <f t="shared" si="91"/>
        <v>0.39516129032258068</v>
      </c>
      <c r="FU62" s="4">
        <f t="shared" si="92"/>
        <v>0.79383744955833213</v>
      </c>
      <c r="FV62" s="4">
        <f t="shared" si="93"/>
        <v>0.20880000000000001</v>
      </c>
      <c r="FW62" s="4">
        <f t="shared" si="94"/>
        <v>0</v>
      </c>
      <c r="FX62" s="4">
        <f t="shared" si="95"/>
        <v>1.0522795165109509</v>
      </c>
      <c r="FY62" s="4">
        <f t="shared" si="96"/>
        <v>0.60340154184199413</v>
      </c>
      <c r="FZ62" s="4">
        <f t="shared" si="97"/>
        <v>1.1627943081214724</v>
      </c>
      <c r="GA62" s="4">
        <f t="shared" si="98"/>
        <v>0.44893432680644602</v>
      </c>
      <c r="GB62" s="4">
        <f t="shared" si="99"/>
        <v>0.73818181818181816</v>
      </c>
      <c r="GC62" s="4">
        <f t="shared" si="100"/>
        <v>2.5306122448979589</v>
      </c>
      <c r="GD62" s="4">
        <f t="shared" si="101"/>
        <v>1.0439393939393939</v>
      </c>
      <c r="GE62" s="4">
        <f t="shared" si="102"/>
        <v>33.766233766233768</v>
      </c>
      <c r="GF62" s="4">
        <f t="shared" si="103"/>
        <v>18.90909090909091</v>
      </c>
      <c r="GG62" s="4">
        <f t="shared" si="104"/>
        <v>6.6498748386896169</v>
      </c>
      <c r="GH62" s="4">
        <f t="shared" si="105"/>
        <v>8.3801617709663692</v>
      </c>
      <c r="GI62" s="4">
        <f t="shared" si="106"/>
        <v>77.691358024691368</v>
      </c>
      <c r="GJ62" s="4">
        <f t="shared" si="107"/>
        <v>0</v>
      </c>
      <c r="GK62" s="4">
        <f t="shared" si="108"/>
        <v>301.38888888888891</v>
      </c>
      <c r="GL62" s="4">
        <f t="shared" si="109"/>
        <v>23.835164835164836</v>
      </c>
      <c r="GM62" s="4">
        <f t="shared" si="110"/>
        <v>32.345013477088948</v>
      </c>
      <c r="GN62" s="4">
        <f t="shared" si="111"/>
        <v>0.30957740954995583</v>
      </c>
      <c r="GO62" s="4">
        <f t="shared" si="112"/>
        <v>0.33404846335697397</v>
      </c>
      <c r="GP62" s="4">
        <f t="shared" si="113"/>
        <v>0.11747685185185185</v>
      </c>
      <c r="GQ62" s="27">
        <f t="shared" si="114"/>
        <v>110745.85193862894</v>
      </c>
      <c r="GR62" s="28">
        <f t="shared" si="115"/>
        <v>13.732485640389989</v>
      </c>
      <c r="GS62" s="28">
        <f t="shared" si="116"/>
        <v>155.04419271408051</v>
      </c>
      <c r="GT62" s="28">
        <f t="shared" si="117"/>
        <v>57587.843008087053</v>
      </c>
      <c r="GU62" s="28">
        <f t="shared" si="118"/>
        <v>664.47511163177364</v>
      </c>
      <c r="GV62" s="28">
        <f t="shared" si="119"/>
        <v>79.737013395812824</v>
      </c>
      <c r="GW62" s="28">
        <f t="shared" si="120"/>
        <v>110745.85193862894</v>
      </c>
      <c r="GX62" s="28">
        <f t="shared" si="121"/>
        <v>38.539556474642872</v>
      </c>
      <c r="GY62" s="28">
        <f t="shared" si="122"/>
        <v>863.37466171355118</v>
      </c>
      <c r="GZ62" s="28">
        <f t="shared" si="123"/>
        <v>2746.4971280779978</v>
      </c>
      <c r="HA62" s="28">
        <f t="shared" si="124"/>
        <v>2259.2153795480303</v>
      </c>
      <c r="HB62" s="28">
        <f t="shared" si="125"/>
        <v>128.46518824880957</v>
      </c>
      <c r="HC62" s="28">
        <f t="shared" si="126"/>
        <v>4518.4307590960607</v>
      </c>
      <c r="HD62" s="28">
        <f t="shared" si="127"/>
        <v>349.95689212606743</v>
      </c>
      <c r="HE62" s="28">
        <f t="shared" si="128"/>
        <v>22.149170387725789</v>
      </c>
      <c r="HF62" s="28">
        <f t="shared" si="129"/>
        <v>0</v>
      </c>
      <c r="HG62" s="28">
        <f t="shared" si="130"/>
        <v>119.60552009371926</v>
      </c>
      <c r="HH62" s="28">
        <f t="shared" si="131"/>
        <v>6.2017677085632208</v>
      </c>
      <c r="HI62" s="28">
        <f t="shared" si="132"/>
        <v>575.87843008087043</v>
      </c>
      <c r="HJ62" s="28">
        <f t="shared" si="133"/>
        <v>11.960552009371925</v>
      </c>
      <c r="HK62" s="28">
        <f t="shared" si="134"/>
        <v>0</v>
      </c>
      <c r="HL62" s="28">
        <f t="shared" si="135"/>
        <v>0</v>
      </c>
      <c r="HM62" s="28">
        <f t="shared" si="136"/>
        <v>1.9048286533444179</v>
      </c>
      <c r="HN62" s="28">
        <f t="shared" si="137"/>
        <v>0</v>
      </c>
      <c r="HO62" s="28">
        <f t="shared" si="138"/>
        <v>0</v>
      </c>
      <c r="HP62" s="28">
        <f t="shared" si="139"/>
        <v>0</v>
      </c>
      <c r="HQ62" s="28">
        <f t="shared" si="140"/>
        <v>6.2017677085632208</v>
      </c>
      <c r="HR62" s="28">
        <f t="shared" si="141"/>
        <v>0</v>
      </c>
      <c r="HT62" s="4">
        <f>IFERROR(GR62/'McDonough &amp; Sun 1995 values'!C$2,)</f>
        <v>653.92788763761848</v>
      </c>
      <c r="HU62" s="4">
        <f>IFERROR(GS62/'McDonough &amp; Sun 1995 values'!D$2,)</f>
        <v>258.40698785680087</v>
      </c>
      <c r="HV62" s="4">
        <f>IFERROR(GT62/'McDonough &amp; Sun 1995 values'!E$2,)</f>
        <v>8725.4307588010688</v>
      </c>
      <c r="HW62" s="4">
        <f>IFERROR(GU62/'McDonough &amp; Sun 1995 values'!F$2,)</f>
        <v>8358.1775048021846</v>
      </c>
      <c r="HX62" s="4">
        <f>IFERROR(GV62/'McDonough &amp; Sun 1995 values'!G$2,)</f>
        <v>3927.9316943750164</v>
      </c>
      <c r="HY62" s="4">
        <f>IFERROR(GW62/'McDonough &amp; Sun 1995 values'!H$2,)</f>
        <v>461.44104974428723</v>
      </c>
      <c r="HZ62" s="4">
        <f>IFERROR(GX62/'McDonough &amp; Sun 1995 values'!I$2,)</f>
        <v>1041.6096344498073</v>
      </c>
      <c r="IA62" s="4">
        <f>IFERROR(GY62/'McDonough &amp; Sun 1995 values'!J$2,)</f>
        <v>1312.1195466771294</v>
      </c>
      <c r="IB62" s="4">
        <f>IFERROR(GZ62/'McDonough &amp; Sun 1995 values'!K$2,)</f>
        <v>4238.4214939475269</v>
      </c>
      <c r="IC62" s="4">
        <f>IFERROR(HA62/'McDonough &amp; Sun 1995 values'!L$2,)</f>
        <v>1348.7853012227047</v>
      </c>
      <c r="ID62" s="4">
        <f>IFERROR(HB62/'McDonough &amp; Sun 1995 values'!M$2,)</f>
        <v>505.76845767247863</v>
      </c>
      <c r="IE62" s="4">
        <f>IFERROR(HC62/'McDonough &amp; Sun 1995 values'!N$2,)</f>
        <v>227.0568220651287</v>
      </c>
      <c r="IF62" s="4">
        <f>IFERROR(HD62/'McDonough &amp; Sun 1995 values'!O$2,)</f>
        <v>279.96551370085393</v>
      </c>
      <c r="IG62" s="4">
        <f>IFERROR(HE62/'McDonough &amp; Sun 1995 values'!P$2,)</f>
        <v>54.554606866319673</v>
      </c>
      <c r="IH62" s="4">
        <f>IFERROR(HF62/'McDonough &amp; Sun 1995 values'!Q$2,)</f>
        <v>0</v>
      </c>
      <c r="II62" s="4">
        <f>IFERROR(HG62/'McDonough &amp; Sun 1995 values'!R$2,)</f>
        <v>11.39100191368755</v>
      </c>
      <c r="IJ62" s="4">
        <f>IFERROR(HH62/'McDonough &amp; Sun 1995 values'!S$2,)</f>
        <v>40.271218886774165</v>
      </c>
      <c r="IK62" s="4">
        <f>IFERROR(HI62/'McDonough &amp; Sun 1995 values'!T$2,)</f>
        <v>0.47790741085549415</v>
      </c>
      <c r="IL62" s="4">
        <f>IFERROR(HJ62/'McDonough &amp; Sun 1995 values'!U$2,)</f>
        <v>21.986308840757214</v>
      </c>
      <c r="IM62" s="4">
        <f>IFERROR(HK62/'McDonough &amp; Sun 1995 values'!V$2,)</f>
        <v>0</v>
      </c>
      <c r="IN62" s="4">
        <f>IFERROR(HL62/'McDonough &amp; Sun 1995 values'!W$2,)</f>
        <v>0</v>
      </c>
      <c r="IO62" s="4">
        <f>IFERROR(HM62/'McDonough &amp; Sun 1995 values'!X$2,)</f>
        <v>0.44298340775451578</v>
      </c>
      <c r="IP62" s="4">
        <f>IFERROR(HN62/'McDonough &amp; Sun 1995 values'!Y$2,)</f>
        <v>0</v>
      </c>
      <c r="IQ62" s="4">
        <f>IFERROR(HO62/'McDonough &amp; Sun 1995 values'!Z$2,)</f>
        <v>0</v>
      </c>
      <c r="IR62" s="4">
        <f>IFERROR(HP62/'McDonough &amp; Sun 1995 values'!AA$2,)</f>
        <v>0</v>
      </c>
      <c r="IS62" s="4">
        <f>IFERROR(HQ62/'McDonough &amp; Sun 1995 values'!AB$2,)</f>
        <v>14.062965325540183</v>
      </c>
      <c r="IT62" s="4">
        <f>IFERROR(HR62/'McDonough &amp; Sun 1995 values'!AC$2,)</f>
        <v>0</v>
      </c>
    </row>
    <row r="63" spans="1:254">
      <c r="A63" s="16" t="s">
        <v>1361</v>
      </c>
      <c r="B63" s="16" t="s">
        <v>24</v>
      </c>
      <c r="C63" s="16" t="str">
        <f t="shared" si="0"/>
        <v>high-Mg carbonatitic</v>
      </c>
      <c r="D63" s="16" t="s">
        <v>1265</v>
      </c>
      <c r="E63" s="16" t="s">
        <v>171</v>
      </c>
      <c r="F63" s="16" t="s">
        <v>1266</v>
      </c>
      <c r="G63" s="16" t="s">
        <v>595</v>
      </c>
      <c r="H63" s="27">
        <v>540</v>
      </c>
      <c r="I63" s="16" t="s">
        <v>735</v>
      </c>
      <c r="J63" s="16">
        <v>0</v>
      </c>
      <c r="K63" s="16" t="s">
        <v>115</v>
      </c>
      <c r="L63" s="16">
        <v>0</v>
      </c>
      <c r="M63" s="16" t="s">
        <v>1363</v>
      </c>
      <c r="N63" s="16">
        <v>13</v>
      </c>
      <c r="O63" s="26">
        <v>10.082965622502515</v>
      </c>
      <c r="P63" s="26">
        <v>2.3168089870902766</v>
      </c>
      <c r="Q63" s="26"/>
      <c r="R63" s="26">
        <v>0.46275590476686429</v>
      </c>
      <c r="S63" s="26">
        <v>9.0530526409890602</v>
      </c>
      <c r="T63" s="26">
        <v>17.1678429374346</v>
      </c>
      <c r="U63" s="26"/>
      <c r="V63" s="26">
        <v>12.545322706922414</v>
      </c>
      <c r="W63" s="26">
        <v>10.596217218578911</v>
      </c>
      <c r="X63" s="26">
        <v>20.466829817804953</v>
      </c>
      <c r="Y63" s="26"/>
      <c r="Z63" s="26">
        <v>2.1003746589469188</v>
      </c>
      <c r="AA63" s="26"/>
      <c r="AB63" s="26">
        <v>5.0620262136561731</v>
      </c>
      <c r="AC63" s="26"/>
      <c r="AD63" s="26">
        <v>7.478971579093062</v>
      </c>
      <c r="AE63" s="26"/>
      <c r="AF63" s="26"/>
      <c r="AG63" s="26"/>
      <c r="AH63" s="26"/>
      <c r="AI63" s="26"/>
      <c r="AJ63" s="26">
        <f t="shared" si="62"/>
        <v>97.333168287785725</v>
      </c>
      <c r="AK63" s="26">
        <f t="shared" si="73"/>
        <v>10.542030011741122</v>
      </c>
      <c r="AL63" s="26">
        <f t="shared" si="74"/>
        <v>2.4222903050338305</v>
      </c>
      <c r="AM63" s="26">
        <f t="shared" si="75"/>
        <v>0.48382458284648217</v>
      </c>
      <c r="AN63" s="26">
        <f t="shared" si="76"/>
        <v>9.4652264236810932</v>
      </c>
      <c r="AO63" s="26">
        <f t="shared" si="77"/>
        <v>17.949472631284703</v>
      </c>
      <c r="AP63" s="26">
        <f t="shared" si="78"/>
        <v>13.11649503080714</v>
      </c>
      <c r="AQ63" s="26">
        <f t="shared" si="79"/>
        <v>5.2924937228278583</v>
      </c>
      <c r="AR63" s="26">
        <f t="shared" si="80"/>
        <v>11.078649289440145</v>
      </c>
      <c r="AS63" s="26">
        <f t="shared" si="81"/>
        <v>21.398658119291238</v>
      </c>
      <c r="AT63" s="26">
        <f t="shared" si="82"/>
        <v>2.1960020017427584</v>
      </c>
      <c r="AU63" s="26">
        <f t="shared" si="83"/>
        <v>7.8194794860551724</v>
      </c>
      <c r="AV63" s="26">
        <f t="shared" si="7"/>
        <v>101.76462160475155</v>
      </c>
      <c r="AW63" s="26"/>
      <c r="AX63" s="26"/>
      <c r="AY63" s="26"/>
      <c r="AZ63" s="26"/>
      <c r="BA63" s="26"/>
      <c r="BB63" s="26"/>
      <c r="BC63" s="26"/>
      <c r="BD63" s="26"/>
      <c r="BE63" s="16"/>
      <c r="BF63" s="16"/>
      <c r="BG63" s="16"/>
      <c r="BH63" s="16"/>
      <c r="BI63" s="16"/>
      <c r="BJ63" s="16"/>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28"/>
      <c r="DW63" s="28"/>
      <c r="DX63" s="28"/>
      <c r="DY63" s="28"/>
      <c r="DZ63" s="28"/>
      <c r="EA63" s="28"/>
      <c r="EB63" s="28"/>
      <c r="EC63" s="28"/>
      <c r="ED63" s="28"/>
      <c r="EE63" s="28"/>
      <c r="EF63" s="28"/>
      <c r="EG63" s="28"/>
      <c r="EH63" s="28"/>
      <c r="EI63" s="28"/>
      <c r="EJ63" s="18"/>
      <c r="EK63" s="18"/>
      <c r="EL63" s="18">
        <f>IFERROR(CR63/'McDonough &amp; Sun 1995 values'!C$2,)</f>
        <v>0</v>
      </c>
      <c r="EM63" s="18">
        <f>IFERROR(CH63/'McDonough &amp; Sun 1995 values'!D$2,)</f>
        <v>0</v>
      </c>
      <c r="EN63" s="18">
        <f>IFERROR(CS63/'McDonough &amp; Sun 1995 values'!E$2,)</f>
        <v>0</v>
      </c>
      <c r="EO63" s="18">
        <f>IFERROR(DL63/'McDonough &amp; Sun 1995 values'!F$2,)</f>
        <v>0</v>
      </c>
      <c r="EP63" s="18">
        <f>IFERROR(DM63/'McDonough &amp; Sun 1995 values'!G$2,)</f>
        <v>0</v>
      </c>
      <c r="EQ63" s="18">
        <f>IFERROR(BR63/'McDonough &amp; Sun 1995 values'!H$2,)</f>
        <v>0</v>
      </c>
      <c r="ER63" s="18">
        <f>IFERROR(DI63/'McDonough &amp; Sun 1995 values'!I$2,)</f>
        <v>0</v>
      </c>
      <c r="ES63" s="18">
        <f>IFERROR(CM63/'McDonough &amp; Sun 1995 values'!J$2,)</f>
        <v>0</v>
      </c>
      <c r="ET63" s="18">
        <f>IFERROR(CU63/'McDonough &amp; Sun 1995 values'!K$2,)</f>
        <v>0</v>
      </c>
      <c r="EU63" s="18">
        <f>IFERROR(CV63/'McDonough &amp; Sun 1995 values'!L$2,)</f>
        <v>0</v>
      </c>
      <c r="EV63" s="18">
        <f>IFERROR(CW63/'McDonough &amp; Sun 1995 values'!M$2,)</f>
        <v>0</v>
      </c>
      <c r="EW63" s="18">
        <f>IFERROR(CI63/'McDonough &amp; Sun 1995 values'!N$2,)</f>
        <v>0</v>
      </c>
      <c r="EX63" s="18">
        <f>IFERROR(CX63/'McDonough &amp; Sun 1995 values'!O$2,)</f>
        <v>0</v>
      </c>
      <c r="EY63" s="18">
        <f>IFERROR(CY63/'McDonough &amp; Sun 1995 values'!P$2,)</f>
        <v>0</v>
      </c>
      <c r="EZ63" s="18">
        <f>IFERROR(DH63/'McDonough &amp; Sun 1995 values'!Q$2,)</f>
        <v>0</v>
      </c>
      <c r="FA63" s="18">
        <f>IFERROR(CK63/'McDonough &amp; Sun 1995 values'!R$2,)</f>
        <v>0</v>
      </c>
      <c r="FB63" s="18">
        <f>IFERROR(CZ63/'McDonough &amp; Sun 1995 values'!S$2,)</f>
        <v>0</v>
      </c>
      <c r="FC63" s="18">
        <f>IFERROR(BT63/'McDonough &amp; Sun 1995 values'!T$2,)</f>
        <v>0</v>
      </c>
      <c r="FD63" s="18">
        <f>IFERROR(DA63/'McDonough &amp; Sun 1995 values'!U$2,)</f>
        <v>0</v>
      </c>
      <c r="FE63" s="18">
        <f>IFERROR(DN63/'McDonough &amp; Sun 1995 values'!V$2,)</f>
        <v>0</v>
      </c>
      <c r="FF63" s="18">
        <f>IFERROR(DB63/'McDonough &amp; Sun 1995 values'!W$2,)</f>
        <v>0</v>
      </c>
      <c r="FG63" s="18">
        <f>IFERROR(CJ63/'McDonough &amp; Sun 1995 values'!X$2,)</f>
        <v>0</v>
      </c>
      <c r="FH63" s="18">
        <f>IFERROR(DC63/'McDonough &amp; Sun 1995 values'!Y$2,)</f>
        <v>0</v>
      </c>
      <c r="FI63" s="18">
        <f>IFERROR(DD63/'McDonough &amp; Sun 1995 values'!Z$2,)</f>
        <v>0</v>
      </c>
      <c r="FJ63" s="18">
        <f>IFERROR(DE63/'McDonough &amp; Sun 1995 values'!AA$2,)</f>
        <v>0</v>
      </c>
      <c r="FK63" s="18">
        <f>IFERROR(DF63/'McDonough &amp; Sun 1995 values'!AB$2,)</f>
        <v>0</v>
      </c>
      <c r="FL63" s="18">
        <f>IFERROR(DG63/'McDonough &amp; Sun 1995 values'!AC$2,)</f>
        <v>0</v>
      </c>
      <c r="FN63" s="28">
        <f t="shared" si="68"/>
        <v>0</v>
      </c>
      <c r="FO63" s="4">
        <f t="shared" si="86"/>
        <v>0</v>
      </c>
      <c r="FP63" s="4">
        <f t="shared" si="87"/>
        <v>0</v>
      </c>
      <c r="FQ63" s="4">
        <f t="shared" si="88"/>
        <v>0</v>
      </c>
      <c r="FR63" s="4">
        <f t="shared" si="89"/>
        <v>0</v>
      </c>
      <c r="FS63" s="4">
        <f t="shared" si="90"/>
        <v>0</v>
      </c>
      <c r="FT63" s="4">
        <f t="shared" si="91"/>
        <v>0</v>
      </c>
      <c r="FU63" s="4">
        <f t="shared" si="92"/>
        <v>0</v>
      </c>
      <c r="FV63" s="4">
        <f t="shared" si="93"/>
        <v>0</v>
      </c>
      <c r="FW63" s="4">
        <f t="shared" si="94"/>
        <v>0</v>
      </c>
      <c r="FX63" s="4">
        <f t="shared" si="95"/>
        <v>0</v>
      </c>
      <c r="FY63" s="4">
        <f t="shared" si="96"/>
        <v>0</v>
      </c>
      <c r="FZ63" s="4">
        <f t="shared" si="97"/>
        <v>0</v>
      </c>
      <c r="GA63" s="4">
        <f t="shared" si="98"/>
        <v>0</v>
      </c>
      <c r="GB63" s="4">
        <f t="shared" si="99"/>
        <v>0</v>
      </c>
      <c r="GC63" s="4">
        <f t="shared" si="100"/>
        <v>0</v>
      </c>
      <c r="GD63" s="4">
        <f t="shared" si="101"/>
        <v>0</v>
      </c>
      <c r="GE63" s="4">
        <f t="shared" si="102"/>
        <v>0</v>
      </c>
      <c r="GF63" s="4">
        <f t="shared" si="103"/>
        <v>0</v>
      </c>
      <c r="GG63" s="4">
        <f t="shared" si="104"/>
        <v>0</v>
      </c>
      <c r="GH63" s="4">
        <f t="shared" si="105"/>
        <v>0</v>
      </c>
      <c r="GI63" s="4">
        <f t="shared" si="106"/>
        <v>0</v>
      </c>
      <c r="GJ63" s="4">
        <f t="shared" si="107"/>
        <v>0</v>
      </c>
      <c r="GK63" s="4">
        <f t="shared" si="108"/>
        <v>0</v>
      </c>
      <c r="GL63" s="4">
        <f t="shared" si="109"/>
        <v>0</v>
      </c>
      <c r="GM63" s="4">
        <f t="shared" si="110"/>
        <v>0</v>
      </c>
      <c r="GN63" s="4">
        <f t="shared" si="111"/>
        <v>0</v>
      </c>
      <c r="GO63" s="4">
        <f t="shared" si="112"/>
        <v>0</v>
      </c>
      <c r="GP63" s="4">
        <f t="shared" si="113"/>
        <v>0</v>
      </c>
      <c r="GQ63" s="27">
        <f t="shared" si="114"/>
        <v>177638.24375563447</v>
      </c>
      <c r="GR63" s="28" t="str">
        <f t="shared" si="115"/>
        <v/>
      </c>
      <c r="GS63" s="28" t="str">
        <f t="shared" si="116"/>
        <v/>
      </c>
      <c r="GT63" s="28" t="str">
        <f t="shared" si="117"/>
        <v/>
      </c>
      <c r="GU63" s="28" t="str">
        <f t="shared" si="118"/>
        <v/>
      </c>
      <c r="GV63" s="28" t="str">
        <f t="shared" si="119"/>
        <v/>
      </c>
      <c r="GW63" s="28" t="str">
        <f t="shared" si="120"/>
        <v/>
      </c>
      <c r="GX63" s="28" t="str">
        <f t="shared" si="121"/>
        <v/>
      </c>
      <c r="GY63" s="28" t="str">
        <f t="shared" si="122"/>
        <v/>
      </c>
      <c r="GZ63" s="28" t="str">
        <f t="shared" si="123"/>
        <v/>
      </c>
      <c r="HA63" s="28" t="str">
        <f t="shared" si="124"/>
        <v/>
      </c>
      <c r="HB63" s="28" t="str">
        <f t="shared" si="125"/>
        <v/>
      </c>
      <c r="HC63" s="28" t="str">
        <f t="shared" si="126"/>
        <v/>
      </c>
      <c r="HD63" s="28" t="str">
        <f t="shared" si="127"/>
        <v/>
      </c>
      <c r="HE63" s="28" t="str">
        <f t="shared" si="128"/>
        <v/>
      </c>
      <c r="HF63" s="28" t="str">
        <f t="shared" si="129"/>
        <v/>
      </c>
      <c r="HG63" s="28" t="str">
        <f t="shared" si="130"/>
        <v/>
      </c>
      <c r="HH63" s="28" t="str">
        <f t="shared" si="131"/>
        <v/>
      </c>
      <c r="HI63" s="28" t="str">
        <f t="shared" si="132"/>
        <v/>
      </c>
      <c r="HJ63" s="28" t="str">
        <f t="shared" si="133"/>
        <v/>
      </c>
      <c r="HK63" s="28" t="str">
        <f t="shared" si="134"/>
        <v/>
      </c>
      <c r="HL63" s="28" t="str">
        <f t="shared" si="135"/>
        <v/>
      </c>
      <c r="HM63" s="28" t="str">
        <f t="shared" si="136"/>
        <v/>
      </c>
      <c r="HN63" s="28" t="str">
        <f t="shared" si="137"/>
        <v/>
      </c>
      <c r="HO63" s="28" t="str">
        <f t="shared" si="138"/>
        <v/>
      </c>
      <c r="HP63" s="28" t="str">
        <f t="shared" si="139"/>
        <v/>
      </c>
      <c r="HQ63" s="28" t="str">
        <f t="shared" si="140"/>
        <v/>
      </c>
      <c r="HR63" s="28" t="str">
        <f t="shared" si="141"/>
        <v/>
      </c>
      <c r="HT63" s="4">
        <f>IFERROR(GR63/'McDonough &amp; Sun 1995 values'!C$2,)</f>
        <v>0</v>
      </c>
      <c r="HU63" s="4">
        <f>IFERROR(GS63/'McDonough &amp; Sun 1995 values'!D$2,)</f>
        <v>0</v>
      </c>
      <c r="HV63" s="4">
        <f>IFERROR(GT63/'McDonough &amp; Sun 1995 values'!E$2,)</f>
        <v>0</v>
      </c>
      <c r="HW63" s="4">
        <f>IFERROR(GU63/'McDonough &amp; Sun 1995 values'!F$2,)</f>
        <v>0</v>
      </c>
      <c r="HX63" s="4">
        <f>IFERROR(GV63/'McDonough &amp; Sun 1995 values'!G$2,)</f>
        <v>0</v>
      </c>
      <c r="HY63" s="4">
        <f>IFERROR(GW63/'McDonough &amp; Sun 1995 values'!H$2,)</f>
        <v>0</v>
      </c>
      <c r="HZ63" s="4">
        <f>IFERROR(GX63/'McDonough &amp; Sun 1995 values'!I$2,)</f>
        <v>0</v>
      </c>
      <c r="IA63" s="4">
        <f>IFERROR(GY63/'McDonough &amp; Sun 1995 values'!J$2,)</f>
        <v>0</v>
      </c>
      <c r="IB63" s="4">
        <f>IFERROR(GZ63/'McDonough &amp; Sun 1995 values'!K$2,)</f>
        <v>0</v>
      </c>
      <c r="IC63" s="4">
        <f>IFERROR(HA63/'McDonough &amp; Sun 1995 values'!L$2,)</f>
        <v>0</v>
      </c>
      <c r="ID63" s="4">
        <f>IFERROR(HB63/'McDonough &amp; Sun 1995 values'!M$2,)</f>
        <v>0</v>
      </c>
      <c r="IE63" s="4">
        <f>IFERROR(HC63/'McDonough &amp; Sun 1995 values'!N$2,)</f>
        <v>0</v>
      </c>
      <c r="IF63" s="4">
        <f>IFERROR(HD63/'McDonough &amp; Sun 1995 values'!O$2,)</f>
        <v>0</v>
      </c>
      <c r="IG63" s="4">
        <f>IFERROR(HE63/'McDonough &amp; Sun 1995 values'!P$2,)</f>
        <v>0</v>
      </c>
      <c r="IH63" s="4">
        <f>IFERROR(HF63/'McDonough &amp; Sun 1995 values'!Q$2,)</f>
        <v>0</v>
      </c>
      <c r="II63" s="4">
        <f>IFERROR(HG63/'McDonough &amp; Sun 1995 values'!R$2,)</f>
        <v>0</v>
      </c>
      <c r="IJ63" s="4">
        <f>IFERROR(HH63/'McDonough &amp; Sun 1995 values'!S$2,)</f>
        <v>0</v>
      </c>
      <c r="IK63" s="4">
        <f>IFERROR(HI63/'McDonough &amp; Sun 1995 values'!T$2,)</f>
        <v>0</v>
      </c>
      <c r="IL63" s="4">
        <f>IFERROR(HJ63/'McDonough &amp; Sun 1995 values'!U$2,)</f>
        <v>0</v>
      </c>
      <c r="IM63" s="4">
        <f>IFERROR(HK63/'McDonough &amp; Sun 1995 values'!V$2,)</f>
        <v>0</v>
      </c>
      <c r="IN63" s="4">
        <f>IFERROR(HL63/'McDonough &amp; Sun 1995 values'!W$2,)</f>
        <v>0</v>
      </c>
      <c r="IO63" s="4">
        <f>IFERROR(HM63/'McDonough &amp; Sun 1995 values'!X$2,)</f>
        <v>0</v>
      </c>
      <c r="IP63" s="4">
        <f>IFERROR(HN63/'McDonough &amp; Sun 1995 values'!Y$2,)</f>
        <v>0</v>
      </c>
      <c r="IQ63" s="4">
        <f>IFERROR(HO63/'McDonough &amp; Sun 1995 values'!Z$2,)</f>
        <v>0</v>
      </c>
      <c r="IR63" s="4">
        <f>IFERROR(HP63/'McDonough &amp; Sun 1995 values'!AA$2,)</f>
        <v>0</v>
      </c>
      <c r="IS63" s="4">
        <f>IFERROR(HQ63/'McDonough &amp; Sun 1995 values'!AB$2,)</f>
        <v>0</v>
      </c>
      <c r="IT63" s="4">
        <f>IFERROR(HR63/'McDonough &amp; Sun 1995 values'!AC$2,)</f>
        <v>0</v>
      </c>
    </row>
    <row r="64" spans="1:254">
      <c r="A64" s="16" t="s">
        <v>1162</v>
      </c>
      <c r="B64" s="16" t="s">
        <v>24</v>
      </c>
      <c r="C64" s="16" t="str">
        <f t="shared" si="0"/>
        <v>high-Mg carbonatitic</v>
      </c>
      <c r="D64" s="16" t="s">
        <v>831</v>
      </c>
      <c r="E64" s="16" t="s">
        <v>801</v>
      </c>
      <c r="F64" s="16" t="s">
        <v>800</v>
      </c>
      <c r="G64" s="16" t="s">
        <v>829</v>
      </c>
      <c r="H64" s="27">
        <v>0</v>
      </c>
      <c r="I64" s="16" t="s">
        <v>712</v>
      </c>
      <c r="J64" s="16" t="s">
        <v>635</v>
      </c>
      <c r="K64" s="16" t="s">
        <v>1169</v>
      </c>
      <c r="L64" s="16">
        <v>0</v>
      </c>
      <c r="M64" s="16" t="s">
        <v>27</v>
      </c>
      <c r="N64" s="16">
        <v>39</v>
      </c>
      <c r="O64" s="26">
        <v>8.3211909150074916</v>
      </c>
      <c r="P64" s="26">
        <v>0.60460844709014205</v>
      </c>
      <c r="Q64" s="26">
        <v>0.50072962544766664</v>
      </c>
      <c r="R64" s="26">
        <v>1.6130807642097784</v>
      </c>
      <c r="S64" s="26">
        <v>7.8749726808740075</v>
      </c>
      <c r="T64" s="26">
        <v>23.076049796569713</v>
      </c>
      <c r="U64" s="26">
        <v>0.47906539883299359</v>
      </c>
      <c r="V64" s="26">
        <v>22.658824212701536</v>
      </c>
      <c r="W64" s="26">
        <v>10.811406374254334</v>
      </c>
      <c r="X64" s="26">
        <v>9.7621181562844139</v>
      </c>
      <c r="Y64" s="26"/>
      <c r="Z64" s="26">
        <v>6.8365043588203935</v>
      </c>
      <c r="AA64" s="26">
        <v>0.54301585171018352</v>
      </c>
      <c r="AB64" s="26">
        <v>6.2156991032072755</v>
      </c>
      <c r="AC64" s="26"/>
      <c r="AD64" s="26">
        <v>2.8729765192662673</v>
      </c>
      <c r="AE64" s="26"/>
      <c r="AF64" s="26"/>
      <c r="AG64" s="26"/>
      <c r="AH64" s="26"/>
      <c r="AI64" s="26">
        <v>8</v>
      </c>
      <c r="AJ64" s="26">
        <f t="shared" si="62"/>
        <v>100.64743132828535</v>
      </c>
      <c r="AK64" s="26">
        <f t="shared" si="73"/>
        <v>8.3212669015925869</v>
      </c>
      <c r="AL64" s="26">
        <f t="shared" si="74"/>
        <v>0.60461396819062907</v>
      </c>
      <c r="AM64" s="26">
        <f t="shared" si="75"/>
        <v>1.6130954943728051</v>
      </c>
      <c r="AN64" s="26">
        <f t="shared" si="76"/>
        <v>7.8750445927298758</v>
      </c>
      <c r="AO64" s="26">
        <f t="shared" si="77"/>
        <v>23.076260520039398</v>
      </c>
      <c r="AP64" s="26">
        <f t="shared" si="78"/>
        <v>22.659031126194058</v>
      </c>
      <c r="AQ64" s="26">
        <f t="shared" si="79"/>
        <v>6.2157558630813909</v>
      </c>
      <c r="AR64" s="26">
        <f t="shared" si="80"/>
        <v>10.811505100729766</v>
      </c>
      <c r="AS64" s="26">
        <f t="shared" si="81"/>
        <v>9.762207300978913</v>
      </c>
      <c r="AT64" s="26">
        <f t="shared" si="82"/>
        <v>6.8365667876993257</v>
      </c>
      <c r="AU64" s="26">
        <f t="shared" si="83"/>
        <v>2.8730027544142152</v>
      </c>
      <c r="AV64" s="26">
        <f t="shared" si="7"/>
        <v>100.64835041002296</v>
      </c>
      <c r="AW64" s="26">
        <v>23.3</v>
      </c>
      <c r="AX64" s="26">
        <v>7.2</v>
      </c>
      <c r="AY64" s="94"/>
      <c r="AZ64" s="94"/>
      <c r="BA64" s="26">
        <v>0.56999999999999995</v>
      </c>
      <c r="BB64" s="26"/>
      <c r="BC64" s="26">
        <f>(AX64/18.02)/((AX64/18.02)+(AW64/44.01))</f>
        <v>0.43010133860341121</v>
      </c>
      <c r="BD64" s="26">
        <f>(AW64/44.01)/((AX64/18.02)+(AW64/44.01))</f>
        <v>0.56989866139658873</v>
      </c>
      <c r="BE64" s="16"/>
      <c r="BF64" s="16"/>
      <c r="BG64" s="16"/>
      <c r="BH64" s="16"/>
      <c r="BI64" s="16"/>
      <c r="BJ64" s="16"/>
      <c r="BK64" s="18"/>
      <c r="BL64" s="18"/>
      <c r="BM64" s="18"/>
      <c r="BN64" s="18"/>
      <c r="BO64" s="18"/>
      <c r="BP64" s="18"/>
      <c r="BQ64" s="18"/>
      <c r="BR64" s="18">
        <v>148</v>
      </c>
      <c r="BS64" s="18"/>
      <c r="BT64" s="18">
        <v>8.8000000000000007</v>
      </c>
      <c r="BU64" s="18"/>
      <c r="BV64" s="18"/>
      <c r="BW64" s="18"/>
      <c r="BX64" s="18"/>
      <c r="BY64" s="18"/>
      <c r="BZ64" s="18"/>
      <c r="CA64" s="18"/>
      <c r="CB64" s="18"/>
      <c r="CC64" s="18"/>
      <c r="CD64" s="18"/>
      <c r="CE64" s="18"/>
      <c r="CF64" s="18"/>
      <c r="CG64" s="18"/>
      <c r="CH64" s="18">
        <v>0.28000000000000003</v>
      </c>
      <c r="CI64" s="18">
        <v>10.69</v>
      </c>
      <c r="CJ64" s="18">
        <v>3.4000000000000002E-2</v>
      </c>
      <c r="CK64" s="18">
        <v>0.94</v>
      </c>
      <c r="CL64" s="18"/>
      <c r="CM64" s="18">
        <v>3.42</v>
      </c>
      <c r="CN64" s="18"/>
      <c r="CO64" s="18"/>
      <c r="CP64" s="18"/>
      <c r="CQ64" s="18"/>
      <c r="CR64" s="18">
        <v>7.0000000000000001E-3</v>
      </c>
      <c r="CS64" s="18">
        <v>58.2</v>
      </c>
      <c r="CT64" s="18"/>
      <c r="CU64" s="18">
        <v>4.25</v>
      </c>
      <c r="CV64" s="18">
        <v>5.0999999999999996</v>
      </c>
      <c r="CW64" s="18">
        <v>0.47299999999999998</v>
      </c>
      <c r="CX64" s="18">
        <v>1.37</v>
      </c>
      <c r="CY64" s="18">
        <v>0.105</v>
      </c>
      <c r="CZ64" s="18">
        <v>2.1000000000000001E-2</v>
      </c>
      <c r="DA64" s="18">
        <v>5.0999999999999997E-2</v>
      </c>
      <c r="DB64" s="18">
        <v>1.2999999999999999E-2</v>
      </c>
      <c r="DC64" s="18">
        <v>2E-3</v>
      </c>
      <c r="DD64" s="18">
        <v>0</v>
      </c>
      <c r="DE64" s="18"/>
      <c r="DF64" s="18">
        <v>0</v>
      </c>
      <c r="DG64" s="18"/>
      <c r="DH64" s="18">
        <v>1.2999999999999999E-2</v>
      </c>
      <c r="DI64" s="18">
        <v>0.121</v>
      </c>
      <c r="DJ64" s="18"/>
      <c r="DK64" s="18"/>
      <c r="DL64" s="18">
        <v>0.48199999999999998</v>
      </c>
      <c r="DM64" s="18">
        <v>9.7000000000000003E-2</v>
      </c>
      <c r="DN64" s="18"/>
      <c r="DO64" s="18"/>
      <c r="DP64" s="18"/>
      <c r="DQ64" s="18"/>
      <c r="DR64" s="18"/>
      <c r="DS64" s="18"/>
      <c r="DT64" s="18"/>
      <c r="DU64" s="18"/>
      <c r="DV64" s="28"/>
      <c r="DW64" s="28"/>
      <c r="DX64" s="28"/>
      <c r="DY64" s="28"/>
      <c r="DZ64" s="28"/>
      <c r="EA64" s="28"/>
      <c r="EB64" s="28"/>
      <c r="EC64" s="28"/>
      <c r="ED64" s="28"/>
      <c r="EE64" s="28"/>
      <c r="EF64" s="28"/>
      <c r="EG64" s="28"/>
      <c r="EH64" s="28"/>
      <c r="EI64" s="28"/>
      <c r="EJ64" s="18"/>
      <c r="EK64" s="18"/>
      <c r="EL64" s="18">
        <f>IFERROR(CR64/'McDonough &amp; Sun 1995 values'!C$2,)</f>
        <v>0.33333333333333331</v>
      </c>
      <c r="EM64" s="18">
        <f>IFERROR(CH64/'McDonough &amp; Sun 1995 values'!D$2,)</f>
        <v>0.46666666666666673</v>
      </c>
      <c r="EN64" s="18">
        <f>IFERROR(CS64/'McDonough &amp; Sun 1995 values'!E$2,)</f>
        <v>8.8181818181818183</v>
      </c>
      <c r="EO64" s="18">
        <f>IFERROR(DL64/'McDonough &amp; Sun 1995 values'!F$2,)</f>
        <v>6.0628930817610058</v>
      </c>
      <c r="EP64" s="18">
        <f>IFERROR(DM64/'McDonough &amp; Sun 1995 values'!G$2,)</f>
        <v>4.77832512315271</v>
      </c>
      <c r="EQ64" s="18">
        <f>IFERROR(BR64/'McDonough &amp; Sun 1995 values'!H$2,)</f>
        <v>0.6166666666666667</v>
      </c>
      <c r="ER64" s="18">
        <f>IFERROR(DI64/'McDonough &amp; Sun 1995 values'!I$2,)</f>
        <v>3.2702702702702702</v>
      </c>
      <c r="ES64" s="18">
        <f>IFERROR(CM64/'McDonough &amp; Sun 1995 values'!J$2,)</f>
        <v>5.19756838905775</v>
      </c>
      <c r="ET64" s="18">
        <f>IFERROR(CU64/'McDonough &amp; Sun 1995 values'!K$2,)</f>
        <v>6.5586419753086416</v>
      </c>
      <c r="EU64" s="18">
        <f>IFERROR(CV64/'McDonough &amp; Sun 1995 values'!L$2,)</f>
        <v>3.044776119402985</v>
      </c>
      <c r="EV64" s="18">
        <f>IFERROR(CW64/'McDonough &amp; Sun 1995 values'!M$2,)</f>
        <v>1.8622047244094486</v>
      </c>
      <c r="EW64" s="18">
        <f>IFERROR(CI64/'McDonough &amp; Sun 1995 values'!N$2,)</f>
        <v>0.53718592964824119</v>
      </c>
      <c r="EX64" s="18">
        <f>IFERROR(CX64/'McDonough &amp; Sun 1995 values'!O$2,)</f>
        <v>1.0960000000000001</v>
      </c>
      <c r="EY64" s="18">
        <f>IFERROR(CY64/'McDonough &amp; Sun 1995 values'!P$2,)</f>
        <v>0.25862068965517238</v>
      </c>
      <c r="EZ64" s="18">
        <f>IFERROR(DH64/'McDonough &amp; Sun 1995 values'!Q$2,)</f>
        <v>4.5936395759717315E-2</v>
      </c>
      <c r="FA64" s="18">
        <f>IFERROR(CK64/'McDonough &amp; Sun 1995 values'!R$2,)</f>
        <v>8.9523809523809519E-2</v>
      </c>
      <c r="FB64" s="18">
        <f>IFERROR(CZ64/'McDonough &amp; Sun 1995 values'!S$2,)</f>
        <v>0.13636363636363638</v>
      </c>
      <c r="FC64" s="18">
        <f>IFERROR(BT64/'McDonough &amp; Sun 1995 values'!T$2,)</f>
        <v>7.3029045643153529E-3</v>
      </c>
      <c r="FD64" s="18">
        <f>IFERROR(DA64/'McDonough &amp; Sun 1995 values'!U$2,)</f>
        <v>9.3749999999999986E-2</v>
      </c>
      <c r="FE64" s="18">
        <f>IFERROR(DN64/'McDonough &amp; Sun 1995 values'!V$2,)</f>
        <v>0</v>
      </c>
      <c r="FF64" s="18">
        <f>IFERROR(DB64/'McDonough &amp; Sun 1995 values'!W$2,)</f>
        <v>1.9287833827893171E-2</v>
      </c>
      <c r="FG64" s="18">
        <f>IFERROR(CJ64/'McDonough &amp; Sun 1995 values'!X$2,)</f>
        <v>7.9069767441860474E-3</v>
      </c>
      <c r="FH64" s="18">
        <f>IFERROR(DC64/'McDonough &amp; Sun 1995 values'!Y$2,)</f>
        <v>1.342281879194631E-2</v>
      </c>
      <c r="FI64" s="18">
        <f>IFERROR(DD64/'McDonough &amp; Sun 1995 values'!Z$2,)</f>
        <v>0</v>
      </c>
      <c r="FJ64" s="18">
        <f>IFERROR(DE64/'McDonough &amp; Sun 1995 values'!AA$2,)</f>
        <v>0</v>
      </c>
      <c r="FK64" s="18">
        <f>IFERROR(DF64/'McDonough &amp; Sun 1995 values'!AB$2,)</f>
        <v>0</v>
      </c>
      <c r="FL64" s="18">
        <f>IFERROR(DG64/'McDonough &amp; Sun 1995 values'!AC$2,)</f>
        <v>0</v>
      </c>
      <c r="FN64" s="28">
        <f t="shared" si="68"/>
        <v>7.7486353348422323</v>
      </c>
      <c r="FO64" s="4">
        <f t="shared" si="86"/>
        <v>1.8454545454545452</v>
      </c>
      <c r="FP64" s="4">
        <f t="shared" si="87"/>
        <v>1.1664864467247784</v>
      </c>
      <c r="FQ64" s="4">
        <f t="shared" si="88"/>
        <v>1.2688322635025608</v>
      </c>
      <c r="FR64" s="4">
        <f t="shared" si="89"/>
        <v>1.2618673741968089</v>
      </c>
      <c r="FS64" s="4">
        <f t="shared" si="90"/>
        <v>2.0055351494745435</v>
      </c>
      <c r="FT64" s="4">
        <f t="shared" si="91"/>
        <v>1.4000000000000004</v>
      </c>
      <c r="FU64" s="4">
        <f t="shared" si="92"/>
        <v>0.62919235024498188</v>
      </c>
      <c r="FV64" s="4">
        <f t="shared" si="93"/>
        <v>0.34615873015873017</v>
      </c>
      <c r="FW64" s="4">
        <f t="shared" si="94"/>
        <v>1.9488644688644687</v>
      </c>
      <c r="FX64" s="4">
        <f t="shared" si="95"/>
        <v>0.7739783152627191</v>
      </c>
      <c r="FY64" s="4">
        <f t="shared" si="96"/>
        <v>0.37601540650170656</v>
      </c>
      <c r="FZ64" s="4">
        <f t="shared" si="97"/>
        <v>0.8757523330030762</v>
      </c>
      <c r="GA64" s="4">
        <f t="shared" si="98"/>
        <v>0.28846770852146569</v>
      </c>
      <c r="GB64" s="4">
        <f t="shared" si="99"/>
        <v>0.52727272727272745</v>
      </c>
      <c r="GC64" s="4">
        <f t="shared" si="100"/>
        <v>0.71428571428571419</v>
      </c>
      <c r="GD64" s="4">
        <f t="shared" si="101"/>
        <v>1.4544511505092419</v>
      </c>
      <c r="GE64" s="4">
        <f t="shared" si="102"/>
        <v>18.896103896103895</v>
      </c>
      <c r="GF64" s="4">
        <f t="shared" si="103"/>
        <v>14.2997542997543</v>
      </c>
      <c r="GG64" s="4">
        <f t="shared" si="104"/>
        <v>1.6965975544922915</v>
      </c>
      <c r="GH64" s="4">
        <f t="shared" si="105"/>
        <v>3.5219768746900533</v>
      </c>
      <c r="GI64" s="4">
        <f t="shared" si="106"/>
        <v>25.360082304526752</v>
      </c>
      <c r="GJ64" s="4">
        <f t="shared" si="107"/>
        <v>340.04036087369423</v>
      </c>
      <c r="GK64" s="4">
        <f t="shared" si="108"/>
        <v>0</v>
      </c>
      <c r="GL64" s="4">
        <f t="shared" si="109"/>
        <v>12.258658008658008</v>
      </c>
      <c r="GM64" s="4">
        <f t="shared" si="110"/>
        <v>12.991913746630726</v>
      </c>
      <c r="GN64" s="4">
        <f t="shared" si="111"/>
        <v>0.79247630967280525</v>
      </c>
      <c r="GO64" s="4">
        <f t="shared" si="112"/>
        <v>1.0877385391533227</v>
      </c>
      <c r="GP64" s="4">
        <f t="shared" si="113"/>
        <v>0.1290549828178694</v>
      </c>
      <c r="GQ64" s="27">
        <f t="shared" si="114"/>
        <v>81039.724568568621</v>
      </c>
      <c r="GR64" s="28">
        <f t="shared" si="115"/>
        <v>3.832959945810678</v>
      </c>
      <c r="GS64" s="28">
        <f t="shared" si="116"/>
        <v>153.31839783242714</v>
      </c>
      <c r="GT64" s="28">
        <f t="shared" si="117"/>
        <v>31868.32412088307</v>
      </c>
      <c r="GU64" s="28">
        <f t="shared" si="118"/>
        <v>263.92667055439239</v>
      </c>
      <c r="GV64" s="28">
        <f t="shared" si="119"/>
        <v>53.113873534805109</v>
      </c>
      <c r="GW64" s="28">
        <f t="shared" si="120"/>
        <v>81039.724568568621</v>
      </c>
      <c r="GX64" s="28">
        <f t="shared" si="121"/>
        <v>66.255450491870292</v>
      </c>
      <c r="GY64" s="28">
        <f t="shared" si="122"/>
        <v>1872.6747163817884</v>
      </c>
      <c r="GZ64" s="28">
        <f t="shared" si="123"/>
        <v>2327.154252813626</v>
      </c>
      <c r="HA64" s="28">
        <f t="shared" si="124"/>
        <v>2792.5851033763506</v>
      </c>
      <c r="HB64" s="28">
        <f t="shared" si="125"/>
        <v>258.99857919549294</v>
      </c>
      <c r="HC64" s="28">
        <f t="shared" si="126"/>
        <v>5853.4774029594491</v>
      </c>
      <c r="HD64" s="28">
        <f t="shared" si="127"/>
        <v>750.16501796580417</v>
      </c>
      <c r="HE64" s="28">
        <f t="shared" si="128"/>
        <v>57.49439918716017</v>
      </c>
      <c r="HF64" s="28">
        <f t="shared" si="129"/>
        <v>7.1183541850769734</v>
      </c>
      <c r="HG64" s="28">
        <f t="shared" si="130"/>
        <v>514.71176415171954</v>
      </c>
      <c r="HH64" s="28">
        <f t="shared" si="131"/>
        <v>11.498879837432035</v>
      </c>
      <c r="HI64" s="28">
        <f t="shared" si="132"/>
        <v>4818.578217590567</v>
      </c>
      <c r="HJ64" s="28">
        <f t="shared" si="133"/>
        <v>27.925851033763511</v>
      </c>
      <c r="HK64" s="28">
        <f t="shared" si="134"/>
        <v>0</v>
      </c>
      <c r="HL64" s="28">
        <f t="shared" si="135"/>
        <v>7.1183541850769734</v>
      </c>
      <c r="HM64" s="28">
        <f t="shared" si="136"/>
        <v>18.61723402250901</v>
      </c>
      <c r="HN64" s="28">
        <f t="shared" si="137"/>
        <v>1.095131413088765</v>
      </c>
      <c r="HO64" s="28">
        <f t="shared" si="138"/>
        <v>0</v>
      </c>
      <c r="HP64" s="28">
        <f t="shared" si="139"/>
        <v>0</v>
      </c>
      <c r="HQ64" s="28">
        <f t="shared" si="140"/>
        <v>0</v>
      </c>
      <c r="HR64" s="28">
        <f t="shared" si="141"/>
        <v>0</v>
      </c>
      <c r="HT64" s="4">
        <f>IFERROR(GR64/'McDonough &amp; Sun 1995 values'!C$2,)</f>
        <v>182.52190218146086</v>
      </c>
      <c r="HU64" s="4">
        <f>IFERROR(GS64/'McDonough &amp; Sun 1995 values'!D$2,)</f>
        <v>255.53066305404525</v>
      </c>
      <c r="HV64" s="4">
        <f>IFERROR(GT64/'McDonough &amp; Sun 1995 values'!E$2,)</f>
        <v>4828.5339577095565</v>
      </c>
      <c r="HW64" s="4">
        <f>IFERROR(GU64/'McDonough &amp; Sun 1995 values'!F$2,)</f>
        <v>3319.8323340175143</v>
      </c>
      <c r="HX64" s="4">
        <f>IFERROR(GV64/'McDonough &amp; Sun 1995 values'!G$2,)</f>
        <v>2616.4469721578871</v>
      </c>
      <c r="HY64" s="4">
        <f>IFERROR(GW64/'McDonough &amp; Sun 1995 values'!H$2,)</f>
        <v>337.66551903570257</v>
      </c>
      <c r="HZ64" s="4">
        <f>IFERROR(GX64/'McDonough &amp; Sun 1995 values'!I$2,)</f>
        <v>1790.6878511316295</v>
      </c>
      <c r="IA64" s="4">
        <f>IFERROR(GY64/'McDonough &amp; Sun 1995 values'!J$2,)</f>
        <v>2846.0102072671552</v>
      </c>
      <c r="IB64" s="4">
        <f>IFERROR(GZ64/'McDonough &amp; Sun 1995 values'!K$2,)</f>
        <v>3591.2874271815217</v>
      </c>
      <c r="IC64" s="4">
        <f>IFERROR(HA64/'McDonough &amp; Sun 1995 values'!L$2,)</f>
        <v>1667.2149870903586</v>
      </c>
      <c r="ID64" s="4">
        <f>IFERROR(HB64/'McDonough &amp; Sun 1995 values'!M$2,)</f>
        <v>1019.679445651547</v>
      </c>
      <c r="IE64" s="4">
        <f>IFERROR(HC64/'McDonough &amp; Sun 1995 values'!N$2,)</f>
        <v>294.14459311354017</v>
      </c>
      <c r="IF64" s="4">
        <f>IFERROR(HD64/'McDonough &amp; Sun 1995 values'!O$2,)</f>
        <v>600.13201437264331</v>
      </c>
      <c r="IG64" s="4">
        <f>IFERROR(HE64/'McDonough &amp; Sun 1995 values'!P$2,)</f>
        <v>141.61182065802996</v>
      </c>
      <c r="IH64" s="4">
        <f>IFERROR(HF64/'McDonough &amp; Sun 1995 values'!Q$2,)</f>
        <v>25.153195000271992</v>
      </c>
      <c r="II64" s="4">
        <f>IFERROR(HG64/'McDonough &amp; Sun 1995 values'!R$2,)</f>
        <v>49.020168014449482</v>
      </c>
      <c r="IJ64" s="4">
        <f>IFERROR(HH64/'McDonough &amp; Sun 1995 values'!S$2,)</f>
        <v>74.66805089241582</v>
      </c>
      <c r="IK64" s="4">
        <f>IFERROR(HI64/'McDonough &amp; Sun 1995 values'!T$2,)</f>
        <v>3.9988200975855328</v>
      </c>
      <c r="IL64" s="4">
        <f>IFERROR(HJ64/'McDonough &amp; Sun 1995 values'!U$2,)</f>
        <v>51.334284988535863</v>
      </c>
      <c r="IM64" s="4">
        <f>IFERROR(HK64/'McDonough &amp; Sun 1995 values'!V$2,)</f>
        <v>0</v>
      </c>
      <c r="IN64" s="4">
        <f>IFERROR(HL64/'McDonough &amp; Sun 1995 values'!W$2,)</f>
        <v>10.561356357680969</v>
      </c>
      <c r="IO64" s="4">
        <f>IFERROR(HM64/'McDonough &amp; Sun 1995 values'!X$2,)</f>
        <v>4.3295893075602354</v>
      </c>
      <c r="IP64" s="4">
        <f>IFERROR(HN64/'McDonough &amp; Sun 1995 values'!Y$2,)</f>
        <v>7.3498752556292963</v>
      </c>
      <c r="IQ64" s="4">
        <f>IFERROR(HO64/'McDonough &amp; Sun 1995 values'!Z$2,)</f>
        <v>0</v>
      </c>
      <c r="IR64" s="4">
        <f>IFERROR(HP64/'McDonough &amp; Sun 1995 values'!AA$2,)</f>
        <v>0</v>
      </c>
      <c r="IS64" s="4">
        <f>IFERROR(HQ64/'McDonough &amp; Sun 1995 values'!AB$2,)</f>
        <v>0</v>
      </c>
      <c r="IT64" s="4">
        <f>IFERROR(HR64/'McDonough &amp; Sun 1995 values'!AC$2,)</f>
        <v>0</v>
      </c>
    </row>
    <row r="65" spans="1:254">
      <c r="A65" s="16" t="s">
        <v>1162</v>
      </c>
      <c r="B65" s="16" t="s">
        <v>24</v>
      </c>
      <c r="C65" s="16" t="str">
        <f t="shared" si="0"/>
        <v>high-Mg carbonatitic</v>
      </c>
      <c r="D65" s="16" t="s">
        <v>831</v>
      </c>
      <c r="E65" s="16" t="s">
        <v>801</v>
      </c>
      <c r="F65" s="16" t="s">
        <v>800</v>
      </c>
      <c r="G65" s="16" t="s">
        <v>829</v>
      </c>
      <c r="H65" s="27">
        <v>0</v>
      </c>
      <c r="I65" s="16" t="s">
        <v>712</v>
      </c>
      <c r="J65" s="16" t="s">
        <v>635</v>
      </c>
      <c r="K65" s="16" t="s">
        <v>1169</v>
      </c>
      <c r="L65" s="16">
        <v>0</v>
      </c>
      <c r="M65" s="16" t="s">
        <v>28</v>
      </c>
      <c r="N65" s="16">
        <v>46</v>
      </c>
      <c r="O65" s="26">
        <v>9.7425891864061249</v>
      </c>
      <c r="P65" s="26">
        <v>1.3140700197810151</v>
      </c>
      <c r="Q65" s="26">
        <v>0.44433851563340054</v>
      </c>
      <c r="R65" s="26">
        <v>1.8255084987250505</v>
      </c>
      <c r="S65" s="26">
        <v>13.194546124752661</v>
      </c>
      <c r="T65" s="26">
        <v>22.833600617353394</v>
      </c>
      <c r="U65" s="26">
        <v>0.54272016859155703</v>
      </c>
      <c r="V65" s="26">
        <v>21.321054087401823</v>
      </c>
      <c r="W65" s="26">
        <v>10.331197725736939</v>
      </c>
      <c r="X65" s="26">
        <v>9.6753055883217662</v>
      </c>
      <c r="Y65" s="26"/>
      <c r="Z65" s="26">
        <v>4.0447208985702723</v>
      </c>
      <c r="AA65" s="26">
        <v>1.5229472234724302</v>
      </c>
      <c r="AB65" s="26">
        <v>4.0696024843405407</v>
      </c>
      <c r="AC65" s="26"/>
      <c r="AD65" s="26">
        <v>2.1271661558425308</v>
      </c>
      <c r="AE65" s="26"/>
      <c r="AF65" s="26"/>
      <c r="AG65" s="26"/>
      <c r="AH65" s="26"/>
      <c r="AI65" s="26">
        <v>8.3000000000000007</v>
      </c>
      <c r="AJ65" s="26">
        <f t="shared" si="62"/>
        <v>100.47936138723212</v>
      </c>
      <c r="AK65" s="26">
        <f t="shared" si="73"/>
        <v>9.7426550573884043</v>
      </c>
      <c r="AL65" s="26">
        <f t="shared" si="74"/>
        <v>1.3140789043887238</v>
      </c>
      <c r="AM65" s="26">
        <f t="shared" si="75"/>
        <v>1.8255208412384902</v>
      </c>
      <c r="AN65" s="26">
        <f t="shared" si="76"/>
        <v>13.194635334889448</v>
      </c>
      <c r="AO65" s="26">
        <f t="shared" si="77"/>
        <v>22.83375499846019</v>
      </c>
      <c r="AP65" s="26">
        <f t="shared" si="78"/>
        <v>21.321198241973992</v>
      </c>
      <c r="AQ65" s="26">
        <f t="shared" si="79"/>
        <v>4.0696299994813323</v>
      </c>
      <c r="AR65" s="26">
        <f t="shared" si="80"/>
        <v>10.331267576382317</v>
      </c>
      <c r="AS65" s="26">
        <f t="shared" si="81"/>
        <v>9.6753710043904082</v>
      </c>
      <c r="AT65" s="26">
        <f t="shared" si="82"/>
        <v>4.0447482454832473</v>
      </c>
      <c r="AU65" s="26">
        <f t="shared" si="83"/>
        <v>2.1271805379047812</v>
      </c>
      <c r="AV65" s="26">
        <f t="shared" si="7"/>
        <v>100.48004074198134</v>
      </c>
      <c r="AW65" s="26">
        <v>25.3</v>
      </c>
      <c r="AX65" s="26">
        <v>6.4</v>
      </c>
      <c r="AY65" s="94"/>
      <c r="AZ65" s="94"/>
      <c r="BA65" s="26">
        <v>0.62</v>
      </c>
      <c r="BB65" s="26"/>
      <c r="BC65" s="26">
        <f>(AX65/18.02)/((AX65/18.02)+(AW65/44.01))</f>
        <v>0.38188104179942239</v>
      </c>
      <c r="BD65" s="26">
        <f>(AW65/44.01)/((AX65/18.02)+(AW65/44.01))</f>
        <v>0.6181189582005775</v>
      </c>
      <c r="BE65" s="16"/>
      <c r="BF65" s="16"/>
      <c r="BG65" s="16"/>
      <c r="BH65" s="16"/>
      <c r="BI65" s="16"/>
      <c r="BJ65" s="16"/>
      <c r="BK65" s="18"/>
      <c r="BL65" s="18"/>
      <c r="BM65" s="18"/>
      <c r="BN65" s="18"/>
      <c r="BO65" s="18"/>
      <c r="BP65" s="18"/>
      <c r="BQ65" s="18"/>
      <c r="BR65" s="18">
        <v>137</v>
      </c>
      <c r="BS65" s="18"/>
      <c r="BT65" s="18">
        <v>14.2</v>
      </c>
      <c r="BU65" s="18"/>
      <c r="BV65" s="18"/>
      <c r="BW65" s="18"/>
      <c r="BX65" s="18"/>
      <c r="BY65" s="18"/>
      <c r="BZ65" s="18"/>
      <c r="CA65" s="18"/>
      <c r="CB65" s="18"/>
      <c r="CC65" s="18"/>
      <c r="CD65" s="18"/>
      <c r="CE65" s="18"/>
      <c r="CF65" s="18"/>
      <c r="CG65" s="18"/>
      <c r="CH65" s="18">
        <v>0.34699999999999998</v>
      </c>
      <c r="CI65" s="18">
        <v>8.7100000000000009</v>
      </c>
      <c r="CJ65" s="18">
        <v>6.0999999999999999E-2</v>
      </c>
      <c r="CK65" s="18">
        <v>1.17</v>
      </c>
      <c r="CL65" s="18"/>
      <c r="CM65" s="18">
        <v>2.2799999999999998</v>
      </c>
      <c r="CN65" s="18"/>
      <c r="CO65" s="18"/>
      <c r="CP65" s="18"/>
      <c r="CQ65" s="18"/>
      <c r="CR65" s="18">
        <v>7.0000000000000001E-3</v>
      </c>
      <c r="CS65" s="18">
        <v>43.9</v>
      </c>
      <c r="CT65" s="18"/>
      <c r="CU65" s="18">
        <v>2.82</v>
      </c>
      <c r="CV65" s="18">
        <v>3.3</v>
      </c>
      <c r="CW65" s="18">
        <v>0.317</v>
      </c>
      <c r="CX65" s="18">
        <v>1.26</v>
      </c>
      <c r="CY65" s="18">
        <v>9.6000000000000002E-2</v>
      </c>
      <c r="CZ65" s="18">
        <v>2.1999999999999999E-2</v>
      </c>
      <c r="DA65" s="18">
        <v>4.7E-2</v>
      </c>
      <c r="DB65" s="18">
        <v>1.7999999999999999E-2</v>
      </c>
      <c r="DC65" s="18">
        <v>3.0000000000000001E-3</v>
      </c>
      <c r="DD65" s="18">
        <v>8.0000000000000002E-3</v>
      </c>
      <c r="DE65" s="18"/>
      <c r="DF65" s="18">
        <v>0</v>
      </c>
      <c r="DG65" s="18"/>
      <c r="DH65" s="18">
        <v>2.1999999999999999E-2</v>
      </c>
      <c r="DI65" s="18">
        <v>8.4000000000000005E-2</v>
      </c>
      <c r="DJ65" s="18"/>
      <c r="DK65" s="18"/>
      <c r="DL65" s="18">
        <v>0.371</v>
      </c>
      <c r="DM65" s="18">
        <v>7.2999999999999995E-2</v>
      </c>
      <c r="DN65" s="18"/>
      <c r="DO65" s="18"/>
      <c r="DP65" s="18"/>
      <c r="DQ65" s="18"/>
      <c r="DR65" s="18"/>
      <c r="DS65" s="18"/>
      <c r="DT65" s="18"/>
      <c r="DU65" s="18"/>
      <c r="DV65" s="28"/>
      <c r="DW65" s="28"/>
      <c r="DX65" s="28"/>
      <c r="DY65" s="28"/>
      <c r="DZ65" s="28"/>
      <c r="EA65" s="28"/>
      <c r="EB65" s="28"/>
      <c r="EC65" s="28"/>
      <c r="ED65" s="28"/>
      <c r="EE65" s="28"/>
      <c r="EF65" s="28"/>
      <c r="EG65" s="28"/>
      <c r="EH65" s="28"/>
      <c r="EI65" s="28"/>
      <c r="EJ65" s="18"/>
      <c r="EK65" s="18"/>
      <c r="EL65" s="18">
        <f>IFERROR(CR65/'McDonough &amp; Sun 1995 values'!C$2,)</f>
        <v>0.33333333333333331</v>
      </c>
      <c r="EM65" s="18">
        <f>IFERROR(CH65/'McDonough &amp; Sun 1995 values'!D$2,)</f>
        <v>0.57833333333333337</v>
      </c>
      <c r="EN65" s="18">
        <f>IFERROR(CS65/'McDonough &amp; Sun 1995 values'!E$2,)</f>
        <v>6.6515151515151514</v>
      </c>
      <c r="EO65" s="18">
        <f>IFERROR(DL65/'McDonough &amp; Sun 1995 values'!F$2,)</f>
        <v>4.666666666666667</v>
      </c>
      <c r="EP65" s="18">
        <f>IFERROR(DM65/'McDonough &amp; Sun 1995 values'!G$2,)</f>
        <v>3.5960591133004924</v>
      </c>
      <c r="EQ65" s="18">
        <f>IFERROR(BR65/'McDonough &amp; Sun 1995 values'!H$2,)</f>
        <v>0.5708333333333333</v>
      </c>
      <c r="ER65" s="18">
        <f>IFERROR(DI65/'McDonough &amp; Sun 1995 values'!I$2,)</f>
        <v>2.2702702702702706</v>
      </c>
      <c r="ES65" s="18">
        <f>IFERROR(CM65/'McDonough &amp; Sun 1995 values'!J$2,)</f>
        <v>3.4650455927051667</v>
      </c>
      <c r="ET65" s="18">
        <f>IFERROR(CU65/'McDonough &amp; Sun 1995 values'!K$2,)</f>
        <v>4.3518518518518512</v>
      </c>
      <c r="EU65" s="18">
        <f>IFERROR(CV65/'McDonough &amp; Sun 1995 values'!L$2,)</f>
        <v>1.9701492537313432</v>
      </c>
      <c r="EV65" s="18">
        <f>IFERROR(CW65/'McDonough &amp; Sun 1995 values'!M$2,)</f>
        <v>1.2480314960629921</v>
      </c>
      <c r="EW65" s="18">
        <f>IFERROR(CI65/'McDonough &amp; Sun 1995 values'!N$2,)</f>
        <v>0.43768844221105535</v>
      </c>
      <c r="EX65" s="18">
        <f>IFERROR(CX65/'McDonough &amp; Sun 1995 values'!O$2,)</f>
        <v>1.008</v>
      </c>
      <c r="EY65" s="18">
        <f>IFERROR(CY65/'McDonough &amp; Sun 1995 values'!P$2,)</f>
        <v>0.23645320197044334</v>
      </c>
      <c r="EZ65" s="18">
        <f>IFERROR(DH65/'McDonough &amp; Sun 1995 values'!Q$2,)</f>
        <v>7.7738515901060068E-2</v>
      </c>
      <c r="FA65" s="18">
        <f>IFERROR(CK65/'McDonough &amp; Sun 1995 values'!R$2,)</f>
        <v>0.11142857142857142</v>
      </c>
      <c r="FB65" s="18">
        <f>IFERROR(CZ65/'McDonough &amp; Sun 1995 values'!S$2,)</f>
        <v>0.14285714285714285</v>
      </c>
      <c r="FC65" s="18">
        <f>IFERROR(BT65/'McDonough &amp; Sun 1995 values'!T$2,)</f>
        <v>1.1784232365145227E-2</v>
      </c>
      <c r="FD65" s="18">
        <f>IFERROR(DA65/'McDonough &amp; Sun 1995 values'!U$2,)</f>
        <v>8.639705882352941E-2</v>
      </c>
      <c r="FE65" s="18">
        <f>IFERROR(DN65/'McDonough &amp; Sun 1995 values'!V$2,)</f>
        <v>0</v>
      </c>
      <c r="FF65" s="18">
        <f>IFERROR(DB65/'McDonough &amp; Sun 1995 values'!W$2,)</f>
        <v>2.670623145400593E-2</v>
      </c>
      <c r="FG65" s="18">
        <f>IFERROR(CJ65/'McDonough &amp; Sun 1995 values'!X$2,)</f>
        <v>1.4186046511627907E-2</v>
      </c>
      <c r="FH65" s="18">
        <f>IFERROR(DC65/'McDonough &amp; Sun 1995 values'!Y$2,)</f>
        <v>2.0134228187919465E-2</v>
      </c>
      <c r="FI65" s="18">
        <f>IFERROR(DD65/'McDonough &amp; Sun 1995 values'!Z$2,)</f>
        <v>1.8264840182648401E-2</v>
      </c>
      <c r="FJ65" s="18">
        <f>IFERROR(DE65/'McDonough &amp; Sun 1995 values'!AA$2,)</f>
        <v>0</v>
      </c>
      <c r="FK65" s="18">
        <f>IFERROR(DF65/'McDonough &amp; Sun 1995 values'!AB$2,)</f>
        <v>0</v>
      </c>
      <c r="FL65" s="18">
        <f>IFERROR(DG65/'McDonough &amp; Sun 1995 values'!AC$2,)</f>
        <v>0</v>
      </c>
      <c r="FN65" s="28">
        <f t="shared" si="68"/>
        <v>6.2996655999424691</v>
      </c>
      <c r="FO65" s="4">
        <f t="shared" si="86"/>
        <v>1.8496679119966792</v>
      </c>
      <c r="FP65" s="4">
        <f t="shared" si="87"/>
        <v>1.3467836257309944</v>
      </c>
      <c r="FQ65" s="4">
        <f t="shared" si="88"/>
        <v>1.2977168949771691</v>
      </c>
      <c r="FR65" s="4">
        <f t="shared" si="89"/>
        <v>1.2559291747888239</v>
      </c>
      <c r="FS65" s="4">
        <f t="shared" si="90"/>
        <v>1.916887125220458</v>
      </c>
      <c r="FT65" s="4">
        <f t="shared" si="91"/>
        <v>1.7350000000000001</v>
      </c>
      <c r="FU65" s="4">
        <f t="shared" si="92"/>
        <v>0.65519203413940275</v>
      </c>
      <c r="FV65" s="4">
        <f t="shared" si="93"/>
        <v>0.47125</v>
      </c>
      <c r="FW65" s="4">
        <f t="shared" si="94"/>
        <v>1.4333766233766232</v>
      </c>
      <c r="FX65" s="4">
        <f t="shared" si="95"/>
        <v>0.88497461644181419</v>
      </c>
      <c r="FY65" s="4">
        <f t="shared" si="96"/>
        <v>0.39023124521776725</v>
      </c>
      <c r="FZ65" s="4">
        <f t="shared" si="97"/>
        <v>0.99949328600749621</v>
      </c>
      <c r="GA65" s="4">
        <f t="shared" si="98"/>
        <v>0.35070304202400021</v>
      </c>
      <c r="GB65" s="4">
        <f t="shared" si="99"/>
        <v>0.60416666666666663</v>
      </c>
      <c r="GC65" s="4">
        <f t="shared" si="100"/>
        <v>0.57636887608069154</v>
      </c>
      <c r="GD65" s="4">
        <f t="shared" si="101"/>
        <v>1.4253246753246751</v>
      </c>
      <c r="GE65" s="4">
        <f t="shared" si="102"/>
        <v>11.501178936337437</v>
      </c>
      <c r="GF65" s="4">
        <f t="shared" si="103"/>
        <v>11.652289316522893</v>
      </c>
      <c r="GG65" s="4">
        <f t="shared" si="104"/>
        <v>1.9196039340776185</v>
      </c>
      <c r="GH65" s="4">
        <f t="shared" si="105"/>
        <v>3.4869727771935968</v>
      </c>
      <c r="GI65" s="4">
        <f t="shared" si="106"/>
        <v>18.404706790123456</v>
      </c>
      <c r="GJ65" s="4">
        <f t="shared" si="107"/>
        <v>162.95267489711935</v>
      </c>
      <c r="GK65" s="4">
        <f t="shared" si="108"/>
        <v>0</v>
      </c>
      <c r="GL65" s="4">
        <f t="shared" si="109"/>
        <v>9.4557344064386317</v>
      </c>
      <c r="GM65" s="4">
        <f t="shared" si="110"/>
        <v>8.0691642651296824</v>
      </c>
      <c r="GN65" s="4">
        <f t="shared" si="111"/>
        <v>0.79622324257905974</v>
      </c>
      <c r="GO65" s="4">
        <f t="shared" si="112"/>
        <v>0.96356747303992996</v>
      </c>
      <c r="GP65" s="4">
        <f t="shared" si="113"/>
        <v>0.15873858447488584</v>
      </c>
      <c r="GQ65" s="27">
        <f t="shared" si="114"/>
        <v>80318.864076558646</v>
      </c>
      <c r="GR65" s="28">
        <f t="shared" si="115"/>
        <v>4.1038835659555515</v>
      </c>
      <c r="GS65" s="28">
        <f t="shared" si="116"/>
        <v>203.43537105522518</v>
      </c>
      <c r="GT65" s="28">
        <f t="shared" si="117"/>
        <v>25737.212649349811</v>
      </c>
      <c r="GU65" s="28">
        <f t="shared" si="118"/>
        <v>217.50582899564421</v>
      </c>
      <c r="GV65" s="28">
        <f t="shared" si="119"/>
        <v>42.797642902107889</v>
      </c>
      <c r="GW65" s="28">
        <f t="shared" si="120"/>
        <v>80318.864076558646</v>
      </c>
      <c r="GX65" s="28">
        <f t="shared" si="121"/>
        <v>49.246602791466614</v>
      </c>
      <c r="GY65" s="28">
        <f t="shared" si="122"/>
        <v>1336.693504339808</v>
      </c>
      <c r="GZ65" s="28">
        <f t="shared" si="123"/>
        <v>1653.2788079992363</v>
      </c>
      <c r="HA65" s="28">
        <f t="shared" si="124"/>
        <v>1934.6879668076169</v>
      </c>
      <c r="HB65" s="28">
        <f t="shared" si="125"/>
        <v>185.84729862970141</v>
      </c>
      <c r="HC65" s="28">
        <f t="shared" si="126"/>
        <v>5106.4036942104076</v>
      </c>
      <c r="HD65" s="28">
        <f t="shared" si="127"/>
        <v>738.69904187199927</v>
      </c>
      <c r="HE65" s="28">
        <f t="shared" si="128"/>
        <v>56.281831761676131</v>
      </c>
      <c r="HF65" s="28">
        <f t="shared" si="129"/>
        <v>12.897919778717448</v>
      </c>
      <c r="HG65" s="28">
        <f t="shared" si="130"/>
        <v>685.93482459542781</v>
      </c>
      <c r="HH65" s="28">
        <f t="shared" si="131"/>
        <v>12.897919778717448</v>
      </c>
      <c r="HI65" s="28">
        <f t="shared" si="132"/>
        <v>8325.0209480812609</v>
      </c>
      <c r="HJ65" s="28">
        <f t="shared" si="133"/>
        <v>27.554646799987275</v>
      </c>
      <c r="HK65" s="28">
        <f t="shared" si="134"/>
        <v>0</v>
      </c>
      <c r="HL65" s="28">
        <f t="shared" si="135"/>
        <v>10.552843455314274</v>
      </c>
      <c r="HM65" s="28">
        <f t="shared" si="136"/>
        <v>35.762413931898372</v>
      </c>
      <c r="HN65" s="28">
        <f t="shared" si="137"/>
        <v>1.7588072425523791</v>
      </c>
      <c r="HO65" s="28">
        <f t="shared" si="138"/>
        <v>4.6901526468063448</v>
      </c>
      <c r="HP65" s="28">
        <f t="shared" si="139"/>
        <v>0</v>
      </c>
      <c r="HQ65" s="28">
        <f t="shared" si="140"/>
        <v>0</v>
      </c>
      <c r="HR65" s="28">
        <f t="shared" si="141"/>
        <v>0</v>
      </c>
      <c r="HT65" s="4">
        <f>IFERROR(GR65/'McDonough &amp; Sun 1995 values'!C$2,)</f>
        <v>195.42302695026436</v>
      </c>
      <c r="HU65" s="4">
        <f>IFERROR(GS65/'McDonough &amp; Sun 1995 values'!D$2,)</f>
        <v>339.05895175870864</v>
      </c>
      <c r="HV65" s="4">
        <f>IFERROR(GT65/'McDonough &amp; Sun 1995 values'!E$2,)</f>
        <v>3899.5776741439108</v>
      </c>
      <c r="HW65" s="4">
        <f>IFERROR(GU65/'McDonough &amp; Sun 1995 values'!F$2,)</f>
        <v>2735.9223773037006</v>
      </c>
      <c r="HX65" s="4">
        <f>IFERROR(GV65/'McDonough &amp; Sun 1995 values'!G$2,)</f>
        <v>2108.2582710397978</v>
      </c>
      <c r="HY65" s="4">
        <f>IFERROR(GW65/'McDonough &amp; Sun 1995 values'!H$2,)</f>
        <v>334.66193365232772</v>
      </c>
      <c r="HZ65" s="4">
        <f>IFERROR(GX65/'McDonough &amp; Sun 1995 values'!I$2,)</f>
        <v>1330.989264634233</v>
      </c>
      <c r="IA65" s="4">
        <f>IFERROR(GY65/'McDonough &amp; Sun 1995 values'!J$2,)</f>
        <v>2031.4490947413494</v>
      </c>
      <c r="IB65" s="4">
        <f>IFERROR(GZ65/'McDonough &amp; Sun 1995 values'!K$2,)</f>
        <v>2551.3561851840063</v>
      </c>
      <c r="IC65" s="4">
        <f>IFERROR(HA65/'McDonough &amp; Sun 1995 values'!L$2,)</f>
        <v>1155.0375921239504</v>
      </c>
      <c r="ID65" s="4">
        <f>IFERROR(HB65/'McDonough &amp; Sun 1995 values'!M$2,)</f>
        <v>731.6822780696906</v>
      </c>
      <c r="IE65" s="4">
        <f>IFERROR(HC65/'McDonough &amp; Sun 1995 values'!N$2,)</f>
        <v>256.60320071409086</v>
      </c>
      <c r="IF65" s="4">
        <f>IFERROR(HD65/'McDonough &amp; Sun 1995 values'!O$2,)</f>
        <v>590.95923349759937</v>
      </c>
      <c r="IG65" s="4">
        <f>IFERROR(HE65/'McDonough &amp; Sun 1995 values'!P$2,)</f>
        <v>138.62520138343874</v>
      </c>
      <c r="IH65" s="4">
        <f>IFERROR(HF65/'McDonough &amp; Sun 1995 values'!Q$2,)</f>
        <v>45.575688264019256</v>
      </c>
      <c r="II65" s="4">
        <f>IFERROR(HG65/'McDonough &amp; Sun 1995 values'!R$2,)</f>
        <v>65.327126151945507</v>
      </c>
      <c r="IJ65" s="4">
        <f>IFERROR(HH65/'McDonough &amp; Sun 1995 values'!S$2,)</f>
        <v>83.75272583582759</v>
      </c>
      <c r="IK65" s="4">
        <f>IFERROR(HI65/'McDonough &amp; Sun 1995 values'!T$2,)</f>
        <v>6.9087310772458599</v>
      </c>
      <c r="IL65" s="4">
        <f>IFERROR(HJ65/'McDonough &amp; Sun 1995 values'!U$2,)</f>
        <v>50.651924264682485</v>
      </c>
      <c r="IM65" s="4">
        <f>IFERROR(HK65/'McDonough &amp; Sun 1995 values'!V$2,)</f>
        <v>0</v>
      </c>
      <c r="IN65" s="4">
        <f>IFERROR(HL65/'McDonough &amp; Sun 1995 values'!W$2,)</f>
        <v>15.657037767528596</v>
      </c>
      <c r="IO65" s="4">
        <f>IFERROR(HM65/'McDonough &amp; Sun 1995 values'!X$2,)</f>
        <v>8.3168404492786916</v>
      </c>
      <c r="IP65" s="4">
        <f>IFERROR(HN65/'McDonough &amp; Sun 1995 values'!Y$2,)</f>
        <v>11.804075453371672</v>
      </c>
      <c r="IQ65" s="4">
        <f>IFERROR(HO65/'McDonough &amp; Sun 1995 values'!Z$2,)</f>
        <v>10.708111065767911</v>
      </c>
      <c r="IR65" s="4">
        <f>IFERROR(HP65/'McDonough &amp; Sun 1995 values'!AA$2,)</f>
        <v>0</v>
      </c>
      <c r="IS65" s="4">
        <f>IFERROR(HQ65/'McDonough &amp; Sun 1995 values'!AB$2,)</f>
        <v>0</v>
      </c>
      <c r="IT65" s="4">
        <f>IFERROR(HR65/'McDonough &amp; Sun 1995 values'!AC$2,)</f>
        <v>0</v>
      </c>
    </row>
    <row r="66" spans="1:254">
      <c r="A66" s="16" t="s">
        <v>1162</v>
      </c>
      <c r="B66" s="16" t="s">
        <v>24</v>
      </c>
      <c r="C66" s="16" t="str">
        <f t="shared" ref="C66:C129" si="144">_xlfn.IFS(AND(AU66&gt;=15),"saline",AND(AK66&gt;=40,AU66&lt;=15),"silicic",AND(AK66&lt;=40,AK66&gt;=20,AO66&lt;=15,AU66&lt;=15),"silicic - low-Mg carbonatitic",AND(AO66&lt;15,AP66&gt;=15,AK66&lt;=20,AU66&lt;=15),"low-Mg carbonatitic",AND(AO66&gt;=15,AK66&lt;=20),"high-Mg carbonatitic")</f>
        <v>high-Mg carbonatitic</v>
      </c>
      <c r="D66" s="16" t="s">
        <v>831</v>
      </c>
      <c r="E66" s="16" t="s">
        <v>801</v>
      </c>
      <c r="F66" s="16" t="s">
        <v>800</v>
      </c>
      <c r="G66" s="16" t="s">
        <v>829</v>
      </c>
      <c r="H66" s="27">
        <v>0</v>
      </c>
      <c r="I66" s="16" t="s">
        <v>712</v>
      </c>
      <c r="J66" s="16" t="s">
        <v>635</v>
      </c>
      <c r="K66" s="16" t="s">
        <v>1169</v>
      </c>
      <c r="L66" s="16">
        <v>0</v>
      </c>
      <c r="M66" s="16" t="s">
        <v>830</v>
      </c>
      <c r="N66" s="16">
        <v>45</v>
      </c>
      <c r="O66" s="26">
        <v>11.748905196425211</v>
      </c>
      <c r="P66" s="26">
        <v>2.7697106451333871</v>
      </c>
      <c r="Q66" s="26">
        <v>0.32346398886124361</v>
      </c>
      <c r="R66" s="26">
        <v>2.1803095104975632</v>
      </c>
      <c r="S66" s="26">
        <v>10.852292116059036</v>
      </c>
      <c r="T66" s="26">
        <v>22.990527570962897</v>
      </c>
      <c r="U66" s="26">
        <v>0.69096098571790321</v>
      </c>
      <c r="V66" s="26">
        <v>22.699440250407555</v>
      </c>
      <c r="W66" s="26">
        <v>9.0126365736777778</v>
      </c>
      <c r="X66" s="26">
        <v>9.8501808757333897</v>
      </c>
      <c r="Y66" s="26"/>
      <c r="Z66" s="26">
        <v>2.7020859578152661</v>
      </c>
      <c r="AA66" s="26">
        <v>1.5021302384934305</v>
      </c>
      <c r="AB66" s="26">
        <v>3.097162264440533</v>
      </c>
      <c r="AC66" s="26"/>
      <c r="AD66" s="26">
        <v>2.7067123956029771</v>
      </c>
      <c r="AE66" s="26"/>
      <c r="AF66" s="26"/>
      <c r="AG66" s="26"/>
      <c r="AH66" s="26"/>
      <c r="AI66" s="26">
        <v>7.6</v>
      </c>
      <c r="AJ66" s="26">
        <f t="shared" ref="AJ66:AJ129" si="145">SUM(O66:P66,R66:T66,V66:X66,Z66,AB66,AD66)</f>
        <v>100.6099633567556</v>
      </c>
      <c r="AK66" s="26">
        <f t="shared" si="73"/>
        <v>11.749006274892151</v>
      </c>
      <c r="AL66" s="26">
        <f t="shared" si="74"/>
        <v>2.7697344735753733</v>
      </c>
      <c r="AM66" s="26">
        <f t="shared" si="75"/>
        <v>2.1803282681893728</v>
      </c>
      <c r="AN66" s="26">
        <f t="shared" si="76"/>
        <v>10.852385480762516</v>
      </c>
      <c r="AO66" s="26">
        <f t="shared" si="77"/>
        <v>22.990725363628865</v>
      </c>
      <c r="AP66" s="26">
        <f t="shared" si="78"/>
        <v>22.699635538784008</v>
      </c>
      <c r="AQ66" s="26">
        <f t="shared" si="79"/>
        <v>3.0971889100222549</v>
      </c>
      <c r="AR66" s="26">
        <f t="shared" si="80"/>
        <v>9.0127141114119507</v>
      </c>
      <c r="AS66" s="26">
        <f t="shared" si="81"/>
        <v>9.8502656190490736</v>
      </c>
      <c r="AT66" s="26">
        <f t="shared" si="82"/>
        <v>2.7021092044668977</v>
      </c>
      <c r="AU66" s="26">
        <f t="shared" si="83"/>
        <v>2.7067356820568911</v>
      </c>
      <c r="AV66" s="26">
        <f t="shared" ref="AV66:AV129" si="146">SUM(AK66:AU66)</f>
        <v>100.61082892683935</v>
      </c>
      <c r="AW66" s="26">
        <v>25.2</v>
      </c>
      <c r="AX66" s="26">
        <v>7.2</v>
      </c>
      <c r="AY66" s="94"/>
      <c r="AZ66" s="94"/>
      <c r="BA66" s="26">
        <v>0.59</v>
      </c>
      <c r="BB66" s="26"/>
      <c r="BC66" s="26">
        <f>(AX66/18.02)/((AX66/18.02)+(AW66/44.01))</f>
        <v>0.41100112065745237</v>
      </c>
      <c r="BD66" s="26">
        <f>(AW66/44.01)/((AX66/18.02)+(AW66/44.01))</f>
        <v>0.58899887934254758</v>
      </c>
      <c r="BE66" s="16"/>
      <c r="BF66" s="16"/>
      <c r="BG66" s="16"/>
      <c r="BH66" s="16"/>
      <c r="BI66" s="16"/>
      <c r="BJ66" s="16"/>
      <c r="BK66" s="18"/>
      <c r="BL66" s="18"/>
      <c r="BM66" s="18"/>
      <c r="BN66" s="18"/>
      <c r="BO66" s="18"/>
      <c r="BP66" s="18"/>
      <c r="BQ66" s="18"/>
      <c r="BR66" s="18">
        <v>136</v>
      </c>
      <c r="BS66" s="18"/>
      <c r="BT66" s="18">
        <v>22.9</v>
      </c>
      <c r="BU66" s="18"/>
      <c r="BV66" s="18"/>
      <c r="BW66" s="18"/>
      <c r="BX66" s="18"/>
      <c r="BY66" s="18"/>
      <c r="BZ66" s="18"/>
      <c r="CA66" s="18"/>
      <c r="CB66" s="18"/>
      <c r="CC66" s="18"/>
      <c r="CD66" s="18"/>
      <c r="CE66" s="18"/>
      <c r="CF66" s="18"/>
      <c r="CG66" s="18"/>
      <c r="CH66" s="18">
        <v>0.25</v>
      </c>
      <c r="CI66" s="18">
        <v>5.68</v>
      </c>
      <c r="CJ66" s="18">
        <v>8.1000000000000003E-2</v>
      </c>
      <c r="CK66" s="18">
        <v>0.48</v>
      </c>
      <c r="CL66" s="18"/>
      <c r="CM66" s="18">
        <v>1.7</v>
      </c>
      <c r="CN66" s="18"/>
      <c r="CO66" s="18"/>
      <c r="CP66" s="18"/>
      <c r="CQ66" s="18"/>
      <c r="CR66" s="18">
        <v>7.0000000000000001E-3</v>
      </c>
      <c r="CS66" s="18">
        <v>49.2</v>
      </c>
      <c r="CT66" s="18"/>
      <c r="CU66" s="18">
        <v>3.66</v>
      </c>
      <c r="CV66" s="18">
        <v>4.2</v>
      </c>
      <c r="CW66" s="18">
        <v>0.34100000000000003</v>
      </c>
      <c r="CX66" s="18">
        <v>0.97</v>
      </c>
      <c r="CY66" s="18">
        <v>6.2E-2</v>
      </c>
      <c r="CZ66" s="18">
        <v>1.2999999999999999E-2</v>
      </c>
      <c r="DA66" s="18">
        <v>4.4999999999999998E-2</v>
      </c>
      <c r="DB66" s="18">
        <v>2.1000000000000001E-2</v>
      </c>
      <c r="DC66" s="18">
        <v>5.0000000000000001E-3</v>
      </c>
      <c r="DD66" s="18">
        <v>8.0000000000000002E-3</v>
      </c>
      <c r="DE66" s="18"/>
      <c r="DF66" s="18">
        <v>0</v>
      </c>
      <c r="DG66" s="18">
        <v>2E-3</v>
      </c>
      <c r="DH66" s="18">
        <v>1.4999999999999999E-2</v>
      </c>
      <c r="DI66" s="18">
        <v>2.1999999999999999E-2</v>
      </c>
      <c r="DJ66" s="18"/>
      <c r="DK66" s="18"/>
      <c r="DL66" s="18">
        <v>0.44800000000000001</v>
      </c>
      <c r="DM66" s="18">
        <v>8.6999999999999994E-2</v>
      </c>
      <c r="DN66" s="18"/>
      <c r="DO66" s="18"/>
      <c r="DP66" s="18"/>
      <c r="DQ66" s="18"/>
      <c r="DR66" s="18"/>
      <c r="DS66" s="18"/>
      <c r="DT66" s="18"/>
      <c r="DU66" s="18"/>
      <c r="DV66" s="28"/>
      <c r="DW66" s="28"/>
      <c r="DX66" s="28"/>
      <c r="DY66" s="28"/>
      <c r="DZ66" s="28"/>
      <c r="EA66" s="28"/>
      <c r="EB66" s="28"/>
      <c r="EC66" s="28"/>
      <c r="ED66" s="28"/>
      <c r="EE66" s="28"/>
      <c r="EF66" s="28"/>
      <c r="EG66" s="28"/>
      <c r="EH66" s="28"/>
      <c r="EI66" s="28"/>
      <c r="EJ66" s="18"/>
      <c r="EK66" s="18"/>
      <c r="EL66" s="18">
        <f>IFERROR(CR66/'McDonough &amp; Sun 1995 values'!C$2,)</f>
        <v>0.33333333333333331</v>
      </c>
      <c r="EM66" s="18">
        <f>IFERROR(CH66/'McDonough &amp; Sun 1995 values'!D$2,)</f>
        <v>0.41666666666666669</v>
      </c>
      <c r="EN66" s="18">
        <f>IFERROR(CS66/'McDonough &amp; Sun 1995 values'!E$2,)</f>
        <v>7.454545454545455</v>
      </c>
      <c r="EO66" s="18">
        <f>IFERROR(DL66/'McDonough &amp; Sun 1995 values'!F$2,)</f>
        <v>5.6352201257861632</v>
      </c>
      <c r="EP66" s="18">
        <f>IFERROR(DM66/'McDonough &amp; Sun 1995 values'!G$2,)</f>
        <v>4.2857142857142856</v>
      </c>
      <c r="EQ66" s="18">
        <f>IFERROR(BR66/'McDonough &amp; Sun 1995 values'!H$2,)</f>
        <v>0.56666666666666665</v>
      </c>
      <c r="ER66" s="18">
        <f>IFERROR(DI66/'McDonough &amp; Sun 1995 values'!I$2,)</f>
        <v>0.59459459459459463</v>
      </c>
      <c r="ES66" s="18">
        <f>IFERROR(CM66/'McDonough &amp; Sun 1995 values'!J$2,)</f>
        <v>2.5835866261398173</v>
      </c>
      <c r="ET66" s="18">
        <f>IFERROR(CU66/'McDonough &amp; Sun 1995 values'!K$2,)</f>
        <v>5.6481481481481479</v>
      </c>
      <c r="EU66" s="18">
        <f>IFERROR(CV66/'McDonough &amp; Sun 1995 values'!L$2,)</f>
        <v>2.5074626865671643</v>
      </c>
      <c r="EV66" s="18">
        <f>IFERROR(CW66/'McDonough &amp; Sun 1995 values'!M$2,)</f>
        <v>1.3425196850393701</v>
      </c>
      <c r="EW66" s="18">
        <f>IFERROR(CI66/'McDonough &amp; Sun 1995 values'!N$2,)</f>
        <v>0.28542713567839195</v>
      </c>
      <c r="EX66" s="18">
        <f>IFERROR(CX66/'McDonough &amp; Sun 1995 values'!O$2,)</f>
        <v>0.77600000000000002</v>
      </c>
      <c r="EY66" s="18">
        <f>IFERROR(CY66/'McDonough &amp; Sun 1995 values'!P$2,)</f>
        <v>0.15270935960591131</v>
      </c>
      <c r="EZ66" s="18">
        <f>IFERROR(DH66/'McDonough &amp; Sun 1995 values'!Q$2,)</f>
        <v>5.3003533568904596E-2</v>
      </c>
      <c r="FA66" s="18">
        <f>IFERROR(CK66/'McDonough &amp; Sun 1995 values'!R$2,)</f>
        <v>4.5714285714285714E-2</v>
      </c>
      <c r="FB66" s="18">
        <f>IFERROR(CZ66/'McDonough &amp; Sun 1995 values'!S$2,)</f>
        <v>8.4415584415584416E-2</v>
      </c>
      <c r="FC66" s="18">
        <f>IFERROR(BT66/'McDonough &amp; Sun 1995 values'!T$2,)</f>
        <v>1.9004149377593361E-2</v>
      </c>
      <c r="FD66" s="18">
        <f>IFERROR(DA66/'McDonough &amp; Sun 1995 values'!U$2,)</f>
        <v>8.2720588235294115E-2</v>
      </c>
      <c r="FE66" s="18">
        <f>IFERROR(DN66/'McDonough &amp; Sun 1995 values'!V$2,)</f>
        <v>0</v>
      </c>
      <c r="FF66" s="18">
        <f>IFERROR(DB66/'McDonough &amp; Sun 1995 values'!W$2,)</f>
        <v>3.1157270029673591E-2</v>
      </c>
      <c r="FG66" s="18">
        <f>IFERROR(CJ66/'McDonough &amp; Sun 1995 values'!X$2,)</f>
        <v>1.8837209302325582E-2</v>
      </c>
      <c r="FH66" s="18">
        <f>IFERROR(DC66/'McDonough &amp; Sun 1995 values'!Y$2,)</f>
        <v>3.3557046979865772E-2</v>
      </c>
      <c r="FI66" s="18">
        <f>IFERROR(DD66/'McDonough &amp; Sun 1995 values'!Z$2,)</f>
        <v>1.8264840182648401E-2</v>
      </c>
      <c r="FJ66" s="18">
        <f>IFERROR(DE66/'McDonough &amp; Sun 1995 values'!AA$2,)</f>
        <v>0</v>
      </c>
      <c r="FK66" s="18">
        <f>IFERROR(DF66/'McDonough &amp; Sun 1995 values'!AB$2,)</f>
        <v>0</v>
      </c>
      <c r="FL66" s="18">
        <f>IFERROR(DG66/'McDonough &amp; Sun 1995 values'!AC$2,)</f>
        <v>2.9629629629629627E-2</v>
      </c>
      <c r="FN66" s="28">
        <f t="shared" si="68"/>
        <v>7.5630252100840334</v>
      </c>
      <c r="FO66" s="4">
        <f t="shared" si="86"/>
        <v>1.7393939393939395</v>
      </c>
      <c r="FP66" s="4">
        <f t="shared" si="87"/>
        <v>2.1811616722160565</v>
      </c>
      <c r="FQ66" s="4">
        <f t="shared" si="88"/>
        <v>1.3148846960167715</v>
      </c>
      <c r="FR66" s="4">
        <f t="shared" si="89"/>
        <v>2.1861655773420483</v>
      </c>
      <c r="FS66" s="4">
        <f t="shared" si="90"/>
        <v>9.4991582491582474</v>
      </c>
      <c r="FT66" s="4">
        <f t="shared" si="91"/>
        <v>1.2500000000000002</v>
      </c>
      <c r="FU66" s="4">
        <f t="shared" si="92"/>
        <v>0.23014308426073135</v>
      </c>
      <c r="FV66" s="4">
        <f t="shared" si="93"/>
        <v>0.29935483870967744</v>
      </c>
      <c r="FW66" s="4">
        <f t="shared" si="94"/>
        <v>0.8624761904761904</v>
      </c>
      <c r="FX66" s="4">
        <f t="shared" si="95"/>
        <v>0.71711849057131583</v>
      </c>
      <c r="FY66" s="4">
        <f t="shared" si="96"/>
        <v>0.2796430739897785</v>
      </c>
      <c r="FZ66" s="4">
        <f t="shared" si="97"/>
        <v>0.75107446390478438</v>
      </c>
      <c r="GA66" s="4">
        <f t="shared" si="98"/>
        <v>0.21260554974284912</v>
      </c>
      <c r="GB66" s="4">
        <f t="shared" si="99"/>
        <v>0.55278592375366575</v>
      </c>
      <c r="GC66" s="4">
        <f t="shared" si="100"/>
        <v>0.79999999999999993</v>
      </c>
      <c r="GD66" s="4">
        <f t="shared" si="101"/>
        <v>1.3228490259740262</v>
      </c>
      <c r="GE66" s="4">
        <f t="shared" si="102"/>
        <v>17.890909090909091</v>
      </c>
      <c r="GF66" s="4">
        <f t="shared" si="103"/>
        <v>13.155080213903744</v>
      </c>
      <c r="GG66" s="4">
        <f t="shared" si="104"/>
        <v>2.8853475935828885</v>
      </c>
      <c r="GH66" s="4">
        <f t="shared" si="105"/>
        <v>4.2071250135766265</v>
      </c>
      <c r="GI66" s="4">
        <f t="shared" si="106"/>
        <v>36.986260454002391</v>
      </c>
      <c r="GJ66" s="4">
        <f t="shared" si="107"/>
        <v>181.27865961199294</v>
      </c>
      <c r="GK66" s="4">
        <f t="shared" si="108"/>
        <v>0</v>
      </c>
      <c r="GL66" s="4">
        <f t="shared" si="109"/>
        <v>2.4054897067997505</v>
      </c>
      <c r="GM66" s="4">
        <f t="shared" si="110"/>
        <v>13.524528301886791</v>
      </c>
      <c r="GN66" s="4">
        <f t="shared" si="111"/>
        <v>0.45742189446409881</v>
      </c>
      <c r="GO66" s="4">
        <f t="shared" si="112"/>
        <v>0.6028368794326241</v>
      </c>
      <c r="GP66" s="4">
        <f t="shared" si="113"/>
        <v>0.13222222222222221</v>
      </c>
      <c r="GQ66" s="27">
        <f t="shared" si="114"/>
        <v>81770.729516769396</v>
      </c>
      <c r="GR66" s="28">
        <f t="shared" si="115"/>
        <v>4.2087875486572486</v>
      </c>
      <c r="GS66" s="28">
        <f t="shared" si="116"/>
        <v>150.31384102347315</v>
      </c>
      <c r="GT66" s="28">
        <f t="shared" si="117"/>
        <v>29581.76391341952</v>
      </c>
      <c r="GU66" s="28">
        <f t="shared" si="118"/>
        <v>269.36240311406391</v>
      </c>
      <c r="GV66" s="28">
        <f t="shared" si="119"/>
        <v>52.309216676168653</v>
      </c>
      <c r="GW66" s="28">
        <f t="shared" si="120"/>
        <v>81770.729516769396</v>
      </c>
      <c r="GX66" s="28">
        <f t="shared" si="121"/>
        <v>13.227618010065637</v>
      </c>
      <c r="GY66" s="28">
        <f t="shared" si="122"/>
        <v>1022.1341189596174</v>
      </c>
      <c r="GZ66" s="28">
        <f t="shared" si="123"/>
        <v>2200.5946325836471</v>
      </c>
      <c r="HA66" s="28">
        <f t="shared" si="124"/>
        <v>2525.2725291943489</v>
      </c>
      <c r="HB66" s="28">
        <f t="shared" si="125"/>
        <v>205.02807915601741</v>
      </c>
      <c r="HC66" s="28">
        <f t="shared" si="126"/>
        <v>3415.1304680533099</v>
      </c>
      <c r="HD66" s="28">
        <f t="shared" si="127"/>
        <v>583.21770317107587</v>
      </c>
      <c r="HE66" s="28">
        <f t="shared" si="128"/>
        <v>37.277832573821343</v>
      </c>
      <c r="HF66" s="28">
        <f t="shared" si="129"/>
        <v>9.0188304614083883</v>
      </c>
      <c r="HG66" s="28">
        <f t="shared" si="130"/>
        <v>288.60257476506843</v>
      </c>
      <c r="HH66" s="28">
        <f t="shared" si="131"/>
        <v>7.8163197332206034</v>
      </c>
      <c r="HI66" s="28">
        <f t="shared" si="132"/>
        <v>13768.747837750139</v>
      </c>
      <c r="HJ66" s="28">
        <f t="shared" si="133"/>
        <v>27.056491384225165</v>
      </c>
      <c r="HK66" s="28">
        <f t="shared" si="134"/>
        <v>0</v>
      </c>
      <c r="HL66" s="28">
        <f t="shared" si="135"/>
        <v>12.626362645971746</v>
      </c>
      <c r="HM66" s="28">
        <f t="shared" si="136"/>
        <v>48.701684491605306</v>
      </c>
      <c r="HN66" s="28">
        <f t="shared" si="137"/>
        <v>3.0062768204694632</v>
      </c>
      <c r="HO66" s="28">
        <f t="shared" si="138"/>
        <v>4.8100429127511415</v>
      </c>
      <c r="HP66" s="28">
        <f t="shared" si="139"/>
        <v>0</v>
      </c>
      <c r="HQ66" s="28">
        <f t="shared" si="140"/>
        <v>0</v>
      </c>
      <c r="HR66" s="28">
        <f t="shared" si="141"/>
        <v>1.2025107281877854</v>
      </c>
      <c r="HT66" s="4">
        <f>IFERROR(GR66/'McDonough &amp; Sun 1995 values'!C$2,)</f>
        <v>200.41845469796419</v>
      </c>
      <c r="HU66" s="4">
        <f>IFERROR(GS66/'McDonough &amp; Sun 1995 values'!D$2,)</f>
        <v>250.52306837245524</v>
      </c>
      <c r="HV66" s="4">
        <f>IFERROR(GT66/'McDonough &amp; Sun 1995 values'!E$2,)</f>
        <v>4482.0854414271998</v>
      </c>
      <c r="HW66" s="4">
        <f>IFERROR(GU66/'McDonough &amp; Sun 1995 values'!F$2,)</f>
        <v>3388.2063284787914</v>
      </c>
      <c r="HX66" s="4">
        <f>IFERROR(GV66/'McDonough &amp; Sun 1995 values'!G$2,)</f>
        <v>2576.8087032595399</v>
      </c>
      <c r="HY66" s="4">
        <f>IFERROR(GW66/'McDonough &amp; Sun 1995 values'!H$2,)</f>
        <v>340.71137298653917</v>
      </c>
      <c r="HZ66" s="4">
        <f>IFERROR(GX66/'McDonough &amp; Sun 1995 values'!I$2,)</f>
        <v>357.50318946123343</v>
      </c>
      <c r="IA66" s="4">
        <f>IFERROR(GY66/'McDonough &amp; Sun 1995 values'!J$2,)</f>
        <v>1553.3953175678075</v>
      </c>
      <c r="IB66" s="4">
        <f>IFERROR(GZ66/'McDonough &amp; Sun 1995 values'!K$2,)</f>
        <v>3395.9793712710602</v>
      </c>
      <c r="IC66" s="4">
        <f>IFERROR(HA66/'McDonough &amp; Sun 1995 values'!L$2,)</f>
        <v>1507.6253905637902</v>
      </c>
      <c r="ID66" s="4">
        <f>IFERROR(HB66/'McDonough &amp; Sun 1995 values'!M$2,)</f>
        <v>807.19716203156463</v>
      </c>
      <c r="IE66" s="4">
        <f>IFERROR(HC66/'McDonough &amp; Sun 1995 values'!N$2,)</f>
        <v>171.61459638458845</v>
      </c>
      <c r="IF66" s="4">
        <f>IFERROR(HD66/'McDonough &amp; Sun 1995 values'!O$2,)</f>
        <v>466.57416253686068</v>
      </c>
      <c r="IG66" s="4">
        <f>IFERROR(HE66/'McDonough &amp; Sun 1995 values'!P$2,)</f>
        <v>91.817321610397386</v>
      </c>
      <c r="IH66" s="4">
        <f>IFERROR(HF66/'McDonough &amp; Sun 1995 values'!Q$2,)</f>
        <v>31.86865887423459</v>
      </c>
      <c r="II66" s="4">
        <f>IFERROR(HG66/'McDonough &amp; Sun 1995 values'!R$2,)</f>
        <v>27.485959501435087</v>
      </c>
      <c r="IJ66" s="4">
        <f>IFERROR(HH66/'McDonough &amp; Sun 1995 values'!S$2,)</f>
        <v>50.755322942990929</v>
      </c>
      <c r="IK66" s="4">
        <f>IFERROR(HI66/'McDonough &amp; Sun 1995 values'!T$2,)</f>
        <v>11.426346753319617</v>
      </c>
      <c r="IL66" s="4">
        <f>IFERROR(HJ66/'McDonough &amp; Sun 1995 values'!U$2,)</f>
        <v>49.736197397472729</v>
      </c>
      <c r="IM66" s="4">
        <f>IFERROR(HK66/'McDonough &amp; Sun 1995 values'!V$2,)</f>
        <v>0</v>
      </c>
      <c r="IN66" s="4">
        <f>IFERROR(HL66/'McDonough &amp; Sun 1995 values'!W$2,)</f>
        <v>18.733475735863124</v>
      </c>
      <c r="IO66" s="4">
        <f>IFERROR(HM66/'McDonough &amp; Sun 1995 values'!X$2,)</f>
        <v>11.325973137582629</v>
      </c>
      <c r="IP66" s="4">
        <f>IFERROR(HN66/'McDonough &amp; Sun 1995 values'!Y$2,)</f>
        <v>20.176354499795057</v>
      </c>
      <c r="IQ66" s="4">
        <f>IFERROR(HO66/'McDonough &amp; Sun 1995 values'!Z$2,)</f>
        <v>10.981833134135027</v>
      </c>
      <c r="IR66" s="4">
        <f>IFERROR(HP66/'McDonough &amp; Sun 1995 values'!AA$2,)</f>
        <v>0</v>
      </c>
      <c r="IS66" s="4">
        <f>IFERROR(HQ66/'McDonough &amp; Sun 1995 values'!AB$2,)</f>
        <v>0</v>
      </c>
      <c r="IT66" s="4">
        <f>IFERROR(HR66/'McDonough &amp; Sun 1995 values'!AC$2,)</f>
        <v>17.814973750930154</v>
      </c>
    </row>
    <row r="67" spans="1:254">
      <c r="A67" s="16" t="s">
        <v>1212</v>
      </c>
      <c r="B67" s="16" t="s">
        <v>24</v>
      </c>
      <c r="C67" s="16" t="str">
        <f t="shared" si="144"/>
        <v>high-Mg carbonatitic</v>
      </c>
      <c r="D67" s="16" t="s">
        <v>831</v>
      </c>
      <c r="E67" s="16" t="s">
        <v>801</v>
      </c>
      <c r="F67" s="16" t="s">
        <v>800</v>
      </c>
      <c r="G67" s="16" t="s">
        <v>829</v>
      </c>
      <c r="H67" s="27">
        <v>0</v>
      </c>
      <c r="I67" s="16" t="s">
        <v>712</v>
      </c>
      <c r="J67" s="16" t="s">
        <v>1311</v>
      </c>
      <c r="K67" s="16" t="s">
        <v>1169</v>
      </c>
      <c r="L67" s="16">
        <v>0</v>
      </c>
      <c r="M67" s="16" t="s">
        <v>1205</v>
      </c>
      <c r="N67" s="16">
        <v>51</v>
      </c>
      <c r="O67" s="26">
        <v>8.3918571309263577</v>
      </c>
      <c r="P67" s="26">
        <v>0.56313184980744257</v>
      </c>
      <c r="Q67" s="26">
        <v>0.56615408201175299</v>
      </c>
      <c r="R67" s="26">
        <v>1.6596527331062942</v>
      </c>
      <c r="S67" s="26">
        <v>9.4729007874783537</v>
      </c>
      <c r="T67" s="26">
        <v>23.669895655667023</v>
      </c>
      <c r="U67" s="26">
        <v>0.3687583589070732</v>
      </c>
      <c r="V67" s="26">
        <v>20.83638726029664</v>
      </c>
      <c r="W67" s="26">
        <v>11.04258364775243</v>
      </c>
      <c r="X67" s="26">
        <v>10.938988832758829</v>
      </c>
      <c r="Y67" s="26"/>
      <c r="Z67" s="26">
        <v>6.1695017465472644</v>
      </c>
      <c r="AA67" s="26">
        <v>1.4827649715906785</v>
      </c>
      <c r="AB67" s="26">
        <v>4.8605727187634251</v>
      </c>
      <c r="AC67" s="26"/>
      <c r="AD67" s="26">
        <v>3.0911174949020301</v>
      </c>
      <c r="AE67" s="26"/>
      <c r="AF67" s="26"/>
      <c r="AG67" s="26"/>
      <c r="AH67" s="26"/>
      <c r="AI67" s="26">
        <v>7.8</v>
      </c>
      <c r="AJ67" s="26">
        <f t="shared" si="145"/>
        <v>100.69658985800609</v>
      </c>
      <c r="AK67" s="26">
        <f t="shared" si="73"/>
        <v>8.391939581420031</v>
      </c>
      <c r="AL67" s="26">
        <f t="shared" si="74"/>
        <v>0.56313738261124213</v>
      </c>
      <c r="AM67" s="26">
        <f t="shared" si="75"/>
        <v>1.65966903929276</v>
      </c>
      <c r="AN67" s="26">
        <f t="shared" si="76"/>
        <v>9.4729938592900229</v>
      </c>
      <c r="AO67" s="26">
        <f t="shared" si="77"/>
        <v>23.67012821379469</v>
      </c>
      <c r="AP67" s="26">
        <f t="shared" si="78"/>
        <v>20.836591979036388</v>
      </c>
      <c r="AQ67" s="26">
        <f t="shared" si="79"/>
        <v>4.8606204741784591</v>
      </c>
      <c r="AR67" s="26">
        <f t="shared" si="80"/>
        <v>11.042692141791232</v>
      </c>
      <c r="AS67" s="26">
        <f t="shared" si="81"/>
        <v>10.939096308972434</v>
      </c>
      <c r="AT67" s="26">
        <f t="shared" si="82"/>
        <v>6.1695623622675733</v>
      </c>
      <c r="AU67" s="26">
        <f t="shared" si="83"/>
        <v>3.0911478653146194</v>
      </c>
      <c r="AV67" s="26">
        <f t="shared" si="146"/>
        <v>100.69757920796947</v>
      </c>
      <c r="AW67" s="26">
        <v>23.4</v>
      </c>
      <c r="AX67" s="26">
        <v>5.9</v>
      </c>
      <c r="AY67" s="94"/>
      <c r="AZ67" s="94"/>
      <c r="BA67" s="26">
        <v>0.62</v>
      </c>
      <c r="BB67" s="26"/>
      <c r="BC67" s="26">
        <f>(AX67/18.02)/((AX67/18.02)+(AW67/44.01))</f>
        <v>0.3811077500231167</v>
      </c>
      <c r="BD67" s="26">
        <f>(AW67/44.01)/((AX67/18.02)+(AW67/44.01))</f>
        <v>0.6188922499768833</v>
      </c>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v>0.12</v>
      </c>
      <c r="CI67" s="26">
        <v>1.9672499999999999</v>
      </c>
      <c r="CJ67" s="26">
        <v>1.575E-2</v>
      </c>
      <c r="CK67" s="26">
        <v>0.12924999999999998</v>
      </c>
      <c r="CL67" s="26"/>
      <c r="CM67" s="26">
        <v>0.34675</v>
      </c>
      <c r="CN67" s="26"/>
      <c r="CO67" s="26"/>
      <c r="CP67" s="26"/>
      <c r="CQ67" s="26"/>
      <c r="CR67" s="26"/>
      <c r="CS67" s="26">
        <v>8.7487499999999994</v>
      </c>
      <c r="CT67" s="26"/>
      <c r="CU67" s="26">
        <v>0.57050000000000001</v>
      </c>
      <c r="CV67" s="26">
        <v>0.72325000000000006</v>
      </c>
      <c r="CW67" s="26">
        <v>6.3E-2</v>
      </c>
      <c r="CX67" s="26">
        <v>0.18124999999999997</v>
      </c>
      <c r="CY67" s="26">
        <v>1.975E-2</v>
      </c>
      <c r="CZ67" s="26">
        <v>3.7500000000000003E-3</v>
      </c>
      <c r="DA67" s="26">
        <v>7.7499999999999999E-3</v>
      </c>
      <c r="DB67" s="26">
        <v>4.0000000000000001E-3</v>
      </c>
      <c r="DC67" s="26"/>
      <c r="DD67" s="26">
        <v>2E-3</v>
      </c>
      <c r="DE67" s="26"/>
      <c r="DF67" s="26"/>
      <c r="DG67" s="26"/>
      <c r="DH67" s="26">
        <v>4.0000000000000001E-3</v>
      </c>
      <c r="DI67" s="26"/>
      <c r="DJ67" s="26"/>
      <c r="DK67" s="26">
        <v>1.5979999999999999</v>
      </c>
      <c r="DL67" s="26">
        <v>0.106</v>
      </c>
      <c r="DM67" s="26">
        <v>1.925E-2</v>
      </c>
      <c r="DN67" s="26">
        <v>1E-3</v>
      </c>
      <c r="DO67" s="26"/>
      <c r="DP67" s="26"/>
      <c r="DQ67" s="26"/>
      <c r="DR67" s="26"/>
      <c r="DS67" s="26"/>
      <c r="DT67" s="26"/>
      <c r="DU67" s="26"/>
      <c r="DV67" s="51">
        <v>0.70792999999999995</v>
      </c>
      <c r="DW67" s="51">
        <v>4.0000000000000003E-5</v>
      </c>
      <c r="DX67" s="51">
        <v>0.70792999999999995</v>
      </c>
      <c r="DY67" s="51"/>
      <c r="DZ67" s="45">
        <v>48.73</v>
      </c>
      <c r="EA67" s="30"/>
      <c r="EB67" s="30"/>
      <c r="EC67" s="30"/>
      <c r="ED67" s="30"/>
      <c r="EE67" s="30"/>
      <c r="EF67" s="30"/>
      <c r="EG67" s="30"/>
      <c r="EH67" s="30"/>
      <c r="EI67" s="30"/>
      <c r="EJ67" s="26"/>
      <c r="EK67" s="18"/>
      <c r="EL67" s="18">
        <f>IFERROR(CR67/'McDonough &amp; Sun 1995 values'!C$2,)</f>
        <v>0</v>
      </c>
      <c r="EM67" s="18">
        <f>IFERROR(CH67/'McDonough &amp; Sun 1995 values'!D$2,)</f>
        <v>0.2</v>
      </c>
      <c r="EN67" s="18">
        <f>IFERROR(CS67/'McDonough &amp; Sun 1995 values'!E$2,)</f>
        <v>1.3255681818181817</v>
      </c>
      <c r="EO67" s="18">
        <f>IFERROR(DL67/'McDonough &amp; Sun 1995 values'!F$2,)</f>
        <v>1.3333333333333333</v>
      </c>
      <c r="EP67" s="18">
        <f>IFERROR(DM67/'McDonough &amp; Sun 1995 values'!G$2,)</f>
        <v>0.94827586206896552</v>
      </c>
      <c r="EQ67" s="18">
        <f>IFERROR(BR67/'McDonough &amp; Sun 1995 values'!H$2,)</f>
        <v>0</v>
      </c>
      <c r="ER67" s="18">
        <f>IFERROR(DI67/'McDonough &amp; Sun 1995 values'!I$2,)</f>
        <v>0</v>
      </c>
      <c r="ES67" s="18">
        <f>IFERROR(CM67/'McDonough &amp; Sun 1995 values'!J$2,)</f>
        <v>0.52697568389057747</v>
      </c>
      <c r="ET67" s="18">
        <f>IFERROR(CU67/'McDonough &amp; Sun 1995 values'!K$2,)</f>
        <v>0.8804012345679012</v>
      </c>
      <c r="EU67" s="18">
        <f>IFERROR(CV67/'McDonough &amp; Sun 1995 values'!L$2,)</f>
        <v>0.4317910447761194</v>
      </c>
      <c r="EV67" s="18">
        <f>IFERROR(CW67/'McDonough &amp; Sun 1995 values'!M$2,)</f>
        <v>0.24803149606299213</v>
      </c>
      <c r="EW67" s="18">
        <f>IFERROR(CI67/'McDonough &amp; Sun 1995 values'!N$2,)</f>
        <v>9.8856783919597999E-2</v>
      </c>
      <c r="EX67" s="18">
        <f>IFERROR(CX67/'McDonough &amp; Sun 1995 values'!O$2,)</f>
        <v>0.14499999999999996</v>
      </c>
      <c r="EY67" s="18">
        <f>IFERROR(CY67/'McDonough &amp; Sun 1995 values'!P$2,)</f>
        <v>4.8645320197044331E-2</v>
      </c>
      <c r="EZ67" s="18">
        <f>IFERROR(DH67/'McDonough &amp; Sun 1995 values'!Q$2,)</f>
        <v>1.413427561837456E-2</v>
      </c>
      <c r="FA67" s="18">
        <f>IFERROR(CK67/'McDonough &amp; Sun 1995 values'!R$2,)</f>
        <v>1.2309523809523807E-2</v>
      </c>
      <c r="FB67" s="18">
        <f>IFERROR(CZ67/'McDonough &amp; Sun 1995 values'!S$2,)</f>
        <v>2.4350649350649352E-2</v>
      </c>
      <c r="FC67" s="18">
        <f>IFERROR(BT67/'McDonough &amp; Sun 1995 values'!T$2,)</f>
        <v>0</v>
      </c>
      <c r="FD67" s="18">
        <f>IFERROR(DA67/'McDonough &amp; Sun 1995 values'!U$2,)</f>
        <v>1.4246323529411764E-2</v>
      </c>
      <c r="FE67" s="18">
        <f>IFERROR(DN67/'McDonough &amp; Sun 1995 values'!V$2,)</f>
        <v>1.01010101010101E-2</v>
      </c>
      <c r="FF67" s="18">
        <f>IFERROR(DB67/'McDonough &amp; Sun 1995 values'!W$2,)</f>
        <v>5.9347181008902071E-3</v>
      </c>
      <c r="FG67" s="18">
        <f>IFERROR(CJ67/'McDonough &amp; Sun 1995 values'!X$2,)</f>
        <v>3.6627906976744186E-3</v>
      </c>
      <c r="FH67" s="18">
        <f>IFERROR(DC67/'McDonough &amp; Sun 1995 values'!Y$2,)</f>
        <v>0</v>
      </c>
      <c r="FI67" s="18">
        <f>IFERROR(DD67/'McDonough &amp; Sun 1995 values'!Z$2,)</f>
        <v>4.5662100456621002E-3</v>
      </c>
      <c r="FJ67" s="18">
        <f>IFERROR(DE67/'McDonough &amp; Sun 1995 values'!AA$2,)</f>
        <v>0</v>
      </c>
      <c r="FK67" s="18">
        <f>IFERROR(DF67/'McDonough &amp; Sun 1995 values'!AB$2,)</f>
        <v>0</v>
      </c>
      <c r="FL67" s="18">
        <f>IFERROR(DG67/'McDonough &amp; Sun 1995 values'!AC$2,)</f>
        <v>0</v>
      </c>
      <c r="FM67" s="26"/>
      <c r="FN67" s="28">
        <f t="shared" si="68"/>
        <v>0</v>
      </c>
      <c r="FO67" s="4">
        <f t="shared" si="86"/>
        <v>1.3978719008264462</v>
      </c>
      <c r="FP67" s="4">
        <f t="shared" si="87"/>
        <v>2.5301610189858206</v>
      </c>
      <c r="FQ67" s="4">
        <f t="shared" si="88"/>
        <v>1.406060606060606</v>
      </c>
      <c r="FR67" s="4">
        <f t="shared" si="89"/>
        <v>1.6706676635780218</v>
      </c>
      <c r="FS67" s="4">
        <f t="shared" si="90"/>
        <v>0</v>
      </c>
      <c r="FT67" s="4">
        <f t="shared" si="91"/>
        <v>0</v>
      </c>
      <c r="FU67" s="4">
        <f t="shared" si="92"/>
        <v>0</v>
      </c>
      <c r="FV67" s="4">
        <f t="shared" si="93"/>
        <v>0.25304641350210966</v>
      </c>
      <c r="FW67" s="4">
        <f t="shared" si="94"/>
        <v>0.87089880952380927</v>
      </c>
      <c r="FX67" s="4">
        <f t="shared" si="95"/>
        <v>0.77436835508899149</v>
      </c>
      <c r="FY67" s="4">
        <f t="shared" si="96"/>
        <v>0.52127759631321902</v>
      </c>
      <c r="FZ67" s="4">
        <f t="shared" si="97"/>
        <v>0.92499335381659487</v>
      </c>
      <c r="GA67" s="4">
        <f t="shared" si="98"/>
        <v>0.39856544627901414</v>
      </c>
      <c r="GB67" s="4">
        <f t="shared" si="99"/>
        <v>0.5005753739930956</v>
      </c>
      <c r="GC67" s="4">
        <f t="shared" si="100"/>
        <v>0</v>
      </c>
      <c r="GD67" s="4">
        <f t="shared" si="101"/>
        <v>0.99417613636363633</v>
      </c>
      <c r="GE67" s="4">
        <f t="shared" si="102"/>
        <v>6.6278409090909083</v>
      </c>
      <c r="GF67" s="4">
        <f t="shared" si="103"/>
        <v>0</v>
      </c>
      <c r="GG67" s="4">
        <f t="shared" si="104"/>
        <v>2.5154257062332044</v>
      </c>
      <c r="GH67" s="4">
        <f t="shared" si="105"/>
        <v>3.5495541838134428</v>
      </c>
      <c r="GI67" s="4">
        <f t="shared" si="106"/>
        <v>18.098374746054073</v>
      </c>
      <c r="GJ67" s="4">
        <f t="shared" si="107"/>
        <v>148.34760802469137</v>
      </c>
      <c r="GK67" s="4">
        <f t="shared" si="108"/>
        <v>0</v>
      </c>
      <c r="GL67" s="4">
        <f t="shared" si="109"/>
        <v>0</v>
      </c>
      <c r="GM67" s="4">
        <f t="shared" si="110"/>
        <v>6.6666666666666661</v>
      </c>
      <c r="GN67" s="4">
        <f t="shared" si="111"/>
        <v>0.5985630905540652</v>
      </c>
      <c r="GO67" s="4">
        <f t="shared" si="112"/>
        <v>0.55571981210279076</v>
      </c>
      <c r="GP67" s="4">
        <f t="shared" si="113"/>
        <v>0</v>
      </c>
      <c r="GQ67" s="27">
        <f t="shared" si="114"/>
        <v>90809.519258956643</v>
      </c>
      <c r="GR67" s="28" t="str">
        <f t="shared" si="115"/>
        <v/>
      </c>
      <c r="GS67" s="28" t="str">
        <f t="shared" si="116"/>
        <v/>
      </c>
      <c r="GT67" s="28" t="str">
        <f t="shared" si="117"/>
        <v/>
      </c>
      <c r="GU67" s="28" t="str">
        <f t="shared" si="118"/>
        <v/>
      </c>
      <c r="GV67" s="28" t="str">
        <f t="shared" si="119"/>
        <v/>
      </c>
      <c r="GW67" s="28" t="str">
        <f t="shared" si="120"/>
        <v/>
      </c>
      <c r="GX67" s="28" t="str">
        <f t="shared" si="121"/>
        <v/>
      </c>
      <c r="GY67" s="28" t="str">
        <f t="shared" si="122"/>
        <v/>
      </c>
      <c r="GZ67" s="28" t="str">
        <f t="shared" si="123"/>
        <v/>
      </c>
      <c r="HA67" s="28" t="str">
        <f t="shared" si="124"/>
        <v/>
      </c>
      <c r="HB67" s="28" t="str">
        <f t="shared" si="125"/>
        <v/>
      </c>
      <c r="HC67" s="28" t="str">
        <f t="shared" si="126"/>
        <v/>
      </c>
      <c r="HD67" s="28" t="str">
        <f t="shared" si="127"/>
        <v/>
      </c>
      <c r="HE67" s="28" t="str">
        <f t="shared" si="128"/>
        <v/>
      </c>
      <c r="HF67" s="28" t="str">
        <f t="shared" si="129"/>
        <v/>
      </c>
      <c r="HG67" s="28" t="str">
        <f t="shared" si="130"/>
        <v/>
      </c>
      <c r="HH67" s="28" t="str">
        <f t="shared" si="131"/>
        <v/>
      </c>
      <c r="HI67" s="28" t="str">
        <f t="shared" si="132"/>
        <v/>
      </c>
      <c r="HJ67" s="28" t="str">
        <f t="shared" si="133"/>
        <v/>
      </c>
      <c r="HK67" s="28" t="str">
        <f t="shared" si="134"/>
        <v/>
      </c>
      <c r="HL67" s="28" t="str">
        <f t="shared" si="135"/>
        <v/>
      </c>
      <c r="HM67" s="28" t="str">
        <f t="shared" si="136"/>
        <v/>
      </c>
      <c r="HN67" s="28" t="str">
        <f t="shared" si="137"/>
        <v/>
      </c>
      <c r="HO67" s="28" t="str">
        <f t="shared" si="138"/>
        <v/>
      </c>
      <c r="HP67" s="28" t="str">
        <f t="shared" si="139"/>
        <v/>
      </c>
      <c r="HQ67" s="28" t="str">
        <f t="shared" si="140"/>
        <v/>
      </c>
      <c r="HR67" s="28" t="str">
        <f t="shared" si="141"/>
        <v/>
      </c>
      <c r="HT67" s="4">
        <f>IFERROR(GR67/'McDonough &amp; Sun 1995 values'!C$2,)</f>
        <v>0</v>
      </c>
      <c r="HU67" s="4">
        <f>IFERROR(GS67/'McDonough &amp; Sun 1995 values'!D$2,)</f>
        <v>0</v>
      </c>
      <c r="HV67" s="4">
        <f>IFERROR(GT67/'McDonough &amp; Sun 1995 values'!E$2,)</f>
        <v>0</v>
      </c>
      <c r="HW67" s="4">
        <f>IFERROR(GU67/'McDonough &amp; Sun 1995 values'!F$2,)</f>
        <v>0</v>
      </c>
      <c r="HX67" s="4">
        <f>IFERROR(GV67/'McDonough &amp; Sun 1995 values'!G$2,)</f>
        <v>0</v>
      </c>
      <c r="HY67" s="4">
        <f>IFERROR(GW67/'McDonough &amp; Sun 1995 values'!H$2,)</f>
        <v>0</v>
      </c>
      <c r="HZ67" s="4">
        <f>IFERROR(GX67/'McDonough &amp; Sun 1995 values'!I$2,)</f>
        <v>0</v>
      </c>
      <c r="IA67" s="4">
        <f>IFERROR(GY67/'McDonough &amp; Sun 1995 values'!J$2,)</f>
        <v>0</v>
      </c>
      <c r="IB67" s="4">
        <f>IFERROR(GZ67/'McDonough &amp; Sun 1995 values'!K$2,)</f>
        <v>0</v>
      </c>
      <c r="IC67" s="4">
        <f>IFERROR(HA67/'McDonough &amp; Sun 1995 values'!L$2,)</f>
        <v>0</v>
      </c>
      <c r="ID67" s="4">
        <f>IFERROR(HB67/'McDonough &amp; Sun 1995 values'!M$2,)</f>
        <v>0</v>
      </c>
      <c r="IE67" s="4">
        <f>IFERROR(HC67/'McDonough &amp; Sun 1995 values'!N$2,)</f>
        <v>0</v>
      </c>
      <c r="IF67" s="4">
        <f>IFERROR(HD67/'McDonough &amp; Sun 1995 values'!O$2,)</f>
        <v>0</v>
      </c>
      <c r="IG67" s="4">
        <f>IFERROR(HE67/'McDonough &amp; Sun 1995 values'!P$2,)</f>
        <v>0</v>
      </c>
      <c r="IH67" s="4">
        <f>IFERROR(HF67/'McDonough &amp; Sun 1995 values'!Q$2,)</f>
        <v>0</v>
      </c>
      <c r="II67" s="4">
        <f>IFERROR(HG67/'McDonough &amp; Sun 1995 values'!R$2,)</f>
        <v>0</v>
      </c>
      <c r="IJ67" s="4">
        <f>IFERROR(HH67/'McDonough &amp; Sun 1995 values'!S$2,)</f>
        <v>0</v>
      </c>
      <c r="IK67" s="4">
        <f>IFERROR(HI67/'McDonough &amp; Sun 1995 values'!T$2,)</f>
        <v>0</v>
      </c>
      <c r="IL67" s="4">
        <f>IFERROR(HJ67/'McDonough &amp; Sun 1995 values'!U$2,)</f>
        <v>0</v>
      </c>
      <c r="IM67" s="4">
        <f>IFERROR(HK67/'McDonough &amp; Sun 1995 values'!V$2,)</f>
        <v>0</v>
      </c>
      <c r="IN67" s="4">
        <f>IFERROR(HL67/'McDonough &amp; Sun 1995 values'!W$2,)</f>
        <v>0</v>
      </c>
      <c r="IO67" s="4">
        <f>IFERROR(HM67/'McDonough &amp; Sun 1995 values'!X$2,)</f>
        <v>0</v>
      </c>
      <c r="IP67" s="4">
        <f>IFERROR(HN67/'McDonough &amp; Sun 1995 values'!Y$2,)</f>
        <v>0</v>
      </c>
      <c r="IQ67" s="4">
        <f>IFERROR(HO67/'McDonough &amp; Sun 1995 values'!Z$2,)</f>
        <v>0</v>
      </c>
      <c r="IR67" s="4">
        <f>IFERROR(HP67/'McDonough &amp; Sun 1995 values'!AA$2,)</f>
        <v>0</v>
      </c>
      <c r="IS67" s="4">
        <f>IFERROR(HQ67/'McDonough &amp; Sun 1995 values'!AB$2,)</f>
        <v>0</v>
      </c>
      <c r="IT67" s="4">
        <f>IFERROR(HR67/'McDonough &amp; Sun 1995 values'!AC$2,)</f>
        <v>0</v>
      </c>
    </row>
    <row r="68" spans="1:254">
      <c r="A68" s="4" t="s">
        <v>1651</v>
      </c>
      <c r="B68" s="4" t="s">
        <v>24</v>
      </c>
      <c r="C68" s="16" t="str">
        <f t="shared" si="144"/>
        <v>high-Mg carbonatitic</v>
      </c>
      <c r="D68" s="4" t="s">
        <v>1630</v>
      </c>
      <c r="E68" s="4" t="s">
        <v>1394</v>
      </c>
      <c r="F68" s="4" t="s">
        <v>1628</v>
      </c>
      <c r="G68" s="4" t="s">
        <v>595</v>
      </c>
      <c r="H68" s="49">
        <v>132</v>
      </c>
      <c r="I68" s="4" t="s">
        <v>735</v>
      </c>
      <c r="K68" s="4" t="s">
        <v>1649</v>
      </c>
      <c r="M68" s="4" t="s">
        <v>1639</v>
      </c>
      <c r="N68" s="4">
        <v>31</v>
      </c>
      <c r="O68" s="4">
        <v>6.9</v>
      </c>
      <c r="P68" s="53">
        <v>2.2000000000000002</v>
      </c>
      <c r="Q68" s="53"/>
      <c r="R68" s="53">
        <v>2.2000000000000002</v>
      </c>
      <c r="S68" s="53">
        <v>7</v>
      </c>
      <c r="T68" s="53">
        <v>19.399999999999999</v>
      </c>
      <c r="U68" s="53"/>
      <c r="V68" s="53">
        <v>18.2</v>
      </c>
      <c r="W68" s="53">
        <v>8.5</v>
      </c>
      <c r="X68" s="53">
        <v>31.2</v>
      </c>
      <c r="Y68" s="53"/>
      <c r="Z68" s="53">
        <v>2.4</v>
      </c>
      <c r="AA68" s="53"/>
      <c r="AB68" s="53">
        <v>2.8</v>
      </c>
      <c r="AC68" s="53"/>
      <c r="AD68" s="53">
        <v>2.2000000000000002</v>
      </c>
      <c r="AE68" s="53"/>
      <c r="AF68" s="53"/>
      <c r="AG68" s="53"/>
      <c r="AH68" s="53"/>
      <c r="AI68" s="53">
        <v>1.5</v>
      </c>
      <c r="AJ68" s="91">
        <f t="shared" si="145"/>
        <v>103.00000000000001</v>
      </c>
      <c r="AK68" s="26">
        <f t="shared" si="73"/>
        <v>6.731475748194014</v>
      </c>
      <c r="AL68" s="26">
        <f t="shared" si="74"/>
        <v>2.1462676298589614</v>
      </c>
      <c r="AM68" s="26">
        <f t="shared" si="75"/>
        <v>2.1462676298589614</v>
      </c>
      <c r="AN68" s="26">
        <f t="shared" si="76"/>
        <v>6.8290333677330572</v>
      </c>
      <c r="AO68" s="26">
        <f t="shared" si="77"/>
        <v>18.926178190574472</v>
      </c>
      <c r="AP68" s="26">
        <f t="shared" si="78"/>
        <v>17.755486756105949</v>
      </c>
      <c r="AQ68" s="26">
        <f t="shared" si="79"/>
        <v>2.7316133470932229</v>
      </c>
      <c r="AR68" s="26">
        <f t="shared" si="80"/>
        <v>8.2923976608187129</v>
      </c>
      <c r="AS68" s="26">
        <f t="shared" si="81"/>
        <v>30.437977296181629</v>
      </c>
      <c r="AT68" s="26">
        <f t="shared" si="82"/>
        <v>2.3413828689370484</v>
      </c>
      <c r="AU68" s="26">
        <f t="shared" si="83"/>
        <v>2.1462676298589614</v>
      </c>
      <c r="AV68" s="91">
        <f t="shared" si="146"/>
        <v>100.48434812521498</v>
      </c>
      <c r="AW68" s="94"/>
      <c r="AX68" s="94"/>
      <c r="AY68" s="94"/>
      <c r="AZ68" s="94"/>
      <c r="BA68" s="26"/>
      <c r="BB68" s="26"/>
      <c r="BC68" s="26"/>
      <c r="BD68" s="26"/>
      <c r="BG68" s="16">
        <v>56</v>
      </c>
      <c r="BH68" s="16">
        <v>0</v>
      </c>
      <c r="BI68" s="16"/>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9"/>
      <c r="DC68" s="49"/>
      <c r="DD68" s="49"/>
      <c r="DE68" s="49"/>
      <c r="DF68" s="49"/>
      <c r="DG68" s="49"/>
      <c r="DH68" s="49"/>
      <c r="DI68" s="49"/>
      <c r="DJ68" s="49"/>
      <c r="DK68" s="49"/>
      <c r="DL68" s="49"/>
      <c r="DM68" s="49"/>
      <c r="DN68" s="49"/>
      <c r="DO68" s="49"/>
      <c r="DP68" s="4"/>
      <c r="DQ68" s="4"/>
      <c r="DR68" s="4"/>
      <c r="DS68" s="4"/>
      <c r="DT68" s="4"/>
      <c r="DU68" s="4"/>
      <c r="DV68" s="4"/>
      <c r="DW68" s="4"/>
      <c r="DX68" s="4"/>
      <c r="DY68" s="4"/>
      <c r="DZ68" s="4"/>
      <c r="EA68" s="4"/>
      <c r="EB68" s="4"/>
      <c r="EC68" s="4"/>
      <c r="ED68" s="4"/>
      <c r="EE68" s="4"/>
      <c r="EF68" s="4"/>
      <c r="EG68" s="4"/>
      <c r="EH68" s="4"/>
      <c r="EI68" s="4"/>
      <c r="EJ68" s="4"/>
      <c r="ET68" s="49"/>
      <c r="EU68" s="49"/>
      <c r="EV68" s="49"/>
      <c r="EW68" s="49"/>
      <c r="FN68" s="4"/>
      <c r="FW68" s="49"/>
      <c r="FX68" s="49"/>
      <c r="FY68" s="49"/>
      <c r="FZ68" s="49"/>
      <c r="GA68" s="49"/>
      <c r="GB68" s="49"/>
      <c r="GC68" s="49"/>
      <c r="GD68" s="49"/>
      <c r="GE68" s="49"/>
      <c r="GF68" s="49"/>
      <c r="GG68" s="49"/>
      <c r="GH68" s="49"/>
      <c r="GI68" s="49"/>
      <c r="GJ68" s="49"/>
      <c r="GK68" s="49"/>
      <c r="GL68" s="49"/>
      <c r="GM68" s="49"/>
      <c r="GN68" s="49"/>
      <c r="GO68" s="49"/>
      <c r="GP68" s="49"/>
      <c r="GQ68" s="49"/>
      <c r="GR68" s="49"/>
      <c r="GS68" s="49"/>
      <c r="GT68" s="49"/>
      <c r="GU68" s="49"/>
      <c r="GV68" s="49"/>
      <c r="GW68" s="49"/>
      <c r="GX68" s="49"/>
      <c r="GY68" s="4"/>
      <c r="GZ68" s="4"/>
      <c r="HA68" s="4"/>
      <c r="HB68" s="4"/>
      <c r="HC68" s="4"/>
      <c r="HD68" s="4"/>
      <c r="HE68" s="4"/>
      <c r="HF68" s="4"/>
      <c r="HG68" s="4"/>
      <c r="HH68" s="4"/>
      <c r="HI68" s="4"/>
      <c r="HJ68" s="4"/>
      <c r="HK68" s="4"/>
      <c r="HL68" s="4"/>
      <c r="HM68" s="4"/>
      <c r="HN68" s="4"/>
      <c r="HO68" s="4"/>
      <c r="HP68" s="4"/>
      <c r="HQ68" s="4"/>
      <c r="HR68" s="4"/>
    </row>
    <row r="69" spans="1:254">
      <c r="A69" s="16" t="s">
        <v>1656</v>
      </c>
      <c r="B69" s="4" t="s">
        <v>24</v>
      </c>
      <c r="C69" s="16" t="str">
        <f t="shared" si="144"/>
        <v>high-Mg carbonatitic</v>
      </c>
      <c r="D69" s="4" t="s">
        <v>1706</v>
      </c>
      <c r="E69" s="4" t="s">
        <v>237</v>
      </c>
      <c r="F69" s="4" t="s">
        <v>849</v>
      </c>
      <c r="G69" s="4" t="s">
        <v>595</v>
      </c>
      <c r="H69" s="49">
        <v>364</v>
      </c>
      <c r="I69" s="4" t="s">
        <v>1148</v>
      </c>
      <c r="J69" s="4" t="s">
        <v>635</v>
      </c>
      <c r="K69" s="4" t="s">
        <v>128</v>
      </c>
      <c r="M69" s="4" t="s">
        <v>1665</v>
      </c>
      <c r="N69" s="4">
        <v>21</v>
      </c>
      <c r="O69" s="4">
        <v>11.6</v>
      </c>
      <c r="R69" s="4">
        <v>1.74</v>
      </c>
      <c r="S69" s="4">
        <v>6.55</v>
      </c>
      <c r="T69" s="4">
        <v>22.4</v>
      </c>
      <c r="V69" s="4">
        <v>12.3</v>
      </c>
      <c r="W69" s="4">
        <v>16.7</v>
      </c>
      <c r="X69" s="4">
        <v>22.7</v>
      </c>
      <c r="Z69" s="4">
        <v>3.28</v>
      </c>
      <c r="AD69" s="4">
        <v>2.72</v>
      </c>
      <c r="AJ69" s="26">
        <f t="shared" si="145"/>
        <v>99.990000000000009</v>
      </c>
      <c r="AK69" s="26">
        <f t="shared" ref="AK69:AK90" si="147">100*(O69/$AJ69)*(($AJ69+$AD69*8/35.45)/$AJ69)</f>
        <v>11.672377743874362</v>
      </c>
      <c r="AL69" s="26">
        <f t="shared" ref="AL69:AL90" si="148">100*(P69/$AJ69)*(($AJ69+$AD69*8/35.45)/$AJ69)</f>
        <v>0</v>
      </c>
      <c r="AM69" s="26">
        <f t="shared" ref="AM69:AM90" si="149">100*(R69/$AJ69)*(($AJ69+$AD69*8/35.45)/$AJ69)</f>
        <v>1.7508566615811545</v>
      </c>
      <c r="AN69" s="26">
        <f t="shared" ref="AN69:AN90" si="150">100*(S69/$AJ69)*(($AJ69+$AD69*8/35.45)/$AJ69)</f>
        <v>6.5908684674462998</v>
      </c>
      <c r="AO69" s="26">
        <f t="shared" ref="AO69:AO90" si="151">100*(T69/$AJ69)*(($AJ69+$AD69*8/35.45)/$AJ69)</f>
        <v>22.539763919205665</v>
      </c>
      <c r="AP69" s="26">
        <f t="shared" ref="AP69:AP90" si="152">100*(V69/$AJ69)*(($AJ69+$AD69*8/35.45)/$AJ69)</f>
        <v>12.376745366349541</v>
      </c>
      <c r="AQ69" s="26">
        <f t="shared" ref="AQ69:AQ90" si="153">100*(AB69/$AJ69)*(($AJ69+$AD69*8/35.45)/$AJ69)</f>
        <v>0</v>
      </c>
      <c r="AR69" s="26">
        <f t="shared" ref="AR69:AR90" si="154">100*(W69/$AJ69)*(($AJ69+$AD69*8/35.45)/$AJ69)</f>
        <v>16.804198993336367</v>
      </c>
      <c r="AS69" s="26">
        <f t="shared" ref="AS69:AS90" si="155">100*(X69/$AJ69)*(($AJ69+$AD69*8/35.45)/$AJ69)</f>
        <v>22.841635757409314</v>
      </c>
      <c r="AT69" s="26">
        <f t="shared" ref="AT69:AT90" si="156">100*(Z69/$AJ69)*(($AJ69+$AD69*8/35.45)/$AJ69)</f>
        <v>3.3004654310265442</v>
      </c>
      <c r="AU69" s="26">
        <f t="shared" ref="AU69:AU90" si="157">100*(AD69/$AJ69)*(($AJ69+$AD69*8/35.45)/$AJ69)</f>
        <v>2.7369713330464025</v>
      </c>
      <c r="AV69" s="26">
        <f t="shared" si="146"/>
        <v>100.61388367327564</v>
      </c>
      <c r="BB69" s="26">
        <v>0.13</v>
      </c>
      <c r="BC69" s="26">
        <f t="shared" ref="BC69:BC90" si="158">1-BD69</f>
        <v>0.13</v>
      </c>
      <c r="BD69" s="26">
        <f t="shared" ref="BD69:BD90" si="159">1-BB69</f>
        <v>0.87</v>
      </c>
      <c r="BE69" s="4">
        <v>-5.6482749256080993</v>
      </c>
      <c r="BG69" s="4">
        <v>604.49099999999999</v>
      </c>
      <c r="BH69" s="4">
        <v>7.757385541258774</v>
      </c>
      <c r="BL69" s="26"/>
      <c r="DB69" s="45"/>
      <c r="DC69" s="45"/>
      <c r="DD69" s="45"/>
      <c r="DE69" s="45"/>
      <c r="DF69" s="45"/>
      <c r="DG69" s="45"/>
      <c r="DH69" s="45"/>
      <c r="DI69" s="45"/>
      <c r="DJ69" s="45"/>
      <c r="DK69" s="45"/>
      <c r="DL69" s="45"/>
      <c r="DM69" s="45"/>
      <c r="DN69" s="45"/>
      <c r="DO69" s="45"/>
      <c r="DQ69" s="4"/>
      <c r="DR69" s="4"/>
      <c r="DS69" s="4"/>
      <c r="DT69" s="4"/>
      <c r="DU69" s="4"/>
      <c r="DV69" s="4"/>
      <c r="DW69" s="4"/>
      <c r="DX69" s="4"/>
      <c r="DY69" s="4"/>
      <c r="DZ69" s="4"/>
      <c r="EA69" s="4"/>
      <c r="EB69" s="4"/>
      <c r="EC69" s="4"/>
      <c r="ED69" s="4"/>
      <c r="EE69" s="4"/>
      <c r="EF69" s="4"/>
      <c r="EG69" s="4"/>
      <c r="EH69" s="4"/>
      <c r="EI69" s="4"/>
      <c r="EJ69" s="4"/>
      <c r="EL69" s="18">
        <f>IFERROR(CR69/'McDonough &amp; Sun 1995 values'!C$2,)</f>
        <v>0</v>
      </c>
      <c r="EM69" s="18">
        <f>IFERROR(CH69/'McDonough &amp; Sun 1995 values'!D$2,)</f>
        <v>0</v>
      </c>
      <c r="EN69" s="18">
        <f>IFERROR(CS69/'McDonough &amp; Sun 1995 values'!E$2,)</f>
        <v>0</v>
      </c>
      <c r="EO69" s="18">
        <f>IFERROR(DL69/'McDonough &amp; Sun 1995 values'!F$2,)</f>
        <v>0</v>
      </c>
      <c r="EP69" s="18">
        <f>IFERROR(DM69/'McDonough &amp; Sun 1995 values'!G$2,)</f>
        <v>0</v>
      </c>
      <c r="EQ69" s="18">
        <f>IFERROR(BR69/'McDonough &amp; Sun 1995 values'!H$2,)</f>
        <v>0</v>
      </c>
      <c r="ER69" s="18">
        <f>IFERROR(DI69/'McDonough &amp; Sun 1995 values'!I$2,)</f>
        <v>0</v>
      </c>
      <c r="ES69" s="18">
        <f>IFERROR(CM69/'McDonough &amp; Sun 1995 values'!J$2,)</f>
        <v>0</v>
      </c>
      <c r="ET69" s="18">
        <f>IFERROR(CU69/'McDonough &amp; Sun 1995 values'!K$2,)</f>
        <v>0</v>
      </c>
      <c r="EU69" s="18">
        <f>IFERROR(CV69/'McDonough &amp; Sun 1995 values'!L$2,)</f>
        <v>0</v>
      </c>
      <c r="EV69" s="18">
        <f>IFERROR(CW69/'McDonough &amp; Sun 1995 values'!M$2,)</f>
        <v>0</v>
      </c>
      <c r="EW69" s="18">
        <f>IFERROR(CI69/'McDonough &amp; Sun 1995 values'!N$2,)</f>
        <v>0</v>
      </c>
      <c r="EX69" s="18">
        <f>IFERROR(CX69/'McDonough &amp; Sun 1995 values'!O$2,)</f>
        <v>0</v>
      </c>
      <c r="EY69" s="18">
        <f>IFERROR(CY69/'McDonough &amp; Sun 1995 values'!P$2,)</f>
        <v>0</v>
      </c>
      <c r="EZ69" s="18">
        <f>IFERROR(DH69/'McDonough &amp; Sun 1995 values'!Q$2,)</f>
        <v>0</v>
      </c>
      <c r="FA69" s="18">
        <f>IFERROR(CK69/'McDonough &amp; Sun 1995 values'!R$2,)</f>
        <v>0</v>
      </c>
      <c r="FB69" s="18">
        <f>IFERROR(CZ69/'McDonough &amp; Sun 1995 values'!S$2,)</f>
        <v>0</v>
      </c>
      <c r="FC69" s="18">
        <f>IFERROR(BT69/'McDonough &amp; Sun 1995 values'!T$2,)</f>
        <v>0</v>
      </c>
      <c r="FD69" s="18">
        <f>IFERROR(DA69/'McDonough &amp; Sun 1995 values'!U$2,)</f>
        <v>0</v>
      </c>
      <c r="FE69" s="18">
        <f>IFERROR(DN69/'McDonough &amp; Sun 1995 values'!V$2,)</f>
        <v>0</v>
      </c>
      <c r="FF69" s="18">
        <f>IFERROR(DB69/'McDonough &amp; Sun 1995 values'!W$2,)</f>
        <v>0</v>
      </c>
      <c r="FG69" s="18">
        <f>IFERROR(CJ69/'McDonough &amp; Sun 1995 values'!X$2,)</f>
        <v>0</v>
      </c>
      <c r="FH69" s="18">
        <f>IFERROR(DC69/'McDonough &amp; Sun 1995 values'!Y$2,)</f>
        <v>0</v>
      </c>
      <c r="FI69" s="18">
        <f>IFERROR(DD69/'McDonough &amp; Sun 1995 values'!Z$2,)</f>
        <v>0</v>
      </c>
      <c r="FJ69" s="18">
        <f>IFERROR(DE69/'McDonough &amp; Sun 1995 values'!AA$2,)</f>
        <v>0</v>
      </c>
      <c r="FK69" s="18">
        <f>IFERROR(DF69/'McDonough &amp; Sun 1995 values'!AB$2,)</f>
        <v>0</v>
      </c>
      <c r="FL69" s="18">
        <f>IFERROR(DG69/'McDonough &amp; Sun 1995 values'!AC$2,)</f>
        <v>0</v>
      </c>
      <c r="FN69" s="28">
        <f t="shared" ref="FN69:FN90" si="160">IFERROR(BR69/DM69,)</f>
        <v>0</v>
      </c>
      <c r="FO69" s="4">
        <f t="shared" ref="FO69:FO100" si="161">IFERROR(EN69/EP69,)</f>
        <v>0</v>
      </c>
      <c r="FP69" s="4">
        <f t="shared" ref="FP69:FP100" si="162">IFERROR(EO69/ES69,)</f>
        <v>0</v>
      </c>
      <c r="FQ69" s="4">
        <f t="shared" ref="FQ69:FQ100" si="163">IFERROR(EO69/EP69,)</f>
        <v>0</v>
      </c>
      <c r="FR69" s="4">
        <f t="shared" ref="FR69:FR100" si="164">IFERROR(ET69/ES69,)</f>
        <v>0</v>
      </c>
      <c r="FS69" s="4">
        <f t="shared" ref="FS69:FS100" si="165">IFERROR(ET69/ER69,)</f>
        <v>0</v>
      </c>
      <c r="FT69" s="4">
        <f t="shared" ref="FT69:FT100" si="166">IFERROR(EM69/EL69,)</f>
        <v>0</v>
      </c>
      <c r="FU69" s="4">
        <f t="shared" ref="FU69:FU100" si="167">IFERROR(ER69/ES69,)</f>
        <v>0</v>
      </c>
      <c r="FV69" s="4">
        <f t="shared" ref="FV69:FV100" si="168">IFERROR(FA69/EY69,)</f>
        <v>0</v>
      </c>
      <c r="FW69" s="4">
        <f t="shared" ref="FW69:FW100" si="169">IFERROR(FA69/EZ69,)</f>
        <v>0</v>
      </c>
      <c r="FX69" s="4">
        <f t="shared" ref="FX69:FX100" si="170">IFERROR(FB69/(0.5*FD69+0.5*EY69),)</f>
        <v>0</v>
      </c>
      <c r="FY69" s="4">
        <f t="shared" ref="FY69:FY100" si="171">IFERROR(EW69/SQRT(EV69*EX69),)</f>
        <v>0</v>
      </c>
      <c r="FZ69" s="4">
        <f t="shared" ref="FZ69:FZ100" si="172">IFERROR(FB69/SQRT(EY69*FD69),)</f>
        <v>0</v>
      </c>
      <c r="GA69" s="4">
        <f t="shared" ref="GA69:GA100" si="173">IFERROR(EW69/EV69,)</f>
        <v>0</v>
      </c>
      <c r="GB69" s="4">
        <f t="shared" ref="GB69:GB100" si="174">IFERROR(FB69/EY69,)</f>
        <v>0</v>
      </c>
      <c r="GC69" s="4">
        <f t="shared" ref="GC69:GC100" si="175">IFERROR(EL69/EM69,)</f>
        <v>0</v>
      </c>
      <c r="GD69" s="4">
        <f t="shared" ref="GD69:GD100" si="176">IFERROR(EN69/EO69,)</f>
        <v>0</v>
      </c>
      <c r="GE69" s="4">
        <f t="shared" ref="GE69:GE100" si="177">IFERROR(EN69/EM69,)</f>
        <v>0</v>
      </c>
      <c r="GF69" s="4">
        <f t="shared" ref="GF69:GF100" si="178">IFERROR(EN69/EQ69,)</f>
        <v>0</v>
      </c>
      <c r="GG69" s="4">
        <f t="shared" ref="GG69:GG100" si="179">IFERROR(EN69/ES69,)</f>
        <v>0</v>
      </c>
      <c r="GH69" s="4">
        <f t="shared" ref="GH69:GH100" si="180">IFERROR(ET69/EV69,)</f>
        <v>0</v>
      </c>
      <c r="GI69" s="4">
        <f t="shared" ref="GI69:GI100" si="181">IFERROR(ET69/EY69,)</f>
        <v>0</v>
      </c>
      <c r="GJ69" s="4">
        <f t="shared" ref="GJ69:GJ100" si="182">IFERROR(ET69/FF69,)</f>
        <v>0</v>
      </c>
      <c r="GK69" s="4">
        <f t="shared" ref="GK69:GK100" si="183">IFERROR(ET69/FK69,)</f>
        <v>0</v>
      </c>
      <c r="GL69" s="4">
        <f t="shared" ref="GL69:GL100" si="184">IFERROR(FA69/FC69,)</f>
        <v>0</v>
      </c>
      <c r="GM69" s="4">
        <f t="shared" ref="GM69:GM100" si="185">IFERROR(EO69/EM69,)</f>
        <v>0</v>
      </c>
      <c r="GN69" s="4">
        <f t="shared" ref="GN69:GN100" si="186">IFERROR(ES69/ET69,)</f>
        <v>0</v>
      </c>
      <c r="GO69" s="4">
        <f t="shared" ref="GO69:GO100" si="187">IFERROR(ES69/EP69,)</f>
        <v>0</v>
      </c>
      <c r="GP69" s="4">
        <f t="shared" ref="GP69:GP100" si="188">IFERROR(EQ69/EP69,)</f>
        <v>0</v>
      </c>
      <c r="GQ69" s="27">
        <f t="shared" ref="GQ69:GQ100" si="189">AS69*10000/1.20462</f>
        <v>189616.93942827874</v>
      </c>
      <c r="GR69" s="28" t="str">
        <f t="shared" ref="GR69:GR100" si="190">IFERROR(CR69/$BR69*$GQ69,"")</f>
        <v/>
      </c>
      <c r="GS69" s="28" t="str">
        <f t="shared" ref="GS69:GS100" si="191">IFERROR(CH69/$BR69*$GQ69,"")</f>
        <v/>
      </c>
      <c r="GT69" s="28" t="str">
        <f t="shared" ref="GT69:GT100" si="192">IFERROR(CS69/$BR69*$GQ69,"")</f>
        <v/>
      </c>
      <c r="GU69" s="28" t="str">
        <f t="shared" ref="GU69:GU100" si="193">IFERROR(DL69/$BR69*$GQ69,"")</f>
        <v/>
      </c>
      <c r="GV69" s="28" t="str">
        <f t="shared" ref="GV69:GV100" si="194">IFERROR(DM69/$BR69*$GQ69,"")</f>
        <v/>
      </c>
      <c r="GW69" s="28" t="str">
        <f t="shared" ref="GW69:GW100" si="195">IFERROR(BR69/$BR69*$GQ69,"")</f>
        <v/>
      </c>
      <c r="GX69" s="28" t="str">
        <f t="shared" ref="GX69:GX100" si="196">IFERROR(DI69/$BR69*$GQ69,"")</f>
        <v/>
      </c>
      <c r="GY69" s="28" t="str">
        <f t="shared" ref="GY69:GY100" si="197">IFERROR(CM69/$BR69*$GQ69,"")</f>
        <v/>
      </c>
      <c r="GZ69" s="28" t="str">
        <f t="shared" ref="GZ69:GZ100" si="198">IFERROR(CU69/$BR69*$GQ69,"")</f>
        <v/>
      </c>
      <c r="HA69" s="28" t="str">
        <f t="shared" ref="HA69:HA100" si="199">IFERROR(CV69/$BR69*$GQ69,"")</f>
        <v/>
      </c>
      <c r="HB69" s="28" t="str">
        <f t="shared" ref="HB69:HB100" si="200">IFERROR(CW69/$BR69*$GQ69,"")</f>
        <v/>
      </c>
      <c r="HC69" s="28" t="str">
        <f t="shared" ref="HC69:HC100" si="201">IFERROR(CI69/$BR69*$GQ69,"")</f>
        <v/>
      </c>
      <c r="HD69" s="28" t="str">
        <f t="shared" ref="HD69:HD100" si="202">IFERROR(CX69/$BR69*$GQ69,"")</f>
        <v/>
      </c>
      <c r="HE69" s="28" t="str">
        <f t="shared" ref="HE69:HE100" si="203">IFERROR(CY69/$BR69*$GQ69,"")</f>
        <v/>
      </c>
      <c r="HF69" s="28" t="str">
        <f t="shared" ref="HF69:HF100" si="204">IFERROR(DH69/$BR69*$GQ69,"")</f>
        <v/>
      </c>
      <c r="HG69" s="28" t="str">
        <f t="shared" ref="HG69:HG100" si="205">IFERROR(CK69/$BR69*$GQ69,"")</f>
        <v/>
      </c>
      <c r="HH69" s="28" t="str">
        <f t="shared" ref="HH69:HH100" si="206">IFERROR(CZ69/$BR69*$GQ69,"")</f>
        <v/>
      </c>
      <c r="HI69" s="28" t="str">
        <f t="shared" ref="HI69:HI100" si="207">IFERROR(BT69/$BR69*$GQ69,"")</f>
        <v/>
      </c>
      <c r="HJ69" s="28" t="str">
        <f t="shared" ref="HJ69:HJ100" si="208">IFERROR(DA69/$BR69*$GQ69,"")</f>
        <v/>
      </c>
      <c r="HK69" s="28" t="str">
        <f t="shared" ref="HK69:HK100" si="209">IFERROR(DN69/$BR69*$GQ69,"")</f>
        <v/>
      </c>
      <c r="HL69" s="28" t="str">
        <f t="shared" ref="HL69:HL100" si="210">IFERROR(DB69/$BR69*$GQ69,"")</f>
        <v/>
      </c>
      <c r="HM69" s="28" t="str">
        <f t="shared" ref="HM69:HM100" si="211">IFERROR(CJ69/$BR69*$GQ69,"")</f>
        <v/>
      </c>
      <c r="HN69" s="28" t="str">
        <f t="shared" ref="HN69:HN100" si="212">IFERROR(DC69/$BR69*$GQ69,"")</f>
        <v/>
      </c>
      <c r="HO69" s="28" t="str">
        <f t="shared" ref="HO69:HO100" si="213">IFERROR(DD69/$BR69*$GQ69,"")</f>
        <v/>
      </c>
      <c r="HP69" s="28" t="str">
        <f t="shared" ref="HP69:HP100" si="214">IFERROR(DE69/$BR69*$GQ69,"")</f>
        <v/>
      </c>
      <c r="HQ69" s="28" t="str">
        <f t="shared" ref="HQ69:HQ100" si="215">IFERROR(DF69/$BR69*$GQ69,"")</f>
        <v/>
      </c>
      <c r="HR69" s="28" t="str">
        <f t="shared" ref="HR69:HR100" si="216">IFERROR(DG69/$BR69*$GQ69,"")</f>
        <v/>
      </c>
      <c r="HT69" s="4">
        <f>IFERROR(GR69/'McDonough &amp; Sun 1995 values'!C$2,)</f>
        <v>0</v>
      </c>
      <c r="HU69" s="4">
        <f>IFERROR(GS69/'McDonough &amp; Sun 1995 values'!D$2,)</f>
        <v>0</v>
      </c>
      <c r="HV69" s="4">
        <f>IFERROR(GT69/'McDonough &amp; Sun 1995 values'!E$2,)</f>
        <v>0</v>
      </c>
      <c r="HW69" s="4">
        <f>IFERROR(GU69/'McDonough &amp; Sun 1995 values'!F$2,)</f>
        <v>0</v>
      </c>
      <c r="HX69" s="4">
        <f>IFERROR(GV69/'McDonough &amp; Sun 1995 values'!G$2,)</f>
        <v>0</v>
      </c>
      <c r="HY69" s="4">
        <f>IFERROR(GW69/'McDonough &amp; Sun 1995 values'!H$2,)</f>
        <v>0</v>
      </c>
      <c r="HZ69" s="4">
        <f>IFERROR(GX69/'McDonough &amp; Sun 1995 values'!I$2,)</f>
        <v>0</v>
      </c>
      <c r="IA69" s="4">
        <f>IFERROR(GY69/'McDonough &amp; Sun 1995 values'!J$2,)</f>
        <v>0</v>
      </c>
      <c r="IB69" s="4">
        <f>IFERROR(GZ69/'McDonough &amp; Sun 1995 values'!K$2,)</f>
        <v>0</v>
      </c>
      <c r="IC69" s="4">
        <f>IFERROR(HA69/'McDonough &amp; Sun 1995 values'!L$2,)</f>
        <v>0</v>
      </c>
      <c r="ID69" s="4">
        <f>IFERROR(HB69/'McDonough &amp; Sun 1995 values'!M$2,)</f>
        <v>0</v>
      </c>
      <c r="IE69" s="4">
        <f>IFERROR(HC69/'McDonough &amp; Sun 1995 values'!N$2,)</f>
        <v>0</v>
      </c>
      <c r="IF69" s="4">
        <f>IFERROR(HD69/'McDonough &amp; Sun 1995 values'!O$2,)</f>
        <v>0</v>
      </c>
      <c r="IG69" s="4">
        <f>IFERROR(HE69/'McDonough &amp; Sun 1995 values'!P$2,)</f>
        <v>0</v>
      </c>
      <c r="IH69" s="4">
        <f>IFERROR(HF69/'McDonough &amp; Sun 1995 values'!Q$2,)</f>
        <v>0</v>
      </c>
      <c r="II69" s="4">
        <f>IFERROR(HG69/'McDonough &amp; Sun 1995 values'!R$2,)</f>
        <v>0</v>
      </c>
      <c r="IJ69" s="4">
        <f>IFERROR(HH69/'McDonough &amp; Sun 1995 values'!S$2,)</f>
        <v>0</v>
      </c>
      <c r="IK69" s="4">
        <f>IFERROR(HI69/'McDonough &amp; Sun 1995 values'!T$2,)</f>
        <v>0</v>
      </c>
      <c r="IL69" s="4">
        <f>IFERROR(HJ69/'McDonough &amp; Sun 1995 values'!U$2,)</f>
        <v>0</v>
      </c>
      <c r="IM69" s="4">
        <f>IFERROR(HK69/'McDonough &amp; Sun 1995 values'!V$2,)</f>
        <v>0</v>
      </c>
      <c r="IN69" s="4">
        <f>IFERROR(HL69/'McDonough &amp; Sun 1995 values'!W$2,)</f>
        <v>0</v>
      </c>
      <c r="IO69" s="4">
        <f>IFERROR(HM69/'McDonough &amp; Sun 1995 values'!X$2,)</f>
        <v>0</v>
      </c>
      <c r="IP69" s="4">
        <f>IFERROR(HN69/'McDonough &amp; Sun 1995 values'!Y$2,)</f>
        <v>0</v>
      </c>
      <c r="IQ69" s="4">
        <f>IFERROR(HO69/'McDonough &amp; Sun 1995 values'!Z$2,)</f>
        <v>0</v>
      </c>
      <c r="IR69" s="4">
        <f>IFERROR(HP69/'McDonough &amp; Sun 1995 values'!AA$2,)</f>
        <v>0</v>
      </c>
      <c r="IS69" s="4">
        <f>IFERROR(HQ69/'McDonough &amp; Sun 1995 values'!AB$2,)</f>
        <v>0</v>
      </c>
      <c r="IT69" s="4">
        <f>IFERROR(HR69/'McDonough &amp; Sun 1995 values'!AC$2,)</f>
        <v>0</v>
      </c>
    </row>
    <row r="70" spans="1:254">
      <c r="A70" s="16" t="s">
        <v>1656</v>
      </c>
      <c r="B70" s="4" t="s">
        <v>24</v>
      </c>
      <c r="C70" s="16" t="str">
        <f t="shared" si="144"/>
        <v>high-Mg carbonatitic</v>
      </c>
      <c r="D70" s="4" t="s">
        <v>1706</v>
      </c>
      <c r="E70" s="4" t="s">
        <v>237</v>
      </c>
      <c r="F70" s="4" t="s">
        <v>849</v>
      </c>
      <c r="G70" s="4" t="s">
        <v>595</v>
      </c>
      <c r="H70" s="49">
        <v>364</v>
      </c>
      <c r="I70" s="4" t="s">
        <v>1148</v>
      </c>
      <c r="J70" s="4" t="s">
        <v>635</v>
      </c>
      <c r="K70" s="4" t="s">
        <v>1667</v>
      </c>
      <c r="M70" s="4" t="s">
        <v>1669</v>
      </c>
      <c r="N70" s="4">
        <v>20</v>
      </c>
      <c r="O70" s="4">
        <v>18.5</v>
      </c>
      <c r="P70" s="4">
        <v>0.14000000000000001</v>
      </c>
      <c r="R70" s="4">
        <v>2.63</v>
      </c>
      <c r="S70" s="4">
        <v>8.92</v>
      </c>
      <c r="T70" s="4">
        <v>25.2</v>
      </c>
      <c r="V70" s="4">
        <v>16.8</v>
      </c>
      <c r="W70" s="4">
        <v>9.3800000000000008</v>
      </c>
      <c r="X70" s="4">
        <v>14.7</v>
      </c>
      <c r="Z70" s="4">
        <v>2.17</v>
      </c>
      <c r="AD70" s="4">
        <v>1.49</v>
      </c>
      <c r="AJ70" s="26">
        <f t="shared" si="145"/>
        <v>99.929999999999993</v>
      </c>
      <c r="AK70" s="26">
        <f t="shared" si="147"/>
        <v>18.575252175007833</v>
      </c>
      <c r="AL70" s="26">
        <f t="shared" si="148"/>
        <v>0.14056947591897823</v>
      </c>
      <c r="AM70" s="26">
        <f t="shared" si="149"/>
        <v>2.6406980119065189</v>
      </c>
      <c r="AN70" s="26">
        <f t="shared" si="150"/>
        <v>8.9562837514091829</v>
      </c>
      <c r="AO70" s="26">
        <f t="shared" si="151"/>
        <v>25.302505665416074</v>
      </c>
      <c r="AP70" s="26">
        <f t="shared" si="152"/>
        <v>16.868337110277388</v>
      </c>
      <c r="AQ70" s="26">
        <f t="shared" si="153"/>
        <v>0</v>
      </c>
      <c r="AR70" s="26">
        <f t="shared" si="154"/>
        <v>9.418154886571541</v>
      </c>
      <c r="AS70" s="26">
        <f t="shared" si="155"/>
        <v>14.759794971492711</v>
      </c>
      <c r="AT70" s="26">
        <f t="shared" si="156"/>
        <v>2.1788268767441625</v>
      </c>
      <c r="AU70" s="26">
        <f t="shared" si="157"/>
        <v>1.4960608508519824</v>
      </c>
      <c r="AV70" s="26">
        <f t="shared" si="146"/>
        <v>100.33648377559636</v>
      </c>
      <c r="BB70" s="26">
        <v>0.13</v>
      </c>
      <c r="BC70" s="26">
        <f t="shared" si="158"/>
        <v>0.13</v>
      </c>
      <c r="BD70" s="26">
        <f t="shared" si="159"/>
        <v>0.87</v>
      </c>
      <c r="BE70" s="4">
        <v>-5.7432357884313703</v>
      </c>
      <c r="BG70" s="4">
        <v>1108.3800000000001</v>
      </c>
      <c r="BH70" s="4">
        <v>8.4947883867536351</v>
      </c>
      <c r="BL70" s="26"/>
      <c r="BT70" s="44">
        <v>7902.0160099588229</v>
      </c>
      <c r="CH70" s="44">
        <v>224.47069577031715</v>
      </c>
      <c r="CI70" s="44">
        <v>4341.802733953863</v>
      </c>
      <c r="CJ70" s="44">
        <v>22.747700089534078</v>
      </c>
      <c r="CK70" s="44">
        <v>276.11966376682972</v>
      </c>
      <c r="CM70" s="44">
        <v>619.43448103938738</v>
      </c>
      <c r="CR70" s="44">
        <v>3944.7584614239549</v>
      </c>
      <c r="CS70" s="44">
        <v>16111.193601474151</v>
      </c>
      <c r="CU70" s="44">
        <v>286.8362471590525</v>
      </c>
      <c r="CV70" s="44">
        <v>523.63483566726893</v>
      </c>
      <c r="CW70" s="44">
        <v>70.005599016120598</v>
      </c>
      <c r="CX70" s="44">
        <v>326.51838488878485</v>
      </c>
      <c r="CY70" s="44">
        <v>40.590239913513415</v>
      </c>
      <c r="CZ70" s="44">
        <v>10.256552190308955</v>
      </c>
      <c r="DA70" s="44">
        <v>22.070076352757884</v>
      </c>
      <c r="DB70" s="44">
        <v>8.275728366569334</v>
      </c>
      <c r="DC70" s="44">
        <v>3.0385215558076015</v>
      </c>
      <c r="DD70" s="45">
        <v>1.2696372623325383</v>
      </c>
      <c r="DE70" s="45"/>
      <c r="DF70" s="45">
        <v>1.1800473356416399</v>
      </c>
      <c r="DG70" s="45">
        <v>0.40270567709942917</v>
      </c>
      <c r="DH70" s="45">
        <v>7.4536316022641866</v>
      </c>
      <c r="DI70" s="45">
        <v>29.578347031863402</v>
      </c>
      <c r="DJ70" s="45"/>
      <c r="DK70" s="45">
        <v>102.35411665566743</v>
      </c>
      <c r="DL70" s="45">
        <v>24.870254853348101</v>
      </c>
      <c r="DM70" s="45">
        <v>6.3640065271077937</v>
      </c>
      <c r="DN70" s="45">
        <v>2.0137558130558109</v>
      </c>
      <c r="DO70" s="45"/>
      <c r="DP70" s="45"/>
      <c r="DQ70" s="45"/>
      <c r="DS70" s="4"/>
      <c r="DT70" s="4"/>
      <c r="DU70" s="4"/>
      <c r="DV70" s="4"/>
      <c r="DW70" s="4"/>
      <c r="DX70" s="4"/>
      <c r="DY70" s="4"/>
      <c r="DZ70" s="4"/>
      <c r="EA70" s="4"/>
      <c r="EB70" s="4"/>
      <c r="EC70" s="4"/>
      <c r="ED70" s="4"/>
      <c r="EE70" s="4"/>
      <c r="EF70" s="4"/>
      <c r="EG70" s="4"/>
      <c r="EH70" s="4"/>
      <c r="EI70" s="4"/>
      <c r="EJ70" s="4"/>
      <c r="EL70" s="18">
        <f>IFERROR(CR70/'McDonough &amp; Sun 1995 values'!C$2,)</f>
        <v>187845.64102018831</v>
      </c>
      <c r="EM70" s="18">
        <f>IFERROR(CH70/'McDonough &amp; Sun 1995 values'!D$2,)</f>
        <v>374.11782628386192</v>
      </c>
      <c r="EN70" s="18">
        <f>IFERROR(CS70/'McDonough &amp; Sun 1995 values'!E$2,)</f>
        <v>2441.0899396172958</v>
      </c>
      <c r="EO70" s="18">
        <f>IFERROR(DL70/'McDonough &amp; Sun 1995 values'!F$2,)</f>
        <v>312.83339438173709</v>
      </c>
      <c r="EP70" s="18">
        <f>IFERROR(DM70/'McDonough &amp; Sun 1995 values'!G$2,)</f>
        <v>313.49785847821647</v>
      </c>
      <c r="EQ70" s="18">
        <f>IFERROR(BR70/'McDonough &amp; Sun 1995 values'!H$2,)</f>
        <v>0</v>
      </c>
      <c r="ER70" s="18">
        <f>IFERROR(DI70/'McDonough &amp; Sun 1995 values'!I$2,)</f>
        <v>799.41478464495685</v>
      </c>
      <c r="ES70" s="18">
        <f>IFERROR(CM70/'McDonough &amp; Sun 1995 values'!J$2,)</f>
        <v>941.38978881365858</v>
      </c>
      <c r="ET70" s="18">
        <f>IFERROR(CU70/'McDonough &amp; Sun 1995 values'!K$2,)</f>
        <v>442.64852956643904</v>
      </c>
      <c r="EU70" s="18">
        <f>IFERROR(CV70/'McDonough &amp; Sun 1995 values'!L$2,)</f>
        <v>312.61781233866799</v>
      </c>
      <c r="EV70" s="18">
        <f>IFERROR(CW70/'McDonough &amp; Sun 1995 values'!M$2,)</f>
        <v>275.61259455165589</v>
      </c>
      <c r="EW70" s="18">
        <f>IFERROR(CI70/'McDonough &amp; Sun 1995 values'!N$2,)</f>
        <v>218.18104190722931</v>
      </c>
      <c r="EX70" s="18">
        <f>IFERROR(CX70/'McDonough &amp; Sun 1995 values'!O$2,)</f>
        <v>261.21470791102786</v>
      </c>
      <c r="EY70" s="18">
        <f>IFERROR(CY70/'McDonough &amp; Sun 1995 values'!P$2,)</f>
        <v>99.97596037811185</v>
      </c>
      <c r="EZ70" s="18">
        <f>IFERROR(DH70/'McDonough &amp; Sun 1995 values'!Q$2,)</f>
        <v>26.337920856057199</v>
      </c>
      <c r="FA70" s="18">
        <f>IFERROR(CK70/'McDonough &amp; Sun 1995 values'!R$2,)</f>
        <v>26.297110834936163</v>
      </c>
      <c r="FB70" s="18">
        <f>IFERROR(CZ70/'McDonough &amp; Sun 1995 values'!S$2,)</f>
        <v>66.60098824875945</v>
      </c>
      <c r="FC70" s="18">
        <f>IFERROR(BT70/'McDonough &amp; Sun 1995 values'!T$2,)</f>
        <v>6.5576896348205995</v>
      </c>
      <c r="FD70" s="18">
        <f>IFERROR(DA70/'McDonough &amp; Sun 1995 values'!U$2,)</f>
        <v>40.569993295510812</v>
      </c>
      <c r="FE70" s="18">
        <f>IFERROR(DN70/'McDonough &amp; Sun 1995 values'!V$2,)</f>
        <v>20.340967808644553</v>
      </c>
      <c r="FF70" s="18">
        <f>IFERROR(DB70/'McDonough &amp; Sun 1995 values'!W$2,)</f>
        <v>12.278528733782395</v>
      </c>
      <c r="FG70" s="18">
        <f>IFERROR(CJ70/'McDonough &amp; Sun 1995 values'!X$2,)</f>
        <v>5.2901628115195534</v>
      </c>
      <c r="FH70" s="18">
        <f>IFERROR(DC70/'McDonough &amp; Sun 1995 values'!Y$2,)</f>
        <v>20.392762119514106</v>
      </c>
      <c r="FI70" s="18">
        <f>IFERROR(DD70/'McDonough &amp; Sun 1995 values'!Z$2,)</f>
        <v>2.8987152108048817</v>
      </c>
      <c r="FJ70" s="18">
        <f>IFERROR(DE70/'McDonough &amp; Sun 1995 values'!AA$2,)</f>
        <v>0</v>
      </c>
      <c r="FK70" s="18">
        <f>IFERROR(DF70/'McDonough &amp; Sun 1995 values'!AB$2,)</f>
        <v>2.67584429850712</v>
      </c>
      <c r="FL70" s="18">
        <f>IFERROR(DG70/'McDonough &amp; Sun 1995 values'!AC$2,)</f>
        <v>5.9660100311026536</v>
      </c>
      <c r="FN70" s="28">
        <f t="shared" si="160"/>
        <v>0</v>
      </c>
      <c r="FO70" s="4">
        <f t="shared" si="161"/>
        <v>7.7866239707883551</v>
      </c>
      <c r="FP70" s="4">
        <f t="shared" si="162"/>
        <v>0.33231016322789142</v>
      </c>
      <c r="FQ70" s="4">
        <f t="shared" si="163"/>
        <v>0.99788048282146224</v>
      </c>
      <c r="FR70" s="4">
        <f t="shared" si="164"/>
        <v>0.47020748984781918</v>
      </c>
      <c r="FS70" s="4">
        <f t="shared" si="165"/>
        <v>0.55371571563194444</v>
      </c>
      <c r="FT70" s="4">
        <f t="shared" si="166"/>
        <v>1.9916236770362661E-3</v>
      </c>
      <c r="FU70" s="4">
        <f t="shared" si="167"/>
        <v>0.84918574021541182</v>
      </c>
      <c r="FV70" s="4">
        <f t="shared" si="168"/>
        <v>0.26303434081032839</v>
      </c>
      <c r="FW70" s="4">
        <f t="shared" si="169"/>
        <v>0.99845052229657483</v>
      </c>
      <c r="FX70" s="4">
        <f t="shared" si="170"/>
        <v>0.94774679039740972</v>
      </c>
      <c r="FY70" s="4">
        <f t="shared" si="171"/>
        <v>0.81314625905142857</v>
      </c>
      <c r="FZ70" s="4">
        <f t="shared" si="172"/>
        <v>1.0457561158261843</v>
      </c>
      <c r="GA70" s="4">
        <f t="shared" si="173"/>
        <v>0.79162217627299813</v>
      </c>
      <c r="GB70" s="4">
        <f t="shared" si="174"/>
        <v>0.66617002724327601</v>
      </c>
      <c r="GC70" s="4">
        <f t="shared" si="175"/>
        <v>502.10288797535253</v>
      </c>
      <c r="GD70" s="4">
        <f t="shared" si="176"/>
        <v>7.803162908620104</v>
      </c>
      <c r="GE70" s="4">
        <f t="shared" si="177"/>
        <v>6.52492281339494</v>
      </c>
      <c r="GF70" s="4">
        <f t="shared" si="178"/>
        <v>0</v>
      </c>
      <c r="GG70" s="4">
        <f t="shared" si="179"/>
        <v>2.5930703398573747</v>
      </c>
      <c r="GH70" s="4">
        <f t="shared" si="180"/>
        <v>1.6060533455900432</v>
      </c>
      <c r="GI70" s="4">
        <f t="shared" si="181"/>
        <v>4.4275496618620123</v>
      </c>
      <c r="GJ70" s="4">
        <f t="shared" si="182"/>
        <v>36.050616418607461</v>
      </c>
      <c r="GK70" s="4">
        <f t="shared" si="183"/>
        <v>165.42387380812741</v>
      </c>
      <c r="GL70" s="4">
        <f t="shared" si="184"/>
        <v>4.0101182427575468</v>
      </c>
      <c r="GM70" s="4">
        <f t="shared" si="185"/>
        <v>0.83618949005753807</v>
      </c>
      <c r="GN70" s="4">
        <f t="shared" si="186"/>
        <v>2.1267206958435434</v>
      </c>
      <c r="GO70" s="4">
        <f t="shared" si="187"/>
        <v>3.0028587543894543</v>
      </c>
      <c r="GP70" s="4">
        <f t="shared" si="188"/>
        <v>0</v>
      </c>
      <c r="GQ70" s="27">
        <f t="shared" si="189"/>
        <v>122526.56415710109</v>
      </c>
      <c r="GR70" s="28" t="str">
        <f t="shared" si="190"/>
        <v/>
      </c>
      <c r="GS70" s="28" t="str">
        <f t="shared" si="191"/>
        <v/>
      </c>
      <c r="GT70" s="28" t="str">
        <f t="shared" si="192"/>
        <v/>
      </c>
      <c r="GU70" s="28" t="str">
        <f t="shared" si="193"/>
        <v/>
      </c>
      <c r="GV70" s="28" t="str">
        <f t="shared" si="194"/>
        <v/>
      </c>
      <c r="GW70" s="28" t="str">
        <f t="shared" si="195"/>
        <v/>
      </c>
      <c r="GX70" s="28" t="str">
        <f t="shared" si="196"/>
        <v/>
      </c>
      <c r="GY70" s="28" t="str">
        <f t="shared" si="197"/>
        <v/>
      </c>
      <c r="GZ70" s="28" t="str">
        <f t="shared" si="198"/>
        <v/>
      </c>
      <c r="HA70" s="28" t="str">
        <f t="shared" si="199"/>
        <v/>
      </c>
      <c r="HB70" s="28" t="str">
        <f t="shared" si="200"/>
        <v/>
      </c>
      <c r="HC70" s="28" t="str">
        <f t="shared" si="201"/>
        <v/>
      </c>
      <c r="HD70" s="28" t="str">
        <f t="shared" si="202"/>
        <v/>
      </c>
      <c r="HE70" s="28" t="str">
        <f t="shared" si="203"/>
        <v/>
      </c>
      <c r="HF70" s="28" t="str">
        <f t="shared" si="204"/>
        <v/>
      </c>
      <c r="HG70" s="28" t="str">
        <f t="shared" si="205"/>
        <v/>
      </c>
      <c r="HH70" s="28" t="str">
        <f t="shared" si="206"/>
        <v/>
      </c>
      <c r="HI70" s="28" t="str">
        <f t="shared" si="207"/>
        <v/>
      </c>
      <c r="HJ70" s="28" t="str">
        <f t="shared" si="208"/>
        <v/>
      </c>
      <c r="HK70" s="28" t="str">
        <f t="shared" si="209"/>
        <v/>
      </c>
      <c r="HL70" s="28" t="str">
        <f t="shared" si="210"/>
        <v/>
      </c>
      <c r="HM70" s="28" t="str">
        <f t="shared" si="211"/>
        <v/>
      </c>
      <c r="HN70" s="28" t="str">
        <f t="shared" si="212"/>
        <v/>
      </c>
      <c r="HO70" s="28" t="str">
        <f t="shared" si="213"/>
        <v/>
      </c>
      <c r="HP70" s="28" t="str">
        <f t="shared" si="214"/>
        <v/>
      </c>
      <c r="HQ70" s="28" t="str">
        <f t="shared" si="215"/>
        <v/>
      </c>
      <c r="HR70" s="28" t="str">
        <f t="shared" si="216"/>
        <v/>
      </c>
      <c r="HT70" s="4">
        <f>IFERROR(GR70/'McDonough &amp; Sun 1995 values'!C$2,)</f>
        <v>0</v>
      </c>
      <c r="HU70" s="4">
        <f>IFERROR(GS70/'McDonough &amp; Sun 1995 values'!D$2,)</f>
        <v>0</v>
      </c>
      <c r="HV70" s="4">
        <f>IFERROR(GT70/'McDonough &amp; Sun 1995 values'!E$2,)</f>
        <v>0</v>
      </c>
      <c r="HW70" s="4">
        <f>IFERROR(GU70/'McDonough &amp; Sun 1995 values'!F$2,)</f>
        <v>0</v>
      </c>
      <c r="HX70" s="4">
        <f>IFERROR(GV70/'McDonough &amp; Sun 1995 values'!G$2,)</f>
        <v>0</v>
      </c>
      <c r="HY70" s="4">
        <f>IFERROR(GW70/'McDonough &amp; Sun 1995 values'!H$2,)</f>
        <v>0</v>
      </c>
      <c r="HZ70" s="4">
        <f>IFERROR(GX70/'McDonough &amp; Sun 1995 values'!I$2,)</f>
        <v>0</v>
      </c>
      <c r="IA70" s="4">
        <f>IFERROR(GY70/'McDonough &amp; Sun 1995 values'!J$2,)</f>
        <v>0</v>
      </c>
      <c r="IB70" s="4">
        <f>IFERROR(GZ70/'McDonough &amp; Sun 1995 values'!K$2,)</f>
        <v>0</v>
      </c>
      <c r="IC70" s="4">
        <f>IFERROR(HA70/'McDonough &amp; Sun 1995 values'!L$2,)</f>
        <v>0</v>
      </c>
      <c r="ID70" s="4">
        <f>IFERROR(HB70/'McDonough &amp; Sun 1995 values'!M$2,)</f>
        <v>0</v>
      </c>
      <c r="IE70" s="4">
        <f>IFERROR(HC70/'McDonough &amp; Sun 1995 values'!N$2,)</f>
        <v>0</v>
      </c>
      <c r="IF70" s="4">
        <f>IFERROR(HD70/'McDonough &amp; Sun 1995 values'!O$2,)</f>
        <v>0</v>
      </c>
      <c r="IG70" s="4">
        <f>IFERROR(HE70/'McDonough &amp; Sun 1995 values'!P$2,)</f>
        <v>0</v>
      </c>
      <c r="IH70" s="4">
        <f>IFERROR(HF70/'McDonough &amp; Sun 1995 values'!Q$2,)</f>
        <v>0</v>
      </c>
      <c r="II70" s="4">
        <f>IFERROR(HG70/'McDonough &amp; Sun 1995 values'!R$2,)</f>
        <v>0</v>
      </c>
      <c r="IJ70" s="4">
        <f>IFERROR(HH70/'McDonough &amp; Sun 1995 values'!S$2,)</f>
        <v>0</v>
      </c>
      <c r="IK70" s="4">
        <f>IFERROR(HI70/'McDonough &amp; Sun 1995 values'!T$2,)</f>
        <v>0</v>
      </c>
      <c r="IL70" s="4">
        <f>IFERROR(HJ70/'McDonough &amp; Sun 1995 values'!U$2,)</f>
        <v>0</v>
      </c>
      <c r="IM70" s="4">
        <f>IFERROR(HK70/'McDonough &amp; Sun 1995 values'!V$2,)</f>
        <v>0</v>
      </c>
      <c r="IN70" s="4">
        <f>IFERROR(HL70/'McDonough &amp; Sun 1995 values'!W$2,)</f>
        <v>0</v>
      </c>
      <c r="IO70" s="4">
        <f>IFERROR(HM70/'McDonough &amp; Sun 1995 values'!X$2,)</f>
        <v>0</v>
      </c>
      <c r="IP70" s="4">
        <f>IFERROR(HN70/'McDonough &amp; Sun 1995 values'!Y$2,)</f>
        <v>0</v>
      </c>
      <c r="IQ70" s="4">
        <f>IFERROR(HO70/'McDonough &amp; Sun 1995 values'!Z$2,)</f>
        <v>0</v>
      </c>
      <c r="IR70" s="4">
        <f>IFERROR(HP70/'McDonough &amp; Sun 1995 values'!AA$2,)</f>
        <v>0</v>
      </c>
      <c r="IS70" s="4">
        <f>IFERROR(HQ70/'McDonough &amp; Sun 1995 values'!AB$2,)</f>
        <v>0</v>
      </c>
      <c r="IT70" s="4">
        <f>IFERROR(HR70/'McDonough &amp; Sun 1995 values'!AC$2,)</f>
        <v>0</v>
      </c>
    </row>
    <row r="71" spans="1:254">
      <c r="A71" s="16" t="s">
        <v>1656</v>
      </c>
      <c r="B71" s="4" t="s">
        <v>24</v>
      </c>
      <c r="C71" s="16" t="str">
        <f t="shared" si="144"/>
        <v>high-Mg carbonatitic</v>
      </c>
      <c r="D71" s="4" t="s">
        <v>1706</v>
      </c>
      <c r="E71" s="4" t="s">
        <v>237</v>
      </c>
      <c r="F71" s="4" t="s">
        <v>849</v>
      </c>
      <c r="G71" s="4" t="s">
        <v>595</v>
      </c>
      <c r="H71" s="49">
        <v>364</v>
      </c>
      <c r="I71" s="4" t="s">
        <v>1148</v>
      </c>
      <c r="J71" s="4" t="s">
        <v>635</v>
      </c>
      <c r="K71" s="4" t="s">
        <v>1667</v>
      </c>
      <c r="M71" s="4" t="s">
        <v>1670</v>
      </c>
      <c r="N71" s="4">
        <v>24</v>
      </c>
      <c r="O71" s="4">
        <v>8.75</v>
      </c>
      <c r="P71" s="4">
        <v>1.49</v>
      </c>
      <c r="R71" s="4">
        <v>1.71</v>
      </c>
      <c r="S71" s="4">
        <v>8.89</v>
      </c>
      <c r="T71" s="4">
        <v>21.3</v>
      </c>
      <c r="V71" s="4">
        <v>15.4</v>
      </c>
      <c r="W71" s="4">
        <v>17.600000000000001</v>
      </c>
      <c r="X71" s="4">
        <v>17.3</v>
      </c>
      <c r="Z71" s="4">
        <v>5.54</v>
      </c>
      <c r="AD71" s="4">
        <v>1.98</v>
      </c>
      <c r="AJ71" s="26">
        <f t="shared" si="145"/>
        <v>99.960000000000008</v>
      </c>
      <c r="AK71" s="26">
        <f t="shared" si="147"/>
        <v>8.7926300173623382</v>
      </c>
      <c r="AL71" s="26">
        <f t="shared" si="148"/>
        <v>1.4972592829565583</v>
      </c>
      <c r="AM71" s="26">
        <f t="shared" si="149"/>
        <v>1.7183311233930969</v>
      </c>
      <c r="AN71" s="26">
        <f t="shared" si="150"/>
        <v>8.9333120976401368</v>
      </c>
      <c r="AO71" s="26">
        <f t="shared" si="151"/>
        <v>21.403773642264891</v>
      </c>
      <c r="AP71" s="26">
        <f t="shared" si="152"/>
        <v>15.475028830557715</v>
      </c>
      <c r="AQ71" s="26">
        <f t="shared" si="153"/>
        <v>0</v>
      </c>
      <c r="AR71" s="26">
        <f t="shared" si="154"/>
        <v>17.685747234923102</v>
      </c>
      <c r="AS71" s="26">
        <f t="shared" si="155"/>
        <v>17.384285634327821</v>
      </c>
      <c r="AT71" s="26">
        <f t="shared" si="156"/>
        <v>5.5669908909928401</v>
      </c>
      <c r="AU71" s="26">
        <f t="shared" si="157"/>
        <v>1.989646563928849</v>
      </c>
      <c r="AV71" s="26">
        <f t="shared" si="146"/>
        <v>100.44700531834735</v>
      </c>
      <c r="BB71" s="26">
        <v>0.11</v>
      </c>
      <c r="BC71" s="26">
        <f t="shared" si="158"/>
        <v>0.10999999999999999</v>
      </c>
      <c r="BD71" s="26">
        <f t="shared" si="159"/>
        <v>0.89</v>
      </c>
      <c r="BE71" s="4">
        <v>-6.4366372373916469</v>
      </c>
      <c r="BG71" s="4">
        <v>1143.8306249999998</v>
      </c>
      <c r="BH71" s="4">
        <v>6.2262105188733905</v>
      </c>
      <c r="BL71" s="26"/>
      <c r="BT71" s="44">
        <v>10648.314256849566</v>
      </c>
      <c r="CH71" s="44">
        <v>4.9232609314273486</v>
      </c>
      <c r="CI71" s="44">
        <v>4406.8052639386797</v>
      </c>
      <c r="CJ71" s="44">
        <v>22.062934856681892</v>
      </c>
      <c r="CK71" s="44">
        <v>248.13196520235564</v>
      </c>
      <c r="CM71" s="44">
        <v>792.83520408687207</v>
      </c>
      <c r="CS71" s="44">
        <v>14949.549592041454</v>
      </c>
      <c r="CU71" s="44">
        <v>340.51590873733682</v>
      </c>
      <c r="CV71" s="44">
        <v>657.08624198352686</v>
      </c>
      <c r="CW71" s="44">
        <v>83.213574960855979</v>
      </c>
      <c r="CX71" s="44">
        <v>364.71573893535611</v>
      </c>
      <c r="CY71" s="44">
        <v>39.332766545894167</v>
      </c>
      <c r="CZ71" s="44">
        <v>11.047446686577731</v>
      </c>
      <c r="DA71" s="44">
        <v>19.064187581150335</v>
      </c>
      <c r="DB71" s="44">
        <v>6.4596001415496973</v>
      </c>
      <c r="DC71" s="44">
        <v>1.2666911022702247</v>
      </c>
      <c r="DD71" s="44">
        <v>2.2663138425566052</v>
      </c>
      <c r="DF71" s="45">
        <v>1.1575354750425733</v>
      </c>
      <c r="DG71" s="45">
        <v>0.27654858048570086</v>
      </c>
      <c r="DH71" s="45">
        <v>8.9729799293410544</v>
      </c>
      <c r="DI71" s="45">
        <v>40.72877145153322</v>
      </c>
      <c r="DJ71" s="45"/>
      <c r="DK71" s="45">
        <v>102.25102848520623</v>
      </c>
      <c r="DL71" s="45">
        <v>25.933819982960756</v>
      </c>
      <c r="DM71" s="45">
        <v>6.3784004924529194</v>
      </c>
      <c r="DN71" s="45">
        <v>1.380410567147732</v>
      </c>
      <c r="DO71" s="45"/>
      <c r="DP71" s="45"/>
      <c r="DQ71" s="45"/>
      <c r="DR71" s="45"/>
      <c r="DS71" s="45"/>
      <c r="DU71" s="4"/>
      <c r="DV71" s="4"/>
      <c r="DW71" s="4"/>
      <c r="DX71" s="4"/>
      <c r="DY71" s="4"/>
      <c r="DZ71" s="4"/>
      <c r="EA71" s="4"/>
      <c r="EB71" s="4"/>
      <c r="EC71" s="4"/>
      <c r="ED71" s="4"/>
      <c r="EE71" s="4"/>
      <c r="EF71" s="4"/>
      <c r="EG71" s="4"/>
      <c r="EH71" s="4"/>
      <c r="EI71" s="4"/>
      <c r="EJ71" s="4"/>
      <c r="EL71" s="18">
        <f>IFERROR(CR71/'McDonough &amp; Sun 1995 values'!C$2,)</f>
        <v>0</v>
      </c>
      <c r="EM71" s="18">
        <f>IFERROR(CH71/'McDonough &amp; Sun 1995 values'!D$2,)</f>
        <v>8.2054348857122488</v>
      </c>
      <c r="EN71" s="18">
        <f>IFERROR(CS71/'McDonough &amp; Sun 1995 values'!E$2,)</f>
        <v>2265.0832715214324</v>
      </c>
      <c r="EO71" s="18">
        <f>IFERROR(DL71/'McDonough &amp; Sun 1995 values'!F$2,)</f>
        <v>326.2115721127139</v>
      </c>
      <c r="EP71" s="18">
        <f>IFERROR(DM71/'McDonough &amp; Sun 1995 values'!G$2,)</f>
        <v>314.20692081048867</v>
      </c>
      <c r="EQ71" s="18">
        <f>IFERROR(BR71/'McDonough &amp; Sun 1995 values'!H$2,)</f>
        <v>0</v>
      </c>
      <c r="ER71" s="18">
        <f>IFERROR(DI71/'McDonough &amp; Sun 1995 values'!I$2,)</f>
        <v>1100.7776067981952</v>
      </c>
      <c r="ES71" s="18">
        <f>IFERROR(CM71/'McDonough &amp; Sun 1995 values'!J$2,)</f>
        <v>1204.9167235362797</v>
      </c>
      <c r="ET71" s="18">
        <f>IFERROR(CU71/'McDonough &amp; Sun 1995 values'!K$2,)</f>
        <v>525.48751348354449</v>
      </c>
      <c r="EU71" s="18">
        <f>IFERROR(CV71/'McDonough &amp; Sun 1995 values'!L$2,)</f>
        <v>392.29029372150859</v>
      </c>
      <c r="EV71" s="18">
        <f>IFERROR(CW71/'McDonough &amp; Sun 1995 values'!M$2,)</f>
        <v>327.61249984588966</v>
      </c>
      <c r="EW71" s="18">
        <f>IFERROR(CI71/'McDonough &amp; Sun 1995 values'!N$2,)</f>
        <v>221.44750070043619</v>
      </c>
      <c r="EX71" s="18">
        <f>IFERROR(CX71/'McDonough &amp; Sun 1995 values'!O$2,)</f>
        <v>291.7725911482849</v>
      </c>
      <c r="EY71" s="18">
        <f>IFERROR(CY71/'McDonough &amp; Sun 1995 values'!P$2,)</f>
        <v>96.87873533471469</v>
      </c>
      <c r="EZ71" s="18">
        <f>IFERROR(DH71/'McDonough &amp; Sun 1995 values'!Q$2,)</f>
        <v>31.706642859862384</v>
      </c>
      <c r="FA71" s="18">
        <f>IFERROR(CK71/'McDonough &amp; Sun 1995 values'!R$2,)</f>
        <v>23.63161573355768</v>
      </c>
      <c r="FB71" s="18">
        <f>IFERROR(CZ71/'McDonough &amp; Sun 1995 values'!S$2,)</f>
        <v>71.736666795959295</v>
      </c>
      <c r="FC71" s="18">
        <f>IFERROR(BT71/'McDonough &amp; Sun 1995 values'!T$2,)</f>
        <v>8.8367753168876071</v>
      </c>
      <c r="FD71" s="18">
        <f>IFERROR(DA71/'McDonough &amp; Sun 1995 values'!U$2,)</f>
        <v>35.044462465349881</v>
      </c>
      <c r="FE71" s="18">
        <f>IFERROR(DN71/'McDonough &amp; Sun 1995 values'!V$2,)</f>
        <v>13.943541082300323</v>
      </c>
      <c r="FF71" s="18">
        <f>IFERROR(DB71/'McDonough &amp; Sun 1995 values'!W$2,)</f>
        <v>9.5839764711419839</v>
      </c>
      <c r="FG71" s="18">
        <f>IFERROR(CJ71/'McDonough &amp; Sun 1995 values'!X$2,)</f>
        <v>5.1309150829492776</v>
      </c>
      <c r="FH71" s="18">
        <f>IFERROR(DC71/'McDonough &amp; Sun 1995 values'!Y$2,)</f>
        <v>8.5012825655719784</v>
      </c>
      <c r="FI71" s="18">
        <f>IFERROR(DD71/'McDonough &amp; Sun 1995 values'!Z$2,)</f>
        <v>5.1742325172525234</v>
      </c>
      <c r="FJ71" s="18">
        <f>IFERROR(DE71/'McDonough &amp; Sun 1995 values'!AA$2,)</f>
        <v>0</v>
      </c>
      <c r="FK71" s="18">
        <f>IFERROR(DF71/'McDonough &amp; Sun 1995 values'!AB$2,)</f>
        <v>2.6247969955613906</v>
      </c>
      <c r="FL71" s="18">
        <f>IFERROR(DG71/'McDonough &amp; Sun 1995 values'!AC$2,)</f>
        <v>4.0970160071955677</v>
      </c>
      <c r="FN71" s="28">
        <f t="shared" si="160"/>
        <v>0</v>
      </c>
      <c r="FO71" s="4">
        <f t="shared" si="161"/>
        <v>7.2088904524404125</v>
      </c>
      <c r="FP71" s="4">
        <f t="shared" si="162"/>
        <v>0.27073370776639549</v>
      </c>
      <c r="FQ71" s="4">
        <f t="shared" si="163"/>
        <v>1.0382061963220273</v>
      </c>
      <c r="FR71" s="4">
        <f t="shared" si="164"/>
        <v>0.43611936262392015</v>
      </c>
      <c r="FS71" s="4">
        <f t="shared" si="165"/>
        <v>0.47737845522858802</v>
      </c>
      <c r="FT71" s="4">
        <f t="shared" si="166"/>
        <v>0</v>
      </c>
      <c r="FU71" s="4">
        <f t="shared" si="167"/>
        <v>0.91357152348881898</v>
      </c>
      <c r="FV71" s="4">
        <f t="shared" si="168"/>
        <v>0.2439298536661402</v>
      </c>
      <c r="FW71" s="4">
        <f t="shared" si="169"/>
        <v>0.74532065214236465</v>
      </c>
      <c r="FX71" s="4">
        <f t="shared" si="170"/>
        <v>1.0875519695130402</v>
      </c>
      <c r="FY71" s="4">
        <f t="shared" si="171"/>
        <v>0.71625605301987794</v>
      </c>
      <c r="FZ71" s="4">
        <f t="shared" si="172"/>
        <v>1.2311678376321336</v>
      </c>
      <c r="GA71" s="4">
        <f t="shared" si="173"/>
        <v>0.6759433806848214</v>
      </c>
      <c r="GB71" s="4">
        <f t="shared" si="174"/>
        <v>0.74047897661039963</v>
      </c>
      <c r="GC71" s="4">
        <f t="shared" si="175"/>
        <v>0</v>
      </c>
      <c r="GD71" s="4">
        <f t="shared" si="176"/>
        <v>6.9436018374565567</v>
      </c>
      <c r="GE71" s="4">
        <f t="shared" si="177"/>
        <v>276.0467060028127</v>
      </c>
      <c r="GF71" s="4">
        <f t="shared" si="178"/>
        <v>0</v>
      </c>
      <c r="GG71" s="4">
        <f t="shared" si="179"/>
        <v>1.8798670707081702</v>
      </c>
      <c r="GH71" s="4">
        <f t="shared" si="180"/>
        <v>1.6039910373710897</v>
      </c>
      <c r="GI71" s="4">
        <f t="shared" si="181"/>
        <v>5.4241780889066353</v>
      </c>
      <c r="GJ71" s="4">
        <f t="shared" si="182"/>
        <v>54.829800038201654</v>
      </c>
      <c r="GK71" s="4">
        <f t="shared" si="183"/>
        <v>200.20120198710964</v>
      </c>
      <c r="GL71" s="4">
        <f t="shared" si="184"/>
        <v>2.674235214331663</v>
      </c>
      <c r="GM71" s="4">
        <f t="shared" si="185"/>
        <v>39.755549420144845</v>
      </c>
      <c r="GN71" s="4">
        <f t="shared" si="186"/>
        <v>2.2929502464267619</v>
      </c>
      <c r="GO71" s="4">
        <f t="shared" si="187"/>
        <v>3.8347873446842864</v>
      </c>
      <c r="GP71" s="4">
        <f t="shared" si="188"/>
        <v>0</v>
      </c>
      <c r="GQ71" s="27">
        <f t="shared" si="189"/>
        <v>144313.4402079313</v>
      </c>
      <c r="GR71" s="28" t="str">
        <f t="shared" si="190"/>
        <v/>
      </c>
      <c r="GS71" s="28" t="str">
        <f t="shared" si="191"/>
        <v/>
      </c>
      <c r="GT71" s="28" t="str">
        <f t="shared" si="192"/>
        <v/>
      </c>
      <c r="GU71" s="28" t="str">
        <f t="shared" si="193"/>
        <v/>
      </c>
      <c r="GV71" s="28" t="str">
        <f t="shared" si="194"/>
        <v/>
      </c>
      <c r="GW71" s="28" t="str">
        <f t="shared" si="195"/>
        <v/>
      </c>
      <c r="GX71" s="28" t="str">
        <f t="shared" si="196"/>
        <v/>
      </c>
      <c r="GY71" s="28" t="str">
        <f t="shared" si="197"/>
        <v/>
      </c>
      <c r="GZ71" s="28" t="str">
        <f t="shared" si="198"/>
        <v/>
      </c>
      <c r="HA71" s="28" t="str">
        <f t="shared" si="199"/>
        <v/>
      </c>
      <c r="HB71" s="28" t="str">
        <f t="shared" si="200"/>
        <v/>
      </c>
      <c r="HC71" s="28" t="str">
        <f t="shared" si="201"/>
        <v/>
      </c>
      <c r="HD71" s="28" t="str">
        <f t="shared" si="202"/>
        <v/>
      </c>
      <c r="HE71" s="28" t="str">
        <f t="shared" si="203"/>
        <v/>
      </c>
      <c r="HF71" s="28" t="str">
        <f t="shared" si="204"/>
        <v/>
      </c>
      <c r="HG71" s="28" t="str">
        <f t="shared" si="205"/>
        <v/>
      </c>
      <c r="HH71" s="28" t="str">
        <f t="shared" si="206"/>
        <v/>
      </c>
      <c r="HI71" s="28" t="str">
        <f t="shared" si="207"/>
        <v/>
      </c>
      <c r="HJ71" s="28" t="str">
        <f t="shared" si="208"/>
        <v/>
      </c>
      <c r="HK71" s="28" t="str">
        <f t="shared" si="209"/>
        <v/>
      </c>
      <c r="HL71" s="28" t="str">
        <f t="shared" si="210"/>
        <v/>
      </c>
      <c r="HM71" s="28" t="str">
        <f t="shared" si="211"/>
        <v/>
      </c>
      <c r="HN71" s="28" t="str">
        <f t="shared" si="212"/>
        <v/>
      </c>
      <c r="HO71" s="28" t="str">
        <f t="shared" si="213"/>
        <v/>
      </c>
      <c r="HP71" s="28" t="str">
        <f t="shared" si="214"/>
        <v/>
      </c>
      <c r="HQ71" s="28" t="str">
        <f t="shared" si="215"/>
        <v/>
      </c>
      <c r="HR71" s="28" t="str">
        <f t="shared" si="216"/>
        <v/>
      </c>
      <c r="HT71" s="4">
        <f>IFERROR(GR71/'McDonough &amp; Sun 1995 values'!C$2,)</f>
        <v>0</v>
      </c>
      <c r="HU71" s="4">
        <f>IFERROR(GS71/'McDonough &amp; Sun 1995 values'!D$2,)</f>
        <v>0</v>
      </c>
      <c r="HV71" s="4">
        <f>IFERROR(GT71/'McDonough &amp; Sun 1995 values'!E$2,)</f>
        <v>0</v>
      </c>
      <c r="HW71" s="4">
        <f>IFERROR(GU71/'McDonough &amp; Sun 1995 values'!F$2,)</f>
        <v>0</v>
      </c>
      <c r="HX71" s="4">
        <f>IFERROR(GV71/'McDonough &amp; Sun 1995 values'!G$2,)</f>
        <v>0</v>
      </c>
      <c r="HY71" s="4">
        <f>IFERROR(GW71/'McDonough &amp; Sun 1995 values'!H$2,)</f>
        <v>0</v>
      </c>
      <c r="HZ71" s="4">
        <f>IFERROR(GX71/'McDonough &amp; Sun 1995 values'!I$2,)</f>
        <v>0</v>
      </c>
      <c r="IA71" s="4">
        <f>IFERROR(GY71/'McDonough &amp; Sun 1995 values'!J$2,)</f>
        <v>0</v>
      </c>
      <c r="IB71" s="4">
        <f>IFERROR(GZ71/'McDonough &amp; Sun 1995 values'!K$2,)</f>
        <v>0</v>
      </c>
      <c r="IC71" s="4">
        <f>IFERROR(HA71/'McDonough &amp; Sun 1995 values'!L$2,)</f>
        <v>0</v>
      </c>
      <c r="ID71" s="4">
        <f>IFERROR(HB71/'McDonough &amp; Sun 1995 values'!M$2,)</f>
        <v>0</v>
      </c>
      <c r="IE71" s="4">
        <f>IFERROR(HC71/'McDonough &amp; Sun 1995 values'!N$2,)</f>
        <v>0</v>
      </c>
      <c r="IF71" s="4">
        <f>IFERROR(HD71/'McDonough &amp; Sun 1995 values'!O$2,)</f>
        <v>0</v>
      </c>
      <c r="IG71" s="4">
        <f>IFERROR(HE71/'McDonough &amp; Sun 1995 values'!P$2,)</f>
        <v>0</v>
      </c>
      <c r="IH71" s="4">
        <f>IFERROR(HF71/'McDonough &amp; Sun 1995 values'!Q$2,)</f>
        <v>0</v>
      </c>
      <c r="II71" s="4">
        <f>IFERROR(HG71/'McDonough &amp; Sun 1995 values'!R$2,)</f>
        <v>0</v>
      </c>
      <c r="IJ71" s="4">
        <f>IFERROR(HH71/'McDonough &amp; Sun 1995 values'!S$2,)</f>
        <v>0</v>
      </c>
      <c r="IK71" s="4">
        <f>IFERROR(HI71/'McDonough &amp; Sun 1995 values'!T$2,)</f>
        <v>0</v>
      </c>
      <c r="IL71" s="4">
        <f>IFERROR(HJ71/'McDonough &amp; Sun 1995 values'!U$2,)</f>
        <v>0</v>
      </c>
      <c r="IM71" s="4">
        <f>IFERROR(HK71/'McDonough &amp; Sun 1995 values'!V$2,)</f>
        <v>0</v>
      </c>
      <c r="IN71" s="4">
        <f>IFERROR(HL71/'McDonough &amp; Sun 1995 values'!W$2,)</f>
        <v>0</v>
      </c>
      <c r="IO71" s="4">
        <f>IFERROR(HM71/'McDonough &amp; Sun 1995 values'!X$2,)</f>
        <v>0</v>
      </c>
      <c r="IP71" s="4">
        <f>IFERROR(HN71/'McDonough &amp; Sun 1995 values'!Y$2,)</f>
        <v>0</v>
      </c>
      <c r="IQ71" s="4">
        <f>IFERROR(HO71/'McDonough &amp; Sun 1995 values'!Z$2,)</f>
        <v>0</v>
      </c>
      <c r="IR71" s="4">
        <f>IFERROR(HP71/'McDonough &amp; Sun 1995 values'!AA$2,)</f>
        <v>0</v>
      </c>
      <c r="IS71" s="4">
        <f>IFERROR(HQ71/'McDonough &amp; Sun 1995 values'!AB$2,)</f>
        <v>0</v>
      </c>
      <c r="IT71" s="4">
        <f>IFERROR(HR71/'McDonough &amp; Sun 1995 values'!AC$2,)</f>
        <v>0</v>
      </c>
    </row>
    <row r="72" spans="1:254">
      <c r="A72" s="16" t="s">
        <v>1656</v>
      </c>
      <c r="B72" s="4" t="s">
        <v>24</v>
      </c>
      <c r="C72" s="16" t="str">
        <f t="shared" si="144"/>
        <v>high-Mg carbonatitic</v>
      </c>
      <c r="D72" s="4" t="s">
        <v>1706</v>
      </c>
      <c r="E72" s="4" t="s">
        <v>237</v>
      </c>
      <c r="F72" s="4" t="s">
        <v>849</v>
      </c>
      <c r="G72" s="4" t="s">
        <v>595</v>
      </c>
      <c r="H72" s="49">
        <v>364</v>
      </c>
      <c r="I72" s="4" t="s">
        <v>1148</v>
      </c>
      <c r="J72" s="4" t="s">
        <v>635</v>
      </c>
      <c r="K72" s="4" t="s">
        <v>1667</v>
      </c>
      <c r="M72" s="4" t="s">
        <v>1672</v>
      </c>
      <c r="N72" s="4">
        <v>20</v>
      </c>
      <c r="O72" s="4">
        <v>11</v>
      </c>
      <c r="R72" s="4">
        <v>0.95</v>
      </c>
      <c r="S72" s="4">
        <v>6.56</v>
      </c>
      <c r="T72" s="4">
        <v>26</v>
      </c>
      <c r="V72" s="4">
        <v>15</v>
      </c>
      <c r="W72" s="4">
        <v>16.5</v>
      </c>
      <c r="X72" s="4">
        <v>14.9</v>
      </c>
      <c r="Z72" s="4">
        <v>8</v>
      </c>
      <c r="AA72" s="4">
        <v>0.28000000000000003</v>
      </c>
      <c r="AD72" s="4">
        <v>0.85</v>
      </c>
      <c r="AJ72" s="26">
        <f t="shared" si="145"/>
        <v>99.759999999999991</v>
      </c>
      <c r="AK72" s="26">
        <f t="shared" si="147"/>
        <v>11.047665299931266</v>
      </c>
      <c r="AL72" s="26">
        <f t="shared" si="148"/>
        <v>0</v>
      </c>
      <c r="AM72" s="26">
        <f t="shared" si="149"/>
        <v>0.9541165486304275</v>
      </c>
      <c r="AN72" s="26">
        <f t="shared" si="150"/>
        <v>6.5884258515953729</v>
      </c>
      <c r="AO72" s="26">
        <f t="shared" si="151"/>
        <v>26.112663436201181</v>
      </c>
      <c r="AP72" s="26">
        <f t="shared" si="152"/>
        <v>15.064998136269908</v>
      </c>
      <c r="AQ72" s="26">
        <f t="shared" si="153"/>
        <v>0</v>
      </c>
      <c r="AR72" s="26">
        <f t="shared" si="154"/>
        <v>16.571497949896902</v>
      </c>
      <c r="AS72" s="26">
        <f t="shared" si="155"/>
        <v>14.964564815361445</v>
      </c>
      <c r="AT72" s="26">
        <f t="shared" si="156"/>
        <v>8.0346656726772867</v>
      </c>
      <c r="AU72" s="26">
        <f t="shared" si="157"/>
        <v>0.85368322772196148</v>
      </c>
      <c r="AV72" s="26">
        <f t="shared" si="146"/>
        <v>100.19228093828575</v>
      </c>
      <c r="BB72" s="26">
        <v>0.14000000000000001</v>
      </c>
      <c r="BC72" s="26">
        <f t="shared" si="158"/>
        <v>0.14000000000000001</v>
      </c>
      <c r="BD72" s="26">
        <f t="shared" si="159"/>
        <v>0.86</v>
      </c>
      <c r="BG72" s="4">
        <v>752.25133333333338</v>
      </c>
      <c r="BH72" s="4">
        <v>2.742242418589981</v>
      </c>
      <c r="BL72" s="26"/>
      <c r="BT72" s="44">
        <v>3862.2054326068455</v>
      </c>
      <c r="CH72" s="44">
        <v>90.1648278920742</v>
      </c>
      <c r="CI72" s="44">
        <v>3955.326855838513</v>
      </c>
      <c r="CJ72" s="44">
        <v>13.101758345346248</v>
      </c>
      <c r="CK72" s="44">
        <v>159.6980537990888</v>
      </c>
      <c r="CM72" s="44">
        <v>666.47262954255393</v>
      </c>
      <c r="CS72" s="44">
        <v>6892.5400095323384</v>
      </c>
      <c r="CU72" s="44">
        <v>167.80649779014371</v>
      </c>
      <c r="CV72" s="44">
        <v>390.80724108580017</v>
      </c>
      <c r="CW72" s="44">
        <v>56.092358974844416</v>
      </c>
      <c r="CX72" s="44">
        <v>290.08152032725951</v>
      </c>
      <c r="CY72" s="44">
        <v>38.608600198955365</v>
      </c>
      <c r="CZ72" s="44">
        <v>7.491478977399793</v>
      </c>
      <c r="DA72" s="44">
        <v>13.301832186015444</v>
      </c>
      <c r="DB72" s="44">
        <v>5.4553603593206565</v>
      </c>
      <c r="DC72" s="44">
        <v>0.94310778308738308</v>
      </c>
      <c r="DD72" s="44">
        <v>1.5431799112644993</v>
      </c>
      <c r="DF72" s="44">
        <v>0.71672421799825059</v>
      </c>
      <c r="DG72" s="44">
        <v>0.31371728802794852</v>
      </c>
      <c r="DH72" s="44">
        <v>4.0696553184634405</v>
      </c>
      <c r="DI72" s="44">
        <v>33.699759790251655</v>
      </c>
      <c r="DK72" s="44">
        <v>82.845294925669691</v>
      </c>
      <c r="DL72" s="44">
        <v>10.840814396385106</v>
      </c>
      <c r="DM72" s="44">
        <v>3.0535395660492641</v>
      </c>
      <c r="DN72" s="44">
        <v>0.8612808296239659</v>
      </c>
      <c r="DU72" s="45"/>
      <c r="EI72" s="44"/>
      <c r="EJ72" s="4"/>
      <c r="EL72" s="18">
        <f>IFERROR(CR72/'McDonough &amp; Sun 1995 values'!C$2,)</f>
        <v>0</v>
      </c>
      <c r="EM72" s="18">
        <f>IFERROR(CH72/'McDonough &amp; Sun 1995 values'!D$2,)</f>
        <v>150.27471315345701</v>
      </c>
      <c r="EN72" s="18">
        <f>IFERROR(CS72/'McDonough &amp; Sun 1995 values'!E$2,)</f>
        <v>1044.3242438685361</v>
      </c>
      <c r="EO72" s="18">
        <f>IFERROR(DL72/'McDonough &amp; Sun 1995 values'!F$2,)</f>
        <v>136.36244523754851</v>
      </c>
      <c r="EP72" s="18">
        <f>IFERROR(DM72/'McDonough &amp; Sun 1995 values'!G$2,)</f>
        <v>150.42066827828887</v>
      </c>
      <c r="EQ72" s="18">
        <f>IFERROR(BR72/'McDonough &amp; Sun 1995 values'!H$2,)</f>
        <v>0</v>
      </c>
      <c r="ER72" s="18">
        <f>IFERROR(DI72/'McDonough &amp; Sun 1995 values'!I$2,)</f>
        <v>910.80431865545017</v>
      </c>
      <c r="ES72" s="18">
        <f>IFERROR(CM72/'McDonough &amp; Sun 1995 values'!J$2,)</f>
        <v>1012.8763366908114</v>
      </c>
      <c r="ET72" s="18">
        <f>IFERROR(CU72/'McDonough &amp; Sun 1995 values'!K$2,)</f>
        <v>258.96064473787607</v>
      </c>
      <c r="EU72" s="18">
        <f>IFERROR(CV72/'McDonough &amp; Sun 1995 values'!L$2,)</f>
        <v>233.31775587211951</v>
      </c>
      <c r="EV72" s="18">
        <f>IFERROR(CW72/'McDonough &amp; Sun 1995 values'!M$2,)</f>
        <v>220.83605895608036</v>
      </c>
      <c r="EW72" s="18">
        <f>IFERROR(CI72/'McDonough &amp; Sun 1995 values'!N$2,)</f>
        <v>198.76014350947304</v>
      </c>
      <c r="EX72" s="18">
        <f>IFERROR(CX72/'McDonough &amp; Sun 1995 values'!O$2,)</f>
        <v>232.06521626180762</v>
      </c>
      <c r="EY72" s="18">
        <f>IFERROR(CY72/'McDonough &amp; Sun 1995 values'!P$2,)</f>
        <v>95.095074381663451</v>
      </c>
      <c r="EZ72" s="18">
        <f>IFERROR(DH72/'McDonough &amp; Sun 1995 values'!Q$2,)</f>
        <v>14.380407485736541</v>
      </c>
      <c r="FA72" s="18">
        <f>IFERROR(CK72/'McDonough &amp; Sun 1995 values'!R$2,)</f>
        <v>15.209338457056075</v>
      </c>
      <c r="FB72" s="18">
        <f>IFERROR(CZ72/'McDonough &amp; Sun 1995 values'!S$2,)</f>
        <v>48.645967385712943</v>
      </c>
      <c r="FC72" s="18">
        <f>IFERROR(BT72/'McDonough &amp; Sun 1995 values'!T$2,)</f>
        <v>3.2051497366031914</v>
      </c>
      <c r="FD72" s="18">
        <f>IFERROR(DA72/'McDonough &amp; Sun 1995 values'!U$2,)</f>
        <v>24.451897400763681</v>
      </c>
      <c r="FE72" s="18">
        <f>IFERROR(DN72/'McDonough &amp; Sun 1995 values'!V$2,)</f>
        <v>8.6998063598380391</v>
      </c>
      <c r="FF72" s="18">
        <f>IFERROR(DB72/'McDonough &amp; Sun 1995 values'!W$2,)</f>
        <v>8.0940064678348023</v>
      </c>
      <c r="FG72" s="18">
        <f>IFERROR(CJ72/'McDonough &amp; Sun 1995 values'!X$2,)</f>
        <v>3.04692054542936</v>
      </c>
      <c r="FH72" s="18">
        <f>IFERROR(DC72/'McDonough &amp; Sun 1995 values'!Y$2,)</f>
        <v>6.3295824368280744</v>
      </c>
      <c r="FI72" s="18">
        <f>IFERROR(DD72/'McDonough &amp; Sun 1995 values'!Z$2,)</f>
        <v>3.5232418065399527</v>
      </c>
      <c r="FJ72" s="18">
        <f>IFERROR(DE72/'McDonough &amp; Sun 1995 values'!AA$2,)</f>
        <v>0</v>
      </c>
      <c r="FK72" s="18">
        <f>IFERROR(DF72/'McDonough &amp; Sun 1995 values'!AB$2,)</f>
        <v>1.6252249841230173</v>
      </c>
      <c r="FL72" s="18">
        <f>IFERROR(DG72/'McDonough &amp; Sun 1995 values'!AC$2,)</f>
        <v>4.6476635263399775</v>
      </c>
      <c r="FN72" s="28">
        <f t="shared" si="160"/>
        <v>0</v>
      </c>
      <c r="FO72" s="4">
        <f t="shared" si="161"/>
        <v>6.9426911595450589</v>
      </c>
      <c r="FP72" s="4">
        <f t="shared" si="162"/>
        <v>0.13462891796155591</v>
      </c>
      <c r="FQ72" s="4">
        <f t="shared" si="163"/>
        <v>0.90654061571690636</v>
      </c>
      <c r="FR72" s="4">
        <f t="shared" si="164"/>
        <v>0.2556685701473998</v>
      </c>
      <c r="FS72" s="4">
        <f t="shared" si="165"/>
        <v>0.28432083536907204</v>
      </c>
      <c r="FT72" s="4">
        <f t="shared" si="166"/>
        <v>0</v>
      </c>
      <c r="FU72" s="4">
        <f t="shared" si="167"/>
        <v>0.89922558723324231</v>
      </c>
      <c r="FV72" s="4">
        <f t="shared" si="168"/>
        <v>0.15993823608585125</v>
      </c>
      <c r="FW72" s="4">
        <f t="shared" si="169"/>
        <v>1.0576430794566651</v>
      </c>
      <c r="FX72" s="4">
        <f t="shared" si="170"/>
        <v>0.81383855501162394</v>
      </c>
      <c r="FY72" s="4">
        <f t="shared" si="171"/>
        <v>0.87798942012435688</v>
      </c>
      <c r="FZ72" s="4">
        <f t="shared" si="172"/>
        <v>1.0088150453945142</v>
      </c>
      <c r="GA72" s="4">
        <f t="shared" si="173"/>
        <v>0.900034824244904</v>
      </c>
      <c r="GB72" s="4">
        <f t="shared" si="174"/>
        <v>0.51155086319689569</v>
      </c>
      <c r="GC72" s="4">
        <f t="shared" si="175"/>
        <v>0</v>
      </c>
      <c r="GD72" s="4">
        <f t="shared" si="176"/>
        <v>7.658444684306474</v>
      </c>
      <c r="GE72" s="4">
        <f t="shared" si="177"/>
        <v>6.9494342857410523</v>
      </c>
      <c r="GF72" s="4">
        <f t="shared" si="178"/>
        <v>0</v>
      </c>
      <c r="GG72" s="4">
        <f t="shared" si="179"/>
        <v>1.03104812111661</v>
      </c>
      <c r="GH72" s="4">
        <f t="shared" si="180"/>
        <v>1.1726375029604104</v>
      </c>
      <c r="GI72" s="4">
        <f t="shared" si="181"/>
        <v>2.7231762151900658</v>
      </c>
      <c r="GJ72" s="4">
        <f t="shared" si="182"/>
        <v>31.994123771332948</v>
      </c>
      <c r="GK72" s="4">
        <f t="shared" si="183"/>
        <v>159.33833608742671</v>
      </c>
      <c r="GL72" s="4">
        <f t="shared" si="184"/>
        <v>4.7452817206521178</v>
      </c>
      <c r="GM72" s="4">
        <f t="shared" si="185"/>
        <v>0.90742109817437067</v>
      </c>
      <c r="GN72" s="4">
        <f t="shared" si="186"/>
        <v>3.9113137740140411</v>
      </c>
      <c r="GO72" s="4">
        <f t="shared" si="187"/>
        <v>6.7336247623692147</v>
      </c>
      <c r="GP72" s="4">
        <f t="shared" si="188"/>
        <v>0</v>
      </c>
      <c r="GQ72" s="27">
        <f t="shared" si="189"/>
        <v>124226.43501985227</v>
      </c>
      <c r="GR72" s="28" t="str">
        <f t="shared" si="190"/>
        <v/>
      </c>
      <c r="GS72" s="28" t="str">
        <f t="shared" si="191"/>
        <v/>
      </c>
      <c r="GT72" s="28" t="str">
        <f t="shared" si="192"/>
        <v/>
      </c>
      <c r="GU72" s="28" t="str">
        <f t="shared" si="193"/>
        <v/>
      </c>
      <c r="GV72" s="28" t="str">
        <f t="shared" si="194"/>
        <v/>
      </c>
      <c r="GW72" s="28" t="str">
        <f t="shared" si="195"/>
        <v/>
      </c>
      <c r="GX72" s="28" t="str">
        <f t="shared" si="196"/>
        <v/>
      </c>
      <c r="GY72" s="28" t="str">
        <f t="shared" si="197"/>
        <v/>
      </c>
      <c r="GZ72" s="28" t="str">
        <f t="shared" si="198"/>
        <v/>
      </c>
      <c r="HA72" s="28" t="str">
        <f t="shared" si="199"/>
        <v/>
      </c>
      <c r="HB72" s="28" t="str">
        <f t="shared" si="200"/>
        <v/>
      </c>
      <c r="HC72" s="28" t="str">
        <f t="shared" si="201"/>
        <v/>
      </c>
      <c r="HD72" s="28" t="str">
        <f t="shared" si="202"/>
        <v/>
      </c>
      <c r="HE72" s="28" t="str">
        <f t="shared" si="203"/>
        <v/>
      </c>
      <c r="HF72" s="28" t="str">
        <f t="shared" si="204"/>
        <v/>
      </c>
      <c r="HG72" s="28" t="str">
        <f t="shared" si="205"/>
        <v/>
      </c>
      <c r="HH72" s="28" t="str">
        <f t="shared" si="206"/>
        <v/>
      </c>
      <c r="HI72" s="28" t="str">
        <f t="shared" si="207"/>
        <v/>
      </c>
      <c r="HJ72" s="28" t="str">
        <f t="shared" si="208"/>
        <v/>
      </c>
      <c r="HK72" s="28" t="str">
        <f t="shared" si="209"/>
        <v/>
      </c>
      <c r="HL72" s="28" t="str">
        <f t="shared" si="210"/>
        <v/>
      </c>
      <c r="HM72" s="28" t="str">
        <f t="shared" si="211"/>
        <v/>
      </c>
      <c r="HN72" s="28" t="str">
        <f t="shared" si="212"/>
        <v/>
      </c>
      <c r="HO72" s="28" t="str">
        <f t="shared" si="213"/>
        <v/>
      </c>
      <c r="HP72" s="28" t="str">
        <f t="shared" si="214"/>
        <v/>
      </c>
      <c r="HQ72" s="28" t="str">
        <f t="shared" si="215"/>
        <v/>
      </c>
      <c r="HR72" s="28" t="str">
        <f t="shared" si="216"/>
        <v/>
      </c>
      <c r="HT72" s="4">
        <f>IFERROR(GR72/'McDonough &amp; Sun 1995 values'!C$2,)</f>
        <v>0</v>
      </c>
      <c r="HU72" s="4">
        <f>IFERROR(GS72/'McDonough &amp; Sun 1995 values'!D$2,)</f>
        <v>0</v>
      </c>
      <c r="HV72" s="4">
        <f>IFERROR(GT72/'McDonough &amp; Sun 1995 values'!E$2,)</f>
        <v>0</v>
      </c>
      <c r="HW72" s="4">
        <f>IFERROR(GU72/'McDonough &amp; Sun 1995 values'!F$2,)</f>
        <v>0</v>
      </c>
      <c r="HX72" s="4">
        <f>IFERROR(GV72/'McDonough &amp; Sun 1995 values'!G$2,)</f>
        <v>0</v>
      </c>
      <c r="HY72" s="4">
        <f>IFERROR(GW72/'McDonough &amp; Sun 1995 values'!H$2,)</f>
        <v>0</v>
      </c>
      <c r="HZ72" s="4">
        <f>IFERROR(GX72/'McDonough &amp; Sun 1995 values'!I$2,)</f>
        <v>0</v>
      </c>
      <c r="IA72" s="4">
        <f>IFERROR(GY72/'McDonough &amp; Sun 1995 values'!J$2,)</f>
        <v>0</v>
      </c>
      <c r="IB72" s="4">
        <f>IFERROR(GZ72/'McDonough &amp; Sun 1995 values'!K$2,)</f>
        <v>0</v>
      </c>
      <c r="IC72" s="4">
        <f>IFERROR(HA72/'McDonough &amp; Sun 1995 values'!L$2,)</f>
        <v>0</v>
      </c>
      <c r="ID72" s="4">
        <f>IFERROR(HB72/'McDonough &amp; Sun 1995 values'!M$2,)</f>
        <v>0</v>
      </c>
      <c r="IE72" s="4">
        <f>IFERROR(HC72/'McDonough &amp; Sun 1995 values'!N$2,)</f>
        <v>0</v>
      </c>
      <c r="IF72" s="4">
        <f>IFERROR(HD72/'McDonough &amp; Sun 1995 values'!O$2,)</f>
        <v>0</v>
      </c>
      <c r="IG72" s="4">
        <f>IFERROR(HE72/'McDonough &amp; Sun 1995 values'!P$2,)</f>
        <v>0</v>
      </c>
      <c r="IH72" s="4">
        <f>IFERROR(HF72/'McDonough &amp; Sun 1995 values'!Q$2,)</f>
        <v>0</v>
      </c>
      <c r="II72" s="4">
        <f>IFERROR(HG72/'McDonough &amp; Sun 1995 values'!R$2,)</f>
        <v>0</v>
      </c>
      <c r="IJ72" s="4">
        <f>IFERROR(HH72/'McDonough &amp; Sun 1995 values'!S$2,)</f>
        <v>0</v>
      </c>
      <c r="IK72" s="4">
        <f>IFERROR(HI72/'McDonough &amp; Sun 1995 values'!T$2,)</f>
        <v>0</v>
      </c>
      <c r="IL72" s="4">
        <f>IFERROR(HJ72/'McDonough &amp; Sun 1995 values'!U$2,)</f>
        <v>0</v>
      </c>
      <c r="IM72" s="4">
        <f>IFERROR(HK72/'McDonough &amp; Sun 1995 values'!V$2,)</f>
        <v>0</v>
      </c>
      <c r="IN72" s="4">
        <f>IFERROR(HL72/'McDonough &amp; Sun 1995 values'!W$2,)</f>
        <v>0</v>
      </c>
      <c r="IO72" s="4">
        <f>IFERROR(HM72/'McDonough &amp; Sun 1995 values'!X$2,)</f>
        <v>0</v>
      </c>
      <c r="IP72" s="4">
        <f>IFERROR(HN72/'McDonough &amp; Sun 1995 values'!Y$2,)</f>
        <v>0</v>
      </c>
      <c r="IQ72" s="4">
        <f>IFERROR(HO72/'McDonough &amp; Sun 1995 values'!Z$2,)</f>
        <v>0</v>
      </c>
      <c r="IR72" s="4">
        <f>IFERROR(HP72/'McDonough &amp; Sun 1995 values'!AA$2,)</f>
        <v>0</v>
      </c>
      <c r="IS72" s="4">
        <f>IFERROR(HQ72/'McDonough &amp; Sun 1995 values'!AB$2,)</f>
        <v>0</v>
      </c>
      <c r="IT72" s="4">
        <f>IFERROR(HR72/'McDonough &amp; Sun 1995 values'!AC$2,)</f>
        <v>0</v>
      </c>
    </row>
    <row r="73" spans="1:254">
      <c r="A73" s="16" t="s">
        <v>1656</v>
      </c>
      <c r="B73" s="4" t="s">
        <v>24</v>
      </c>
      <c r="C73" s="16" t="str">
        <f t="shared" si="144"/>
        <v>high-Mg carbonatitic</v>
      </c>
      <c r="D73" s="4" t="s">
        <v>1706</v>
      </c>
      <c r="E73" s="4" t="s">
        <v>237</v>
      </c>
      <c r="F73" s="4" t="s">
        <v>849</v>
      </c>
      <c r="G73" s="4" t="s">
        <v>595</v>
      </c>
      <c r="H73" s="49">
        <v>364</v>
      </c>
      <c r="I73" s="4" t="s">
        <v>1148</v>
      </c>
      <c r="J73" s="4" t="s">
        <v>635</v>
      </c>
      <c r="K73" s="4" t="s">
        <v>1678</v>
      </c>
      <c r="M73" s="4" t="s">
        <v>1680</v>
      </c>
      <c r="N73" s="4">
        <v>32</v>
      </c>
      <c r="O73" s="4">
        <v>8.23</v>
      </c>
      <c r="P73" s="4">
        <v>1.43</v>
      </c>
      <c r="R73" s="4">
        <v>2.85</v>
      </c>
      <c r="S73" s="4">
        <v>7.74</v>
      </c>
      <c r="T73" s="4">
        <v>29.2</v>
      </c>
      <c r="V73" s="4">
        <v>24</v>
      </c>
      <c r="W73" s="4">
        <v>9.92</v>
      </c>
      <c r="X73" s="4">
        <v>11.9</v>
      </c>
      <c r="Z73" s="4">
        <v>3.78</v>
      </c>
      <c r="AA73" s="4">
        <v>0.28999999999999998</v>
      </c>
      <c r="AD73" s="4">
        <v>0.46</v>
      </c>
      <c r="AF73" s="4">
        <v>0.11</v>
      </c>
      <c r="AJ73" s="26">
        <f t="shared" si="145"/>
        <v>99.51</v>
      </c>
      <c r="AK73" s="26">
        <f t="shared" si="147"/>
        <v>8.2791533334544276</v>
      </c>
      <c r="AL73" s="26">
        <f t="shared" si="148"/>
        <v>1.4385406156549003</v>
      </c>
      <c r="AM73" s="26">
        <f t="shared" si="149"/>
        <v>2.8670215067248015</v>
      </c>
      <c r="AN73" s="26">
        <f t="shared" si="150"/>
        <v>7.7862268287894603</v>
      </c>
      <c r="AO73" s="26">
        <f t="shared" si="151"/>
        <v>29.374395788197958</v>
      </c>
      <c r="AP73" s="26">
        <f t="shared" si="152"/>
        <v>24.143339003998324</v>
      </c>
      <c r="AQ73" s="26">
        <f t="shared" si="153"/>
        <v>0</v>
      </c>
      <c r="AR73" s="26">
        <f t="shared" si="154"/>
        <v>9.9792467883193083</v>
      </c>
      <c r="AS73" s="26">
        <f t="shared" si="155"/>
        <v>11.971072256149171</v>
      </c>
      <c r="AT73" s="26">
        <f t="shared" si="156"/>
        <v>3.8025758931297364</v>
      </c>
      <c r="AU73" s="26">
        <f t="shared" si="157"/>
        <v>0.46274733090996789</v>
      </c>
      <c r="AV73" s="26">
        <f t="shared" si="146"/>
        <v>100.10431934532805</v>
      </c>
      <c r="BB73" s="26">
        <v>0.05</v>
      </c>
      <c r="BC73" s="26">
        <f t="shared" si="158"/>
        <v>5.0000000000000044E-2</v>
      </c>
      <c r="BD73" s="26">
        <f t="shared" si="159"/>
        <v>0.95</v>
      </c>
      <c r="BE73" s="4">
        <v>-6.7759636288055036</v>
      </c>
      <c r="BG73" s="4">
        <v>674.74680000000001</v>
      </c>
      <c r="BH73" s="4">
        <v>43.670069036604296</v>
      </c>
      <c r="BL73" s="26"/>
      <c r="BT73" s="44">
        <v>8888.6282667760715</v>
      </c>
      <c r="CI73" s="44">
        <v>3566.193339645054</v>
      </c>
      <c r="CJ73" s="44">
        <v>53.276591026043974</v>
      </c>
      <c r="CK73" s="44">
        <v>418.57589653544193</v>
      </c>
      <c r="CM73" s="44">
        <v>1174.4664213915871</v>
      </c>
      <c r="CR73" s="44">
        <v>508769.34859111678</v>
      </c>
      <c r="CS73" s="44">
        <v>13811.987185911952</v>
      </c>
      <c r="CU73" s="44">
        <v>723.78498844547164</v>
      </c>
      <c r="CV73" s="44">
        <v>1066.3892643158788</v>
      </c>
      <c r="CW73" s="44">
        <v>119.31004658720995</v>
      </c>
      <c r="CX73" s="44">
        <v>574.25729745102581</v>
      </c>
      <c r="CY73" s="44">
        <v>88.86292679816286</v>
      </c>
      <c r="CZ73" s="44">
        <v>13.253153912697687</v>
      </c>
      <c r="DA73" s="44">
        <v>31.031840721421197</v>
      </c>
      <c r="DB73" s="44">
        <v>14.368881735418059</v>
      </c>
      <c r="DD73" s="44">
        <v>2.7552132478292011</v>
      </c>
      <c r="DF73" s="44">
        <v>1.9832676834686618</v>
      </c>
      <c r="DG73" s="44">
        <v>0.17905417467215529</v>
      </c>
      <c r="DH73" s="44">
        <v>6.0044497332983893</v>
      </c>
      <c r="DI73" s="44">
        <v>58.244360394581818</v>
      </c>
      <c r="DK73" s="44">
        <v>69.874333553853589</v>
      </c>
      <c r="DL73" s="44">
        <v>105.9885572590719</v>
      </c>
      <c r="DM73" s="44">
        <v>22.125899055268214</v>
      </c>
      <c r="DN73" s="44">
        <v>1.8074206329065454</v>
      </c>
      <c r="EL73" s="18">
        <f>IFERROR(CR73/'McDonough &amp; Sun 1995 values'!C$2,)</f>
        <v>24227111.837672226</v>
      </c>
      <c r="EM73" s="18">
        <f>IFERROR(CH73/'McDonough &amp; Sun 1995 values'!D$2,)</f>
        <v>0</v>
      </c>
      <c r="EN73" s="18">
        <f>IFERROR(CS73/'McDonough &amp; Sun 1995 values'!E$2,)</f>
        <v>2092.7253311987806</v>
      </c>
      <c r="EO73" s="18">
        <f>IFERROR(DL73/'McDonough &amp; Sun 1995 values'!F$2,)</f>
        <v>1333.189399485181</v>
      </c>
      <c r="EP73" s="18">
        <f>IFERROR(DM73/'McDonough &amp; Sun 1995 values'!G$2,)</f>
        <v>1089.9457662693701</v>
      </c>
      <c r="EQ73" s="18">
        <f>IFERROR(BR73/'McDonough &amp; Sun 1995 values'!H$2,)</f>
        <v>0</v>
      </c>
      <c r="ER73" s="18">
        <f>IFERROR(DI73/'McDonough &amp; Sun 1995 values'!I$2,)</f>
        <v>1574.1719025562654</v>
      </c>
      <c r="ES73" s="18">
        <f>IFERROR(CM73/'McDonough &amp; Sun 1995 values'!J$2,)</f>
        <v>1784.9033759750564</v>
      </c>
      <c r="ET73" s="18">
        <f>IFERROR(CU73/'McDonough &amp; Sun 1995 values'!K$2,)</f>
        <v>1116.9521426627648</v>
      </c>
      <c r="EU73" s="18">
        <f>IFERROR(CV73/'McDonough &amp; Sun 1995 values'!L$2,)</f>
        <v>636.65030705425602</v>
      </c>
      <c r="EV73" s="18">
        <f>IFERROR(CW73/'McDonough &amp; Sun 1995 values'!M$2,)</f>
        <v>469.72459286303132</v>
      </c>
      <c r="EW73" s="18">
        <f>IFERROR(CI73/'McDonough &amp; Sun 1995 values'!N$2,)</f>
        <v>179.20569545955047</v>
      </c>
      <c r="EX73" s="18">
        <f>IFERROR(CX73/'McDonough &amp; Sun 1995 values'!O$2,)</f>
        <v>459.40583796082063</v>
      </c>
      <c r="EY73" s="18">
        <f>IFERROR(CY73/'McDonough &amp; Sun 1995 values'!P$2,)</f>
        <v>218.87420393636171</v>
      </c>
      <c r="EZ73" s="18">
        <f>IFERROR(DH73/'McDonough &amp; Sun 1995 values'!Q$2,)</f>
        <v>21.217136866778763</v>
      </c>
      <c r="FA73" s="18">
        <f>IFERROR(CK73/'McDonough &amp; Sun 1995 values'!R$2,)</f>
        <v>39.864371098613518</v>
      </c>
      <c r="FB73" s="18">
        <f>IFERROR(CZ73/'McDonough &amp; Sun 1995 values'!S$2,)</f>
        <v>86.059440991543426</v>
      </c>
      <c r="FC73" s="18">
        <f>IFERROR(BT73/'McDonough &amp; Sun 1995 values'!T$2,)</f>
        <v>7.3764549931751633</v>
      </c>
      <c r="FD73" s="18">
        <f>IFERROR(DA73/'McDonough &amp; Sun 1995 values'!U$2,)</f>
        <v>57.043824855553666</v>
      </c>
      <c r="FE73" s="18">
        <f>IFERROR(DN73/'McDonough &amp; Sun 1995 values'!V$2,)</f>
        <v>18.256774069763082</v>
      </c>
      <c r="FF73" s="18">
        <f>IFERROR(DB73/'McDonough &amp; Sun 1995 values'!W$2,)</f>
        <v>21.318815631184062</v>
      </c>
      <c r="FG73" s="18">
        <f>IFERROR(CJ73/'McDonough &amp; Sun 1995 values'!X$2,)</f>
        <v>12.389904889777668</v>
      </c>
      <c r="FH73" s="18">
        <f>IFERROR(DC73/'McDonough &amp; Sun 1995 values'!Y$2,)</f>
        <v>0</v>
      </c>
      <c r="FI73" s="18">
        <f>IFERROR(DD73/'McDonough &amp; Sun 1995 values'!Z$2,)</f>
        <v>6.2904412050895004</v>
      </c>
      <c r="FJ73" s="18">
        <f>IFERROR(DE73/'McDonough &amp; Sun 1995 values'!AA$2,)</f>
        <v>0</v>
      </c>
      <c r="FK73" s="18">
        <f>IFERROR(DF73/'McDonough &amp; Sun 1995 values'!AB$2,)</f>
        <v>4.4972056314482129</v>
      </c>
      <c r="FL73" s="18">
        <f>IFERROR(DG73/'McDonough &amp; Sun 1995 values'!AC$2,)</f>
        <v>2.6526544395874856</v>
      </c>
      <c r="FN73" s="28">
        <f t="shared" si="160"/>
        <v>0</v>
      </c>
      <c r="FO73" s="4">
        <f t="shared" si="161"/>
        <v>1.9200270288325363</v>
      </c>
      <c r="FP73" s="4">
        <f t="shared" si="162"/>
        <v>0.74692524952892014</v>
      </c>
      <c r="FQ73" s="4">
        <f t="shared" si="163"/>
        <v>1.2231704005313742</v>
      </c>
      <c r="FR73" s="4">
        <f t="shared" si="164"/>
        <v>0.62577737131154032</v>
      </c>
      <c r="FS73" s="4">
        <f t="shared" si="165"/>
        <v>0.70954902755472204</v>
      </c>
      <c r="FT73" s="4">
        <f t="shared" si="166"/>
        <v>0</v>
      </c>
      <c r="FU73" s="4">
        <f t="shared" si="167"/>
        <v>0.88193676125259568</v>
      </c>
      <c r="FV73" s="4">
        <f t="shared" si="168"/>
        <v>0.1821337114272461</v>
      </c>
      <c r="FW73" s="4">
        <f t="shared" si="169"/>
        <v>1.8788760872364503</v>
      </c>
      <c r="FX73" s="4">
        <f t="shared" si="170"/>
        <v>0.62380440573852802</v>
      </c>
      <c r="FY73" s="4">
        <f t="shared" si="171"/>
        <v>0.38577306712280446</v>
      </c>
      <c r="FZ73" s="4">
        <f t="shared" si="172"/>
        <v>0.77018829142707701</v>
      </c>
      <c r="GA73" s="4">
        <f t="shared" si="173"/>
        <v>0.38151226949236122</v>
      </c>
      <c r="GB73" s="4">
        <f t="shared" si="174"/>
        <v>0.39319133750711643</v>
      </c>
      <c r="GC73" s="4">
        <f t="shared" si="175"/>
        <v>0</v>
      </c>
      <c r="GD73" s="4">
        <f t="shared" si="176"/>
        <v>1.5697134495720555</v>
      </c>
      <c r="GE73" s="4">
        <f t="shared" si="177"/>
        <v>0</v>
      </c>
      <c r="GF73" s="4">
        <f t="shared" si="178"/>
        <v>0</v>
      </c>
      <c r="GG73" s="4">
        <f t="shared" si="179"/>
        <v>1.1724586100105097</v>
      </c>
      <c r="GH73" s="4">
        <f t="shared" si="180"/>
        <v>2.3778872974369918</v>
      </c>
      <c r="GI73" s="4">
        <f t="shared" si="181"/>
        <v>5.1031694122689846</v>
      </c>
      <c r="GJ73" s="4">
        <f t="shared" si="182"/>
        <v>52.392785883890518</v>
      </c>
      <c r="GK73" s="4">
        <f t="shared" si="183"/>
        <v>248.36581517467286</v>
      </c>
      <c r="GL73" s="4">
        <f t="shared" si="184"/>
        <v>5.4042722602519495</v>
      </c>
      <c r="GM73" s="4">
        <f t="shared" si="185"/>
        <v>0</v>
      </c>
      <c r="GN73" s="4">
        <f t="shared" si="186"/>
        <v>1.5980124016056096</v>
      </c>
      <c r="GO73" s="4">
        <f t="shared" si="187"/>
        <v>1.6376075133392773</v>
      </c>
      <c r="GP73" s="4">
        <f t="shared" si="188"/>
        <v>0</v>
      </c>
      <c r="GQ73" s="27">
        <f t="shared" si="189"/>
        <v>99376.336572107146</v>
      </c>
      <c r="GR73" s="28" t="str">
        <f t="shared" si="190"/>
        <v/>
      </c>
      <c r="GS73" s="28" t="str">
        <f t="shared" si="191"/>
        <v/>
      </c>
      <c r="GT73" s="28" t="str">
        <f t="shared" si="192"/>
        <v/>
      </c>
      <c r="GU73" s="28" t="str">
        <f t="shared" si="193"/>
        <v/>
      </c>
      <c r="GV73" s="28" t="str">
        <f t="shared" si="194"/>
        <v/>
      </c>
      <c r="GW73" s="28" t="str">
        <f t="shared" si="195"/>
        <v/>
      </c>
      <c r="GX73" s="28" t="str">
        <f t="shared" si="196"/>
        <v/>
      </c>
      <c r="GY73" s="28" t="str">
        <f t="shared" si="197"/>
        <v/>
      </c>
      <c r="GZ73" s="28" t="str">
        <f t="shared" si="198"/>
        <v/>
      </c>
      <c r="HA73" s="28" t="str">
        <f t="shared" si="199"/>
        <v/>
      </c>
      <c r="HB73" s="28" t="str">
        <f t="shared" si="200"/>
        <v/>
      </c>
      <c r="HC73" s="28" t="str">
        <f t="shared" si="201"/>
        <v/>
      </c>
      <c r="HD73" s="28" t="str">
        <f t="shared" si="202"/>
        <v/>
      </c>
      <c r="HE73" s="28" t="str">
        <f t="shared" si="203"/>
        <v/>
      </c>
      <c r="HF73" s="28" t="str">
        <f t="shared" si="204"/>
        <v/>
      </c>
      <c r="HG73" s="28" t="str">
        <f t="shared" si="205"/>
        <v/>
      </c>
      <c r="HH73" s="28" t="str">
        <f t="shared" si="206"/>
        <v/>
      </c>
      <c r="HI73" s="28" t="str">
        <f t="shared" si="207"/>
        <v/>
      </c>
      <c r="HJ73" s="28" t="str">
        <f t="shared" si="208"/>
        <v/>
      </c>
      <c r="HK73" s="28" t="str">
        <f t="shared" si="209"/>
        <v/>
      </c>
      <c r="HL73" s="28" t="str">
        <f t="shared" si="210"/>
        <v/>
      </c>
      <c r="HM73" s="28" t="str">
        <f t="shared" si="211"/>
        <v/>
      </c>
      <c r="HN73" s="28" t="str">
        <f t="shared" si="212"/>
        <v/>
      </c>
      <c r="HO73" s="28" t="str">
        <f t="shared" si="213"/>
        <v/>
      </c>
      <c r="HP73" s="28" t="str">
        <f t="shared" si="214"/>
        <v/>
      </c>
      <c r="HQ73" s="28" t="str">
        <f t="shared" si="215"/>
        <v/>
      </c>
      <c r="HR73" s="28" t="str">
        <f t="shared" si="216"/>
        <v/>
      </c>
      <c r="HT73" s="4">
        <f>IFERROR(GR73/'McDonough &amp; Sun 1995 values'!C$2,)</f>
        <v>0</v>
      </c>
      <c r="HU73" s="4">
        <f>IFERROR(GS73/'McDonough &amp; Sun 1995 values'!D$2,)</f>
        <v>0</v>
      </c>
      <c r="HV73" s="4">
        <f>IFERROR(GT73/'McDonough &amp; Sun 1995 values'!E$2,)</f>
        <v>0</v>
      </c>
      <c r="HW73" s="4">
        <f>IFERROR(GU73/'McDonough &amp; Sun 1995 values'!F$2,)</f>
        <v>0</v>
      </c>
      <c r="HX73" s="4">
        <f>IFERROR(GV73/'McDonough &amp; Sun 1995 values'!G$2,)</f>
        <v>0</v>
      </c>
      <c r="HY73" s="4">
        <f>IFERROR(GW73/'McDonough &amp; Sun 1995 values'!H$2,)</f>
        <v>0</v>
      </c>
      <c r="HZ73" s="4">
        <f>IFERROR(GX73/'McDonough &amp; Sun 1995 values'!I$2,)</f>
        <v>0</v>
      </c>
      <c r="IA73" s="4">
        <f>IFERROR(GY73/'McDonough &amp; Sun 1995 values'!J$2,)</f>
        <v>0</v>
      </c>
      <c r="IB73" s="4">
        <f>IFERROR(GZ73/'McDonough &amp; Sun 1995 values'!K$2,)</f>
        <v>0</v>
      </c>
      <c r="IC73" s="4">
        <f>IFERROR(HA73/'McDonough &amp; Sun 1995 values'!L$2,)</f>
        <v>0</v>
      </c>
      <c r="ID73" s="4">
        <f>IFERROR(HB73/'McDonough &amp; Sun 1995 values'!M$2,)</f>
        <v>0</v>
      </c>
      <c r="IE73" s="4">
        <f>IFERROR(HC73/'McDonough &amp; Sun 1995 values'!N$2,)</f>
        <v>0</v>
      </c>
      <c r="IF73" s="4">
        <f>IFERROR(HD73/'McDonough &amp; Sun 1995 values'!O$2,)</f>
        <v>0</v>
      </c>
      <c r="IG73" s="4">
        <f>IFERROR(HE73/'McDonough &amp; Sun 1995 values'!P$2,)</f>
        <v>0</v>
      </c>
      <c r="IH73" s="4">
        <f>IFERROR(HF73/'McDonough &amp; Sun 1995 values'!Q$2,)</f>
        <v>0</v>
      </c>
      <c r="II73" s="4">
        <f>IFERROR(HG73/'McDonough &amp; Sun 1995 values'!R$2,)</f>
        <v>0</v>
      </c>
      <c r="IJ73" s="4">
        <f>IFERROR(HH73/'McDonough &amp; Sun 1995 values'!S$2,)</f>
        <v>0</v>
      </c>
      <c r="IK73" s="4">
        <f>IFERROR(HI73/'McDonough &amp; Sun 1995 values'!T$2,)</f>
        <v>0</v>
      </c>
      <c r="IL73" s="4">
        <f>IFERROR(HJ73/'McDonough &amp; Sun 1995 values'!U$2,)</f>
        <v>0</v>
      </c>
      <c r="IM73" s="4">
        <f>IFERROR(HK73/'McDonough &amp; Sun 1995 values'!V$2,)</f>
        <v>0</v>
      </c>
      <c r="IN73" s="4">
        <f>IFERROR(HL73/'McDonough &amp; Sun 1995 values'!W$2,)</f>
        <v>0</v>
      </c>
      <c r="IO73" s="4">
        <f>IFERROR(HM73/'McDonough &amp; Sun 1995 values'!X$2,)</f>
        <v>0</v>
      </c>
      <c r="IP73" s="4">
        <f>IFERROR(HN73/'McDonough &amp; Sun 1995 values'!Y$2,)</f>
        <v>0</v>
      </c>
      <c r="IQ73" s="4">
        <f>IFERROR(HO73/'McDonough &amp; Sun 1995 values'!Z$2,)</f>
        <v>0</v>
      </c>
      <c r="IR73" s="4">
        <f>IFERROR(HP73/'McDonough &amp; Sun 1995 values'!AA$2,)</f>
        <v>0</v>
      </c>
      <c r="IS73" s="4">
        <f>IFERROR(HQ73/'McDonough &amp; Sun 1995 values'!AB$2,)</f>
        <v>0</v>
      </c>
      <c r="IT73" s="4">
        <f>IFERROR(HR73/'McDonough &amp; Sun 1995 values'!AC$2,)</f>
        <v>0</v>
      </c>
    </row>
    <row r="74" spans="1:254">
      <c r="A74" s="16" t="s">
        <v>1656</v>
      </c>
      <c r="B74" s="4" t="s">
        <v>24</v>
      </c>
      <c r="C74" s="16" t="str">
        <f t="shared" si="144"/>
        <v>high-Mg carbonatitic</v>
      </c>
      <c r="D74" s="4" t="s">
        <v>1706</v>
      </c>
      <c r="E74" s="4" t="s">
        <v>237</v>
      </c>
      <c r="F74" s="4" t="s">
        <v>849</v>
      </c>
      <c r="G74" s="4" t="s">
        <v>595</v>
      </c>
      <c r="H74" s="49">
        <v>364</v>
      </c>
      <c r="I74" s="4" t="s">
        <v>1148</v>
      </c>
      <c r="J74" s="4" t="s">
        <v>635</v>
      </c>
      <c r="K74" s="4" t="s">
        <v>1678</v>
      </c>
      <c r="M74" s="4" t="s">
        <v>1681</v>
      </c>
      <c r="N74" s="4">
        <v>28</v>
      </c>
      <c r="O74" s="4">
        <v>2.48</v>
      </c>
      <c r="R74" s="4">
        <v>0.31</v>
      </c>
      <c r="S74" s="4">
        <v>17.5</v>
      </c>
      <c r="T74" s="4">
        <v>14.9</v>
      </c>
      <c r="V74" s="4">
        <v>15.9</v>
      </c>
      <c r="W74" s="4">
        <v>2.58</v>
      </c>
      <c r="X74" s="4">
        <v>20.8</v>
      </c>
      <c r="AA74" s="4">
        <v>10.1</v>
      </c>
      <c r="AB74" s="4">
        <v>8.7799999999999994</v>
      </c>
      <c r="AD74" s="4">
        <v>6.66</v>
      </c>
      <c r="AJ74" s="26">
        <f t="shared" si="145"/>
        <v>89.91</v>
      </c>
      <c r="AK74" s="26">
        <f t="shared" si="147"/>
        <v>2.8044226526990754</v>
      </c>
      <c r="AL74" s="26">
        <f t="shared" si="148"/>
        <v>0</v>
      </c>
      <c r="AM74" s="26">
        <f t="shared" si="149"/>
        <v>0.35055283158738443</v>
      </c>
      <c r="AN74" s="26">
        <f t="shared" si="150"/>
        <v>19.789272750900732</v>
      </c>
      <c r="AO74" s="26">
        <f t="shared" si="151"/>
        <v>16.849152227909769</v>
      </c>
      <c r="AP74" s="26">
        <f t="shared" si="152"/>
        <v>17.979967813675525</v>
      </c>
      <c r="AQ74" s="26">
        <f t="shared" si="153"/>
        <v>9.9285608430233392</v>
      </c>
      <c r="AR74" s="26">
        <f t="shared" si="154"/>
        <v>2.9175042112756508</v>
      </c>
      <c r="AS74" s="26">
        <f t="shared" si="155"/>
        <v>23.520964183927727</v>
      </c>
      <c r="AT74" s="26">
        <f t="shared" si="156"/>
        <v>0</v>
      </c>
      <c r="AU74" s="26">
        <f t="shared" si="157"/>
        <v>7.5312318011999366</v>
      </c>
      <c r="AV74" s="26">
        <f t="shared" si="146"/>
        <v>101.67162931619914</v>
      </c>
      <c r="BB74" s="26">
        <v>0.15</v>
      </c>
      <c r="BC74" s="26">
        <f t="shared" si="158"/>
        <v>0.15000000000000002</v>
      </c>
      <c r="BD74" s="26">
        <f t="shared" si="159"/>
        <v>0.85</v>
      </c>
      <c r="BL74" s="26"/>
      <c r="EL74" s="18">
        <f>IFERROR(CR74/'McDonough &amp; Sun 1995 values'!C$2,)</f>
        <v>0</v>
      </c>
      <c r="EM74" s="18">
        <f>IFERROR(CH74/'McDonough &amp; Sun 1995 values'!D$2,)</f>
        <v>0</v>
      </c>
      <c r="EN74" s="18">
        <f>IFERROR(CS74/'McDonough &amp; Sun 1995 values'!E$2,)</f>
        <v>0</v>
      </c>
      <c r="EO74" s="18">
        <f>IFERROR(DL74/'McDonough &amp; Sun 1995 values'!F$2,)</f>
        <v>0</v>
      </c>
      <c r="EP74" s="18">
        <f>IFERROR(DM74/'McDonough &amp; Sun 1995 values'!G$2,)</f>
        <v>0</v>
      </c>
      <c r="EQ74" s="18">
        <f>IFERROR(BR74/'McDonough &amp; Sun 1995 values'!H$2,)</f>
        <v>0</v>
      </c>
      <c r="ER74" s="18">
        <f>IFERROR(DI74/'McDonough &amp; Sun 1995 values'!I$2,)</f>
        <v>0</v>
      </c>
      <c r="ES74" s="18">
        <f>IFERROR(CM74/'McDonough &amp; Sun 1995 values'!J$2,)</f>
        <v>0</v>
      </c>
      <c r="ET74" s="18">
        <f>IFERROR(CU74/'McDonough &amp; Sun 1995 values'!K$2,)</f>
        <v>0</v>
      </c>
      <c r="EU74" s="18">
        <f>IFERROR(CV74/'McDonough &amp; Sun 1995 values'!L$2,)</f>
        <v>0</v>
      </c>
      <c r="EV74" s="18">
        <f>IFERROR(CW74/'McDonough &amp; Sun 1995 values'!M$2,)</f>
        <v>0</v>
      </c>
      <c r="EW74" s="18">
        <f>IFERROR(CI74/'McDonough &amp; Sun 1995 values'!N$2,)</f>
        <v>0</v>
      </c>
      <c r="EX74" s="18">
        <f>IFERROR(CX74/'McDonough &amp; Sun 1995 values'!O$2,)</f>
        <v>0</v>
      </c>
      <c r="EY74" s="18">
        <f>IFERROR(CY74/'McDonough &amp; Sun 1995 values'!P$2,)</f>
        <v>0</v>
      </c>
      <c r="EZ74" s="18">
        <f>IFERROR(DH74/'McDonough &amp; Sun 1995 values'!Q$2,)</f>
        <v>0</v>
      </c>
      <c r="FA74" s="18">
        <f>IFERROR(CK74/'McDonough &amp; Sun 1995 values'!R$2,)</f>
        <v>0</v>
      </c>
      <c r="FB74" s="18">
        <f>IFERROR(CZ74/'McDonough &amp; Sun 1995 values'!S$2,)</f>
        <v>0</v>
      </c>
      <c r="FC74" s="18">
        <f>IFERROR(BT74/'McDonough &amp; Sun 1995 values'!T$2,)</f>
        <v>0</v>
      </c>
      <c r="FD74" s="18">
        <f>IFERROR(DA74/'McDonough &amp; Sun 1995 values'!U$2,)</f>
        <v>0</v>
      </c>
      <c r="FE74" s="18">
        <f>IFERROR(DN74/'McDonough &amp; Sun 1995 values'!V$2,)</f>
        <v>0</v>
      </c>
      <c r="FF74" s="18">
        <f>IFERROR(DB74/'McDonough &amp; Sun 1995 values'!W$2,)</f>
        <v>0</v>
      </c>
      <c r="FG74" s="18">
        <f>IFERROR(CJ74/'McDonough &amp; Sun 1995 values'!X$2,)</f>
        <v>0</v>
      </c>
      <c r="FH74" s="18">
        <f>IFERROR(DC74/'McDonough &amp; Sun 1995 values'!Y$2,)</f>
        <v>0</v>
      </c>
      <c r="FI74" s="18">
        <f>IFERROR(DD74/'McDonough &amp; Sun 1995 values'!Z$2,)</f>
        <v>0</v>
      </c>
      <c r="FJ74" s="18">
        <f>IFERROR(DE74/'McDonough &amp; Sun 1995 values'!AA$2,)</f>
        <v>0</v>
      </c>
      <c r="FK74" s="18">
        <f>IFERROR(DF74/'McDonough &amp; Sun 1995 values'!AB$2,)</f>
        <v>0</v>
      </c>
      <c r="FL74" s="18">
        <f>IFERROR(DG74/'McDonough &amp; Sun 1995 values'!AC$2,)</f>
        <v>0</v>
      </c>
      <c r="FN74" s="28">
        <f t="shared" si="160"/>
        <v>0</v>
      </c>
      <c r="FO74" s="4">
        <f t="shared" si="161"/>
        <v>0</v>
      </c>
      <c r="FP74" s="4">
        <f t="shared" si="162"/>
        <v>0</v>
      </c>
      <c r="FQ74" s="4">
        <f t="shared" si="163"/>
        <v>0</v>
      </c>
      <c r="FR74" s="4">
        <f t="shared" si="164"/>
        <v>0</v>
      </c>
      <c r="FS74" s="4">
        <f t="shared" si="165"/>
        <v>0</v>
      </c>
      <c r="FT74" s="4">
        <f t="shared" si="166"/>
        <v>0</v>
      </c>
      <c r="FU74" s="4">
        <f t="shared" si="167"/>
        <v>0</v>
      </c>
      <c r="FV74" s="4">
        <f t="shared" si="168"/>
        <v>0</v>
      </c>
      <c r="FW74" s="4">
        <f t="shared" si="169"/>
        <v>0</v>
      </c>
      <c r="FX74" s="4">
        <f t="shared" si="170"/>
        <v>0</v>
      </c>
      <c r="FY74" s="4">
        <f t="shared" si="171"/>
        <v>0</v>
      </c>
      <c r="FZ74" s="4">
        <f t="shared" si="172"/>
        <v>0</v>
      </c>
      <c r="GA74" s="4">
        <f t="shared" si="173"/>
        <v>0</v>
      </c>
      <c r="GB74" s="4">
        <f t="shared" si="174"/>
        <v>0</v>
      </c>
      <c r="GC74" s="4">
        <f t="shared" si="175"/>
        <v>0</v>
      </c>
      <c r="GD74" s="4">
        <f t="shared" si="176"/>
        <v>0</v>
      </c>
      <c r="GE74" s="4">
        <f t="shared" si="177"/>
        <v>0</v>
      </c>
      <c r="GF74" s="4">
        <f t="shared" si="178"/>
        <v>0</v>
      </c>
      <c r="GG74" s="4">
        <f t="shared" si="179"/>
        <v>0</v>
      </c>
      <c r="GH74" s="4">
        <f t="shared" si="180"/>
        <v>0</v>
      </c>
      <c r="GI74" s="4">
        <f t="shared" si="181"/>
        <v>0</v>
      </c>
      <c r="GJ74" s="4">
        <f t="shared" si="182"/>
        <v>0</v>
      </c>
      <c r="GK74" s="4">
        <f t="shared" si="183"/>
        <v>0</v>
      </c>
      <c r="GL74" s="4">
        <f t="shared" si="184"/>
        <v>0</v>
      </c>
      <c r="GM74" s="4">
        <f t="shared" si="185"/>
        <v>0</v>
      </c>
      <c r="GN74" s="4">
        <f t="shared" si="186"/>
        <v>0</v>
      </c>
      <c r="GO74" s="4">
        <f t="shared" si="187"/>
        <v>0</v>
      </c>
      <c r="GP74" s="4">
        <f t="shared" si="188"/>
        <v>0</v>
      </c>
      <c r="GQ74" s="27">
        <f t="shared" si="189"/>
        <v>195256.29811830889</v>
      </c>
      <c r="GR74" s="28" t="str">
        <f t="shared" si="190"/>
        <v/>
      </c>
      <c r="GS74" s="28" t="str">
        <f t="shared" si="191"/>
        <v/>
      </c>
      <c r="GT74" s="28" t="str">
        <f t="shared" si="192"/>
        <v/>
      </c>
      <c r="GU74" s="28" t="str">
        <f t="shared" si="193"/>
        <v/>
      </c>
      <c r="GV74" s="28" t="str">
        <f t="shared" si="194"/>
        <v/>
      </c>
      <c r="GW74" s="28" t="str">
        <f t="shared" si="195"/>
        <v/>
      </c>
      <c r="GX74" s="28" t="str">
        <f t="shared" si="196"/>
        <v/>
      </c>
      <c r="GY74" s="28" t="str">
        <f t="shared" si="197"/>
        <v/>
      </c>
      <c r="GZ74" s="28" t="str">
        <f t="shared" si="198"/>
        <v/>
      </c>
      <c r="HA74" s="28" t="str">
        <f t="shared" si="199"/>
        <v/>
      </c>
      <c r="HB74" s="28" t="str">
        <f t="shared" si="200"/>
        <v/>
      </c>
      <c r="HC74" s="28" t="str">
        <f t="shared" si="201"/>
        <v/>
      </c>
      <c r="HD74" s="28" t="str">
        <f t="shared" si="202"/>
        <v/>
      </c>
      <c r="HE74" s="28" t="str">
        <f t="shared" si="203"/>
        <v/>
      </c>
      <c r="HF74" s="28" t="str">
        <f t="shared" si="204"/>
        <v/>
      </c>
      <c r="HG74" s="28" t="str">
        <f t="shared" si="205"/>
        <v/>
      </c>
      <c r="HH74" s="28" t="str">
        <f t="shared" si="206"/>
        <v/>
      </c>
      <c r="HI74" s="28" t="str">
        <f t="shared" si="207"/>
        <v/>
      </c>
      <c r="HJ74" s="28" t="str">
        <f t="shared" si="208"/>
        <v/>
      </c>
      <c r="HK74" s="28" t="str">
        <f t="shared" si="209"/>
        <v/>
      </c>
      <c r="HL74" s="28" t="str">
        <f t="shared" si="210"/>
        <v/>
      </c>
      <c r="HM74" s="28" t="str">
        <f t="shared" si="211"/>
        <v/>
      </c>
      <c r="HN74" s="28" t="str">
        <f t="shared" si="212"/>
        <v/>
      </c>
      <c r="HO74" s="28" t="str">
        <f t="shared" si="213"/>
        <v/>
      </c>
      <c r="HP74" s="28" t="str">
        <f t="shared" si="214"/>
        <v/>
      </c>
      <c r="HQ74" s="28" t="str">
        <f t="shared" si="215"/>
        <v/>
      </c>
      <c r="HR74" s="28" t="str">
        <f t="shared" si="216"/>
        <v/>
      </c>
      <c r="HT74" s="4">
        <f>IFERROR(GR74/'McDonough &amp; Sun 1995 values'!C$2,)</f>
        <v>0</v>
      </c>
      <c r="HU74" s="4">
        <f>IFERROR(GS74/'McDonough &amp; Sun 1995 values'!D$2,)</f>
        <v>0</v>
      </c>
      <c r="HV74" s="4">
        <f>IFERROR(GT74/'McDonough &amp; Sun 1995 values'!E$2,)</f>
        <v>0</v>
      </c>
      <c r="HW74" s="4">
        <f>IFERROR(GU74/'McDonough &amp; Sun 1995 values'!F$2,)</f>
        <v>0</v>
      </c>
      <c r="HX74" s="4">
        <f>IFERROR(GV74/'McDonough &amp; Sun 1995 values'!G$2,)</f>
        <v>0</v>
      </c>
      <c r="HY74" s="4">
        <f>IFERROR(GW74/'McDonough &amp; Sun 1995 values'!H$2,)</f>
        <v>0</v>
      </c>
      <c r="HZ74" s="4">
        <f>IFERROR(GX74/'McDonough &amp; Sun 1995 values'!I$2,)</f>
        <v>0</v>
      </c>
      <c r="IA74" s="4">
        <f>IFERROR(GY74/'McDonough &amp; Sun 1995 values'!J$2,)</f>
        <v>0</v>
      </c>
      <c r="IB74" s="4">
        <f>IFERROR(GZ74/'McDonough &amp; Sun 1995 values'!K$2,)</f>
        <v>0</v>
      </c>
      <c r="IC74" s="4">
        <f>IFERROR(HA74/'McDonough &amp; Sun 1995 values'!L$2,)</f>
        <v>0</v>
      </c>
      <c r="ID74" s="4">
        <f>IFERROR(HB74/'McDonough &amp; Sun 1995 values'!M$2,)</f>
        <v>0</v>
      </c>
      <c r="IE74" s="4">
        <f>IFERROR(HC74/'McDonough &amp; Sun 1995 values'!N$2,)</f>
        <v>0</v>
      </c>
      <c r="IF74" s="4">
        <f>IFERROR(HD74/'McDonough &amp; Sun 1995 values'!O$2,)</f>
        <v>0</v>
      </c>
      <c r="IG74" s="4">
        <f>IFERROR(HE74/'McDonough &amp; Sun 1995 values'!P$2,)</f>
        <v>0</v>
      </c>
      <c r="IH74" s="4">
        <f>IFERROR(HF74/'McDonough &amp; Sun 1995 values'!Q$2,)</f>
        <v>0</v>
      </c>
      <c r="II74" s="4">
        <f>IFERROR(HG74/'McDonough &amp; Sun 1995 values'!R$2,)</f>
        <v>0</v>
      </c>
      <c r="IJ74" s="4">
        <f>IFERROR(HH74/'McDonough &amp; Sun 1995 values'!S$2,)</f>
        <v>0</v>
      </c>
      <c r="IK74" s="4">
        <f>IFERROR(HI74/'McDonough &amp; Sun 1995 values'!T$2,)</f>
        <v>0</v>
      </c>
      <c r="IL74" s="4">
        <f>IFERROR(HJ74/'McDonough &amp; Sun 1995 values'!U$2,)</f>
        <v>0</v>
      </c>
      <c r="IM74" s="4">
        <f>IFERROR(HK74/'McDonough &amp; Sun 1995 values'!V$2,)</f>
        <v>0</v>
      </c>
      <c r="IN74" s="4">
        <f>IFERROR(HL74/'McDonough &amp; Sun 1995 values'!W$2,)</f>
        <v>0</v>
      </c>
      <c r="IO74" s="4">
        <f>IFERROR(HM74/'McDonough &amp; Sun 1995 values'!X$2,)</f>
        <v>0</v>
      </c>
      <c r="IP74" s="4">
        <f>IFERROR(HN74/'McDonough &amp; Sun 1995 values'!Y$2,)</f>
        <v>0</v>
      </c>
      <c r="IQ74" s="4">
        <f>IFERROR(HO74/'McDonough &amp; Sun 1995 values'!Z$2,)</f>
        <v>0</v>
      </c>
      <c r="IR74" s="4">
        <f>IFERROR(HP74/'McDonough &amp; Sun 1995 values'!AA$2,)</f>
        <v>0</v>
      </c>
      <c r="IS74" s="4">
        <f>IFERROR(HQ74/'McDonough &amp; Sun 1995 values'!AB$2,)</f>
        <v>0</v>
      </c>
      <c r="IT74" s="4">
        <f>IFERROR(HR74/'McDonough &amp; Sun 1995 values'!AC$2,)</f>
        <v>0</v>
      </c>
    </row>
    <row r="75" spans="1:254">
      <c r="A75" s="16" t="s">
        <v>1656</v>
      </c>
      <c r="B75" s="4" t="s">
        <v>24</v>
      </c>
      <c r="C75" s="16" t="str">
        <f t="shared" si="144"/>
        <v>high-Mg carbonatitic</v>
      </c>
      <c r="D75" s="4" t="s">
        <v>1706</v>
      </c>
      <c r="E75" s="4" t="s">
        <v>237</v>
      </c>
      <c r="F75" s="4" t="s">
        <v>849</v>
      </c>
      <c r="G75" s="4" t="s">
        <v>595</v>
      </c>
      <c r="H75" s="49">
        <v>364</v>
      </c>
      <c r="I75" s="4" t="s">
        <v>1148</v>
      </c>
      <c r="J75" s="4" t="s">
        <v>635</v>
      </c>
      <c r="K75" s="4" t="s">
        <v>1678</v>
      </c>
      <c r="M75" s="4" t="s">
        <v>1682</v>
      </c>
      <c r="N75" s="4">
        <v>30</v>
      </c>
      <c r="O75" s="4">
        <v>9.42</v>
      </c>
      <c r="R75" s="4">
        <v>1.28</v>
      </c>
      <c r="S75" s="4">
        <v>7.51</v>
      </c>
      <c r="T75" s="4">
        <v>31</v>
      </c>
      <c r="V75" s="4">
        <v>18.5</v>
      </c>
      <c r="W75" s="4">
        <v>11</v>
      </c>
      <c r="X75" s="4">
        <v>12.9</v>
      </c>
      <c r="Z75" s="4">
        <v>4.8499999999999996</v>
      </c>
      <c r="AA75" s="4">
        <v>1.02</v>
      </c>
      <c r="AB75" s="4">
        <v>0.36</v>
      </c>
      <c r="AD75" s="4">
        <v>1.77</v>
      </c>
      <c r="AF75" s="4">
        <v>0.38</v>
      </c>
      <c r="AJ75" s="26">
        <f t="shared" si="145"/>
        <v>98.59</v>
      </c>
      <c r="AK75" s="26">
        <f t="shared" si="147"/>
        <v>9.5934323774789014</v>
      </c>
      <c r="AL75" s="26">
        <f t="shared" si="148"/>
        <v>0</v>
      </c>
      <c r="AM75" s="26">
        <f t="shared" si="149"/>
        <v>1.3035661829270695</v>
      </c>
      <c r="AN75" s="26">
        <f t="shared" si="150"/>
        <v>7.6482672138924164</v>
      </c>
      <c r="AO75" s="26">
        <f t="shared" si="151"/>
        <v>31.570743492764962</v>
      </c>
      <c r="AP75" s="26">
        <f t="shared" si="152"/>
        <v>18.840604987617802</v>
      </c>
      <c r="AQ75" s="26">
        <f t="shared" si="153"/>
        <v>0.36662798894823828</v>
      </c>
      <c r="AR75" s="26">
        <f t="shared" si="154"/>
        <v>11.202521884529503</v>
      </c>
      <c r="AS75" s="26">
        <f t="shared" si="155"/>
        <v>13.137502937311874</v>
      </c>
      <c r="AT75" s="26">
        <f t="shared" si="156"/>
        <v>4.9392937399970993</v>
      </c>
      <c r="AU75" s="26">
        <f t="shared" si="157"/>
        <v>1.8025876123288382</v>
      </c>
      <c r="AV75" s="26">
        <f t="shared" si="146"/>
        <v>100.4051484177967</v>
      </c>
      <c r="BB75" s="26">
        <v>0.08</v>
      </c>
      <c r="BC75" s="26">
        <f t="shared" si="158"/>
        <v>7.999999999999996E-2</v>
      </c>
      <c r="BD75" s="26">
        <f t="shared" si="159"/>
        <v>0.92</v>
      </c>
      <c r="BG75" s="4">
        <v>407.84949999999998</v>
      </c>
      <c r="BH75" s="4">
        <v>18.00611992025889</v>
      </c>
      <c r="BL75" s="26"/>
      <c r="BT75" s="44">
        <v>35555.969857587654</v>
      </c>
      <c r="CI75" s="44">
        <v>3538.2121579484128</v>
      </c>
      <c r="CJ75" s="44">
        <v>881.80502225936152</v>
      </c>
      <c r="CK75" s="44">
        <v>1014.6438309054056</v>
      </c>
      <c r="CM75" s="44">
        <v>942.49932082417513</v>
      </c>
      <c r="CS75" s="44">
        <v>38835.047273096403</v>
      </c>
      <c r="CU75" s="44">
        <v>528.78971932590662</v>
      </c>
      <c r="CV75" s="44">
        <v>791.32335391214576</v>
      </c>
      <c r="CW75" s="44">
        <v>1275.0571274298873</v>
      </c>
      <c r="CY75" s="44">
        <v>1474.5810060557203</v>
      </c>
      <c r="DB75" s="44">
        <v>334.57462728961758</v>
      </c>
      <c r="DC75" s="44">
        <v>46.781214030684936</v>
      </c>
      <c r="DG75" s="44">
        <v>162.46286410067623</v>
      </c>
      <c r="DI75" s="44">
        <v>102.31478280865075</v>
      </c>
      <c r="DK75" s="44">
        <v>3327.6070179401181</v>
      </c>
      <c r="DL75" s="44">
        <v>157.93115018314609</v>
      </c>
      <c r="DM75" s="44">
        <v>79.533553701505568</v>
      </c>
      <c r="EL75" s="18">
        <f>IFERROR(CR75/'McDonough &amp; Sun 1995 values'!C$2,)</f>
        <v>0</v>
      </c>
      <c r="EM75" s="18">
        <f>IFERROR(CH75/'McDonough &amp; Sun 1995 values'!D$2,)</f>
        <v>0</v>
      </c>
      <c r="EN75" s="18">
        <f>IFERROR(CS75/'McDonough &amp; Sun 1995 values'!E$2,)</f>
        <v>5884.0980716812737</v>
      </c>
      <c r="EO75" s="18">
        <f>IFERROR(DL75/'McDonough &amp; Sun 1995 values'!F$2,)</f>
        <v>1986.555348215674</v>
      </c>
      <c r="EP75" s="18">
        <f>IFERROR(DM75/'McDonough &amp; Sun 1995 values'!G$2,)</f>
        <v>3917.9090493352501</v>
      </c>
      <c r="EQ75" s="18">
        <f>IFERROR(BR75/'McDonough &amp; Sun 1995 values'!H$2,)</f>
        <v>0</v>
      </c>
      <c r="ER75" s="18">
        <f>IFERROR(DI75/'McDonough &amp; Sun 1995 values'!I$2,)</f>
        <v>2765.2644002338043</v>
      </c>
      <c r="ES75" s="18">
        <f>IFERROR(CM75/'McDonough &amp; Sun 1995 values'!J$2,)</f>
        <v>1432.3697884865883</v>
      </c>
      <c r="ET75" s="18">
        <f>IFERROR(CU75/'McDonough &amp; Sun 1995 values'!K$2,)</f>
        <v>816.03351747825093</v>
      </c>
      <c r="EU75" s="18">
        <f>IFERROR(CV75/'McDonough &amp; Sun 1995 values'!L$2,)</f>
        <v>472.43185308187805</v>
      </c>
      <c r="EV75" s="18">
        <f>IFERROR(CW75/'McDonough &amp; Sun 1995 values'!M$2,)</f>
        <v>5019.9099505113672</v>
      </c>
      <c r="EW75" s="18">
        <f>IFERROR(CI75/'McDonough &amp; Sun 1995 values'!N$2,)</f>
        <v>177.79960592705592</v>
      </c>
      <c r="EX75" s="18">
        <f>IFERROR(CX75/'McDonough &amp; Sun 1995 values'!O$2,)</f>
        <v>0</v>
      </c>
      <c r="EY75" s="18">
        <f>IFERROR(CY75/'McDonough &amp; Sun 1995 values'!P$2,)</f>
        <v>3631.9729213195078</v>
      </c>
      <c r="EZ75" s="18">
        <f>IFERROR(DH75/'McDonough &amp; Sun 1995 values'!Q$2,)</f>
        <v>0</v>
      </c>
      <c r="FA75" s="18">
        <f>IFERROR(CK75/'McDonough &amp; Sun 1995 values'!R$2,)</f>
        <v>96.632745800514812</v>
      </c>
      <c r="FB75" s="18">
        <f>IFERROR(CZ75/'McDonough &amp; Sun 1995 values'!S$2,)</f>
        <v>0</v>
      </c>
      <c r="FC75" s="18">
        <f>IFERROR(BT75/'McDonough &amp; Sun 1995 values'!T$2,)</f>
        <v>29.507028927458634</v>
      </c>
      <c r="FD75" s="18">
        <f>IFERROR(DA75/'McDonough &amp; Sun 1995 values'!U$2,)</f>
        <v>0</v>
      </c>
      <c r="FE75" s="18">
        <f>IFERROR(DN75/'McDonough &amp; Sun 1995 values'!V$2,)</f>
        <v>0</v>
      </c>
      <c r="FF75" s="18">
        <f>IFERROR(DB75/'McDonough &amp; Sun 1995 values'!W$2,)</f>
        <v>496.40152416857205</v>
      </c>
      <c r="FG75" s="18">
        <f>IFERROR(CJ75/'McDonough &amp; Sun 1995 values'!X$2,)</f>
        <v>205.07093540915386</v>
      </c>
      <c r="FH75" s="18">
        <f>IFERROR(DC75/'McDonough &amp; Sun 1995 values'!Y$2,)</f>
        <v>313.96787940057004</v>
      </c>
      <c r="FI75" s="18">
        <f>IFERROR(DD75/'McDonough &amp; Sun 1995 values'!Z$2,)</f>
        <v>0</v>
      </c>
      <c r="FJ75" s="18">
        <f>IFERROR(DE75/'McDonough &amp; Sun 1995 values'!AA$2,)</f>
        <v>0</v>
      </c>
      <c r="FK75" s="18">
        <f>IFERROR(DF75/'McDonough &amp; Sun 1995 values'!AB$2,)</f>
        <v>0</v>
      </c>
      <c r="FL75" s="18">
        <f>IFERROR(DG75/'McDonough &amp; Sun 1995 values'!AC$2,)</f>
        <v>2406.8572459359439</v>
      </c>
      <c r="FN75" s="28">
        <f t="shared" si="160"/>
        <v>0</v>
      </c>
      <c r="FO75" s="4">
        <f t="shared" si="161"/>
        <v>1.5018465200665203</v>
      </c>
      <c r="FP75" s="4">
        <f t="shared" si="162"/>
        <v>1.3869011788601229</v>
      </c>
      <c r="FQ75" s="4">
        <f t="shared" si="163"/>
        <v>0.50704478414391263</v>
      </c>
      <c r="FR75" s="4">
        <f t="shared" si="164"/>
        <v>0.56970869117565981</v>
      </c>
      <c r="FS75" s="4">
        <f t="shared" si="165"/>
        <v>0.29510144397376792</v>
      </c>
      <c r="FT75" s="4">
        <f t="shared" si="166"/>
        <v>0</v>
      </c>
      <c r="FU75" s="4">
        <f t="shared" si="167"/>
        <v>1.9305520281571453</v>
      </c>
      <c r="FV75" s="4">
        <f t="shared" si="168"/>
        <v>2.6606130578035205E-2</v>
      </c>
      <c r="FW75" s="4">
        <f t="shared" si="169"/>
        <v>0</v>
      </c>
      <c r="FX75" s="4">
        <f t="shared" si="170"/>
        <v>0</v>
      </c>
      <c r="FY75" s="4">
        <f t="shared" si="171"/>
        <v>0</v>
      </c>
      <c r="FZ75" s="4">
        <f t="shared" si="172"/>
        <v>0</v>
      </c>
      <c r="GA75" s="4">
        <f t="shared" si="173"/>
        <v>3.5418883541714498E-2</v>
      </c>
      <c r="GB75" s="4">
        <f t="shared" si="174"/>
        <v>0</v>
      </c>
      <c r="GC75" s="4">
        <f t="shared" si="175"/>
        <v>0</v>
      </c>
      <c r="GD75" s="4">
        <f t="shared" si="176"/>
        <v>2.9619602982450886</v>
      </c>
      <c r="GE75" s="4">
        <f t="shared" si="177"/>
        <v>0</v>
      </c>
      <c r="GF75" s="4">
        <f t="shared" si="178"/>
        <v>0</v>
      </c>
      <c r="GG75" s="4">
        <f t="shared" si="179"/>
        <v>4.1079462293729945</v>
      </c>
      <c r="GH75" s="4">
        <f t="shared" si="180"/>
        <v>0.16255939359930618</v>
      </c>
      <c r="GI75" s="4">
        <f t="shared" si="181"/>
        <v>0.22468050702916123</v>
      </c>
      <c r="GJ75" s="4">
        <f t="shared" si="182"/>
        <v>1.6438980900492475</v>
      </c>
      <c r="GK75" s="4">
        <f t="shared" si="183"/>
        <v>0</v>
      </c>
      <c r="GL75" s="4">
        <f t="shared" si="184"/>
        <v>3.2749059906397546</v>
      </c>
      <c r="GM75" s="4">
        <f t="shared" si="185"/>
        <v>0</v>
      </c>
      <c r="GN75" s="4">
        <f t="shared" si="186"/>
        <v>1.755283034100084</v>
      </c>
      <c r="GO75" s="4">
        <f t="shared" si="187"/>
        <v>0.36559546698247575</v>
      </c>
      <c r="GP75" s="4">
        <f t="shared" si="188"/>
        <v>0</v>
      </c>
      <c r="GQ75" s="27">
        <f t="shared" si="189"/>
        <v>109059.31279002402</v>
      </c>
      <c r="GR75" s="28" t="str">
        <f t="shared" si="190"/>
        <v/>
      </c>
      <c r="GS75" s="28" t="str">
        <f t="shared" si="191"/>
        <v/>
      </c>
      <c r="GT75" s="28" t="str">
        <f t="shared" si="192"/>
        <v/>
      </c>
      <c r="GU75" s="28" t="str">
        <f t="shared" si="193"/>
        <v/>
      </c>
      <c r="GV75" s="28" t="str">
        <f t="shared" si="194"/>
        <v/>
      </c>
      <c r="GW75" s="28" t="str">
        <f t="shared" si="195"/>
        <v/>
      </c>
      <c r="GX75" s="28" t="str">
        <f t="shared" si="196"/>
        <v/>
      </c>
      <c r="GY75" s="28" t="str">
        <f t="shared" si="197"/>
        <v/>
      </c>
      <c r="GZ75" s="28" t="str">
        <f t="shared" si="198"/>
        <v/>
      </c>
      <c r="HA75" s="28" t="str">
        <f t="shared" si="199"/>
        <v/>
      </c>
      <c r="HB75" s="28" t="str">
        <f t="shared" si="200"/>
        <v/>
      </c>
      <c r="HC75" s="28" t="str">
        <f t="shared" si="201"/>
        <v/>
      </c>
      <c r="HD75" s="28" t="str">
        <f t="shared" si="202"/>
        <v/>
      </c>
      <c r="HE75" s="28" t="str">
        <f t="shared" si="203"/>
        <v/>
      </c>
      <c r="HF75" s="28" t="str">
        <f t="shared" si="204"/>
        <v/>
      </c>
      <c r="HG75" s="28" t="str">
        <f t="shared" si="205"/>
        <v/>
      </c>
      <c r="HH75" s="28" t="str">
        <f t="shared" si="206"/>
        <v/>
      </c>
      <c r="HI75" s="28" t="str">
        <f t="shared" si="207"/>
        <v/>
      </c>
      <c r="HJ75" s="28" t="str">
        <f t="shared" si="208"/>
        <v/>
      </c>
      <c r="HK75" s="28" t="str">
        <f t="shared" si="209"/>
        <v/>
      </c>
      <c r="HL75" s="28" t="str">
        <f t="shared" si="210"/>
        <v/>
      </c>
      <c r="HM75" s="28" t="str">
        <f t="shared" si="211"/>
        <v/>
      </c>
      <c r="HN75" s="28" t="str">
        <f t="shared" si="212"/>
        <v/>
      </c>
      <c r="HO75" s="28" t="str">
        <f t="shared" si="213"/>
        <v/>
      </c>
      <c r="HP75" s="28" t="str">
        <f t="shared" si="214"/>
        <v/>
      </c>
      <c r="HQ75" s="28" t="str">
        <f t="shared" si="215"/>
        <v/>
      </c>
      <c r="HR75" s="28" t="str">
        <f t="shared" si="216"/>
        <v/>
      </c>
      <c r="HT75" s="4">
        <f>IFERROR(GR75/'McDonough &amp; Sun 1995 values'!C$2,)</f>
        <v>0</v>
      </c>
      <c r="HU75" s="4">
        <f>IFERROR(GS75/'McDonough &amp; Sun 1995 values'!D$2,)</f>
        <v>0</v>
      </c>
      <c r="HV75" s="4">
        <f>IFERROR(GT75/'McDonough &amp; Sun 1995 values'!E$2,)</f>
        <v>0</v>
      </c>
      <c r="HW75" s="4">
        <f>IFERROR(GU75/'McDonough &amp; Sun 1995 values'!F$2,)</f>
        <v>0</v>
      </c>
      <c r="HX75" s="4">
        <f>IFERROR(GV75/'McDonough &amp; Sun 1995 values'!G$2,)</f>
        <v>0</v>
      </c>
      <c r="HY75" s="4">
        <f>IFERROR(GW75/'McDonough &amp; Sun 1995 values'!H$2,)</f>
        <v>0</v>
      </c>
      <c r="HZ75" s="4">
        <f>IFERROR(GX75/'McDonough &amp; Sun 1995 values'!I$2,)</f>
        <v>0</v>
      </c>
      <c r="IA75" s="4">
        <f>IFERROR(GY75/'McDonough &amp; Sun 1995 values'!J$2,)</f>
        <v>0</v>
      </c>
      <c r="IB75" s="4">
        <f>IFERROR(GZ75/'McDonough &amp; Sun 1995 values'!K$2,)</f>
        <v>0</v>
      </c>
      <c r="IC75" s="4">
        <f>IFERROR(HA75/'McDonough &amp; Sun 1995 values'!L$2,)</f>
        <v>0</v>
      </c>
      <c r="ID75" s="4">
        <f>IFERROR(HB75/'McDonough &amp; Sun 1995 values'!M$2,)</f>
        <v>0</v>
      </c>
      <c r="IE75" s="4">
        <f>IFERROR(HC75/'McDonough &amp; Sun 1995 values'!N$2,)</f>
        <v>0</v>
      </c>
      <c r="IF75" s="4">
        <f>IFERROR(HD75/'McDonough &amp; Sun 1995 values'!O$2,)</f>
        <v>0</v>
      </c>
      <c r="IG75" s="4">
        <f>IFERROR(HE75/'McDonough &amp; Sun 1995 values'!P$2,)</f>
        <v>0</v>
      </c>
      <c r="IH75" s="4">
        <f>IFERROR(HF75/'McDonough &amp; Sun 1995 values'!Q$2,)</f>
        <v>0</v>
      </c>
      <c r="II75" s="4">
        <f>IFERROR(HG75/'McDonough &amp; Sun 1995 values'!R$2,)</f>
        <v>0</v>
      </c>
      <c r="IJ75" s="4">
        <f>IFERROR(HH75/'McDonough &amp; Sun 1995 values'!S$2,)</f>
        <v>0</v>
      </c>
      <c r="IK75" s="4">
        <f>IFERROR(HI75/'McDonough &amp; Sun 1995 values'!T$2,)</f>
        <v>0</v>
      </c>
      <c r="IL75" s="4">
        <f>IFERROR(HJ75/'McDonough &amp; Sun 1995 values'!U$2,)</f>
        <v>0</v>
      </c>
      <c r="IM75" s="4">
        <f>IFERROR(HK75/'McDonough &amp; Sun 1995 values'!V$2,)</f>
        <v>0</v>
      </c>
      <c r="IN75" s="4">
        <f>IFERROR(HL75/'McDonough &amp; Sun 1995 values'!W$2,)</f>
        <v>0</v>
      </c>
      <c r="IO75" s="4">
        <f>IFERROR(HM75/'McDonough &amp; Sun 1995 values'!X$2,)</f>
        <v>0</v>
      </c>
      <c r="IP75" s="4">
        <f>IFERROR(HN75/'McDonough &amp; Sun 1995 values'!Y$2,)</f>
        <v>0</v>
      </c>
      <c r="IQ75" s="4">
        <f>IFERROR(HO75/'McDonough &amp; Sun 1995 values'!Z$2,)</f>
        <v>0</v>
      </c>
      <c r="IR75" s="4">
        <f>IFERROR(HP75/'McDonough &amp; Sun 1995 values'!AA$2,)</f>
        <v>0</v>
      </c>
      <c r="IS75" s="4">
        <f>IFERROR(HQ75/'McDonough &amp; Sun 1995 values'!AB$2,)</f>
        <v>0</v>
      </c>
      <c r="IT75" s="4">
        <f>IFERROR(HR75/'McDonough &amp; Sun 1995 values'!AC$2,)</f>
        <v>0</v>
      </c>
    </row>
    <row r="76" spans="1:254">
      <c r="A76" s="16" t="s">
        <v>1656</v>
      </c>
      <c r="B76" s="4" t="s">
        <v>24</v>
      </c>
      <c r="C76" s="16" t="str">
        <f t="shared" si="144"/>
        <v>high-Mg carbonatitic</v>
      </c>
      <c r="D76" s="4" t="s">
        <v>1706</v>
      </c>
      <c r="E76" s="4" t="s">
        <v>237</v>
      </c>
      <c r="F76" s="4" t="s">
        <v>849</v>
      </c>
      <c r="G76" s="4" t="s">
        <v>595</v>
      </c>
      <c r="H76" s="49">
        <v>364</v>
      </c>
      <c r="I76" s="4" t="s">
        <v>1148</v>
      </c>
      <c r="J76" s="4" t="s">
        <v>635</v>
      </c>
      <c r="K76" s="4" t="s">
        <v>1678</v>
      </c>
      <c r="M76" s="4" t="s">
        <v>1683</v>
      </c>
      <c r="N76" s="4">
        <v>30</v>
      </c>
      <c r="O76" s="4">
        <v>7.15</v>
      </c>
      <c r="R76" s="4">
        <v>1.19</v>
      </c>
      <c r="S76" s="4">
        <v>5.43</v>
      </c>
      <c r="T76" s="4">
        <v>23.3</v>
      </c>
      <c r="V76" s="4">
        <v>18.5</v>
      </c>
      <c r="W76" s="4">
        <v>9.0399999999999991</v>
      </c>
      <c r="X76" s="4">
        <v>26.1</v>
      </c>
      <c r="Z76" s="4">
        <v>6.04</v>
      </c>
      <c r="AA76" s="4">
        <v>0.12</v>
      </c>
      <c r="AD76" s="4">
        <v>2.87</v>
      </c>
      <c r="AF76" s="4">
        <v>0.23</v>
      </c>
      <c r="AJ76" s="26">
        <f t="shared" si="145"/>
        <v>99.620000000000019</v>
      </c>
      <c r="AK76" s="26">
        <f t="shared" si="147"/>
        <v>7.2239362051877594</v>
      </c>
      <c r="AL76" s="26">
        <f t="shared" si="148"/>
        <v>0</v>
      </c>
      <c r="AM76" s="26">
        <f t="shared" si="149"/>
        <v>1.2023054663179626</v>
      </c>
      <c r="AN76" s="26">
        <f t="shared" si="150"/>
        <v>5.486150153030704</v>
      </c>
      <c r="AO76" s="26">
        <f t="shared" si="151"/>
        <v>23.540938962360109</v>
      </c>
      <c r="AP76" s="26">
        <f t="shared" si="152"/>
        <v>18.691303467968329</v>
      </c>
      <c r="AQ76" s="26">
        <f t="shared" si="153"/>
        <v>0</v>
      </c>
      <c r="AR76" s="26">
        <f t="shared" si="154"/>
        <v>9.1334801811045221</v>
      </c>
      <c r="AS76" s="26">
        <f t="shared" si="155"/>
        <v>26.369893000755319</v>
      </c>
      <c r="AT76" s="26">
        <f t="shared" si="156"/>
        <v>6.1024579971096591</v>
      </c>
      <c r="AU76" s="26">
        <f t="shared" si="157"/>
        <v>2.8996778893550865</v>
      </c>
      <c r="AV76" s="26">
        <f t="shared" si="146"/>
        <v>100.65014332318944</v>
      </c>
      <c r="BB76" s="26">
        <v>0.13</v>
      </c>
      <c r="BC76" s="26">
        <f t="shared" si="158"/>
        <v>0.13</v>
      </c>
      <c r="BD76" s="26">
        <f t="shared" si="159"/>
        <v>0.87</v>
      </c>
      <c r="BG76" s="4">
        <v>455.48325</v>
      </c>
      <c r="BH76" s="4">
        <v>22.818530380058611</v>
      </c>
      <c r="BL76" s="26"/>
      <c r="EL76" s="18">
        <f>IFERROR(CR76/'McDonough &amp; Sun 1995 values'!C$2,)</f>
        <v>0</v>
      </c>
      <c r="EM76" s="18">
        <f>IFERROR(CH76/'McDonough &amp; Sun 1995 values'!D$2,)</f>
        <v>0</v>
      </c>
      <c r="EN76" s="18">
        <f>IFERROR(CS76/'McDonough &amp; Sun 1995 values'!E$2,)</f>
        <v>0</v>
      </c>
      <c r="EO76" s="18">
        <f>IFERROR(DL76/'McDonough &amp; Sun 1995 values'!F$2,)</f>
        <v>0</v>
      </c>
      <c r="EP76" s="18">
        <f>IFERROR(DM76/'McDonough &amp; Sun 1995 values'!G$2,)</f>
        <v>0</v>
      </c>
      <c r="EQ76" s="18">
        <f>IFERROR(BR76/'McDonough &amp; Sun 1995 values'!H$2,)</f>
        <v>0</v>
      </c>
      <c r="ER76" s="18">
        <f>IFERROR(DI76/'McDonough &amp; Sun 1995 values'!I$2,)</f>
        <v>0</v>
      </c>
      <c r="ES76" s="18">
        <f>IFERROR(CM76/'McDonough &amp; Sun 1995 values'!J$2,)</f>
        <v>0</v>
      </c>
      <c r="ET76" s="18">
        <f>IFERROR(CU76/'McDonough &amp; Sun 1995 values'!K$2,)</f>
        <v>0</v>
      </c>
      <c r="EU76" s="18">
        <f>IFERROR(CV76/'McDonough &amp; Sun 1995 values'!L$2,)</f>
        <v>0</v>
      </c>
      <c r="EV76" s="18">
        <f>IFERROR(CW76/'McDonough &amp; Sun 1995 values'!M$2,)</f>
        <v>0</v>
      </c>
      <c r="EW76" s="18">
        <f>IFERROR(CI76/'McDonough &amp; Sun 1995 values'!N$2,)</f>
        <v>0</v>
      </c>
      <c r="EX76" s="18">
        <f>IFERROR(CX76/'McDonough &amp; Sun 1995 values'!O$2,)</f>
        <v>0</v>
      </c>
      <c r="EY76" s="18">
        <f>IFERROR(CY76/'McDonough &amp; Sun 1995 values'!P$2,)</f>
        <v>0</v>
      </c>
      <c r="EZ76" s="18">
        <f>IFERROR(DH76/'McDonough &amp; Sun 1995 values'!Q$2,)</f>
        <v>0</v>
      </c>
      <c r="FA76" s="18">
        <f>IFERROR(CK76/'McDonough &amp; Sun 1995 values'!R$2,)</f>
        <v>0</v>
      </c>
      <c r="FB76" s="18">
        <f>IFERROR(CZ76/'McDonough &amp; Sun 1995 values'!S$2,)</f>
        <v>0</v>
      </c>
      <c r="FC76" s="18">
        <f>IFERROR(BT76/'McDonough &amp; Sun 1995 values'!T$2,)</f>
        <v>0</v>
      </c>
      <c r="FD76" s="18">
        <f>IFERROR(DA76/'McDonough &amp; Sun 1995 values'!U$2,)</f>
        <v>0</v>
      </c>
      <c r="FE76" s="18">
        <f>IFERROR(DN76/'McDonough &amp; Sun 1995 values'!V$2,)</f>
        <v>0</v>
      </c>
      <c r="FF76" s="18">
        <f>IFERROR(DB76/'McDonough &amp; Sun 1995 values'!W$2,)</f>
        <v>0</v>
      </c>
      <c r="FG76" s="18">
        <f>IFERROR(CJ76/'McDonough &amp; Sun 1995 values'!X$2,)</f>
        <v>0</v>
      </c>
      <c r="FH76" s="18">
        <f>IFERROR(DC76/'McDonough &amp; Sun 1995 values'!Y$2,)</f>
        <v>0</v>
      </c>
      <c r="FI76" s="18">
        <f>IFERROR(DD76/'McDonough &amp; Sun 1995 values'!Z$2,)</f>
        <v>0</v>
      </c>
      <c r="FJ76" s="18">
        <f>IFERROR(DE76/'McDonough &amp; Sun 1995 values'!AA$2,)</f>
        <v>0</v>
      </c>
      <c r="FK76" s="18">
        <f>IFERROR(DF76/'McDonough &amp; Sun 1995 values'!AB$2,)</f>
        <v>0</v>
      </c>
      <c r="FL76" s="18">
        <f>IFERROR(DG76/'McDonough &amp; Sun 1995 values'!AC$2,)</f>
        <v>0</v>
      </c>
      <c r="FN76" s="28">
        <f t="shared" si="160"/>
        <v>0</v>
      </c>
      <c r="FO76" s="4">
        <f t="shared" si="161"/>
        <v>0</v>
      </c>
      <c r="FP76" s="4">
        <f t="shared" si="162"/>
        <v>0</v>
      </c>
      <c r="FQ76" s="4">
        <f t="shared" si="163"/>
        <v>0</v>
      </c>
      <c r="FR76" s="4">
        <f t="shared" si="164"/>
        <v>0</v>
      </c>
      <c r="FS76" s="4">
        <f t="shared" si="165"/>
        <v>0</v>
      </c>
      <c r="FT76" s="4">
        <f t="shared" si="166"/>
        <v>0</v>
      </c>
      <c r="FU76" s="4">
        <f t="shared" si="167"/>
        <v>0</v>
      </c>
      <c r="FV76" s="4">
        <f t="shared" si="168"/>
        <v>0</v>
      </c>
      <c r="FW76" s="4">
        <f t="shared" si="169"/>
        <v>0</v>
      </c>
      <c r="FX76" s="4">
        <f t="shared" si="170"/>
        <v>0</v>
      </c>
      <c r="FY76" s="4">
        <f t="shared" si="171"/>
        <v>0</v>
      </c>
      <c r="FZ76" s="4">
        <f t="shared" si="172"/>
        <v>0</v>
      </c>
      <c r="GA76" s="4">
        <f t="shared" si="173"/>
        <v>0</v>
      </c>
      <c r="GB76" s="4">
        <f t="shared" si="174"/>
        <v>0</v>
      </c>
      <c r="GC76" s="4">
        <f t="shared" si="175"/>
        <v>0</v>
      </c>
      <c r="GD76" s="4">
        <f t="shared" si="176"/>
        <v>0</v>
      </c>
      <c r="GE76" s="4">
        <f t="shared" si="177"/>
        <v>0</v>
      </c>
      <c r="GF76" s="4">
        <f t="shared" si="178"/>
        <v>0</v>
      </c>
      <c r="GG76" s="4">
        <f t="shared" si="179"/>
        <v>0</v>
      </c>
      <c r="GH76" s="4">
        <f t="shared" si="180"/>
        <v>0</v>
      </c>
      <c r="GI76" s="4">
        <f t="shared" si="181"/>
        <v>0</v>
      </c>
      <c r="GJ76" s="4">
        <f t="shared" si="182"/>
        <v>0</v>
      </c>
      <c r="GK76" s="4">
        <f t="shared" si="183"/>
        <v>0</v>
      </c>
      <c r="GL76" s="4">
        <f t="shared" si="184"/>
        <v>0</v>
      </c>
      <c r="GM76" s="4">
        <f t="shared" si="185"/>
        <v>0</v>
      </c>
      <c r="GN76" s="4">
        <f t="shared" si="186"/>
        <v>0</v>
      </c>
      <c r="GO76" s="4">
        <f t="shared" si="187"/>
        <v>0</v>
      </c>
      <c r="GP76" s="4">
        <f t="shared" si="188"/>
        <v>0</v>
      </c>
      <c r="GQ76" s="27">
        <f t="shared" si="189"/>
        <v>218906.31901143363</v>
      </c>
      <c r="GR76" s="28" t="str">
        <f t="shared" si="190"/>
        <v/>
      </c>
      <c r="GS76" s="28" t="str">
        <f t="shared" si="191"/>
        <v/>
      </c>
      <c r="GT76" s="28" t="str">
        <f t="shared" si="192"/>
        <v/>
      </c>
      <c r="GU76" s="28" t="str">
        <f t="shared" si="193"/>
        <v/>
      </c>
      <c r="GV76" s="28" t="str">
        <f t="shared" si="194"/>
        <v/>
      </c>
      <c r="GW76" s="28" t="str">
        <f t="shared" si="195"/>
        <v/>
      </c>
      <c r="GX76" s="28" t="str">
        <f t="shared" si="196"/>
        <v/>
      </c>
      <c r="GY76" s="28" t="str">
        <f t="shared" si="197"/>
        <v/>
      </c>
      <c r="GZ76" s="28" t="str">
        <f t="shared" si="198"/>
        <v/>
      </c>
      <c r="HA76" s="28" t="str">
        <f t="shared" si="199"/>
        <v/>
      </c>
      <c r="HB76" s="28" t="str">
        <f t="shared" si="200"/>
        <v/>
      </c>
      <c r="HC76" s="28" t="str">
        <f t="shared" si="201"/>
        <v/>
      </c>
      <c r="HD76" s="28" t="str">
        <f t="shared" si="202"/>
        <v/>
      </c>
      <c r="HE76" s="28" t="str">
        <f t="shared" si="203"/>
        <v/>
      </c>
      <c r="HF76" s="28" t="str">
        <f t="shared" si="204"/>
        <v/>
      </c>
      <c r="HG76" s="28" t="str">
        <f t="shared" si="205"/>
        <v/>
      </c>
      <c r="HH76" s="28" t="str">
        <f t="shared" si="206"/>
        <v/>
      </c>
      <c r="HI76" s="28" t="str">
        <f t="shared" si="207"/>
        <v/>
      </c>
      <c r="HJ76" s="28" t="str">
        <f t="shared" si="208"/>
        <v/>
      </c>
      <c r="HK76" s="28" t="str">
        <f t="shared" si="209"/>
        <v/>
      </c>
      <c r="HL76" s="28" t="str">
        <f t="shared" si="210"/>
        <v/>
      </c>
      <c r="HM76" s="28" t="str">
        <f t="shared" si="211"/>
        <v/>
      </c>
      <c r="HN76" s="28" t="str">
        <f t="shared" si="212"/>
        <v/>
      </c>
      <c r="HO76" s="28" t="str">
        <f t="shared" si="213"/>
        <v/>
      </c>
      <c r="HP76" s="28" t="str">
        <f t="shared" si="214"/>
        <v/>
      </c>
      <c r="HQ76" s="28" t="str">
        <f t="shared" si="215"/>
        <v/>
      </c>
      <c r="HR76" s="28" t="str">
        <f t="shared" si="216"/>
        <v/>
      </c>
      <c r="HT76" s="4">
        <f>IFERROR(GR76/'McDonough &amp; Sun 1995 values'!C$2,)</f>
        <v>0</v>
      </c>
      <c r="HU76" s="4">
        <f>IFERROR(GS76/'McDonough &amp; Sun 1995 values'!D$2,)</f>
        <v>0</v>
      </c>
      <c r="HV76" s="4">
        <f>IFERROR(GT76/'McDonough &amp; Sun 1995 values'!E$2,)</f>
        <v>0</v>
      </c>
      <c r="HW76" s="4">
        <f>IFERROR(GU76/'McDonough &amp; Sun 1995 values'!F$2,)</f>
        <v>0</v>
      </c>
      <c r="HX76" s="4">
        <f>IFERROR(GV76/'McDonough &amp; Sun 1995 values'!G$2,)</f>
        <v>0</v>
      </c>
      <c r="HY76" s="4">
        <f>IFERROR(GW76/'McDonough &amp; Sun 1995 values'!H$2,)</f>
        <v>0</v>
      </c>
      <c r="HZ76" s="4">
        <f>IFERROR(GX76/'McDonough &amp; Sun 1995 values'!I$2,)</f>
        <v>0</v>
      </c>
      <c r="IA76" s="4">
        <f>IFERROR(GY76/'McDonough &amp; Sun 1995 values'!J$2,)</f>
        <v>0</v>
      </c>
      <c r="IB76" s="4">
        <f>IFERROR(GZ76/'McDonough &amp; Sun 1995 values'!K$2,)</f>
        <v>0</v>
      </c>
      <c r="IC76" s="4">
        <f>IFERROR(HA76/'McDonough &amp; Sun 1995 values'!L$2,)</f>
        <v>0</v>
      </c>
      <c r="ID76" s="4">
        <f>IFERROR(HB76/'McDonough &amp; Sun 1995 values'!M$2,)</f>
        <v>0</v>
      </c>
      <c r="IE76" s="4">
        <f>IFERROR(HC76/'McDonough &amp; Sun 1995 values'!N$2,)</f>
        <v>0</v>
      </c>
      <c r="IF76" s="4">
        <f>IFERROR(HD76/'McDonough &amp; Sun 1995 values'!O$2,)</f>
        <v>0</v>
      </c>
      <c r="IG76" s="4">
        <f>IFERROR(HE76/'McDonough &amp; Sun 1995 values'!P$2,)</f>
        <v>0</v>
      </c>
      <c r="IH76" s="4">
        <f>IFERROR(HF76/'McDonough &amp; Sun 1995 values'!Q$2,)</f>
        <v>0</v>
      </c>
      <c r="II76" s="4">
        <f>IFERROR(HG76/'McDonough &amp; Sun 1995 values'!R$2,)</f>
        <v>0</v>
      </c>
      <c r="IJ76" s="4">
        <f>IFERROR(HH76/'McDonough &amp; Sun 1995 values'!S$2,)</f>
        <v>0</v>
      </c>
      <c r="IK76" s="4">
        <f>IFERROR(HI76/'McDonough &amp; Sun 1995 values'!T$2,)</f>
        <v>0</v>
      </c>
      <c r="IL76" s="4">
        <f>IFERROR(HJ76/'McDonough &amp; Sun 1995 values'!U$2,)</f>
        <v>0</v>
      </c>
      <c r="IM76" s="4">
        <f>IFERROR(HK76/'McDonough &amp; Sun 1995 values'!V$2,)</f>
        <v>0</v>
      </c>
      <c r="IN76" s="4">
        <f>IFERROR(HL76/'McDonough &amp; Sun 1995 values'!W$2,)</f>
        <v>0</v>
      </c>
      <c r="IO76" s="4">
        <f>IFERROR(HM76/'McDonough &amp; Sun 1995 values'!X$2,)</f>
        <v>0</v>
      </c>
      <c r="IP76" s="4">
        <f>IFERROR(HN76/'McDonough &amp; Sun 1995 values'!Y$2,)</f>
        <v>0</v>
      </c>
      <c r="IQ76" s="4">
        <f>IFERROR(HO76/'McDonough &amp; Sun 1995 values'!Z$2,)</f>
        <v>0</v>
      </c>
      <c r="IR76" s="4">
        <f>IFERROR(HP76/'McDonough &amp; Sun 1995 values'!AA$2,)</f>
        <v>0</v>
      </c>
      <c r="IS76" s="4">
        <f>IFERROR(HQ76/'McDonough &amp; Sun 1995 values'!AB$2,)</f>
        <v>0</v>
      </c>
      <c r="IT76" s="4">
        <f>IFERROR(HR76/'McDonough &amp; Sun 1995 values'!AC$2,)</f>
        <v>0</v>
      </c>
    </row>
    <row r="77" spans="1:254">
      <c r="A77" s="16" t="s">
        <v>1656</v>
      </c>
      <c r="B77" s="4" t="s">
        <v>24</v>
      </c>
      <c r="C77" s="16" t="str">
        <f t="shared" si="144"/>
        <v>high-Mg carbonatitic</v>
      </c>
      <c r="D77" s="4" t="s">
        <v>1706</v>
      </c>
      <c r="E77" s="4" t="s">
        <v>237</v>
      </c>
      <c r="F77" s="4" t="s">
        <v>849</v>
      </c>
      <c r="G77" s="4" t="s">
        <v>595</v>
      </c>
      <c r="H77" s="49">
        <v>364</v>
      </c>
      <c r="I77" s="4" t="s">
        <v>1148</v>
      </c>
      <c r="J77" s="4" t="s">
        <v>635</v>
      </c>
      <c r="K77" s="4" t="s">
        <v>1678</v>
      </c>
      <c r="M77" s="4" t="s">
        <v>1684</v>
      </c>
      <c r="N77" s="4">
        <v>32</v>
      </c>
      <c r="O77" s="4">
        <v>6.46</v>
      </c>
      <c r="R77" s="4">
        <v>0.5</v>
      </c>
      <c r="S77" s="4">
        <v>6.05</v>
      </c>
      <c r="T77" s="4">
        <v>28.9</v>
      </c>
      <c r="V77" s="4">
        <v>24.3</v>
      </c>
      <c r="W77" s="4">
        <v>7.96</v>
      </c>
      <c r="X77" s="4">
        <v>15.3</v>
      </c>
      <c r="Z77" s="4">
        <v>8.75</v>
      </c>
      <c r="AD77" s="4">
        <v>1.63</v>
      </c>
      <c r="AJ77" s="26">
        <f t="shared" si="145"/>
        <v>99.84999999999998</v>
      </c>
      <c r="AK77" s="26">
        <f t="shared" si="147"/>
        <v>6.4935386005442961</v>
      </c>
      <c r="AL77" s="26">
        <f t="shared" si="148"/>
        <v>0</v>
      </c>
      <c r="AM77" s="26">
        <f t="shared" si="149"/>
        <v>0.50259586691519331</v>
      </c>
      <c r="AN77" s="26">
        <f t="shared" si="150"/>
        <v>6.0814099896738387</v>
      </c>
      <c r="AO77" s="26">
        <f t="shared" si="151"/>
        <v>29.050041107698167</v>
      </c>
      <c r="AP77" s="26">
        <f t="shared" si="152"/>
        <v>24.426159132078393</v>
      </c>
      <c r="AQ77" s="26">
        <f t="shared" si="153"/>
        <v>0</v>
      </c>
      <c r="AR77" s="26">
        <f t="shared" si="154"/>
        <v>8.001326201289876</v>
      </c>
      <c r="AS77" s="26">
        <f t="shared" si="155"/>
        <v>15.379433527604915</v>
      </c>
      <c r="AT77" s="26">
        <f t="shared" si="156"/>
        <v>8.795427671015883</v>
      </c>
      <c r="AU77" s="26">
        <f t="shared" si="157"/>
        <v>1.6384625261435297</v>
      </c>
      <c r="AV77" s="26">
        <f t="shared" si="146"/>
        <v>100.36839462296409</v>
      </c>
      <c r="BB77" s="26">
        <v>0.1</v>
      </c>
      <c r="BC77" s="26">
        <f t="shared" si="158"/>
        <v>9.9999999999999978E-2</v>
      </c>
      <c r="BD77" s="26">
        <f t="shared" si="159"/>
        <v>0.9</v>
      </c>
      <c r="BG77" s="4">
        <v>579.57299999999998</v>
      </c>
      <c r="BH77" s="4">
        <v>28.466666666666669</v>
      </c>
      <c r="BL77" s="26"/>
      <c r="EL77" s="18">
        <f>IFERROR(CR77/'McDonough &amp; Sun 1995 values'!C$2,)</f>
        <v>0</v>
      </c>
      <c r="EM77" s="18">
        <f>IFERROR(CH77/'McDonough &amp; Sun 1995 values'!D$2,)</f>
        <v>0</v>
      </c>
      <c r="EN77" s="18">
        <f>IFERROR(CS77/'McDonough &amp; Sun 1995 values'!E$2,)</f>
        <v>0</v>
      </c>
      <c r="EO77" s="18">
        <f>IFERROR(DL77/'McDonough &amp; Sun 1995 values'!F$2,)</f>
        <v>0</v>
      </c>
      <c r="EP77" s="18">
        <f>IFERROR(DM77/'McDonough &amp; Sun 1995 values'!G$2,)</f>
        <v>0</v>
      </c>
      <c r="EQ77" s="18">
        <f>IFERROR(BR77/'McDonough &amp; Sun 1995 values'!H$2,)</f>
        <v>0</v>
      </c>
      <c r="ER77" s="18">
        <f>IFERROR(DI77/'McDonough &amp; Sun 1995 values'!I$2,)</f>
        <v>0</v>
      </c>
      <c r="ES77" s="18">
        <f>IFERROR(CM77/'McDonough &amp; Sun 1995 values'!J$2,)</f>
        <v>0</v>
      </c>
      <c r="ET77" s="18">
        <f>IFERROR(CU77/'McDonough &amp; Sun 1995 values'!K$2,)</f>
        <v>0</v>
      </c>
      <c r="EU77" s="18">
        <f>IFERROR(CV77/'McDonough &amp; Sun 1995 values'!L$2,)</f>
        <v>0</v>
      </c>
      <c r="EV77" s="18">
        <f>IFERROR(CW77/'McDonough &amp; Sun 1995 values'!M$2,)</f>
        <v>0</v>
      </c>
      <c r="EW77" s="18">
        <f>IFERROR(CI77/'McDonough &amp; Sun 1995 values'!N$2,)</f>
        <v>0</v>
      </c>
      <c r="EX77" s="18">
        <f>IFERROR(CX77/'McDonough &amp; Sun 1995 values'!O$2,)</f>
        <v>0</v>
      </c>
      <c r="EY77" s="18">
        <f>IFERROR(CY77/'McDonough &amp; Sun 1995 values'!P$2,)</f>
        <v>0</v>
      </c>
      <c r="EZ77" s="18">
        <f>IFERROR(DH77/'McDonough &amp; Sun 1995 values'!Q$2,)</f>
        <v>0</v>
      </c>
      <c r="FA77" s="18">
        <f>IFERROR(CK77/'McDonough &amp; Sun 1995 values'!R$2,)</f>
        <v>0</v>
      </c>
      <c r="FB77" s="18">
        <f>IFERROR(CZ77/'McDonough &amp; Sun 1995 values'!S$2,)</f>
        <v>0</v>
      </c>
      <c r="FC77" s="18">
        <f>IFERROR(BT77/'McDonough &amp; Sun 1995 values'!T$2,)</f>
        <v>0</v>
      </c>
      <c r="FD77" s="18">
        <f>IFERROR(DA77/'McDonough &amp; Sun 1995 values'!U$2,)</f>
        <v>0</v>
      </c>
      <c r="FE77" s="18">
        <f>IFERROR(DN77/'McDonough &amp; Sun 1995 values'!V$2,)</f>
        <v>0</v>
      </c>
      <c r="FF77" s="18">
        <f>IFERROR(DB77/'McDonough &amp; Sun 1995 values'!W$2,)</f>
        <v>0</v>
      </c>
      <c r="FG77" s="18">
        <f>IFERROR(CJ77/'McDonough &amp; Sun 1995 values'!X$2,)</f>
        <v>0</v>
      </c>
      <c r="FH77" s="18">
        <f>IFERROR(DC77/'McDonough &amp; Sun 1995 values'!Y$2,)</f>
        <v>0</v>
      </c>
      <c r="FI77" s="18">
        <f>IFERROR(DD77/'McDonough &amp; Sun 1995 values'!Z$2,)</f>
        <v>0</v>
      </c>
      <c r="FJ77" s="18">
        <f>IFERROR(DE77/'McDonough &amp; Sun 1995 values'!AA$2,)</f>
        <v>0</v>
      </c>
      <c r="FK77" s="18">
        <f>IFERROR(DF77/'McDonough &amp; Sun 1995 values'!AB$2,)</f>
        <v>0</v>
      </c>
      <c r="FL77" s="18">
        <f>IFERROR(DG77/'McDonough &amp; Sun 1995 values'!AC$2,)</f>
        <v>0</v>
      </c>
      <c r="FN77" s="28">
        <f t="shared" si="160"/>
        <v>0</v>
      </c>
      <c r="FO77" s="4">
        <f t="shared" si="161"/>
        <v>0</v>
      </c>
      <c r="FP77" s="4">
        <f t="shared" si="162"/>
        <v>0</v>
      </c>
      <c r="FQ77" s="4">
        <f t="shared" si="163"/>
        <v>0</v>
      </c>
      <c r="FR77" s="4">
        <f t="shared" si="164"/>
        <v>0</v>
      </c>
      <c r="FS77" s="4">
        <f t="shared" si="165"/>
        <v>0</v>
      </c>
      <c r="FT77" s="4">
        <f t="shared" si="166"/>
        <v>0</v>
      </c>
      <c r="FU77" s="4">
        <f t="shared" si="167"/>
        <v>0</v>
      </c>
      <c r="FV77" s="4">
        <f t="shared" si="168"/>
        <v>0</v>
      </c>
      <c r="FW77" s="4">
        <f t="shared" si="169"/>
        <v>0</v>
      </c>
      <c r="FX77" s="4">
        <f t="shared" si="170"/>
        <v>0</v>
      </c>
      <c r="FY77" s="4">
        <f t="shared" si="171"/>
        <v>0</v>
      </c>
      <c r="FZ77" s="4">
        <f t="shared" si="172"/>
        <v>0</v>
      </c>
      <c r="GA77" s="4">
        <f t="shared" si="173"/>
        <v>0</v>
      </c>
      <c r="GB77" s="4">
        <f t="shared" si="174"/>
        <v>0</v>
      </c>
      <c r="GC77" s="4">
        <f t="shared" si="175"/>
        <v>0</v>
      </c>
      <c r="GD77" s="4">
        <f t="shared" si="176"/>
        <v>0</v>
      </c>
      <c r="GE77" s="4">
        <f t="shared" si="177"/>
        <v>0</v>
      </c>
      <c r="GF77" s="4">
        <f t="shared" si="178"/>
        <v>0</v>
      </c>
      <c r="GG77" s="4">
        <f t="shared" si="179"/>
        <v>0</v>
      </c>
      <c r="GH77" s="4">
        <f t="shared" si="180"/>
        <v>0</v>
      </c>
      <c r="GI77" s="4">
        <f t="shared" si="181"/>
        <v>0</v>
      </c>
      <c r="GJ77" s="4">
        <f t="shared" si="182"/>
        <v>0</v>
      </c>
      <c r="GK77" s="4">
        <f t="shared" si="183"/>
        <v>0</v>
      </c>
      <c r="GL77" s="4">
        <f t="shared" si="184"/>
        <v>0</v>
      </c>
      <c r="GM77" s="4">
        <f t="shared" si="185"/>
        <v>0</v>
      </c>
      <c r="GN77" s="4">
        <f t="shared" si="186"/>
        <v>0</v>
      </c>
      <c r="GO77" s="4">
        <f t="shared" si="187"/>
        <v>0</v>
      </c>
      <c r="GP77" s="4">
        <f t="shared" si="188"/>
        <v>0</v>
      </c>
      <c r="GQ77" s="27">
        <f t="shared" si="189"/>
        <v>127670.41496575614</v>
      </c>
      <c r="GR77" s="28" t="str">
        <f t="shared" si="190"/>
        <v/>
      </c>
      <c r="GS77" s="28" t="str">
        <f t="shared" si="191"/>
        <v/>
      </c>
      <c r="GT77" s="28" t="str">
        <f t="shared" si="192"/>
        <v/>
      </c>
      <c r="GU77" s="28" t="str">
        <f t="shared" si="193"/>
        <v/>
      </c>
      <c r="GV77" s="28" t="str">
        <f t="shared" si="194"/>
        <v/>
      </c>
      <c r="GW77" s="28" t="str">
        <f t="shared" si="195"/>
        <v/>
      </c>
      <c r="GX77" s="28" t="str">
        <f t="shared" si="196"/>
        <v/>
      </c>
      <c r="GY77" s="28" t="str">
        <f t="shared" si="197"/>
        <v/>
      </c>
      <c r="GZ77" s="28" t="str">
        <f t="shared" si="198"/>
        <v/>
      </c>
      <c r="HA77" s="28" t="str">
        <f t="shared" si="199"/>
        <v/>
      </c>
      <c r="HB77" s="28" t="str">
        <f t="shared" si="200"/>
        <v/>
      </c>
      <c r="HC77" s="28" t="str">
        <f t="shared" si="201"/>
        <v/>
      </c>
      <c r="HD77" s="28" t="str">
        <f t="shared" si="202"/>
        <v/>
      </c>
      <c r="HE77" s="28" t="str">
        <f t="shared" si="203"/>
        <v/>
      </c>
      <c r="HF77" s="28" t="str">
        <f t="shared" si="204"/>
        <v/>
      </c>
      <c r="HG77" s="28" t="str">
        <f t="shared" si="205"/>
        <v/>
      </c>
      <c r="HH77" s="28" t="str">
        <f t="shared" si="206"/>
        <v/>
      </c>
      <c r="HI77" s="28" t="str">
        <f t="shared" si="207"/>
        <v/>
      </c>
      <c r="HJ77" s="28" t="str">
        <f t="shared" si="208"/>
        <v/>
      </c>
      <c r="HK77" s="28" t="str">
        <f t="shared" si="209"/>
        <v/>
      </c>
      <c r="HL77" s="28" t="str">
        <f t="shared" si="210"/>
        <v/>
      </c>
      <c r="HM77" s="28" t="str">
        <f t="shared" si="211"/>
        <v/>
      </c>
      <c r="HN77" s="28" t="str">
        <f t="shared" si="212"/>
        <v/>
      </c>
      <c r="HO77" s="28" t="str">
        <f t="shared" si="213"/>
        <v/>
      </c>
      <c r="HP77" s="28" t="str">
        <f t="shared" si="214"/>
        <v/>
      </c>
      <c r="HQ77" s="28" t="str">
        <f t="shared" si="215"/>
        <v/>
      </c>
      <c r="HR77" s="28" t="str">
        <f t="shared" si="216"/>
        <v/>
      </c>
      <c r="HT77" s="4">
        <f>IFERROR(GR77/'McDonough &amp; Sun 1995 values'!C$2,)</f>
        <v>0</v>
      </c>
      <c r="HU77" s="4">
        <f>IFERROR(GS77/'McDonough &amp; Sun 1995 values'!D$2,)</f>
        <v>0</v>
      </c>
      <c r="HV77" s="4">
        <f>IFERROR(GT77/'McDonough &amp; Sun 1995 values'!E$2,)</f>
        <v>0</v>
      </c>
      <c r="HW77" s="4">
        <f>IFERROR(GU77/'McDonough &amp; Sun 1995 values'!F$2,)</f>
        <v>0</v>
      </c>
      <c r="HX77" s="4">
        <f>IFERROR(GV77/'McDonough &amp; Sun 1995 values'!G$2,)</f>
        <v>0</v>
      </c>
      <c r="HY77" s="4">
        <f>IFERROR(GW77/'McDonough &amp; Sun 1995 values'!H$2,)</f>
        <v>0</v>
      </c>
      <c r="HZ77" s="4">
        <f>IFERROR(GX77/'McDonough &amp; Sun 1995 values'!I$2,)</f>
        <v>0</v>
      </c>
      <c r="IA77" s="4">
        <f>IFERROR(GY77/'McDonough &amp; Sun 1995 values'!J$2,)</f>
        <v>0</v>
      </c>
      <c r="IB77" s="4">
        <f>IFERROR(GZ77/'McDonough &amp; Sun 1995 values'!K$2,)</f>
        <v>0</v>
      </c>
      <c r="IC77" s="4">
        <f>IFERROR(HA77/'McDonough &amp; Sun 1995 values'!L$2,)</f>
        <v>0</v>
      </c>
      <c r="ID77" s="4">
        <f>IFERROR(HB77/'McDonough &amp; Sun 1995 values'!M$2,)</f>
        <v>0</v>
      </c>
      <c r="IE77" s="4">
        <f>IFERROR(HC77/'McDonough &amp; Sun 1995 values'!N$2,)</f>
        <v>0</v>
      </c>
      <c r="IF77" s="4">
        <f>IFERROR(HD77/'McDonough &amp; Sun 1995 values'!O$2,)</f>
        <v>0</v>
      </c>
      <c r="IG77" s="4">
        <f>IFERROR(HE77/'McDonough &amp; Sun 1995 values'!P$2,)</f>
        <v>0</v>
      </c>
      <c r="IH77" s="4">
        <f>IFERROR(HF77/'McDonough &amp; Sun 1995 values'!Q$2,)</f>
        <v>0</v>
      </c>
      <c r="II77" s="4">
        <f>IFERROR(HG77/'McDonough &amp; Sun 1995 values'!R$2,)</f>
        <v>0</v>
      </c>
      <c r="IJ77" s="4">
        <f>IFERROR(HH77/'McDonough &amp; Sun 1995 values'!S$2,)</f>
        <v>0</v>
      </c>
      <c r="IK77" s="4">
        <f>IFERROR(HI77/'McDonough &amp; Sun 1995 values'!T$2,)</f>
        <v>0</v>
      </c>
      <c r="IL77" s="4">
        <f>IFERROR(HJ77/'McDonough &amp; Sun 1995 values'!U$2,)</f>
        <v>0</v>
      </c>
      <c r="IM77" s="4">
        <f>IFERROR(HK77/'McDonough &amp; Sun 1995 values'!V$2,)</f>
        <v>0</v>
      </c>
      <c r="IN77" s="4">
        <f>IFERROR(HL77/'McDonough &amp; Sun 1995 values'!W$2,)</f>
        <v>0</v>
      </c>
      <c r="IO77" s="4">
        <f>IFERROR(HM77/'McDonough &amp; Sun 1995 values'!X$2,)</f>
        <v>0</v>
      </c>
      <c r="IP77" s="4">
        <f>IFERROR(HN77/'McDonough &amp; Sun 1995 values'!Y$2,)</f>
        <v>0</v>
      </c>
      <c r="IQ77" s="4">
        <f>IFERROR(HO77/'McDonough &amp; Sun 1995 values'!Z$2,)</f>
        <v>0</v>
      </c>
      <c r="IR77" s="4">
        <f>IFERROR(HP77/'McDonough &amp; Sun 1995 values'!AA$2,)</f>
        <v>0</v>
      </c>
      <c r="IS77" s="4">
        <f>IFERROR(HQ77/'McDonough &amp; Sun 1995 values'!AB$2,)</f>
        <v>0</v>
      </c>
      <c r="IT77" s="4">
        <f>IFERROR(HR77/'McDonough &amp; Sun 1995 values'!AC$2,)</f>
        <v>0</v>
      </c>
    </row>
    <row r="78" spans="1:254">
      <c r="A78" s="16" t="s">
        <v>1656</v>
      </c>
      <c r="B78" s="4" t="s">
        <v>24</v>
      </c>
      <c r="C78" s="16" t="str">
        <f t="shared" si="144"/>
        <v>high-Mg carbonatitic</v>
      </c>
      <c r="D78" s="4" t="s">
        <v>1706</v>
      </c>
      <c r="E78" s="4" t="s">
        <v>237</v>
      </c>
      <c r="F78" s="4" t="s">
        <v>849</v>
      </c>
      <c r="G78" s="4" t="s">
        <v>595</v>
      </c>
      <c r="H78" s="49">
        <v>364</v>
      </c>
      <c r="I78" s="4" t="s">
        <v>1148</v>
      </c>
      <c r="J78" s="4" t="s">
        <v>635</v>
      </c>
      <c r="K78" s="4" t="s">
        <v>1678</v>
      </c>
      <c r="M78" s="4" t="s">
        <v>1685</v>
      </c>
      <c r="N78" s="4">
        <v>26</v>
      </c>
      <c r="O78" s="4">
        <v>8.74</v>
      </c>
      <c r="P78" s="4">
        <v>0.14000000000000001</v>
      </c>
      <c r="R78" s="4">
        <v>5.94</v>
      </c>
      <c r="S78" s="4">
        <v>5.43</v>
      </c>
      <c r="T78" s="4">
        <v>25.5</v>
      </c>
      <c r="V78" s="4">
        <v>18.8</v>
      </c>
      <c r="W78" s="4">
        <v>10.6</v>
      </c>
      <c r="X78" s="4">
        <v>10.7</v>
      </c>
      <c r="Z78" s="4">
        <v>11.15</v>
      </c>
      <c r="AA78" s="4">
        <v>1.24</v>
      </c>
      <c r="AB78" s="4">
        <v>0.47</v>
      </c>
      <c r="AD78" s="4">
        <v>1.24</v>
      </c>
      <c r="AJ78" s="26">
        <f t="shared" si="145"/>
        <v>98.71</v>
      </c>
      <c r="AK78" s="26">
        <f t="shared" si="147"/>
        <v>8.8793200571582442</v>
      </c>
      <c r="AL78" s="26">
        <f t="shared" si="148"/>
        <v>0.1422316713961275</v>
      </c>
      <c r="AM78" s="26">
        <f t="shared" si="149"/>
        <v>6.0346866292356953</v>
      </c>
      <c r="AN78" s="26">
        <f t="shared" si="150"/>
        <v>5.5165569691498009</v>
      </c>
      <c r="AO78" s="26">
        <f t="shared" si="151"/>
        <v>25.90648300429465</v>
      </c>
      <c r="AP78" s="26">
        <f t="shared" si="152"/>
        <v>19.099681587479978</v>
      </c>
      <c r="AQ78" s="26">
        <f t="shared" si="153"/>
        <v>0.47749203968699933</v>
      </c>
      <c r="AR78" s="26">
        <f t="shared" si="154"/>
        <v>10.768969405706795</v>
      </c>
      <c r="AS78" s="26">
        <f t="shared" si="155"/>
        <v>10.870563456704028</v>
      </c>
      <c r="AT78" s="26">
        <f t="shared" si="156"/>
        <v>11.327736686191583</v>
      </c>
      <c r="AU78" s="26">
        <f t="shared" si="157"/>
        <v>1.2597662323657006</v>
      </c>
      <c r="AV78" s="26">
        <f t="shared" si="146"/>
        <v>100.28348773936962</v>
      </c>
      <c r="BB78" s="26">
        <v>0.12</v>
      </c>
      <c r="BC78" s="26">
        <f t="shared" si="158"/>
        <v>0.12</v>
      </c>
      <c r="BD78" s="26">
        <f t="shared" si="159"/>
        <v>0.88</v>
      </c>
      <c r="BG78" s="4">
        <v>365.86959999999993</v>
      </c>
      <c r="BH78" s="4">
        <v>14.489999999999998</v>
      </c>
      <c r="BL78" s="26"/>
      <c r="EL78" s="18">
        <f>IFERROR(CR78/'McDonough &amp; Sun 1995 values'!C$2,)</f>
        <v>0</v>
      </c>
      <c r="EM78" s="18">
        <f>IFERROR(CH78/'McDonough &amp; Sun 1995 values'!D$2,)</f>
        <v>0</v>
      </c>
      <c r="EN78" s="18">
        <f>IFERROR(CS78/'McDonough &amp; Sun 1995 values'!E$2,)</f>
        <v>0</v>
      </c>
      <c r="EO78" s="18">
        <f>IFERROR(DL78/'McDonough &amp; Sun 1995 values'!F$2,)</f>
        <v>0</v>
      </c>
      <c r="EP78" s="18">
        <f>IFERROR(DM78/'McDonough &amp; Sun 1995 values'!G$2,)</f>
        <v>0</v>
      </c>
      <c r="EQ78" s="18">
        <f>IFERROR(BR78/'McDonough &amp; Sun 1995 values'!H$2,)</f>
        <v>0</v>
      </c>
      <c r="ER78" s="18">
        <f>IFERROR(DI78/'McDonough &amp; Sun 1995 values'!I$2,)</f>
        <v>0</v>
      </c>
      <c r="ES78" s="18">
        <f>IFERROR(CM78/'McDonough &amp; Sun 1995 values'!J$2,)</f>
        <v>0</v>
      </c>
      <c r="ET78" s="18">
        <f>IFERROR(CU78/'McDonough &amp; Sun 1995 values'!K$2,)</f>
        <v>0</v>
      </c>
      <c r="EU78" s="18">
        <f>IFERROR(CV78/'McDonough &amp; Sun 1995 values'!L$2,)</f>
        <v>0</v>
      </c>
      <c r="EV78" s="18">
        <f>IFERROR(CW78/'McDonough &amp; Sun 1995 values'!M$2,)</f>
        <v>0</v>
      </c>
      <c r="EW78" s="18">
        <f>IFERROR(CI78/'McDonough &amp; Sun 1995 values'!N$2,)</f>
        <v>0</v>
      </c>
      <c r="EX78" s="18">
        <f>IFERROR(CX78/'McDonough &amp; Sun 1995 values'!O$2,)</f>
        <v>0</v>
      </c>
      <c r="EY78" s="18">
        <f>IFERROR(CY78/'McDonough &amp; Sun 1995 values'!P$2,)</f>
        <v>0</v>
      </c>
      <c r="EZ78" s="18">
        <f>IFERROR(DH78/'McDonough &amp; Sun 1995 values'!Q$2,)</f>
        <v>0</v>
      </c>
      <c r="FA78" s="18">
        <f>IFERROR(CK78/'McDonough &amp; Sun 1995 values'!R$2,)</f>
        <v>0</v>
      </c>
      <c r="FB78" s="18">
        <f>IFERROR(CZ78/'McDonough &amp; Sun 1995 values'!S$2,)</f>
        <v>0</v>
      </c>
      <c r="FC78" s="18">
        <f>IFERROR(BT78/'McDonough &amp; Sun 1995 values'!T$2,)</f>
        <v>0</v>
      </c>
      <c r="FD78" s="18">
        <f>IFERROR(DA78/'McDonough &amp; Sun 1995 values'!U$2,)</f>
        <v>0</v>
      </c>
      <c r="FE78" s="18">
        <f>IFERROR(DN78/'McDonough &amp; Sun 1995 values'!V$2,)</f>
        <v>0</v>
      </c>
      <c r="FF78" s="18">
        <f>IFERROR(DB78/'McDonough &amp; Sun 1995 values'!W$2,)</f>
        <v>0</v>
      </c>
      <c r="FG78" s="18">
        <f>IFERROR(CJ78/'McDonough &amp; Sun 1995 values'!X$2,)</f>
        <v>0</v>
      </c>
      <c r="FH78" s="18">
        <f>IFERROR(DC78/'McDonough &amp; Sun 1995 values'!Y$2,)</f>
        <v>0</v>
      </c>
      <c r="FI78" s="18">
        <f>IFERROR(DD78/'McDonough &amp; Sun 1995 values'!Z$2,)</f>
        <v>0</v>
      </c>
      <c r="FJ78" s="18">
        <f>IFERROR(DE78/'McDonough &amp; Sun 1995 values'!AA$2,)</f>
        <v>0</v>
      </c>
      <c r="FK78" s="18">
        <f>IFERROR(DF78/'McDonough &amp; Sun 1995 values'!AB$2,)</f>
        <v>0</v>
      </c>
      <c r="FL78" s="18">
        <f>IFERROR(DG78/'McDonough &amp; Sun 1995 values'!AC$2,)</f>
        <v>0</v>
      </c>
      <c r="FN78" s="28">
        <f t="shared" si="160"/>
        <v>0</v>
      </c>
      <c r="FO78" s="4">
        <f t="shared" si="161"/>
        <v>0</v>
      </c>
      <c r="FP78" s="4">
        <f t="shared" si="162"/>
        <v>0</v>
      </c>
      <c r="FQ78" s="4">
        <f t="shared" si="163"/>
        <v>0</v>
      </c>
      <c r="FR78" s="4">
        <f t="shared" si="164"/>
        <v>0</v>
      </c>
      <c r="FS78" s="4">
        <f t="shared" si="165"/>
        <v>0</v>
      </c>
      <c r="FT78" s="4">
        <f t="shared" si="166"/>
        <v>0</v>
      </c>
      <c r="FU78" s="4">
        <f t="shared" si="167"/>
        <v>0</v>
      </c>
      <c r="FV78" s="4">
        <f t="shared" si="168"/>
        <v>0</v>
      </c>
      <c r="FW78" s="4">
        <f t="shared" si="169"/>
        <v>0</v>
      </c>
      <c r="FX78" s="4">
        <f t="shared" si="170"/>
        <v>0</v>
      </c>
      <c r="FY78" s="4">
        <f t="shared" si="171"/>
        <v>0</v>
      </c>
      <c r="FZ78" s="4">
        <f t="shared" si="172"/>
        <v>0</v>
      </c>
      <c r="GA78" s="4">
        <f t="shared" si="173"/>
        <v>0</v>
      </c>
      <c r="GB78" s="4">
        <f t="shared" si="174"/>
        <v>0</v>
      </c>
      <c r="GC78" s="4">
        <f t="shared" si="175"/>
        <v>0</v>
      </c>
      <c r="GD78" s="4">
        <f t="shared" si="176"/>
        <v>0</v>
      </c>
      <c r="GE78" s="4">
        <f t="shared" si="177"/>
        <v>0</v>
      </c>
      <c r="GF78" s="4">
        <f t="shared" si="178"/>
        <v>0</v>
      </c>
      <c r="GG78" s="4">
        <f t="shared" si="179"/>
        <v>0</v>
      </c>
      <c r="GH78" s="4">
        <f t="shared" si="180"/>
        <v>0</v>
      </c>
      <c r="GI78" s="4">
        <f t="shared" si="181"/>
        <v>0</v>
      </c>
      <c r="GJ78" s="4">
        <f t="shared" si="182"/>
        <v>0</v>
      </c>
      <c r="GK78" s="4">
        <f t="shared" si="183"/>
        <v>0</v>
      </c>
      <c r="GL78" s="4">
        <f t="shared" si="184"/>
        <v>0</v>
      </c>
      <c r="GM78" s="4">
        <f t="shared" si="185"/>
        <v>0</v>
      </c>
      <c r="GN78" s="4">
        <f t="shared" si="186"/>
        <v>0</v>
      </c>
      <c r="GO78" s="4">
        <f t="shared" si="187"/>
        <v>0</v>
      </c>
      <c r="GP78" s="4">
        <f t="shared" si="188"/>
        <v>0</v>
      </c>
      <c r="GQ78" s="27">
        <f t="shared" si="189"/>
        <v>90240.602486294665</v>
      </c>
      <c r="GR78" s="28" t="str">
        <f t="shared" si="190"/>
        <v/>
      </c>
      <c r="GS78" s="28" t="str">
        <f t="shared" si="191"/>
        <v/>
      </c>
      <c r="GT78" s="28" t="str">
        <f t="shared" si="192"/>
        <v/>
      </c>
      <c r="GU78" s="28" t="str">
        <f t="shared" si="193"/>
        <v/>
      </c>
      <c r="GV78" s="28" t="str">
        <f t="shared" si="194"/>
        <v/>
      </c>
      <c r="GW78" s="28" t="str">
        <f t="shared" si="195"/>
        <v/>
      </c>
      <c r="GX78" s="28" t="str">
        <f t="shared" si="196"/>
        <v/>
      </c>
      <c r="GY78" s="28" t="str">
        <f t="shared" si="197"/>
        <v/>
      </c>
      <c r="GZ78" s="28" t="str">
        <f t="shared" si="198"/>
        <v/>
      </c>
      <c r="HA78" s="28" t="str">
        <f t="shared" si="199"/>
        <v/>
      </c>
      <c r="HB78" s="28" t="str">
        <f t="shared" si="200"/>
        <v/>
      </c>
      <c r="HC78" s="28" t="str">
        <f t="shared" si="201"/>
        <v/>
      </c>
      <c r="HD78" s="28" t="str">
        <f t="shared" si="202"/>
        <v/>
      </c>
      <c r="HE78" s="28" t="str">
        <f t="shared" si="203"/>
        <v/>
      </c>
      <c r="HF78" s="28" t="str">
        <f t="shared" si="204"/>
        <v/>
      </c>
      <c r="HG78" s="28" t="str">
        <f t="shared" si="205"/>
        <v/>
      </c>
      <c r="HH78" s="28" t="str">
        <f t="shared" si="206"/>
        <v/>
      </c>
      <c r="HI78" s="28" t="str">
        <f t="shared" si="207"/>
        <v/>
      </c>
      <c r="HJ78" s="28" t="str">
        <f t="shared" si="208"/>
        <v/>
      </c>
      <c r="HK78" s="28" t="str">
        <f t="shared" si="209"/>
        <v/>
      </c>
      <c r="HL78" s="28" t="str">
        <f t="shared" si="210"/>
        <v/>
      </c>
      <c r="HM78" s="28" t="str">
        <f t="shared" si="211"/>
        <v/>
      </c>
      <c r="HN78" s="28" t="str">
        <f t="shared" si="212"/>
        <v/>
      </c>
      <c r="HO78" s="28" t="str">
        <f t="shared" si="213"/>
        <v/>
      </c>
      <c r="HP78" s="28" t="str">
        <f t="shared" si="214"/>
        <v/>
      </c>
      <c r="HQ78" s="28" t="str">
        <f t="shared" si="215"/>
        <v/>
      </c>
      <c r="HR78" s="28" t="str">
        <f t="shared" si="216"/>
        <v/>
      </c>
      <c r="HT78" s="4">
        <f>IFERROR(GR78/'McDonough &amp; Sun 1995 values'!C$2,)</f>
        <v>0</v>
      </c>
      <c r="HU78" s="4">
        <f>IFERROR(GS78/'McDonough &amp; Sun 1995 values'!D$2,)</f>
        <v>0</v>
      </c>
      <c r="HV78" s="4">
        <f>IFERROR(GT78/'McDonough &amp; Sun 1995 values'!E$2,)</f>
        <v>0</v>
      </c>
      <c r="HW78" s="4">
        <f>IFERROR(GU78/'McDonough &amp; Sun 1995 values'!F$2,)</f>
        <v>0</v>
      </c>
      <c r="HX78" s="4">
        <f>IFERROR(GV78/'McDonough &amp; Sun 1995 values'!G$2,)</f>
        <v>0</v>
      </c>
      <c r="HY78" s="4">
        <f>IFERROR(GW78/'McDonough &amp; Sun 1995 values'!H$2,)</f>
        <v>0</v>
      </c>
      <c r="HZ78" s="4">
        <f>IFERROR(GX78/'McDonough &amp; Sun 1995 values'!I$2,)</f>
        <v>0</v>
      </c>
      <c r="IA78" s="4">
        <f>IFERROR(GY78/'McDonough &amp; Sun 1995 values'!J$2,)</f>
        <v>0</v>
      </c>
      <c r="IB78" s="4">
        <f>IFERROR(GZ78/'McDonough &amp; Sun 1995 values'!K$2,)</f>
        <v>0</v>
      </c>
      <c r="IC78" s="4">
        <f>IFERROR(HA78/'McDonough &amp; Sun 1995 values'!L$2,)</f>
        <v>0</v>
      </c>
      <c r="ID78" s="4">
        <f>IFERROR(HB78/'McDonough &amp; Sun 1995 values'!M$2,)</f>
        <v>0</v>
      </c>
      <c r="IE78" s="4">
        <f>IFERROR(HC78/'McDonough &amp; Sun 1995 values'!N$2,)</f>
        <v>0</v>
      </c>
      <c r="IF78" s="4">
        <f>IFERROR(HD78/'McDonough &amp; Sun 1995 values'!O$2,)</f>
        <v>0</v>
      </c>
      <c r="IG78" s="4">
        <f>IFERROR(HE78/'McDonough &amp; Sun 1995 values'!P$2,)</f>
        <v>0</v>
      </c>
      <c r="IH78" s="4">
        <f>IFERROR(HF78/'McDonough &amp; Sun 1995 values'!Q$2,)</f>
        <v>0</v>
      </c>
      <c r="II78" s="4">
        <f>IFERROR(HG78/'McDonough &amp; Sun 1995 values'!R$2,)</f>
        <v>0</v>
      </c>
      <c r="IJ78" s="4">
        <f>IFERROR(HH78/'McDonough &amp; Sun 1995 values'!S$2,)</f>
        <v>0</v>
      </c>
      <c r="IK78" s="4">
        <f>IFERROR(HI78/'McDonough &amp; Sun 1995 values'!T$2,)</f>
        <v>0</v>
      </c>
      <c r="IL78" s="4">
        <f>IFERROR(HJ78/'McDonough &amp; Sun 1995 values'!U$2,)</f>
        <v>0</v>
      </c>
      <c r="IM78" s="4">
        <f>IFERROR(HK78/'McDonough &amp; Sun 1995 values'!V$2,)</f>
        <v>0</v>
      </c>
      <c r="IN78" s="4">
        <f>IFERROR(HL78/'McDonough &amp; Sun 1995 values'!W$2,)</f>
        <v>0</v>
      </c>
      <c r="IO78" s="4">
        <f>IFERROR(HM78/'McDonough &amp; Sun 1995 values'!X$2,)</f>
        <v>0</v>
      </c>
      <c r="IP78" s="4">
        <f>IFERROR(HN78/'McDonough &amp; Sun 1995 values'!Y$2,)</f>
        <v>0</v>
      </c>
      <c r="IQ78" s="4">
        <f>IFERROR(HO78/'McDonough &amp; Sun 1995 values'!Z$2,)</f>
        <v>0</v>
      </c>
      <c r="IR78" s="4">
        <f>IFERROR(HP78/'McDonough &amp; Sun 1995 values'!AA$2,)</f>
        <v>0</v>
      </c>
      <c r="IS78" s="4">
        <f>IFERROR(HQ78/'McDonough &amp; Sun 1995 values'!AB$2,)</f>
        <v>0</v>
      </c>
      <c r="IT78" s="4">
        <f>IFERROR(HR78/'McDonough &amp; Sun 1995 values'!AC$2,)</f>
        <v>0</v>
      </c>
    </row>
    <row r="79" spans="1:254">
      <c r="A79" s="16" t="s">
        <v>1656</v>
      </c>
      <c r="B79" s="4" t="s">
        <v>24</v>
      </c>
      <c r="C79" s="16" t="str">
        <f t="shared" si="144"/>
        <v>high-Mg carbonatitic</v>
      </c>
      <c r="D79" s="4" t="s">
        <v>1706</v>
      </c>
      <c r="E79" s="4" t="s">
        <v>237</v>
      </c>
      <c r="F79" s="4" t="s">
        <v>849</v>
      </c>
      <c r="G79" s="4" t="s">
        <v>595</v>
      </c>
      <c r="H79" s="49">
        <v>364</v>
      </c>
      <c r="I79" s="4" t="s">
        <v>1148</v>
      </c>
      <c r="J79" s="4" t="s">
        <v>635</v>
      </c>
      <c r="K79" s="4" t="s">
        <v>1678</v>
      </c>
      <c r="M79" s="4" t="s">
        <v>1686</v>
      </c>
      <c r="N79" s="4">
        <v>30</v>
      </c>
      <c r="O79" s="4">
        <v>10.9</v>
      </c>
      <c r="P79" s="4">
        <v>0.14000000000000001</v>
      </c>
      <c r="R79" s="4">
        <v>1.29</v>
      </c>
      <c r="S79" s="4">
        <v>7.82</v>
      </c>
      <c r="T79" s="4">
        <v>30.5</v>
      </c>
      <c r="V79" s="4">
        <v>33</v>
      </c>
      <c r="W79" s="4">
        <v>3.1</v>
      </c>
      <c r="X79" s="4">
        <v>8.5299999999999994</v>
      </c>
      <c r="Z79" s="4">
        <v>2.73</v>
      </c>
      <c r="AA79" s="4">
        <v>0.34</v>
      </c>
      <c r="AD79" s="4">
        <v>1.37</v>
      </c>
      <c r="AJ79" s="26">
        <f t="shared" si="145"/>
        <v>99.38000000000001</v>
      </c>
      <c r="AK79" s="26">
        <f t="shared" si="147"/>
        <v>11.002122694598016</v>
      </c>
      <c r="AL79" s="26">
        <f t="shared" si="148"/>
        <v>0.14131166763703876</v>
      </c>
      <c r="AM79" s="26">
        <f t="shared" si="149"/>
        <v>1.3020860803698571</v>
      </c>
      <c r="AN79" s="26">
        <f t="shared" si="150"/>
        <v>7.8932660065831648</v>
      </c>
      <c r="AO79" s="26">
        <f t="shared" si="151"/>
        <v>30.785756163783446</v>
      </c>
      <c r="AP79" s="26">
        <f t="shared" si="152"/>
        <v>33.309178800159131</v>
      </c>
      <c r="AQ79" s="26">
        <f t="shared" si="153"/>
        <v>0</v>
      </c>
      <c r="AR79" s="26">
        <f t="shared" si="154"/>
        <v>3.1290440691058583</v>
      </c>
      <c r="AS79" s="26">
        <f t="shared" si="155"/>
        <v>8.6099180353138625</v>
      </c>
      <c r="AT79" s="26">
        <f t="shared" si="156"/>
        <v>2.7555775189222556</v>
      </c>
      <c r="AU79" s="26">
        <f t="shared" si="157"/>
        <v>1.3828356047338792</v>
      </c>
      <c r="AV79" s="26">
        <f t="shared" si="146"/>
        <v>100.31109664120652</v>
      </c>
      <c r="BB79" s="26">
        <v>0.12</v>
      </c>
      <c r="BC79" s="26">
        <f t="shared" si="158"/>
        <v>0.12</v>
      </c>
      <c r="BD79" s="26">
        <f t="shared" si="159"/>
        <v>0.88</v>
      </c>
      <c r="BE79" s="4">
        <v>-5.0834201646013097</v>
      </c>
      <c r="BG79" s="4">
        <v>95.7</v>
      </c>
      <c r="BH79" s="4">
        <v>0</v>
      </c>
      <c r="BL79" s="26"/>
      <c r="BT79" s="44">
        <v>7208.1568649778146</v>
      </c>
      <c r="CH79" s="44">
        <v>211.62452671240183</v>
      </c>
      <c r="CI79" s="44">
        <v>4895.2147822000443</v>
      </c>
      <c r="CJ79" s="44">
        <v>51.766228510388906</v>
      </c>
      <c r="CK79" s="44">
        <v>819.42730508440081</v>
      </c>
      <c r="CM79" s="44">
        <v>781.89018820505203</v>
      </c>
      <c r="CS79" s="44">
        <v>12769.166387169304</v>
      </c>
      <c r="CU79" s="44">
        <v>1234.1693378948642</v>
      </c>
      <c r="CV79" s="44">
        <v>1639.250717095435</v>
      </c>
      <c r="CW79" s="44">
        <v>166.71470796281488</v>
      </c>
      <c r="CX79" s="44">
        <v>645.25407245211341</v>
      </c>
      <c r="CY79" s="44">
        <v>65.309637884533217</v>
      </c>
      <c r="CZ79" s="44">
        <v>13.699270327286238</v>
      </c>
      <c r="DA79" s="44">
        <v>36.630803677886497</v>
      </c>
      <c r="DB79" s="44">
        <v>17.110088022454569</v>
      </c>
      <c r="DC79" s="44">
        <v>3.3035967694574366</v>
      </c>
      <c r="DD79" s="44">
        <v>4.211454841033393</v>
      </c>
      <c r="DF79" s="44">
        <v>3.6099630359241925</v>
      </c>
      <c r="DG79" s="44">
        <v>1.0565672178764209</v>
      </c>
      <c r="DH79" s="44">
        <v>24.211838961446801</v>
      </c>
      <c r="DI79" s="44">
        <v>40.259455303500296</v>
      </c>
      <c r="DK79" s="44">
        <v>61.560389141401018</v>
      </c>
      <c r="DL79" s="44">
        <v>305.28166145210145</v>
      </c>
      <c r="DM79" s="44">
        <v>29.557007999692797</v>
      </c>
      <c r="DN79" s="44">
        <v>4.5019959527385041</v>
      </c>
      <c r="EL79" s="18">
        <f>IFERROR(CR79/'McDonough &amp; Sun 1995 values'!C$2,)</f>
        <v>0</v>
      </c>
      <c r="EM79" s="18">
        <f>IFERROR(CH79/'McDonough &amp; Sun 1995 values'!D$2,)</f>
        <v>352.70754452066973</v>
      </c>
      <c r="EN79" s="18">
        <f>IFERROR(CS79/'McDonough &amp; Sun 1995 values'!E$2,)</f>
        <v>1934.7221798741371</v>
      </c>
      <c r="EO79" s="18">
        <f>IFERROR(DL79/'McDonough &amp; Sun 1995 values'!F$2,)</f>
        <v>3840.0208987685714</v>
      </c>
      <c r="EP79" s="18">
        <f>IFERROR(DM79/'McDonough &amp; Sun 1995 values'!G$2,)</f>
        <v>1456.0102462902857</v>
      </c>
      <c r="EQ79" s="18">
        <f>IFERROR(BR79/'McDonough &amp; Sun 1995 values'!H$2,)</f>
        <v>0</v>
      </c>
      <c r="ER79" s="18">
        <f>IFERROR(DI79/'McDonough &amp; Sun 1995 values'!I$2,)</f>
        <v>1088.0933865810891</v>
      </c>
      <c r="ES79" s="18">
        <f>IFERROR(CM79/'McDonough &amp; Sun 1995 values'!J$2,)</f>
        <v>1188.2829607979513</v>
      </c>
      <c r="ET79" s="18">
        <f>IFERROR(CU79/'McDonough &amp; Sun 1995 values'!K$2,)</f>
        <v>1904.5823115661483</v>
      </c>
      <c r="EU79" s="18">
        <f>IFERROR(CV79/'McDonough &amp; Sun 1995 values'!L$2,)</f>
        <v>978.65714453458804</v>
      </c>
      <c r="EV79" s="18">
        <f>IFERROR(CW79/'McDonough &amp; Sun 1995 values'!M$2,)</f>
        <v>656.35711796383816</v>
      </c>
      <c r="EW79" s="18">
        <f>IFERROR(CI79/'McDonough &amp; Sun 1995 values'!N$2,)</f>
        <v>245.99069257286658</v>
      </c>
      <c r="EX79" s="18">
        <f>IFERROR(CX79/'McDonough &amp; Sun 1995 values'!O$2,)</f>
        <v>516.20325796169072</v>
      </c>
      <c r="EY79" s="18">
        <f>IFERROR(CY79/'McDonough &amp; Sun 1995 values'!P$2,)</f>
        <v>160.86117705550052</v>
      </c>
      <c r="EZ79" s="18">
        <f>IFERROR(DH79/'McDonough &amp; Sun 1995 values'!Q$2,)</f>
        <v>85.55420127719718</v>
      </c>
      <c r="FA79" s="18">
        <f>IFERROR(CK79/'McDonough &amp; Sun 1995 values'!R$2,)</f>
        <v>78.040695722323889</v>
      </c>
      <c r="FB79" s="18">
        <f>IFERROR(CZ79/'McDonough &amp; Sun 1995 values'!S$2,)</f>
        <v>88.956300826534004</v>
      </c>
      <c r="FC79" s="18">
        <f>IFERROR(BT79/'McDonough &amp; Sun 1995 values'!T$2,)</f>
        <v>5.9818729169940372</v>
      </c>
      <c r="FD79" s="18">
        <f>IFERROR(DA79/'McDonough &amp; Sun 1995 values'!U$2,)</f>
        <v>67.336036172585466</v>
      </c>
      <c r="FE79" s="18">
        <f>IFERROR(DN79/'McDonough &amp; Sun 1995 values'!V$2,)</f>
        <v>45.474706593318224</v>
      </c>
      <c r="FF79" s="18">
        <f>IFERROR(DB79/'McDonough &amp; Sun 1995 values'!W$2,)</f>
        <v>25.385887273671464</v>
      </c>
      <c r="FG79" s="18">
        <f>IFERROR(CJ79/'McDonough &amp; Sun 1995 values'!X$2,)</f>
        <v>12.0386577931137</v>
      </c>
      <c r="FH79" s="18">
        <f>IFERROR(DC79/'McDonough &amp; Sun 1995 values'!Y$2,)</f>
        <v>22.1717903990432</v>
      </c>
      <c r="FI79" s="18">
        <f>IFERROR(DD79/'McDonough &amp; Sun 1995 values'!Z$2,)</f>
        <v>9.6151937009894812</v>
      </c>
      <c r="FJ79" s="18">
        <f>IFERROR(DE79/'McDonough &amp; Sun 1995 values'!AA$2,)</f>
        <v>0</v>
      </c>
      <c r="FK79" s="18">
        <f>IFERROR(DF79/'McDonough &amp; Sun 1995 values'!AB$2,)</f>
        <v>8.1858572243178962</v>
      </c>
      <c r="FL79" s="18">
        <f>IFERROR(DG79/'McDonough &amp; Sun 1995 values'!AC$2,)</f>
        <v>15.652847672243272</v>
      </c>
      <c r="FN79" s="28">
        <f t="shared" si="160"/>
        <v>0</v>
      </c>
      <c r="FO79" s="4">
        <f t="shared" si="161"/>
        <v>1.3287833549273047</v>
      </c>
      <c r="FP79" s="4">
        <f t="shared" si="162"/>
        <v>3.231571120223701</v>
      </c>
      <c r="FQ79" s="4">
        <f t="shared" si="163"/>
        <v>2.6373584310635296</v>
      </c>
      <c r="FR79" s="4">
        <f t="shared" si="164"/>
        <v>1.6028020045723708</v>
      </c>
      <c r="FS79" s="4">
        <f t="shared" si="165"/>
        <v>1.7503849715974826</v>
      </c>
      <c r="FT79" s="4">
        <f t="shared" si="166"/>
        <v>0</v>
      </c>
      <c r="FU79" s="4">
        <f t="shared" si="167"/>
        <v>0.91568542382398277</v>
      </c>
      <c r="FV79" s="4">
        <f t="shared" si="168"/>
        <v>0.48514313491190103</v>
      </c>
      <c r="FW79" s="4">
        <f t="shared" si="169"/>
        <v>0.91217841505492647</v>
      </c>
      <c r="FX79" s="4">
        <f t="shared" si="170"/>
        <v>0.77964405934809611</v>
      </c>
      <c r="FY79" s="4">
        <f t="shared" si="171"/>
        <v>0.42260847770252785</v>
      </c>
      <c r="FZ79" s="4">
        <f t="shared" si="172"/>
        <v>0.85472679706183963</v>
      </c>
      <c r="GA79" s="4">
        <f t="shared" si="173"/>
        <v>0.37478178546456986</v>
      </c>
      <c r="GB79" s="4">
        <f t="shared" si="174"/>
        <v>0.55300043462843862</v>
      </c>
      <c r="GC79" s="4">
        <f t="shared" si="175"/>
        <v>0</v>
      </c>
      <c r="GD79" s="4">
        <f t="shared" si="176"/>
        <v>0.50383115896441322</v>
      </c>
      <c r="GE79" s="4">
        <f t="shared" si="177"/>
        <v>5.4853439058226794</v>
      </c>
      <c r="GF79" s="4">
        <f t="shared" si="178"/>
        <v>0</v>
      </c>
      <c r="GG79" s="4">
        <f t="shared" si="179"/>
        <v>1.6281662227782343</v>
      </c>
      <c r="GH79" s="4">
        <f t="shared" si="180"/>
        <v>2.9017470206989984</v>
      </c>
      <c r="GI79" s="4">
        <f t="shared" si="181"/>
        <v>11.839912814445135</v>
      </c>
      <c r="GJ79" s="4">
        <f t="shared" si="182"/>
        <v>75.025241033881571</v>
      </c>
      <c r="GK79" s="4">
        <f t="shared" si="183"/>
        <v>232.66742374985066</v>
      </c>
      <c r="GL79" s="4">
        <f t="shared" si="184"/>
        <v>13.046197538001238</v>
      </c>
      <c r="GM79" s="4">
        <f t="shared" si="185"/>
        <v>10.887266117279028</v>
      </c>
      <c r="GN79" s="4">
        <f t="shared" si="186"/>
        <v>0.6239073804170846</v>
      </c>
      <c r="GO79" s="4">
        <f t="shared" si="187"/>
        <v>0.81612266385180543</v>
      </c>
      <c r="GP79" s="4">
        <f t="shared" si="188"/>
        <v>0</v>
      </c>
      <c r="GQ79" s="27">
        <f t="shared" si="189"/>
        <v>71474.14151611182</v>
      </c>
      <c r="GR79" s="28" t="str">
        <f t="shared" si="190"/>
        <v/>
      </c>
      <c r="GS79" s="28" t="str">
        <f t="shared" si="191"/>
        <v/>
      </c>
      <c r="GT79" s="28" t="str">
        <f t="shared" si="192"/>
        <v/>
      </c>
      <c r="GU79" s="28" t="str">
        <f t="shared" si="193"/>
        <v/>
      </c>
      <c r="GV79" s="28" t="str">
        <f t="shared" si="194"/>
        <v/>
      </c>
      <c r="GW79" s="28" t="str">
        <f t="shared" si="195"/>
        <v/>
      </c>
      <c r="GX79" s="28" t="str">
        <f t="shared" si="196"/>
        <v/>
      </c>
      <c r="GY79" s="28" t="str">
        <f t="shared" si="197"/>
        <v/>
      </c>
      <c r="GZ79" s="28" t="str">
        <f t="shared" si="198"/>
        <v/>
      </c>
      <c r="HA79" s="28" t="str">
        <f t="shared" si="199"/>
        <v/>
      </c>
      <c r="HB79" s="28" t="str">
        <f t="shared" si="200"/>
        <v/>
      </c>
      <c r="HC79" s="28" t="str">
        <f t="shared" si="201"/>
        <v/>
      </c>
      <c r="HD79" s="28" t="str">
        <f t="shared" si="202"/>
        <v/>
      </c>
      <c r="HE79" s="28" t="str">
        <f t="shared" si="203"/>
        <v/>
      </c>
      <c r="HF79" s="28" t="str">
        <f t="shared" si="204"/>
        <v/>
      </c>
      <c r="HG79" s="28" t="str">
        <f t="shared" si="205"/>
        <v/>
      </c>
      <c r="HH79" s="28" t="str">
        <f t="shared" si="206"/>
        <v/>
      </c>
      <c r="HI79" s="28" t="str">
        <f t="shared" si="207"/>
        <v/>
      </c>
      <c r="HJ79" s="28" t="str">
        <f t="shared" si="208"/>
        <v/>
      </c>
      <c r="HK79" s="28" t="str">
        <f t="shared" si="209"/>
        <v/>
      </c>
      <c r="HL79" s="28" t="str">
        <f t="shared" si="210"/>
        <v/>
      </c>
      <c r="HM79" s="28" t="str">
        <f t="shared" si="211"/>
        <v/>
      </c>
      <c r="HN79" s="28" t="str">
        <f t="shared" si="212"/>
        <v/>
      </c>
      <c r="HO79" s="28" t="str">
        <f t="shared" si="213"/>
        <v/>
      </c>
      <c r="HP79" s="28" t="str">
        <f t="shared" si="214"/>
        <v/>
      </c>
      <c r="HQ79" s="28" t="str">
        <f t="shared" si="215"/>
        <v/>
      </c>
      <c r="HR79" s="28" t="str">
        <f t="shared" si="216"/>
        <v/>
      </c>
      <c r="HT79" s="4">
        <f>IFERROR(GR79/'McDonough &amp; Sun 1995 values'!C$2,)</f>
        <v>0</v>
      </c>
      <c r="HU79" s="4">
        <f>IFERROR(GS79/'McDonough &amp; Sun 1995 values'!D$2,)</f>
        <v>0</v>
      </c>
      <c r="HV79" s="4">
        <f>IFERROR(GT79/'McDonough &amp; Sun 1995 values'!E$2,)</f>
        <v>0</v>
      </c>
      <c r="HW79" s="4">
        <f>IFERROR(GU79/'McDonough &amp; Sun 1995 values'!F$2,)</f>
        <v>0</v>
      </c>
      <c r="HX79" s="4">
        <f>IFERROR(GV79/'McDonough &amp; Sun 1995 values'!G$2,)</f>
        <v>0</v>
      </c>
      <c r="HY79" s="4">
        <f>IFERROR(GW79/'McDonough &amp; Sun 1995 values'!H$2,)</f>
        <v>0</v>
      </c>
      <c r="HZ79" s="4">
        <f>IFERROR(GX79/'McDonough &amp; Sun 1995 values'!I$2,)</f>
        <v>0</v>
      </c>
      <c r="IA79" s="4">
        <f>IFERROR(GY79/'McDonough &amp; Sun 1995 values'!J$2,)</f>
        <v>0</v>
      </c>
      <c r="IB79" s="4">
        <f>IFERROR(GZ79/'McDonough &amp; Sun 1995 values'!K$2,)</f>
        <v>0</v>
      </c>
      <c r="IC79" s="4">
        <f>IFERROR(HA79/'McDonough &amp; Sun 1995 values'!L$2,)</f>
        <v>0</v>
      </c>
      <c r="ID79" s="4">
        <f>IFERROR(HB79/'McDonough &amp; Sun 1995 values'!M$2,)</f>
        <v>0</v>
      </c>
      <c r="IE79" s="4">
        <f>IFERROR(HC79/'McDonough &amp; Sun 1995 values'!N$2,)</f>
        <v>0</v>
      </c>
      <c r="IF79" s="4">
        <f>IFERROR(HD79/'McDonough &amp; Sun 1995 values'!O$2,)</f>
        <v>0</v>
      </c>
      <c r="IG79" s="4">
        <f>IFERROR(HE79/'McDonough &amp; Sun 1995 values'!P$2,)</f>
        <v>0</v>
      </c>
      <c r="IH79" s="4">
        <f>IFERROR(HF79/'McDonough &amp; Sun 1995 values'!Q$2,)</f>
        <v>0</v>
      </c>
      <c r="II79" s="4">
        <f>IFERROR(HG79/'McDonough &amp; Sun 1995 values'!R$2,)</f>
        <v>0</v>
      </c>
      <c r="IJ79" s="4">
        <f>IFERROR(HH79/'McDonough &amp; Sun 1995 values'!S$2,)</f>
        <v>0</v>
      </c>
      <c r="IK79" s="4">
        <f>IFERROR(HI79/'McDonough &amp; Sun 1995 values'!T$2,)</f>
        <v>0</v>
      </c>
      <c r="IL79" s="4">
        <f>IFERROR(HJ79/'McDonough &amp; Sun 1995 values'!U$2,)</f>
        <v>0</v>
      </c>
      <c r="IM79" s="4">
        <f>IFERROR(HK79/'McDonough &amp; Sun 1995 values'!V$2,)</f>
        <v>0</v>
      </c>
      <c r="IN79" s="4">
        <f>IFERROR(HL79/'McDonough &amp; Sun 1995 values'!W$2,)</f>
        <v>0</v>
      </c>
      <c r="IO79" s="4">
        <f>IFERROR(HM79/'McDonough &amp; Sun 1995 values'!X$2,)</f>
        <v>0</v>
      </c>
      <c r="IP79" s="4">
        <f>IFERROR(HN79/'McDonough &amp; Sun 1995 values'!Y$2,)</f>
        <v>0</v>
      </c>
      <c r="IQ79" s="4">
        <f>IFERROR(HO79/'McDonough &amp; Sun 1995 values'!Z$2,)</f>
        <v>0</v>
      </c>
      <c r="IR79" s="4">
        <f>IFERROR(HP79/'McDonough &amp; Sun 1995 values'!AA$2,)</f>
        <v>0</v>
      </c>
      <c r="IS79" s="4">
        <f>IFERROR(HQ79/'McDonough &amp; Sun 1995 values'!AB$2,)</f>
        <v>0</v>
      </c>
      <c r="IT79" s="4">
        <f>IFERROR(HR79/'McDonough &amp; Sun 1995 values'!AC$2,)</f>
        <v>0</v>
      </c>
    </row>
    <row r="80" spans="1:254">
      <c r="A80" s="16" t="s">
        <v>1656</v>
      </c>
      <c r="B80" s="4" t="s">
        <v>24</v>
      </c>
      <c r="C80" s="16" t="str">
        <f t="shared" si="144"/>
        <v>high-Mg carbonatitic</v>
      </c>
      <c r="D80" s="4" t="s">
        <v>1706</v>
      </c>
      <c r="E80" s="4" t="s">
        <v>237</v>
      </c>
      <c r="F80" s="4" t="s">
        <v>849</v>
      </c>
      <c r="G80" s="4" t="s">
        <v>595</v>
      </c>
      <c r="H80" s="49">
        <v>364</v>
      </c>
      <c r="I80" s="4" t="s">
        <v>1148</v>
      </c>
      <c r="J80" s="4" t="s">
        <v>635</v>
      </c>
      <c r="K80" s="4" t="s">
        <v>1678</v>
      </c>
      <c r="M80" s="4" t="s">
        <v>1688</v>
      </c>
      <c r="N80" s="4">
        <v>30</v>
      </c>
      <c r="O80" s="4">
        <v>8.3000000000000007</v>
      </c>
      <c r="P80" s="4">
        <v>0.53</v>
      </c>
      <c r="R80" s="4">
        <v>0.9</v>
      </c>
      <c r="S80" s="4">
        <v>6.52</v>
      </c>
      <c r="T80" s="4">
        <v>23.2</v>
      </c>
      <c r="V80" s="4">
        <v>15.7</v>
      </c>
      <c r="W80" s="4">
        <v>12.1</v>
      </c>
      <c r="X80" s="4">
        <v>21.9</v>
      </c>
      <c r="Z80" s="4">
        <v>6.5</v>
      </c>
      <c r="AB80" s="4">
        <v>0.36</v>
      </c>
      <c r="AD80" s="4">
        <v>4</v>
      </c>
      <c r="AJ80" s="26">
        <f t="shared" si="145"/>
        <v>100.01</v>
      </c>
      <c r="AK80" s="26">
        <f t="shared" si="147"/>
        <v>8.3740775267059284</v>
      </c>
      <c r="AL80" s="26">
        <f t="shared" si="148"/>
        <v>0.53473025170531829</v>
      </c>
      <c r="AM80" s="26">
        <f t="shared" si="149"/>
        <v>0.90803250289582349</v>
      </c>
      <c r="AN80" s="26">
        <f t="shared" si="150"/>
        <v>6.5781910209786316</v>
      </c>
      <c r="AO80" s="26">
        <f t="shared" si="151"/>
        <v>23.407060074647895</v>
      </c>
      <c r="AP80" s="26">
        <f t="shared" si="152"/>
        <v>15.84012255051603</v>
      </c>
      <c r="AQ80" s="26">
        <f t="shared" si="153"/>
        <v>0.36321300115832944</v>
      </c>
      <c r="AR80" s="26">
        <f t="shared" si="154"/>
        <v>12.207992538932738</v>
      </c>
      <c r="AS80" s="26">
        <f t="shared" si="155"/>
        <v>22.095457570465037</v>
      </c>
      <c r="AT80" s="26">
        <f t="shared" si="156"/>
        <v>6.5580125209142803</v>
      </c>
      <c r="AU80" s="26">
        <f t="shared" si="157"/>
        <v>4.0357000128703264</v>
      </c>
      <c r="AV80" s="26">
        <f t="shared" si="146"/>
        <v>100.90258957179033</v>
      </c>
      <c r="BB80" s="26">
        <v>0.11</v>
      </c>
      <c r="BC80" s="26">
        <f t="shared" si="158"/>
        <v>0.10999999999999999</v>
      </c>
      <c r="BD80" s="26">
        <f t="shared" si="159"/>
        <v>0.89</v>
      </c>
      <c r="BE80" s="4">
        <v>-7.8786830414864504</v>
      </c>
      <c r="BG80" s="4">
        <v>816.4683</v>
      </c>
      <c r="BH80" s="4">
        <v>36.15949894908811</v>
      </c>
      <c r="BL80" s="26"/>
      <c r="BT80" s="44">
        <v>2985.9215570185561</v>
      </c>
      <c r="CH80" s="44">
        <v>31.59014671123435</v>
      </c>
      <c r="CI80" s="44">
        <v>9434.002102705801</v>
      </c>
      <c r="CJ80" s="44">
        <v>16.666263931073029</v>
      </c>
      <c r="CK80" s="44">
        <v>491.83633954749024</v>
      </c>
      <c r="CM80" s="44">
        <v>1145.0437427970423</v>
      </c>
      <c r="CS80" s="44">
        <v>24092.054687492961</v>
      </c>
      <c r="CU80" s="44">
        <v>2247.1157339671217</v>
      </c>
      <c r="CV80" s="44">
        <v>2431.2767048502196</v>
      </c>
      <c r="CW80" s="44">
        <v>191.5826192606055</v>
      </c>
      <c r="CX80" s="44">
        <v>680.80162411759852</v>
      </c>
      <c r="CY80" s="44">
        <v>54.147720029701389</v>
      </c>
      <c r="CZ80" s="44">
        <v>11.713989598467897</v>
      </c>
      <c r="DA80" s="44">
        <v>31.94520997913969</v>
      </c>
      <c r="DB80" s="44">
        <v>6.3611457083816845</v>
      </c>
      <c r="DC80" s="44">
        <v>0.8051098901991528</v>
      </c>
      <c r="DD80" s="44">
        <v>1.0608680908477874</v>
      </c>
      <c r="DF80" s="44">
        <v>0.73769011181683708</v>
      </c>
      <c r="DG80" s="44">
        <v>3.4482934782585496E-2</v>
      </c>
      <c r="DH80" s="44">
        <v>11.567943584585127</v>
      </c>
      <c r="DI80" s="44">
        <v>44.977611500191152</v>
      </c>
      <c r="DK80" s="44">
        <v>128.18442651703546</v>
      </c>
      <c r="DL80" s="44">
        <v>282.1912790167197</v>
      </c>
      <c r="DM80" s="44">
        <v>34.494202168695985</v>
      </c>
      <c r="DN80" s="44">
        <v>1.669187883056106</v>
      </c>
      <c r="EL80" s="18">
        <f>IFERROR(CR80/'McDonough &amp; Sun 1995 values'!C$2,)</f>
        <v>0</v>
      </c>
      <c r="EM80" s="18">
        <f>IFERROR(CH80/'McDonough &amp; Sun 1995 values'!D$2,)</f>
        <v>52.650244518723916</v>
      </c>
      <c r="EN80" s="18">
        <f>IFERROR(CS80/'McDonough &amp; Sun 1995 values'!E$2,)</f>
        <v>3650.3113162868126</v>
      </c>
      <c r="EO80" s="18">
        <f>IFERROR(DL80/'McDonough &amp; Sun 1995 values'!F$2,)</f>
        <v>3549.5758366882983</v>
      </c>
      <c r="EP80" s="18">
        <f>IFERROR(DM80/'McDonough &amp; Sun 1995 values'!G$2,)</f>
        <v>1699.2217817091619</v>
      </c>
      <c r="EQ80" s="18">
        <f>IFERROR(BR80/'McDonough &amp; Sun 1995 values'!H$2,)</f>
        <v>0</v>
      </c>
      <c r="ER80" s="18">
        <f>IFERROR(DI80/'McDonough &amp; Sun 1995 values'!I$2,)</f>
        <v>1215.611121626788</v>
      </c>
      <c r="ES80" s="18">
        <f>IFERROR(CM80/'McDonough &amp; Sun 1995 values'!J$2,)</f>
        <v>1740.1880589620703</v>
      </c>
      <c r="ET80" s="18">
        <f>IFERROR(CU80/'McDonough &amp; Sun 1995 values'!K$2,)</f>
        <v>3467.7711943937061</v>
      </c>
      <c r="EU80" s="18">
        <f>IFERROR(CV80/'McDonough &amp; Sun 1995 values'!L$2,)</f>
        <v>1451.5084805075937</v>
      </c>
      <c r="EV80" s="18">
        <f>IFERROR(CW80/'McDonough &amp; Sun 1995 values'!M$2,)</f>
        <v>754.26228055356489</v>
      </c>
      <c r="EW80" s="18">
        <f>IFERROR(CI80/'McDonough &amp; Sun 1995 values'!N$2,)</f>
        <v>474.07045742240211</v>
      </c>
      <c r="EX80" s="18">
        <f>IFERROR(CX80/'McDonough &amp; Sun 1995 values'!O$2,)</f>
        <v>544.64129929407886</v>
      </c>
      <c r="EY80" s="18">
        <f>IFERROR(CY80/'McDonough &amp; Sun 1995 values'!P$2,)</f>
        <v>133.36876854606254</v>
      </c>
      <c r="EZ80" s="18">
        <f>IFERROR(DH80/'McDonough &amp; Sun 1995 values'!Q$2,)</f>
        <v>40.87612574058349</v>
      </c>
      <c r="FA80" s="18">
        <f>IFERROR(CK80/'McDonough &amp; Sun 1995 values'!R$2,)</f>
        <v>46.841556147380025</v>
      </c>
      <c r="FB80" s="18">
        <f>IFERROR(CZ80/'McDonough &amp; Sun 1995 values'!S$2,)</f>
        <v>76.06486752251881</v>
      </c>
      <c r="FC80" s="18">
        <f>IFERROR(BT80/'McDonough &amp; Sun 1995 values'!T$2,)</f>
        <v>2.4779432008452749</v>
      </c>
      <c r="FD80" s="18">
        <f>IFERROR(DA80/'McDonough &amp; Sun 1995 values'!U$2,)</f>
        <v>58.722812461653838</v>
      </c>
      <c r="FE80" s="18">
        <f>IFERROR(DN80/'McDonough &amp; Sun 1995 values'!V$2,)</f>
        <v>16.860483667233392</v>
      </c>
      <c r="FF80" s="18">
        <f>IFERROR(DB80/'McDonough &amp; Sun 1995 values'!W$2,)</f>
        <v>9.43790164448321</v>
      </c>
      <c r="FG80" s="18">
        <f>IFERROR(CJ80/'McDonough &amp; Sun 1995 values'!X$2,)</f>
        <v>3.8758753328076812</v>
      </c>
      <c r="FH80" s="18">
        <f>IFERROR(DC80/'McDonough &amp; Sun 1995 values'!Y$2,)</f>
        <v>5.4034220818735088</v>
      </c>
      <c r="FI80" s="18">
        <f>IFERROR(DD80/'McDonough &amp; Sun 1995 values'!Z$2,)</f>
        <v>2.4220732667757705</v>
      </c>
      <c r="FJ80" s="18">
        <f>IFERROR(DE80/'McDonough &amp; Sun 1995 values'!AA$2,)</f>
        <v>0</v>
      </c>
      <c r="FK80" s="18">
        <f>IFERROR(DF80/'McDonough &amp; Sun 1995 values'!AB$2,)</f>
        <v>1.6727666934622156</v>
      </c>
      <c r="FL80" s="18">
        <f>IFERROR(DG80/'McDonough &amp; Sun 1995 values'!AC$2,)</f>
        <v>0.5108582930753407</v>
      </c>
      <c r="FN80" s="28">
        <f t="shared" si="160"/>
        <v>0</v>
      </c>
      <c r="FO80" s="4">
        <f t="shared" si="161"/>
        <v>2.1482253556184689</v>
      </c>
      <c r="FP80" s="4">
        <f t="shared" si="162"/>
        <v>2.0397656554461312</v>
      </c>
      <c r="FQ80" s="4">
        <f t="shared" si="163"/>
        <v>2.088942052707186</v>
      </c>
      <c r="FR80" s="4">
        <f t="shared" si="164"/>
        <v>1.9927565739429607</v>
      </c>
      <c r="FS80" s="4">
        <f t="shared" si="165"/>
        <v>2.8526978181583034</v>
      </c>
      <c r="FT80" s="4">
        <f t="shared" si="166"/>
        <v>0</v>
      </c>
      <c r="FU80" s="4">
        <f t="shared" si="167"/>
        <v>0.69855158203524015</v>
      </c>
      <c r="FV80" s="4">
        <f t="shared" si="168"/>
        <v>0.35121832988359653</v>
      </c>
      <c r="FW80" s="4">
        <f t="shared" si="169"/>
        <v>1.1459392322221431</v>
      </c>
      <c r="FX80" s="4">
        <f t="shared" si="170"/>
        <v>0.79196461524738315</v>
      </c>
      <c r="FY80" s="4">
        <f t="shared" si="171"/>
        <v>0.73965025666927686</v>
      </c>
      <c r="FZ80" s="4">
        <f t="shared" si="172"/>
        <v>0.85951531399588754</v>
      </c>
      <c r="GA80" s="4">
        <f t="shared" si="173"/>
        <v>0.62852202694595094</v>
      </c>
      <c r="GB80" s="4">
        <f t="shared" si="174"/>
        <v>0.57033493187160778</v>
      </c>
      <c r="GC80" s="4">
        <f t="shared" si="175"/>
        <v>0</v>
      </c>
      <c r="GD80" s="4">
        <f t="shared" si="176"/>
        <v>1.0283795823031348</v>
      </c>
      <c r="GE80" s="4">
        <f t="shared" si="177"/>
        <v>69.331326941675627</v>
      </c>
      <c r="GF80" s="4">
        <f t="shared" si="178"/>
        <v>0</v>
      </c>
      <c r="GG80" s="4">
        <f t="shared" si="179"/>
        <v>2.0976533527439725</v>
      </c>
      <c r="GH80" s="4">
        <f t="shared" si="180"/>
        <v>4.597566766627458</v>
      </c>
      <c r="GI80" s="4">
        <f t="shared" si="181"/>
        <v>26.001373726383452</v>
      </c>
      <c r="GJ80" s="4">
        <f t="shared" si="182"/>
        <v>367.43031714266084</v>
      </c>
      <c r="GK80" s="4">
        <f t="shared" si="183"/>
        <v>2073.0752279723315</v>
      </c>
      <c r="GL80" s="4">
        <f t="shared" si="184"/>
        <v>18.903401874345406</v>
      </c>
      <c r="GM80" s="4">
        <f t="shared" si="185"/>
        <v>67.418031371648595</v>
      </c>
      <c r="GN80" s="4">
        <f t="shared" si="186"/>
        <v>0.50181743875588047</v>
      </c>
      <c r="GO80" s="4">
        <f t="shared" si="187"/>
        <v>1.0241088465872314</v>
      </c>
      <c r="GP80" s="4">
        <f t="shared" si="188"/>
        <v>0</v>
      </c>
      <c r="GQ80" s="27">
        <f t="shared" si="189"/>
        <v>183422.63593884409</v>
      </c>
      <c r="GR80" s="28" t="str">
        <f t="shared" si="190"/>
        <v/>
      </c>
      <c r="GS80" s="28" t="str">
        <f t="shared" si="191"/>
        <v/>
      </c>
      <c r="GT80" s="28" t="str">
        <f t="shared" si="192"/>
        <v/>
      </c>
      <c r="GU80" s="28" t="str">
        <f t="shared" si="193"/>
        <v/>
      </c>
      <c r="GV80" s="28" t="str">
        <f t="shared" si="194"/>
        <v/>
      </c>
      <c r="GW80" s="28" t="str">
        <f t="shared" si="195"/>
        <v/>
      </c>
      <c r="GX80" s="28" t="str">
        <f t="shared" si="196"/>
        <v/>
      </c>
      <c r="GY80" s="28" t="str">
        <f t="shared" si="197"/>
        <v/>
      </c>
      <c r="GZ80" s="28" t="str">
        <f t="shared" si="198"/>
        <v/>
      </c>
      <c r="HA80" s="28" t="str">
        <f t="shared" si="199"/>
        <v/>
      </c>
      <c r="HB80" s="28" t="str">
        <f t="shared" si="200"/>
        <v/>
      </c>
      <c r="HC80" s="28" t="str">
        <f t="shared" si="201"/>
        <v/>
      </c>
      <c r="HD80" s="28" t="str">
        <f t="shared" si="202"/>
        <v/>
      </c>
      <c r="HE80" s="28" t="str">
        <f t="shared" si="203"/>
        <v/>
      </c>
      <c r="HF80" s="28" t="str">
        <f t="shared" si="204"/>
        <v/>
      </c>
      <c r="HG80" s="28" t="str">
        <f t="shared" si="205"/>
        <v/>
      </c>
      <c r="HH80" s="28" t="str">
        <f t="shared" si="206"/>
        <v/>
      </c>
      <c r="HI80" s="28" t="str">
        <f t="shared" si="207"/>
        <v/>
      </c>
      <c r="HJ80" s="28" t="str">
        <f t="shared" si="208"/>
        <v/>
      </c>
      <c r="HK80" s="28" t="str">
        <f t="shared" si="209"/>
        <v/>
      </c>
      <c r="HL80" s="28" t="str">
        <f t="shared" si="210"/>
        <v/>
      </c>
      <c r="HM80" s="28" t="str">
        <f t="shared" si="211"/>
        <v/>
      </c>
      <c r="HN80" s="28" t="str">
        <f t="shared" si="212"/>
        <v/>
      </c>
      <c r="HO80" s="28" t="str">
        <f t="shared" si="213"/>
        <v/>
      </c>
      <c r="HP80" s="28" t="str">
        <f t="shared" si="214"/>
        <v/>
      </c>
      <c r="HQ80" s="28" t="str">
        <f t="shared" si="215"/>
        <v/>
      </c>
      <c r="HR80" s="28" t="str">
        <f t="shared" si="216"/>
        <v/>
      </c>
      <c r="HT80" s="4">
        <f>IFERROR(GR80/'McDonough &amp; Sun 1995 values'!C$2,)</f>
        <v>0</v>
      </c>
      <c r="HU80" s="4">
        <f>IFERROR(GS80/'McDonough &amp; Sun 1995 values'!D$2,)</f>
        <v>0</v>
      </c>
      <c r="HV80" s="4">
        <f>IFERROR(GT80/'McDonough &amp; Sun 1995 values'!E$2,)</f>
        <v>0</v>
      </c>
      <c r="HW80" s="4">
        <f>IFERROR(GU80/'McDonough &amp; Sun 1995 values'!F$2,)</f>
        <v>0</v>
      </c>
      <c r="HX80" s="4">
        <f>IFERROR(GV80/'McDonough &amp; Sun 1995 values'!G$2,)</f>
        <v>0</v>
      </c>
      <c r="HY80" s="4">
        <f>IFERROR(GW80/'McDonough &amp; Sun 1995 values'!H$2,)</f>
        <v>0</v>
      </c>
      <c r="HZ80" s="4">
        <f>IFERROR(GX80/'McDonough &amp; Sun 1995 values'!I$2,)</f>
        <v>0</v>
      </c>
      <c r="IA80" s="4">
        <f>IFERROR(GY80/'McDonough &amp; Sun 1995 values'!J$2,)</f>
        <v>0</v>
      </c>
      <c r="IB80" s="4">
        <f>IFERROR(GZ80/'McDonough &amp; Sun 1995 values'!K$2,)</f>
        <v>0</v>
      </c>
      <c r="IC80" s="4">
        <f>IFERROR(HA80/'McDonough &amp; Sun 1995 values'!L$2,)</f>
        <v>0</v>
      </c>
      <c r="ID80" s="4">
        <f>IFERROR(HB80/'McDonough &amp; Sun 1995 values'!M$2,)</f>
        <v>0</v>
      </c>
      <c r="IE80" s="4">
        <f>IFERROR(HC80/'McDonough &amp; Sun 1995 values'!N$2,)</f>
        <v>0</v>
      </c>
      <c r="IF80" s="4">
        <f>IFERROR(HD80/'McDonough &amp; Sun 1995 values'!O$2,)</f>
        <v>0</v>
      </c>
      <c r="IG80" s="4">
        <f>IFERROR(HE80/'McDonough &amp; Sun 1995 values'!P$2,)</f>
        <v>0</v>
      </c>
      <c r="IH80" s="4">
        <f>IFERROR(HF80/'McDonough &amp; Sun 1995 values'!Q$2,)</f>
        <v>0</v>
      </c>
      <c r="II80" s="4">
        <f>IFERROR(HG80/'McDonough &amp; Sun 1995 values'!R$2,)</f>
        <v>0</v>
      </c>
      <c r="IJ80" s="4">
        <f>IFERROR(HH80/'McDonough &amp; Sun 1995 values'!S$2,)</f>
        <v>0</v>
      </c>
      <c r="IK80" s="4">
        <f>IFERROR(HI80/'McDonough &amp; Sun 1995 values'!T$2,)</f>
        <v>0</v>
      </c>
      <c r="IL80" s="4">
        <f>IFERROR(HJ80/'McDonough &amp; Sun 1995 values'!U$2,)</f>
        <v>0</v>
      </c>
      <c r="IM80" s="4">
        <f>IFERROR(HK80/'McDonough &amp; Sun 1995 values'!V$2,)</f>
        <v>0</v>
      </c>
      <c r="IN80" s="4">
        <f>IFERROR(HL80/'McDonough &amp; Sun 1995 values'!W$2,)</f>
        <v>0</v>
      </c>
      <c r="IO80" s="4">
        <f>IFERROR(HM80/'McDonough &amp; Sun 1995 values'!X$2,)</f>
        <v>0</v>
      </c>
      <c r="IP80" s="4">
        <f>IFERROR(HN80/'McDonough &amp; Sun 1995 values'!Y$2,)</f>
        <v>0</v>
      </c>
      <c r="IQ80" s="4">
        <f>IFERROR(HO80/'McDonough &amp; Sun 1995 values'!Z$2,)</f>
        <v>0</v>
      </c>
      <c r="IR80" s="4">
        <f>IFERROR(HP80/'McDonough &amp; Sun 1995 values'!AA$2,)</f>
        <v>0</v>
      </c>
      <c r="IS80" s="4">
        <f>IFERROR(HQ80/'McDonough &amp; Sun 1995 values'!AB$2,)</f>
        <v>0</v>
      </c>
      <c r="IT80" s="4">
        <f>IFERROR(HR80/'McDonough &amp; Sun 1995 values'!AC$2,)</f>
        <v>0</v>
      </c>
    </row>
    <row r="81" spans="1:254">
      <c r="A81" s="16" t="s">
        <v>1656</v>
      </c>
      <c r="B81" s="4" t="s">
        <v>24</v>
      </c>
      <c r="C81" s="16" t="str">
        <f t="shared" si="144"/>
        <v>high-Mg carbonatitic</v>
      </c>
      <c r="D81" s="4" t="s">
        <v>1706</v>
      </c>
      <c r="E81" s="4" t="s">
        <v>237</v>
      </c>
      <c r="F81" s="4" t="s">
        <v>849</v>
      </c>
      <c r="G81" s="4" t="s">
        <v>595</v>
      </c>
      <c r="H81" s="49">
        <v>364</v>
      </c>
      <c r="I81" s="4" t="s">
        <v>1148</v>
      </c>
      <c r="J81" s="4" t="s">
        <v>635</v>
      </c>
      <c r="K81" s="4" t="s">
        <v>1678</v>
      </c>
      <c r="M81" s="4" t="s">
        <v>1689</v>
      </c>
      <c r="N81" s="4">
        <v>20</v>
      </c>
      <c r="O81" s="4">
        <v>5.03</v>
      </c>
      <c r="P81" s="4">
        <v>0.11</v>
      </c>
      <c r="S81" s="4">
        <v>8.56</v>
      </c>
      <c r="T81" s="4">
        <v>15.4</v>
      </c>
      <c r="V81" s="4">
        <v>13.6</v>
      </c>
      <c r="W81" s="4">
        <v>7.68</v>
      </c>
      <c r="X81" s="4">
        <v>29.5</v>
      </c>
      <c r="AA81" s="4">
        <v>1.44</v>
      </c>
      <c r="AB81" s="4">
        <v>8.3000000000000007</v>
      </c>
      <c r="AD81" s="4">
        <v>10.3</v>
      </c>
      <c r="AF81" s="4">
        <v>0.11</v>
      </c>
      <c r="AJ81" s="26">
        <f t="shared" si="145"/>
        <v>98.47999999999999</v>
      </c>
      <c r="AK81" s="26">
        <f t="shared" si="147"/>
        <v>5.2281904159079069</v>
      </c>
      <c r="AL81" s="26">
        <f t="shared" si="148"/>
        <v>0.11433418404569974</v>
      </c>
      <c r="AM81" s="26">
        <f t="shared" si="149"/>
        <v>0</v>
      </c>
      <c r="AN81" s="26">
        <f t="shared" si="150"/>
        <v>8.8972783221017266</v>
      </c>
      <c r="AO81" s="26">
        <f t="shared" si="151"/>
        <v>16.006785766397964</v>
      </c>
      <c r="AP81" s="26">
        <f t="shared" si="152"/>
        <v>14.135862754741057</v>
      </c>
      <c r="AQ81" s="26">
        <f t="shared" si="153"/>
        <v>8.6270338870846164</v>
      </c>
      <c r="AR81" s="26">
        <f t="shared" si="154"/>
        <v>7.9826048497361271</v>
      </c>
      <c r="AS81" s="26">
        <f t="shared" si="155"/>
        <v>30.662349357710383</v>
      </c>
      <c r="AT81" s="26">
        <f t="shared" si="156"/>
        <v>0</v>
      </c>
      <c r="AU81" s="26">
        <f t="shared" si="157"/>
        <v>10.705837233370067</v>
      </c>
      <c r="AV81" s="26">
        <f t="shared" si="146"/>
        <v>102.36027677109554</v>
      </c>
      <c r="BB81" s="26">
        <v>0.11</v>
      </c>
      <c r="BC81" s="26">
        <f t="shared" si="158"/>
        <v>0.10999999999999999</v>
      </c>
      <c r="BD81" s="26">
        <f t="shared" si="159"/>
        <v>0.89</v>
      </c>
      <c r="BE81" s="4">
        <v>-5.7733322992772713</v>
      </c>
      <c r="BG81" s="4">
        <v>1165.4099999999999</v>
      </c>
      <c r="BH81" s="4">
        <v>26.739157223145344</v>
      </c>
      <c r="BL81" s="26"/>
      <c r="BT81" s="44">
        <v>1770.8351706882283</v>
      </c>
      <c r="CI81" s="44">
        <v>41433.253235733224</v>
      </c>
      <c r="CJ81" s="44">
        <v>8.9385836148602618</v>
      </c>
      <c r="CK81" s="44">
        <v>110.95663312946088</v>
      </c>
      <c r="CM81" s="44">
        <v>693.45697807276008</v>
      </c>
      <c r="CS81" s="44">
        <v>129434.02386969364</v>
      </c>
      <c r="CU81" s="44">
        <v>9400.9460291008236</v>
      </c>
      <c r="CV81" s="44">
        <v>6695.0973314469038</v>
      </c>
      <c r="CW81" s="44">
        <v>288.23165138923696</v>
      </c>
      <c r="CX81" s="44">
        <v>459.08667294834044</v>
      </c>
      <c r="CY81" s="44">
        <v>20.631484346195471</v>
      </c>
      <c r="CZ81" s="44">
        <v>5.5990780461284553</v>
      </c>
      <c r="DA81" s="44">
        <v>14.491913626793764</v>
      </c>
      <c r="DB81" s="44">
        <v>4.4057421320992347</v>
      </c>
      <c r="DF81" s="44">
        <v>7.0735829967825543</v>
      </c>
      <c r="DG81" s="44">
        <v>0.58223670376322634</v>
      </c>
      <c r="DI81" s="44">
        <v>16.784734133469321</v>
      </c>
      <c r="DK81" s="44">
        <v>937.1639927347012</v>
      </c>
      <c r="DL81" s="44">
        <v>1586.4041886635669</v>
      </c>
      <c r="DM81" s="44">
        <v>58.41085237343156</v>
      </c>
      <c r="EL81" s="18">
        <f>IFERROR(CR81/'McDonough &amp; Sun 1995 values'!C$2,)</f>
        <v>0</v>
      </c>
      <c r="EM81" s="18">
        <f>IFERROR(CH81/'McDonough &amp; Sun 1995 values'!D$2,)</f>
        <v>0</v>
      </c>
      <c r="EN81" s="18">
        <f>IFERROR(CS81/'McDonough &amp; Sun 1995 values'!E$2,)</f>
        <v>19611.215737832372</v>
      </c>
      <c r="EO81" s="18">
        <f>IFERROR(DL81/'McDonough &amp; Sun 1995 values'!F$2,)</f>
        <v>19954.769668724111</v>
      </c>
      <c r="EP81" s="18">
        <f>IFERROR(DM81/'McDonough &amp; Sun 1995 values'!G$2,)</f>
        <v>2877.3818903168258</v>
      </c>
      <c r="EQ81" s="18">
        <f>IFERROR(BR81/'McDonough &amp; Sun 1995 values'!H$2,)</f>
        <v>0</v>
      </c>
      <c r="ER81" s="18">
        <f>IFERROR(DI81/'McDonough &amp; Sun 1995 values'!I$2,)</f>
        <v>453.64146306673842</v>
      </c>
      <c r="ES81" s="18">
        <f>IFERROR(CM81/'McDonough &amp; Sun 1995 values'!J$2,)</f>
        <v>1053.8859849130092</v>
      </c>
      <c r="ET81" s="18">
        <f>IFERROR(CU81/'McDonough &amp; Sun 1995 values'!K$2,)</f>
        <v>14507.63276095806</v>
      </c>
      <c r="EU81" s="18">
        <f>IFERROR(CV81/'McDonough &amp; Sun 1995 values'!L$2,)</f>
        <v>3997.0730336996439</v>
      </c>
      <c r="EV81" s="18">
        <f>IFERROR(CW81/'McDonough &amp; Sun 1995 values'!M$2,)</f>
        <v>1134.7702810599881</v>
      </c>
      <c r="EW81" s="18">
        <f>IFERROR(CI81/'McDonough &amp; Sun 1995 values'!N$2,)</f>
        <v>2082.0730269212677</v>
      </c>
      <c r="EX81" s="18">
        <f>IFERROR(CX81/'McDonough &amp; Sun 1995 values'!O$2,)</f>
        <v>367.26933835867237</v>
      </c>
      <c r="EY81" s="18">
        <f>IFERROR(CY81/'McDonough &amp; Sun 1995 values'!P$2,)</f>
        <v>50.816463906885396</v>
      </c>
      <c r="EZ81" s="18">
        <f>IFERROR(DH81/'McDonough &amp; Sun 1995 values'!Q$2,)</f>
        <v>0</v>
      </c>
      <c r="FA81" s="18">
        <f>IFERROR(CK81/'McDonough &amp; Sun 1995 values'!R$2,)</f>
        <v>10.567298393281989</v>
      </c>
      <c r="FB81" s="18">
        <f>IFERROR(CZ81/'McDonough &amp; Sun 1995 values'!S$2,)</f>
        <v>36.357649650184776</v>
      </c>
      <c r="FC81" s="18">
        <f>IFERROR(BT81/'McDonough &amp; Sun 1995 values'!T$2,)</f>
        <v>1.4695727557578659</v>
      </c>
      <c r="FD81" s="18">
        <f>IFERROR(DA81/'McDonough &amp; Sun 1995 values'!U$2,)</f>
        <v>26.639547108076769</v>
      </c>
      <c r="FE81" s="18">
        <f>IFERROR(DN81/'McDonough &amp; Sun 1995 values'!V$2,)</f>
        <v>0</v>
      </c>
      <c r="FF81" s="18">
        <f>IFERROR(DB81/'McDonough &amp; Sun 1995 values'!W$2,)</f>
        <v>6.5367093948059862</v>
      </c>
      <c r="FG81" s="18">
        <f>IFERROR(CJ81/'McDonough &amp; Sun 1995 values'!X$2,)</f>
        <v>2.078740375548898</v>
      </c>
      <c r="FH81" s="18">
        <f>IFERROR(DC81/'McDonough &amp; Sun 1995 values'!Y$2,)</f>
        <v>0</v>
      </c>
      <c r="FI81" s="18">
        <f>IFERROR(DD81/'McDonough &amp; Sun 1995 values'!Z$2,)</f>
        <v>0</v>
      </c>
      <c r="FJ81" s="18">
        <f>IFERROR(DE81/'McDonough &amp; Sun 1995 values'!AA$2,)</f>
        <v>0</v>
      </c>
      <c r="FK81" s="18">
        <f>IFERROR(DF81/'McDonough &amp; Sun 1995 values'!AB$2,)</f>
        <v>16.039870741003526</v>
      </c>
      <c r="FL81" s="18">
        <f>IFERROR(DG81/'McDonough &amp; Sun 1995 values'!AC$2,)</f>
        <v>8.6257289446403895</v>
      </c>
      <c r="FN81" s="28">
        <f t="shared" si="160"/>
        <v>0</v>
      </c>
      <c r="FO81" s="4">
        <f t="shared" si="161"/>
        <v>6.8156457798769976</v>
      </c>
      <c r="FP81" s="4">
        <f t="shared" si="162"/>
        <v>18.93446725204457</v>
      </c>
      <c r="FQ81" s="4">
        <f t="shared" si="163"/>
        <v>6.9350438799511975</v>
      </c>
      <c r="FR81" s="4">
        <f t="shared" si="164"/>
        <v>13.765846560864516</v>
      </c>
      <c r="FS81" s="4">
        <f t="shared" si="165"/>
        <v>31.98039408232783</v>
      </c>
      <c r="FT81" s="4">
        <f t="shared" si="166"/>
        <v>0</v>
      </c>
      <c r="FU81" s="4">
        <f t="shared" si="167"/>
        <v>0.43044643306854802</v>
      </c>
      <c r="FV81" s="4">
        <f t="shared" si="168"/>
        <v>0.20795028974556745</v>
      </c>
      <c r="FW81" s="4">
        <f t="shared" si="169"/>
        <v>0</v>
      </c>
      <c r="FX81" s="4">
        <f t="shared" si="170"/>
        <v>0.93879478619578205</v>
      </c>
      <c r="FY81" s="4">
        <f t="shared" si="171"/>
        <v>3.2251479705919808</v>
      </c>
      <c r="FZ81" s="4">
        <f t="shared" si="172"/>
        <v>0.98816657845521128</v>
      </c>
      <c r="GA81" s="4">
        <f t="shared" si="173"/>
        <v>1.8347969290986408</v>
      </c>
      <c r="GB81" s="4">
        <f t="shared" si="174"/>
        <v>0.71546988623225483</v>
      </c>
      <c r="GC81" s="4">
        <f t="shared" si="175"/>
        <v>0</v>
      </c>
      <c r="GD81" s="4">
        <f t="shared" si="176"/>
        <v>0.98278336775642139</v>
      </c>
      <c r="GE81" s="4">
        <f t="shared" si="177"/>
        <v>0</v>
      </c>
      <c r="GF81" s="4">
        <f t="shared" si="178"/>
        <v>0</v>
      </c>
      <c r="GG81" s="4">
        <f t="shared" si="179"/>
        <v>18.608479492638036</v>
      </c>
      <c r="GH81" s="4">
        <f t="shared" si="180"/>
        <v>12.784642850715558</v>
      </c>
      <c r="GI81" s="4">
        <f t="shared" si="181"/>
        <v>285.49079659579269</v>
      </c>
      <c r="GJ81" s="4">
        <f t="shared" si="182"/>
        <v>2219.409168240782</v>
      </c>
      <c r="GK81" s="4">
        <f t="shared" si="183"/>
        <v>904.47317158681778</v>
      </c>
      <c r="GL81" s="4">
        <f t="shared" si="184"/>
        <v>7.1907282928856295</v>
      </c>
      <c r="GM81" s="4">
        <f t="shared" si="185"/>
        <v>0</v>
      </c>
      <c r="GN81" s="4">
        <f t="shared" si="186"/>
        <v>7.2643552692425076E-2</v>
      </c>
      <c r="GO81" s="4">
        <f t="shared" si="187"/>
        <v>0.36626559319762969</v>
      </c>
      <c r="GP81" s="4">
        <f t="shared" si="188"/>
        <v>0</v>
      </c>
      <c r="GQ81" s="27">
        <f t="shared" si="189"/>
        <v>254539.600518922</v>
      </c>
      <c r="GR81" s="28" t="str">
        <f t="shared" si="190"/>
        <v/>
      </c>
      <c r="GS81" s="28" t="str">
        <f t="shared" si="191"/>
        <v/>
      </c>
      <c r="GT81" s="28" t="str">
        <f t="shared" si="192"/>
        <v/>
      </c>
      <c r="GU81" s="28" t="str">
        <f t="shared" si="193"/>
        <v/>
      </c>
      <c r="GV81" s="28" t="str">
        <f t="shared" si="194"/>
        <v/>
      </c>
      <c r="GW81" s="28" t="str">
        <f t="shared" si="195"/>
        <v/>
      </c>
      <c r="GX81" s="28" t="str">
        <f t="shared" si="196"/>
        <v/>
      </c>
      <c r="GY81" s="28" t="str">
        <f t="shared" si="197"/>
        <v/>
      </c>
      <c r="GZ81" s="28" t="str">
        <f t="shared" si="198"/>
        <v/>
      </c>
      <c r="HA81" s="28" t="str">
        <f t="shared" si="199"/>
        <v/>
      </c>
      <c r="HB81" s="28" t="str">
        <f t="shared" si="200"/>
        <v/>
      </c>
      <c r="HC81" s="28" t="str">
        <f t="shared" si="201"/>
        <v/>
      </c>
      <c r="HD81" s="28" t="str">
        <f t="shared" si="202"/>
        <v/>
      </c>
      <c r="HE81" s="28" t="str">
        <f t="shared" si="203"/>
        <v/>
      </c>
      <c r="HF81" s="28" t="str">
        <f t="shared" si="204"/>
        <v/>
      </c>
      <c r="HG81" s="28" t="str">
        <f t="shared" si="205"/>
        <v/>
      </c>
      <c r="HH81" s="28" t="str">
        <f t="shared" si="206"/>
        <v/>
      </c>
      <c r="HI81" s="28" t="str">
        <f t="shared" si="207"/>
        <v/>
      </c>
      <c r="HJ81" s="28" t="str">
        <f t="shared" si="208"/>
        <v/>
      </c>
      <c r="HK81" s="28" t="str">
        <f t="shared" si="209"/>
        <v/>
      </c>
      <c r="HL81" s="28" t="str">
        <f t="shared" si="210"/>
        <v/>
      </c>
      <c r="HM81" s="28" t="str">
        <f t="shared" si="211"/>
        <v/>
      </c>
      <c r="HN81" s="28" t="str">
        <f t="shared" si="212"/>
        <v/>
      </c>
      <c r="HO81" s="28" t="str">
        <f t="shared" si="213"/>
        <v/>
      </c>
      <c r="HP81" s="28" t="str">
        <f t="shared" si="214"/>
        <v/>
      </c>
      <c r="HQ81" s="28" t="str">
        <f t="shared" si="215"/>
        <v/>
      </c>
      <c r="HR81" s="28" t="str">
        <f t="shared" si="216"/>
        <v/>
      </c>
      <c r="HT81" s="4">
        <f>IFERROR(GR81/'McDonough &amp; Sun 1995 values'!C$2,)</f>
        <v>0</v>
      </c>
      <c r="HU81" s="4">
        <f>IFERROR(GS81/'McDonough &amp; Sun 1995 values'!D$2,)</f>
        <v>0</v>
      </c>
      <c r="HV81" s="4">
        <f>IFERROR(GT81/'McDonough &amp; Sun 1995 values'!E$2,)</f>
        <v>0</v>
      </c>
      <c r="HW81" s="4">
        <f>IFERROR(GU81/'McDonough &amp; Sun 1995 values'!F$2,)</f>
        <v>0</v>
      </c>
      <c r="HX81" s="4">
        <f>IFERROR(GV81/'McDonough &amp; Sun 1995 values'!G$2,)</f>
        <v>0</v>
      </c>
      <c r="HY81" s="4">
        <f>IFERROR(GW81/'McDonough &amp; Sun 1995 values'!H$2,)</f>
        <v>0</v>
      </c>
      <c r="HZ81" s="4">
        <f>IFERROR(GX81/'McDonough &amp; Sun 1995 values'!I$2,)</f>
        <v>0</v>
      </c>
      <c r="IA81" s="4">
        <f>IFERROR(GY81/'McDonough &amp; Sun 1995 values'!J$2,)</f>
        <v>0</v>
      </c>
      <c r="IB81" s="4">
        <f>IFERROR(GZ81/'McDonough &amp; Sun 1995 values'!K$2,)</f>
        <v>0</v>
      </c>
      <c r="IC81" s="4">
        <f>IFERROR(HA81/'McDonough &amp; Sun 1995 values'!L$2,)</f>
        <v>0</v>
      </c>
      <c r="ID81" s="4">
        <f>IFERROR(HB81/'McDonough &amp; Sun 1995 values'!M$2,)</f>
        <v>0</v>
      </c>
      <c r="IE81" s="4">
        <f>IFERROR(HC81/'McDonough &amp; Sun 1995 values'!N$2,)</f>
        <v>0</v>
      </c>
      <c r="IF81" s="4">
        <f>IFERROR(HD81/'McDonough &amp; Sun 1995 values'!O$2,)</f>
        <v>0</v>
      </c>
      <c r="IG81" s="4">
        <f>IFERROR(HE81/'McDonough &amp; Sun 1995 values'!P$2,)</f>
        <v>0</v>
      </c>
      <c r="IH81" s="4">
        <f>IFERROR(HF81/'McDonough &amp; Sun 1995 values'!Q$2,)</f>
        <v>0</v>
      </c>
      <c r="II81" s="4">
        <f>IFERROR(HG81/'McDonough &amp; Sun 1995 values'!R$2,)</f>
        <v>0</v>
      </c>
      <c r="IJ81" s="4">
        <f>IFERROR(HH81/'McDonough &amp; Sun 1995 values'!S$2,)</f>
        <v>0</v>
      </c>
      <c r="IK81" s="4">
        <f>IFERROR(HI81/'McDonough &amp; Sun 1995 values'!T$2,)</f>
        <v>0</v>
      </c>
      <c r="IL81" s="4">
        <f>IFERROR(HJ81/'McDonough &amp; Sun 1995 values'!U$2,)</f>
        <v>0</v>
      </c>
      <c r="IM81" s="4">
        <f>IFERROR(HK81/'McDonough &amp; Sun 1995 values'!V$2,)</f>
        <v>0</v>
      </c>
      <c r="IN81" s="4">
        <f>IFERROR(HL81/'McDonough &amp; Sun 1995 values'!W$2,)</f>
        <v>0</v>
      </c>
      <c r="IO81" s="4">
        <f>IFERROR(HM81/'McDonough &amp; Sun 1995 values'!X$2,)</f>
        <v>0</v>
      </c>
      <c r="IP81" s="4">
        <f>IFERROR(HN81/'McDonough &amp; Sun 1995 values'!Y$2,)</f>
        <v>0</v>
      </c>
      <c r="IQ81" s="4">
        <f>IFERROR(HO81/'McDonough &amp; Sun 1995 values'!Z$2,)</f>
        <v>0</v>
      </c>
      <c r="IR81" s="4">
        <f>IFERROR(HP81/'McDonough &amp; Sun 1995 values'!AA$2,)</f>
        <v>0</v>
      </c>
      <c r="IS81" s="4">
        <f>IFERROR(HQ81/'McDonough &amp; Sun 1995 values'!AB$2,)</f>
        <v>0</v>
      </c>
      <c r="IT81" s="4">
        <f>IFERROR(HR81/'McDonough &amp; Sun 1995 values'!AC$2,)</f>
        <v>0</v>
      </c>
    </row>
    <row r="82" spans="1:254">
      <c r="A82" s="16" t="s">
        <v>1656</v>
      </c>
      <c r="B82" s="4" t="s">
        <v>24</v>
      </c>
      <c r="C82" s="16" t="str">
        <f t="shared" si="144"/>
        <v>high-Mg carbonatitic</v>
      </c>
      <c r="D82" s="4" t="s">
        <v>1706</v>
      </c>
      <c r="E82" s="4" t="s">
        <v>237</v>
      </c>
      <c r="F82" s="4" t="s">
        <v>849</v>
      </c>
      <c r="G82" s="4" t="s">
        <v>595</v>
      </c>
      <c r="H82" s="49">
        <v>364</v>
      </c>
      <c r="I82" s="4" t="s">
        <v>1148</v>
      </c>
      <c r="J82" s="4" t="s">
        <v>635</v>
      </c>
      <c r="K82" s="4" t="s">
        <v>1678</v>
      </c>
      <c r="M82" s="4" t="s">
        <v>1690</v>
      </c>
      <c r="N82" s="4">
        <v>26</v>
      </c>
      <c r="O82" s="4">
        <v>7.77</v>
      </c>
      <c r="P82" s="4">
        <v>0.45</v>
      </c>
      <c r="R82" s="4">
        <v>1.1000000000000001</v>
      </c>
      <c r="S82" s="4">
        <v>6.58</v>
      </c>
      <c r="T82" s="4">
        <v>22.2</v>
      </c>
      <c r="V82" s="4">
        <v>12.7</v>
      </c>
      <c r="W82" s="4">
        <v>15.9</v>
      </c>
      <c r="X82" s="4">
        <v>21.2</v>
      </c>
      <c r="Z82" s="4">
        <v>7.97</v>
      </c>
      <c r="AB82" s="4">
        <v>0.15</v>
      </c>
      <c r="AD82" s="4">
        <v>4.03</v>
      </c>
      <c r="AJ82" s="26">
        <f t="shared" si="145"/>
        <v>100.05000000000001</v>
      </c>
      <c r="AK82" s="26">
        <f t="shared" si="147"/>
        <v>7.83671058975305</v>
      </c>
      <c r="AL82" s="26">
        <f t="shared" si="148"/>
        <v>0.45386354766909559</v>
      </c>
      <c r="AM82" s="26">
        <f t="shared" si="149"/>
        <v>1.1094442276355672</v>
      </c>
      <c r="AN82" s="26">
        <f t="shared" si="150"/>
        <v>6.6364936525836633</v>
      </c>
      <c r="AO82" s="26">
        <f t="shared" si="151"/>
        <v>22.390601685008715</v>
      </c>
      <c r="AP82" s="26">
        <f t="shared" si="152"/>
        <v>12.809037900883364</v>
      </c>
      <c r="AQ82" s="26">
        <f t="shared" si="153"/>
        <v>0.15128784922303185</v>
      </c>
      <c r="AR82" s="26">
        <f t="shared" si="154"/>
        <v>16.036512017641378</v>
      </c>
      <c r="AS82" s="26">
        <f t="shared" si="155"/>
        <v>21.382016023521835</v>
      </c>
      <c r="AT82" s="26">
        <f t="shared" si="156"/>
        <v>8.0384277220504252</v>
      </c>
      <c r="AU82" s="26">
        <f t="shared" si="157"/>
        <v>4.0646002157921224</v>
      </c>
      <c r="AV82" s="26">
        <f t="shared" si="146"/>
        <v>100.90899543176225</v>
      </c>
      <c r="BB82" s="26">
        <v>0.14000000000000001</v>
      </c>
      <c r="BC82" s="26">
        <f t="shared" si="158"/>
        <v>0.14000000000000001</v>
      </c>
      <c r="BD82" s="26">
        <f t="shared" si="159"/>
        <v>0.86</v>
      </c>
      <c r="BE82" s="4">
        <v>-6.0593791542146915</v>
      </c>
      <c r="BG82" s="4">
        <v>716.36249999999995</v>
      </c>
      <c r="BH82" s="4">
        <v>22.403651321866015</v>
      </c>
      <c r="BL82" s="26"/>
      <c r="BT82" s="44">
        <v>2469.5825647384881</v>
      </c>
      <c r="CI82" s="44">
        <v>11516.471964017855</v>
      </c>
      <c r="CJ82" s="44">
        <v>25.752700206218165</v>
      </c>
      <c r="CK82" s="44">
        <v>509.05229898395731</v>
      </c>
      <c r="CM82" s="44">
        <v>1783.5460651636106</v>
      </c>
      <c r="CS82" s="44">
        <v>28895.229430331652</v>
      </c>
      <c r="CU82" s="44">
        <v>2105.1779553077995</v>
      </c>
      <c r="CV82" s="44">
        <v>2885.0747536573663</v>
      </c>
      <c r="CW82" s="44">
        <v>273.31209392401132</v>
      </c>
      <c r="CX82" s="44">
        <v>1026.0325375509435</v>
      </c>
      <c r="CY82" s="44">
        <v>85.592863401248536</v>
      </c>
      <c r="CZ82" s="44">
        <v>22.675906223295694</v>
      </c>
      <c r="DA82" s="44">
        <v>56.235035034213013</v>
      </c>
      <c r="DB82" s="44">
        <v>35.463629317143621</v>
      </c>
      <c r="DC82" s="44">
        <v>9.0219754007268804</v>
      </c>
      <c r="DD82" s="44">
        <v>14.939390207671668</v>
      </c>
      <c r="DF82" s="44">
        <v>9.8266318693383976</v>
      </c>
      <c r="DG82" s="44">
        <v>1.5129887091396141</v>
      </c>
      <c r="DH82" s="44">
        <v>20.760545042658904</v>
      </c>
      <c r="DI82" s="44">
        <v>106.38825635356068</v>
      </c>
      <c r="DK82" s="44">
        <v>146.78559275611926</v>
      </c>
      <c r="DL82" s="44">
        <v>325.69153412658756</v>
      </c>
      <c r="DM82" s="44">
        <v>50.000483263098964</v>
      </c>
      <c r="DN82" s="44">
        <v>13.34934872958458</v>
      </c>
      <c r="EL82" s="18">
        <f>IFERROR(CR82/'McDonough &amp; Sun 1995 values'!C$2,)</f>
        <v>0</v>
      </c>
      <c r="EM82" s="18">
        <f>IFERROR(CH82/'McDonough &amp; Sun 1995 values'!D$2,)</f>
        <v>0</v>
      </c>
      <c r="EN82" s="18">
        <f>IFERROR(CS82/'McDonough &amp; Sun 1995 values'!E$2,)</f>
        <v>4378.0650652017657</v>
      </c>
      <c r="EO82" s="18">
        <f>IFERROR(DL82/'McDonough &amp; Sun 1995 values'!F$2,)</f>
        <v>4096.7488569382085</v>
      </c>
      <c r="EP82" s="18">
        <f>IFERROR(DM82/'McDonough &amp; Sun 1995 values'!G$2,)</f>
        <v>2463.0779932561068</v>
      </c>
      <c r="EQ82" s="18">
        <f>IFERROR(BR82/'McDonough &amp; Sun 1995 values'!H$2,)</f>
        <v>0</v>
      </c>
      <c r="ER82" s="18">
        <f>IFERROR(DI82/'McDonough &amp; Sun 1995 values'!I$2,)</f>
        <v>2875.3582798259645</v>
      </c>
      <c r="ES82" s="18">
        <f>IFERROR(CM82/'McDonough &amp; Sun 1995 values'!J$2,)</f>
        <v>2710.5563300358822</v>
      </c>
      <c r="ET82" s="18">
        <f>IFERROR(CU82/'McDonough &amp; Sun 1995 values'!K$2,)</f>
        <v>3248.7314125120361</v>
      </c>
      <c r="EU82" s="18">
        <f>IFERROR(CV82/'McDonough &amp; Sun 1995 values'!L$2,)</f>
        <v>1722.4326887506663</v>
      </c>
      <c r="EV82" s="18">
        <f>IFERROR(CW82/'McDonough &amp; Sun 1995 values'!M$2,)</f>
        <v>1076.0318658425642</v>
      </c>
      <c r="EW82" s="18">
        <f>IFERROR(CI82/'McDonough &amp; Sun 1995 values'!N$2,)</f>
        <v>578.71718412150028</v>
      </c>
      <c r="EX82" s="18">
        <f>IFERROR(CX82/'McDonough &amp; Sun 1995 values'!O$2,)</f>
        <v>820.82603004075486</v>
      </c>
      <c r="EY82" s="18">
        <f>IFERROR(CY82/'McDonough &amp; Sun 1995 values'!P$2,)</f>
        <v>210.81986059420819</v>
      </c>
      <c r="EZ82" s="18">
        <f>IFERROR(DH82/'McDonough &amp; Sun 1995 values'!Q$2,)</f>
        <v>73.358816405155153</v>
      </c>
      <c r="FA82" s="18">
        <f>IFERROR(CK82/'McDonough &amp; Sun 1995 values'!R$2,)</f>
        <v>48.481171331805456</v>
      </c>
      <c r="FB82" s="18">
        <f>IFERROR(CZ82/'McDonough &amp; Sun 1995 values'!S$2,)</f>
        <v>147.24614430711489</v>
      </c>
      <c r="FC82" s="18">
        <f>IFERROR(BT82/'McDonough &amp; Sun 1995 values'!T$2,)</f>
        <v>2.0494461118161729</v>
      </c>
      <c r="FD82" s="18">
        <f>IFERROR(DA82/'McDonough &amp; Sun 1995 values'!U$2,)</f>
        <v>103.37322616583273</v>
      </c>
      <c r="FE82" s="18">
        <f>IFERROR(DN82/'McDonough &amp; Sun 1995 values'!V$2,)</f>
        <v>134.8419063594402</v>
      </c>
      <c r="FF82" s="18">
        <f>IFERROR(DB82/'McDonough &amp; Sun 1995 values'!W$2,)</f>
        <v>52.616660707928219</v>
      </c>
      <c r="FG82" s="18">
        <f>IFERROR(CJ82/'McDonough &amp; Sun 1995 values'!X$2,)</f>
        <v>5.9890000479577132</v>
      </c>
      <c r="FH82" s="18">
        <f>IFERROR(DC82/'McDonough &amp; Sun 1995 values'!Y$2,)</f>
        <v>60.550170474677053</v>
      </c>
      <c r="FI82" s="18">
        <f>IFERROR(DD82/'McDonough &amp; Sun 1995 values'!Z$2,)</f>
        <v>34.108196821168193</v>
      </c>
      <c r="FJ82" s="18">
        <f>IFERROR(DE82/'McDonough &amp; Sun 1995 values'!AA$2,)</f>
        <v>0</v>
      </c>
      <c r="FK82" s="18">
        <f>IFERROR(DF82/'McDonough &amp; Sun 1995 values'!AB$2,)</f>
        <v>22.282611948613145</v>
      </c>
      <c r="FL82" s="18">
        <f>IFERROR(DG82/'McDonough &amp; Sun 1995 values'!AC$2,)</f>
        <v>22.414647542809096</v>
      </c>
      <c r="FN82" s="28">
        <f t="shared" si="160"/>
        <v>0</v>
      </c>
      <c r="FO82" s="4">
        <f t="shared" si="161"/>
        <v>1.7774772366887619</v>
      </c>
      <c r="FP82" s="4">
        <f t="shared" si="162"/>
        <v>1.5114051722673389</v>
      </c>
      <c r="FQ82" s="4">
        <f t="shared" si="163"/>
        <v>1.6632639600349981</v>
      </c>
      <c r="FR82" s="4">
        <f t="shared" si="164"/>
        <v>1.1985478318648444</v>
      </c>
      <c r="FS82" s="4">
        <f t="shared" si="165"/>
        <v>1.1298527335900104</v>
      </c>
      <c r="FT82" s="4">
        <f t="shared" si="166"/>
        <v>0</v>
      </c>
      <c r="FU82" s="4">
        <f t="shared" si="167"/>
        <v>1.060800046087919</v>
      </c>
      <c r="FV82" s="4">
        <f t="shared" si="168"/>
        <v>0.22996491504718017</v>
      </c>
      <c r="FW82" s="4">
        <f t="shared" si="169"/>
        <v>0.66087722931689141</v>
      </c>
      <c r="FX82" s="4">
        <f t="shared" si="170"/>
        <v>0.93729716223559911</v>
      </c>
      <c r="FY82" s="4">
        <f t="shared" si="171"/>
        <v>0.61578378917384857</v>
      </c>
      <c r="FZ82" s="4">
        <f t="shared" si="172"/>
        <v>0.99743392475641268</v>
      </c>
      <c r="GA82" s="4">
        <f t="shared" si="173"/>
        <v>0.53782532143539064</v>
      </c>
      <c r="GB82" s="4">
        <f t="shared" si="174"/>
        <v>0.69844531673672949</v>
      </c>
      <c r="GC82" s="4">
        <f t="shared" si="175"/>
        <v>0</v>
      </c>
      <c r="GD82" s="4">
        <f t="shared" si="176"/>
        <v>1.0686681605554422</v>
      </c>
      <c r="GE82" s="4">
        <f t="shared" si="177"/>
        <v>0</v>
      </c>
      <c r="GF82" s="4">
        <f t="shared" si="178"/>
        <v>0</v>
      </c>
      <c r="GG82" s="4">
        <f t="shared" si="179"/>
        <v>1.6151905853009183</v>
      </c>
      <c r="GH82" s="4">
        <f t="shared" si="180"/>
        <v>3.0191776987646968</v>
      </c>
      <c r="GI82" s="4">
        <f t="shared" si="181"/>
        <v>15.409987481043272</v>
      </c>
      <c r="GJ82" s="4">
        <f t="shared" si="182"/>
        <v>61.743397790778481</v>
      </c>
      <c r="GK82" s="4">
        <f t="shared" si="183"/>
        <v>145.79670552106145</v>
      </c>
      <c r="GL82" s="4">
        <f t="shared" si="184"/>
        <v>23.655743399294622</v>
      </c>
      <c r="GM82" s="4">
        <f t="shared" si="185"/>
        <v>0</v>
      </c>
      <c r="GN82" s="4">
        <f t="shared" si="186"/>
        <v>0.83434300527170469</v>
      </c>
      <c r="GO82" s="4">
        <f t="shared" si="187"/>
        <v>1.1004752336131336</v>
      </c>
      <c r="GP82" s="4">
        <f t="shared" si="188"/>
        <v>0</v>
      </c>
      <c r="GQ82" s="27">
        <f t="shared" si="189"/>
        <v>177500.09151036706</v>
      </c>
      <c r="GR82" s="28" t="str">
        <f t="shared" si="190"/>
        <v/>
      </c>
      <c r="GS82" s="28" t="str">
        <f t="shared" si="191"/>
        <v/>
      </c>
      <c r="GT82" s="28" t="str">
        <f t="shared" si="192"/>
        <v/>
      </c>
      <c r="GU82" s="28" t="str">
        <f t="shared" si="193"/>
        <v/>
      </c>
      <c r="GV82" s="28" t="str">
        <f t="shared" si="194"/>
        <v/>
      </c>
      <c r="GW82" s="28" t="str">
        <f t="shared" si="195"/>
        <v/>
      </c>
      <c r="GX82" s="28" t="str">
        <f t="shared" si="196"/>
        <v/>
      </c>
      <c r="GY82" s="28" t="str">
        <f t="shared" si="197"/>
        <v/>
      </c>
      <c r="GZ82" s="28" t="str">
        <f t="shared" si="198"/>
        <v/>
      </c>
      <c r="HA82" s="28" t="str">
        <f t="shared" si="199"/>
        <v/>
      </c>
      <c r="HB82" s="28" t="str">
        <f t="shared" si="200"/>
        <v/>
      </c>
      <c r="HC82" s="28" t="str">
        <f t="shared" si="201"/>
        <v/>
      </c>
      <c r="HD82" s="28" t="str">
        <f t="shared" si="202"/>
        <v/>
      </c>
      <c r="HE82" s="28" t="str">
        <f t="shared" si="203"/>
        <v/>
      </c>
      <c r="HF82" s="28" t="str">
        <f t="shared" si="204"/>
        <v/>
      </c>
      <c r="HG82" s="28" t="str">
        <f t="shared" si="205"/>
        <v/>
      </c>
      <c r="HH82" s="28" t="str">
        <f t="shared" si="206"/>
        <v/>
      </c>
      <c r="HI82" s="28" t="str">
        <f t="shared" si="207"/>
        <v/>
      </c>
      <c r="HJ82" s="28" t="str">
        <f t="shared" si="208"/>
        <v/>
      </c>
      <c r="HK82" s="28" t="str">
        <f t="shared" si="209"/>
        <v/>
      </c>
      <c r="HL82" s="28" t="str">
        <f t="shared" si="210"/>
        <v/>
      </c>
      <c r="HM82" s="28" t="str">
        <f t="shared" si="211"/>
        <v/>
      </c>
      <c r="HN82" s="28" t="str">
        <f t="shared" si="212"/>
        <v/>
      </c>
      <c r="HO82" s="28" t="str">
        <f t="shared" si="213"/>
        <v/>
      </c>
      <c r="HP82" s="28" t="str">
        <f t="shared" si="214"/>
        <v/>
      </c>
      <c r="HQ82" s="28" t="str">
        <f t="shared" si="215"/>
        <v/>
      </c>
      <c r="HR82" s="28" t="str">
        <f t="shared" si="216"/>
        <v/>
      </c>
      <c r="HT82" s="4">
        <f>IFERROR(GR82/'McDonough &amp; Sun 1995 values'!C$2,)</f>
        <v>0</v>
      </c>
      <c r="HU82" s="4">
        <f>IFERROR(GS82/'McDonough &amp; Sun 1995 values'!D$2,)</f>
        <v>0</v>
      </c>
      <c r="HV82" s="4">
        <f>IFERROR(GT82/'McDonough &amp; Sun 1995 values'!E$2,)</f>
        <v>0</v>
      </c>
      <c r="HW82" s="4">
        <f>IFERROR(GU82/'McDonough &amp; Sun 1995 values'!F$2,)</f>
        <v>0</v>
      </c>
      <c r="HX82" s="4">
        <f>IFERROR(GV82/'McDonough &amp; Sun 1995 values'!G$2,)</f>
        <v>0</v>
      </c>
      <c r="HY82" s="4">
        <f>IFERROR(GW82/'McDonough &amp; Sun 1995 values'!H$2,)</f>
        <v>0</v>
      </c>
      <c r="HZ82" s="4">
        <f>IFERROR(GX82/'McDonough &amp; Sun 1995 values'!I$2,)</f>
        <v>0</v>
      </c>
      <c r="IA82" s="4">
        <f>IFERROR(GY82/'McDonough &amp; Sun 1995 values'!J$2,)</f>
        <v>0</v>
      </c>
      <c r="IB82" s="4">
        <f>IFERROR(GZ82/'McDonough &amp; Sun 1995 values'!K$2,)</f>
        <v>0</v>
      </c>
      <c r="IC82" s="4">
        <f>IFERROR(HA82/'McDonough &amp; Sun 1995 values'!L$2,)</f>
        <v>0</v>
      </c>
      <c r="ID82" s="4">
        <f>IFERROR(HB82/'McDonough &amp; Sun 1995 values'!M$2,)</f>
        <v>0</v>
      </c>
      <c r="IE82" s="4">
        <f>IFERROR(HC82/'McDonough &amp; Sun 1995 values'!N$2,)</f>
        <v>0</v>
      </c>
      <c r="IF82" s="4">
        <f>IFERROR(HD82/'McDonough &amp; Sun 1995 values'!O$2,)</f>
        <v>0</v>
      </c>
      <c r="IG82" s="4">
        <f>IFERROR(HE82/'McDonough &amp; Sun 1995 values'!P$2,)</f>
        <v>0</v>
      </c>
      <c r="IH82" s="4">
        <f>IFERROR(HF82/'McDonough &amp; Sun 1995 values'!Q$2,)</f>
        <v>0</v>
      </c>
      <c r="II82" s="4">
        <f>IFERROR(HG82/'McDonough &amp; Sun 1995 values'!R$2,)</f>
        <v>0</v>
      </c>
      <c r="IJ82" s="4">
        <f>IFERROR(HH82/'McDonough &amp; Sun 1995 values'!S$2,)</f>
        <v>0</v>
      </c>
      <c r="IK82" s="4">
        <f>IFERROR(HI82/'McDonough &amp; Sun 1995 values'!T$2,)</f>
        <v>0</v>
      </c>
      <c r="IL82" s="4">
        <f>IFERROR(HJ82/'McDonough &amp; Sun 1995 values'!U$2,)</f>
        <v>0</v>
      </c>
      <c r="IM82" s="4">
        <f>IFERROR(HK82/'McDonough &amp; Sun 1995 values'!V$2,)</f>
        <v>0</v>
      </c>
      <c r="IN82" s="4">
        <f>IFERROR(HL82/'McDonough &amp; Sun 1995 values'!W$2,)</f>
        <v>0</v>
      </c>
      <c r="IO82" s="4">
        <f>IFERROR(HM82/'McDonough &amp; Sun 1995 values'!X$2,)</f>
        <v>0</v>
      </c>
      <c r="IP82" s="4">
        <f>IFERROR(HN82/'McDonough &amp; Sun 1995 values'!Y$2,)</f>
        <v>0</v>
      </c>
      <c r="IQ82" s="4">
        <f>IFERROR(HO82/'McDonough &amp; Sun 1995 values'!Z$2,)</f>
        <v>0</v>
      </c>
      <c r="IR82" s="4">
        <f>IFERROR(HP82/'McDonough &amp; Sun 1995 values'!AA$2,)</f>
        <v>0</v>
      </c>
      <c r="IS82" s="4">
        <f>IFERROR(HQ82/'McDonough &amp; Sun 1995 values'!AB$2,)</f>
        <v>0</v>
      </c>
      <c r="IT82" s="4">
        <f>IFERROR(HR82/'McDonough &amp; Sun 1995 values'!AC$2,)</f>
        <v>0</v>
      </c>
    </row>
    <row r="83" spans="1:254">
      <c r="A83" s="16" t="s">
        <v>1656</v>
      </c>
      <c r="B83" s="4" t="s">
        <v>24</v>
      </c>
      <c r="C83" s="16" t="str">
        <f t="shared" si="144"/>
        <v>high-Mg carbonatitic</v>
      </c>
      <c r="D83" s="4" t="s">
        <v>1706</v>
      </c>
      <c r="E83" s="4" t="s">
        <v>237</v>
      </c>
      <c r="F83" s="4" t="s">
        <v>849</v>
      </c>
      <c r="G83" s="4" t="s">
        <v>595</v>
      </c>
      <c r="H83" s="49">
        <v>364</v>
      </c>
      <c r="I83" s="4" t="s">
        <v>1148</v>
      </c>
      <c r="J83" s="4" t="s">
        <v>635</v>
      </c>
      <c r="K83" s="4" t="s">
        <v>1678</v>
      </c>
      <c r="M83" s="4" t="s">
        <v>1691</v>
      </c>
      <c r="N83" s="4">
        <v>21</v>
      </c>
      <c r="O83" s="4">
        <v>6.6</v>
      </c>
      <c r="P83" s="4">
        <v>0.19</v>
      </c>
      <c r="R83" s="4">
        <v>1.3</v>
      </c>
      <c r="S83" s="4">
        <v>6.05</v>
      </c>
      <c r="T83" s="4">
        <v>27.4</v>
      </c>
      <c r="V83" s="4">
        <v>25.2</v>
      </c>
      <c r="W83" s="4">
        <v>11</v>
      </c>
      <c r="X83" s="4">
        <v>16.5</v>
      </c>
      <c r="Z83" s="4">
        <v>4.38</v>
      </c>
      <c r="AA83" s="4">
        <v>0.38</v>
      </c>
      <c r="AB83" s="4">
        <v>0</v>
      </c>
      <c r="AD83" s="4">
        <v>1.01</v>
      </c>
      <c r="AJ83" s="26">
        <f t="shared" si="145"/>
        <v>99.63</v>
      </c>
      <c r="AK83" s="26">
        <f t="shared" si="147"/>
        <v>6.6396657891947948</v>
      </c>
      <c r="AL83" s="26">
        <f t="shared" si="148"/>
        <v>0.19114189393136533</v>
      </c>
      <c r="AM83" s="26">
        <f t="shared" si="149"/>
        <v>1.3078129584777629</v>
      </c>
      <c r="AN83" s="26">
        <f t="shared" si="150"/>
        <v>6.086360306761895</v>
      </c>
      <c r="AO83" s="26">
        <f t="shared" si="151"/>
        <v>27.564673124838997</v>
      </c>
      <c r="AP83" s="26">
        <f t="shared" si="152"/>
        <v>25.351451195107401</v>
      </c>
      <c r="AQ83" s="26">
        <f t="shared" si="153"/>
        <v>0</v>
      </c>
      <c r="AR83" s="26">
        <f t="shared" si="154"/>
        <v>11.066109648657992</v>
      </c>
      <c r="AS83" s="26">
        <f t="shared" si="155"/>
        <v>16.599164472986988</v>
      </c>
      <c r="AT83" s="26">
        <f t="shared" si="156"/>
        <v>4.4063236601020002</v>
      </c>
      <c r="AU83" s="26">
        <f t="shared" si="157"/>
        <v>1.0160700677404155</v>
      </c>
      <c r="AV83" s="26">
        <f t="shared" si="146"/>
        <v>100.22877311779961</v>
      </c>
      <c r="BB83" s="26">
        <v>7.0000000000000007E-2</v>
      </c>
      <c r="BC83" s="26">
        <f t="shared" si="158"/>
        <v>7.0000000000000062E-2</v>
      </c>
      <c r="BD83" s="26">
        <f t="shared" si="159"/>
        <v>0.92999999999999994</v>
      </c>
      <c r="BG83" s="4">
        <v>572.59860000000003</v>
      </c>
      <c r="BH83" s="4">
        <v>40.456455949080492</v>
      </c>
      <c r="BL83" s="26"/>
      <c r="EL83" s="18">
        <f>IFERROR(CR83/'McDonough &amp; Sun 1995 values'!C$2,)</f>
        <v>0</v>
      </c>
      <c r="EM83" s="18">
        <f>IFERROR(CH83/'McDonough &amp; Sun 1995 values'!D$2,)</f>
        <v>0</v>
      </c>
      <c r="EN83" s="18">
        <f>IFERROR(CS83/'McDonough &amp; Sun 1995 values'!E$2,)</f>
        <v>0</v>
      </c>
      <c r="EO83" s="18">
        <f>IFERROR(DL83/'McDonough &amp; Sun 1995 values'!F$2,)</f>
        <v>0</v>
      </c>
      <c r="EP83" s="18">
        <f>IFERROR(DM83/'McDonough &amp; Sun 1995 values'!G$2,)</f>
        <v>0</v>
      </c>
      <c r="EQ83" s="18">
        <f>IFERROR(BR83/'McDonough &amp; Sun 1995 values'!H$2,)</f>
        <v>0</v>
      </c>
      <c r="ER83" s="18">
        <f>IFERROR(DI83/'McDonough &amp; Sun 1995 values'!I$2,)</f>
        <v>0</v>
      </c>
      <c r="ES83" s="18">
        <f>IFERROR(CM83/'McDonough &amp; Sun 1995 values'!J$2,)</f>
        <v>0</v>
      </c>
      <c r="ET83" s="18">
        <f>IFERROR(CU83/'McDonough &amp; Sun 1995 values'!K$2,)</f>
        <v>0</v>
      </c>
      <c r="EU83" s="18">
        <f>IFERROR(CV83/'McDonough &amp; Sun 1995 values'!L$2,)</f>
        <v>0</v>
      </c>
      <c r="EV83" s="18">
        <f>IFERROR(CW83/'McDonough &amp; Sun 1995 values'!M$2,)</f>
        <v>0</v>
      </c>
      <c r="EW83" s="18">
        <f>IFERROR(CI83/'McDonough &amp; Sun 1995 values'!N$2,)</f>
        <v>0</v>
      </c>
      <c r="EX83" s="18">
        <f>IFERROR(CX83/'McDonough &amp; Sun 1995 values'!O$2,)</f>
        <v>0</v>
      </c>
      <c r="EY83" s="18">
        <f>IFERROR(CY83/'McDonough &amp; Sun 1995 values'!P$2,)</f>
        <v>0</v>
      </c>
      <c r="EZ83" s="18">
        <f>IFERROR(DH83/'McDonough &amp; Sun 1995 values'!Q$2,)</f>
        <v>0</v>
      </c>
      <c r="FA83" s="18">
        <f>IFERROR(CK83/'McDonough &amp; Sun 1995 values'!R$2,)</f>
        <v>0</v>
      </c>
      <c r="FB83" s="18">
        <f>IFERROR(CZ83/'McDonough &amp; Sun 1995 values'!S$2,)</f>
        <v>0</v>
      </c>
      <c r="FC83" s="18">
        <f>IFERROR(BT83/'McDonough &amp; Sun 1995 values'!T$2,)</f>
        <v>0</v>
      </c>
      <c r="FD83" s="18">
        <f>IFERROR(DA83/'McDonough &amp; Sun 1995 values'!U$2,)</f>
        <v>0</v>
      </c>
      <c r="FE83" s="18">
        <f>IFERROR(DN83/'McDonough &amp; Sun 1995 values'!V$2,)</f>
        <v>0</v>
      </c>
      <c r="FF83" s="18">
        <f>IFERROR(DB83/'McDonough &amp; Sun 1995 values'!W$2,)</f>
        <v>0</v>
      </c>
      <c r="FG83" s="18">
        <f>IFERROR(CJ83/'McDonough &amp; Sun 1995 values'!X$2,)</f>
        <v>0</v>
      </c>
      <c r="FH83" s="18">
        <f>IFERROR(DC83/'McDonough &amp; Sun 1995 values'!Y$2,)</f>
        <v>0</v>
      </c>
      <c r="FI83" s="18">
        <f>IFERROR(DD83/'McDonough &amp; Sun 1995 values'!Z$2,)</f>
        <v>0</v>
      </c>
      <c r="FJ83" s="18">
        <f>IFERROR(DE83/'McDonough &amp; Sun 1995 values'!AA$2,)</f>
        <v>0</v>
      </c>
      <c r="FK83" s="18">
        <f>IFERROR(DF83/'McDonough &amp; Sun 1995 values'!AB$2,)</f>
        <v>0</v>
      </c>
      <c r="FL83" s="18">
        <f>IFERROR(DG83/'McDonough &amp; Sun 1995 values'!AC$2,)</f>
        <v>0</v>
      </c>
      <c r="FN83" s="28">
        <f t="shared" si="160"/>
        <v>0</v>
      </c>
      <c r="FO83" s="4">
        <f t="shared" si="161"/>
        <v>0</v>
      </c>
      <c r="FP83" s="4">
        <f t="shared" si="162"/>
        <v>0</v>
      </c>
      <c r="FQ83" s="4">
        <f t="shared" si="163"/>
        <v>0</v>
      </c>
      <c r="FR83" s="4">
        <f t="shared" si="164"/>
        <v>0</v>
      </c>
      <c r="FS83" s="4">
        <f t="shared" si="165"/>
        <v>0</v>
      </c>
      <c r="FT83" s="4">
        <f t="shared" si="166"/>
        <v>0</v>
      </c>
      <c r="FU83" s="4">
        <f t="shared" si="167"/>
        <v>0</v>
      </c>
      <c r="FV83" s="4">
        <f t="shared" si="168"/>
        <v>0</v>
      </c>
      <c r="FW83" s="4">
        <f t="shared" si="169"/>
        <v>0</v>
      </c>
      <c r="FX83" s="4">
        <f t="shared" si="170"/>
        <v>0</v>
      </c>
      <c r="FY83" s="4">
        <f t="shared" si="171"/>
        <v>0</v>
      </c>
      <c r="FZ83" s="4">
        <f t="shared" si="172"/>
        <v>0</v>
      </c>
      <c r="GA83" s="4">
        <f t="shared" si="173"/>
        <v>0</v>
      </c>
      <c r="GB83" s="4">
        <f t="shared" si="174"/>
        <v>0</v>
      </c>
      <c r="GC83" s="4">
        <f t="shared" si="175"/>
        <v>0</v>
      </c>
      <c r="GD83" s="4">
        <f t="shared" si="176"/>
        <v>0</v>
      </c>
      <c r="GE83" s="4">
        <f t="shared" si="177"/>
        <v>0</v>
      </c>
      <c r="GF83" s="4">
        <f t="shared" si="178"/>
        <v>0</v>
      </c>
      <c r="GG83" s="4">
        <f t="shared" si="179"/>
        <v>0</v>
      </c>
      <c r="GH83" s="4">
        <f t="shared" si="180"/>
        <v>0</v>
      </c>
      <c r="GI83" s="4">
        <f t="shared" si="181"/>
        <v>0</v>
      </c>
      <c r="GJ83" s="4">
        <f t="shared" si="182"/>
        <v>0</v>
      </c>
      <c r="GK83" s="4">
        <f t="shared" si="183"/>
        <v>0</v>
      </c>
      <c r="GL83" s="4">
        <f t="shared" si="184"/>
        <v>0</v>
      </c>
      <c r="GM83" s="4">
        <f t="shared" si="185"/>
        <v>0</v>
      </c>
      <c r="GN83" s="4">
        <f t="shared" si="186"/>
        <v>0</v>
      </c>
      <c r="GO83" s="4">
        <f t="shared" si="187"/>
        <v>0</v>
      </c>
      <c r="GP83" s="4">
        <f t="shared" si="188"/>
        <v>0</v>
      </c>
      <c r="GQ83" s="27">
        <f t="shared" si="189"/>
        <v>137795.8565604671</v>
      </c>
      <c r="GR83" s="28" t="str">
        <f t="shared" si="190"/>
        <v/>
      </c>
      <c r="GS83" s="28" t="str">
        <f t="shared" si="191"/>
        <v/>
      </c>
      <c r="GT83" s="28" t="str">
        <f t="shared" si="192"/>
        <v/>
      </c>
      <c r="GU83" s="28" t="str">
        <f t="shared" si="193"/>
        <v/>
      </c>
      <c r="GV83" s="28" t="str">
        <f t="shared" si="194"/>
        <v/>
      </c>
      <c r="GW83" s="28" t="str">
        <f t="shared" si="195"/>
        <v/>
      </c>
      <c r="GX83" s="28" t="str">
        <f t="shared" si="196"/>
        <v/>
      </c>
      <c r="GY83" s="28" t="str">
        <f t="shared" si="197"/>
        <v/>
      </c>
      <c r="GZ83" s="28" t="str">
        <f t="shared" si="198"/>
        <v/>
      </c>
      <c r="HA83" s="28" t="str">
        <f t="shared" si="199"/>
        <v/>
      </c>
      <c r="HB83" s="28" t="str">
        <f t="shared" si="200"/>
        <v/>
      </c>
      <c r="HC83" s="28" t="str">
        <f t="shared" si="201"/>
        <v/>
      </c>
      <c r="HD83" s="28" t="str">
        <f t="shared" si="202"/>
        <v/>
      </c>
      <c r="HE83" s="28" t="str">
        <f t="shared" si="203"/>
        <v/>
      </c>
      <c r="HF83" s="28" t="str">
        <f t="shared" si="204"/>
        <v/>
      </c>
      <c r="HG83" s="28" t="str">
        <f t="shared" si="205"/>
        <v/>
      </c>
      <c r="HH83" s="28" t="str">
        <f t="shared" si="206"/>
        <v/>
      </c>
      <c r="HI83" s="28" t="str">
        <f t="shared" si="207"/>
        <v/>
      </c>
      <c r="HJ83" s="28" t="str">
        <f t="shared" si="208"/>
        <v/>
      </c>
      <c r="HK83" s="28" t="str">
        <f t="shared" si="209"/>
        <v/>
      </c>
      <c r="HL83" s="28" t="str">
        <f t="shared" si="210"/>
        <v/>
      </c>
      <c r="HM83" s="28" t="str">
        <f t="shared" si="211"/>
        <v/>
      </c>
      <c r="HN83" s="28" t="str">
        <f t="shared" si="212"/>
        <v/>
      </c>
      <c r="HO83" s="28" t="str">
        <f t="shared" si="213"/>
        <v/>
      </c>
      <c r="HP83" s="28" t="str">
        <f t="shared" si="214"/>
        <v/>
      </c>
      <c r="HQ83" s="28" t="str">
        <f t="shared" si="215"/>
        <v/>
      </c>
      <c r="HR83" s="28" t="str">
        <f t="shared" si="216"/>
        <v/>
      </c>
      <c r="HT83" s="4">
        <f>IFERROR(GR83/'McDonough &amp; Sun 1995 values'!C$2,)</f>
        <v>0</v>
      </c>
      <c r="HU83" s="4">
        <f>IFERROR(GS83/'McDonough &amp; Sun 1995 values'!D$2,)</f>
        <v>0</v>
      </c>
      <c r="HV83" s="4">
        <f>IFERROR(GT83/'McDonough &amp; Sun 1995 values'!E$2,)</f>
        <v>0</v>
      </c>
      <c r="HW83" s="4">
        <f>IFERROR(GU83/'McDonough &amp; Sun 1995 values'!F$2,)</f>
        <v>0</v>
      </c>
      <c r="HX83" s="4">
        <f>IFERROR(GV83/'McDonough &amp; Sun 1995 values'!G$2,)</f>
        <v>0</v>
      </c>
      <c r="HY83" s="4">
        <f>IFERROR(GW83/'McDonough &amp; Sun 1995 values'!H$2,)</f>
        <v>0</v>
      </c>
      <c r="HZ83" s="4">
        <f>IFERROR(GX83/'McDonough &amp; Sun 1995 values'!I$2,)</f>
        <v>0</v>
      </c>
      <c r="IA83" s="4">
        <f>IFERROR(GY83/'McDonough &amp; Sun 1995 values'!J$2,)</f>
        <v>0</v>
      </c>
      <c r="IB83" s="4">
        <f>IFERROR(GZ83/'McDonough &amp; Sun 1995 values'!K$2,)</f>
        <v>0</v>
      </c>
      <c r="IC83" s="4">
        <f>IFERROR(HA83/'McDonough &amp; Sun 1995 values'!L$2,)</f>
        <v>0</v>
      </c>
      <c r="ID83" s="4">
        <f>IFERROR(HB83/'McDonough &amp; Sun 1995 values'!M$2,)</f>
        <v>0</v>
      </c>
      <c r="IE83" s="4">
        <f>IFERROR(HC83/'McDonough &amp; Sun 1995 values'!N$2,)</f>
        <v>0</v>
      </c>
      <c r="IF83" s="4">
        <f>IFERROR(HD83/'McDonough &amp; Sun 1995 values'!O$2,)</f>
        <v>0</v>
      </c>
      <c r="IG83" s="4">
        <f>IFERROR(HE83/'McDonough &amp; Sun 1995 values'!P$2,)</f>
        <v>0</v>
      </c>
      <c r="IH83" s="4">
        <f>IFERROR(HF83/'McDonough &amp; Sun 1995 values'!Q$2,)</f>
        <v>0</v>
      </c>
      <c r="II83" s="4">
        <f>IFERROR(HG83/'McDonough &amp; Sun 1995 values'!R$2,)</f>
        <v>0</v>
      </c>
      <c r="IJ83" s="4">
        <f>IFERROR(HH83/'McDonough &amp; Sun 1995 values'!S$2,)</f>
        <v>0</v>
      </c>
      <c r="IK83" s="4">
        <f>IFERROR(HI83/'McDonough &amp; Sun 1995 values'!T$2,)</f>
        <v>0</v>
      </c>
      <c r="IL83" s="4">
        <f>IFERROR(HJ83/'McDonough &amp; Sun 1995 values'!U$2,)</f>
        <v>0</v>
      </c>
      <c r="IM83" s="4">
        <f>IFERROR(HK83/'McDonough &amp; Sun 1995 values'!V$2,)</f>
        <v>0</v>
      </c>
      <c r="IN83" s="4">
        <f>IFERROR(HL83/'McDonough &amp; Sun 1995 values'!W$2,)</f>
        <v>0</v>
      </c>
      <c r="IO83" s="4">
        <f>IFERROR(HM83/'McDonough &amp; Sun 1995 values'!X$2,)</f>
        <v>0</v>
      </c>
      <c r="IP83" s="4">
        <f>IFERROR(HN83/'McDonough &amp; Sun 1995 values'!Y$2,)</f>
        <v>0</v>
      </c>
      <c r="IQ83" s="4">
        <f>IFERROR(HO83/'McDonough &amp; Sun 1995 values'!Z$2,)</f>
        <v>0</v>
      </c>
      <c r="IR83" s="4">
        <f>IFERROR(HP83/'McDonough &amp; Sun 1995 values'!AA$2,)</f>
        <v>0</v>
      </c>
      <c r="IS83" s="4">
        <f>IFERROR(HQ83/'McDonough &amp; Sun 1995 values'!AB$2,)</f>
        <v>0</v>
      </c>
      <c r="IT83" s="4">
        <f>IFERROR(HR83/'McDonough &amp; Sun 1995 values'!AC$2,)</f>
        <v>0</v>
      </c>
    </row>
    <row r="84" spans="1:254">
      <c r="A84" s="16" t="s">
        <v>1656</v>
      </c>
      <c r="B84" s="4" t="s">
        <v>24</v>
      </c>
      <c r="C84" s="16" t="str">
        <f t="shared" si="144"/>
        <v>high-Mg carbonatitic</v>
      </c>
      <c r="D84" s="4" t="s">
        <v>1706</v>
      </c>
      <c r="E84" s="4" t="s">
        <v>237</v>
      </c>
      <c r="F84" s="4" t="s">
        <v>849</v>
      </c>
      <c r="G84" s="4" t="s">
        <v>595</v>
      </c>
      <c r="H84" s="49">
        <v>364</v>
      </c>
      <c r="I84" s="4" t="s">
        <v>1148</v>
      </c>
      <c r="J84" s="4" t="s">
        <v>635</v>
      </c>
      <c r="K84" s="4" t="s">
        <v>1678</v>
      </c>
      <c r="M84" s="4" t="s">
        <v>1692</v>
      </c>
      <c r="N84" s="4">
        <v>24</v>
      </c>
      <c r="O84" s="4">
        <v>13.1</v>
      </c>
      <c r="R84" s="4">
        <v>3.22</v>
      </c>
      <c r="S84" s="4">
        <v>6.68</v>
      </c>
      <c r="T84" s="4">
        <v>22.2</v>
      </c>
      <c r="V84" s="4">
        <v>10.5</v>
      </c>
      <c r="W84" s="4">
        <v>13.3</v>
      </c>
      <c r="X84" s="4">
        <v>20.399999999999999</v>
      </c>
      <c r="Z84" s="4">
        <v>6.42</v>
      </c>
      <c r="AA84" s="4">
        <v>1.26</v>
      </c>
      <c r="AB84" s="4">
        <v>0.17</v>
      </c>
      <c r="AD84" s="4">
        <v>2.62</v>
      </c>
      <c r="AJ84" s="26">
        <f t="shared" si="145"/>
        <v>98.610000000000014</v>
      </c>
      <c r="AK84" s="26">
        <f t="shared" si="147"/>
        <v>13.364310146589045</v>
      </c>
      <c r="AL84" s="26">
        <f t="shared" si="148"/>
        <v>0</v>
      </c>
      <c r="AM84" s="26">
        <f t="shared" si="149"/>
        <v>3.2849678375585283</v>
      </c>
      <c r="AN84" s="26">
        <f t="shared" si="150"/>
        <v>6.8147779984133443</v>
      </c>
      <c r="AO84" s="26">
        <f t="shared" si="151"/>
        <v>22.647914904906624</v>
      </c>
      <c r="AP84" s="26">
        <f t="shared" si="152"/>
        <v>10.711851644212594</v>
      </c>
      <c r="AQ84" s="26">
        <f t="shared" si="153"/>
        <v>0.17342997900153723</v>
      </c>
      <c r="AR84" s="26">
        <f t="shared" si="154"/>
        <v>13.568345416002618</v>
      </c>
      <c r="AS84" s="26">
        <f t="shared" si="155"/>
        <v>20.811597480184467</v>
      </c>
      <c r="AT84" s="26">
        <f t="shared" si="156"/>
        <v>6.5495321481756994</v>
      </c>
      <c r="AU84" s="26">
        <f t="shared" si="157"/>
        <v>2.6728620293178094</v>
      </c>
      <c r="AV84" s="26">
        <f t="shared" si="146"/>
        <v>100.59958958436228</v>
      </c>
      <c r="BB84" s="26">
        <v>0.1</v>
      </c>
      <c r="BC84" s="26">
        <f t="shared" si="158"/>
        <v>9.9999999999999978E-2</v>
      </c>
      <c r="BD84" s="26">
        <f t="shared" si="159"/>
        <v>0.9</v>
      </c>
      <c r="BG84" s="4">
        <v>421.96466666666663</v>
      </c>
      <c r="BH84" s="4">
        <v>20.953779050475973</v>
      </c>
      <c r="BL84" s="26"/>
      <c r="EL84" s="18">
        <f>IFERROR(CR84/'McDonough &amp; Sun 1995 values'!C$2,)</f>
        <v>0</v>
      </c>
      <c r="EM84" s="18">
        <f>IFERROR(CH84/'McDonough &amp; Sun 1995 values'!D$2,)</f>
        <v>0</v>
      </c>
      <c r="EN84" s="18">
        <f>IFERROR(CS84/'McDonough &amp; Sun 1995 values'!E$2,)</f>
        <v>0</v>
      </c>
      <c r="EO84" s="18">
        <f>IFERROR(DL84/'McDonough &amp; Sun 1995 values'!F$2,)</f>
        <v>0</v>
      </c>
      <c r="EP84" s="18">
        <f>IFERROR(DM84/'McDonough &amp; Sun 1995 values'!G$2,)</f>
        <v>0</v>
      </c>
      <c r="EQ84" s="18">
        <f>IFERROR(BR84/'McDonough &amp; Sun 1995 values'!H$2,)</f>
        <v>0</v>
      </c>
      <c r="ER84" s="18">
        <f>IFERROR(DI84/'McDonough &amp; Sun 1995 values'!I$2,)</f>
        <v>0</v>
      </c>
      <c r="ES84" s="18">
        <f>IFERROR(CM84/'McDonough &amp; Sun 1995 values'!J$2,)</f>
        <v>0</v>
      </c>
      <c r="ET84" s="18">
        <f>IFERROR(CU84/'McDonough &amp; Sun 1995 values'!K$2,)</f>
        <v>0</v>
      </c>
      <c r="EU84" s="18">
        <f>IFERROR(CV84/'McDonough &amp; Sun 1995 values'!L$2,)</f>
        <v>0</v>
      </c>
      <c r="EV84" s="18">
        <f>IFERROR(CW84/'McDonough &amp; Sun 1995 values'!M$2,)</f>
        <v>0</v>
      </c>
      <c r="EW84" s="18">
        <f>IFERROR(CI84/'McDonough &amp; Sun 1995 values'!N$2,)</f>
        <v>0</v>
      </c>
      <c r="EX84" s="18">
        <f>IFERROR(CX84/'McDonough &amp; Sun 1995 values'!O$2,)</f>
        <v>0</v>
      </c>
      <c r="EY84" s="18">
        <f>IFERROR(CY84/'McDonough &amp; Sun 1995 values'!P$2,)</f>
        <v>0</v>
      </c>
      <c r="EZ84" s="18">
        <f>IFERROR(DH84/'McDonough &amp; Sun 1995 values'!Q$2,)</f>
        <v>0</v>
      </c>
      <c r="FA84" s="18">
        <f>IFERROR(CK84/'McDonough &amp; Sun 1995 values'!R$2,)</f>
        <v>0</v>
      </c>
      <c r="FB84" s="18">
        <f>IFERROR(CZ84/'McDonough &amp; Sun 1995 values'!S$2,)</f>
        <v>0</v>
      </c>
      <c r="FC84" s="18">
        <f>IFERROR(BT84/'McDonough &amp; Sun 1995 values'!T$2,)</f>
        <v>0</v>
      </c>
      <c r="FD84" s="18">
        <f>IFERROR(DA84/'McDonough &amp; Sun 1995 values'!U$2,)</f>
        <v>0</v>
      </c>
      <c r="FE84" s="18">
        <f>IFERROR(DN84/'McDonough &amp; Sun 1995 values'!V$2,)</f>
        <v>0</v>
      </c>
      <c r="FF84" s="18">
        <f>IFERROR(DB84/'McDonough &amp; Sun 1995 values'!W$2,)</f>
        <v>0</v>
      </c>
      <c r="FG84" s="18">
        <f>IFERROR(CJ84/'McDonough &amp; Sun 1995 values'!X$2,)</f>
        <v>0</v>
      </c>
      <c r="FH84" s="18">
        <f>IFERROR(DC84/'McDonough &amp; Sun 1995 values'!Y$2,)</f>
        <v>0</v>
      </c>
      <c r="FI84" s="18">
        <f>IFERROR(DD84/'McDonough &amp; Sun 1995 values'!Z$2,)</f>
        <v>0</v>
      </c>
      <c r="FJ84" s="18">
        <f>IFERROR(DE84/'McDonough &amp; Sun 1995 values'!AA$2,)</f>
        <v>0</v>
      </c>
      <c r="FK84" s="18">
        <f>IFERROR(DF84/'McDonough &amp; Sun 1995 values'!AB$2,)</f>
        <v>0</v>
      </c>
      <c r="FL84" s="18">
        <f>IFERROR(DG84/'McDonough &amp; Sun 1995 values'!AC$2,)</f>
        <v>0</v>
      </c>
      <c r="FN84" s="28">
        <f t="shared" si="160"/>
        <v>0</v>
      </c>
      <c r="FO84" s="4">
        <f t="shared" si="161"/>
        <v>0</v>
      </c>
      <c r="FP84" s="4">
        <f t="shared" si="162"/>
        <v>0</v>
      </c>
      <c r="FQ84" s="4">
        <f t="shared" si="163"/>
        <v>0</v>
      </c>
      <c r="FR84" s="4">
        <f t="shared" si="164"/>
        <v>0</v>
      </c>
      <c r="FS84" s="4">
        <f t="shared" si="165"/>
        <v>0</v>
      </c>
      <c r="FT84" s="4">
        <f t="shared" si="166"/>
        <v>0</v>
      </c>
      <c r="FU84" s="4">
        <f t="shared" si="167"/>
        <v>0</v>
      </c>
      <c r="FV84" s="4">
        <f t="shared" si="168"/>
        <v>0</v>
      </c>
      <c r="FW84" s="4">
        <f t="shared" si="169"/>
        <v>0</v>
      </c>
      <c r="FX84" s="4">
        <f t="shared" si="170"/>
        <v>0</v>
      </c>
      <c r="FY84" s="4">
        <f t="shared" si="171"/>
        <v>0</v>
      </c>
      <c r="FZ84" s="4">
        <f t="shared" si="172"/>
        <v>0</v>
      </c>
      <c r="GA84" s="4">
        <f t="shared" si="173"/>
        <v>0</v>
      </c>
      <c r="GB84" s="4">
        <f t="shared" si="174"/>
        <v>0</v>
      </c>
      <c r="GC84" s="4">
        <f t="shared" si="175"/>
        <v>0</v>
      </c>
      <c r="GD84" s="4">
        <f t="shared" si="176"/>
        <v>0</v>
      </c>
      <c r="GE84" s="4">
        <f t="shared" si="177"/>
        <v>0</v>
      </c>
      <c r="GF84" s="4">
        <f t="shared" si="178"/>
        <v>0</v>
      </c>
      <c r="GG84" s="4">
        <f t="shared" si="179"/>
        <v>0</v>
      </c>
      <c r="GH84" s="4">
        <f t="shared" si="180"/>
        <v>0</v>
      </c>
      <c r="GI84" s="4">
        <f t="shared" si="181"/>
        <v>0</v>
      </c>
      <c r="GJ84" s="4">
        <f t="shared" si="182"/>
        <v>0</v>
      </c>
      <c r="GK84" s="4">
        <f t="shared" si="183"/>
        <v>0</v>
      </c>
      <c r="GL84" s="4">
        <f t="shared" si="184"/>
        <v>0</v>
      </c>
      <c r="GM84" s="4">
        <f t="shared" si="185"/>
        <v>0</v>
      </c>
      <c r="GN84" s="4">
        <f t="shared" si="186"/>
        <v>0</v>
      </c>
      <c r="GO84" s="4">
        <f t="shared" si="187"/>
        <v>0</v>
      </c>
      <c r="GP84" s="4">
        <f t="shared" si="188"/>
        <v>0</v>
      </c>
      <c r="GQ84" s="27">
        <f t="shared" si="189"/>
        <v>172764.83438913905</v>
      </c>
      <c r="GR84" s="28" t="str">
        <f t="shared" si="190"/>
        <v/>
      </c>
      <c r="GS84" s="28" t="str">
        <f t="shared" si="191"/>
        <v/>
      </c>
      <c r="GT84" s="28" t="str">
        <f t="shared" si="192"/>
        <v/>
      </c>
      <c r="GU84" s="28" t="str">
        <f t="shared" si="193"/>
        <v/>
      </c>
      <c r="GV84" s="28" t="str">
        <f t="shared" si="194"/>
        <v/>
      </c>
      <c r="GW84" s="28" t="str">
        <f t="shared" si="195"/>
        <v/>
      </c>
      <c r="GX84" s="28" t="str">
        <f t="shared" si="196"/>
        <v/>
      </c>
      <c r="GY84" s="28" t="str">
        <f t="shared" si="197"/>
        <v/>
      </c>
      <c r="GZ84" s="28" t="str">
        <f t="shared" si="198"/>
        <v/>
      </c>
      <c r="HA84" s="28" t="str">
        <f t="shared" si="199"/>
        <v/>
      </c>
      <c r="HB84" s="28" t="str">
        <f t="shared" si="200"/>
        <v/>
      </c>
      <c r="HC84" s="28" t="str">
        <f t="shared" si="201"/>
        <v/>
      </c>
      <c r="HD84" s="28" t="str">
        <f t="shared" si="202"/>
        <v/>
      </c>
      <c r="HE84" s="28" t="str">
        <f t="shared" si="203"/>
        <v/>
      </c>
      <c r="HF84" s="28" t="str">
        <f t="shared" si="204"/>
        <v/>
      </c>
      <c r="HG84" s="28" t="str">
        <f t="shared" si="205"/>
        <v/>
      </c>
      <c r="HH84" s="28" t="str">
        <f t="shared" si="206"/>
        <v/>
      </c>
      <c r="HI84" s="28" t="str">
        <f t="shared" si="207"/>
        <v/>
      </c>
      <c r="HJ84" s="28" t="str">
        <f t="shared" si="208"/>
        <v/>
      </c>
      <c r="HK84" s="28" t="str">
        <f t="shared" si="209"/>
        <v/>
      </c>
      <c r="HL84" s="28" t="str">
        <f t="shared" si="210"/>
        <v/>
      </c>
      <c r="HM84" s="28" t="str">
        <f t="shared" si="211"/>
        <v/>
      </c>
      <c r="HN84" s="28" t="str">
        <f t="shared" si="212"/>
        <v/>
      </c>
      <c r="HO84" s="28" t="str">
        <f t="shared" si="213"/>
        <v/>
      </c>
      <c r="HP84" s="28" t="str">
        <f t="shared" si="214"/>
        <v/>
      </c>
      <c r="HQ84" s="28" t="str">
        <f t="shared" si="215"/>
        <v/>
      </c>
      <c r="HR84" s="28" t="str">
        <f t="shared" si="216"/>
        <v/>
      </c>
      <c r="HT84" s="4">
        <f>IFERROR(GR84/'McDonough &amp; Sun 1995 values'!C$2,)</f>
        <v>0</v>
      </c>
      <c r="HU84" s="4">
        <f>IFERROR(GS84/'McDonough &amp; Sun 1995 values'!D$2,)</f>
        <v>0</v>
      </c>
      <c r="HV84" s="4">
        <f>IFERROR(GT84/'McDonough &amp; Sun 1995 values'!E$2,)</f>
        <v>0</v>
      </c>
      <c r="HW84" s="4">
        <f>IFERROR(GU84/'McDonough &amp; Sun 1995 values'!F$2,)</f>
        <v>0</v>
      </c>
      <c r="HX84" s="4">
        <f>IFERROR(GV84/'McDonough &amp; Sun 1995 values'!G$2,)</f>
        <v>0</v>
      </c>
      <c r="HY84" s="4">
        <f>IFERROR(GW84/'McDonough &amp; Sun 1995 values'!H$2,)</f>
        <v>0</v>
      </c>
      <c r="HZ84" s="4">
        <f>IFERROR(GX84/'McDonough &amp; Sun 1995 values'!I$2,)</f>
        <v>0</v>
      </c>
      <c r="IA84" s="4">
        <f>IFERROR(GY84/'McDonough &amp; Sun 1995 values'!J$2,)</f>
        <v>0</v>
      </c>
      <c r="IB84" s="4">
        <f>IFERROR(GZ84/'McDonough &amp; Sun 1995 values'!K$2,)</f>
        <v>0</v>
      </c>
      <c r="IC84" s="4">
        <f>IFERROR(HA84/'McDonough &amp; Sun 1995 values'!L$2,)</f>
        <v>0</v>
      </c>
      <c r="ID84" s="4">
        <f>IFERROR(HB84/'McDonough &amp; Sun 1995 values'!M$2,)</f>
        <v>0</v>
      </c>
      <c r="IE84" s="4">
        <f>IFERROR(HC84/'McDonough &amp; Sun 1995 values'!N$2,)</f>
        <v>0</v>
      </c>
      <c r="IF84" s="4">
        <f>IFERROR(HD84/'McDonough &amp; Sun 1995 values'!O$2,)</f>
        <v>0</v>
      </c>
      <c r="IG84" s="4">
        <f>IFERROR(HE84/'McDonough &amp; Sun 1995 values'!P$2,)</f>
        <v>0</v>
      </c>
      <c r="IH84" s="4">
        <f>IFERROR(HF84/'McDonough &amp; Sun 1995 values'!Q$2,)</f>
        <v>0</v>
      </c>
      <c r="II84" s="4">
        <f>IFERROR(HG84/'McDonough &amp; Sun 1995 values'!R$2,)</f>
        <v>0</v>
      </c>
      <c r="IJ84" s="4">
        <f>IFERROR(HH84/'McDonough &amp; Sun 1995 values'!S$2,)</f>
        <v>0</v>
      </c>
      <c r="IK84" s="4">
        <f>IFERROR(HI84/'McDonough &amp; Sun 1995 values'!T$2,)</f>
        <v>0</v>
      </c>
      <c r="IL84" s="4">
        <f>IFERROR(HJ84/'McDonough &amp; Sun 1995 values'!U$2,)</f>
        <v>0</v>
      </c>
      <c r="IM84" s="4">
        <f>IFERROR(HK84/'McDonough &amp; Sun 1995 values'!V$2,)</f>
        <v>0</v>
      </c>
      <c r="IN84" s="4">
        <f>IFERROR(HL84/'McDonough &amp; Sun 1995 values'!W$2,)</f>
        <v>0</v>
      </c>
      <c r="IO84" s="4">
        <f>IFERROR(HM84/'McDonough &amp; Sun 1995 values'!X$2,)</f>
        <v>0</v>
      </c>
      <c r="IP84" s="4">
        <f>IFERROR(HN84/'McDonough &amp; Sun 1995 values'!Y$2,)</f>
        <v>0</v>
      </c>
      <c r="IQ84" s="4">
        <f>IFERROR(HO84/'McDonough &amp; Sun 1995 values'!Z$2,)</f>
        <v>0</v>
      </c>
      <c r="IR84" s="4">
        <f>IFERROR(HP84/'McDonough &amp; Sun 1995 values'!AA$2,)</f>
        <v>0</v>
      </c>
      <c r="IS84" s="4">
        <f>IFERROR(HQ84/'McDonough &amp; Sun 1995 values'!AB$2,)</f>
        <v>0</v>
      </c>
      <c r="IT84" s="4">
        <f>IFERROR(HR84/'McDonough &amp; Sun 1995 values'!AC$2,)</f>
        <v>0</v>
      </c>
    </row>
    <row r="85" spans="1:254">
      <c r="A85" s="16" t="s">
        <v>1656</v>
      </c>
      <c r="B85" s="4" t="s">
        <v>24</v>
      </c>
      <c r="C85" s="16" t="str">
        <f t="shared" si="144"/>
        <v>high-Mg carbonatitic</v>
      </c>
      <c r="D85" s="4" t="s">
        <v>1706</v>
      </c>
      <c r="E85" s="4" t="s">
        <v>237</v>
      </c>
      <c r="F85" s="4" t="s">
        <v>849</v>
      </c>
      <c r="G85" s="4" t="s">
        <v>595</v>
      </c>
      <c r="H85" s="49">
        <v>364</v>
      </c>
      <c r="I85" s="4" t="s">
        <v>1148</v>
      </c>
      <c r="J85" s="4" t="s">
        <v>635</v>
      </c>
      <c r="K85" s="4" t="s">
        <v>1678</v>
      </c>
      <c r="M85" s="4" t="s">
        <v>1693</v>
      </c>
      <c r="N85" s="4">
        <v>38</v>
      </c>
      <c r="O85" s="4">
        <v>6.86</v>
      </c>
      <c r="R85" s="4">
        <v>1.71</v>
      </c>
      <c r="S85" s="4">
        <v>6.94</v>
      </c>
      <c r="T85" s="4">
        <v>24.5</v>
      </c>
      <c r="V85" s="4">
        <v>15.2</v>
      </c>
      <c r="W85" s="4">
        <v>16.8</v>
      </c>
      <c r="X85" s="4">
        <v>17.2</v>
      </c>
      <c r="Z85" s="4">
        <v>7.22</v>
      </c>
      <c r="AA85" s="4">
        <v>0.82</v>
      </c>
      <c r="AB85" s="4">
        <v>0.14000000000000001</v>
      </c>
      <c r="AD85" s="4">
        <v>2.4900000000000002</v>
      </c>
      <c r="AJ85" s="26">
        <f t="shared" si="145"/>
        <v>99.06</v>
      </c>
      <c r="AK85" s="26">
        <f t="shared" si="147"/>
        <v>6.964378532068114</v>
      </c>
      <c r="AL85" s="26">
        <f t="shared" si="148"/>
        <v>0</v>
      </c>
      <c r="AM85" s="26">
        <f t="shared" si="149"/>
        <v>1.7360185553697483</v>
      </c>
      <c r="AN85" s="26">
        <f t="shared" si="150"/>
        <v>7.0455957744245943</v>
      </c>
      <c r="AO85" s="26">
        <f t="shared" si="151"/>
        <v>24.872780471671838</v>
      </c>
      <c r="AP85" s="26">
        <f t="shared" si="152"/>
        <v>15.431276047731096</v>
      </c>
      <c r="AQ85" s="26">
        <f t="shared" si="153"/>
        <v>0.14213017412383908</v>
      </c>
      <c r="AR85" s="26">
        <f t="shared" si="154"/>
        <v>17.055620894860688</v>
      </c>
      <c r="AS85" s="26">
        <f t="shared" si="155"/>
        <v>17.461707106643086</v>
      </c>
      <c r="AT85" s="26">
        <f t="shared" si="156"/>
        <v>7.3298561226722709</v>
      </c>
      <c r="AU85" s="26">
        <f t="shared" si="157"/>
        <v>2.5278866683454235</v>
      </c>
      <c r="AV85" s="26">
        <f t="shared" si="146"/>
        <v>100.56725034791069</v>
      </c>
      <c r="BB85" s="26">
        <v>0.16</v>
      </c>
      <c r="BC85" s="26">
        <f t="shared" si="158"/>
        <v>0.16000000000000003</v>
      </c>
      <c r="BD85" s="26">
        <f t="shared" si="159"/>
        <v>0.84</v>
      </c>
      <c r="BG85" s="4">
        <v>277.76657142857141</v>
      </c>
      <c r="BH85" s="4">
        <v>18.526032774362012</v>
      </c>
      <c r="BL85" s="26"/>
      <c r="EL85" s="18">
        <f>IFERROR(CR85/'McDonough &amp; Sun 1995 values'!C$2,)</f>
        <v>0</v>
      </c>
      <c r="EM85" s="18">
        <f>IFERROR(CH85/'McDonough &amp; Sun 1995 values'!D$2,)</f>
        <v>0</v>
      </c>
      <c r="EN85" s="18">
        <f>IFERROR(CS85/'McDonough &amp; Sun 1995 values'!E$2,)</f>
        <v>0</v>
      </c>
      <c r="EO85" s="18">
        <f>IFERROR(DL85/'McDonough &amp; Sun 1995 values'!F$2,)</f>
        <v>0</v>
      </c>
      <c r="EP85" s="18">
        <f>IFERROR(DM85/'McDonough &amp; Sun 1995 values'!G$2,)</f>
        <v>0</v>
      </c>
      <c r="EQ85" s="18">
        <f>IFERROR(BR85/'McDonough &amp; Sun 1995 values'!H$2,)</f>
        <v>0</v>
      </c>
      <c r="ER85" s="18">
        <f>IFERROR(DI85/'McDonough &amp; Sun 1995 values'!I$2,)</f>
        <v>0</v>
      </c>
      <c r="ES85" s="18">
        <f>IFERROR(CM85/'McDonough &amp; Sun 1995 values'!J$2,)</f>
        <v>0</v>
      </c>
      <c r="ET85" s="18">
        <f>IFERROR(CU85/'McDonough &amp; Sun 1995 values'!K$2,)</f>
        <v>0</v>
      </c>
      <c r="EU85" s="18">
        <f>IFERROR(CV85/'McDonough &amp; Sun 1995 values'!L$2,)</f>
        <v>0</v>
      </c>
      <c r="EV85" s="18">
        <f>IFERROR(CW85/'McDonough &amp; Sun 1995 values'!M$2,)</f>
        <v>0</v>
      </c>
      <c r="EW85" s="18">
        <f>IFERROR(CI85/'McDonough &amp; Sun 1995 values'!N$2,)</f>
        <v>0</v>
      </c>
      <c r="EX85" s="18">
        <f>IFERROR(CX85/'McDonough &amp; Sun 1995 values'!O$2,)</f>
        <v>0</v>
      </c>
      <c r="EY85" s="18">
        <f>IFERROR(CY85/'McDonough &amp; Sun 1995 values'!P$2,)</f>
        <v>0</v>
      </c>
      <c r="EZ85" s="18">
        <f>IFERROR(DH85/'McDonough &amp; Sun 1995 values'!Q$2,)</f>
        <v>0</v>
      </c>
      <c r="FA85" s="18">
        <f>IFERROR(CK85/'McDonough &amp; Sun 1995 values'!R$2,)</f>
        <v>0</v>
      </c>
      <c r="FB85" s="18">
        <f>IFERROR(CZ85/'McDonough &amp; Sun 1995 values'!S$2,)</f>
        <v>0</v>
      </c>
      <c r="FC85" s="18">
        <f>IFERROR(BT85/'McDonough &amp; Sun 1995 values'!T$2,)</f>
        <v>0</v>
      </c>
      <c r="FD85" s="18">
        <f>IFERROR(DA85/'McDonough &amp; Sun 1995 values'!U$2,)</f>
        <v>0</v>
      </c>
      <c r="FE85" s="18">
        <f>IFERROR(DN85/'McDonough &amp; Sun 1995 values'!V$2,)</f>
        <v>0</v>
      </c>
      <c r="FF85" s="18">
        <f>IFERROR(DB85/'McDonough &amp; Sun 1995 values'!W$2,)</f>
        <v>0</v>
      </c>
      <c r="FG85" s="18">
        <f>IFERROR(CJ85/'McDonough &amp; Sun 1995 values'!X$2,)</f>
        <v>0</v>
      </c>
      <c r="FH85" s="18">
        <f>IFERROR(DC85/'McDonough &amp; Sun 1995 values'!Y$2,)</f>
        <v>0</v>
      </c>
      <c r="FI85" s="18">
        <f>IFERROR(DD85/'McDonough &amp; Sun 1995 values'!Z$2,)</f>
        <v>0</v>
      </c>
      <c r="FJ85" s="18">
        <f>IFERROR(DE85/'McDonough &amp; Sun 1995 values'!AA$2,)</f>
        <v>0</v>
      </c>
      <c r="FK85" s="18">
        <f>IFERROR(DF85/'McDonough &amp; Sun 1995 values'!AB$2,)</f>
        <v>0</v>
      </c>
      <c r="FL85" s="18">
        <f>IFERROR(DG85/'McDonough &amp; Sun 1995 values'!AC$2,)</f>
        <v>0</v>
      </c>
      <c r="FN85" s="28">
        <f t="shared" si="160"/>
        <v>0</v>
      </c>
      <c r="FO85" s="4">
        <f t="shared" si="161"/>
        <v>0</v>
      </c>
      <c r="FP85" s="4">
        <f t="shared" si="162"/>
        <v>0</v>
      </c>
      <c r="FQ85" s="4">
        <f t="shared" si="163"/>
        <v>0</v>
      </c>
      <c r="FR85" s="4">
        <f t="shared" si="164"/>
        <v>0</v>
      </c>
      <c r="FS85" s="4">
        <f t="shared" si="165"/>
        <v>0</v>
      </c>
      <c r="FT85" s="4">
        <f t="shared" si="166"/>
        <v>0</v>
      </c>
      <c r="FU85" s="4">
        <f t="shared" si="167"/>
        <v>0</v>
      </c>
      <c r="FV85" s="4">
        <f t="shared" si="168"/>
        <v>0</v>
      </c>
      <c r="FW85" s="4">
        <f t="shared" si="169"/>
        <v>0</v>
      </c>
      <c r="FX85" s="4">
        <f t="shared" si="170"/>
        <v>0</v>
      </c>
      <c r="FY85" s="4">
        <f t="shared" si="171"/>
        <v>0</v>
      </c>
      <c r="FZ85" s="4">
        <f t="shared" si="172"/>
        <v>0</v>
      </c>
      <c r="GA85" s="4">
        <f t="shared" si="173"/>
        <v>0</v>
      </c>
      <c r="GB85" s="4">
        <f t="shared" si="174"/>
        <v>0</v>
      </c>
      <c r="GC85" s="4">
        <f t="shared" si="175"/>
        <v>0</v>
      </c>
      <c r="GD85" s="4">
        <f t="shared" si="176"/>
        <v>0</v>
      </c>
      <c r="GE85" s="4">
        <f t="shared" si="177"/>
        <v>0</v>
      </c>
      <c r="GF85" s="4">
        <f t="shared" si="178"/>
        <v>0</v>
      </c>
      <c r="GG85" s="4">
        <f t="shared" si="179"/>
        <v>0</v>
      </c>
      <c r="GH85" s="4">
        <f t="shared" si="180"/>
        <v>0</v>
      </c>
      <c r="GI85" s="4">
        <f t="shared" si="181"/>
        <v>0</v>
      </c>
      <c r="GJ85" s="4">
        <f t="shared" si="182"/>
        <v>0</v>
      </c>
      <c r="GK85" s="4">
        <f t="shared" si="183"/>
        <v>0</v>
      </c>
      <c r="GL85" s="4">
        <f t="shared" si="184"/>
        <v>0</v>
      </c>
      <c r="GM85" s="4">
        <f t="shared" si="185"/>
        <v>0</v>
      </c>
      <c r="GN85" s="4">
        <f t="shared" si="186"/>
        <v>0</v>
      </c>
      <c r="GO85" s="4">
        <f t="shared" si="187"/>
        <v>0</v>
      </c>
      <c r="GP85" s="4">
        <f t="shared" si="188"/>
        <v>0</v>
      </c>
      <c r="GQ85" s="27">
        <f t="shared" si="189"/>
        <v>144956.1447314762</v>
      </c>
      <c r="GR85" s="28" t="str">
        <f t="shared" si="190"/>
        <v/>
      </c>
      <c r="GS85" s="28" t="str">
        <f t="shared" si="191"/>
        <v/>
      </c>
      <c r="GT85" s="28" t="str">
        <f t="shared" si="192"/>
        <v/>
      </c>
      <c r="GU85" s="28" t="str">
        <f t="shared" si="193"/>
        <v/>
      </c>
      <c r="GV85" s="28" t="str">
        <f t="shared" si="194"/>
        <v/>
      </c>
      <c r="GW85" s="28" t="str">
        <f t="shared" si="195"/>
        <v/>
      </c>
      <c r="GX85" s="28" t="str">
        <f t="shared" si="196"/>
        <v/>
      </c>
      <c r="GY85" s="28" t="str">
        <f t="shared" si="197"/>
        <v/>
      </c>
      <c r="GZ85" s="28" t="str">
        <f t="shared" si="198"/>
        <v/>
      </c>
      <c r="HA85" s="28" t="str">
        <f t="shared" si="199"/>
        <v/>
      </c>
      <c r="HB85" s="28" t="str">
        <f t="shared" si="200"/>
        <v/>
      </c>
      <c r="HC85" s="28" t="str">
        <f t="shared" si="201"/>
        <v/>
      </c>
      <c r="HD85" s="28" t="str">
        <f t="shared" si="202"/>
        <v/>
      </c>
      <c r="HE85" s="28" t="str">
        <f t="shared" si="203"/>
        <v/>
      </c>
      <c r="HF85" s="28" t="str">
        <f t="shared" si="204"/>
        <v/>
      </c>
      <c r="HG85" s="28" t="str">
        <f t="shared" si="205"/>
        <v/>
      </c>
      <c r="HH85" s="28" t="str">
        <f t="shared" si="206"/>
        <v/>
      </c>
      <c r="HI85" s="28" t="str">
        <f t="shared" si="207"/>
        <v/>
      </c>
      <c r="HJ85" s="28" t="str">
        <f t="shared" si="208"/>
        <v/>
      </c>
      <c r="HK85" s="28" t="str">
        <f t="shared" si="209"/>
        <v/>
      </c>
      <c r="HL85" s="28" t="str">
        <f t="shared" si="210"/>
        <v/>
      </c>
      <c r="HM85" s="28" t="str">
        <f t="shared" si="211"/>
        <v/>
      </c>
      <c r="HN85" s="28" t="str">
        <f t="shared" si="212"/>
        <v/>
      </c>
      <c r="HO85" s="28" t="str">
        <f t="shared" si="213"/>
        <v/>
      </c>
      <c r="HP85" s="28" t="str">
        <f t="shared" si="214"/>
        <v/>
      </c>
      <c r="HQ85" s="28" t="str">
        <f t="shared" si="215"/>
        <v/>
      </c>
      <c r="HR85" s="28" t="str">
        <f t="shared" si="216"/>
        <v/>
      </c>
      <c r="HT85" s="4">
        <f>IFERROR(GR85/'McDonough &amp; Sun 1995 values'!C$2,)</f>
        <v>0</v>
      </c>
      <c r="HU85" s="4">
        <f>IFERROR(GS85/'McDonough &amp; Sun 1995 values'!D$2,)</f>
        <v>0</v>
      </c>
      <c r="HV85" s="4">
        <f>IFERROR(GT85/'McDonough &amp; Sun 1995 values'!E$2,)</f>
        <v>0</v>
      </c>
      <c r="HW85" s="4">
        <f>IFERROR(GU85/'McDonough &amp; Sun 1995 values'!F$2,)</f>
        <v>0</v>
      </c>
      <c r="HX85" s="4">
        <f>IFERROR(GV85/'McDonough &amp; Sun 1995 values'!G$2,)</f>
        <v>0</v>
      </c>
      <c r="HY85" s="4">
        <f>IFERROR(GW85/'McDonough &amp; Sun 1995 values'!H$2,)</f>
        <v>0</v>
      </c>
      <c r="HZ85" s="4">
        <f>IFERROR(GX85/'McDonough &amp; Sun 1995 values'!I$2,)</f>
        <v>0</v>
      </c>
      <c r="IA85" s="4">
        <f>IFERROR(GY85/'McDonough &amp; Sun 1995 values'!J$2,)</f>
        <v>0</v>
      </c>
      <c r="IB85" s="4">
        <f>IFERROR(GZ85/'McDonough &amp; Sun 1995 values'!K$2,)</f>
        <v>0</v>
      </c>
      <c r="IC85" s="4">
        <f>IFERROR(HA85/'McDonough &amp; Sun 1995 values'!L$2,)</f>
        <v>0</v>
      </c>
      <c r="ID85" s="4">
        <f>IFERROR(HB85/'McDonough &amp; Sun 1995 values'!M$2,)</f>
        <v>0</v>
      </c>
      <c r="IE85" s="4">
        <f>IFERROR(HC85/'McDonough &amp; Sun 1995 values'!N$2,)</f>
        <v>0</v>
      </c>
      <c r="IF85" s="4">
        <f>IFERROR(HD85/'McDonough &amp; Sun 1995 values'!O$2,)</f>
        <v>0</v>
      </c>
      <c r="IG85" s="4">
        <f>IFERROR(HE85/'McDonough &amp; Sun 1995 values'!P$2,)</f>
        <v>0</v>
      </c>
      <c r="IH85" s="4">
        <f>IFERROR(HF85/'McDonough &amp; Sun 1995 values'!Q$2,)</f>
        <v>0</v>
      </c>
      <c r="II85" s="4">
        <f>IFERROR(HG85/'McDonough &amp; Sun 1995 values'!R$2,)</f>
        <v>0</v>
      </c>
      <c r="IJ85" s="4">
        <f>IFERROR(HH85/'McDonough &amp; Sun 1995 values'!S$2,)</f>
        <v>0</v>
      </c>
      <c r="IK85" s="4">
        <f>IFERROR(HI85/'McDonough &amp; Sun 1995 values'!T$2,)</f>
        <v>0</v>
      </c>
      <c r="IL85" s="4">
        <f>IFERROR(HJ85/'McDonough &amp; Sun 1995 values'!U$2,)</f>
        <v>0</v>
      </c>
      <c r="IM85" s="4">
        <f>IFERROR(HK85/'McDonough &amp; Sun 1995 values'!V$2,)</f>
        <v>0</v>
      </c>
      <c r="IN85" s="4">
        <f>IFERROR(HL85/'McDonough &amp; Sun 1995 values'!W$2,)</f>
        <v>0</v>
      </c>
      <c r="IO85" s="4">
        <f>IFERROR(HM85/'McDonough &amp; Sun 1995 values'!X$2,)</f>
        <v>0</v>
      </c>
      <c r="IP85" s="4">
        <f>IFERROR(HN85/'McDonough &amp; Sun 1995 values'!Y$2,)</f>
        <v>0</v>
      </c>
      <c r="IQ85" s="4">
        <f>IFERROR(HO85/'McDonough &amp; Sun 1995 values'!Z$2,)</f>
        <v>0</v>
      </c>
      <c r="IR85" s="4">
        <f>IFERROR(HP85/'McDonough &amp; Sun 1995 values'!AA$2,)</f>
        <v>0</v>
      </c>
      <c r="IS85" s="4">
        <f>IFERROR(HQ85/'McDonough &amp; Sun 1995 values'!AB$2,)</f>
        <v>0</v>
      </c>
      <c r="IT85" s="4">
        <f>IFERROR(HR85/'McDonough &amp; Sun 1995 values'!AC$2,)</f>
        <v>0</v>
      </c>
    </row>
    <row r="86" spans="1:254">
      <c r="A86" s="16" t="s">
        <v>1656</v>
      </c>
      <c r="B86" s="4" t="s">
        <v>24</v>
      </c>
      <c r="C86" s="16" t="str">
        <f t="shared" si="144"/>
        <v>high-Mg carbonatitic</v>
      </c>
      <c r="D86" s="4" t="s">
        <v>1706</v>
      </c>
      <c r="E86" s="4" t="s">
        <v>237</v>
      </c>
      <c r="F86" s="4" t="s">
        <v>849</v>
      </c>
      <c r="G86" s="4" t="s">
        <v>595</v>
      </c>
      <c r="H86" s="49">
        <v>364</v>
      </c>
      <c r="I86" s="4" t="s">
        <v>1148</v>
      </c>
      <c r="J86" s="4" t="s">
        <v>635</v>
      </c>
      <c r="K86" s="4" t="s">
        <v>1678</v>
      </c>
      <c r="M86" s="4" t="s">
        <v>1696</v>
      </c>
      <c r="N86" s="4">
        <v>36</v>
      </c>
      <c r="O86" s="4">
        <v>6.27</v>
      </c>
      <c r="R86" s="4">
        <v>0.69</v>
      </c>
      <c r="S86" s="4">
        <v>7.29</v>
      </c>
      <c r="T86" s="4">
        <v>26.6</v>
      </c>
      <c r="V86" s="4">
        <v>15.8</v>
      </c>
      <c r="W86" s="4">
        <v>15.8</v>
      </c>
      <c r="X86" s="4">
        <v>18.7</v>
      </c>
      <c r="Z86" s="4">
        <v>3.91</v>
      </c>
      <c r="AA86" s="4">
        <v>1.26</v>
      </c>
      <c r="AB86" s="4">
        <v>0.64</v>
      </c>
      <c r="AD86" s="4">
        <v>3.07</v>
      </c>
      <c r="AJ86" s="26">
        <f t="shared" si="145"/>
        <v>98.77</v>
      </c>
      <c r="AK86" s="26">
        <f t="shared" si="147"/>
        <v>6.3926090287730437</v>
      </c>
      <c r="AL86" s="26">
        <f t="shared" si="148"/>
        <v>0</v>
      </c>
      <c r="AM86" s="26">
        <f t="shared" si="149"/>
        <v>0.70349285962574171</v>
      </c>
      <c r="AN86" s="26">
        <f t="shared" si="150"/>
        <v>7.4325549951763152</v>
      </c>
      <c r="AO86" s="26">
        <f t="shared" si="151"/>
        <v>27.120159516006858</v>
      </c>
      <c r="AP86" s="26">
        <f t="shared" si="152"/>
        <v>16.108966930560463</v>
      </c>
      <c r="AQ86" s="26">
        <f t="shared" si="153"/>
        <v>0.65251511617460101</v>
      </c>
      <c r="AR86" s="26">
        <f t="shared" si="154"/>
        <v>16.108966930560463</v>
      </c>
      <c r="AS86" s="26">
        <f t="shared" si="155"/>
        <v>19.065676050726623</v>
      </c>
      <c r="AT86" s="26">
        <f t="shared" si="156"/>
        <v>3.9864595378792034</v>
      </c>
      <c r="AU86" s="26">
        <f t="shared" si="157"/>
        <v>3.1300334479000393</v>
      </c>
      <c r="AV86" s="26">
        <f t="shared" si="146"/>
        <v>100.70143441338334</v>
      </c>
      <c r="BB86" s="26">
        <v>0.04</v>
      </c>
      <c r="BC86" s="26">
        <f t="shared" si="158"/>
        <v>4.0000000000000036E-2</v>
      </c>
      <c r="BD86" s="26">
        <f t="shared" si="159"/>
        <v>0.96</v>
      </c>
      <c r="BE86" s="4">
        <v>-5.325600136495467</v>
      </c>
      <c r="BG86" s="4">
        <v>508.16325000000001</v>
      </c>
      <c r="BH86" s="4">
        <v>33.775127999108008</v>
      </c>
      <c r="BT86" s="44">
        <v>11760.752712282459</v>
      </c>
      <c r="CH86" s="44">
        <v>69.173525469643124</v>
      </c>
      <c r="CI86" s="44">
        <v>3456.2240042658509</v>
      </c>
      <c r="CJ86" s="44">
        <v>46.591958795643521</v>
      </c>
      <c r="CK86" s="44">
        <v>582.46118578571361</v>
      </c>
      <c r="CM86" s="44">
        <v>350.58892757722418</v>
      </c>
      <c r="CS86" s="44">
        <v>7403.1090648017143</v>
      </c>
      <c r="CU86" s="44">
        <v>415.41423037124139</v>
      </c>
      <c r="CV86" s="44">
        <v>560.72428004494191</v>
      </c>
      <c r="CW86" s="44">
        <v>59.600614733132105</v>
      </c>
      <c r="CX86" s="44">
        <v>275.09057144055953</v>
      </c>
      <c r="CY86" s="44">
        <v>38.073223128178029</v>
      </c>
      <c r="CZ86" s="44">
        <v>10.310743075349608</v>
      </c>
      <c r="DA86" s="44">
        <v>29.735129471530389</v>
      </c>
      <c r="DB86" s="44">
        <v>11.062789367458624</v>
      </c>
      <c r="DC86" s="44">
        <v>1.5093830925989413</v>
      </c>
      <c r="DD86" s="44">
        <v>4.4923342291223536</v>
      </c>
      <c r="DF86" s="44">
        <v>1.9304442516515499</v>
      </c>
      <c r="DG86" s="44">
        <v>0.27584060919185116</v>
      </c>
      <c r="DH86" s="44">
        <v>12.34110163470193</v>
      </c>
      <c r="DI86" s="44">
        <v>11.476424999928147</v>
      </c>
      <c r="DK86" s="44">
        <v>70.577424631816697</v>
      </c>
      <c r="DL86" s="44">
        <v>66.679559119817412</v>
      </c>
      <c r="DM86" s="44">
        <v>9.4011244780206287</v>
      </c>
      <c r="DN86" s="44">
        <v>2.5222386059610375</v>
      </c>
      <c r="EL86" s="18">
        <f>IFERROR(CR86/'McDonough &amp; Sun 1995 values'!C$2,)</f>
        <v>0</v>
      </c>
      <c r="EM86" s="18">
        <f>IFERROR(CH86/'McDonough &amp; Sun 1995 values'!D$2,)</f>
        <v>115.28920911607187</v>
      </c>
      <c r="EN86" s="18">
        <f>IFERROR(CS86/'McDonough &amp; Sun 1995 values'!E$2,)</f>
        <v>1121.6831916366234</v>
      </c>
      <c r="EO86" s="18">
        <f>IFERROR(DL86/'McDonough &amp; Sun 1995 values'!F$2,)</f>
        <v>838.73659270210578</v>
      </c>
      <c r="EP86" s="18">
        <f>IFERROR(DM86/'McDonough &amp; Sun 1995 values'!G$2,)</f>
        <v>463.10958019806054</v>
      </c>
      <c r="EQ86" s="18">
        <f>IFERROR(BR86/'McDonough &amp; Sun 1995 values'!H$2,)</f>
        <v>0</v>
      </c>
      <c r="ER86" s="18">
        <f>IFERROR(DI86/'McDonough &amp; Sun 1995 values'!I$2,)</f>
        <v>310.17364864670668</v>
      </c>
      <c r="ES86" s="18">
        <f>IFERROR(CM86/'McDonough &amp; Sun 1995 values'!J$2,)</f>
        <v>532.80992033012797</v>
      </c>
      <c r="ET86" s="18">
        <f>IFERROR(CU86/'McDonough &amp; Sun 1995 values'!K$2,)</f>
        <v>641.07134316549593</v>
      </c>
      <c r="EU86" s="18">
        <f>IFERROR(CV86/'McDonough &amp; Sun 1995 values'!L$2,)</f>
        <v>334.76076420593546</v>
      </c>
      <c r="EV86" s="18">
        <f>IFERROR(CW86/'McDonough &amp; Sun 1995 values'!M$2,)</f>
        <v>234.64808950052009</v>
      </c>
      <c r="EW86" s="18">
        <f>IFERROR(CI86/'McDonough &amp; Sun 1995 values'!N$2,)</f>
        <v>173.67959820431412</v>
      </c>
      <c r="EX86" s="18">
        <f>IFERROR(CX86/'McDonough &amp; Sun 1995 values'!O$2,)</f>
        <v>220.07245715244761</v>
      </c>
      <c r="EY86" s="18">
        <f>IFERROR(CY86/'McDonough &amp; Sun 1995 values'!P$2,)</f>
        <v>93.776411645758685</v>
      </c>
      <c r="EZ86" s="18">
        <f>IFERROR(DH86/'McDonough &amp; Sun 1995 values'!Q$2,)</f>
        <v>43.608132984812478</v>
      </c>
      <c r="FA86" s="18">
        <f>IFERROR(CK86/'McDonough &amp; Sun 1995 values'!R$2,)</f>
        <v>55.472493884353675</v>
      </c>
      <c r="FB86" s="18">
        <f>IFERROR(CZ86/'McDonough &amp; Sun 1995 values'!S$2,)</f>
        <v>66.952877112659792</v>
      </c>
      <c r="FC86" s="18">
        <f>IFERROR(BT86/'McDonough &amp; Sun 1995 values'!T$2,)</f>
        <v>9.7599607570808793</v>
      </c>
      <c r="FD86" s="18">
        <f>IFERROR(DA86/'McDonough &amp; Sun 1995 values'!U$2,)</f>
        <v>54.660164469724975</v>
      </c>
      <c r="FE86" s="18">
        <f>IFERROR(DN86/'McDonough &amp; Sun 1995 values'!V$2,)</f>
        <v>25.477157635970077</v>
      </c>
      <c r="FF86" s="18">
        <f>IFERROR(DB86/'McDonough &amp; Sun 1995 values'!W$2,)</f>
        <v>16.413634076348107</v>
      </c>
      <c r="FG86" s="18">
        <f>IFERROR(CJ86/'McDonough &amp; Sun 1995 values'!X$2,)</f>
        <v>10.83533925480082</v>
      </c>
      <c r="FH86" s="18">
        <f>IFERROR(DC86/'McDonough &amp; Sun 1995 values'!Y$2,)</f>
        <v>10.130087869791552</v>
      </c>
      <c r="FI86" s="18">
        <f>IFERROR(DD86/'McDonough &amp; Sun 1995 values'!Z$2,)</f>
        <v>10.256470842745099</v>
      </c>
      <c r="FJ86" s="18">
        <f>IFERROR(DE86/'McDonough &amp; Sun 1995 values'!AA$2,)</f>
        <v>0</v>
      </c>
      <c r="FK86" s="18">
        <f>IFERROR(DF86/'McDonough &amp; Sun 1995 values'!AB$2,)</f>
        <v>4.3774246069196145</v>
      </c>
      <c r="FL86" s="18">
        <f>IFERROR(DG86/'McDonough &amp; Sun 1995 values'!AC$2,)</f>
        <v>4.0865275435829798</v>
      </c>
      <c r="FN86" s="28">
        <f t="shared" si="160"/>
        <v>0</v>
      </c>
      <c r="FO86" s="4">
        <f t="shared" si="161"/>
        <v>2.4220686411991461</v>
      </c>
      <c r="FP86" s="4">
        <f t="shared" si="162"/>
        <v>1.5741760066750001</v>
      </c>
      <c r="FQ86" s="4">
        <f t="shared" si="163"/>
        <v>1.8110974779303828</v>
      </c>
      <c r="FR86" s="4">
        <f t="shared" si="164"/>
        <v>1.2031895779423352</v>
      </c>
      <c r="FS86" s="4">
        <f t="shared" si="165"/>
        <v>2.0668143343656107</v>
      </c>
      <c r="FT86" s="4">
        <f t="shared" si="166"/>
        <v>0</v>
      </c>
      <c r="FU86" s="4">
        <f t="shared" si="167"/>
        <v>0.58214690982953865</v>
      </c>
      <c r="FV86" s="4">
        <f t="shared" si="168"/>
        <v>0.59153995030116491</v>
      </c>
      <c r="FW86" s="4">
        <f t="shared" si="169"/>
        <v>1.2720676187552729</v>
      </c>
      <c r="FX86" s="4">
        <f t="shared" si="170"/>
        <v>0.90210753797730359</v>
      </c>
      <c r="FY86" s="4">
        <f t="shared" si="171"/>
        <v>0.76428871696454126</v>
      </c>
      <c r="FZ86" s="4">
        <f t="shared" si="172"/>
        <v>0.93516226045060535</v>
      </c>
      <c r="GA86" s="4">
        <f t="shared" si="173"/>
        <v>0.74017051906970321</v>
      </c>
      <c r="GB86" s="4">
        <f t="shared" si="174"/>
        <v>0.71396288189800805</v>
      </c>
      <c r="GC86" s="4">
        <f t="shared" si="175"/>
        <v>0</v>
      </c>
      <c r="GD86" s="4">
        <f t="shared" si="176"/>
        <v>1.3373485804678751</v>
      </c>
      <c r="GE86" s="4">
        <f t="shared" si="177"/>
        <v>9.7292990405314121</v>
      </c>
      <c r="GF86" s="4">
        <f t="shared" si="178"/>
        <v>0</v>
      </c>
      <c r="GG86" s="4">
        <f t="shared" si="179"/>
        <v>2.1052220479333994</v>
      </c>
      <c r="GH86" s="4">
        <f t="shared" si="180"/>
        <v>2.732054390598714</v>
      </c>
      <c r="GI86" s="4">
        <f t="shared" si="181"/>
        <v>6.8361684128749696</v>
      </c>
      <c r="GJ86" s="4">
        <f t="shared" si="182"/>
        <v>39.057245956839857</v>
      </c>
      <c r="GK86" s="4">
        <f t="shared" si="183"/>
        <v>146.44943105407739</v>
      </c>
      <c r="GL86" s="4">
        <f t="shared" si="184"/>
        <v>5.683680013170977</v>
      </c>
      <c r="GM86" s="4">
        <f t="shared" si="185"/>
        <v>7.2750658897978493</v>
      </c>
      <c r="GN86" s="4">
        <f t="shared" si="186"/>
        <v>0.83112422043263956</v>
      </c>
      <c r="GO86" s="4">
        <f t="shared" si="187"/>
        <v>1.1505050707486084</v>
      </c>
      <c r="GP86" s="4">
        <f t="shared" si="188"/>
        <v>0</v>
      </c>
      <c r="GQ86" s="27">
        <f t="shared" si="189"/>
        <v>158271.28929227992</v>
      </c>
      <c r="GR86" s="28" t="str">
        <f t="shared" si="190"/>
        <v/>
      </c>
      <c r="GS86" s="28" t="str">
        <f t="shared" si="191"/>
        <v/>
      </c>
      <c r="GT86" s="28" t="str">
        <f t="shared" si="192"/>
        <v/>
      </c>
      <c r="GU86" s="28" t="str">
        <f t="shared" si="193"/>
        <v/>
      </c>
      <c r="GV86" s="28" t="str">
        <f t="shared" si="194"/>
        <v/>
      </c>
      <c r="GW86" s="28" t="str">
        <f t="shared" si="195"/>
        <v/>
      </c>
      <c r="GX86" s="28" t="str">
        <f t="shared" si="196"/>
        <v/>
      </c>
      <c r="GY86" s="28" t="str">
        <f t="shared" si="197"/>
        <v/>
      </c>
      <c r="GZ86" s="28" t="str">
        <f t="shared" si="198"/>
        <v/>
      </c>
      <c r="HA86" s="28" t="str">
        <f t="shared" si="199"/>
        <v/>
      </c>
      <c r="HB86" s="28" t="str">
        <f t="shared" si="200"/>
        <v/>
      </c>
      <c r="HC86" s="28" t="str">
        <f t="shared" si="201"/>
        <v/>
      </c>
      <c r="HD86" s="28" t="str">
        <f t="shared" si="202"/>
        <v/>
      </c>
      <c r="HE86" s="28" t="str">
        <f t="shared" si="203"/>
        <v/>
      </c>
      <c r="HF86" s="28" t="str">
        <f t="shared" si="204"/>
        <v/>
      </c>
      <c r="HG86" s="28" t="str">
        <f t="shared" si="205"/>
        <v/>
      </c>
      <c r="HH86" s="28" t="str">
        <f t="shared" si="206"/>
        <v/>
      </c>
      <c r="HI86" s="28" t="str">
        <f t="shared" si="207"/>
        <v/>
      </c>
      <c r="HJ86" s="28" t="str">
        <f t="shared" si="208"/>
        <v/>
      </c>
      <c r="HK86" s="28" t="str">
        <f t="shared" si="209"/>
        <v/>
      </c>
      <c r="HL86" s="28" t="str">
        <f t="shared" si="210"/>
        <v/>
      </c>
      <c r="HM86" s="28" t="str">
        <f t="shared" si="211"/>
        <v/>
      </c>
      <c r="HN86" s="28" t="str">
        <f t="shared" si="212"/>
        <v/>
      </c>
      <c r="HO86" s="28" t="str">
        <f t="shared" si="213"/>
        <v/>
      </c>
      <c r="HP86" s="28" t="str">
        <f t="shared" si="214"/>
        <v/>
      </c>
      <c r="HQ86" s="28" t="str">
        <f t="shared" si="215"/>
        <v/>
      </c>
      <c r="HR86" s="28" t="str">
        <f t="shared" si="216"/>
        <v/>
      </c>
      <c r="HT86" s="4">
        <f>IFERROR(GR86/'McDonough &amp; Sun 1995 values'!C$2,)</f>
        <v>0</v>
      </c>
      <c r="HU86" s="4">
        <f>IFERROR(GS86/'McDonough &amp; Sun 1995 values'!D$2,)</f>
        <v>0</v>
      </c>
      <c r="HV86" s="4">
        <f>IFERROR(GT86/'McDonough &amp; Sun 1995 values'!E$2,)</f>
        <v>0</v>
      </c>
      <c r="HW86" s="4">
        <f>IFERROR(GU86/'McDonough &amp; Sun 1995 values'!F$2,)</f>
        <v>0</v>
      </c>
      <c r="HX86" s="4">
        <f>IFERROR(GV86/'McDonough &amp; Sun 1995 values'!G$2,)</f>
        <v>0</v>
      </c>
      <c r="HY86" s="4">
        <f>IFERROR(GW86/'McDonough &amp; Sun 1995 values'!H$2,)</f>
        <v>0</v>
      </c>
      <c r="HZ86" s="4">
        <f>IFERROR(GX86/'McDonough &amp; Sun 1995 values'!I$2,)</f>
        <v>0</v>
      </c>
      <c r="IA86" s="4">
        <f>IFERROR(GY86/'McDonough &amp; Sun 1995 values'!J$2,)</f>
        <v>0</v>
      </c>
      <c r="IB86" s="4">
        <f>IFERROR(GZ86/'McDonough &amp; Sun 1995 values'!K$2,)</f>
        <v>0</v>
      </c>
      <c r="IC86" s="4">
        <f>IFERROR(HA86/'McDonough &amp; Sun 1995 values'!L$2,)</f>
        <v>0</v>
      </c>
      <c r="ID86" s="4">
        <f>IFERROR(HB86/'McDonough &amp; Sun 1995 values'!M$2,)</f>
        <v>0</v>
      </c>
      <c r="IE86" s="4">
        <f>IFERROR(HC86/'McDonough &amp; Sun 1995 values'!N$2,)</f>
        <v>0</v>
      </c>
      <c r="IF86" s="4">
        <f>IFERROR(HD86/'McDonough &amp; Sun 1995 values'!O$2,)</f>
        <v>0</v>
      </c>
      <c r="IG86" s="4">
        <f>IFERROR(HE86/'McDonough &amp; Sun 1995 values'!P$2,)</f>
        <v>0</v>
      </c>
      <c r="IH86" s="4">
        <f>IFERROR(HF86/'McDonough &amp; Sun 1995 values'!Q$2,)</f>
        <v>0</v>
      </c>
      <c r="II86" s="4">
        <f>IFERROR(HG86/'McDonough &amp; Sun 1995 values'!R$2,)</f>
        <v>0</v>
      </c>
      <c r="IJ86" s="4">
        <f>IFERROR(HH86/'McDonough &amp; Sun 1995 values'!S$2,)</f>
        <v>0</v>
      </c>
      <c r="IK86" s="4">
        <f>IFERROR(HI86/'McDonough &amp; Sun 1995 values'!T$2,)</f>
        <v>0</v>
      </c>
      <c r="IL86" s="4">
        <f>IFERROR(HJ86/'McDonough &amp; Sun 1995 values'!U$2,)</f>
        <v>0</v>
      </c>
      <c r="IM86" s="4">
        <f>IFERROR(HK86/'McDonough &amp; Sun 1995 values'!V$2,)</f>
        <v>0</v>
      </c>
      <c r="IN86" s="4">
        <f>IFERROR(HL86/'McDonough &amp; Sun 1995 values'!W$2,)</f>
        <v>0</v>
      </c>
      <c r="IO86" s="4">
        <f>IFERROR(HM86/'McDonough &amp; Sun 1995 values'!X$2,)</f>
        <v>0</v>
      </c>
      <c r="IP86" s="4">
        <f>IFERROR(HN86/'McDonough &amp; Sun 1995 values'!Y$2,)</f>
        <v>0</v>
      </c>
      <c r="IQ86" s="4">
        <f>IFERROR(HO86/'McDonough &amp; Sun 1995 values'!Z$2,)</f>
        <v>0</v>
      </c>
      <c r="IR86" s="4">
        <f>IFERROR(HP86/'McDonough &amp; Sun 1995 values'!AA$2,)</f>
        <v>0</v>
      </c>
      <c r="IS86" s="4">
        <f>IFERROR(HQ86/'McDonough &amp; Sun 1995 values'!AB$2,)</f>
        <v>0</v>
      </c>
      <c r="IT86" s="4">
        <f>IFERROR(HR86/'McDonough &amp; Sun 1995 values'!AC$2,)</f>
        <v>0</v>
      </c>
    </row>
    <row r="87" spans="1:254">
      <c r="A87" s="16" t="s">
        <v>1656</v>
      </c>
      <c r="B87" s="4" t="s">
        <v>24</v>
      </c>
      <c r="C87" s="16" t="str">
        <f t="shared" si="144"/>
        <v>high-Mg carbonatitic</v>
      </c>
      <c r="D87" s="4" t="s">
        <v>1706</v>
      </c>
      <c r="E87" s="4" t="s">
        <v>237</v>
      </c>
      <c r="F87" s="4" t="s">
        <v>849</v>
      </c>
      <c r="G87" s="4" t="s">
        <v>595</v>
      </c>
      <c r="H87" s="49">
        <v>364</v>
      </c>
      <c r="I87" s="4" t="s">
        <v>1148</v>
      </c>
      <c r="J87" s="4" t="s">
        <v>635</v>
      </c>
      <c r="K87" s="4" t="s">
        <v>1678</v>
      </c>
      <c r="M87" s="4" t="s">
        <v>1699</v>
      </c>
      <c r="N87" s="4">
        <v>34</v>
      </c>
      <c r="O87" s="4">
        <v>13.4</v>
      </c>
      <c r="P87" s="4">
        <v>0.82</v>
      </c>
      <c r="R87" s="4">
        <v>0.73</v>
      </c>
      <c r="S87" s="4">
        <v>6.66</v>
      </c>
      <c r="T87" s="4">
        <v>21.9</v>
      </c>
      <c r="V87" s="4">
        <v>13.2</v>
      </c>
      <c r="W87" s="4">
        <v>12.7</v>
      </c>
      <c r="X87" s="4">
        <v>19</v>
      </c>
      <c r="Z87" s="4">
        <v>8.9700000000000006</v>
      </c>
      <c r="AA87" s="4">
        <v>0.38</v>
      </c>
      <c r="AB87" s="4">
        <v>0.17</v>
      </c>
      <c r="AD87" s="4">
        <v>2.0699999999999998</v>
      </c>
      <c r="AJ87" s="26">
        <f t="shared" si="145"/>
        <v>99.61999999999999</v>
      </c>
      <c r="AK87" s="26">
        <f t="shared" si="147"/>
        <v>13.514189024560334</v>
      </c>
      <c r="AL87" s="26">
        <f t="shared" si="148"/>
        <v>0.82698768657757249</v>
      </c>
      <c r="AM87" s="26">
        <f t="shared" si="149"/>
        <v>0.73622074536783899</v>
      </c>
      <c r="AN87" s="26">
        <f t="shared" si="150"/>
        <v>6.7167536495202844</v>
      </c>
      <c r="AO87" s="26">
        <f t="shared" si="151"/>
        <v>22.086622361035168</v>
      </c>
      <c r="AP87" s="26">
        <f t="shared" si="152"/>
        <v>13.312484710760923</v>
      </c>
      <c r="AQ87" s="26">
        <f t="shared" si="153"/>
        <v>0.17144866672949674</v>
      </c>
      <c r="AR87" s="26">
        <f t="shared" si="154"/>
        <v>12.808223926262404</v>
      </c>
      <c r="AS87" s="26">
        <f t="shared" si="155"/>
        <v>19.161909810943754</v>
      </c>
      <c r="AT87" s="26">
        <f t="shared" si="156"/>
        <v>9.0464384739034482</v>
      </c>
      <c r="AU87" s="26">
        <f t="shared" si="157"/>
        <v>2.0876396478238721</v>
      </c>
      <c r="AV87" s="26">
        <f t="shared" si="146"/>
        <v>100.46891870348512</v>
      </c>
      <c r="BB87" s="26">
        <v>0.1</v>
      </c>
      <c r="BC87" s="26">
        <f t="shared" si="158"/>
        <v>9.9999999999999978E-2</v>
      </c>
      <c r="BD87" s="26">
        <f t="shared" si="159"/>
        <v>0.9</v>
      </c>
      <c r="BG87" s="4">
        <v>413.22649999999999</v>
      </c>
      <c r="BH87" s="4">
        <v>25.154857311632792</v>
      </c>
      <c r="EL87" s="18">
        <f>IFERROR(CR87/'McDonough &amp; Sun 1995 values'!C$2,)</f>
        <v>0</v>
      </c>
      <c r="EM87" s="18">
        <f>IFERROR(CH87/'McDonough &amp; Sun 1995 values'!D$2,)</f>
        <v>0</v>
      </c>
      <c r="EN87" s="18">
        <f>IFERROR(CS87/'McDonough &amp; Sun 1995 values'!E$2,)</f>
        <v>0</v>
      </c>
      <c r="EO87" s="18">
        <f>IFERROR(DL87/'McDonough &amp; Sun 1995 values'!F$2,)</f>
        <v>0</v>
      </c>
      <c r="EP87" s="18">
        <f>IFERROR(DM87/'McDonough &amp; Sun 1995 values'!G$2,)</f>
        <v>0</v>
      </c>
      <c r="EQ87" s="18">
        <f>IFERROR(BR87/'McDonough &amp; Sun 1995 values'!H$2,)</f>
        <v>0</v>
      </c>
      <c r="ER87" s="18">
        <f>IFERROR(DI87/'McDonough &amp; Sun 1995 values'!I$2,)</f>
        <v>0</v>
      </c>
      <c r="ES87" s="18">
        <f>IFERROR(CM87/'McDonough &amp; Sun 1995 values'!J$2,)</f>
        <v>0</v>
      </c>
      <c r="ET87" s="18">
        <f>IFERROR(CU87/'McDonough &amp; Sun 1995 values'!K$2,)</f>
        <v>0</v>
      </c>
      <c r="EU87" s="18">
        <f>IFERROR(CV87/'McDonough &amp; Sun 1995 values'!L$2,)</f>
        <v>0</v>
      </c>
      <c r="EV87" s="18">
        <f>IFERROR(CW87/'McDonough &amp; Sun 1995 values'!M$2,)</f>
        <v>0</v>
      </c>
      <c r="EW87" s="18">
        <f>IFERROR(CI87/'McDonough &amp; Sun 1995 values'!N$2,)</f>
        <v>0</v>
      </c>
      <c r="EX87" s="18">
        <f>IFERROR(CX87/'McDonough &amp; Sun 1995 values'!O$2,)</f>
        <v>0</v>
      </c>
      <c r="EY87" s="18">
        <f>IFERROR(CY87/'McDonough &amp; Sun 1995 values'!P$2,)</f>
        <v>0</v>
      </c>
      <c r="EZ87" s="18">
        <f>IFERROR(DH87/'McDonough &amp; Sun 1995 values'!Q$2,)</f>
        <v>0</v>
      </c>
      <c r="FA87" s="18">
        <f>IFERROR(CK87/'McDonough &amp; Sun 1995 values'!R$2,)</f>
        <v>0</v>
      </c>
      <c r="FB87" s="18">
        <f>IFERROR(CZ87/'McDonough &amp; Sun 1995 values'!S$2,)</f>
        <v>0</v>
      </c>
      <c r="FC87" s="18">
        <f>IFERROR(BT87/'McDonough &amp; Sun 1995 values'!T$2,)</f>
        <v>0</v>
      </c>
      <c r="FD87" s="18">
        <f>IFERROR(DA87/'McDonough &amp; Sun 1995 values'!U$2,)</f>
        <v>0</v>
      </c>
      <c r="FE87" s="18">
        <f>IFERROR(DN87/'McDonough &amp; Sun 1995 values'!V$2,)</f>
        <v>0</v>
      </c>
      <c r="FF87" s="18">
        <f>IFERROR(DB87/'McDonough &amp; Sun 1995 values'!W$2,)</f>
        <v>0</v>
      </c>
      <c r="FG87" s="18">
        <f>IFERROR(CJ87/'McDonough &amp; Sun 1995 values'!X$2,)</f>
        <v>0</v>
      </c>
      <c r="FH87" s="18">
        <f>IFERROR(DC87/'McDonough &amp; Sun 1995 values'!Y$2,)</f>
        <v>0</v>
      </c>
      <c r="FI87" s="18">
        <f>IFERROR(DD87/'McDonough &amp; Sun 1995 values'!Z$2,)</f>
        <v>0</v>
      </c>
      <c r="FJ87" s="18">
        <f>IFERROR(DE87/'McDonough &amp; Sun 1995 values'!AA$2,)</f>
        <v>0</v>
      </c>
      <c r="FK87" s="18">
        <f>IFERROR(DF87/'McDonough &amp; Sun 1995 values'!AB$2,)</f>
        <v>0</v>
      </c>
      <c r="FL87" s="18">
        <f>IFERROR(DG87/'McDonough &amp; Sun 1995 values'!AC$2,)</f>
        <v>0</v>
      </c>
      <c r="FN87" s="28">
        <f t="shared" si="160"/>
        <v>0</v>
      </c>
      <c r="FO87" s="4">
        <f t="shared" si="161"/>
        <v>0</v>
      </c>
      <c r="FP87" s="4">
        <f t="shared" si="162"/>
        <v>0</v>
      </c>
      <c r="FQ87" s="4">
        <f t="shared" si="163"/>
        <v>0</v>
      </c>
      <c r="FR87" s="4">
        <f t="shared" si="164"/>
        <v>0</v>
      </c>
      <c r="FS87" s="4">
        <f t="shared" si="165"/>
        <v>0</v>
      </c>
      <c r="FT87" s="4">
        <f t="shared" si="166"/>
        <v>0</v>
      </c>
      <c r="FU87" s="4">
        <f t="shared" si="167"/>
        <v>0</v>
      </c>
      <c r="FV87" s="4">
        <f t="shared" si="168"/>
        <v>0</v>
      </c>
      <c r="FW87" s="4">
        <f t="shared" si="169"/>
        <v>0</v>
      </c>
      <c r="FX87" s="4">
        <f t="shared" si="170"/>
        <v>0</v>
      </c>
      <c r="FY87" s="4">
        <f t="shared" si="171"/>
        <v>0</v>
      </c>
      <c r="FZ87" s="4">
        <f t="shared" si="172"/>
        <v>0</v>
      </c>
      <c r="GA87" s="4">
        <f t="shared" si="173"/>
        <v>0</v>
      </c>
      <c r="GB87" s="4">
        <f t="shared" si="174"/>
        <v>0</v>
      </c>
      <c r="GC87" s="4">
        <f t="shared" si="175"/>
        <v>0</v>
      </c>
      <c r="GD87" s="4">
        <f t="shared" si="176"/>
        <v>0</v>
      </c>
      <c r="GE87" s="4">
        <f t="shared" si="177"/>
        <v>0</v>
      </c>
      <c r="GF87" s="4">
        <f t="shared" si="178"/>
        <v>0</v>
      </c>
      <c r="GG87" s="4">
        <f t="shared" si="179"/>
        <v>0</v>
      </c>
      <c r="GH87" s="4">
        <f t="shared" si="180"/>
        <v>0</v>
      </c>
      <c r="GI87" s="4">
        <f t="shared" si="181"/>
        <v>0</v>
      </c>
      <c r="GJ87" s="4">
        <f t="shared" si="182"/>
        <v>0</v>
      </c>
      <c r="GK87" s="4">
        <f t="shared" si="183"/>
        <v>0</v>
      </c>
      <c r="GL87" s="4">
        <f t="shared" si="184"/>
        <v>0</v>
      </c>
      <c r="GM87" s="4">
        <f t="shared" si="185"/>
        <v>0</v>
      </c>
      <c r="GN87" s="4">
        <f t="shared" si="186"/>
        <v>0</v>
      </c>
      <c r="GO87" s="4">
        <f t="shared" si="187"/>
        <v>0</v>
      </c>
      <c r="GP87" s="4">
        <f t="shared" si="188"/>
        <v>0</v>
      </c>
      <c r="GQ87" s="27">
        <f t="shared" si="189"/>
        <v>159070.16163556767</v>
      </c>
      <c r="GR87" s="28" t="str">
        <f t="shared" si="190"/>
        <v/>
      </c>
      <c r="GS87" s="28" t="str">
        <f t="shared" si="191"/>
        <v/>
      </c>
      <c r="GT87" s="28" t="str">
        <f t="shared" si="192"/>
        <v/>
      </c>
      <c r="GU87" s="28" t="str">
        <f t="shared" si="193"/>
        <v/>
      </c>
      <c r="GV87" s="28" t="str">
        <f t="shared" si="194"/>
        <v/>
      </c>
      <c r="GW87" s="28" t="str">
        <f t="shared" si="195"/>
        <v/>
      </c>
      <c r="GX87" s="28" t="str">
        <f t="shared" si="196"/>
        <v/>
      </c>
      <c r="GY87" s="28" t="str">
        <f t="shared" si="197"/>
        <v/>
      </c>
      <c r="GZ87" s="28" t="str">
        <f t="shared" si="198"/>
        <v/>
      </c>
      <c r="HA87" s="28" t="str">
        <f t="shared" si="199"/>
        <v/>
      </c>
      <c r="HB87" s="28" t="str">
        <f t="shared" si="200"/>
        <v/>
      </c>
      <c r="HC87" s="28" t="str">
        <f t="shared" si="201"/>
        <v/>
      </c>
      <c r="HD87" s="28" t="str">
        <f t="shared" si="202"/>
        <v/>
      </c>
      <c r="HE87" s="28" t="str">
        <f t="shared" si="203"/>
        <v/>
      </c>
      <c r="HF87" s="28" t="str">
        <f t="shared" si="204"/>
        <v/>
      </c>
      <c r="HG87" s="28" t="str">
        <f t="shared" si="205"/>
        <v/>
      </c>
      <c r="HH87" s="28" t="str">
        <f t="shared" si="206"/>
        <v/>
      </c>
      <c r="HI87" s="28" t="str">
        <f t="shared" si="207"/>
        <v/>
      </c>
      <c r="HJ87" s="28" t="str">
        <f t="shared" si="208"/>
        <v/>
      </c>
      <c r="HK87" s="28" t="str">
        <f t="shared" si="209"/>
        <v/>
      </c>
      <c r="HL87" s="28" t="str">
        <f t="shared" si="210"/>
        <v/>
      </c>
      <c r="HM87" s="28" t="str">
        <f t="shared" si="211"/>
        <v/>
      </c>
      <c r="HN87" s="28" t="str">
        <f t="shared" si="212"/>
        <v/>
      </c>
      <c r="HO87" s="28" t="str">
        <f t="shared" si="213"/>
        <v/>
      </c>
      <c r="HP87" s="28" t="str">
        <f t="shared" si="214"/>
        <v/>
      </c>
      <c r="HQ87" s="28" t="str">
        <f t="shared" si="215"/>
        <v/>
      </c>
      <c r="HR87" s="28" t="str">
        <f t="shared" si="216"/>
        <v/>
      </c>
      <c r="HT87" s="4">
        <f>IFERROR(GR87/'McDonough &amp; Sun 1995 values'!C$2,)</f>
        <v>0</v>
      </c>
      <c r="HU87" s="4">
        <f>IFERROR(GS87/'McDonough &amp; Sun 1995 values'!D$2,)</f>
        <v>0</v>
      </c>
      <c r="HV87" s="4">
        <f>IFERROR(GT87/'McDonough &amp; Sun 1995 values'!E$2,)</f>
        <v>0</v>
      </c>
      <c r="HW87" s="4">
        <f>IFERROR(GU87/'McDonough &amp; Sun 1995 values'!F$2,)</f>
        <v>0</v>
      </c>
      <c r="HX87" s="4">
        <f>IFERROR(GV87/'McDonough &amp; Sun 1995 values'!G$2,)</f>
        <v>0</v>
      </c>
      <c r="HY87" s="4">
        <f>IFERROR(GW87/'McDonough &amp; Sun 1995 values'!H$2,)</f>
        <v>0</v>
      </c>
      <c r="HZ87" s="4">
        <f>IFERROR(GX87/'McDonough &amp; Sun 1995 values'!I$2,)</f>
        <v>0</v>
      </c>
      <c r="IA87" s="4">
        <f>IFERROR(GY87/'McDonough &amp; Sun 1995 values'!J$2,)</f>
        <v>0</v>
      </c>
      <c r="IB87" s="4">
        <f>IFERROR(GZ87/'McDonough &amp; Sun 1995 values'!K$2,)</f>
        <v>0</v>
      </c>
      <c r="IC87" s="4">
        <f>IFERROR(HA87/'McDonough &amp; Sun 1995 values'!L$2,)</f>
        <v>0</v>
      </c>
      <c r="ID87" s="4">
        <f>IFERROR(HB87/'McDonough &amp; Sun 1995 values'!M$2,)</f>
        <v>0</v>
      </c>
      <c r="IE87" s="4">
        <f>IFERROR(HC87/'McDonough &amp; Sun 1995 values'!N$2,)</f>
        <v>0</v>
      </c>
      <c r="IF87" s="4">
        <f>IFERROR(HD87/'McDonough &amp; Sun 1995 values'!O$2,)</f>
        <v>0</v>
      </c>
      <c r="IG87" s="4">
        <f>IFERROR(HE87/'McDonough &amp; Sun 1995 values'!P$2,)</f>
        <v>0</v>
      </c>
      <c r="IH87" s="4">
        <f>IFERROR(HF87/'McDonough &amp; Sun 1995 values'!Q$2,)</f>
        <v>0</v>
      </c>
      <c r="II87" s="4">
        <f>IFERROR(HG87/'McDonough &amp; Sun 1995 values'!R$2,)</f>
        <v>0</v>
      </c>
      <c r="IJ87" s="4">
        <f>IFERROR(HH87/'McDonough &amp; Sun 1995 values'!S$2,)</f>
        <v>0</v>
      </c>
      <c r="IK87" s="4">
        <f>IFERROR(HI87/'McDonough &amp; Sun 1995 values'!T$2,)</f>
        <v>0</v>
      </c>
      <c r="IL87" s="4">
        <f>IFERROR(HJ87/'McDonough &amp; Sun 1995 values'!U$2,)</f>
        <v>0</v>
      </c>
      <c r="IM87" s="4">
        <f>IFERROR(HK87/'McDonough &amp; Sun 1995 values'!V$2,)</f>
        <v>0</v>
      </c>
      <c r="IN87" s="4">
        <f>IFERROR(HL87/'McDonough &amp; Sun 1995 values'!W$2,)</f>
        <v>0</v>
      </c>
      <c r="IO87" s="4">
        <f>IFERROR(HM87/'McDonough &amp; Sun 1995 values'!X$2,)</f>
        <v>0</v>
      </c>
      <c r="IP87" s="4">
        <f>IFERROR(HN87/'McDonough &amp; Sun 1995 values'!Y$2,)</f>
        <v>0</v>
      </c>
      <c r="IQ87" s="4">
        <f>IFERROR(HO87/'McDonough &amp; Sun 1995 values'!Z$2,)</f>
        <v>0</v>
      </c>
      <c r="IR87" s="4">
        <f>IFERROR(HP87/'McDonough &amp; Sun 1995 values'!AA$2,)</f>
        <v>0</v>
      </c>
      <c r="IS87" s="4">
        <f>IFERROR(HQ87/'McDonough &amp; Sun 1995 values'!AB$2,)</f>
        <v>0</v>
      </c>
      <c r="IT87" s="4">
        <f>IFERROR(HR87/'McDonough &amp; Sun 1995 values'!AC$2,)</f>
        <v>0</v>
      </c>
    </row>
    <row r="88" spans="1:254">
      <c r="A88" s="16" t="s">
        <v>1656</v>
      </c>
      <c r="B88" s="4" t="s">
        <v>24</v>
      </c>
      <c r="C88" s="16" t="str">
        <f t="shared" si="144"/>
        <v>high-Mg carbonatitic</v>
      </c>
      <c r="D88" s="4" t="s">
        <v>1706</v>
      </c>
      <c r="E88" s="4" t="s">
        <v>237</v>
      </c>
      <c r="F88" s="4" t="s">
        <v>849</v>
      </c>
      <c r="G88" s="4" t="s">
        <v>595</v>
      </c>
      <c r="H88" s="49">
        <v>364</v>
      </c>
      <c r="I88" s="4" t="s">
        <v>1148</v>
      </c>
      <c r="J88" s="4" t="s">
        <v>635</v>
      </c>
      <c r="K88" s="4" t="s">
        <v>1678</v>
      </c>
      <c r="M88" s="4" t="s">
        <v>1701</v>
      </c>
      <c r="N88" s="4">
        <v>24</v>
      </c>
      <c r="O88" s="4">
        <v>11.1</v>
      </c>
      <c r="P88" s="4">
        <v>0.37</v>
      </c>
      <c r="R88" s="4">
        <v>2.1800000000000002</v>
      </c>
      <c r="S88" s="4">
        <v>13.8</v>
      </c>
      <c r="T88" s="4">
        <v>21.8</v>
      </c>
      <c r="V88" s="4">
        <v>15.1</v>
      </c>
      <c r="W88" s="4">
        <v>11.6</v>
      </c>
      <c r="X88" s="4">
        <v>11.1</v>
      </c>
      <c r="Z88" s="4">
        <v>10.199999999999999</v>
      </c>
      <c r="AA88" s="4">
        <v>1.69</v>
      </c>
      <c r="AB88" s="4">
        <v>0.12</v>
      </c>
      <c r="AD88" s="4">
        <v>0.79</v>
      </c>
      <c r="AF88" s="4">
        <v>0.16</v>
      </c>
      <c r="AJ88" s="26">
        <f t="shared" si="145"/>
        <v>98.16</v>
      </c>
      <c r="AK88" s="26">
        <f t="shared" si="147"/>
        <v>11.328606297385297</v>
      </c>
      <c r="AL88" s="26">
        <f t="shared" si="148"/>
        <v>0.37762020991284329</v>
      </c>
      <c r="AM88" s="26">
        <f t="shared" si="149"/>
        <v>2.2248974529999956</v>
      </c>
      <c r="AN88" s="26">
        <f t="shared" si="150"/>
        <v>14.08421323458713</v>
      </c>
      <c r="AO88" s="26">
        <f t="shared" si="151"/>
        <v>22.248974529999959</v>
      </c>
      <c r="AP88" s="26">
        <f t="shared" si="152"/>
        <v>15.410986945091713</v>
      </c>
      <c r="AQ88" s="26">
        <f t="shared" si="153"/>
        <v>0.12247141943119241</v>
      </c>
      <c r="AR88" s="26">
        <f t="shared" si="154"/>
        <v>11.838903878348601</v>
      </c>
      <c r="AS88" s="26">
        <f t="shared" si="155"/>
        <v>11.328606297385297</v>
      </c>
      <c r="AT88" s="26">
        <f t="shared" si="156"/>
        <v>10.410070651651356</v>
      </c>
      <c r="AU88" s="26">
        <f t="shared" si="157"/>
        <v>0.80627017792201683</v>
      </c>
      <c r="AV88" s="26">
        <f t="shared" si="146"/>
        <v>100.1816210947154</v>
      </c>
      <c r="BB88" s="26">
        <v>0.11</v>
      </c>
      <c r="BC88" s="26">
        <f t="shared" si="158"/>
        <v>0.10999999999999999</v>
      </c>
      <c r="BD88" s="26">
        <f t="shared" si="159"/>
        <v>0.89</v>
      </c>
      <c r="BG88" s="4">
        <v>521.89920000000006</v>
      </c>
      <c r="BH88" s="4">
        <v>29.88882101582351</v>
      </c>
      <c r="EL88" s="18">
        <f>IFERROR(CR88/'McDonough &amp; Sun 1995 values'!C$2,)</f>
        <v>0</v>
      </c>
      <c r="EM88" s="18">
        <f>IFERROR(CH88/'McDonough &amp; Sun 1995 values'!D$2,)</f>
        <v>0</v>
      </c>
      <c r="EN88" s="18">
        <f>IFERROR(CS88/'McDonough &amp; Sun 1995 values'!E$2,)</f>
        <v>0</v>
      </c>
      <c r="EO88" s="18">
        <f>IFERROR(DL88/'McDonough &amp; Sun 1995 values'!F$2,)</f>
        <v>0</v>
      </c>
      <c r="EP88" s="18">
        <f>IFERROR(DM88/'McDonough &amp; Sun 1995 values'!G$2,)</f>
        <v>0</v>
      </c>
      <c r="EQ88" s="18">
        <f>IFERROR(BR88/'McDonough &amp; Sun 1995 values'!H$2,)</f>
        <v>0</v>
      </c>
      <c r="ER88" s="18">
        <f>IFERROR(DI88/'McDonough &amp; Sun 1995 values'!I$2,)</f>
        <v>0</v>
      </c>
      <c r="ES88" s="18">
        <f>IFERROR(CM88/'McDonough &amp; Sun 1995 values'!J$2,)</f>
        <v>0</v>
      </c>
      <c r="ET88" s="18">
        <f>IFERROR(CU88/'McDonough &amp; Sun 1995 values'!K$2,)</f>
        <v>0</v>
      </c>
      <c r="EU88" s="18">
        <f>IFERROR(CV88/'McDonough &amp; Sun 1995 values'!L$2,)</f>
        <v>0</v>
      </c>
      <c r="EV88" s="18">
        <f>IFERROR(CW88/'McDonough &amp; Sun 1995 values'!M$2,)</f>
        <v>0</v>
      </c>
      <c r="EW88" s="18">
        <f>IFERROR(CI88/'McDonough &amp; Sun 1995 values'!N$2,)</f>
        <v>0</v>
      </c>
      <c r="EX88" s="18">
        <f>IFERROR(CX88/'McDonough &amp; Sun 1995 values'!O$2,)</f>
        <v>0</v>
      </c>
      <c r="EY88" s="18">
        <f>IFERROR(CY88/'McDonough &amp; Sun 1995 values'!P$2,)</f>
        <v>0</v>
      </c>
      <c r="EZ88" s="18">
        <f>IFERROR(DH88/'McDonough &amp; Sun 1995 values'!Q$2,)</f>
        <v>0</v>
      </c>
      <c r="FA88" s="18">
        <f>IFERROR(CK88/'McDonough &amp; Sun 1995 values'!R$2,)</f>
        <v>0</v>
      </c>
      <c r="FB88" s="18">
        <f>IFERROR(CZ88/'McDonough &amp; Sun 1995 values'!S$2,)</f>
        <v>0</v>
      </c>
      <c r="FC88" s="18">
        <f>IFERROR(BT88/'McDonough &amp; Sun 1995 values'!T$2,)</f>
        <v>0</v>
      </c>
      <c r="FD88" s="18">
        <f>IFERROR(DA88/'McDonough &amp; Sun 1995 values'!U$2,)</f>
        <v>0</v>
      </c>
      <c r="FE88" s="18">
        <f>IFERROR(DN88/'McDonough &amp; Sun 1995 values'!V$2,)</f>
        <v>0</v>
      </c>
      <c r="FF88" s="18">
        <f>IFERROR(DB88/'McDonough &amp; Sun 1995 values'!W$2,)</f>
        <v>0</v>
      </c>
      <c r="FG88" s="18">
        <f>IFERROR(CJ88/'McDonough &amp; Sun 1995 values'!X$2,)</f>
        <v>0</v>
      </c>
      <c r="FH88" s="18">
        <f>IFERROR(DC88/'McDonough &amp; Sun 1995 values'!Y$2,)</f>
        <v>0</v>
      </c>
      <c r="FI88" s="18">
        <f>IFERROR(DD88/'McDonough &amp; Sun 1995 values'!Z$2,)</f>
        <v>0</v>
      </c>
      <c r="FJ88" s="18">
        <f>IFERROR(DE88/'McDonough &amp; Sun 1995 values'!AA$2,)</f>
        <v>0</v>
      </c>
      <c r="FK88" s="18">
        <f>IFERROR(DF88/'McDonough &amp; Sun 1995 values'!AB$2,)</f>
        <v>0</v>
      </c>
      <c r="FL88" s="18">
        <f>IFERROR(DG88/'McDonough &amp; Sun 1995 values'!AC$2,)</f>
        <v>0</v>
      </c>
      <c r="FN88" s="28">
        <f t="shared" si="160"/>
        <v>0</v>
      </c>
      <c r="FO88" s="4">
        <f t="shared" si="161"/>
        <v>0</v>
      </c>
      <c r="FP88" s="4">
        <f t="shared" si="162"/>
        <v>0</v>
      </c>
      <c r="FQ88" s="4">
        <f t="shared" si="163"/>
        <v>0</v>
      </c>
      <c r="FR88" s="4">
        <f t="shared" si="164"/>
        <v>0</v>
      </c>
      <c r="FS88" s="4">
        <f t="shared" si="165"/>
        <v>0</v>
      </c>
      <c r="FT88" s="4">
        <f t="shared" si="166"/>
        <v>0</v>
      </c>
      <c r="FU88" s="4">
        <f t="shared" si="167"/>
        <v>0</v>
      </c>
      <c r="FV88" s="4">
        <f t="shared" si="168"/>
        <v>0</v>
      </c>
      <c r="FW88" s="4">
        <f t="shared" si="169"/>
        <v>0</v>
      </c>
      <c r="FX88" s="4">
        <f t="shared" si="170"/>
        <v>0</v>
      </c>
      <c r="FY88" s="4">
        <f t="shared" si="171"/>
        <v>0</v>
      </c>
      <c r="FZ88" s="4">
        <f t="shared" si="172"/>
        <v>0</v>
      </c>
      <c r="GA88" s="4">
        <f t="shared" si="173"/>
        <v>0</v>
      </c>
      <c r="GB88" s="4">
        <f t="shared" si="174"/>
        <v>0</v>
      </c>
      <c r="GC88" s="4">
        <f t="shared" si="175"/>
        <v>0</v>
      </c>
      <c r="GD88" s="4">
        <f t="shared" si="176"/>
        <v>0</v>
      </c>
      <c r="GE88" s="4">
        <f t="shared" si="177"/>
        <v>0</v>
      </c>
      <c r="GF88" s="4">
        <f t="shared" si="178"/>
        <v>0</v>
      </c>
      <c r="GG88" s="4">
        <f t="shared" si="179"/>
        <v>0</v>
      </c>
      <c r="GH88" s="4">
        <f t="shared" si="180"/>
        <v>0</v>
      </c>
      <c r="GI88" s="4">
        <f t="shared" si="181"/>
        <v>0</v>
      </c>
      <c r="GJ88" s="4">
        <f t="shared" si="182"/>
        <v>0</v>
      </c>
      <c r="GK88" s="4">
        <f t="shared" si="183"/>
        <v>0</v>
      </c>
      <c r="GL88" s="4">
        <f t="shared" si="184"/>
        <v>0</v>
      </c>
      <c r="GM88" s="4">
        <f t="shared" si="185"/>
        <v>0</v>
      </c>
      <c r="GN88" s="4">
        <f t="shared" si="186"/>
        <v>0</v>
      </c>
      <c r="GO88" s="4">
        <f t="shared" si="187"/>
        <v>0</v>
      </c>
      <c r="GP88" s="4">
        <f t="shared" si="188"/>
        <v>0</v>
      </c>
      <c r="GQ88" s="27">
        <f t="shared" si="189"/>
        <v>94042.986978344183</v>
      </c>
      <c r="GR88" s="28" t="str">
        <f t="shared" si="190"/>
        <v/>
      </c>
      <c r="GS88" s="28" t="str">
        <f t="shared" si="191"/>
        <v/>
      </c>
      <c r="GT88" s="28" t="str">
        <f t="shared" si="192"/>
        <v/>
      </c>
      <c r="GU88" s="28" t="str">
        <f t="shared" si="193"/>
        <v/>
      </c>
      <c r="GV88" s="28" t="str">
        <f t="shared" si="194"/>
        <v/>
      </c>
      <c r="GW88" s="28" t="str">
        <f t="shared" si="195"/>
        <v/>
      </c>
      <c r="GX88" s="28" t="str">
        <f t="shared" si="196"/>
        <v/>
      </c>
      <c r="GY88" s="28" t="str">
        <f t="shared" si="197"/>
        <v/>
      </c>
      <c r="GZ88" s="28" t="str">
        <f t="shared" si="198"/>
        <v/>
      </c>
      <c r="HA88" s="28" t="str">
        <f t="shared" si="199"/>
        <v/>
      </c>
      <c r="HB88" s="28" t="str">
        <f t="shared" si="200"/>
        <v/>
      </c>
      <c r="HC88" s="28" t="str">
        <f t="shared" si="201"/>
        <v/>
      </c>
      <c r="HD88" s="28" t="str">
        <f t="shared" si="202"/>
        <v/>
      </c>
      <c r="HE88" s="28" t="str">
        <f t="shared" si="203"/>
        <v/>
      </c>
      <c r="HF88" s="28" t="str">
        <f t="shared" si="204"/>
        <v/>
      </c>
      <c r="HG88" s="28" t="str">
        <f t="shared" si="205"/>
        <v/>
      </c>
      <c r="HH88" s="28" t="str">
        <f t="shared" si="206"/>
        <v/>
      </c>
      <c r="HI88" s="28" t="str">
        <f t="shared" si="207"/>
        <v/>
      </c>
      <c r="HJ88" s="28" t="str">
        <f t="shared" si="208"/>
        <v/>
      </c>
      <c r="HK88" s="28" t="str">
        <f t="shared" si="209"/>
        <v/>
      </c>
      <c r="HL88" s="28" t="str">
        <f t="shared" si="210"/>
        <v/>
      </c>
      <c r="HM88" s="28" t="str">
        <f t="shared" si="211"/>
        <v/>
      </c>
      <c r="HN88" s="28" t="str">
        <f t="shared" si="212"/>
        <v/>
      </c>
      <c r="HO88" s="28" t="str">
        <f t="shared" si="213"/>
        <v/>
      </c>
      <c r="HP88" s="28" t="str">
        <f t="shared" si="214"/>
        <v/>
      </c>
      <c r="HQ88" s="28" t="str">
        <f t="shared" si="215"/>
        <v/>
      </c>
      <c r="HR88" s="28" t="str">
        <f t="shared" si="216"/>
        <v/>
      </c>
      <c r="HT88" s="4">
        <f>IFERROR(GR88/'McDonough &amp; Sun 1995 values'!C$2,)</f>
        <v>0</v>
      </c>
      <c r="HU88" s="4">
        <f>IFERROR(GS88/'McDonough &amp; Sun 1995 values'!D$2,)</f>
        <v>0</v>
      </c>
      <c r="HV88" s="4">
        <f>IFERROR(GT88/'McDonough &amp; Sun 1995 values'!E$2,)</f>
        <v>0</v>
      </c>
      <c r="HW88" s="4">
        <f>IFERROR(GU88/'McDonough &amp; Sun 1995 values'!F$2,)</f>
        <v>0</v>
      </c>
      <c r="HX88" s="4">
        <f>IFERROR(GV88/'McDonough &amp; Sun 1995 values'!G$2,)</f>
        <v>0</v>
      </c>
      <c r="HY88" s="4">
        <f>IFERROR(GW88/'McDonough &amp; Sun 1995 values'!H$2,)</f>
        <v>0</v>
      </c>
      <c r="HZ88" s="4">
        <f>IFERROR(GX88/'McDonough &amp; Sun 1995 values'!I$2,)</f>
        <v>0</v>
      </c>
      <c r="IA88" s="4">
        <f>IFERROR(GY88/'McDonough &amp; Sun 1995 values'!J$2,)</f>
        <v>0</v>
      </c>
      <c r="IB88" s="4">
        <f>IFERROR(GZ88/'McDonough &amp; Sun 1995 values'!K$2,)</f>
        <v>0</v>
      </c>
      <c r="IC88" s="4">
        <f>IFERROR(HA88/'McDonough &amp; Sun 1995 values'!L$2,)</f>
        <v>0</v>
      </c>
      <c r="ID88" s="4">
        <f>IFERROR(HB88/'McDonough &amp; Sun 1995 values'!M$2,)</f>
        <v>0</v>
      </c>
      <c r="IE88" s="4">
        <f>IFERROR(HC88/'McDonough &amp; Sun 1995 values'!N$2,)</f>
        <v>0</v>
      </c>
      <c r="IF88" s="4">
        <f>IFERROR(HD88/'McDonough &amp; Sun 1995 values'!O$2,)</f>
        <v>0</v>
      </c>
      <c r="IG88" s="4">
        <f>IFERROR(HE88/'McDonough &amp; Sun 1995 values'!P$2,)</f>
        <v>0</v>
      </c>
      <c r="IH88" s="4">
        <f>IFERROR(HF88/'McDonough &amp; Sun 1995 values'!Q$2,)</f>
        <v>0</v>
      </c>
      <c r="II88" s="4">
        <f>IFERROR(HG88/'McDonough &amp; Sun 1995 values'!R$2,)</f>
        <v>0</v>
      </c>
      <c r="IJ88" s="4">
        <f>IFERROR(HH88/'McDonough &amp; Sun 1995 values'!S$2,)</f>
        <v>0</v>
      </c>
      <c r="IK88" s="4">
        <f>IFERROR(HI88/'McDonough &amp; Sun 1995 values'!T$2,)</f>
        <v>0</v>
      </c>
      <c r="IL88" s="4">
        <f>IFERROR(HJ88/'McDonough &amp; Sun 1995 values'!U$2,)</f>
        <v>0</v>
      </c>
      <c r="IM88" s="4">
        <f>IFERROR(HK88/'McDonough &amp; Sun 1995 values'!V$2,)</f>
        <v>0</v>
      </c>
      <c r="IN88" s="4">
        <f>IFERROR(HL88/'McDonough &amp; Sun 1995 values'!W$2,)</f>
        <v>0</v>
      </c>
      <c r="IO88" s="4">
        <f>IFERROR(HM88/'McDonough &amp; Sun 1995 values'!X$2,)</f>
        <v>0</v>
      </c>
      <c r="IP88" s="4">
        <f>IFERROR(HN88/'McDonough &amp; Sun 1995 values'!Y$2,)</f>
        <v>0</v>
      </c>
      <c r="IQ88" s="4">
        <f>IFERROR(HO88/'McDonough &amp; Sun 1995 values'!Z$2,)</f>
        <v>0</v>
      </c>
      <c r="IR88" s="4">
        <f>IFERROR(HP88/'McDonough &amp; Sun 1995 values'!AA$2,)</f>
        <v>0</v>
      </c>
      <c r="IS88" s="4">
        <f>IFERROR(HQ88/'McDonough &amp; Sun 1995 values'!AB$2,)</f>
        <v>0</v>
      </c>
      <c r="IT88" s="4">
        <f>IFERROR(HR88/'McDonough &amp; Sun 1995 values'!AC$2,)</f>
        <v>0</v>
      </c>
    </row>
    <row r="89" spans="1:254">
      <c r="A89" s="16" t="s">
        <v>1656</v>
      </c>
      <c r="B89" s="4" t="s">
        <v>24</v>
      </c>
      <c r="C89" s="16" t="str">
        <f t="shared" si="144"/>
        <v>high-Mg carbonatitic</v>
      </c>
      <c r="D89" s="4" t="s">
        <v>1706</v>
      </c>
      <c r="E89" s="4" t="s">
        <v>237</v>
      </c>
      <c r="F89" s="4" t="s">
        <v>849</v>
      </c>
      <c r="G89" s="4" t="s">
        <v>595</v>
      </c>
      <c r="H89" s="49">
        <v>364</v>
      </c>
      <c r="I89" s="4" t="s">
        <v>1148</v>
      </c>
      <c r="J89" s="4" t="s">
        <v>635</v>
      </c>
      <c r="K89" s="4" t="s">
        <v>1678</v>
      </c>
      <c r="M89" s="4" t="s">
        <v>1702</v>
      </c>
      <c r="N89" s="4">
        <v>24</v>
      </c>
      <c r="O89" s="4">
        <v>7.12</v>
      </c>
      <c r="S89" s="4">
        <v>6.58</v>
      </c>
      <c r="T89" s="4">
        <v>29.6</v>
      </c>
      <c r="V89" s="4">
        <v>12.6</v>
      </c>
      <c r="W89" s="4">
        <v>9.7899999999999991</v>
      </c>
      <c r="X89" s="4">
        <v>23</v>
      </c>
      <c r="Z89" s="4">
        <v>10.7</v>
      </c>
      <c r="AD89" s="4">
        <v>0.6</v>
      </c>
      <c r="AJ89" s="26">
        <f t="shared" si="145"/>
        <v>99.99</v>
      </c>
      <c r="AK89" s="26">
        <f t="shared" si="147"/>
        <v>7.1303546202128807</v>
      </c>
      <c r="AL89" s="26">
        <f t="shared" si="148"/>
        <v>0</v>
      </c>
      <c r="AM89" s="26">
        <f t="shared" si="149"/>
        <v>0</v>
      </c>
      <c r="AN89" s="26">
        <f t="shared" si="150"/>
        <v>6.5895692978933651</v>
      </c>
      <c r="AO89" s="26">
        <f t="shared" si="151"/>
        <v>29.643047297514229</v>
      </c>
      <c r="AP89" s="26">
        <f t="shared" si="152"/>
        <v>12.618324187455379</v>
      </c>
      <c r="AQ89" s="26">
        <f t="shared" si="153"/>
        <v>0</v>
      </c>
      <c r="AR89" s="26">
        <f t="shared" si="154"/>
        <v>9.8042376027927105</v>
      </c>
      <c r="AS89" s="26">
        <f t="shared" si="155"/>
        <v>23.033448913609028</v>
      </c>
      <c r="AT89" s="26">
        <f t="shared" si="156"/>
        <v>10.715561016331154</v>
      </c>
      <c r="AU89" s="26">
        <f t="shared" si="157"/>
        <v>0.60087258035501812</v>
      </c>
      <c r="AV89" s="26">
        <f t="shared" si="146"/>
        <v>100.13541551616375</v>
      </c>
      <c r="BB89" s="26">
        <v>0.11</v>
      </c>
      <c r="BC89" s="26">
        <f t="shared" si="158"/>
        <v>0.10999999999999999</v>
      </c>
      <c r="BD89" s="26">
        <f t="shared" si="159"/>
        <v>0.89</v>
      </c>
      <c r="BG89" s="4">
        <v>311.46900000000005</v>
      </c>
      <c r="BH89" s="4">
        <v>32.22346072931952</v>
      </c>
      <c r="EL89" s="18">
        <f>IFERROR(CR89/'McDonough &amp; Sun 1995 values'!C$2,)</f>
        <v>0</v>
      </c>
      <c r="EM89" s="18">
        <f>IFERROR(CH89/'McDonough &amp; Sun 1995 values'!D$2,)</f>
        <v>0</v>
      </c>
      <c r="EN89" s="18">
        <f>IFERROR(CS89/'McDonough &amp; Sun 1995 values'!E$2,)</f>
        <v>0</v>
      </c>
      <c r="EO89" s="18">
        <f>IFERROR(DL89/'McDonough &amp; Sun 1995 values'!F$2,)</f>
        <v>0</v>
      </c>
      <c r="EP89" s="18">
        <f>IFERROR(DM89/'McDonough &amp; Sun 1995 values'!G$2,)</f>
        <v>0</v>
      </c>
      <c r="EQ89" s="18">
        <f>IFERROR(BR89/'McDonough &amp; Sun 1995 values'!H$2,)</f>
        <v>0</v>
      </c>
      <c r="ER89" s="18">
        <f>IFERROR(DI89/'McDonough &amp; Sun 1995 values'!I$2,)</f>
        <v>0</v>
      </c>
      <c r="ES89" s="18">
        <f>IFERROR(CM89/'McDonough &amp; Sun 1995 values'!J$2,)</f>
        <v>0</v>
      </c>
      <c r="ET89" s="18">
        <f>IFERROR(CU89/'McDonough &amp; Sun 1995 values'!K$2,)</f>
        <v>0</v>
      </c>
      <c r="EU89" s="18">
        <f>IFERROR(CV89/'McDonough &amp; Sun 1995 values'!L$2,)</f>
        <v>0</v>
      </c>
      <c r="EV89" s="18">
        <f>IFERROR(CW89/'McDonough &amp; Sun 1995 values'!M$2,)</f>
        <v>0</v>
      </c>
      <c r="EW89" s="18">
        <f>IFERROR(CI89/'McDonough &amp; Sun 1995 values'!N$2,)</f>
        <v>0</v>
      </c>
      <c r="EX89" s="18">
        <f>IFERROR(CX89/'McDonough &amp; Sun 1995 values'!O$2,)</f>
        <v>0</v>
      </c>
      <c r="EY89" s="18">
        <f>IFERROR(CY89/'McDonough &amp; Sun 1995 values'!P$2,)</f>
        <v>0</v>
      </c>
      <c r="EZ89" s="18">
        <f>IFERROR(DH89/'McDonough &amp; Sun 1995 values'!Q$2,)</f>
        <v>0</v>
      </c>
      <c r="FA89" s="18">
        <f>IFERROR(CK89/'McDonough &amp; Sun 1995 values'!R$2,)</f>
        <v>0</v>
      </c>
      <c r="FB89" s="18">
        <f>IFERROR(CZ89/'McDonough &amp; Sun 1995 values'!S$2,)</f>
        <v>0</v>
      </c>
      <c r="FC89" s="18">
        <f>IFERROR(BT89/'McDonough &amp; Sun 1995 values'!T$2,)</f>
        <v>0</v>
      </c>
      <c r="FD89" s="18">
        <f>IFERROR(DA89/'McDonough &amp; Sun 1995 values'!U$2,)</f>
        <v>0</v>
      </c>
      <c r="FE89" s="18">
        <f>IFERROR(DN89/'McDonough &amp; Sun 1995 values'!V$2,)</f>
        <v>0</v>
      </c>
      <c r="FF89" s="18">
        <f>IFERROR(DB89/'McDonough &amp; Sun 1995 values'!W$2,)</f>
        <v>0</v>
      </c>
      <c r="FG89" s="18">
        <f>IFERROR(CJ89/'McDonough &amp; Sun 1995 values'!X$2,)</f>
        <v>0</v>
      </c>
      <c r="FH89" s="18">
        <f>IFERROR(DC89/'McDonough &amp; Sun 1995 values'!Y$2,)</f>
        <v>0</v>
      </c>
      <c r="FI89" s="18">
        <f>IFERROR(DD89/'McDonough &amp; Sun 1995 values'!Z$2,)</f>
        <v>0</v>
      </c>
      <c r="FJ89" s="18">
        <f>IFERROR(DE89/'McDonough &amp; Sun 1995 values'!AA$2,)</f>
        <v>0</v>
      </c>
      <c r="FK89" s="18">
        <f>IFERROR(DF89/'McDonough &amp; Sun 1995 values'!AB$2,)</f>
        <v>0</v>
      </c>
      <c r="FL89" s="18">
        <f>IFERROR(DG89/'McDonough &amp; Sun 1995 values'!AC$2,)</f>
        <v>0</v>
      </c>
      <c r="FN89" s="28">
        <f t="shared" si="160"/>
        <v>0</v>
      </c>
      <c r="FO89" s="4">
        <f t="shared" si="161"/>
        <v>0</v>
      </c>
      <c r="FP89" s="4">
        <f t="shared" si="162"/>
        <v>0</v>
      </c>
      <c r="FQ89" s="4">
        <f t="shared" si="163"/>
        <v>0</v>
      </c>
      <c r="FR89" s="4">
        <f t="shared" si="164"/>
        <v>0</v>
      </c>
      <c r="FS89" s="4">
        <f t="shared" si="165"/>
        <v>0</v>
      </c>
      <c r="FT89" s="4">
        <f t="shared" si="166"/>
        <v>0</v>
      </c>
      <c r="FU89" s="4">
        <f t="shared" si="167"/>
        <v>0</v>
      </c>
      <c r="FV89" s="4">
        <f t="shared" si="168"/>
        <v>0</v>
      </c>
      <c r="FW89" s="4">
        <f t="shared" si="169"/>
        <v>0</v>
      </c>
      <c r="FX89" s="4">
        <f t="shared" si="170"/>
        <v>0</v>
      </c>
      <c r="FY89" s="4">
        <f t="shared" si="171"/>
        <v>0</v>
      </c>
      <c r="FZ89" s="4">
        <f t="shared" si="172"/>
        <v>0</v>
      </c>
      <c r="GA89" s="4">
        <f t="shared" si="173"/>
        <v>0</v>
      </c>
      <c r="GB89" s="4">
        <f t="shared" si="174"/>
        <v>0</v>
      </c>
      <c r="GC89" s="4">
        <f t="shared" si="175"/>
        <v>0</v>
      </c>
      <c r="GD89" s="4">
        <f t="shared" si="176"/>
        <v>0</v>
      </c>
      <c r="GE89" s="4">
        <f t="shared" si="177"/>
        <v>0</v>
      </c>
      <c r="GF89" s="4">
        <f t="shared" si="178"/>
        <v>0</v>
      </c>
      <c r="GG89" s="4">
        <f t="shared" si="179"/>
        <v>0</v>
      </c>
      <c r="GH89" s="4">
        <f t="shared" si="180"/>
        <v>0</v>
      </c>
      <c r="GI89" s="4">
        <f t="shared" si="181"/>
        <v>0</v>
      </c>
      <c r="GJ89" s="4">
        <f t="shared" si="182"/>
        <v>0</v>
      </c>
      <c r="GK89" s="4">
        <f t="shared" si="183"/>
        <v>0</v>
      </c>
      <c r="GL89" s="4">
        <f t="shared" si="184"/>
        <v>0</v>
      </c>
      <c r="GM89" s="4">
        <f t="shared" si="185"/>
        <v>0</v>
      </c>
      <c r="GN89" s="4">
        <f t="shared" si="186"/>
        <v>0</v>
      </c>
      <c r="GO89" s="4">
        <f t="shared" si="187"/>
        <v>0</v>
      </c>
      <c r="GP89" s="4">
        <f t="shared" si="188"/>
        <v>0</v>
      </c>
      <c r="GQ89" s="27">
        <f t="shared" si="189"/>
        <v>191209.25199323459</v>
      </c>
      <c r="GR89" s="28" t="str">
        <f t="shared" si="190"/>
        <v/>
      </c>
      <c r="GS89" s="28" t="str">
        <f t="shared" si="191"/>
        <v/>
      </c>
      <c r="GT89" s="28" t="str">
        <f t="shared" si="192"/>
        <v/>
      </c>
      <c r="GU89" s="28" t="str">
        <f t="shared" si="193"/>
        <v/>
      </c>
      <c r="GV89" s="28" t="str">
        <f t="shared" si="194"/>
        <v/>
      </c>
      <c r="GW89" s="28" t="str">
        <f t="shared" si="195"/>
        <v/>
      </c>
      <c r="GX89" s="28" t="str">
        <f t="shared" si="196"/>
        <v/>
      </c>
      <c r="GY89" s="28" t="str">
        <f t="shared" si="197"/>
        <v/>
      </c>
      <c r="GZ89" s="28" t="str">
        <f t="shared" si="198"/>
        <v/>
      </c>
      <c r="HA89" s="28" t="str">
        <f t="shared" si="199"/>
        <v/>
      </c>
      <c r="HB89" s="28" t="str">
        <f t="shared" si="200"/>
        <v/>
      </c>
      <c r="HC89" s="28" t="str">
        <f t="shared" si="201"/>
        <v/>
      </c>
      <c r="HD89" s="28" t="str">
        <f t="shared" si="202"/>
        <v/>
      </c>
      <c r="HE89" s="28" t="str">
        <f t="shared" si="203"/>
        <v/>
      </c>
      <c r="HF89" s="28" t="str">
        <f t="shared" si="204"/>
        <v/>
      </c>
      <c r="HG89" s="28" t="str">
        <f t="shared" si="205"/>
        <v/>
      </c>
      <c r="HH89" s="28" t="str">
        <f t="shared" si="206"/>
        <v/>
      </c>
      <c r="HI89" s="28" t="str">
        <f t="shared" si="207"/>
        <v/>
      </c>
      <c r="HJ89" s="28" t="str">
        <f t="shared" si="208"/>
        <v/>
      </c>
      <c r="HK89" s="28" t="str">
        <f t="shared" si="209"/>
        <v/>
      </c>
      <c r="HL89" s="28" t="str">
        <f t="shared" si="210"/>
        <v/>
      </c>
      <c r="HM89" s="28" t="str">
        <f t="shared" si="211"/>
        <v/>
      </c>
      <c r="HN89" s="28" t="str">
        <f t="shared" si="212"/>
        <v/>
      </c>
      <c r="HO89" s="28" t="str">
        <f t="shared" si="213"/>
        <v/>
      </c>
      <c r="HP89" s="28" t="str">
        <f t="shared" si="214"/>
        <v/>
      </c>
      <c r="HQ89" s="28" t="str">
        <f t="shared" si="215"/>
        <v/>
      </c>
      <c r="HR89" s="28" t="str">
        <f t="shared" si="216"/>
        <v/>
      </c>
      <c r="HT89" s="4">
        <f>IFERROR(GR89/'McDonough &amp; Sun 1995 values'!C$2,)</f>
        <v>0</v>
      </c>
      <c r="HU89" s="4">
        <f>IFERROR(GS89/'McDonough &amp; Sun 1995 values'!D$2,)</f>
        <v>0</v>
      </c>
      <c r="HV89" s="4">
        <f>IFERROR(GT89/'McDonough &amp; Sun 1995 values'!E$2,)</f>
        <v>0</v>
      </c>
      <c r="HW89" s="4">
        <f>IFERROR(GU89/'McDonough &amp; Sun 1995 values'!F$2,)</f>
        <v>0</v>
      </c>
      <c r="HX89" s="4">
        <f>IFERROR(GV89/'McDonough &amp; Sun 1995 values'!G$2,)</f>
        <v>0</v>
      </c>
      <c r="HY89" s="4">
        <f>IFERROR(GW89/'McDonough &amp; Sun 1995 values'!H$2,)</f>
        <v>0</v>
      </c>
      <c r="HZ89" s="4">
        <f>IFERROR(GX89/'McDonough &amp; Sun 1995 values'!I$2,)</f>
        <v>0</v>
      </c>
      <c r="IA89" s="4">
        <f>IFERROR(GY89/'McDonough &amp; Sun 1995 values'!J$2,)</f>
        <v>0</v>
      </c>
      <c r="IB89" s="4">
        <f>IFERROR(GZ89/'McDonough &amp; Sun 1995 values'!K$2,)</f>
        <v>0</v>
      </c>
      <c r="IC89" s="4">
        <f>IFERROR(HA89/'McDonough &amp; Sun 1995 values'!L$2,)</f>
        <v>0</v>
      </c>
      <c r="ID89" s="4">
        <f>IFERROR(HB89/'McDonough &amp; Sun 1995 values'!M$2,)</f>
        <v>0</v>
      </c>
      <c r="IE89" s="4">
        <f>IFERROR(HC89/'McDonough &amp; Sun 1995 values'!N$2,)</f>
        <v>0</v>
      </c>
      <c r="IF89" s="4">
        <f>IFERROR(HD89/'McDonough &amp; Sun 1995 values'!O$2,)</f>
        <v>0</v>
      </c>
      <c r="IG89" s="4">
        <f>IFERROR(HE89/'McDonough &amp; Sun 1995 values'!P$2,)</f>
        <v>0</v>
      </c>
      <c r="IH89" s="4">
        <f>IFERROR(HF89/'McDonough &amp; Sun 1995 values'!Q$2,)</f>
        <v>0</v>
      </c>
      <c r="II89" s="4">
        <f>IFERROR(HG89/'McDonough &amp; Sun 1995 values'!R$2,)</f>
        <v>0</v>
      </c>
      <c r="IJ89" s="4">
        <f>IFERROR(HH89/'McDonough &amp; Sun 1995 values'!S$2,)</f>
        <v>0</v>
      </c>
      <c r="IK89" s="4">
        <f>IFERROR(HI89/'McDonough &amp; Sun 1995 values'!T$2,)</f>
        <v>0</v>
      </c>
      <c r="IL89" s="4">
        <f>IFERROR(HJ89/'McDonough &amp; Sun 1995 values'!U$2,)</f>
        <v>0</v>
      </c>
      <c r="IM89" s="4">
        <f>IFERROR(HK89/'McDonough &amp; Sun 1995 values'!V$2,)</f>
        <v>0</v>
      </c>
      <c r="IN89" s="4">
        <f>IFERROR(HL89/'McDonough &amp; Sun 1995 values'!W$2,)</f>
        <v>0</v>
      </c>
      <c r="IO89" s="4">
        <f>IFERROR(HM89/'McDonough &amp; Sun 1995 values'!X$2,)</f>
        <v>0</v>
      </c>
      <c r="IP89" s="4">
        <f>IFERROR(HN89/'McDonough &amp; Sun 1995 values'!Y$2,)</f>
        <v>0</v>
      </c>
      <c r="IQ89" s="4">
        <f>IFERROR(HO89/'McDonough &amp; Sun 1995 values'!Z$2,)</f>
        <v>0</v>
      </c>
      <c r="IR89" s="4">
        <f>IFERROR(HP89/'McDonough &amp; Sun 1995 values'!AA$2,)</f>
        <v>0</v>
      </c>
      <c r="IS89" s="4">
        <f>IFERROR(HQ89/'McDonough &amp; Sun 1995 values'!AB$2,)</f>
        <v>0</v>
      </c>
      <c r="IT89" s="4">
        <f>IFERROR(HR89/'McDonough &amp; Sun 1995 values'!AC$2,)</f>
        <v>0</v>
      </c>
    </row>
    <row r="90" spans="1:254">
      <c r="A90" s="16" t="s">
        <v>1656</v>
      </c>
      <c r="B90" s="4" t="s">
        <v>24</v>
      </c>
      <c r="C90" s="16" t="str">
        <f t="shared" si="144"/>
        <v>high-Mg carbonatitic</v>
      </c>
      <c r="D90" s="4" t="s">
        <v>1706</v>
      </c>
      <c r="E90" s="4" t="s">
        <v>237</v>
      </c>
      <c r="F90" s="4" t="s">
        <v>849</v>
      </c>
      <c r="G90" s="4" t="s">
        <v>595</v>
      </c>
      <c r="H90" s="49">
        <v>364</v>
      </c>
      <c r="I90" s="4" t="s">
        <v>1148</v>
      </c>
      <c r="J90" s="4" t="s">
        <v>635</v>
      </c>
      <c r="K90" s="4" t="s">
        <v>1678</v>
      </c>
      <c r="M90" s="4" t="s">
        <v>1703</v>
      </c>
      <c r="N90" s="4">
        <v>22</v>
      </c>
      <c r="O90" s="4">
        <v>11.7</v>
      </c>
      <c r="R90" s="4">
        <v>1.5</v>
      </c>
      <c r="S90" s="4">
        <v>6.31</v>
      </c>
      <c r="T90" s="4">
        <v>15.9</v>
      </c>
      <c r="V90" s="4">
        <v>8.86</v>
      </c>
      <c r="W90" s="4">
        <v>9.81</v>
      </c>
      <c r="X90" s="4">
        <v>17.600000000000001</v>
      </c>
      <c r="Z90" s="4">
        <v>20.9</v>
      </c>
      <c r="AA90" s="4">
        <v>1.24</v>
      </c>
      <c r="AB90" s="4">
        <v>3.1</v>
      </c>
      <c r="AD90" s="4">
        <v>3.1</v>
      </c>
      <c r="AJ90" s="26">
        <f t="shared" si="145"/>
        <v>98.78</v>
      </c>
      <c r="AK90" s="26">
        <f t="shared" si="147"/>
        <v>11.928387733110737</v>
      </c>
      <c r="AL90" s="26">
        <f t="shared" si="148"/>
        <v>0</v>
      </c>
      <c r="AM90" s="26">
        <f t="shared" si="149"/>
        <v>1.5292804786039407</v>
      </c>
      <c r="AN90" s="26">
        <f t="shared" si="150"/>
        <v>6.4331732133272439</v>
      </c>
      <c r="AO90" s="26">
        <f t="shared" si="151"/>
        <v>16.210373073201772</v>
      </c>
      <c r="AP90" s="26">
        <f t="shared" si="152"/>
        <v>9.0329500269539427</v>
      </c>
      <c r="AQ90" s="26">
        <f t="shared" si="153"/>
        <v>3.1605129891148107</v>
      </c>
      <c r="AR90" s="26">
        <f t="shared" si="154"/>
        <v>10.001494330069773</v>
      </c>
      <c r="AS90" s="26">
        <f t="shared" si="155"/>
        <v>17.943557615619572</v>
      </c>
      <c r="AT90" s="26">
        <f t="shared" si="156"/>
        <v>21.307974668548237</v>
      </c>
      <c r="AU90" s="26">
        <f t="shared" si="157"/>
        <v>3.1605129891148107</v>
      </c>
      <c r="AV90" s="26">
        <f t="shared" si="146"/>
        <v>100.70821711766484</v>
      </c>
      <c r="BB90" s="26">
        <v>0.15</v>
      </c>
      <c r="BC90" s="26">
        <f t="shared" si="158"/>
        <v>0.15000000000000002</v>
      </c>
      <c r="BD90" s="26">
        <f t="shared" si="159"/>
        <v>0.85</v>
      </c>
      <c r="BG90" s="4">
        <v>418.10324999999995</v>
      </c>
      <c r="BH90" s="4">
        <v>14.796146535648591</v>
      </c>
      <c r="BT90" s="44">
        <v>7133.0986258991607</v>
      </c>
      <c r="CH90" s="44">
        <v>215.28782946403317</v>
      </c>
      <c r="CI90" s="44">
        <v>10871.520590686701</v>
      </c>
      <c r="CJ90" s="44">
        <v>215.21592546506153</v>
      </c>
      <c r="CK90" s="44">
        <v>1427.8360109370462</v>
      </c>
      <c r="CM90" s="44">
        <v>1762.2692314076776</v>
      </c>
      <c r="CS90" s="44">
        <v>24679.714196968118</v>
      </c>
      <c r="CU90" s="44">
        <v>1767.4609406966754</v>
      </c>
      <c r="CV90" s="44">
        <v>2441.5172141802832</v>
      </c>
      <c r="CW90" s="44">
        <v>264.24784332798356</v>
      </c>
      <c r="CX90" s="44">
        <v>1076.2565139207732</v>
      </c>
      <c r="CY90" s="44">
        <v>109.3167348216648</v>
      </c>
      <c r="CZ90" s="44">
        <v>29.842427080782262</v>
      </c>
      <c r="DA90" s="44">
        <v>69.738166958001713</v>
      </c>
      <c r="DB90" s="44">
        <v>47.917545171451479</v>
      </c>
      <c r="DC90" s="44">
        <v>12.709517097567536</v>
      </c>
      <c r="DD90" s="44">
        <v>19.534315197028192</v>
      </c>
      <c r="DF90" s="44">
        <v>14.513072977567004</v>
      </c>
      <c r="DG90" s="44">
        <v>2.3315031319846238</v>
      </c>
      <c r="DH90" s="44">
        <v>36.014900552008854</v>
      </c>
      <c r="DI90" s="44">
        <v>78.042036959628135</v>
      </c>
      <c r="DK90" s="44">
        <v>410.49937929656522</v>
      </c>
      <c r="DL90" s="44">
        <v>344.89098192259854</v>
      </c>
      <c r="DM90" s="44">
        <v>34.018749317475397</v>
      </c>
      <c r="DN90" s="44">
        <v>9.2320061696919371</v>
      </c>
      <c r="EL90" s="18">
        <f>IFERROR(CR90/'McDonough &amp; Sun 1995 values'!C$2,)</f>
        <v>0</v>
      </c>
      <c r="EM90" s="18">
        <f>IFERROR(CH90/'McDonough &amp; Sun 1995 values'!D$2,)</f>
        <v>358.81304910672196</v>
      </c>
      <c r="EN90" s="18">
        <f>IFERROR(CS90/'McDonough &amp; Sun 1995 values'!E$2,)</f>
        <v>3739.3506359042603</v>
      </c>
      <c r="EO90" s="18">
        <f>IFERROR(DL90/'McDonough &amp; Sun 1995 values'!F$2,)</f>
        <v>4338.2513449383459</v>
      </c>
      <c r="EP90" s="18">
        <f>IFERROR(DM90/'McDonough &amp; Sun 1995 values'!G$2,)</f>
        <v>1675.8004589889358</v>
      </c>
      <c r="EQ90" s="18">
        <f>IFERROR(BR90/'McDonough &amp; Sun 1995 values'!H$2,)</f>
        <v>0</v>
      </c>
      <c r="ER90" s="18">
        <f>IFERROR(DI90/'McDonough &amp; Sun 1995 values'!I$2,)</f>
        <v>2109.2442421521118</v>
      </c>
      <c r="ES90" s="18">
        <f>IFERROR(CM90/'McDonough &amp; Sun 1995 values'!J$2,)</f>
        <v>2678.2207164250417</v>
      </c>
      <c r="ET90" s="18">
        <f>IFERROR(CU90/'McDonough &amp; Sun 1995 values'!K$2,)</f>
        <v>2727.5631800874621</v>
      </c>
      <c r="EU90" s="18">
        <f>IFERROR(CV90/'McDonough &amp; Sun 1995 values'!L$2,)</f>
        <v>1457.6222174210645</v>
      </c>
      <c r="EV90" s="18">
        <f>IFERROR(CW90/'McDonough &amp; Sun 1995 values'!M$2,)</f>
        <v>1040.345839873951</v>
      </c>
      <c r="EW90" s="18">
        <f>IFERROR(CI90/'McDonough &amp; Sun 1995 values'!N$2,)</f>
        <v>546.30756737119111</v>
      </c>
      <c r="EX90" s="18">
        <f>IFERROR(CX90/'McDonough &amp; Sun 1995 values'!O$2,)</f>
        <v>861.00521113661853</v>
      </c>
      <c r="EY90" s="18">
        <f>IFERROR(CY90/'McDonough &amp; Sun 1995 values'!P$2,)</f>
        <v>269.25304143267186</v>
      </c>
      <c r="EZ90" s="18">
        <f>IFERROR(DH90/'McDonough &amp; Sun 1995 values'!Q$2,)</f>
        <v>127.2611326926108</v>
      </c>
      <c r="FA90" s="18">
        <f>IFERROR(CK90/'McDonough &amp; Sun 1995 values'!R$2,)</f>
        <v>135.98438199400439</v>
      </c>
      <c r="FB90" s="18">
        <f>IFERROR(CZ90/'McDonough &amp; Sun 1995 values'!S$2,)</f>
        <v>193.78199403105364</v>
      </c>
      <c r="FC90" s="18">
        <f>IFERROR(BT90/'McDonough &amp; Sun 1995 values'!T$2,)</f>
        <v>5.9195839219080169</v>
      </c>
      <c r="FD90" s="18">
        <f>IFERROR(DA90/'McDonough &amp; Sun 1995 values'!U$2,)</f>
        <v>128.19515984926784</v>
      </c>
      <c r="FE90" s="18">
        <f>IFERROR(DN90/'McDonough &amp; Sun 1995 values'!V$2,)</f>
        <v>93.252587572645822</v>
      </c>
      <c r="FF90" s="18">
        <f>IFERROR(DB90/'McDonough &amp; Sun 1995 values'!W$2,)</f>
        <v>71.094280669809308</v>
      </c>
      <c r="FG90" s="18">
        <f>IFERROR(CJ90/'McDonough &amp; Sun 1995 values'!X$2,)</f>
        <v>50.050215224432918</v>
      </c>
      <c r="FH90" s="18">
        <f>IFERROR(DC90/'McDonough &amp; Sun 1995 values'!Y$2,)</f>
        <v>85.298772466896224</v>
      </c>
      <c r="FI90" s="18">
        <f>IFERROR(DD90/'McDonough &amp; Sun 1995 values'!Z$2,)</f>
        <v>44.598893143899986</v>
      </c>
      <c r="FJ90" s="18">
        <f>IFERROR(DE90/'McDonough &amp; Sun 1995 values'!AA$2,)</f>
        <v>0</v>
      </c>
      <c r="FK90" s="18">
        <f>IFERROR(DF90/'McDonough &amp; Sun 1995 values'!AB$2,)</f>
        <v>32.909462534165542</v>
      </c>
      <c r="FL90" s="18">
        <f>IFERROR(DG90/'McDonough &amp; Sun 1995 values'!AC$2,)</f>
        <v>34.54078714051294</v>
      </c>
      <c r="FN90" s="28">
        <f t="shared" si="160"/>
        <v>0</v>
      </c>
      <c r="FO90" s="4">
        <f t="shared" si="161"/>
        <v>2.2313817947993226</v>
      </c>
      <c r="FP90" s="4">
        <f t="shared" si="162"/>
        <v>1.6198259233574879</v>
      </c>
      <c r="FQ90" s="4">
        <f t="shared" si="163"/>
        <v>2.5887636691278582</v>
      </c>
      <c r="FR90" s="4">
        <f t="shared" si="164"/>
        <v>1.0184235986824433</v>
      </c>
      <c r="FS90" s="4">
        <f t="shared" si="165"/>
        <v>1.2931471498551845</v>
      </c>
      <c r="FT90" s="4">
        <f t="shared" si="166"/>
        <v>0</v>
      </c>
      <c r="FU90" s="4">
        <f t="shared" si="167"/>
        <v>0.78755430021749129</v>
      </c>
      <c r="FV90" s="4">
        <f t="shared" si="168"/>
        <v>0.50504306755624151</v>
      </c>
      <c r="FW90" s="4">
        <f t="shared" si="169"/>
        <v>1.0685460605043011</v>
      </c>
      <c r="FX90" s="4">
        <f t="shared" si="170"/>
        <v>0.97513081405840651</v>
      </c>
      <c r="FY90" s="4">
        <f t="shared" si="171"/>
        <v>0.57722543396424997</v>
      </c>
      <c r="FZ90" s="4">
        <f t="shared" si="172"/>
        <v>1.0430311950980025</v>
      </c>
      <c r="GA90" s="4">
        <f t="shared" si="173"/>
        <v>0.52512111495287195</v>
      </c>
      <c r="GB90" s="4">
        <f t="shared" si="174"/>
        <v>0.71970215452333097</v>
      </c>
      <c r="GC90" s="4">
        <f t="shared" si="175"/>
        <v>0</v>
      </c>
      <c r="GD90" s="4">
        <f t="shared" si="176"/>
        <v>0.86194882190658384</v>
      </c>
      <c r="GE90" s="4">
        <f t="shared" si="177"/>
        <v>10.42144549985991</v>
      </c>
      <c r="GF90" s="4">
        <f t="shared" si="178"/>
        <v>0</v>
      </c>
      <c r="GG90" s="4">
        <f t="shared" si="179"/>
        <v>1.3962070463317311</v>
      </c>
      <c r="GH90" s="4">
        <f t="shared" si="180"/>
        <v>2.6217850598777184</v>
      </c>
      <c r="GI90" s="4">
        <f t="shared" si="181"/>
        <v>10.130110937927896</v>
      </c>
      <c r="GJ90" s="4">
        <f t="shared" si="182"/>
        <v>38.365437478091557</v>
      </c>
      <c r="GK90" s="4">
        <f t="shared" si="183"/>
        <v>82.880818161517951</v>
      </c>
      <c r="GL90" s="4">
        <f t="shared" si="184"/>
        <v>22.971949344401477</v>
      </c>
      <c r="GM90" s="4">
        <f t="shared" si="185"/>
        <v>12.090561800186975</v>
      </c>
      <c r="GN90" s="4">
        <f t="shared" si="186"/>
        <v>0.98190968993032157</v>
      </c>
      <c r="GO90" s="4">
        <f t="shared" si="187"/>
        <v>1.5981739962291801</v>
      </c>
      <c r="GP90" s="4">
        <f t="shared" si="188"/>
        <v>0</v>
      </c>
      <c r="GQ90" s="27">
        <f t="shared" si="189"/>
        <v>148956.16555942598</v>
      </c>
      <c r="GR90" s="28" t="str">
        <f t="shared" si="190"/>
        <v/>
      </c>
      <c r="GS90" s="28" t="str">
        <f t="shared" si="191"/>
        <v/>
      </c>
      <c r="GT90" s="28" t="str">
        <f t="shared" si="192"/>
        <v/>
      </c>
      <c r="GU90" s="28" t="str">
        <f t="shared" si="193"/>
        <v/>
      </c>
      <c r="GV90" s="28" t="str">
        <f t="shared" si="194"/>
        <v/>
      </c>
      <c r="GW90" s="28" t="str">
        <f t="shared" si="195"/>
        <v/>
      </c>
      <c r="GX90" s="28" t="str">
        <f t="shared" si="196"/>
        <v/>
      </c>
      <c r="GY90" s="28" t="str">
        <f t="shared" si="197"/>
        <v/>
      </c>
      <c r="GZ90" s="28" t="str">
        <f t="shared" si="198"/>
        <v/>
      </c>
      <c r="HA90" s="28" t="str">
        <f t="shared" si="199"/>
        <v/>
      </c>
      <c r="HB90" s="28" t="str">
        <f t="shared" si="200"/>
        <v/>
      </c>
      <c r="HC90" s="28" t="str">
        <f t="shared" si="201"/>
        <v/>
      </c>
      <c r="HD90" s="28" t="str">
        <f t="shared" si="202"/>
        <v/>
      </c>
      <c r="HE90" s="28" t="str">
        <f t="shared" si="203"/>
        <v/>
      </c>
      <c r="HF90" s="28" t="str">
        <f t="shared" si="204"/>
        <v/>
      </c>
      <c r="HG90" s="28" t="str">
        <f t="shared" si="205"/>
        <v/>
      </c>
      <c r="HH90" s="28" t="str">
        <f t="shared" si="206"/>
        <v/>
      </c>
      <c r="HI90" s="28" t="str">
        <f t="shared" si="207"/>
        <v/>
      </c>
      <c r="HJ90" s="28" t="str">
        <f t="shared" si="208"/>
        <v/>
      </c>
      <c r="HK90" s="28" t="str">
        <f t="shared" si="209"/>
        <v/>
      </c>
      <c r="HL90" s="28" t="str">
        <f t="shared" si="210"/>
        <v/>
      </c>
      <c r="HM90" s="28" t="str">
        <f t="shared" si="211"/>
        <v/>
      </c>
      <c r="HN90" s="28" t="str">
        <f t="shared" si="212"/>
        <v/>
      </c>
      <c r="HO90" s="28" t="str">
        <f t="shared" si="213"/>
        <v/>
      </c>
      <c r="HP90" s="28" t="str">
        <f t="shared" si="214"/>
        <v/>
      </c>
      <c r="HQ90" s="28" t="str">
        <f t="shared" si="215"/>
        <v/>
      </c>
      <c r="HR90" s="28" t="str">
        <f t="shared" si="216"/>
        <v/>
      </c>
      <c r="HT90" s="4">
        <f>IFERROR(GR90/'McDonough &amp; Sun 1995 values'!C$2,)</f>
        <v>0</v>
      </c>
      <c r="HU90" s="4">
        <f>IFERROR(GS90/'McDonough &amp; Sun 1995 values'!D$2,)</f>
        <v>0</v>
      </c>
      <c r="HV90" s="4">
        <f>IFERROR(GT90/'McDonough &amp; Sun 1995 values'!E$2,)</f>
        <v>0</v>
      </c>
      <c r="HW90" s="4">
        <f>IFERROR(GU90/'McDonough &amp; Sun 1995 values'!F$2,)</f>
        <v>0</v>
      </c>
      <c r="HX90" s="4">
        <f>IFERROR(GV90/'McDonough &amp; Sun 1995 values'!G$2,)</f>
        <v>0</v>
      </c>
      <c r="HY90" s="4">
        <f>IFERROR(GW90/'McDonough &amp; Sun 1995 values'!H$2,)</f>
        <v>0</v>
      </c>
      <c r="HZ90" s="4">
        <f>IFERROR(GX90/'McDonough &amp; Sun 1995 values'!I$2,)</f>
        <v>0</v>
      </c>
      <c r="IA90" s="4">
        <f>IFERROR(GY90/'McDonough &amp; Sun 1995 values'!J$2,)</f>
        <v>0</v>
      </c>
      <c r="IB90" s="4">
        <f>IFERROR(GZ90/'McDonough &amp; Sun 1995 values'!K$2,)</f>
        <v>0</v>
      </c>
      <c r="IC90" s="4">
        <f>IFERROR(HA90/'McDonough &amp; Sun 1995 values'!L$2,)</f>
        <v>0</v>
      </c>
      <c r="ID90" s="4">
        <f>IFERROR(HB90/'McDonough &amp; Sun 1995 values'!M$2,)</f>
        <v>0</v>
      </c>
      <c r="IE90" s="4">
        <f>IFERROR(HC90/'McDonough &amp; Sun 1995 values'!N$2,)</f>
        <v>0</v>
      </c>
      <c r="IF90" s="4">
        <f>IFERROR(HD90/'McDonough &amp; Sun 1995 values'!O$2,)</f>
        <v>0</v>
      </c>
      <c r="IG90" s="4">
        <f>IFERROR(HE90/'McDonough &amp; Sun 1995 values'!P$2,)</f>
        <v>0</v>
      </c>
      <c r="IH90" s="4">
        <f>IFERROR(HF90/'McDonough &amp; Sun 1995 values'!Q$2,)</f>
        <v>0</v>
      </c>
      <c r="II90" s="4">
        <f>IFERROR(HG90/'McDonough &amp; Sun 1995 values'!R$2,)</f>
        <v>0</v>
      </c>
      <c r="IJ90" s="4">
        <f>IFERROR(HH90/'McDonough &amp; Sun 1995 values'!S$2,)</f>
        <v>0</v>
      </c>
      <c r="IK90" s="4">
        <f>IFERROR(HI90/'McDonough &amp; Sun 1995 values'!T$2,)</f>
        <v>0</v>
      </c>
      <c r="IL90" s="4">
        <f>IFERROR(HJ90/'McDonough &amp; Sun 1995 values'!U$2,)</f>
        <v>0</v>
      </c>
      <c r="IM90" s="4">
        <f>IFERROR(HK90/'McDonough &amp; Sun 1995 values'!V$2,)</f>
        <v>0</v>
      </c>
      <c r="IN90" s="4">
        <f>IFERROR(HL90/'McDonough &amp; Sun 1995 values'!W$2,)</f>
        <v>0</v>
      </c>
      <c r="IO90" s="4">
        <f>IFERROR(HM90/'McDonough &amp; Sun 1995 values'!X$2,)</f>
        <v>0</v>
      </c>
      <c r="IP90" s="4">
        <f>IFERROR(HN90/'McDonough &amp; Sun 1995 values'!Y$2,)</f>
        <v>0</v>
      </c>
      <c r="IQ90" s="4">
        <f>IFERROR(HO90/'McDonough &amp; Sun 1995 values'!Z$2,)</f>
        <v>0</v>
      </c>
      <c r="IR90" s="4">
        <f>IFERROR(HP90/'McDonough &amp; Sun 1995 values'!AA$2,)</f>
        <v>0</v>
      </c>
      <c r="IS90" s="4">
        <f>IFERROR(HQ90/'McDonough &amp; Sun 1995 values'!AB$2,)</f>
        <v>0</v>
      </c>
      <c r="IT90" s="4">
        <f>IFERROR(HR90/'McDonough &amp; Sun 1995 values'!AC$2,)</f>
        <v>0</v>
      </c>
    </row>
    <row r="91" spans="1:254">
      <c r="A91" s="16" t="s">
        <v>827</v>
      </c>
      <c r="B91" s="16" t="s">
        <v>24</v>
      </c>
      <c r="C91" s="16" t="str">
        <f t="shared" si="144"/>
        <v>low-Mg carbonatitic</v>
      </c>
      <c r="D91" s="16" t="s">
        <v>1718</v>
      </c>
      <c r="E91" s="16" t="s">
        <v>237</v>
      </c>
      <c r="F91" s="16" t="s">
        <v>817</v>
      </c>
      <c r="G91" s="16" t="s">
        <v>595</v>
      </c>
      <c r="H91" s="27" t="s">
        <v>1796</v>
      </c>
      <c r="I91" s="16" t="s">
        <v>735</v>
      </c>
      <c r="J91" s="16">
        <v>0</v>
      </c>
      <c r="K91" s="16" t="s">
        <v>802</v>
      </c>
      <c r="L91" s="16">
        <v>0</v>
      </c>
      <c r="M91" s="16" t="s">
        <v>821</v>
      </c>
      <c r="N91" s="16">
        <v>20</v>
      </c>
      <c r="O91" s="26">
        <v>16.3</v>
      </c>
      <c r="P91" s="26">
        <v>2.4</v>
      </c>
      <c r="Q91" s="26"/>
      <c r="R91" s="26">
        <v>3.1</v>
      </c>
      <c r="S91" s="26">
        <v>11.9</v>
      </c>
      <c r="T91" s="26">
        <v>10.9</v>
      </c>
      <c r="U91" s="26"/>
      <c r="V91" s="26">
        <v>17.100000000000001</v>
      </c>
      <c r="W91" s="26">
        <v>7</v>
      </c>
      <c r="X91" s="26">
        <v>23.6</v>
      </c>
      <c r="Y91" s="26"/>
      <c r="Z91" s="26">
        <v>2.5</v>
      </c>
      <c r="AA91" s="26"/>
      <c r="AB91" s="26">
        <v>1.1000000000000001</v>
      </c>
      <c r="AC91" s="26"/>
      <c r="AD91" s="26">
        <v>3</v>
      </c>
      <c r="AE91" s="26"/>
      <c r="AF91" s="26"/>
      <c r="AG91" s="26"/>
      <c r="AH91" s="26"/>
      <c r="AI91" s="26">
        <v>4.5</v>
      </c>
      <c r="AJ91" s="26">
        <f t="shared" si="145"/>
        <v>98.9</v>
      </c>
      <c r="AK91" s="26">
        <f t="shared" ref="AK91:AK104" si="217">100*(O91/($AJ91-$AD91*8/35.45))</f>
        <v>16.594892884990113</v>
      </c>
      <c r="AL91" s="26">
        <f t="shared" ref="AL91:AL104" si="218">100*(P91/($AJ91-$AD91*8/35.45))</f>
        <v>2.4434198112868879</v>
      </c>
      <c r="AM91" s="26">
        <f t="shared" ref="AM91:AM104" si="219">100*(R91/($AJ91-$AD91*8/35.45))</f>
        <v>3.1560839229122304</v>
      </c>
      <c r="AN91" s="26">
        <f t="shared" ref="AN91:AN104" si="220">100*(S91/($AJ91-$AD91*8/35.45))</f>
        <v>12.11528989763082</v>
      </c>
      <c r="AO91" s="26">
        <f t="shared" ref="AO91:AO104" si="221">100*(T91/($AJ91-$AD91*8/35.45))</f>
        <v>11.097198309594617</v>
      </c>
      <c r="AP91" s="26">
        <f t="shared" ref="AP91:AP104" si="222">100*(V91/($AJ91-$AD91*8/35.45))</f>
        <v>17.409366155419079</v>
      </c>
      <c r="AQ91" s="26">
        <f t="shared" ref="AQ91:AQ104" si="223">100*(AB91/($AJ91-$AD91*8/35.45))</f>
        <v>1.1199007468398237</v>
      </c>
      <c r="AR91" s="26">
        <f t="shared" ref="AR91:AR104" si="224">100*(W91/($AJ91-$AD91*8/35.45))</f>
        <v>7.1266411162534222</v>
      </c>
      <c r="AS91" s="26">
        <f t="shared" ref="AS91:AS104" si="225">100*(X91/($AJ91-$AD91*8/35.45))</f>
        <v>24.0269614776544</v>
      </c>
      <c r="AT91" s="26">
        <f t="shared" ref="AT91:AT104" si="226">100*(Z91/($AJ91-$AD91*8/35.45))</f>
        <v>2.5452289700905082</v>
      </c>
      <c r="AU91" s="26">
        <f t="shared" ref="AU91:AU104" si="227">100*(AD91/($AJ91-$AD91*8/35.45))</f>
        <v>3.0542747641086101</v>
      </c>
      <c r="AV91" s="26">
        <f t="shared" si="146"/>
        <v>100.6892580567805</v>
      </c>
      <c r="AW91" s="26">
        <v>0</v>
      </c>
      <c r="AX91" s="26">
        <v>0</v>
      </c>
      <c r="AY91" s="26"/>
      <c r="AZ91" s="26"/>
      <c r="BA91" s="26">
        <v>0.56000000000000005</v>
      </c>
      <c r="BB91" s="26">
        <v>0</v>
      </c>
      <c r="BC91" s="26">
        <f>1-BA91</f>
        <v>0.43999999999999995</v>
      </c>
      <c r="BD91" s="26">
        <f>BA91</f>
        <v>0.56000000000000005</v>
      </c>
      <c r="BE91" s="16"/>
      <c r="BF91" s="16"/>
      <c r="BG91" s="16"/>
      <c r="BH91" s="16"/>
      <c r="BI91" s="16"/>
      <c r="BJ91" s="16"/>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28"/>
      <c r="DW91" s="28"/>
      <c r="DX91" s="28"/>
      <c r="DY91" s="28"/>
      <c r="DZ91" s="28"/>
      <c r="EA91" s="28"/>
      <c r="EB91" s="28"/>
      <c r="EC91" s="28"/>
      <c r="ED91" s="28"/>
      <c r="EE91" s="28"/>
      <c r="EF91" s="28"/>
      <c r="EG91" s="28"/>
      <c r="EH91" s="28"/>
      <c r="EI91" s="28"/>
      <c r="EJ91" s="18"/>
      <c r="EK91" s="18"/>
      <c r="EL91" s="18">
        <f>IFERROR(CR91/'McDonough &amp; Sun 1995 values'!C$2,)</f>
        <v>0</v>
      </c>
      <c r="EM91" s="18">
        <f>IFERROR(CH91/'McDonough &amp; Sun 1995 values'!D$2,)</f>
        <v>0</v>
      </c>
      <c r="EN91" s="18">
        <f>IFERROR(CS91/'McDonough &amp; Sun 1995 values'!E$2,)</f>
        <v>0</v>
      </c>
      <c r="EO91" s="18">
        <f>IFERROR(DL91/'McDonough &amp; Sun 1995 values'!F$2,)</f>
        <v>0</v>
      </c>
      <c r="EP91" s="18">
        <f>IFERROR(DM91/'McDonough &amp; Sun 1995 values'!G$2,)</f>
        <v>0</v>
      </c>
      <c r="EQ91" s="18">
        <f>IFERROR(BR91/'McDonough &amp; Sun 1995 values'!H$2,)</f>
        <v>0</v>
      </c>
      <c r="ER91" s="18">
        <f>IFERROR(DI91/'McDonough &amp; Sun 1995 values'!I$2,)</f>
        <v>0</v>
      </c>
      <c r="ES91" s="18">
        <f>IFERROR(CM91/'McDonough &amp; Sun 1995 values'!J$2,)</f>
        <v>0</v>
      </c>
      <c r="ET91" s="18">
        <f>IFERROR(CU91/'McDonough &amp; Sun 1995 values'!K$2,)</f>
        <v>0</v>
      </c>
      <c r="EU91" s="18">
        <f>IFERROR(CV91/'McDonough &amp; Sun 1995 values'!L$2,)</f>
        <v>0</v>
      </c>
      <c r="EV91" s="18">
        <f>IFERROR(CW91/'McDonough &amp; Sun 1995 values'!M$2,)</f>
        <v>0</v>
      </c>
      <c r="EW91" s="18">
        <f>IFERROR(CI91/'McDonough &amp; Sun 1995 values'!N$2,)</f>
        <v>0</v>
      </c>
      <c r="EX91" s="18">
        <f>IFERROR(CX91/'McDonough &amp; Sun 1995 values'!O$2,)</f>
        <v>0</v>
      </c>
      <c r="EY91" s="18">
        <f>IFERROR(CY91/'McDonough &amp; Sun 1995 values'!P$2,)</f>
        <v>0</v>
      </c>
      <c r="EZ91" s="18">
        <f>IFERROR(DH91/'McDonough &amp; Sun 1995 values'!Q$2,)</f>
        <v>0</v>
      </c>
      <c r="FA91" s="18">
        <f>IFERROR(CK91/'McDonough &amp; Sun 1995 values'!R$2,)</f>
        <v>0</v>
      </c>
      <c r="FB91" s="18">
        <f>IFERROR(CZ91/'McDonough &amp; Sun 1995 values'!S$2,)</f>
        <v>0</v>
      </c>
      <c r="FC91" s="18">
        <f>IFERROR(BT91/'McDonough &amp; Sun 1995 values'!T$2,)</f>
        <v>0</v>
      </c>
      <c r="FD91" s="18">
        <f>IFERROR(DA91/'McDonough &amp; Sun 1995 values'!U$2,)</f>
        <v>0</v>
      </c>
      <c r="FE91" s="18">
        <f>IFERROR(DN91/'McDonough &amp; Sun 1995 values'!V$2,)</f>
        <v>0</v>
      </c>
      <c r="FF91" s="18">
        <f>IFERROR(DB91/'McDonough &amp; Sun 1995 values'!W$2,)</f>
        <v>0</v>
      </c>
      <c r="FG91" s="18">
        <f>IFERROR(CJ91/'McDonough &amp; Sun 1995 values'!X$2,)</f>
        <v>0</v>
      </c>
      <c r="FH91" s="18">
        <f>IFERROR(DC91/'McDonough &amp; Sun 1995 values'!Y$2,)</f>
        <v>0</v>
      </c>
      <c r="FI91" s="18">
        <f>IFERROR(DD91/'McDonough &amp; Sun 1995 values'!Z$2,)</f>
        <v>0</v>
      </c>
      <c r="FJ91" s="18">
        <f>IFERROR(DE91/'McDonough &amp; Sun 1995 values'!AA$2,)</f>
        <v>0</v>
      </c>
      <c r="FK91" s="18">
        <f>IFERROR(DF91/'McDonough &amp; Sun 1995 values'!AB$2,)</f>
        <v>0</v>
      </c>
      <c r="FL91" s="18">
        <f>IFERROR(DG91/'McDonough &amp; Sun 1995 values'!AC$2,)</f>
        <v>0</v>
      </c>
      <c r="FN91" s="28">
        <f t="shared" ref="FN91:FN104" si="228">IFERROR(EP91/EQ91,)</f>
        <v>0</v>
      </c>
      <c r="FO91" s="4">
        <f t="shared" si="161"/>
        <v>0</v>
      </c>
      <c r="FP91" s="4">
        <f t="shared" si="162"/>
        <v>0</v>
      </c>
      <c r="FQ91" s="4">
        <f t="shared" si="163"/>
        <v>0</v>
      </c>
      <c r="FR91" s="4">
        <f t="shared" si="164"/>
        <v>0</v>
      </c>
      <c r="FS91" s="4">
        <f t="shared" si="165"/>
        <v>0</v>
      </c>
      <c r="FT91" s="4">
        <f t="shared" si="166"/>
        <v>0</v>
      </c>
      <c r="FU91" s="4">
        <f t="shared" si="167"/>
        <v>0</v>
      </c>
      <c r="FV91" s="4">
        <f t="shared" si="168"/>
        <v>0</v>
      </c>
      <c r="FW91" s="4">
        <f t="shared" si="169"/>
        <v>0</v>
      </c>
      <c r="FX91" s="4">
        <f t="shared" si="170"/>
        <v>0</v>
      </c>
      <c r="FY91" s="4">
        <f t="shared" si="171"/>
        <v>0</v>
      </c>
      <c r="FZ91" s="4">
        <f t="shared" si="172"/>
        <v>0</v>
      </c>
      <c r="GA91" s="4">
        <f t="shared" si="173"/>
        <v>0</v>
      </c>
      <c r="GB91" s="4">
        <f t="shared" si="174"/>
        <v>0</v>
      </c>
      <c r="GC91" s="4">
        <f t="shared" si="175"/>
        <v>0</v>
      </c>
      <c r="GD91" s="4">
        <f t="shared" si="176"/>
        <v>0</v>
      </c>
      <c r="GE91" s="4">
        <f t="shared" si="177"/>
        <v>0</v>
      </c>
      <c r="GF91" s="4">
        <f t="shared" si="178"/>
        <v>0</v>
      </c>
      <c r="GG91" s="4">
        <f t="shared" si="179"/>
        <v>0</v>
      </c>
      <c r="GH91" s="4">
        <f t="shared" si="180"/>
        <v>0</v>
      </c>
      <c r="GI91" s="4">
        <f t="shared" si="181"/>
        <v>0</v>
      </c>
      <c r="GJ91" s="4">
        <f t="shared" si="182"/>
        <v>0</v>
      </c>
      <c r="GK91" s="4">
        <f t="shared" si="183"/>
        <v>0</v>
      </c>
      <c r="GL91" s="4">
        <f t="shared" si="184"/>
        <v>0</v>
      </c>
      <c r="GM91" s="4">
        <f t="shared" si="185"/>
        <v>0</v>
      </c>
      <c r="GN91" s="4">
        <f t="shared" si="186"/>
        <v>0</v>
      </c>
      <c r="GO91" s="4">
        <f t="shared" si="187"/>
        <v>0</v>
      </c>
      <c r="GP91" s="4">
        <f t="shared" si="188"/>
        <v>0</v>
      </c>
      <c r="GQ91" s="27">
        <f t="shared" si="189"/>
        <v>199456.77041435803</v>
      </c>
      <c r="GR91" s="28" t="str">
        <f t="shared" si="190"/>
        <v/>
      </c>
      <c r="GS91" s="28" t="str">
        <f t="shared" si="191"/>
        <v/>
      </c>
      <c r="GT91" s="28" t="str">
        <f t="shared" si="192"/>
        <v/>
      </c>
      <c r="GU91" s="28" t="str">
        <f t="shared" si="193"/>
        <v/>
      </c>
      <c r="GV91" s="28" t="str">
        <f t="shared" si="194"/>
        <v/>
      </c>
      <c r="GW91" s="28" t="str">
        <f t="shared" si="195"/>
        <v/>
      </c>
      <c r="GX91" s="28" t="str">
        <f t="shared" si="196"/>
        <v/>
      </c>
      <c r="GY91" s="28" t="str">
        <f t="shared" si="197"/>
        <v/>
      </c>
      <c r="GZ91" s="28" t="str">
        <f t="shared" si="198"/>
        <v/>
      </c>
      <c r="HA91" s="28" t="str">
        <f t="shared" si="199"/>
        <v/>
      </c>
      <c r="HB91" s="28" t="str">
        <f t="shared" si="200"/>
        <v/>
      </c>
      <c r="HC91" s="28" t="str">
        <f t="shared" si="201"/>
        <v/>
      </c>
      <c r="HD91" s="28" t="str">
        <f t="shared" si="202"/>
        <v/>
      </c>
      <c r="HE91" s="28" t="str">
        <f t="shared" si="203"/>
        <v/>
      </c>
      <c r="HF91" s="28" t="str">
        <f t="shared" si="204"/>
        <v/>
      </c>
      <c r="HG91" s="28" t="str">
        <f t="shared" si="205"/>
        <v/>
      </c>
      <c r="HH91" s="28" t="str">
        <f t="shared" si="206"/>
        <v/>
      </c>
      <c r="HI91" s="28" t="str">
        <f t="shared" si="207"/>
        <v/>
      </c>
      <c r="HJ91" s="28" t="str">
        <f t="shared" si="208"/>
        <v/>
      </c>
      <c r="HK91" s="28" t="str">
        <f t="shared" si="209"/>
        <v/>
      </c>
      <c r="HL91" s="28" t="str">
        <f t="shared" si="210"/>
        <v/>
      </c>
      <c r="HM91" s="28" t="str">
        <f t="shared" si="211"/>
        <v/>
      </c>
      <c r="HN91" s="28" t="str">
        <f t="shared" si="212"/>
        <v/>
      </c>
      <c r="HO91" s="28" t="str">
        <f t="shared" si="213"/>
        <v/>
      </c>
      <c r="HP91" s="28" t="str">
        <f t="shared" si="214"/>
        <v/>
      </c>
      <c r="HQ91" s="28" t="str">
        <f t="shared" si="215"/>
        <v/>
      </c>
      <c r="HR91" s="28" t="str">
        <f t="shared" si="216"/>
        <v/>
      </c>
      <c r="HT91" s="4">
        <f>IFERROR(GR91/'McDonough &amp; Sun 1995 values'!C$2,)</f>
        <v>0</v>
      </c>
      <c r="HU91" s="4">
        <f>IFERROR(GS91/'McDonough &amp; Sun 1995 values'!D$2,)</f>
        <v>0</v>
      </c>
      <c r="HV91" s="4">
        <f>IFERROR(GT91/'McDonough &amp; Sun 1995 values'!E$2,)</f>
        <v>0</v>
      </c>
      <c r="HW91" s="4">
        <f>IFERROR(GU91/'McDonough &amp; Sun 1995 values'!F$2,)</f>
        <v>0</v>
      </c>
      <c r="HX91" s="4">
        <f>IFERROR(GV91/'McDonough &amp; Sun 1995 values'!G$2,)</f>
        <v>0</v>
      </c>
      <c r="HY91" s="4">
        <f>IFERROR(GW91/'McDonough &amp; Sun 1995 values'!H$2,)</f>
        <v>0</v>
      </c>
      <c r="HZ91" s="4">
        <f>IFERROR(GX91/'McDonough &amp; Sun 1995 values'!I$2,)</f>
        <v>0</v>
      </c>
      <c r="IA91" s="4">
        <f>IFERROR(GY91/'McDonough &amp; Sun 1995 values'!J$2,)</f>
        <v>0</v>
      </c>
      <c r="IB91" s="4">
        <f>IFERROR(GZ91/'McDonough &amp; Sun 1995 values'!K$2,)</f>
        <v>0</v>
      </c>
      <c r="IC91" s="4">
        <f>IFERROR(HA91/'McDonough &amp; Sun 1995 values'!L$2,)</f>
        <v>0</v>
      </c>
      <c r="ID91" s="4">
        <f>IFERROR(HB91/'McDonough &amp; Sun 1995 values'!M$2,)</f>
        <v>0</v>
      </c>
      <c r="IE91" s="4">
        <f>IFERROR(HC91/'McDonough &amp; Sun 1995 values'!N$2,)</f>
        <v>0</v>
      </c>
      <c r="IF91" s="4">
        <f>IFERROR(HD91/'McDonough &amp; Sun 1995 values'!O$2,)</f>
        <v>0</v>
      </c>
      <c r="IG91" s="4">
        <f>IFERROR(HE91/'McDonough &amp; Sun 1995 values'!P$2,)</f>
        <v>0</v>
      </c>
      <c r="IH91" s="4">
        <f>IFERROR(HF91/'McDonough &amp; Sun 1995 values'!Q$2,)</f>
        <v>0</v>
      </c>
      <c r="II91" s="4">
        <f>IFERROR(HG91/'McDonough &amp; Sun 1995 values'!R$2,)</f>
        <v>0</v>
      </c>
      <c r="IJ91" s="4">
        <f>IFERROR(HH91/'McDonough &amp; Sun 1995 values'!S$2,)</f>
        <v>0</v>
      </c>
      <c r="IK91" s="4">
        <f>IFERROR(HI91/'McDonough &amp; Sun 1995 values'!T$2,)</f>
        <v>0</v>
      </c>
      <c r="IL91" s="4">
        <f>IFERROR(HJ91/'McDonough &amp; Sun 1995 values'!U$2,)</f>
        <v>0</v>
      </c>
      <c r="IM91" s="4">
        <f>IFERROR(HK91/'McDonough &amp; Sun 1995 values'!V$2,)</f>
        <v>0</v>
      </c>
      <c r="IN91" s="4">
        <f>IFERROR(HL91/'McDonough &amp; Sun 1995 values'!W$2,)</f>
        <v>0</v>
      </c>
      <c r="IO91" s="4">
        <f>IFERROR(HM91/'McDonough &amp; Sun 1995 values'!X$2,)</f>
        <v>0</v>
      </c>
      <c r="IP91" s="4">
        <f>IFERROR(HN91/'McDonough &amp; Sun 1995 values'!Y$2,)</f>
        <v>0</v>
      </c>
      <c r="IQ91" s="4">
        <f>IFERROR(HO91/'McDonough &amp; Sun 1995 values'!Z$2,)</f>
        <v>0</v>
      </c>
      <c r="IR91" s="4">
        <f>IFERROR(HP91/'McDonough &amp; Sun 1995 values'!AA$2,)</f>
        <v>0</v>
      </c>
      <c r="IS91" s="4">
        <f>IFERROR(HQ91/'McDonough &amp; Sun 1995 values'!AB$2,)</f>
        <v>0</v>
      </c>
      <c r="IT91" s="4">
        <f>IFERROR(HR91/'McDonough &amp; Sun 1995 values'!AC$2,)</f>
        <v>0</v>
      </c>
    </row>
    <row r="92" spans="1:254">
      <c r="A92" s="16" t="s">
        <v>1469</v>
      </c>
      <c r="B92" s="16" t="s">
        <v>24</v>
      </c>
      <c r="C92" s="16" t="str">
        <f t="shared" si="144"/>
        <v>low-Mg carbonatitic</v>
      </c>
      <c r="D92" s="16" t="s">
        <v>1705</v>
      </c>
      <c r="E92" s="16" t="s">
        <v>237</v>
      </c>
      <c r="F92" s="16" t="s">
        <v>817</v>
      </c>
      <c r="G92" s="16" t="s">
        <v>595</v>
      </c>
      <c r="H92" s="27" t="s">
        <v>1796</v>
      </c>
      <c r="I92" s="16" t="s">
        <v>735</v>
      </c>
      <c r="J92" s="16" t="s">
        <v>596</v>
      </c>
      <c r="K92" s="16" t="s">
        <v>115</v>
      </c>
      <c r="L92" s="16">
        <v>0</v>
      </c>
      <c r="M92" s="16" t="s">
        <v>589</v>
      </c>
      <c r="N92" s="16">
        <v>15</v>
      </c>
      <c r="O92" s="26">
        <v>9.8000000000000007</v>
      </c>
      <c r="P92" s="26">
        <v>3.3</v>
      </c>
      <c r="Q92" s="26"/>
      <c r="R92" s="26">
        <v>1.3</v>
      </c>
      <c r="S92" s="26">
        <v>17.5</v>
      </c>
      <c r="T92" s="26">
        <v>12</v>
      </c>
      <c r="U92" s="26"/>
      <c r="V92" s="26">
        <v>21.3</v>
      </c>
      <c r="W92" s="26">
        <v>8.3000000000000007</v>
      </c>
      <c r="X92" s="26">
        <v>22.5</v>
      </c>
      <c r="Y92" s="26"/>
      <c r="Z92" s="26">
        <v>1.2</v>
      </c>
      <c r="AA92" s="26"/>
      <c r="AB92" s="26"/>
      <c r="AC92" s="26"/>
      <c r="AD92" s="26">
        <v>2.7</v>
      </c>
      <c r="AE92" s="26"/>
      <c r="AF92" s="26"/>
      <c r="AG92" s="26"/>
      <c r="AH92" s="26"/>
      <c r="AI92" s="26"/>
      <c r="AJ92" s="26">
        <f t="shared" si="145"/>
        <v>99.9</v>
      </c>
      <c r="AK92" s="26">
        <f t="shared" si="217"/>
        <v>9.8700088497963705</v>
      </c>
      <c r="AL92" s="26">
        <f t="shared" si="218"/>
        <v>3.3235744086048999</v>
      </c>
      <c r="AM92" s="26">
        <f t="shared" si="219"/>
        <v>1.309286888238294</v>
      </c>
      <c r="AN92" s="26">
        <f t="shared" si="220"/>
        <v>17.625015803207802</v>
      </c>
      <c r="AO92" s="26">
        <f t="shared" si="221"/>
        <v>12.085725122199635</v>
      </c>
      <c r="AP92" s="26">
        <f t="shared" si="222"/>
        <v>21.452162091904352</v>
      </c>
      <c r="AQ92" s="26">
        <f t="shared" si="223"/>
        <v>0</v>
      </c>
      <c r="AR92" s="26">
        <f t="shared" si="224"/>
        <v>8.3592932095214145</v>
      </c>
      <c r="AS92" s="26">
        <f t="shared" si="225"/>
        <v>22.660734604124315</v>
      </c>
      <c r="AT92" s="26">
        <f t="shared" si="226"/>
        <v>1.2085725122199635</v>
      </c>
      <c r="AU92" s="26">
        <f t="shared" si="227"/>
        <v>2.7192881524949182</v>
      </c>
      <c r="AV92" s="26">
        <f t="shared" si="146"/>
        <v>100.61366164231195</v>
      </c>
      <c r="AW92" s="26"/>
      <c r="AX92" s="26"/>
      <c r="AY92" s="26"/>
      <c r="AZ92" s="26"/>
      <c r="BA92" s="26">
        <v>0.66</v>
      </c>
      <c r="BB92" s="26"/>
      <c r="BC92" s="26">
        <f>1-BA92</f>
        <v>0.33999999999999997</v>
      </c>
      <c r="BD92" s="26">
        <f>BA92</f>
        <v>0.66</v>
      </c>
      <c r="BE92" s="16"/>
      <c r="BF92" s="16"/>
      <c r="BG92" s="16"/>
      <c r="BH92" s="16"/>
      <c r="BI92" s="16"/>
      <c r="BJ92" s="16">
        <v>57.9</v>
      </c>
      <c r="BK92" s="18"/>
      <c r="BL92" s="18"/>
      <c r="BM92" s="18"/>
      <c r="BN92" s="18">
        <v>13.7</v>
      </c>
      <c r="BO92" s="18"/>
      <c r="BP92" s="18"/>
      <c r="BQ92" s="18"/>
      <c r="BR92" s="18">
        <v>24</v>
      </c>
      <c r="BS92" s="18"/>
      <c r="BT92" s="18"/>
      <c r="BU92" s="18">
        <v>0.06</v>
      </c>
      <c r="BV92" s="18"/>
      <c r="BW92" s="18">
        <v>17.100000000000001</v>
      </c>
      <c r="BX92" s="18"/>
      <c r="BY92" s="18"/>
      <c r="BZ92" s="18">
        <v>0.11700000000000001</v>
      </c>
      <c r="CA92" s="18">
        <v>2.0399999999999998E-2</v>
      </c>
      <c r="CB92" s="18"/>
      <c r="CC92" s="18">
        <v>1.6000000000000001E-3</v>
      </c>
      <c r="CD92" s="18"/>
      <c r="CE92" s="18">
        <v>4.0000000000000002E-4</v>
      </c>
      <c r="CF92" s="18"/>
      <c r="CG92" s="18">
        <v>8.9499999999999996E-3</v>
      </c>
      <c r="CH92" s="18">
        <v>0.193</v>
      </c>
      <c r="CI92" s="18">
        <v>0.6</v>
      </c>
      <c r="CJ92" s="18">
        <v>0</v>
      </c>
      <c r="CK92" s="18">
        <v>8.6999999999999994E-2</v>
      </c>
      <c r="CL92" s="18">
        <v>2.3999999999999998E-3</v>
      </c>
      <c r="CM92" s="18"/>
      <c r="CN92" s="18"/>
      <c r="CO92" s="18"/>
      <c r="CP92" s="18"/>
      <c r="CQ92" s="18"/>
      <c r="CR92" s="18">
        <v>1.9E-3</v>
      </c>
      <c r="CS92" s="18">
        <v>0.95</v>
      </c>
      <c r="CT92" s="18"/>
      <c r="CU92" s="18">
        <v>5.1999999999999998E-2</v>
      </c>
      <c r="CV92" s="18">
        <v>7.2800000000000004E-2</v>
      </c>
      <c r="CW92" s="18"/>
      <c r="CX92" s="18">
        <v>2.4799999999999999E-2</v>
      </c>
      <c r="CY92" s="18">
        <v>4.4000000000000003E-3</v>
      </c>
      <c r="CZ92" s="18">
        <v>1.25E-3</v>
      </c>
      <c r="DA92" s="18">
        <v>7.0999999999999994E-2</v>
      </c>
      <c r="DB92" s="18"/>
      <c r="DC92" s="18"/>
      <c r="DD92" s="18"/>
      <c r="DE92" s="18"/>
      <c r="DF92" s="18">
        <v>2.0000000000000001E-4</v>
      </c>
      <c r="DG92" s="18">
        <v>2.0000000000000002E-5</v>
      </c>
      <c r="DH92" s="18">
        <v>4.8999999999999998E-4</v>
      </c>
      <c r="DI92" s="18">
        <v>9.4000000000000004E-3</v>
      </c>
      <c r="DJ92" s="18"/>
      <c r="DK92" s="18"/>
      <c r="DL92" s="18">
        <v>1.0699999999999999E-2</v>
      </c>
      <c r="DM92" s="18">
        <v>2.9500000000000004E-3</v>
      </c>
      <c r="DN92" s="18">
        <v>4.0000000000000002E-4</v>
      </c>
      <c r="DO92" s="18"/>
      <c r="DP92" s="18">
        <v>4.0000000000000002E-4</v>
      </c>
      <c r="DQ92" s="18"/>
      <c r="DR92" s="18">
        <v>7.6000000000000004E-5</v>
      </c>
      <c r="DS92" s="18"/>
      <c r="DT92" s="18"/>
      <c r="DU92" s="18"/>
      <c r="DV92" s="28"/>
      <c r="DW92" s="28"/>
      <c r="DX92" s="28"/>
      <c r="DY92" s="28"/>
      <c r="DZ92" s="28"/>
      <c r="EA92" s="28"/>
      <c r="EB92" s="28"/>
      <c r="EC92" s="28"/>
      <c r="ED92" s="28"/>
      <c r="EE92" s="28"/>
      <c r="EF92" s="28"/>
      <c r="EG92" s="28"/>
      <c r="EH92" s="28"/>
      <c r="EI92" s="28"/>
      <c r="EJ92" s="18"/>
      <c r="EK92" s="18"/>
      <c r="EL92" s="18">
        <f>IFERROR(CR92/'McDonough &amp; Sun 1995 values'!C$2,)</f>
        <v>9.0476190476190474E-2</v>
      </c>
      <c r="EM92" s="18">
        <f>IFERROR(CH92/'McDonough &amp; Sun 1995 values'!D$2,)</f>
        <v>0.32166666666666671</v>
      </c>
      <c r="EN92" s="18">
        <f>IFERROR(CS92/'McDonough &amp; Sun 1995 values'!E$2,)</f>
        <v>0.14393939393939395</v>
      </c>
      <c r="EO92" s="18">
        <f>IFERROR(DL92/'McDonough &amp; Sun 1995 values'!F$2,)</f>
        <v>0.13459119496855346</v>
      </c>
      <c r="EP92" s="18">
        <f>IFERROR(DM92/'McDonough &amp; Sun 1995 values'!G$2,)</f>
        <v>0.14532019704433499</v>
      </c>
      <c r="EQ92" s="18">
        <f>IFERROR(BR92/'McDonough &amp; Sun 1995 values'!H$2,)</f>
        <v>0.1</v>
      </c>
      <c r="ER92" s="18">
        <f>IFERROR(DI92/'McDonough &amp; Sun 1995 values'!I$2,)</f>
        <v>0.25405405405405407</v>
      </c>
      <c r="ES92" s="18">
        <f>IFERROR(CM92/'McDonough &amp; Sun 1995 values'!J$2,)</f>
        <v>0</v>
      </c>
      <c r="ET92" s="18">
        <f>IFERROR(CU92/'McDonough &amp; Sun 1995 values'!K$2,)</f>
        <v>8.0246913580246909E-2</v>
      </c>
      <c r="EU92" s="18">
        <f>IFERROR(CV92/'McDonough &amp; Sun 1995 values'!L$2,)</f>
        <v>4.3462686567164177E-2</v>
      </c>
      <c r="EV92" s="18">
        <f>IFERROR(CW92/'McDonough &amp; Sun 1995 values'!M$2,)</f>
        <v>0</v>
      </c>
      <c r="EW92" s="18">
        <f>IFERROR(CI92/'McDonough &amp; Sun 1995 values'!N$2,)</f>
        <v>3.0150753768844223E-2</v>
      </c>
      <c r="EX92" s="18">
        <f>IFERROR(CX92/'McDonough &amp; Sun 1995 values'!O$2,)</f>
        <v>1.984E-2</v>
      </c>
      <c r="EY92" s="18">
        <f>IFERROR(CY92/'McDonough &amp; Sun 1995 values'!P$2,)</f>
        <v>1.083743842364532E-2</v>
      </c>
      <c r="EZ92" s="18">
        <f>IFERROR(DH92/'McDonough &amp; Sun 1995 values'!Q$2,)</f>
        <v>1.7314487632508835E-3</v>
      </c>
      <c r="FA92" s="18">
        <f>IFERROR(CK92/'McDonough &amp; Sun 1995 values'!R$2,)</f>
        <v>8.2857142857142851E-3</v>
      </c>
      <c r="FB92" s="18">
        <f>IFERROR(CZ92/'McDonough &amp; Sun 1995 values'!S$2,)</f>
        <v>8.1168831168831179E-3</v>
      </c>
      <c r="FC92" s="18">
        <f>IFERROR(BT92/'McDonough &amp; Sun 1995 values'!T$2,)</f>
        <v>0</v>
      </c>
      <c r="FD92" s="18">
        <f>IFERROR(DA92/'McDonough &amp; Sun 1995 values'!U$2,)</f>
        <v>0.13051470588235292</v>
      </c>
      <c r="FE92" s="18">
        <f>IFERROR(DN92/'McDonough &amp; Sun 1995 values'!V$2,)</f>
        <v>4.0404040404040404E-3</v>
      </c>
      <c r="FF92" s="18">
        <f>IFERROR(DB92/'McDonough &amp; Sun 1995 values'!W$2,)</f>
        <v>0</v>
      </c>
      <c r="FG92" s="18">
        <f>IFERROR(CJ92/'McDonough &amp; Sun 1995 values'!X$2,)</f>
        <v>0</v>
      </c>
      <c r="FH92" s="18">
        <f>IFERROR(DC92/'McDonough &amp; Sun 1995 values'!Y$2,)</f>
        <v>0</v>
      </c>
      <c r="FI92" s="18">
        <f>IFERROR(DD92/'McDonough &amp; Sun 1995 values'!Z$2,)</f>
        <v>0</v>
      </c>
      <c r="FJ92" s="18">
        <f>IFERROR(DE92/'McDonough &amp; Sun 1995 values'!AA$2,)</f>
        <v>0</v>
      </c>
      <c r="FK92" s="18">
        <f>IFERROR(DF92/'McDonough &amp; Sun 1995 values'!AB$2,)</f>
        <v>4.5351473922902497E-4</v>
      </c>
      <c r="FL92" s="18">
        <f>IFERROR(DG92/'McDonough &amp; Sun 1995 values'!AC$2,)</f>
        <v>2.9629629629629629E-4</v>
      </c>
      <c r="FN92" s="28">
        <f t="shared" si="228"/>
        <v>1.4532019704433499</v>
      </c>
      <c r="FO92" s="4">
        <f t="shared" si="161"/>
        <v>0.9904982023626091</v>
      </c>
      <c r="FP92" s="4">
        <f t="shared" si="162"/>
        <v>0</v>
      </c>
      <c r="FQ92" s="4">
        <f t="shared" si="163"/>
        <v>0.92616991791919823</v>
      </c>
      <c r="FR92" s="4">
        <f t="shared" si="164"/>
        <v>0</v>
      </c>
      <c r="FS92" s="4">
        <f t="shared" si="165"/>
        <v>0.31586551090097187</v>
      </c>
      <c r="FT92" s="4">
        <f t="shared" si="166"/>
        <v>3.5552631578947373</v>
      </c>
      <c r="FU92" s="4">
        <f t="shared" si="167"/>
        <v>0</v>
      </c>
      <c r="FV92" s="4">
        <f t="shared" si="168"/>
        <v>0.76454545454545453</v>
      </c>
      <c r="FW92" s="4">
        <f t="shared" si="169"/>
        <v>4.7854227405247807</v>
      </c>
      <c r="FX92" s="4">
        <f t="shared" si="170"/>
        <v>0.11484626790396246</v>
      </c>
      <c r="FY92" s="4">
        <f t="shared" si="171"/>
        <v>0</v>
      </c>
      <c r="FZ92" s="4">
        <f t="shared" si="172"/>
        <v>0.21582226508448318</v>
      </c>
      <c r="GA92" s="4">
        <f t="shared" si="173"/>
        <v>0</v>
      </c>
      <c r="GB92" s="4">
        <f t="shared" si="174"/>
        <v>0.74896694214876047</v>
      </c>
      <c r="GC92" s="4">
        <f t="shared" si="175"/>
        <v>0.28127313101406359</v>
      </c>
      <c r="GD92" s="4">
        <f t="shared" si="176"/>
        <v>1.0694562446898896</v>
      </c>
      <c r="GE92" s="4">
        <f t="shared" si="177"/>
        <v>0.44747998115873761</v>
      </c>
      <c r="GF92" s="4">
        <f t="shared" si="178"/>
        <v>1.4393939393939394</v>
      </c>
      <c r="GG92" s="4">
        <f t="shared" si="179"/>
        <v>0</v>
      </c>
      <c r="GH92" s="4">
        <f t="shared" si="180"/>
        <v>0</v>
      </c>
      <c r="GI92" s="4">
        <f t="shared" si="181"/>
        <v>7.4046015712682376</v>
      </c>
      <c r="GJ92" s="4">
        <f t="shared" si="182"/>
        <v>0</v>
      </c>
      <c r="GK92" s="4">
        <f t="shared" si="183"/>
        <v>176.94444444444443</v>
      </c>
      <c r="GL92" s="4">
        <f t="shared" si="184"/>
        <v>0</v>
      </c>
      <c r="GM92" s="4">
        <f t="shared" si="185"/>
        <v>0.41841822270016615</v>
      </c>
      <c r="GN92" s="4">
        <f t="shared" si="186"/>
        <v>0</v>
      </c>
      <c r="GO92" s="4">
        <f t="shared" si="187"/>
        <v>0</v>
      </c>
      <c r="GP92" s="4">
        <f t="shared" si="188"/>
        <v>0.6881355932203389</v>
      </c>
      <c r="GQ92" s="27">
        <f t="shared" si="189"/>
        <v>188115.21147020897</v>
      </c>
      <c r="GR92" s="28">
        <f t="shared" si="190"/>
        <v>14.892454241391542</v>
      </c>
      <c r="GS92" s="28">
        <f t="shared" si="191"/>
        <v>1512.7598255729306</v>
      </c>
      <c r="GT92" s="28">
        <f t="shared" si="192"/>
        <v>7446.2271206957712</v>
      </c>
      <c r="GU92" s="28">
        <f t="shared" si="193"/>
        <v>83.868031780468158</v>
      </c>
      <c r="GV92" s="28">
        <f t="shared" si="194"/>
        <v>23.122494743213188</v>
      </c>
      <c r="GW92" s="28">
        <f t="shared" si="195"/>
        <v>188115.21147020897</v>
      </c>
      <c r="GX92" s="28">
        <f t="shared" si="196"/>
        <v>73.678457825831856</v>
      </c>
      <c r="GY92" s="28">
        <f t="shared" si="197"/>
        <v>0</v>
      </c>
      <c r="GZ92" s="28">
        <f t="shared" si="198"/>
        <v>407.58295818545275</v>
      </c>
      <c r="HA92" s="28">
        <f t="shared" si="199"/>
        <v>570.61614145963392</v>
      </c>
      <c r="HB92" s="28">
        <f t="shared" si="200"/>
        <v>0</v>
      </c>
      <c r="HC92" s="28">
        <f t="shared" si="201"/>
        <v>4702.880286755224</v>
      </c>
      <c r="HD92" s="28">
        <f t="shared" si="202"/>
        <v>194.38571851921594</v>
      </c>
      <c r="HE92" s="28">
        <f t="shared" si="203"/>
        <v>34.487788769538312</v>
      </c>
      <c r="HF92" s="28">
        <f t="shared" si="204"/>
        <v>3.8406855675167666</v>
      </c>
      <c r="HG92" s="28">
        <f t="shared" si="205"/>
        <v>681.91764157950752</v>
      </c>
      <c r="HH92" s="28">
        <f t="shared" si="206"/>
        <v>9.7976672640733842</v>
      </c>
      <c r="HI92" s="28">
        <f t="shared" si="207"/>
        <v>0</v>
      </c>
      <c r="HJ92" s="28">
        <f t="shared" si="208"/>
        <v>556.5075005993682</v>
      </c>
      <c r="HK92" s="28">
        <f t="shared" si="209"/>
        <v>3.1352535245034829</v>
      </c>
      <c r="HL92" s="28">
        <f t="shared" si="210"/>
        <v>0</v>
      </c>
      <c r="HM92" s="28">
        <f t="shared" si="211"/>
        <v>0</v>
      </c>
      <c r="HN92" s="28">
        <f t="shared" si="212"/>
        <v>0</v>
      </c>
      <c r="HO92" s="28">
        <f t="shared" si="213"/>
        <v>0</v>
      </c>
      <c r="HP92" s="28">
        <f t="shared" si="214"/>
        <v>0</v>
      </c>
      <c r="HQ92" s="28">
        <f t="shared" si="215"/>
        <v>1.5676267622517415</v>
      </c>
      <c r="HR92" s="28">
        <f t="shared" si="216"/>
        <v>0.15676267622517417</v>
      </c>
      <c r="HT92" s="4">
        <f>IFERROR(GR92/'McDonough &amp; Sun 1995 values'!C$2,)</f>
        <v>709.16448768531154</v>
      </c>
      <c r="HU92" s="4">
        <f>IFERROR(GS92/'McDonough &amp; Sun 1995 values'!D$2,)</f>
        <v>2521.2663759548846</v>
      </c>
      <c r="HV92" s="4">
        <f>IFERROR(GT92/'McDonough &amp; Sun 1995 values'!E$2,)</f>
        <v>1128.2162304084502</v>
      </c>
      <c r="HW92" s="4">
        <f>IFERROR(GU92/'McDonough &amp; Sun 1995 values'!F$2,)</f>
        <v>1054.9437959807315</v>
      </c>
      <c r="HX92" s="4">
        <f>IFERROR(GV92/'McDonough &amp; Sun 1995 values'!G$2,)</f>
        <v>1139.0391499119798</v>
      </c>
      <c r="HY92" s="4">
        <f>IFERROR(GW92/'McDonough &amp; Sun 1995 values'!H$2,)</f>
        <v>783.81338112587071</v>
      </c>
      <c r="HZ92" s="4">
        <f>IFERROR(GX92/'McDonough &amp; Sun 1995 values'!I$2,)</f>
        <v>1991.3096709684287</v>
      </c>
      <c r="IA92" s="4">
        <f>IFERROR(GY92/'McDonough &amp; Sun 1995 values'!J$2,)</f>
        <v>0</v>
      </c>
      <c r="IB92" s="4">
        <f>IFERROR(GZ92/'McDonough &amp; Sun 1995 values'!K$2,)</f>
        <v>628.98604658248883</v>
      </c>
      <c r="IC92" s="4">
        <f>IFERROR(HA92/'McDonough &amp; Sun 1995 values'!L$2,)</f>
        <v>340.66635311022918</v>
      </c>
      <c r="ID92" s="4">
        <f>IFERROR(HB92/'McDonough &amp; Sun 1995 values'!M$2,)</f>
        <v>0</v>
      </c>
      <c r="IE92" s="4">
        <f>IFERROR(HC92/'McDonough &amp; Sun 1995 values'!N$2,)</f>
        <v>236.32564255051378</v>
      </c>
      <c r="IF92" s="4">
        <f>IFERROR(HD92/'McDonough &amp; Sun 1995 values'!O$2,)</f>
        <v>155.50857481537275</v>
      </c>
      <c r="IG92" s="4">
        <f>IFERROR(HE92/'McDonough &amp; Sun 1995 values'!P$2,)</f>
        <v>84.945292535808647</v>
      </c>
      <c r="IH92" s="4">
        <f>IFERROR(HF92/'McDonough &amp; Sun 1995 values'!Q$2,)</f>
        <v>13.571327093698823</v>
      </c>
      <c r="II92" s="4">
        <f>IFERROR(HG92/'McDonough &amp; Sun 1995 values'!R$2,)</f>
        <v>64.94453729328643</v>
      </c>
      <c r="IJ92" s="4">
        <f>IFERROR(HH92/'McDonough &amp; Sun 1995 values'!S$2,)</f>
        <v>63.621216000476522</v>
      </c>
      <c r="IK92" s="4">
        <f>IFERROR(HI92/'McDonough &amp; Sun 1995 values'!T$2,)</f>
        <v>0</v>
      </c>
      <c r="IL92" s="4">
        <f>IFERROR(HJ92/'McDonough &amp; Sun 1995 values'!U$2,)</f>
        <v>1022.9917290429562</v>
      </c>
      <c r="IM92" s="4">
        <f>IFERROR(HK92/'McDonough &amp; Sun 1995 values'!V$2,)</f>
        <v>31.6692275202372</v>
      </c>
      <c r="IN92" s="4">
        <f>IFERROR(HL92/'McDonough &amp; Sun 1995 values'!W$2,)</f>
        <v>0</v>
      </c>
      <c r="IO92" s="4">
        <f>IFERROR(HM92/'McDonough &amp; Sun 1995 values'!X$2,)</f>
        <v>0</v>
      </c>
      <c r="IP92" s="4">
        <f>IFERROR(HN92/'McDonough &amp; Sun 1995 values'!Y$2,)</f>
        <v>0</v>
      </c>
      <c r="IQ92" s="4">
        <f>IFERROR(HO92/'McDonough &amp; Sun 1995 values'!Z$2,)</f>
        <v>0</v>
      </c>
      <c r="IR92" s="4">
        <f>IFERROR(HP92/'McDonough &amp; Sun 1995 values'!AA$2,)</f>
        <v>0</v>
      </c>
      <c r="IS92" s="4">
        <f>IFERROR(HQ92/'McDonough &amp; Sun 1995 values'!AB$2,)</f>
        <v>3.5547092114551959</v>
      </c>
      <c r="IT92" s="4">
        <f>IFERROR(HR92/'McDonough &amp; Sun 1995 values'!AC$2,)</f>
        <v>2.3224100181507286</v>
      </c>
    </row>
    <row r="93" spans="1:254">
      <c r="A93" s="16" t="s">
        <v>641</v>
      </c>
      <c r="B93" s="16" t="s">
        <v>24</v>
      </c>
      <c r="C93" s="16" t="str">
        <f t="shared" si="144"/>
        <v>low-Mg carbonatitic</v>
      </c>
      <c r="D93" s="16" t="s">
        <v>1707</v>
      </c>
      <c r="E93" s="16" t="s">
        <v>237</v>
      </c>
      <c r="F93" s="16" t="s">
        <v>639</v>
      </c>
      <c r="G93" s="16" t="s">
        <v>640</v>
      </c>
      <c r="H93" s="27">
        <v>0</v>
      </c>
      <c r="I93" s="16" t="s">
        <v>712</v>
      </c>
      <c r="J93" s="16" t="s">
        <v>635</v>
      </c>
      <c r="K93" s="16" t="s">
        <v>642</v>
      </c>
      <c r="L93" s="16">
        <v>0</v>
      </c>
      <c r="M93" s="16" t="s">
        <v>625</v>
      </c>
      <c r="N93" s="16" t="s">
        <v>1084</v>
      </c>
      <c r="O93" s="26">
        <v>14.2</v>
      </c>
      <c r="P93" s="26">
        <v>1.1100000000000001</v>
      </c>
      <c r="Q93" s="26"/>
      <c r="R93" s="26">
        <v>3.27</v>
      </c>
      <c r="S93" s="26">
        <v>7.88</v>
      </c>
      <c r="T93" s="26">
        <v>12</v>
      </c>
      <c r="U93" s="26"/>
      <c r="V93" s="26">
        <v>29.2</v>
      </c>
      <c r="W93" s="26">
        <v>17.899999999999999</v>
      </c>
      <c r="X93" s="26">
        <v>10.1</v>
      </c>
      <c r="Y93" s="26"/>
      <c r="Z93" s="26">
        <v>3.14</v>
      </c>
      <c r="AA93" s="26"/>
      <c r="AB93" s="26"/>
      <c r="AC93" s="26"/>
      <c r="AD93" s="26">
        <v>1.2</v>
      </c>
      <c r="AE93" s="26"/>
      <c r="AF93" s="26"/>
      <c r="AG93" s="26"/>
      <c r="AH93" s="26"/>
      <c r="AI93" s="26"/>
      <c r="AJ93" s="26">
        <f t="shared" si="145"/>
        <v>100</v>
      </c>
      <c r="AK93" s="26">
        <f t="shared" si="217"/>
        <v>14.23855857894439</v>
      </c>
      <c r="AL93" s="26">
        <f t="shared" si="218"/>
        <v>1.1130140861005828</v>
      </c>
      <c r="AM93" s="26">
        <f t="shared" si="219"/>
        <v>3.2788793347287437</v>
      </c>
      <c r="AN93" s="26">
        <f t="shared" si="220"/>
        <v>7.9013972959212531</v>
      </c>
      <c r="AO93" s="26">
        <f t="shared" si="221"/>
        <v>12.032584714600894</v>
      </c>
      <c r="AP93" s="26">
        <f t="shared" si="222"/>
        <v>29.279289472195508</v>
      </c>
      <c r="AQ93" s="26">
        <f t="shared" si="223"/>
        <v>0</v>
      </c>
      <c r="AR93" s="26">
        <f t="shared" si="224"/>
        <v>17.948605532612998</v>
      </c>
      <c r="AS93" s="26">
        <f t="shared" si="225"/>
        <v>10.127425468122418</v>
      </c>
      <c r="AT93" s="26">
        <f t="shared" si="226"/>
        <v>3.1485263336539004</v>
      </c>
      <c r="AU93" s="26">
        <f t="shared" si="227"/>
        <v>1.2032584714600894</v>
      </c>
      <c r="AV93" s="26">
        <f t="shared" si="146"/>
        <v>100.27153928834079</v>
      </c>
      <c r="AW93" s="16"/>
      <c r="AX93" s="16"/>
      <c r="AY93" s="16"/>
      <c r="AZ93" s="16"/>
      <c r="BA93" s="26"/>
      <c r="BB93" s="26"/>
      <c r="BC93" s="26"/>
      <c r="BD93" s="26"/>
      <c r="BE93" s="25"/>
      <c r="BF93" s="16"/>
      <c r="BG93" s="16"/>
      <c r="BH93" s="16"/>
      <c r="BI93" s="16"/>
      <c r="BJ93" s="16"/>
      <c r="BK93" s="18"/>
      <c r="BL93" s="18"/>
      <c r="BM93" s="18"/>
      <c r="BN93" s="18">
        <v>66.62</v>
      </c>
      <c r="BO93" s="18">
        <v>57.87</v>
      </c>
      <c r="BP93" s="18">
        <v>11.05</v>
      </c>
      <c r="BQ93" s="18">
        <v>13.79</v>
      </c>
      <c r="BR93" s="18">
        <v>119.9</v>
      </c>
      <c r="BS93" s="18">
        <v>155.97</v>
      </c>
      <c r="BT93" s="18">
        <v>12.41</v>
      </c>
      <c r="BU93" s="18">
        <v>2.19</v>
      </c>
      <c r="BV93" s="18">
        <v>1.42</v>
      </c>
      <c r="BW93" s="18">
        <v>41.99</v>
      </c>
      <c r="BX93" s="18">
        <v>3.2000000000000001E-2</v>
      </c>
      <c r="BY93" s="18">
        <v>0.19900000000000001</v>
      </c>
      <c r="BZ93" s="18">
        <v>0.9</v>
      </c>
      <c r="CA93" s="18">
        <v>2.4E-2</v>
      </c>
      <c r="CB93" s="18">
        <v>2.5000000000000001E-2</v>
      </c>
      <c r="CC93" s="18"/>
      <c r="CD93" s="18"/>
      <c r="CE93" s="18"/>
      <c r="CF93" s="18"/>
      <c r="CG93" s="18"/>
      <c r="CH93" s="18">
        <v>0.42299999999999999</v>
      </c>
      <c r="CI93" s="18">
        <v>3.03</v>
      </c>
      <c r="CJ93" s="18">
        <v>3.3000000000000002E-2</v>
      </c>
      <c r="CK93" s="18">
        <v>0.23400000000000001</v>
      </c>
      <c r="CL93" s="18"/>
      <c r="CM93" s="18">
        <v>0.70199999999999996</v>
      </c>
      <c r="CN93" s="18"/>
      <c r="CO93" s="18"/>
      <c r="CP93" s="18"/>
      <c r="CQ93" s="18"/>
      <c r="CR93" s="18">
        <v>8.9999999999999993E-3</v>
      </c>
      <c r="CS93" s="18">
        <v>12.07</v>
      </c>
      <c r="CT93" s="18">
        <v>9.8000000000000004E-2</v>
      </c>
      <c r="CU93" s="18">
        <v>0.71399999999999997</v>
      </c>
      <c r="CV93" s="18">
        <v>0.91500000000000004</v>
      </c>
      <c r="CW93" s="18">
        <v>9.2999999999999999E-2</v>
      </c>
      <c r="CX93" s="18">
        <v>0.30099999999999999</v>
      </c>
      <c r="CY93" s="18">
        <v>2.1000000000000001E-2</v>
      </c>
      <c r="CZ93" s="18">
        <v>1.0999999999999999E-2</v>
      </c>
      <c r="DA93" s="18">
        <v>1.4999999999999999E-2</v>
      </c>
      <c r="DB93" s="18">
        <v>1.0999999999999999E-2</v>
      </c>
      <c r="DC93" s="18">
        <v>3.0000000000000001E-3</v>
      </c>
      <c r="DD93" s="18">
        <v>1.0999999999999999E-2</v>
      </c>
      <c r="DE93" s="18"/>
      <c r="DF93" s="18">
        <v>1.2E-2</v>
      </c>
      <c r="DG93" s="18">
        <v>2E-3</v>
      </c>
      <c r="DH93" s="18">
        <v>8.9999999999999993E-3</v>
      </c>
      <c r="DI93" s="18">
        <v>1.6E-2</v>
      </c>
      <c r="DJ93" s="18">
        <v>3.5999999999999997E-2</v>
      </c>
      <c r="DK93" s="18">
        <v>0.06</v>
      </c>
      <c r="DL93" s="18">
        <v>0.11</v>
      </c>
      <c r="DM93" s="18">
        <v>2.4E-2</v>
      </c>
      <c r="DN93" s="18"/>
      <c r="DO93" s="18"/>
      <c r="DP93" s="18"/>
      <c r="DQ93" s="18"/>
      <c r="DR93" s="18"/>
      <c r="DS93" s="18"/>
      <c r="DT93" s="18"/>
      <c r="DU93" s="18"/>
      <c r="DV93" s="28"/>
      <c r="DW93" s="28"/>
      <c r="DX93" s="28"/>
      <c r="DY93" s="28"/>
      <c r="DZ93" s="28"/>
      <c r="EA93" s="28"/>
      <c r="EB93" s="28"/>
      <c r="EC93" s="28"/>
      <c r="ED93" s="28"/>
      <c r="EE93" s="28"/>
      <c r="EF93" s="28"/>
      <c r="EG93" s="28"/>
      <c r="EH93" s="28"/>
      <c r="EI93" s="28"/>
      <c r="EJ93" s="18"/>
      <c r="EK93" s="18"/>
      <c r="EL93" s="18">
        <f>IFERROR(CR93/'McDonough &amp; Sun 1995 values'!C$2,)</f>
        <v>0.42857142857142849</v>
      </c>
      <c r="EM93" s="18">
        <f>IFERROR(CH93/'McDonough &amp; Sun 1995 values'!D$2,)</f>
        <v>0.70499999999999996</v>
      </c>
      <c r="EN93" s="18">
        <f>IFERROR(CS93/'McDonough &amp; Sun 1995 values'!E$2,)</f>
        <v>1.8287878787878789</v>
      </c>
      <c r="EO93" s="18">
        <f>IFERROR(DL93/'McDonough &amp; Sun 1995 values'!F$2,)</f>
        <v>1.3836477987421383</v>
      </c>
      <c r="EP93" s="18">
        <f>IFERROR(DM93/'McDonough &amp; Sun 1995 values'!G$2,)</f>
        <v>1.1822660098522169</v>
      </c>
      <c r="EQ93" s="18">
        <f>IFERROR(BR93/'McDonough &amp; Sun 1995 values'!H$2,)</f>
        <v>0.49958333333333338</v>
      </c>
      <c r="ER93" s="18">
        <f>IFERROR(DI93/'McDonough &amp; Sun 1995 values'!I$2,)</f>
        <v>0.43243243243243246</v>
      </c>
      <c r="ES93" s="18">
        <f>IFERROR(CM93/'McDonough &amp; Sun 1995 values'!J$2,)</f>
        <v>1.0668693009118539</v>
      </c>
      <c r="ET93" s="18">
        <f>IFERROR(CU93/'McDonough &amp; Sun 1995 values'!K$2,)</f>
        <v>1.1018518518518519</v>
      </c>
      <c r="EU93" s="18">
        <f>IFERROR(CV93/'McDonough &amp; Sun 1995 values'!L$2,)</f>
        <v>0.54626865671641789</v>
      </c>
      <c r="EV93" s="18">
        <f>IFERROR(CW93/'McDonough &amp; Sun 1995 values'!M$2,)</f>
        <v>0.36614173228346458</v>
      </c>
      <c r="EW93" s="18">
        <f>IFERROR(CI93/'McDonough &amp; Sun 1995 values'!N$2,)</f>
        <v>0.15226130653266332</v>
      </c>
      <c r="EX93" s="18">
        <f>IFERROR(CX93/'McDonough &amp; Sun 1995 values'!O$2,)</f>
        <v>0.24079999999999999</v>
      </c>
      <c r="EY93" s="18">
        <f>IFERROR(CY93/'McDonough &amp; Sun 1995 values'!P$2,)</f>
        <v>5.1724137931034482E-2</v>
      </c>
      <c r="EZ93" s="18">
        <f>IFERROR(DH93/'McDonough &amp; Sun 1995 values'!Q$2,)</f>
        <v>3.180212014134276E-2</v>
      </c>
      <c r="FA93" s="18">
        <f>IFERROR(CK93/'McDonough &amp; Sun 1995 values'!R$2,)</f>
        <v>2.2285714285714287E-2</v>
      </c>
      <c r="FB93" s="18">
        <f>IFERROR(CZ93/'McDonough &amp; Sun 1995 values'!S$2,)</f>
        <v>7.1428571428571425E-2</v>
      </c>
      <c r="FC93" s="18">
        <f>IFERROR(BT93/'McDonough &amp; Sun 1995 values'!T$2,)</f>
        <v>1.0298755186721992E-2</v>
      </c>
      <c r="FD93" s="18">
        <f>IFERROR(DA93/'McDonough &amp; Sun 1995 values'!U$2,)</f>
        <v>2.7573529411764702E-2</v>
      </c>
      <c r="FE93" s="18">
        <f>IFERROR(DN93/'McDonough &amp; Sun 1995 values'!V$2,)</f>
        <v>0</v>
      </c>
      <c r="FF93" s="18">
        <f>IFERROR(DB93/'McDonough &amp; Sun 1995 values'!W$2,)</f>
        <v>1.6320474777448069E-2</v>
      </c>
      <c r="FG93" s="18">
        <f>IFERROR(CJ93/'McDonough &amp; Sun 1995 values'!X$2,)</f>
        <v>7.6744186046511639E-3</v>
      </c>
      <c r="FH93" s="18">
        <f>IFERROR(DC93/'McDonough &amp; Sun 1995 values'!Y$2,)</f>
        <v>2.0134228187919465E-2</v>
      </c>
      <c r="FI93" s="18">
        <f>IFERROR(DD93/'McDonough &amp; Sun 1995 values'!Z$2,)</f>
        <v>2.5114155251141551E-2</v>
      </c>
      <c r="FJ93" s="18">
        <f>IFERROR(DE93/'McDonough &amp; Sun 1995 values'!AA$2,)</f>
        <v>0</v>
      </c>
      <c r="FK93" s="18">
        <f>IFERROR(DF93/'McDonough &amp; Sun 1995 values'!AB$2,)</f>
        <v>2.7210884353741496E-2</v>
      </c>
      <c r="FL93" s="18">
        <f>IFERROR(DG93/'McDonough &amp; Sun 1995 values'!AC$2,)</f>
        <v>2.9629629629629627E-2</v>
      </c>
      <c r="FN93" s="28">
        <f t="shared" si="228"/>
        <v>2.3665041064598169</v>
      </c>
      <c r="FO93" s="4">
        <f t="shared" si="161"/>
        <v>1.5468497474747473</v>
      </c>
      <c r="FP93" s="4">
        <f t="shared" si="162"/>
        <v>1.2969234352882153</v>
      </c>
      <c r="FQ93" s="4">
        <f t="shared" si="163"/>
        <v>1.1703354297693918</v>
      </c>
      <c r="FR93" s="4">
        <f t="shared" si="164"/>
        <v>1.0327899124195421</v>
      </c>
      <c r="FS93" s="4">
        <f t="shared" si="165"/>
        <v>2.5480324074074074</v>
      </c>
      <c r="FT93" s="4">
        <f t="shared" si="166"/>
        <v>1.6450000000000002</v>
      </c>
      <c r="FU93" s="4">
        <f t="shared" si="167"/>
        <v>0.40532840532840542</v>
      </c>
      <c r="FV93" s="4">
        <f t="shared" si="168"/>
        <v>0.43085714285714288</v>
      </c>
      <c r="FW93" s="4">
        <f t="shared" si="169"/>
        <v>0.7007619047619047</v>
      </c>
      <c r="FX93" s="4">
        <f t="shared" si="170"/>
        <v>1.8015302044079022</v>
      </c>
      <c r="FY93" s="4">
        <f t="shared" si="171"/>
        <v>0.51278663192586249</v>
      </c>
      <c r="FZ93" s="4">
        <f t="shared" si="172"/>
        <v>1.8913815752085956</v>
      </c>
      <c r="GA93" s="4">
        <f t="shared" si="173"/>
        <v>0.41585346085265035</v>
      </c>
      <c r="GB93" s="4">
        <f t="shared" si="174"/>
        <v>1.3809523809523809</v>
      </c>
      <c r="GC93" s="4">
        <f t="shared" si="175"/>
        <v>0.60790273556231</v>
      </c>
      <c r="GD93" s="4">
        <f t="shared" si="176"/>
        <v>1.3217148760330579</v>
      </c>
      <c r="GE93" s="4">
        <f t="shared" si="177"/>
        <v>2.5940253599828069</v>
      </c>
      <c r="GF93" s="4">
        <f t="shared" si="178"/>
        <v>3.6606262794753199</v>
      </c>
      <c r="GG93" s="4">
        <f t="shared" si="179"/>
        <v>1.7141629974963311</v>
      </c>
      <c r="GH93" s="4">
        <f t="shared" si="180"/>
        <v>3.0093588211867779</v>
      </c>
      <c r="GI93" s="4">
        <f t="shared" si="181"/>
        <v>21.302469135802468</v>
      </c>
      <c r="GJ93" s="4">
        <f t="shared" si="182"/>
        <v>67.513468013468028</v>
      </c>
      <c r="GK93" s="4">
        <f t="shared" si="183"/>
        <v>40.493055555555557</v>
      </c>
      <c r="GL93" s="4">
        <f t="shared" si="184"/>
        <v>2.1639231034879707</v>
      </c>
      <c r="GM93" s="4">
        <f t="shared" si="185"/>
        <v>1.9626209911236006</v>
      </c>
      <c r="GN93" s="4">
        <f t="shared" si="186"/>
        <v>0.96825113023932963</v>
      </c>
      <c r="GO93" s="4">
        <f t="shared" si="187"/>
        <v>0.90239361702127641</v>
      </c>
      <c r="GP93" s="4">
        <f t="shared" si="188"/>
        <v>0.4225642361111111</v>
      </c>
      <c r="GQ93" s="27">
        <f t="shared" si="189"/>
        <v>84071.536817605695</v>
      </c>
      <c r="GR93" s="28">
        <f t="shared" si="190"/>
        <v>6.310624114749384</v>
      </c>
      <c r="GS93" s="28">
        <f t="shared" si="191"/>
        <v>296.59933339322106</v>
      </c>
      <c r="GT93" s="28">
        <f t="shared" si="192"/>
        <v>8463.2481183361197</v>
      </c>
      <c r="GU93" s="28">
        <f t="shared" si="193"/>
        <v>77.129850291381359</v>
      </c>
      <c r="GV93" s="28">
        <f t="shared" si="194"/>
        <v>16.828330972665025</v>
      </c>
      <c r="GW93" s="28">
        <f t="shared" si="195"/>
        <v>84071.536817605695</v>
      </c>
      <c r="GX93" s="28">
        <f t="shared" si="196"/>
        <v>11.218887315110017</v>
      </c>
      <c r="GY93" s="28">
        <f t="shared" si="197"/>
        <v>492.22868095045197</v>
      </c>
      <c r="GZ93" s="28">
        <f t="shared" si="198"/>
        <v>500.64284643678445</v>
      </c>
      <c r="HA93" s="28">
        <f t="shared" si="199"/>
        <v>641.58011833285411</v>
      </c>
      <c r="HB93" s="28">
        <f t="shared" si="200"/>
        <v>65.209782519076967</v>
      </c>
      <c r="HC93" s="28">
        <f t="shared" si="201"/>
        <v>2124.5767852989593</v>
      </c>
      <c r="HD93" s="28">
        <f t="shared" si="202"/>
        <v>211.05531761550719</v>
      </c>
      <c r="HE93" s="28">
        <f t="shared" si="203"/>
        <v>14.724789601081898</v>
      </c>
      <c r="HF93" s="28">
        <f t="shared" si="204"/>
        <v>6.310624114749384</v>
      </c>
      <c r="HG93" s="28">
        <f t="shared" si="205"/>
        <v>164.07622698348399</v>
      </c>
      <c r="HH93" s="28">
        <f t="shared" si="206"/>
        <v>7.7129850291381361</v>
      </c>
      <c r="HI93" s="28">
        <f t="shared" si="207"/>
        <v>8701.6494737822068</v>
      </c>
      <c r="HJ93" s="28">
        <f t="shared" si="208"/>
        <v>10.517706857915641</v>
      </c>
      <c r="HK93" s="28">
        <f t="shared" si="209"/>
        <v>0</v>
      </c>
      <c r="HL93" s="28">
        <f t="shared" si="210"/>
        <v>7.7129850291381361</v>
      </c>
      <c r="HM93" s="28">
        <f t="shared" si="211"/>
        <v>23.138955087414413</v>
      </c>
      <c r="HN93" s="28">
        <f t="shared" si="212"/>
        <v>2.1035413715831282</v>
      </c>
      <c r="HO93" s="28">
        <f t="shared" si="213"/>
        <v>7.7129850291381361</v>
      </c>
      <c r="HP93" s="28">
        <f t="shared" si="214"/>
        <v>0</v>
      </c>
      <c r="HQ93" s="28">
        <f t="shared" si="215"/>
        <v>8.4141654863325126</v>
      </c>
      <c r="HR93" s="28">
        <f t="shared" si="216"/>
        <v>1.4023609143887521</v>
      </c>
      <c r="HT93" s="4">
        <f>IFERROR(GR93/'McDonough &amp; Sun 1995 values'!C$2,)</f>
        <v>300.50591022616112</v>
      </c>
      <c r="HU93" s="4">
        <f>IFERROR(GS93/'McDonough &amp; Sun 1995 values'!D$2,)</f>
        <v>494.33222232203514</v>
      </c>
      <c r="HV93" s="4">
        <f>IFERROR(GT93/'McDonough &amp; Sun 1995 values'!E$2,)</f>
        <v>1282.3103209600181</v>
      </c>
      <c r="HW93" s="4">
        <f>IFERROR(GU93/'McDonough &amp; Sun 1995 values'!F$2,)</f>
        <v>970.18679611800451</v>
      </c>
      <c r="HX93" s="4">
        <f>IFERROR(GV93/'McDonough &amp; Sun 1995 values'!G$2,)</f>
        <v>828.98182131354815</v>
      </c>
      <c r="HY93" s="4">
        <f>IFERROR(GW93/'McDonough &amp; Sun 1995 values'!H$2,)</f>
        <v>350.29807007335705</v>
      </c>
      <c r="HZ93" s="4">
        <f>IFERROR(GX93/'McDonough &amp; Sun 1995 values'!I$2,)</f>
        <v>303.21317067864913</v>
      </c>
      <c r="IA93" s="4">
        <f>IFERROR(GY93/'McDonough &amp; Sun 1995 values'!J$2,)</f>
        <v>748.06790418001822</v>
      </c>
      <c r="IB93" s="4">
        <f>IFERROR(GZ93/'McDonough &amp; Sun 1995 values'!K$2,)</f>
        <v>772.5969852419513</v>
      </c>
      <c r="IC93" s="4">
        <f>IFERROR(HA93/'McDonough &amp; Sun 1995 values'!L$2,)</f>
        <v>383.0329064673756</v>
      </c>
      <c r="ID93" s="4">
        <f>IFERROR(HB93/'McDonough &amp; Sun 1995 values'!M$2,)</f>
        <v>256.7314272404605</v>
      </c>
      <c r="IE93" s="4">
        <f>IFERROR(HC93/'McDonough &amp; Sun 1995 values'!N$2,)</f>
        <v>106.7626525275859</v>
      </c>
      <c r="IF93" s="4">
        <f>IFERROR(HD93/'McDonough &amp; Sun 1995 values'!O$2,)</f>
        <v>168.84425409240575</v>
      </c>
      <c r="IG93" s="4">
        <f>IFERROR(HE93/'McDonough &amp; Sun 1995 values'!P$2,)</f>
        <v>36.267954682467725</v>
      </c>
      <c r="IH93" s="4">
        <f>IFERROR(HF93/'McDonough &amp; Sun 1995 values'!Q$2,)</f>
        <v>22.299025140457189</v>
      </c>
      <c r="II93" s="4">
        <f>IFERROR(HG93/'McDonough &amp; Sun 1995 values'!R$2,)</f>
        <v>15.62630733176038</v>
      </c>
      <c r="IJ93" s="4">
        <f>IFERROR(HH93/'McDonough &amp; Sun 1995 values'!S$2,)</f>
        <v>50.08431837102686</v>
      </c>
      <c r="IK93" s="4">
        <f>IFERROR(HI93/'McDonough &amp; Sun 1995 values'!T$2,)</f>
        <v>7.2212858703586775</v>
      </c>
      <c r="IL93" s="4">
        <f>IFERROR(HJ93/'McDonough &amp; Sun 1995 values'!U$2,)</f>
        <v>19.334019959403751</v>
      </c>
      <c r="IM93" s="4">
        <f>IFERROR(HK93/'McDonough &amp; Sun 1995 values'!V$2,)</f>
        <v>0</v>
      </c>
      <c r="IN93" s="4">
        <f>IFERROR(HL93/'McDonough &amp; Sun 1995 values'!W$2,)</f>
        <v>11.44359796608032</v>
      </c>
      <c r="IO93" s="4">
        <f>IFERROR(HM93/'McDonough &amp; Sun 1995 values'!X$2,)</f>
        <v>5.381152345910329</v>
      </c>
      <c r="IP93" s="4">
        <f>IFERROR(HN93/'McDonough &amp; Sun 1995 values'!Y$2,)</f>
        <v>14.117727326061264</v>
      </c>
      <c r="IQ93" s="4">
        <f>IFERROR(HO93/'McDonough &amp; Sun 1995 values'!Z$2,)</f>
        <v>17.609554861045972</v>
      </c>
      <c r="IR93" s="4">
        <f>IFERROR(HP93/'McDonough &amp; Sun 1995 values'!AA$2,)</f>
        <v>0</v>
      </c>
      <c r="IS93" s="4">
        <f>IFERROR(HQ93/'McDonough &amp; Sun 1995 values'!AB$2,)</f>
        <v>19.079740331819757</v>
      </c>
      <c r="IT93" s="4">
        <f>IFERROR(HR93/'McDonough &amp; Sun 1995 values'!AC$2,)</f>
        <v>20.775717250203733</v>
      </c>
    </row>
    <row r="94" spans="1:254">
      <c r="A94" s="16" t="s">
        <v>641</v>
      </c>
      <c r="B94" s="16" t="s">
        <v>24</v>
      </c>
      <c r="C94" s="16" t="str">
        <f t="shared" si="144"/>
        <v>low-Mg carbonatitic</v>
      </c>
      <c r="D94" s="16" t="s">
        <v>1707</v>
      </c>
      <c r="E94" s="16" t="s">
        <v>237</v>
      </c>
      <c r="F94" s="16" t="s">
        <v>639</v>
      </c>
      <c r="G94" s="16" t="s">
        <v>640</v>
      </c>
      <c r="H94" s="27">
        <v>0</v>
      </c>
      <c r="I94" s="16" t="s">
        <v>712</v>
      </c>
      <c r="J94" s="16" t="s">
        <v>635</v>
      </c>
      <c r="K94" s="16" t="s">
        <v>642</v>
      </c>
      <c r="L94" s="16">
        <v>0</v>
      </c>
      <c r="M94" s="16" t="s">
        <v>626</v>
      </c>
      <c r="N94" s="16" t="s">
        <v>1084</v>
      </c>
      <c r="O94" s="26">
        <v>13.9</v>
      </c>
      <c r="P94" s="26">
        <v>4.37</v>
      </c>
      <c r="Q94" s="26"/>
      <c r="R94" s="26">
        <v>2.5499999999999998</v>
      </c>
      <c r="S94" s="26">
        <v>6.83</v>
      </c>
      <c r="T94" s="26">
        <v>8.93</v>
      </c>
      <c r="U94" s="26"/>
      <c r="V94" s="26">
        <v>40.5</v>
      </c>
      <c r="W94" s="26">
        <v>10.4</v>
      </c>
      <c r="X94" s="26">
        <v>9.5500000000000007</v>
      </c>
      <c r="Y94" s="26"/>
      <c r="Z94" s="26">
        <v>1.19</v>
      </c>
      <c r="AA94" s="26"/>
      <c r="AB94" s="26"/>
      <c r="AC94" s="26"/>
      <c r="AD94" s="26">
        <v>1.79</v>
      </c>
      <c r="AE94" s="26"/>
      <c r="AF94" s="26"/>
      <c r="AG94" s="26"/>
      <c r="AH94" s="26"/>
      <c r="AI94" s="26"/>
      <c r="AJ94" s="26">
        <f t="shared" si="145"/>
        <v>100.01</v>
      </c>
      <c r="AK94" s="26">
        <f t="shared" si="217"/>
        <v>13.954975517797971</v>
      </c>
      <c r="AL94" s="26">
        <f t="shared" si="218"/>
        <v>4.3872836699839661</v>
      </c>
      <c r="AM94" s="26">
        <f t="shared" si="219"/>
        <v>2.5600854367183326</v>
      </c>
      <c r="AN94" s="26">
        <f t="shared" si="220"/>
        <v>6.8570131501122402</v>
      </c>
      <c r="AO94" s="26">
        <f t="shared" si="221"/>
        <v>8.9653188038802796</v>
      </c>
      <c r="AP94" s="26">
        <f t="shared" si="222"/>
        <v>40.660180465526466</v>
      </c>
      <c r="AQ94" s="26">
        <f t="shared" si="223"/>
        <v>0</v>
      </c>
      <c r="AR94" s="26">
        <f t="shared" si="224"/>
        <v>10.441132761517906</v>
      </c>
      <c r="AS94" s="26">
        <f t="shared" si="225"/>
        <v>9.5877709492784629</v>
      </c>
      <c r="AT94" s="26">
        <f t="shared" si="226"/>
        <v>1.1947065371352217</v>
      </c>
      <c r="AU94" s="26">
        <f t="shared" si="227"/>
        <v>1.7970795810689473</v>
      </c>
      <c r="AV94" s="26">
        <f t="shared" si="146"/>
        <v>100.40554687301979</v>
      </c>
      <c r="AW94" s="16"/>
      <c r="AX94" s="16"/>
      <c r="AY94" s="16"/>
      <c r="AZ94" s="16"/>
      <c r="BA94" s="26"/>
      <c r="BB94" s="26"/>
      <c r="BC94" s="26"/>
      <c r="BD94" s="26"/>
      <c r="BE94" s="25"/>
      <c r="BF94" s="16"/>
      <c r="BG94" s="16"/>
      <c r="BH94" s="16"/>
      <c r="BI94" s="16"/>
      <c r="BJ94" s="16"/>
      <c r="BK94" s="18"/>
      <c r="BL94" s="18"/>
      <c r="BM94" s="18"/>
      <c r="BN94" s="18">
        <v>13.71</v>
      </c>
      <c r="BO94" s="18">
        <v>12.64</v>
      </c>
      <c r="BP94" s="18">
        <v>3.25</v>
      </c>
      <c r="BQ94" s="18">
        <v>7.35</v>
      </c>
      <c r="BR94" s="18">
        <v>37.229999999999997</v>
      </c>
      <c r="BS94" s="18">
        <v>67.37</v>
      </c>
      <c r="BT94" s="18">
        <v>5.0199999999999996</v>
      </c>
      <c r="BU94" s="18">
        <v>1.74</v>
      </c>
      <c r="BV94" s="18">
        <v>0.504</v>
      </c>
      <c r="BW94" s="18">
        <v>11.51</v>
      </c>
      <c r="BX94" s="18">
        <v>2.1000000000000001E-2</v>
      </c>
      <c r="BY94" s="18">
        <v>0.122</v>
      </c>
      <c r="BZ94" s="18">
        <v>0.62</v>
      </c>
      <c r="CA94" s="18">
        <v>8.9999999999999993E-3</v>
      </c>
      <c r="CB94" s="18">
        <v>1.4E-2</v>
      </c>
      <c r="CC94" s="18"/>
      <c r="CD94" s="18"/>
      <c r="CE94" s="18"/>
      <c r="CF94" s="18"/>
      <c r="CG94" s="18"/>
      <c r="CH94" s="18">
        <v>0.13400000000000001</v>
      </c>
      <c r="CI94" s="18">
        <v>0.85</v>
      </c>
      <c r="CJ94" s="18">
        <v>1.2E-2</v>
      </c>
      <c r="CK94" s="18">
        <v>6.7000000000000004E-2</v>
      </c>
      <c r="CL94" s="18"/>
      <c r="CM94" s="18">
        <v>0.24099999999999999</v>
      </c>
      <c r="CN94" s="18"/>
      <c r="CO94" s="18"/>
      <c r="CP94" s="18"/>
      <c r="CQ94" s="18"/>
      <c r="CR94" s="18">
        <v>3.0000000000000001E-3</v>
      </c>
      <c r="CS94" s="18">
        <v>5.71</v>
      </c>
      <c r="CT94" s="18">
        <v>5.8999999999999997E-2</v>
      </c>
      <c r="CU94" s="18">
        <v>0.29799999999999999</v>
      </c>
      <c r="CV94" s="18">
        <v>0.34699999999999998</v>
      </c>
      <c r="CW94" s="18">
        <v>2.7E-2</v>
      </c>
      <c r="CX94" s="18">
        <v>0.11</v>
      </c>
      <c r="CY94" s="18">
        <v>1.9E-2</v>
      </c>
      <c r="CZ94" s="18">
        <v>6.0000000000000001E-3</v>
      </c>
      <c r="DA94" s="18">
        <v>1.9E-2</v>
      </c>
      <c r="DB94" s="18">
        <v>0.01</v>
      </c>
      <c r="DC94" s="18">
        <v>3.0000000000000001E-3</v>
      </c>
      <c r="DD94" s="18">
        <v>1.2E-2</v>
      </c>
      <c r="DE94" s="18"/>
      <c r="DF94" s="18">
        <v>1.7000000000000001E-2</v>
      </c>
      <c r="DG94" s="18">
        <v>3.0000000000000001E-3</v>
      </c>
      <c r="DH94" s="18">
        <v>1.0999999999999999E-2</v>
      </c>
      <c r="DI94" s="18">
        <v>0.01</v>
      </c>
      <c r="DJ94" s="18">
        <v>0.03</v>
      </c>
      <c r="DK94" s="18">
        <v>3.3000000000000002E-2</v>
      </c>
      <c r="DL94" s="18">
        <v>4.1000000000000002E-2</v>
      </c>
      <c r="DM94" s="18">
        <v>0.01</v>
      </c>
      <c r="DN94" s="18"/>
      <c r="DO94" s="18"/>
      <c r="DP94" s="18"/>
      <c r="DQ94" s="18"/>
      <c r="DR94" s="18"/>
      <c r="DS94" s="18"/>
      <c r="DT94" s="18"/>
      <c r="DU94" s="18"/>
      <c r="DV94" s="28"/>
      <c r="DW94" s="28"/>
      <c r="DX94" s="28"/>
      <c r="DY94" s="28"/>
      <c r="DZ94" s="28"/>
      <c r="EA94" s="28"/>
      <c r="EB94" s="28"/>
      <c r="EC94" s="28"/>
      <c r="ED94" s="28"/>
      <c r="EE94" s="28"/>
      <c r="EF94" s="28"/>
      <c r="EG94" s="28"/>
      <c r="EH94" s="28"/>
      <c r="EI94" s="28"/>
      <c r="EJ94" s="18"/>
      <c r="EK94" s="18"/>
      <c r="EL94" s="18">
        <f>IFERROR(CR94/'McDonough &amp; Sun 1995 values'!C$2,)</f>
        <v>0.14285714285714285</v>
      </c>
      <c r="EM94" s="18">
        <f>IFERROR(CH94/'McDonough &amp; Sun 1995 values'!D$2,)</f>
        <v>0.22333333333333336</v>
      </c>
      <c r="EN94" s="18">
        <f>IFERROR(CS94/'McDonough &amp; Sun 1995 values'!E$2,)</f>
        <v>0.86515151515151523</v>
      </c>
      <c r="EO94" s="18">
        <f>IFERROR(DL94/'McDonough &amp; Sun 1995 values'!F$2,)</f>
        <v>0.51572327044025157</v>
      </c>
      <c r="EP94" s="18">
        <f>IFERROR(DM94/'McDonough &amp; Sun 1995 values'!G$2,)</f>
        <v>0.49261083743842371</v>
      </c>
      <c r="EQ94" s="18">
        <f>IFERROR(BR94/'McDonough &amp; Sun 1995 values'!H$2,)</f>
        <v>0.15512499999999999</v>
      </c>
      <c r="ER94" s="18">
        <f>IFERROR(DI94/'McDonough &amp; Sun 1995 values'!I$2,)</f>
        <v>0.27027027027027029</v>
      </c>
      <c r="ES94" s="18">
        <f>IFERROR(CM94/'McDonough &amp; Sun 1995 values'!J$2,)</f>
        <v>0.36626139817629177</v>
      </c>
      <c r="ET94" s="18">
        <f>IFERROR(CU94/'McDonough &amp; Sun 1995 values'!K$2,)</f>
        <v>0.45987654320987653</v>
      </c>
      <c r="EU94" s="18">
        <f>IFERROR(CV94/'McDonough &amp; Sun 1995 values'!L$2,)</f>
        <v>0.2071641791044776</v>
      </c>
      <c r="EV94" s="18">
        <f>IFERROR(CW94/'McDonough &amp; Sun 1995 values'!M$2,)</f>
        <v>0.10629921259842519</v>
      </c>
      <c r="EW94" s="18">
        <f>IFERROR(CI94/'McDonough &amp; Sun 1995 values'!N$2,)</f>
        <v>4.2713567839195984E-2</v>
      </c>
      <c r="EX94" s="18">
        <f>IFERROR(CX94/'McDonough &amp; Sun 1995 values'!O$2,)</f>
        <v>8.7999999999999995E-2</v>
      </c>
      <c r="EY94" s="18">
        <f>IFERROR(CY94/'McDonough &amp; Sun 1995 values'!P$2,)</f>
        <v>4.6798029556650245E-2</v>
      </c>
      <c r="EZ94" s="18">
        <f>IFERROR(DH94/'McDonough &amp; Sun 1995 values'!Q$2,)</f>
        <v>3.8869257950530034E-2</v>
      </c>
      <c r="FA94" s="18">
        <f>IFERROR(CK94/'McDonough &amp; Sun 1995 values'!R$2,)</f>
        <v>6.3809523809523813E-3</v>
      </c>
      <c r="FB94" s="18">
        <f>IFERROR(CZ94/'McDonough &amp; Sun 1995 values'!S$2,)</f>
        <v>3.896103896103896E-2</v>
      </c>
      <c r="FC94" s="18">
        <f>IFERROR(BT94/'McDonough &amp; Sun 1995 values'!T$2,)</f>
        <v>4.1659751037344392E-3</v>
      </c>
      <c r="FD94" s="18">
        <f>IFERROR(DA94/'McDonough &amp; Sun 1995 values'!U$2,)</f>
        <v>3.4926470588235288E-2</v>
      </c>
      <c r="FE94" s="18">
        <f>IFERROR(DN94/'McDonough &amp; Sun 1995 values'!V$2,)</f>
        <v>0</v>
      </c>
      <c r="FF94" s="18">
        <f>IFERROR(DB94/'McDonough &amp; Sun 1995 values'!W$2,)</f>
        <v>1.4836795252225518E-2</v>
      </c>
      <c r="FG94" s="18">
        <f>IFERROR(CJ94/'McDonough &amp; Sun 1995 values'!X$2,)</f>
        <v>2.7906976744186047E-3</v>
      </c>
      <c r="FH94" s="18">
        <f>IFERROR(DC94/'McDonough &amp; Sun 1995 values'!Y$2,)</f>
        <v>2.0134228187919465E-2</v>
      </c>
      <c r="FI94" s="18">
        <f>IFERROR(DD94/'McDonough &amp; Sun 1995 values'!Z$2,)</f>
        <v>2.7397260273972605E-2</v>
      </c>
      <c r="FJ94" s="18">
        <f>IFERROR(DE94/'McDonough &amp; Sun 1995 values'!AA$2,)</f>
        <v>0</v>
      </c>
      <c r="FK94" s="18">
        <f>IFERROR(DF94/'McDonough &amp; Sun 1995 values'!AB$2,)</f>
        <v>3.8548752834467126E-2</v>
      </c>
      <c r="FL94" s="18">
        <f>IFERROR(DG94/'McDonough &amp; Sun 1995 values'!AC$2,)</f>
        <v>4.4444444444444439E-2</v>
      </c>
      <c r="FN94" s="28">
        <f t="shared" si="228"/>
        <v>3.17557348872473</v>
      </c>
      <c r="FO94" s="4">
        <f t="shared" si="161"/>
        <v>1.7562575757575756</v>
      </c>
      <c r="FP94" s="4">
        <f t="shared" si="162"/>
        <v>1.4080743234426787</v>
      </c>
      <c r="FQ94" s="4">
        <f t="shared" si="163"/>
        <v>1.0469182389937106</v>
      </c>
      <c r="FR94" s="4">
        <f t="shared" si="164"/>
        <v>1.2555965370626505</v>
      </c>
      <c r="FS94" s="4">
        <f t="shared" si="165"/>
        <v>1.7015432098765431</v>
      </c>
      <c r="FT94" s="4">
        <f t="shared" si="166"/>
        <v>1.5633333333333337</v>
      </c>
      <c r="FU94" s="4">
        <f t="shared" si="167"/>
        <v>0.73791633957609071</v>
      </c>
      <c r="FV94" s="4">
        <f t="shared" si="168"/>
        <v>0.13635087719298247</v>
      </c>
      <c r="FW94" s="4">
        <f t="shared" si="169"/>
        <v>0.16416450216450218</v>
      </c>
      <c r="FX94" s="4">
        <f t="shared" si="170"/>
        <v>0.95347267690758009</v>
      </c>
      <c r="FY94" s="4">
        <f t="shared" si="171"/>
        <v>0.44163093761458688</v>
      </c>
      <c r="FZ94" s="4">
        <f t="shared" si="172"/>
        <v>0.96369453294706331</v>
      </c>
      <c r="GA94" s="4">
        <f t="shared" si="173"/>
        <v>0.40182393448725112</v>
      </c>
      <c r="GB94" s="4">
        <f t="shared" si="174"/>
        <v>0.83253588516746413</v>
      </c>
      <c r="GC94" s="4">
        <f t="shared" si="175"/>
        <v>0.63965884861407241</v>
      </c>
      <c r="GD94" s="4">
        <f t="shared" si="176"/>
        <v>1.6775498891352552</v>
      </c>
      <c r="GE94" s="4">
        <f t="shared" si="177"/>
        <v>3.8738127544097694</v>
      </c>
      <c r="GF94" s="4">
        <f t="shared" si="178"/>
        <v>5.5771249969477212</v>
      </c>
      <c r="GG94" s="4">
        <f t="shared" si="179"/>
        <v>2.3621149251854647</v>
      </c>
      <c r="GH94" s="4">
        <f t="shared" si="180"/>
        <v>4.3262459990855051</v>
      </c>
      <c r="GI94" s="4">
        <f t="shared" si="181"/>
        <v>9.8268356075373617</v>
      </c>
      <c r="GJ94" s="4">
        <f t="shared" si="182"/>
        <v>30.995679012345679</v>
      </c>
      <c r="GK94" s="4">
        <f t="shared" si="183"/>
        <v>11.929738562091501</v>
      </c>
      <c r="GL94" s="4">
        <f t="shared" si="184"/>
        <v>1.5316827926389682</v>
      </c>
      <c r="GM94" s="4">
        <f t="shared" si="185"/>
        <v>2.3092086736130666</v>
      </c>
      <c r="GN94" s="4">
        <f t="shared" si="186"/>
        <v>0.79643418126925192</v>
      </c>
      <c r="GO94" s="4">
        <f t="shared" si="187"/>
        <v>0.74351063829787223</v>
      </c>
      <c r="GP94" s="4">
        <f t="shared" si="188"/>
        <v>0.31490374999999993</v>
      </c>
      <c r="GQ94" s="27">
        <f t="shared" si="189"/>
        <v>79591.663340127707</v>
      </c>
      <c r="GR94" s="28">
        <f t="shared" si="190"/>
        <v>6.4135103416702428</v>
      </c>
      <c r="GS94" s="28">
        <f t="shared" si="191"/>
        <v>286.4701285946042</v>
      </c>
      <c r="GT94" s="28">
        <f t="shared" si="192"/>
        <v>12207.04801697903</v>
      </c>
      <c r="GU94" s="28">
        <f t="shared" si="193"/>
        <v>87.651308002826653</v>
      </c>
      <c r="GV94" s="28">
        <f t="shared" si="194"/>
        <v>21.378367805567475</v>
      </c>
      <c r="GW94" s="28">
        <f t="shared" si="195"/>
        <v>79591.663340127707</v>
      </c>
      <c r="GX94" s="28">
        <f t="shared" si="196"/>
        <v>21.378367805567475</v>
      </c>
      <c r="GY94" s="28">
        <f t="shared" si="197"/>
        <v>515.21866411417614</v>
      </c>
      <c r="GZ94" s="28">
        <f t="shared" si="198"/>
        <v>637.07536060591076</v>
      </c>
      <c r="HA94" s="28">
        <f t="shared" si="199"/>
        <v>741.82936285319136</v>
      </c>
      <c r="HB94" s="28">
        <f t="shared" si="200"/>
        <v>57.721593075032189</v>
      </c>
      <c r="HC94" s="28">
        <f t="shared" si="201"/>
        <v>1817.1612634732355</v>
      </c>
      <c r="HD94" s="28">
        <f t="shared" si="202"/>
        <v>235.16204586124223</v>
      </c>
      <c r="HE94" s="28">
        <f t="shared" si="203"/>
        <v>40.618898830578203</v>
      </c>
      <c r="HF94" s="28">
        <f t="shared" si="204"/>
        <v>23.516204586124221</v>
      </c>
      <c r="HG94" s="28">
        <f t="shared" si="205"/>
        <v>143.2350642973021</v>
      </c>
      <c r="HH94" s="28">
        <f t="shared" si="206"/>
        <v>12.827020683340486</v>
      </c>
      <c r="HI94" s="28">
        <f t="shared" si="207"/>
        <v>10731.940638394872</v>
      </c>
      <c r="HJ94" s="28">
        <f t="shared" si="208"/>
        <v>40.618898830578203</v>
      </c>
      <c r="HK94" s="28">
        <f t="shared" si="209"/>
        <v>0</v>
      </c>
      <c r="HL94" s="28">
        <f t="shared" si="210"/>
        <v>21.378367805567475</v>
      </c>
      <c r="HM94" s="28">
        <f t="shared" si="211"/>
        <v>25.654041366680971</v>
      </c>
      <c r="HN94" s="28">
        <f t="shared" si="212"/>
        <v>6.4135103416702428</v>
      </c>
      <c r="HO94" s="28">
        <f t="shared" si="213"/>
        <v>25.654041366680971</v>
      </c>
      <c r="HP94" s="28">
        <f t="shared" si="214"/>
        <v>0</v>
      </c>
      <c r="HQ94" s="28">
        <f t="shared" si="215"/>
        <v>36.34322526946471</v>
      </c>
      <c r="HR94" s="28">
        <f t="shared" si="216"/>
        <v>6.4135103416702428</v>
      </c>
      <c r="HT94" s="4">
        <f>IFERROR(GR94/'McDonough &amp; Sun 1995 values'!C$2,)</f>
        <v>305.40525436524962</v>
      </c>
      <c r="HU94" s="4">
        <f>IFERROR(GS94/'McDonough &amp; Sun 1995 values'!D$2,)</f>
        <v>477.45021432434038</v>
      </c>
      <c r="HV94" s="4">
        <f>IFERROR(GT94/'McDonough &amp; Sun 1995 values'!E$2,)</f>
        <v>1849.5527298453076</v>
      </c>
      <c r="HW94" s="4">
        <f>IFERROR(GU94/'McDonough &amp; Sun 1995 values'!F$2,)</f>
        <v>1102.5321761361843</v>
      </c>
      <c r="HX94" s="4">
        <f>IFERROR(GV94/'McDonough &amp; Sun 1995 values'!G$2,)</f>
        <v>1053.1215667767231</v>
      </c>
      <c r="HY94" s="4">
        <f>IFERROR(GW94/'McDonough &amp; Sun 1995 values'!H$2,)</f>
        <v>331.63193058386543</v>
      </c>
      <c r="HZ94" s="4">
        <f>IFERROR(GX94/'McDonough &amp; Sun 1995 values'!I$2,)</f>
        <v>577.79372447479659</v>
      </c>
      <c r="IA94" s="4">
        <f>IFERROR(GY94/'McDonough &amp; Sun 1995 values'!J$2,)</f>
        <v>783.00708831941654</v>
      </c>
      <c r="IB94" s="4">
        <f>IFERROR(GZ94/'McDonough &amp; Sun 1995 values'!K$2,)</f>
        <v>983.14098858936848</v>
      </c>
      <c r="IC94" s="4">
        <f>IFERROR(HA94/'McDonough &amp; Sun 1995 values'!L$2,)</f>
        <v>442.88320170339779</v>
      </c>
      <c r="ID94" s="4">
        <f>IFERROR(HB94/'McDonough &amp; Sun 1995 values'!M$2,)</f>
        <v>227.2503664371346</v>
      </c>
      <c r="IE94" s="4">
        <f>IFERROR(HC94/'McDonough &amp; Sun 1995 values'!N$2,)</f>
        <v>91.314636355438978</v>
      </c>
      <c r="IF94" s="4">
        <f>IFERROR(HD94/'McDonough &amp; Sun 1995 values'!O$2,)</f>
        <v>188.1296366889938</v>
      </c>
      <c r="IG94" s="4">
        <f>IFERROR(HE94/'McDonough &amp; Sun 1995 values'!P$2,)</f>
        <v>100.04654884378867</v>
      </c>
      <c r="IH94" s="4">
        <f>IFERROR(HF94/'McDonough &amp; Sun 1995 values'!Q$2,)</f>
        <v>83.096129279590897</v>
      </c>
      <c r="II94" s="4">
        <f>IFERROR(HG94/'McDonough &amp; Sun 1995 values'!R$2,)</f>
        <v>13.641434694981152</v>
      </c>
      <c r="IJ94" s="4">
        <f>IFERROR(HH94/'McDonough &amp; Sun 1995 values'!S$2,)</f>
        <v>83.292342099613549</v>
      </c>
      <c r="IK94" s="4">
        <f>IFERROR(HI94/'McDonough &amp; Sun 1995 values'!T$2,)</f>
        <v>8.9061748036471968</v>
      </c>
      <c r="IL94" s="4">
        <f>IFERROR(HJ94/'McDonough &amp; Sun 1995 values'!U$2,)</f>
        <v>74.667093438562873</v>
      </c>
      <c r="IM94" s="4">
        <f>IFERROR(HK94/'McDonough &amp; Sun 1995 values'!V$2,)</f>
        <v>0</v>
      </c>
      <c r="IN94" s="4">
        <f>IFERROR(HL94/'McDonough &amp; Sun 1995 values'!W$2,)</f>
        <v>31.718646595797438</v>
      </c>
      <c r="IO94" s="4">
        <f>IFERROR(HM94/'McDonough &amp; Sun 1995 values'!X$2,)</f>
        <v>5.9660561317862726</v>
      </c>
      <c r="IP94" s="4">
        <f>IFERROR(HN94/'McDonough &amp; Sun 1995 values'!Y$2,)</f>
        <v>43.043693568256664</v>
      </c>
      <c r="IQ94" s="4">
        <f>IFERROR(HO94/'McDonough &amp; Sun 1995 values'!Z$2,)</f>
        <v>58.570870700184862</v>
      </c>
      <c r="IR94" s="4">
        <f>IFERROR(HP94/'McDonough &amp; Sun 1995 values'!AA$2,)</f>
        <v>0</v>
      </c>
      <c r="IS94" s="4">
        <f>IFERROR(HQ94/'McDonough &amp; Sun 1995 values'!AB$2,)</f>
        <v>82.410941654114993</v>
      </c>
      <c r="IT94" s="4">
        <f>IFERROR(HR94/'McDonough &amp; Sun 1995 values'!AC$2,)</f>
        <v>95.014968024744334</v>
      </c>
    </row>
    <row r="95" spans="1:254">
      <c r="A95" s="16" t="s">
        <v>641</v>
      </c>
      <c r="B95" s="16" t="s">
        <v>24</v>
      </c>
      <c r="C95" s="16" t="str">
        <f t="shared" si="144"/>
        <v>low-Mg carbonatitic</v>
      </c>
      <c r="D95" s="16" t="s">
        <v>1707</v>
      </c>
      <c r="E95" s="16" t="s">
        <v>237</v>
      </c>
      <c r="F95" s="16" t="s">
        <v>639</v>
      </c>
      <c r="G95" s="16" t="s">
        <v>640</v>
      </c>
      <c r="H95" s="27">
        <v>0</v>
      </c>
      <c r="I95" s="16" t="s">
        <v>712</v>
      </c>
      <c r="J95" s="16" t="s">
        <v>635</v>
      </c>
      <c r="K95" s="16" t="s">
        <v>642</v>
      </c>
      <c r="L95" s="16">
        <v>0</v>
      </c>
      <c r="M95" s="16" t="s">
        <v>620</v>
      </c>
      <c r="N95" s="16" t="s">
        <v>1084</v>
      </c>
      <c r="O95" s="26">
        <v>13.1</v>
      </c>
      <c r="P95" s="26">
        <v>1.51</v>
      </c>
      <c r="Q95" s="26"/>
      <c r="R95" s="26">
        <v>1.94</v>
      </c>
      <c r="S95" s="26">
        <v>9.64</v>
      </c>
      <c r="T95" s="26">
        <v>14.2</v>
      </c>
      <c r="U95" s="26">
        <v>0.08</v>
      </c>
      <c r="V95" s="26">
        <v>37.299999999999997</v>
      </c>
      <c r="W95" s="26">
        <v>7.11</v>
      </c>
      <c r="X95" s="26">
        <v>8.7899999999999991</v>
      </c>
      <c r="Y95" s="26"/>
      <c r="Z95" s="26">
        <v>3.25</v>
      </c>
      <c r="AA95" s="26"/>
      <c r="AB95" s="26">
        <v>0.21</v>
      </c>
      <c r="AC95" s="26"/>
      <c r="AD95" s="26">
        <v>2.83</v>
      </c>
      <c r="AE95" s="26"/>
      <c r="AF95" s="26"/>
      <c r="AG95" s="26"/>
      <c r="AH95" s="26"/>
      <c r="AI95" s="26"/>
      <c r="AJ95" s="26">
        <f t="shared" si="145"/>
        <v>99.88</v>
      </c>
      <c r="AK95" s="26">
        <f t="shared" si="217"/>
        <v>13.200142349320915</v>
      </c>
      <c r="AL95" s="26">
        <f t="shared" si="218"/>
        <v>1.5215431257614183</v>
      </c>
      <c r="AM95" s="26">
        <f t="shared" si="219"/>
        <v>1.9548302410444713</v>
      </c>
      <c r="AN95" s="26">
        <f t="shared" si="220"/>
        <v>9.713692537973559</v>
      </c>
      <c r="AO95" s="26">
        <f t="shared" si="221"/>
        <v>14.308551248882212</v>
      </c>
      <c r="AP95" s="26">
        <f t="shared" si="222"/>
        <v>37.585138139669475</v>
      </c>
      <c r="AQ95" s="26">
        <f t="shared" si="223"/>
        <v>0.21160533537079329</v>
      </c>
      <c r="AR95" s="26">
        <f t="shared" si="224"/>
        <v>7.1643520689825726</v>
      </c>
      <c r="AS95" s="26">
        <f t="shared" si="225"/>
        <v>8.8571947519489189</v>
      </c>
      <c r="AT95" s="26">
        <f t="shared" si="226"/>
        <v>3.2748444759765629</v>
      </c>
      <c r="AU95" s="26">
        <f t="shared" si="227"/>
        <v>2.8516338052349761</v>
      </c>
      <c r="AV95" s="26">
        <f t="shared" si="146"/>
        <v>100.64352808016588</v>
      </c>
      <c r="AW95" s="16"/>
      <c r="AX95" s="16"/>
      <c r="AY95" s="16"/>
      <c r="AZ95" s="16"/>
      <c r="BA95" s="26"/>
      <c r="BB95" s="26">
        <v>7.0000000000000007E-2</v>
      </c>
      <c r="BC95" s="26">
        <f t="shared" ref="BC95:BC103" si="229">1-BD95</f>
        <v>7.0000000000000062E-2</v>
      </c>
      <c r="BD95" s="26">
        <f t="shared" ref="BD95:BD103" si="230">1-BB95</f>
        <v>0.92999999999999994</v>
      </c>
      <c r="BE95" s="25"/>
      <c r="BF95" s="16"/>
      <c r="BG95" s="16"/>
      <c r="BH95" s="16"/>
      <c r="BI95" s="16"/>
      <c r="BJ95" s="16">
        <v>0</v>
      </c>
      <c r="BK95" s="18"/>
      <c r="BL95" s="18"/>
      <c r="BM95" s="18"/>
      <c r="BN95" s="18">
        <v>101.24</v>
      </c>
      <c r="BO95" s="18">
        <v>78.180000000000007</v>
      </c>
      <c r="BP95" s="18">
        <v>11.98</v>
      </c>
      <c r="BQ95" s="18">
        <v>20.59</v>
      </c>
      <c r="BR95" s="18">
        <v>193.9</v>
      </c>
      <c r="BS95" s="18">
        <v>206.48</v>
      </c>
      <c r="BT95" s="18">
        <v>15.07</v>
      </c>
      <c r="BU95" s="18">
        <v>1.94</v>
      </c>
      <c r="BV95" s="18">
        <v>3.76</v>
      </c>
      <c r="BW95" s="18">
        <v>74.06</v>
      </c>
      <c r="BX95" s="18">
        <v>5.5E-2</v>
      </c>
      <c r="BY95" s="18">
        <v>0.188</v>
      </c>
      <c r="BZ95" s="18">
        <v>1.4</v>
      </c>
      <c r="CA95" s="18">
        <v>0.05</v>
      </c>
      <c r="CB95" s="18">
        <v>2.9000000000000001E-2</v>
      </c>
      <c r="CC95" s="18"/>
      <c r="CD95" s="18"/>
      <c r="CE95" s="18"/>
      <c r="CF95" s="18"/>
      <c r="CG95" s="18"/>
      <c r="CH95" s="18">
        <v>0.65600000000000003</v>
      </c>
      <c r="CI95" s="18">
        <v>4.54</v>
      </c>
      <c r="CJ95" s="18">
        <v>4.3999999999999997E-2</v>
      </c>
      <c r="CK95" s="18">
        <v>0.28799999999999998</v>
      </c>
      <c r="CL95" s="18"/>
      <c r="CM95" s="18">
        <v>1.2749999999999999</v>
      </c>
      <c r="CN95" s="18"/>
      <c r="CO95" s="18"/>
      <c r="CP95" s="18"/>
      <c r="CQ95" s="18"/>
      <c r="CR95" s="18">
        <v>1.2E-2</v>
      </c>
      <c r="CS95" s="18">
        <v>30.58</v>
      </c>
      <c r="CT95" s="18">
        <v>0.10100000000000001</v>
      </c>
      <c r="CU95" s="18">
        <v>1.544</v>
      </c>
      <c r="CV95" s="18">
        <v>1.736</v>
      </c>
      <c r="CW95" s="18">
        <v>0.16800000000000001</v>
      </c>
      <c r="CX95" s="18">
        <v>0.48899999999999999</v>
      </c>
      <c r="CY95" s="18">
        <v>4.7E-2</v>
      </c>
      <c r="CZ95" s="18">
        <v>0.01</v>
      </c>
      <c r="DA95" s="18">
        <v>1.4E-2</v>
      </c>
      <c r="DB95" s="18">
        <v>8.0000000000000002E-3</v>
      </c>
      <c r="DC95" s="18">
        <v>2E-3</v>
      </c>
      <c r="DD95" s="18">
        <v>8.9999999999999993E-3</v>
      </c>
      <c r="DE95" s="18"/>
      <c r="DF95" s="18">
        <v>1.2E-2</v>
      </c>
      <c r="DG95" s="18">
        <v>2E-3</v>
      </c>
      <c r="DH95" s="18">
        <v>8.0000000000000002E-3</v>
      </c>
      <c r="DI95" s="18">
        <v>4.2000000000000003E-2</v>
      </c>
      <c r="DJ95" s="18">
        <v>6.5000000000000002E-2</v>
      </c>
      <c r="DK95" s="18">
        <v>0.106</v>
      </c>
      <c r="DL95" s="18">
        <v>0.30499999999999999</v>
      </c>
      <c r="DM95" s="18">
        <v>4.7E-2</v>
      </c>
      <c r="DN95" s="18"/>
      <c r="DO95" s="18"/>
      <c r="DP95" s="18"/>
      <c r="DQ95" s="18"/>
      <c r="DR95" s="18"/>
      <c r="DS95" s="18"/>
      <c r="DT95" s="18"/>
      <c r="DU95" s="18"/>
      <c r="DV95" s="28"/>
      <c r="DW95" s="28"/>
      <c r="DX95" s="28"/>
      <c r="DY95" s="28"/>
      <c r="DZ95" s="28"/>
      <c r="EA95" s="28"/>
      <c r="EB95" s="28"/>
      <c r="EC95" s="28"/>
      <c r="ED95" s="28"/>
      <c r="EE95" s="28"/>
      <c r="EF95" s="28"/>
      <c r="EG95" s="28"/>
      <c r="EH95" s="28"/>
      <c r="EI95" s="28"/>
      <c r="EJ95" s="18"/>
      <c r="EK95" s="18"/>
      <c r="EL95" s="18">
        <f>IFERROR(CR95/'McDonough &amp; Sun 1995 values'!C$2,)</f>
        <v>0.5714285714285714</v>
      </c>
      <c r="EM95" s="18">
        <f>IFERROR(CH95/'McDonough &amp; Sun 1995 values'!D$2,)</f>
        <v>1.0933333333333335</v>
      </c>
      <c r="EN95" s="18">
        <f>IFERROR(CS95/'McDonough &amp; Sun 1995 values'!E$2,)</f>
        <v>4.6333333333333337</v>
      </c>
      <c r="EO95" s="18">
        <f>IFERROR(DL95/'McDonough &amp; Sun 1995 values'!F$2,)</f>
        <v>3.8364779874213837</v>
      </c>
      <c r="EP95" s="18">
        <f>IFERROR(DM95/'McDonough &amp; Sun 1995 values'!G$2,)</f>
        <v>2.3152709359605912</v>
      </c>
      <c r="EQ95" s="18">
        <f>IFERROR(BR95/'McDonough &amp; Sun 1995 values'!H$2,)</f>
        <v>0.80791666666666673</v>
      </c>
      <c r="ER95" s="18">
        <f>IFERROR(DI95/'McDonough &amp; Sun 1995 values'!I$2,)</f>
        <v>1.1351351351351353</v>
      </c>
      <c r="ES95" s="18">
        <f>IFERROR(CM95/'McDonough &amp; Sun 1995 values'!J$2,)</f>
        <v>1.9376899696048631</v>
      </c>
      <c r="ET95" s="18">
        <f>IFERROR(CU95/'McDonough &amp; Sun 1995 values'!K$2,)</f>
        <v>2.382716049382716</v>
      </c>
      <c r="EU95" s="18">
        <f>IFERROR(CV95/'McDonough &amp; Sun 1995 values'!L$2,)</f>
        <v>1.0364179104477611</v>
      </c>
      <c r="EV95" s="18">
        <f>IFERROR(CW95/'McDonough &amp; Sun 1995 values'!M$2,)</f>
        <v>0.66141732283464572</v>
      </c>
      <c r="EW95" s="18">
        <f>IFERROR(CI95/'McDonough &amp; Sun 1995 values'!N$2,)</f>
        <v>0.22814070351758794</v>
      </c>
      <c r="EX95" s="18">
        <f>IFERROR(CX95/'McDonough &amp; Sun 1995 values'!O$2,)</f>
        <v>0.39119999999999999</v>
      </c>
      <c r="EY95" s="18">
        <f>IFERROR(CY95/'McDonough &amp; Sun 1995 values'!P$2,)</f>
        <v>0.11576354679802955</v>
      </c>
      <c r="EZ95" s="18">
        <f>IFERROR(DH95/'McDonough &amp; Sun 1995 values'!Q$2,)</f>
        <v>2.826855123674912E-2</v>
      </c>
      <c r="FA95" s="18">
        <f>IFERROR(CK95/'McDonough &amp; Sun 1995 values'!R$2,)</f>
        <v>2.7428571428571427E-2</v>
      </c>
      <c r="FB95" s="18">
        <f>IFERROR(CZ95/'McDonough &amp; Sun 1995 values'!S$2,)</f>
        <v>6.4935064935064943E-2</v>
      </c>
      <c r="FC95" s="18">
        <f>IFERROR(BT95/'McDonough &amp; Sun 1995 values'!T$2,)</f>
        <v>1.2506224066390043E-2</v>
      </c>
      <c r="FD95" s="18">
        <f>IFERROR(DA95/'McDonough &amp; Sun 1995 values'!U$2,)</f>
        <v>2.5735294117647058E-2</v>
      </c>
      <c r="FE95" s="18">
        <f>IFERROR(DN95/'McDonough &amp; Sun 1995 values'!V$2,)</f>
        <v>0</v>
      </c>
      <c r="FF95" s="18">
        <f>IFERROR(DB95/'McDonough &amp; Sun 1995 values'!W$2,)</f>
        <v>1.1869436201780414E-2</v>
      </c>
      <c r="FG95" s="18">
        <f>IFERROR(CJ95/'McDonough &amp; Sun 1995 values'!X$2,)</f>
        <v>1.0232558139534883E-2</v>
      </c>
      <c r="FH95" s="18">
        <f>IFERROR(DC95/'McDonough &amp; Sun 1995 values'!Y$2,)</f>
        <v>1.342281879194631E-2</v>
      </c>
      <c r="FI95" s="18">
        <f>IFERROR(DD95/'McDonough &amp; Sun 1995 values'!Z$2,)</f>
        <v>2.0547945205479451E-2</v>
      </c>
      <c r="FJ95" s="18">
        <f>IFERROR(DE95/'McDonough &amp; Sun 1995 values'!AA$2,)</f>
        <v>0</v>
      </c>
      <c r="FK95" s="18">
        <f>IFERROR(DF95/'McDonough &amp; Sun 1995 values'!AB$2,)</f>
        <v>2.7210884353741496E-2</v>
      </c>
      <c r="FL95" s="18">
        <f>IFERROR(DG95/'McDonough &amp; Sun 1995 values'!AC$2,)</f>
        <v>2.9629629629629627E-2</v>
      </c>
      <c r="FN95" s="28">
        <f t="shared" si="228"/>
        <v>2.8657298846340478</v>
      </c>
      <c r="FO95" s="4">
        <f t="shared" si="161"/>
        <v>2.0012056737588653</v>
      </c>
      <c r="FP95" s="4">
        <f t="shared" si="162"/>
        <v>1.9799235417437417</v>
      </c>
      <c r="FQ95" s="4">
        <f t="shared" si="163"/>
        <v>1.6570319818011507</v>
      </c>
      <c r="FR95" s="4">
        <f t="shared" si="164"/>
        <v>1.2296683611716293</v>
      </c>
      <c r="FS95" s="4">
        <f t="shared" si="165"/>
        <v>2.0990593768371544</v>
      </c>
      <c r="FT95" s="4">
        <f t="shared" si="166"/>
        <v>1.9133333333333338</v>
      </c>
      <c r="FU95" s="4">
        <f t="shared" si="167"/>
        <v>0.58581875993640709</v>
      </c>
      <c r="FV95" s="4">
        <f t="shared" si="168"/>
        <v>0.23693617021276595</v>
      </c>
      <c r="FW95" s="4">
        <f t="shared" si="169"/>
        <v>0.97028571428571408</v>
      </c>
      <c r="FX95" s="4">
        <f t="shared" si="170"/>
        <v>0.91781762330847205</v>
      </c>
      <c r="FY95" s="4">
        <f t="shared" si="171"/>
        <v>0.44850322563457529</v>
      </c>
      <c r="FZ95" s="4">
        <f t="shared" si="172"/>
        <v>1.1896762700596102</v>
      </c>
      <c r="GA95" s="4">
        <f t="shared" si="173"/>
        <v>0.34492701603254367</v>
      </c>
      <c r="GB95" s="4">
        <f t="shared" si="174"/>
        <v>0.56092843326885888</v>
      </c>
      <c r="GC95" s="4">
        <f t="shared" si="175"/>
        <v>0.5226480836236933</v>
      </c>
      <c r="GD95" s="4">
        <f t="shared" si="176"/>
        <v>1.207704918032787</v>
      </c>
      <c r="GE95" s="4">
        <f t="shared" si="177"/>
        <v>4.23780487804878</v>
      </c>
      <c r="GF95" s="4">
        <f t="shared" si="178"/>
        <v>5.7349149045899948</v>
      </c>
      <c r="GG95" s="4">
        <f t="shared" si="179"/>
        <v>2.3911633986928109</v>
      </c>
      <c r="GH95" s="4">
        <f t="shared" si="180"/>
        <v>3.60243974132863</v>
      </c>
      <c r="GI95" s="4">
        <f t="shared" si="181"/>
        <v>20.582610979774099</v>
      </c>
      <c r="GJ95" s="4">
        <f t="shared" si="182"/>
        <v>200.74382716049385</v>
      </c>
      <c r="GK95" s="4">
        <f t="shared" si="183"/>
        <v>87.56481481481481</v>
      </c>
      <c r="GL95" s="4">
        <f t="shared" si="184"/>
        <v>2.1931936676462223</v>
      </c>
      <c r="GM95" s="4">
        <f t="shared" si="185"/>
        <v>3.5089737689829725</v>
      </c>
      <c r="GN95" s="4">
        <f t="shared" si="186"/>
        <v>0.81322739656991661</v>
      </c>
      <c r="GO95" s="4">
        <f t="shared" si="187"/>
        <v>0.83691715708465364</v>
      </c>
      <c r="GP95" s="4">
        <f t="shared" si="188"/>
        <v>0.34895124113475179</v>
      </c>
      <c r="GQ95" s="27">
        <f t="shared" si="189"/>
        <v>73526.87778676195</v>
      </c>
      <c r="GR95" s="28">
        <f t="shared" si="190"/>
        <v>4.5503998630280735</v>
      </c>
      <c r="GS95" s="28">
        <f t="shared" si="191"/>
        <v>248.75519251220135</v>
      </c>
      <c r="GT95" s="28">
        <f t="shared" si="192"/>
        <v>11595.935650949872</v>
      </c>
      <c r="GU95" s="28">
        <f t="shared" si="193"/>
        <v>115.65599651863019</v>
      </c>
      <c r="GV95" s="28">
        <f t="shared" si="194"/>
        <v>17.822399463526622</v>
      </c>
      <c r="GW95" s="28">
        <f t="shared" si="195"/>
        <v>73526.87778676195</v>
      </c>
      <c r="GX95" s="28">
        <f t="shared" si="196"/>
        <v>15.926399520598256</v>
      </c>
      <c r="GY95" s="28">
        <f t="shared" si="197"/>
        <v>483.47998544673271</v>
      </c>
      <c r="GZ95" s="28">
        <f t="shared" si="198"/>
        <v>585.48478237627876</v>
      </c>
      <c r="HA95" s="28">
        <f t="shared" si="199"/>
        <v>658.29118018472798</v>
      </c>
      <c r="HB95" s="28">
        <f t="shared" si="200"/>
        <v>63.705598082393024</v>
      </c>
      <c r="HC95" s="28">
        <f t="shared" si="201"/>
        <v>1721.5679481789543</v>
      </c>
      <c r="HD95" s="28">
        <f t="shared" si="202"/>
        <v>185.42879441839398</v>
      </c>
      <c r="HE95" s="28">
        <f t="shared" si="203"/>
        <v>17.822399463526622</v>
      </c>
      <c r="HF95" s="28">
        <f t="shared" si="204"/>
        <v>3.0335999086853818</v>
      </c>
      <c r="HG95" s="28">
        <f t="shared" si="205"/>
        <v>109.20959671267376</v>
      </c>
      <c r="HH95" s="28">
        <f t="shared" si="206"/>
        <v>3.7919998858567276</v>
      </c>
      <c r="HI95" s="28">
        <f t="shared" si="207"/>
        <v>5714.5438279860882</v>
      </c>
      <c r="HJ95" s="28">
        <f t="shared" si="208"/>
        <v>5.308799840199419</v>
      </c>
      <c r="HK95" s="28">
        <f t="shared" si="209"/>
        <v>0</v>
      </c>
      <c r="HL95" s="28">
        <f t="shared" si="210"/>
        <v>3.0335999086853818</v>
      </c>
      <c r="HM95" s="28">
        <f t="shared" si="211"/>
        <v>16.6847994977696</v>
      </c>
      <c r="HN95" s="28">
        <f t="shared" si="212"/>
        <v>0.75839997717134544</v>
      </c>
      <c r="HO95" s="28">
        <f t="shared" si="213"/>
        <v>3.4127998972710549</v>
      </c>
      <c r="HP95" s="28">
        <f t="shared" si="214"/>
        <v>0</v>
      </c>
      <c r="HQ95" s="28">
        <f t="shared" si="215"/>
        <v>4.5503998630280735</v>
      </c>
      <c r="HR95" s="28">
        <f t="shared" si="216"/>
        <v>0.75839997717134544</v>
      </c>
      <c r="HT95" s="4">
        <f>IFERROR(GR95/'McDonough &amp; Sun 1995 values'!C$2,)</f>
        <v>216.6857077632416</v>
      </c>
      <c r="HU95" s="4">
        <f>IFERROR(GS95/'McDonough &amp; Sun 1995 values'!D$2,)</f>
        <v>414.59198752033558</v>
      </c>
      <c r="HV95" s="4">
        <f>IFERROR(GT95/'McDonough &amp; Sun 1995 values'!E$2,)</f>
        <v>1756.9599471136171</v>
      </c>
      <c r="HW95" s="4">
        <f>IFERROR(GU95/'McDonough &amp; Sun 1995 values'!F$2,)</f>
        <v>1454.7924090393735</v>
      </c>
      <c r="HX95" s="4">
        <f>IFERROR(GV95/'McDonough &amp; Sun 1995 values'!G$2,)</f>
        <v>877.95071248899626</v>
      </c>
      <c r="HY95" s="4">
        <f>IFERROR(GW95/'McDonough &amp; Sun 1995 values'!H$2,)</f>
        <v>306.3619907781748</v>
      </c>
      <c r="HZ95" s="4">
        <f>IFERROR(GX95/'McDonough &amp; Sun 1995 values'!I$2,)</f>
        <v>430.44323028643936</v>
      </c>
      <c r="IA95" s="4">
        <f>IFERROR(GY95/'McDonough &amp; Sun 1995 values'!J$2,)</f>
        <v>734.77201435673658</v>
      </c>
      <c r="IB95" s="4">
        <f>IFERROR(GZ95/'McDonough &amp; Sun 1995 values'!K$2,)</f>
        <v>903.52589872882527</v>
      </c>
      <c r="IC95" s="4">
        <f>IFERROR(HA95/'McDonough &amp; Sun 1995 values'!L$2,)</f>
        <v>393.00965981177791</v>
      </c>
      <c r="ID95" s="4">
        <f>IFERROR(HB95/'McDonough &amp; Sun 1995 values'!M$2,)</f>
        <v>250.80944126926386</v>
      </c>
      <c r="IE95" s="4">
        <f>IFERROR(HC95/'McDonough &amp; Sun 1995 values'!N$2,)</f>
        <v>86.51095216979671</v>
      </c>
      <c r="IF95" s="4">
        <f>IFERROR(HD95/'McDonough &amp; Sun 1995 values'!O$2,)</f>
        <v>148.34303553471517</v>
      </c>
      <c r="IG95" s="4">
        <f>IFERROR(HE95/'McDonough &amp; Sun 1995 values'!P$2,)</f>
        <v>43.897535624449809</v>
      </c>
      <c r="IH95" s="4">
        <f>IFERROR(HF95/'McDonough &amp; Sun 1995 values'!Q$2,)</f>
        <v>10.71943430630877</v>
      </c>
      <c r="II95" s="4">
        <f>IFERROR(HG95/'McDonough &amp; Sun 1995 values'!R$2,)</f>
        <v>10.400913972635596</v>
      </c>
      <c r="IJ95" s="4">
        <f>IFERROR(HH95/'McDonough &amp; Sun 1995 values'!S$2,)</f>
        <v>24.623375882186544</v>
      </c>
      <c r="IK95" s="4">
        <f>IFERROR(HI95/'McDonough &amp; Sun 1995 values'!T$2,)</f>
        <v>4.7423600232249692</v>
      </c>
      <c r="IL95" s="4">
        <f>IFERROR(HJ95/'McDonough &amp; Sun 1995 values'!U$2,)</f>
        <v>9.7588232356606959</v>
      </c>
      <c r="IM95" s="4">
        <f>IFERROR(HK95/'McDonough &amp; Sun 1995 values'!V$2,)</f>
        <v>0</v>
      </c>
      <c r="IN95" s="4">
        <f>IFERROR(HL95/'McDonough &amp; Sun 1995 values'!W$2,)</f>
        <v>4.5008900722335037</v>
      </c>
      <c r="IO95" s="4">
        <f>IFERROR(HM95/'McDonough &amp; Sun 1995 values'!X$2,)</f>
        <v>3.8801859297138606</v>
      </c>
      <c r="IP95" s="4">
        <f>IFERROR(HN95/'McDonough &amp; Sun 1995 values'!Y$2,)</f>
        <v>5.0899327326935939</v>
      </c>
      <c r="IQ95" s="4">
        <f>IFERROR(HO95/'McDonough &amp; Sun 1995 values'!Z$2,)</f>
        <v>7.791780587376838</v>
      </c>
      <c r="IR95" s="4">
        <f>IFERROR(HP95/'McDonough &amp; Sun 1995 values'!AA$2,)</f>
        <v>0</v>
      </c>
      <c r="IS95" s="4">
        <f>IFERROR(HQ95/'McDonough &amp; Sun 1995 values'!AB$2,)</f>
        <v>10.318367036344839</v>
      </c>
      <c r="IT95" s="4">
        <f>IFERROR(HR95/'McDonough &amp; Sun 1995 values'!AC$2,)</f>
        <v>11.235555217353266</v>
      </c>
    </row>
    <row r="96" spans="1:254">
      <c r="A96" s="16" t="s">
        <v>641</v>
      </c>
      <c r="B96" s="16" t="s">
        <v>24</v>
      </c>
      <c r="C96" s="16" t="str">
        <f t="shared" si="144"/>
        <v>low-Mg carbonatitic</v>
      </c>
      <c r="D96" s="16" t="s">
        <v>1707</v>
      </c>
      <c r="E96" s="16" t="s">
        <v>237</v>
      </c>
      <c r="F96" s="16" t="s">
        <v>639</v>
      </c>
      <c r="G96" s="16" t="s">
        <v>640</v>
      </c>
      <c r="H96" s="27">
        <v>0</v>
      </c>
      <c r="I96" s="16" t="s">
        <v>712</v>
      </c>
      <c r="J96" s="16" t="s">
        <v>635</v>
      </c>
      <c r="K96" s="16" t="s">
        <v>642</v>
      </c>
      <c r="L96" s="16" t="s">
        <v>161</v>
      </c>
      <c r="M96" s="16" t="s">
        <v>621</v>
      </c>
      <c r="N96" s="16" t="s">
        <v>1084</v>
      </c>
      <c r="O96" s="26">
        <v>18.399999999999999</v>
      </c>
      <c r="P96" s="26">
        <v>1.87</v>
      </c>
      <c r="Q96" s="26"/>
      <c r="R96" s="26">
        <v>5.34</v>
      </c>
      <c r="S96" s="26">
        <v>4.3499999999999996</v>
      </c>
      <c r="T96" s="26">
        <v>5.17</v>
      </c>
      <c r="U96" s="26">
        <v>0.82</v>
      </c>
      <c r="V96" s="26">
        <v>44.2</v>
      </c>
      <c r="W96" s="26">
        <v>5.65</v>
      </c>
      <c r="X96" s="26">
        <v>7.4</v>
      </c>
      <c r="Y96" s="26"/>
      <c r="Z96" s="26">
        <v>4.97</v>
      </c>
      <c r="AA96" s="26"/>
      <c r="AB96" s="26"/>
      <c r="AC96" s="26"/>
      <c r="AD96" s="26">
        <v>1.89</v>
      </c>
      <c r="AE96" s="26"/>
      <c r="AF96" s="26"/>
      <c r="AG96" s="26"/>
      <c r="AH96" s="26"/>
      <c r="AI96" s="26"/>
      <c r="AJ96" s="26">
        <f t="shared" si="145"/>
        <v>99.240000000000023</v>
      </c>
      <c r="AK96" s="26">
        <f t="shared" si="217"/>
        <v>18.620940479106391</v>
      </c>
      <c r="AL96" s="26">
        <f t="shared" si="218"/>
        <v>1.8924542769526604</v>
      </c>
      <c r="AM96" s="26">
        <f t="shared" si="219"/>
        <v>5.404120769479789</v>
      </c>
      <c r="AN96" s="26">
        <f t="shared" si="220"/>
        <v>4.4022332110930869</v>
      </c>
      <c r="AO96" s="26">
        <f t="shared" si="221"/>
        <v>5.2320794715750019</v>
      </c>
      <c r="AP96" s="26">
        <f t="shared" si="222"/>
        <v>44.7307374552447</v>
      </c>
      <c r="AQ96" s="26">
        <f t="shared" si="223"/>
        <v>0</v>
      </c>
      <c r="AR96" s="26">
        <f t="shared" si="224"/>
        <v>5.7178431362473434</v>
      </c>
      <c r="AS96" s="26">
        <f t="shared" si="225"/>
        <v>7.488856497031918</v>
      </c>
      <c r="AT96" s="26">
        <f t="shared" si="226"/>
        <v>5.0296779446281938</v>
      </c>
      <c r="AU96" s="26">
        <f t="shared" si="227"/>
        <v>1.9126944296473412</v>
      </c>
      <c r="AV96" s="26">
        <f t="shared" si="146"/>
        <v>100.43163767100643</v>
      </c>
      <c r="AW96" s="16"/>
      <c r="AX96" s="16"/>
      <c r="AY96" s="16"/>
      <c r="AZ96" s="16"/>
      <c r="BA96" s="26"/>
      <c r="BB96" s="26">
        <v>0.08</v>
      </c>
      <c r="BC96" s="26">
        <f t="shared" si="229"/>
        <v>7.999999999999996E-2</v>
      </c>
      <c r="BD96" s="26">
        <f t="shared" si="230"/>
        <v>0.92</v>
      </c>
      <c r="BE96" s="25">
        <v>-5.2</v>
      </c>
      <c r="BF96" s="16"/>
      <c r="BG96" s="16" t="s">
        <v>1507</v>
      </c>
      <c r="BH96" s="16">
        <v>5</v>
      </c>
      <c r="BI96" s="16">
        <v>1.1000000000000001</v>
      </c>
      <c r="BJ96" s="16">
        <v>0</v>
      </c>
      <c r="BK96" s="18"/>
      <c r="BL96" s="18"/>
      <c r="BM96" s="18"/>
      <c r="BN96" s="18">
        <v>37.81</v>
      </c>
      <c r="BO96" s="18">
        <v>30.64</v>
      </c>
      <c r="BP96" s="18">
        <v>7.23</v>
      </c>
      <c r="BQ96" s="18">
        <v>11.81</v>
      </c>
      <c r="BR96" s="18">
        <v>82.93</v>
      </c>
      <c r="BS96" s="18">
        <v>139.69</v>
      </c>
      <c r="BT96" s="18">
        <v>7.47</v>
      </c>
      <c r="BU96" s="18">
        <v>1.9</v>
      </c>
      <c r="BV96" s="18">
        <v>1.33</v>
      </c>
      <c r="BW96" s="18">
        <v>30.06</v>
      </c>
      <c r="BX96" s="18">
        <v>0.04</v>
      </c>
      <c r="BY96" s="18">
        <v>7.4999999999999997E-2</v>
      </c>
      <c r="BZ96" s="18">
        <v>1.31</v>
      </c>
      <c r="CA96" s="18">
        <v>0.01</v>
      </c>
      <c r="CB96" s="18">
        <v>1.4E-2</v>
      </c>
      <c r="CC96" s="18"/>
      <c r="CD96" s="18"/>
      <c r="CE96" s="18"/>
      <c r="CF96" s="18"/>
      <c r="CG96" s="18"/>
      <c r="CH96" s="18">
        <v>0.23</v>
      </c>
      <c r="CI96" s="18">
        <v>2.2000000000000002</v>
      </c>
      <c r="CJ96" s="18">
        <v>2.8000000000000001E-2</v>
      </c>
      <c r="CK96" s="18">
        <v>0.13400000000000001</v>
      </c>
      <c r="CL96" s="18"/>
      <c r="CM96" s="18">
        <v>0.41899999999999998</v>
      </c>
      <c r="CN96" s="18"/>
      <c r="CO96" s="18"/>
      <c r="CP96" s="18"/>
      <c r="CQ96" s="18"/>
      <c r="CR96" s="18">
        <v>0.01</v>
      </c>
      <c r="CS96" s="18">
        <v>12.67</v>
      </c>
      <c r="CT96" s="18">
        <v>7.0000000000000007E-2</v>
      </c>
      <c r="CU96" s="18">
        <v>0.73</v>
      </c>
      <c r="CV96" s="18">
        <v>0.82</v>
      </c>
      <c r="CW96" s="18">
        <v>7.0000000000000007E-2</v>
      </c>
      <c r="CX96" s="18">
        <v>0.26300000000000001</v>
      </c>
      <c r="CY96" s="18">
        <v>1.7999999999999999E-2</v>
      </c>
      <c r="CZ96" s="18">
        <v>6.0000000000000001E-3</v>
      </c>
      <c r="DA96" s="18">
        <v>1.7999999999999999E-2</v>
      </c>
      <c r="DB96" s="18">
        <v>0.01</v>
      </c>
      <c r="DC96" s="18">
        <v>3.0000000000000001E-3</v>
      </c>
      <c r="DD96" s="18">
        <v>1.2999999999999999E-2</v>
      </c>
      <c r="DE96" s="18"/>
      <c r="DF96" s="18">
        <v>1.4999999999999999E-2</v>
      </c>
      <c r="DG96" s="18">
        <v>3.0000000000000001E-3</v>
      </c>
      <c r="DH96" s="18">
        <v>8.0000000000000002E-3</v>
      </c>
      <c r="DI96" s="18">
        <v>6.0000000000000001E-3</v>
      </c>
      <c r="DJ96" s="18">
        <v>4.5999999999999999E-2</v>
      </c>
      <c r="DK96" s="18">
        <v>5.6000000000000001E-2</v>
      </c>
      <c r="DL96" s="18">
        <v>0.158</v>
      </c>
      <c r="DM96" s="18">
        <v>2.3E-2</v>
      </c>
      <c r="DN96" s="18"/>
      <c r="DO96" s="18"/>
      <c r="DP96" s="18"/>
      <c r="DQ96" s="18"/>
      <c r="DR96" s="18"/>
      <c r="DS96" s="18"/>
      <c r="DT96" s="18"/>
      <c r="DU96" s="18"/>
      <c r="DV96" s="28"/>
      <c r="DW96" s="28"/>
      <c r="DX96" s="28"/>
      <c r="DY96" s="28"/>
      <c r="DZ96" s="28"/>
      <c r="EA96" s="28"/>
      <c r="EB96" s="28"/>
      <c r="EC96" s="28"/>
      <c r="ED96" s="28"/>
      <c r="EE96" s="28"/>
      <c r="EF96" s="28"/>
      <c r="EG96" s="28"/>
      <c r="EH96" s="28"/>
      <c r="EI96" s="28"/>
      <c r="EJ96" s="18"/>
      <c r="EK96" s="18"/>
      <c r="EL96" s="18">
        <f>IFERROR(CR96/'McDonough &amp; Sun 1995 values'!C$2,)</f>
        <v>0.47619047619047616</v>
      </c>
      <c r="EM96" s="18">
        <f>IFERROR(CH96/'McDonough &amp; Sun 1995 values'!D$2,)</f>
        <v>0.38333333333333336</v>
      </c>
      <c r="EN96" s="18">
        <f>IFERROR(CS96/'McDonough &amp; Sun 1995 values'!E$2,)</f>
        <v>1.9196969696969697</v>
      </c>
      <c r="EO96" s="18">
        <f>IFERROR(DL96/'McDonough &amp; Sun 1995 values'!F$2,)</f>
        <v>1.9874213836477987</v>
      </c>
      <c r="EP96" s="18">
        <f>IFERROR(DM96/'McDonough &amp; Sun 1995 values'!G$2,)</f>
        <v>1.1330049261083743</v>
      </c>
      <c r="EQ96" s="18">
        <f>IFERROR(BR96/'McDonough &amp; Sun 1995 values'!H$2,)</f>
        <v>0.34554166666666669</v>
      </c>
      <c r="ER96" s="18">
        <f>IFERROR(DI96/'McDonough &amp; Sun 1995 values'!I$2,)</f>
        <v>0.16216216216216217</v>
      </c>
      <c r="ES96" s="18">
        <f>IFERROR(CM96/'McDonough &amp; Sun 1995 values'!J$2,)</f>
        <v>0.63677811550151975</v>
      </c>
      <c r="ET96" s="18">
        <f>IFERROR(CU96/'McDonough &amp; Sun 1995 values'!K$2,)</f>
        <v>1.1265432098765431</v>
      </c>
      <c r="EU96" s="18">
        <f>IFERROR(CV96/'McDonough &amp; Sun 1995 values'!L$2,)</f>
        <v>0.4895522388059701</v>
      </c>
      <c r="EV96" s="18">
        <f>IFERROR(CW96/'McDonough &amp; Sun 1995 values'!M$2,)</f>
        <v>0.27559055118110237</v>
      </c>
      <c r="EW96" s="18">
        <f>IFERROR(CI96/'McDonough &amp; Sun 1995 values'!N$2,)</f>
        <v>0.1105527638190955</v>
      </c>
      <c r="EX96" s="18">
        <f>IFERROR(CX96/'McDonough &amp; Sun 1995 values'!O$2,)</f>
        <v>0.2104</v>
      </c>
      <c r="EY96" s="18">
        <f>IFERROR(CY96/'McDonough &amp; Sun 1995 values'!P$2,)</f>
        <v>4.4334975369458123E-2</v>
      </c>
      <c r="EZ96" s="18">
        <f>IFERROR(DH96/'McDonough &amp; Sun 1995 values'!Q$2,)</f>
        <v>2.826855123674912E-2</v>
      </c>
      <c r="FA96" s="18">
        <f>IFERROR(CK96/'McDonough &amp; Sun 1995 values'!R$2,)</f>
        <v>1.2761904761904763E-2</v>
      </c>
      <c r="FB96" s="18">
        <f>IFERROR(CZ96/'McDonough &amp; Sun 1995 values'!S$2,)</f>
        <v>3.896103896103896E-2</v>
      </c>
      <c r="FC96" s="18">
        <f>IFERROR(BT96/'McDonough &amp; Sun 1995 values'!T$2,)</f>
        <v>6.1991701244813275E-3</v>
      </c>
      <c r="FD96" s="18">
        <f>IFERROR(DA96/'McDonough &amp; Sun 1995 values'!U$2,)</f>
        <v>3.3088235294117641E-2</v>
      </c>
      <c r="FE96" s="18">
        <f>IFERROR(DN96/'McDonough &amp; Sun 1995 values'!V$2,)</f>
        <v>0</v>
      </c>
      <c r="FF96" s="18">
        <f>IFERROR(DB96/'McDonough &amp; Sun 1995 values'!W$2,)</f>
        <v>1.4836795252225518E-2</v>
      </c>
      <c r="FG96" s="18">
        <f>IFERROR(CJ96/'McDonough &amp; Sun 1995 values'!X$2,)</f>
        <v>6.5116279069767444E-3</v>
      </c>
      <c r="FH96" s="18">
        <f>IFERROR(DC96/'McDonough &amp; Sun 1995 values'!Y$2,)</f>
        <v>2.0134228187919465E-2</v>
      </c>
      <c r="FI96" s="18">
        <f>IFERROR(DD96/'McDonough &amp; Sun 1995 values'!Z$2,)</f>
        <v>2.9680365296803651E-2</v>
      </c>
      <c r="FJ96" s="18">
        <f>IFERROR(DE96/'McDonough &amp; Sun 1995 values'!AA$2,)</f>
        <v>0</v>
      </c>
      <c r="FK96" s="18">
        <f>IFERROR(DF96/'McDonough &amp; Sun 1995 values'!AB$2,)</f>
        <v>3.4013605442176867E-2</v>
      </c>
      <c r="FL96" s="18">
        <f>IFERROR(DG96/'McDonough &amp; Sun 1995 values'!AC$2,)</f>
        <v>4.4444444444444439E-2</v>
      </c>
      <c r="FN96" s="28">
        <f t="shared" si="228"/>
        <v>3.2789241802244038</v>
      </c>
      <c r="FO96" s="4">
        <f t="shared" si="161"/>
        <v>1.6943412384716734</v>
      </c>
      <c r="FP96" s="4">
        <f t="shared" si="162"/>
        <v>3.1210579246784049</v>
      </c>
      <c r="FQ96" s="4">
        <f t="shared" si="163"/>
        <v>1.7541153951326225</v>
      </c>
      <c r="FR96" s="4">
        <f t="shared" si="164"/>
        <v>1.7691299095435928</v>
      </c>
      <c r="FS96" s="4">
        <f t="shared" si="165"/>
        <v>6.9470164609053491</v>
      </c>
      <c r="FT96" s="4">
        <f t="shared" si="166"/>
        <v>0.80500000000000005</v>
      </c>
      <c r="FU96" s="4">
        <f t="shared" si="167"/>
        <v>0.25466038831193966</v>
      </c>
      <c r="FV96" s="4">
        <f t="shared" si="168"/>
        <v>0.28785185185185191</v>
      </c>
      <c r="FW96" s="4">
        <f t="shared" si="169"/>
        <v>0.45145238095238094</v>
      </c>
      <c r="FX96" s="4">
        <f t="shared" si="170"/>
        <v>1.0064433811802234</v>
      </c>
      <c r="FY96" s="4">
        <f t="shared" si="171"/>
        <v>0.45910769820957259</v>
      </c>
      <c r="FZ96" s="4">
        <f t="shared" si="172"/>
        <v>1.0172331181107892</v>
      </c>
      <c r="GA96" s="4">
        <f t="shared" si="173"/>
        <v>0.40114860014357506</v>
      </c>
      <c r="GB96" s="4">
        <f t="shared" si="174"/>
        <v>0.8787878787878789</v>
      </c>
      <c r="GC96" s="4">
        <f t="shared" si="175"/>
        <v>1.2422360248447204</v>
      </c>
      <c r="GD96" s="4">
        <f t="shared" si="176"/>
        <v>0.96592347525891831</v>
      </c>
      <c r="GE96" s="4">
        <f t="shared" si="177"/>
        <v>5.0079051383399209</v>
      </c>
      <c r="GF96" s="4">
        <f t="shared" si="178"/>
        <v>5.555616456376133</v>
      </c>
      <c r="GG96" s="4">
        <f t="shared" si="179"/>
        <v>3.014703117089752</v>
      </c>
      <c r="GH96" s="4">
        <f t="shared" si="180"/>
        <v>4.0877425044091709</v>
      </c>
      <c r="GI96" s="4">
        <f t="shared" si="181"/>
        <v>25.409807956104252</v>
      </c>
      <c r="GJ96" s="4">
        <f t="shared" si="182"/>
        <v>75.929012345679013</v>
      </c>
      <c r="GK96" s="4">
        <f t="shared" si="183"/>
        <v>33.120370370370374</v>
      </c>
      <c r="GL96" s="4">
        <f t="shared" si="184"/>
        <v>2.0586472875629505</v>
      </c>
      <c r="GM96" s="4">
        <f t="shared" si="185"/>
        <v>5.1845775225594748</v>
      </c>
      <c r="GN96" s="4">
        <f t="shared" si="186"/>
        <v>0.56524961485614356</v>
      </c>
      <c r="GO96" s="4">
        <f t="shared" si="187"/>
        <v>0.56202590194264568</v>
      </c>
      <c r="GP96" s="4">
        <f t="shared" si="188"/>
        <v>0.30497807971014496</v>
      </c>
      <c r="GQ96" s="27">
        <f t="shared" si="189"/>
        <v>62167.791478075385</v>
      </c>
      <c r="GR96" s="28">
        <f t="shared" si="190"/>
        <v>7.4964176387405494</v>
      </c>
      <c r="GS96" s="28">
        <f t="shared" si="191"/>
        <v>172.41760569103263</v>
      </c>
      <c r="GT96" s="28">
        <f t="shared" si="192"/>
        <v>9497.9611482842756</v>
      </c>
      <c r="GU96" s="28">
        <f t="shared" si="193"/>
        <v>118.44339869210069</v>
      </c>
      <c r="GV96" s="28">
        <f t="shared" si="194"/>
        <v>17.241760569103267</v>
      </c>
      <c r="GW96" s="28">
        <f t="shared" si="195"/>
        <v>62167.791478075385</v>
      </c>
      <c r="GX96" s="28">
        <f t="shared" si="196"/>
        <v>4.4978505832443307</v>
      </c>
      <c r="GY96" s="28">
        <f t="shared" si="197"/>
        <v>314.09989906322903</v>
      </c>
      <c r="GZ96" s="28">
        <f t="shared" si="198"/>
        <v>547.23848762806017</v>
      </c>
      <c r="HA96" s="28">
        <f t="shared" si="199"/>
        <v>614.70624637672506</v>
      </c>
      <c r="HB96" s="28">
        <f t="shared" si="200"/>
        <v>52.47492347118385</v>
      </c>
      <c r="HC96" s="28">
        <f t="shared" si="201"/>
        <v>1649.2118805229211</v>
      </c>
      <c r="HD96" s="28">
        <f t="shared" si="202"/>
        <v>197.15578389887648</v>
      </c>
      <c r="HE96" s="28">
        <f t="shared" si="203"/>
        <v>13.493551749732989</v>
      </c>
      <c r="HF96" s="28">
        <f t="shared" si="204"/>
        <v>5.9971341109924401</v>
      </c>
      <c r="HG96" s="28">
        <f t="shared" si="205"/>
        <v>100.45199635912337</v>
      </c>
      <c r="HH96" s="28">
        <f t="shared" si="206"/>
        <v>4.4978505832443307</v>
      </c>
      <c r="HI96" s="28">
        <f t="shared" si="207"/>
        <v>5599.8239761391906</v>
      </c>
      <c r="HJ96" s="28">
        <f t="shared" si="208"/>
        <v>13.493551749732989</v>
      </c>
      <c r="HK96" s="28">
        <f t="shared" si="209"/>
        <v>0</v>
      </c>
      <c r="HL96" s="28">
        <f t="shared" si="210"/>
        <v>7.4964176387405494</v>
      </c>
      <c r="HM96" s="28">
        <f t="shared" si="211"/>
        <v>20.98996938847354</v>
      </c>
      <c r="HN96" s="28">
        <f t="shared" si="212"/>
        <v>2.2489252916221654</v>
      </c>
      <c r="HO96" s="28">
        <f t="shared" si="213"/>
        <v>9.7453429303627157</v>
      </c>
      <c r="HP96" s="28">
        <f t="shared" si="214"/>
        <v>0</v>
      </c>
      <c r="HQ96" s="28">
        <f t="shared" si="215"/>
        <v>11.244626458110824</v>
      </c>
      <c r="HR96" s="28">
        <f t="shared" si="216"/>
        <v>2.2489252916221654</v>
      </c>
      <c r="HT96" s="4">
        <f>IFERROR(GR96/'McDonough &amp; Sun 1995 values'!C$2,)</f>
        <v>356.97226851145473</v>
      </c>
      <c r="HU96" s="4">
        <f>IFERROR(GS96/'McDonough &amp; Sun 1995 values'!D$2,)</f>
        <v>287.36267615172108</v>
      </c>
      <c r="HV96" s="4">
        <f>IFERROR(GT96/'McDonough &amp; Sun 1995 values'!E$2,)</f>
        <v>1439.0850224673145</v>
      </c>
      <c r="HW96" s="4">
        <f>IFERROR(GU96/'McDonough &amp; Sun 1995 values'!F$2,)</f>
        <v>1489.8540715987508</v>
      </c>
      <c r="HX96" s="4">
        <f>IFERROR(GV96/'McDonough &amp; Sun 1995 values'!G$2,)</f>
        <v>849.34781128587531</v>
      </c>
      <c r="HY96" s="4">
        <f>IFERROR(GW96/'McDonough &amp; Sun 1995 values'!H$2,)</f>
        <v>259.03246449198076</v>
      </c>
      <c r="HZ96" s="4">
        <f>IFERROR(GX96/'McDonough &amp; Sun 1995 values'!I$2,)</f>
        <v>121.56352927687381</v>
      </c>
      <c r="IA96" s="4">
        <f>IFERROR(GY96/'McDonough &amp; Sun 1995 values'!J$2,)</f>
        <v>477.35546970095595</v>
      </c>
      <c r="IB96" s="4">
        <f>IFERROR(GZ96/'McDonough &amp; Sun 1995 values'!K$2,)</f>
        <v>844.50383893219157</v>
      </c>
      <c r="IC96" s="4">
        <f>IFERROR(HA96/'McDonough &amp; Sun 1995 values'!L$2,)</f>
        <v>366.98880380700001</v>
      </c>
      <c r="ID96" s="4">
        <f>IFERROR(HB96/'McDonough &amp; Sun 1995 values'!M$2,)</f>
        <v>206.59418689442461</v>
      </c>
      <c r="IE96" s="4">
        <f>IFERROR(HC96/'McDonough &amp; Sun 1995 values'!N$2,)</f>
        <v>82.874968870498549</v>
      </c>
      <c r="IF96" s="4">
        <f>IFERROR(HD96/'McDonough &amp; Sun 1995 values'!O$2,)</f>
        <v>157.72462711910117</v>
      </c>
      <c r="IG96" s="4">
        <f>IFERROR(HE96/'McDonough &amp; Sun 1995 values'!P$2,)</f>
        <v>33.235349137273367</v>
      </c>
      <c r="IH96" s="4">
        <f>IFERROR(HF96/'McDonough &amp; Sun 1995 values'!Q$2,)</f>
        <v>21.191286611280709</v>
      </c>
      <c r="II96" s="4">
        <f>IFERROR(HG96/'McDonough &amp; Sun 1995 values'!R$2,)</f>
        <v>9.5668567961069879</v>
      </c>
      <c r="IJ96" s="4">
        <f>IFERROR(HH96/'McDonough &amp; Sun 1995 values'!S$2,)</f>
        <v>29.20682196911903</v>
      </c>
      <c r="IK96" s="4">
        <f>IFERROR(HI96/'McDonough &amp; Sun 1995 values'!T$2,)</f>
        <v>4.6471568266715275</v>
      </c>
      <c r="IL96" s="4">
        <f>IFERROR(HJ96/'McDonough &amp; Sun 1995 values'!U$2,)</f>
        <v>24.804323069362109</v>
      </c>
      <c r="IM96" s="4">
        <f>IFERROR(HK96/'McDonough &amp; Sun 1995 values'!V$2,)</f>
        <v>0</v>
      </c>
      <c r="IN96" s="4">
        <f>IFERROR(HL96/'McDonough &amp; Sun 1995 values'!W$2,)</f>
        <v>11.122281363116542</v>
      </c>
      <c r="IO96" s="4">
        <f>IFERROR(HM96/'McDonough &amp; Sun 1995 values'!X$2,)</f>
        <v>4.8813882298775679</v>
      </c>
      <c r="IP96" s="4">
        <f>IFERROR(HN96/'McDonough &amp; Sun 1995 values'!Y$2,)</f>
        <v>15.093458333034668</v>
      </c>
      <c r="IQ96" s="4">
        <f>IFERROR(HO96/'McDonough &amp; Sun 1995 values'!Z$2,)</f>
        <v>22.249641393522182</v>
      </c>
      <c r="IR96" s="4">
        <f>IFERROR(HP96/'McDonough &amp; Sun 1995 values'!AA$2,)</f>
        <v>0</v>
      </c>
      <c r="IS96" s="4">
        <f>IFERROR(HQ96/'McDonough &amp; Sun 1995 values'!AB$2,)</f>
        <v>25.498019179389622</v>
      </c>
      <c r="IT96" s="4">
        <f>IFERROR(HR96/'McDonough &amp; Sun 1995 values'!AC$2,)</f>
        <v>33.317411727735781</v>
      </c>
    </row>
    <row r="97" spans="1:254">
      <c r="A97" s="16" t="s">
        <v>672</v>
      </c>
      <c r="B97" s="16" t="s">
        <v>24</v>
      </c>
      <c r="C97" s="16" t="str">
        <f t="shared" si="144"/>
        <v>low-Mg carbonatitic</v>
      </c>
      <c r="D97" s="16" t="s">
        <v>1723</v>
      </c>
      <c r="E97" s="16" t="s">
        <v>237</v>
      </c>
      <c r="F97" s="16" t="s">
        <v>29</v>
      </c>
      <c r="G97" s="16" t="s">
        <v>595</v>
      </c>
      <c r="H97" s="27">
        <v>360</v>
      </c>
      <c r="I97" s="16" t="s">
        <v>735</v>
      </c>
      <c r="J97" s="16" t="s">
        <v>1496</v>
      </c>
      <c r="K97" s="16">
        <v>0</v>
      </c>
      <c r="L97" s="16">
        <v>0</v>
      </c>
      <c r="M97" s="16" t="s">
        <v>72</v>
      </c>
      <c r="N97" s="16">
        <v>24</v>
      </c>
      <c r="O97" s="26">
        <v>10.3</v>
      </c>
      <c r="P97" s="26">
        <v>2.58</v>
      </c>
      <c r="Q97" s="26">
        <v>0.12</v>
      </c>
      <c r="R97" s="26">
        <v>4.95</v>
      </c>
      <c r="S97" s="26">
        <v>23.74</v>
      </c>
      <c r="T97" s="26">
        <v>12.8</v>
      </c>
      <c r="U97" s="26">
        <v>0.82</v>
      </c>
      <c r="V97" s="26">
        <v>16.84</v>
      </c>
      <c r="W97" s="26">
        <v>6.58</v>
      </c>
      <c r="X97" s="26">
        <v>13.27</v>
      </c>
      <c r="Y97" s="26"/>
      <c r="Z97" s="26">
        <v>2.63</v>
      </c>
      <c r="AA97" s="26"/>
      <c r="AB97" s="26"/>
      <c r="AC97" s="26"/>
      <c r="AD97" s="26">
        <v>4.07</v>
      </c>
      <c r="AE97" s="26"/>
      <c r="AF97" s="26">
        <v>1.29</v>
      </c>
      <c r="AG97" s="26"/>
      <c r="AH97" s="26"/>
      <c r="AI97" s="26"/>
      <c r="AJ97" s="26">
        <f t="shared" si="145"/>
        <v>97.759999999999991</v>
      </c>
      <c r="AK97" s="26">
        <f t="shared" si="217"/>
        <v>10.63593348387082</v>
      </c>
      <c r="AL97" s="26">
        <f t="shared" si="218"/>
        <v>2.6641464454744379</v>
      </c>
      <c r="AM97" s="26">
        <f t="shared" si="219"/>
        <v>5.1114437616660737</v>
      </c>
      <c r="AN97" s="26">
        <f t="shared" si="220"/>
        <v>24.514277757970216</v>
      </c>
      <c r="AO97" s="26">
        <f t="shared" si="221"/>
        <v>13.217470737237525</v>
      </c>
      <c r="AP97" s="26">
        <f t="shared" si="222"/>
        <v>17.389234938678115</v>
      </c>
      <c r="AQ97" s="26">
        <f t="shared" si="223"/>
        <v>0</v>
      </c>
      <c r="AR97" s="26">
        <f t="shared" si="224"/>
        <v>6.7946060508611641</v>
      </c>
      <c r="AS97" s="26">
        <f t="shared" si="225"/>
        <v>13.702799740870461</v>
      </c>
      <c r="AT97" s="26">
        <f t="shared" si="226"/>
        <v>2.7157771905417722</v>
      </c>
      <c r="AU97" s="26">
        <f t="shared" si="227"/>
        <v>4.2027426484809931</v>
      </c>
      <c r="AV97" s="26">
        <f t="shared" si="146"/>
        <v>100.94843275565158</v>
      </c>
      <c r="AW97" s="16"/>
      <c r="AX97" s="16"/>
      <c r="AY97" s="16"/>
      <c r="AZ97" s="16"/>
      <c r="BA97" s="26"/>
      <c r="BB97" s="26">
        <v>0.06</v>
      </c>
      <c r="BC97" s="26">
        <f t="shared" si="229"/>
        <v>6.0000000000000053E-2</v>
      </c>
      <c r="BD97" s="26">
        <f t="shared" si="230"/>
        <v>0.94</v>
      </c>
      <c r="BE97" s="16">
        <v>-6.1</v>
      </c>
      <c r="BF97" s="16"/>
      <c r="BG97" s="16">
        <v>378</v>
      </c>
      <c r="BH97" s="16">
        <v>12</v>
      </c>
      <c r="BI97" s="16"/>
      <c r="BJ97" s="16"/>
      <c r="BK97" s="18"/>
      <c r="BL97" s="18"/>
      <c r="BM97" s="18"/>
      <c r="BN97" s="18">
        <v>74</v>
      </c>
      <c r="BO97" s="18">
        <v>75</v>
      </c>
      <c r="BP97" s="18">
        <v>9</v>
      </c>
      <c r="BQ97" s="18"/>
      <c r="BR97" s="18">
        <v>188</v>
      </c>
      <c r="BS97" s="18">
        <v>98</v>
      </c>
      <c r="BT97" s="18">
        <v>15.08</v>
      </c>
      <c r="BU97" s="18"/>
      <c r="BV97" s="18">
        <v>1.67</v>
      </c>
      <c r="BW97" s="18">
        <v>119</v>
      </c>
      <c r="BX97" s="18">
        <v>0.14299999999999999</v>
      </c>
      <c r="BY97" s="18">
        <v>0.14599999999999999</v>
      </c>
      <c r="BZ97" s="18"/>
      <c r="CA97" s="18">
        <v>8.5999999999999993E-2</v>
      </c>
      <c r="CB97" s="18">
        <v>2.9000000000000001E-2</v>
      </c>
      <c r="CC97" s="18"/>
      <c r="CD97" s="18"/>
      <c r="CE97" s="18"/>
      <c r="CF97" s="18"/>
      <c r="CG97" s="18"/>
      <c r="CH97" s="18">
        <v>0.69</v>
      </c>
      <c r="CI97" s="18">
        <v>5.6</v>
      </c>
      <c r="CJ97" s="18">
        <v>3.6999999999999998E-2</v>
      </c>
      <c r="CK97" s="18">
        <v>0.38</v>
      </c>
      <c r="CL97" s="18"/>
      <c r="CM97" s="18">
        <v>0.79900000000000004</v>
      </c>
      <c r="CN97" s="18"/>
      <c r="CO97" s="18"/>
      <c r="CP97" s="18"/>
      <c r="CQ97" s="18"/>
      <c r="CR97" s="18">
        <v>1.2999999999999999E-2</v>
      </c>
      <c r="CS97" s="18">
        <v>10.54</v>
      </c>
      <c r="CT97" s="18">
        <v>0.125</v>
      </c>
      <c r="CU97" s="18">
        <v>0.72</v>
      </c>
      <c r="CV97" s="18">
        <v>0.97</v>
      </c>
      <c r="CW97" s="18">
        <v>0.114</v>
      </c>
      <c r="CX97" s="18">
        <v>0.45200000000000001</v>
      </c>
      <c r="CY97" s="18">
        <v>4.3999999999999997E-2</v>
      </c>
      <c r="CZ97" s="18">
        <v>0.01</v>
      </c>
      <c r="DA97" s="18">
        <v>2.3E-2</v>
      </c>
      <c r="DB97" s="18">
        <v>7.0000000000000001E-3</v>
      </c>
      <c r="DC97" s="18">
        <v>1E-3</v>
      </c>
      <c r="DD97" s="18">
        <v>6.0000000000000001E-3</v>
      </c>
      <c r="DE97" s="18"/>
      <c r="DF97" s="18">
        <v>6.0000000000000001E-3</v>
      </c>
      <c r="DG97" s="18">
        <v>1E-3</v>
      </c>
      <c r="DH97" s="18">
        <v>0.01</v>
      </c>
      <c r="DI97" s="18">
        <v>3.4000000000000002E-2</v>
      </c>
      <c r="DJ97" s="18"/>
      <c r="DK97" s="18">
        <v>8.5999999999999993E-2</v>
      </c>
      <c r="DL97" s="18">
        <v>9.2999999999999999E-2</v>
      </c>
      <c r="DM97" s="18">
        <v>2.1000000000000001E-2</v>
      </c>
      <c r="DN97" s="18"/>
      <c r="DO97" s="18"/>
      <c r="DP97" s="18"/>
      <c r="DQ97" s="18"/>
      <c r="DR97" s="18"/>
      <c r="DS97" s="18"/>
      <c r="DT97" s="18"/>
      <c r="DU97" s="18"/>
      <c r="DV97" s="28"/>
      <c r="DW97" s="28"/>
      <c r="DX97" s="28"/>
      <c r="DY97" s="28"/>
      <c r="DZ97" s="28"/>
      <c r="EA97" s="28"/>
      <c r="EB97" s="28"/>
      <c r="EC97" s="28"/>
      <c r="ED97" s="28"/>
      <c r="EE97" s="28"/>
      <c r="EF97" s="28"/>
      <c r="EG97" s="28"/>
      <c r="EH97" s="28"/>
      <c r="EI97" s="28"/>
      <c r="EJ97" s="18"/>
      <c r="EK97" s="18"/>
      <c r="EL97" s="18">
        <f>IFERROR(CR97/'McDonough &amp; Sun 1995 values'!C$2,)</f>
        <v>0.61904761904761896</v>
      </c>
      <c r="EM97" s="18">
        <f>IFERROR(CH97/'McDonough &amp; Sun 1995 values'!D$2,)</f>
        <v>1.1499999999999999</v>
      </c>
      <c r="EN97" s="18">
        <f>IFERROR(CS97/'McDonough &amp; Sun 1995 values'!E$2,)</f>
        <v>1.5969696969696969</v>
      </c>
      <c r="EO97" s="18">
        <f>IFERROR(DL97/'McDonough &amp; Sun 1995 values'!F$2,)</f>
        <v>1.1698113207547169</v>
      </c>
      <c r="EP97" s="18">
        <f>IFERROR(DM97/'McDonough &amp; Sun 1995 values'!G$2,)</f>
        <v>1.0344827586206897</v>
      </c>
      <c r="EQ97" s="18">
        <f>IFERROR(BR97/'McDonough &amp; Sun 1995 values'!H$2,)</f>
        <v>0.78333333333333333</v>
      </c>
      <c r="ER97" s="18">
        <f>IFERROR(DI97/'McDonough &amp; Sun 1995 values'!I$2,)</f>
        <v>0.91891891891891908</v>
      </c>
      <c r="ES97" s="18">
        <f>IFERROR(CM97/'McDonough &amp; Sun 1995 values'!J$2,)</f>
        <v>1.2142857142857142</v>
      </c>
      <c r="ET97" s="18">
        <f>IFERROR(CU97/'McDonough &amp; Sun 1995 values'!K$2,)</f>
        <v>1.1111111111111109</v>
      </c>
      <c r="EU97" s="18">
        <f>IFERROR(CV97/'McDonough &amp; Sun 1995 values'!L$2,)</f>
        <v>0.57910447761194028</v>
      </c>
      <c r="EV97" s="18">
        <f>IFERROR(CW97/'McDonough &amp; Sun 1995 values'!M$2,)</f>
        <v>0.44881889763779531</v>
      </c>
      <c r="EW97" s="18">
        <f>IFERROR(CI97/'McDonough &amp; Sun 1995 values'!N$2,)</f>
        <v>0.28140703517587939</v>
      </c>
      <c r="EX97" s="18">
        <f>IFERROR(CX97/'McDonough &amp; Sun 1995 values'!O$2,)</f>
        <v>0.36160000000000003</v>
      </c>
      <c r="EY97" s="18">
        <f>IFERROR(CY97/'McDonough &amp; Sun 1995 values'!P$2,)</f>
        <v>0.10837438423645319</v>
      </c>
      <c r="EZ97" s="18">
        <f>IFERROR(DH97/'McDonough &amp; Sun 1995 values'!Q$2,)</f>
        <v>3.5335689045936397E-2</v>
      </c>
      <c r="FA97" s="18">
        <f>IFERROR(CK97/'McDonough &amp; Sun 1995 values'!R$2,)</f>
        <v>3.619047619047619E-2</v>
      </c>
      <c r="FB97" s="18">
        <f>IFERROR(CZ97/'McDonough &amp; Sun 1995 values'!S$2,)</f>
        <v>6.4935064935064943E-2</v>
      </c>
      <c r="FC97" s="18">
        <f>IFERROR(BT97/'McDonough &amp; Sun 1995 values'!T$2,)</f>
        <v>1.2514522821576763E-2</v>
      </c>
      <c r="FD97" s="18">
        <f>IFERROR(DA97/'McDonough &amp; Sun 1995 values'!U$2,)</f>
        <v>4.2279411764705878E-2</v>
      </c>
      <c r="FE97" s="18">
        <f>IFERROR(DN97/'McDonough &amp; Sun 1995 values'!V$2,)</f>
        <v>0</v>
      </c>
      <c r="FF97" s="18">
        <f>IFERROR(DB97/'McDonough &amp; Sun 1995 values'!W$2,)</f>
        <v>1.0385756676557863E-2</v>
      </c>
      <c r="FG97" s="18">
        <f>IFERROR(CJ97/'McDonough &amp; Sun 1995 values'!X$2,)</f>
        <v>8.6046511627906972E-3</v>
      </c>
      <c r="FH97" s="18">
        <f>IFERROR(DC97/'McDonough &amp; Sun 1995 values'!Y$2,)</f>
        <v>6.7114093959731551E-3</v>
      </c>
      <c r="FI97" s="18">
        <f>IFERROR(DD97/'McDonough &amp; Sun 1995 values'!Z$2,)</f>
        <v>1.3698630136986302E-2</v>
      </c>
      <c r="FJ97" s="18">
        <f>IFERROR(DE97/'McDonough &amp; Sun 1995 values'!AA$2,)</f>
        <v>0</v>
      </c>
      <c r="FK97" s="18">
        <f>IFERROR(DF97/'McDonough &amp; Sun 1995 values'!AB$2,)</f>
        <v>1.3605442176870748E-2</v>
      </c>
      <c r="FL97" s="18">
        <f>IFERROR(DG97/'McDonough &amp; Sun 1995 values'!AC$2,)</f>
        <v>1.4814814814814814E-2</v>
      </c>
      <c r="FN97" s="28">
        <f t="shared" si="228"/>
        <v>1.3206162876008805</v>
      </c>
      <c r="FO97" s="4">
        <f t="shared" si="161"/>
        <v>1.5437373737373736</v>
      </c>
      <c r="FP97" s="4">
        <f t="shared" si="162"/>
        <v>0.96337402885682577</v>
      </c>
      <c r="FQ97" s="4">
        <f t="shared" si="163"/>
        <v>1.1308176100628931</v>
      </c>
      <c r="FR97" s="4">
        <f t="shared" si="164"/>
        <v>0.91503267973856206</v>
      </c>
      <c r="FS97" s="4">
        <f t="shared" si="165"/>
        <v>1.2091503267973853</v>
      </c>
      <c r="FT97" s="4">
        <f t="shared" si="166"/>
        <v>1.8576923076923078</v>
      </c>
      <c r="FU97" s="4">
        <f t="shared" si="167"/>
        <v>0.75675675675675691</v>
      </c>
      <c r="FV97" s="4">
        <f t="shared" si="168"/>
        <v>0.33393939393939398</v>
      </c>
      <c r="FW97" s="4">
        <f t="shared" si="169"/>
        <v>1.0241904761904761</v>
      </c>
      <c r="FX97" s="4">
        <f t="shared" si="170"/>
        <v>0.86204352838962461</v>
      </c>
      <c r="FY97" s="4">
        <f t="shared" si="171"/>
        <v>0.69853017643845816</v>
      </c>
      <c r="FZ97" s="4">
        <f t="shared" si="172"/>
        <v>0.95929347298700696</v>
      </c>
      <c r="GA97" s="4">
        <f t="shared" si="173"/>
        <v>0.62699462223397684</v>
      </c>
      <c r="GB97" s="4">
        <f t="shared" si="174"/>
        <v>0.59917355371900838</v>
      </c>
      <c r="GC97" s="4">
        <f t="shared" si="175"/>
        <v>0.5383022774327122</v>
      </c>
      <c r="GD97" s="4">
        <f t="shared" si="176"/>
        <v>1.3651515151515152</v>
      </c>
      <c r="GE97" s="4">
        <f t="shared" si="177"/>
        <v>1.38866930171278</v>
      </c>
      <c r="GF97" s="4">
        <f t="shared" si="178"/>
        <v>2.0386847195357833</v>
      </c>
      <c r="GG97" s="4">
        <f t="shared" si="179"/>
        <v>1.3151515151515152</v>
      </c>
      <c r="GH97" s="4">
        <f t="shared" si="180"/>
        <v>2.4756335282651065</v>
      </c>
      <c r="GI97" s="4">
        <f t="shared" si="181"/>
        <v>10.252525252525251</v>
      </c>
      <c r="GJ97" s="4">
        <f t="shared" si="182"/>
        <v>106.98412698412697</v>
      </c>
      <c r="GK97" s="4">
        <f t="shared" si="183"/>
        <v>81.666666666666657</v>
      </c>
      <c r="GL97" s="4">
        <f t="shared" si="184"/>
        <v>2.8918782367058227</v>
      </c>
      <c r="GM97" s="4">
        <f t="shared" si="185"/>
        <v>1.0172272354388843</v>
      </c>
      <c r="GN97" s="4">
        <f t="shared" si="186"/>
        <v>1.092857142857143</v>
      </c>
      <c r="GO97" s="4">
        <f t="shared" si="187"/>
        <v>1.1738095238095236</v>
      </c>
      <c r="GP97" s="4">
        <f t="shared" si="188"/>
        <v>0.75722222222222213</v>
      </c>
      <c r="GQ97" s="27">
        <f t="shared" si="189"/>
        <v>113752.05243869817</v>
      </c>
      <c r="GR97" s="28">
        <f t="shared" si="190"/>
        <v>7.8658334133142347</v>
      </c>
      <c r="GS97" s="28">
        <f t="shared" si="191"/>
        <v>417.49423501437093</v>
      </c>
      <c r="GT97" s="28">
        <f t="shared" si="192"/>
        <v>6377.3757058716947</v>
      </c>
      <c r="GU97" s="28">
        <f t="shared" si="193"/>
        <v>56.27096211063261</v>
      </c>
      <c r="GV97" s="28">
        <f t="shared" si="194"/>
        <v>12.706346283046074</v>
      </c>
      <c r="GW97" s="28">
        <f t="shared" si="195"/>
        <v>113752.05243869817</v>
      </c>
      <c r="GX97" s="28">
        <f t="shared" si="196"/>
        <v>20.572179696360308</v>
      </c>
      <c r="GY97" s="28">
        <f t="shared" si="197"/>
        <v>483.44622286446725</v>
      </c>
      <c r="GZ97" s="28">
        <f t="shared" si="198"/>
        <v>435.64615827586533</v>
      </c>
      <c r="HA97" s="28">
        <f t="shared" si="199"/>
        <v>586.91218545498521</v>
      </c>
      <c r="HB97" s="28">
        <f t="shared" si="200"/>
        <v>68.977308393678669</v>
      </c>
      <c r="HC97" s="28">
        <f t="shared" si="201"/>
        <v>3388.3590088122855</v>
      </c>
      <c r="HD97" s="28">
        <f t="shared" si="202"/>
        <v>273.48897713984877</v>
      </c>
      <c r="HE97" s="28">
        <f t="shared" si="203"/>
        <v>26.6228207835251</v>
      </c>
      <c r="HF97" s="28">
        <f t="shared" si="204"/>
        <v>6.050641087164796</v>
      </c>
      <c r="HG97" s="28">
        <f t="shared" si="205"/>
        <v>229.92436131226225</v>
      </c>
      <c r="HH97" s="28">
        <f t="shared" si="206"/>
        <v>6.050641087164796</v>
      </c>
      <c r="HI97" s="28">
        <f t="shared" si="207"/>
        <v>9124.3667594445124</v>
      </c>
      <c r="HJ97" s="28">
        <f t="shared" si="208"/>
        <v>13.91647450047903</v>
      </c>
      <c r="HK97" s="28">
        <f t="shared" si="209"/>
        <v>0</v>
      </c>
      <c r="HL97" s="28">
        <f t="shared" si="210"/>
        <v>4.2354487610153573</v>
      </c>
      <c r="HM97" s="28">
        <f t="shared" si="211"/>
        <v>22.387372022509748</v>
      </c>
      <c r="HN97" s="28">
        <f t="shared" si="212"/>
        <v>0.60506410871647964</v>
      </c>
      <c r="HO97" s="28">
        <f t="shared" si="213"/>
        <v>3.6303846522988774</v>
      </c>
      <c r="HP97" s="28">
        <f t="shared" si="214"/>
        <v>0</v>
      </c>
      <c r="HQ97" s="28">
        <f t="shared" si="215"/>
        <v>3.6303846522988774</v>
      </c>
      <c r="HR97" s="28">
        <f t="shared" si="216"/>
        <v>0.60506410871647964</v>
      </c>
      <c r="HT97" s="4">
        <f>IFERROR(GR97/'McDonough &amp; Sun 1995 values'!C$2,)</f>
        <v>374.56349587210639</v>
      </c>
      <c r="HU97" s="4">
        <f>IFERROR(GS97/'McDonough &amp; Sun 1995 values'!D$2,)</f>
        <v>695.82372502395162</v>
      </c>
      <c r="HV97" s="4">
        <f>IFERROR(GT97/'McDonough &amp; Sun 1995 values'!E$2,)</f>
        <v>966.26904634419623</v>
      </c>
      <c r="HW97" s="4">
        <f>IFERROR(GU97/'McDonough &amp; Sun 1995 values'!F$2,)</f>
        <v>707.81084415890075</v>
      </c>
      <c r="HX97" s="4">
        <f>IFERROR(GV97/'McDonough &amp; Sun 1995 values'!G$2,)</f>
        <v>625.92838832739278</v>
      </c>
      <c r="HY97" s="4">
        <f>IFERROR(GW97/'McDonough &amp; Sun 1995 values'!H$2,)</f>
        <v>473.96688516124237</v>
      </c>
      <c r="HZ97" s="4">
        <f>IFERROR(GX97/'McDonough &amp; Sun 1995 values'!I$2,)</f>
        <v>556.00485665838676</v>
      </c>
      <c r="IA97" s="4">
        <f>IFERROR(GY97/'McDonough &amp; Sun 1995 values'!J$2,)</f>
        <v>734.72070344143958</v>
      </c>
      <c r="IB97" s="4">
        <f>IFERROR(GZ97/'McDonough &amp; Sun 1995 values'!K$2,)</f>
        <v>672.29345412942178</v>
      </c>
      <c r="IC97" s="4">
        <f>IFERROR(HA97/'McDonough &amp; Sun 1995 values'!L$2,)</f>
        <v>350.39533459999114</v>
      </c>
      <c r="ID97" s="4">
        <f>IFERROR(HB97/'McDonough &amp; Sun 1995 values'!M$2,)</f>
        <v>271.56420627432544</v>
      </c>
      <c r="IE97" s="4">
        <f>IFERROR(HC97/'McDonough &amp; Sun 1995 values'!N$2,)</f>
        <v>170.2692969252405</v>
      </c>
      <c r="IF97" s="4">
        <f>IFERROR(HD97/'McDonough &amp; Sun 1995 values'!O$2,)</f>
        <v>218.79118171187901</v>
      </c>
      <c r="IG97" s="4">
        <f>IFERROR(HE97/'McDonough &amp; Sun 1995 values'!P$2,)</f>
        <v>65.573450205726843</v>
      </c>
      <c r="IH97" s="4">
        <f>IFERROR(HF97/'McDonough &amp; Sun 1995 values'!Q$2,)</f>
        <v>21.380357198462178</v>
      </c>
      <c r="II97" s="4">
        <f>IFERROR(HG97/'McDonough &amp; Sun 1995 values'!R$2,)</f>
        <v>21.897558220215451</v>
      </c>
      <c r="IJ97" s="4">
        <f>IFERROR(HH97/'McDonough &amp; Sun 1995 values'!S$2,)</f>
        <v>39.289877189381791</v>
      </c>
      <c r="IK97" s="4">
        <f>IFERROR(HI97/'McDonough &amp; Sun 1995 values'!T$2,)</f>
        <v>7.5720885970493876</v>
      </c>
      <c r="IL97" s="4">
        <f>IFERROR(HJ97/'McDonough &amp; Sun 1995 values'!U$2,)</f>
        <v>25.581754596468802</v>
      </c>
      <c r="IM97" s="4">
        <f>IFERROR(HK97/'McDonough &amp; Sun 1995 values'!V$2,)</f>
        <v>0</v>
      </c>
      <c r="IN97" s="4">
        <f>IFERROR(HL97/'McDonough &amp; Sun 1995 values'!W$2,)</f>
        <v>6.284048606847711</v>
      </c>
      <c r="IO97" s="4">
        <f>IFERROR(HM97/'McDonough &amp; Sun 1995 values'!X$2,)</f>
        <v>5.2063655866301746</v>
      </c>
      <c r="IP97" s="4">
        <f>IFERROR(HN97/'McDonough &amp; Sun 1995 values'!Y$2,)</f>
        <v>4.0608329444059041</v>
      </c>
      <c r="IQ97" s="4">
        <f>IFERROR(HO97/'McDonough &amp; Sun 1995 values'!Z$2,)</f>
        <v>8.2885494344723227</v>
      </c>
      <c r="IR97" s="4">
        <f>IFERROR(HP97/'McDonough &amp; Sun 1995 values'!AA$2,)</f>
        <v>0</v>
      </c>
      <c r="IS97" s="4">
        <f>IFERROR(HQ97/'McDonough &amp; Sun 1995 values'!AB$2,)</f>
        <v>8.2321647444418993</v>
      </c>
      <c r="IT97" s="4">
        <f>IFERROR(HR97/'McDonough &amp; Sun 1995 values'!AC$2,)</f>
        <v>8.9639127217256238</v>
      </c>
    </row>
    <row r="98" spans="1:254">
      <c r="A98" s="16" t="s">
        <v>672</v>
      </c>
      <c r="B98" s="16" t="s">
        <v>24</v>
      </c>
      <c r="C98" s="16" t="str">
        <f t="shared" si="144"/>
        <v>low-Mg carbonatitic</v>
      </c>
      <c r="D98" s="16" t="s">
        <v>1723</v>
      </c>
      <c r="E98" s="16" t="s">
        <v>237</v>
      </c>
      <c r="F98" s="16" t="s">
        <v>29</v>
      </c>
      <c r="G98" s="16" t="s">
        <v>595</v>
      </c>
      <c r="H98" s="27">
        <v>360</v>
      </c>
      <c r="I98" s="16" t="s">
        <v>735</v>
      </c>
      <c r="J98" s="16" t="s">
        <v>1496</v>
      </c>
      <c r="K98" s="16">
        <v>0</v>
      </c>
      <c r="L98" s="16">
        <v>0</v>
      </c>
      <c r="M98" s="16" t="s">
        <v>74</v>
      </c>
      <c r="N98" s="16">
        <v>24</v>
      </c>
      <c r="O98" s="26">
        <v>11.08</v>
      </c>
      <c r="P98" s="26">
        <v>2.84</v>
      </c>
      <c r="Q98" s="26">
        <v>0.2</v>
      </c>
      <c r="R98" s="26">
        <v>3.25</v>
      </c>
      <c r="S98" s="26">
        <v>26.25</v>
      </c>
      <c r="T98" s="26">
        <v>9.7799999999999994</v>
      </c>
      <c r="U98" s="26">
        <v>0.77</v>
      </c>
      <c r="V98" s="26">
        <v>22.69</v>
      </c>
      <c r="W98" s="26">
        <v>2.76</v>
      </c>
      <c r="X98" s="26">
        <v>12.92</v>
      </c>
      <c r="Y98" s="26"/>
      <c r="Z98" s="26">
        <v>4.8899999999999997</v>
      </c>
      <c r="AA98" s="26"/>
      <c r="AB98" s="26"/>
      <c r="AC98" s="26"/>
      <c r="AD98" s="26">
        <v>1.89</v>
      </c>
      <c r="AE98" s="26"/>
      <c r="AF98" s="26">
        <v>0.69</v>
      </c>
      <c r="AG98" s="26"/>
      <c r="AH98" s="26"/>
      <c r="AI98" s="26"/>
      <c r="AJ98" s="26">
        <f t="shared" si="145"/>
        <v>98.350000000000009</v>
      </c>
      <c r="AK98" s="26">
        <f t="shared" si="217"/>
        <v>11.31495691564252</v>
      </c>
      <c r="AL98" s="26">
        <f t="shared" si="218"/>
        <v>2.9002236137567463</v>
      </c>
      <c r="AM98" s="26">
        <f t="shared" si="219"/>
        <v>3.3189178678554323</v>
      </c>
      <c r="AN98" s="26">
        <f t="shared" si="220"/>
        <v>26.806644317293877</v>
      </c>
      <c r="AO98" s="26">
        <f t="shared" si="221"/>
        <v>9.9873897685003463</v>
      </c>
      <c r="AP98" s="26">
        <f t="shared" si="222"/>
        <v>23.171152745119926</v>
      </c>
      <c r="AQ98" s="26">
        <f t="shared" si="223"/>
        <v>0</v>
      </c>
      <c r="AR98" s="26">
        <f t="shared" si="224"/>
        <v>2.8185271739326128</v>
      </c>
      <c r="AS98" s="26">
        <f t="shared" si="225"/>
        <v>13.193975031597594</v>
      </c>
      <c r="AT98" s="26">
        <f t="shared" si="226"/>
        <v>4.9936948842501732</v>
      </c>
      <c r="AU98" s="26">
        <f t="shared" si="227"/>
        <v>1.9300783908451586</v>
      </c>
      <c r="AV98" s="26">
        <f t="shared" si="146"/>
        <v>100.43556070879437</v>
      </c>
      <c r="AW98" s="16"/>
      <c r="AX98" s="16"/>
      <c r="AY98" s="16"/>
      <c r="AZ98" s="16"/>
      <c r="BA98" s="26"/>
      <c r="BB98" s="26">
        <v>7.0000000000000007E-2</v>
      </c>
      <c r="BC98" s="26">
        <f t="shared" si="229"/>
        <v>7.0000000000000062E-2</v>
      </c>
      <c r="BD98" s="26">
        <f t="shared" si="230"/>
        <v>0.92999999999999994</v>
      </c>
      <c r="BE98" s="16"/>
      <c r="BF98" s="16"/>
      <c r="BG98" s="16">
        <v>549</v>
      </c>
      <c r="BH98" s="16">
        <v>18</v>
      </c>
      <c r="BI98" s="16"/>
      <c r="BJ98" s="16">
        <v>0</v>
      </c>
      <c r="BK98" s="18"/>
      <c r="BL98" s="18"/>
      <c r="BM98" s="18"/>
      <c r="BN98" s="18">
        <v>176</v>
      </c>
      <c r="BO98" s="18">
        <v>253</v>
      </c>
      <c r="BP98" s="18">
        <v>42</v>
      </c>
      <c r="BQ98" s="18"/>
      <c r="BR98" s="18">
        <v>698</v>
      </c>
      <c r="BS98" s="18">
        <v>654</v>
      </c>
      <c r="BT98" s="18">
        <v>71.28</v>
      </c>
      <c r="BU98" s="18"/>
      <c r="BV98" s="18">
        <v>6.59</v>
      </c>
      <c r="BW98" s="18">
        <v>499</v>
      </c>
      <c r="BX98" s="18">
        <v>0.82199999999999995</v>
      </c>
      <c r="BY98" s="18">
        <v>1.427</v>
      </c>
      <c r="BZ98" s="18"/>
      <c r="CA98" s="18">
        <v>0.29099999999999998</v>
      </c>
      <c r="CB98" s="18">
        <v>0.155</v>
      </c>
      <c r="CC98" s="18"/>
      <c r="CD98" s="18"/>
      <c r="CE98" s="18"/>
      <c r="CF98" s="18"/>
      <c r="CG98" s="18"/>
      <c r="CH98" s="18">
        <v>2.46</v>
      </c>
      <c r="CI98" s="18">
        <v>21.99</v>
      </c>
      <c r="CJ98" s="18">
        <v>0.17</v>
      </c>
      <c r="CK98" s="18">
        <v>1.1879999999999999</v>
      </c>
      <c r="CL98" s="18"/>
      <c r="CM98" s="18">
        <v>3.649</v>
      </c>
      <c r="CN98" s="18"/>
      <c r="CO98" s="18"/>
      <c r="CP98" s="18"/>
      <c r="CQ98" s="18"/>
      <c r="CR98" s="18">
        <v>5.1999999999999998E-2</v>
      </c>
      <c r="CS98" s="18">
        <v>50.03</v>
      </c>
      <c r="CT98" s="18">
        <v>0.47</v>
      </c>
      <c r="CU98" s="18">
        <v>3.19</v>
      </c>
      <c r="CV98" s="18">
        <v>4.6500000000000004</v>
      </c>
      <c r="CW98" s="18">
        <v>0.52500000000000002</v>
      </c>
      <c r="CX98" s="18">
        <v>1.73</v>
      </c>
      <c r="CY98" s="18">
        <v>0.17499999999999999</v>
      </c>
      <c r="CZ98" s="18">
        <v>0.04</v>
      </c>
      <c r="DA98" s="18">
        <v>9.5000000000000001E-2</v>
      </c>
      <c r="DB98" s="18">
        <v>4.2999999999999997E-2</v>
      </c>
      <c r="DC98" s="18">
        <v>8.9999999999999993E-3</v>
      </c>
      <c r="DD98" s="18">
        <v>1.7000000000000001E-2</v>
      </c>
      <c r="DE98" s="18"/>
      <c r="DF98" s="18">
        <v>8.0000000000000002E-3</v>
      </c>
      <c r="DG98" s="18">
        <v>2E-3</v>
      </c>
      <c r="DH98" s="18">
        <v>3.3000000000000002E-2</v>
      </c>
      <c r="DI98" s="18">
        <v>0.124</v>
      </c>
      <c r="DJ98" s="18"/>
      <c r="DK98" s="18">
        <v>0.32100000000000001</v>
      </c>
      <c r="DL98" s="18">
        <v>0.34200000000000003</v>
      </c>
      <c r="DM98" s="18">
        <v>7.6999999999999999E-2</v>
      </c>
      <c r="DN98" s="18"/>
      <c r="DO98" s="18"/>
      <c r="DP98" s="18"/>
      <c r="DQ98" s="18"/>
      <c r="DR98" s="18"/>
      <c r="DS98" s="18"/>
      <c r="DT98" s="18"/>
      <c r="DU98" s="18"/>
      <c r="DV98" s="28"/>
      <c r="DW98" s="28"/>
      <c r="DX98" s="28"/>
      <c r="DY98" s="28"/>
      <c r="DZ98" s="28"/>
      <c r="EA98" s="28"/>
      <c r="EB98" s="28"/>
      <c r="EC98" s="28"/>
      <c r="ED98" s="28"/>
      <c r="EE98" s="28"/>
      <c r="EF98" s="28"/>
      <c r="EG98" s="28"/>
      <c r="EH98" s="28"/>
      <c r="EI98" s="28"/>
      <c r="EJ98" s="18"/>
      <c r="EK98" s="18"/>
      <c r="EL98" s="18">
        <f>IFERROR(CR98/'McDonough &amp; Sun 1995 values'!C$2,)</f>
        <v>2.4761904761904758</v>
      </c>
      <c r="EM98" s="18">
        <f>IFERROR(CH98/'McDonough &amp; Sun 1995 values'!D$2,)</f>
        <v>4.1000000000000005</v>
      </c>
      <c r="EN98" s="18">
        <f>IFERROR(CS98/'McDonough &amp; Sun 1995 values'!E$2,)</f>
        <v>7.580303030303031</v>
      </c>
      <c r="EO98" s="18">
        <f>IFERROR(DL98/'McDonough &amp; Sun 1995 values'!F$2,)</f>
        <v>4.3018867924528301</v>
      </c>
      <c r="EP98" s="18">
        <f>IFERROR(DM98/'McDonough &amp; Sun 1995 values'!G$2,)</f>
        <v>3.7931034482758621</v>
      </c>
      <c r="EQ98" s="18">
        <f>IFERROR(BR98/'McDonough &amp; Sun 1995 values'!H$2,)</f>
        <v>2.9083333333333332</v>
      </c>
      <c r="ER98" s="18">
        <f>IFERROR(DI98/'McDonough &amp; Sun 1995 values'!I$2,)</f>
        <v>3.3513513513513513</v>
      </c>
      <c r="ES98" s="18">
        <f>IFERROR(CM98/'McDonough &amp; Sun 1995 values'!J$2,)</f>
        <v>5.5455927051671727</v>
      </c>
      <c r="ET98" s="18">
        <f>IFERROR(CU98/'McDonough &amp; Sun 1995 values'!K$2,)</f>
        <v>4.9228395061728394</v>
      </c>
      <c r="EU98" s="18">
        <f>IFERROR(CV98/'McDonough &amp; Sun 1995 values'!L$2,)</f>
        <v>2.7761194029850746</v>
      </c>
      <c r="EV98" s="18">
        <f>IFERROR(CW98/'McDonough &amp; Sun 1995 values'!M$2,)</f>
        <v>2.0669291338582676</v>
      </c>
      <c r="EW98" s="18">
        <f>IFERROR(CI98/'McDonough &amp; Sun 1995 values'!N$2,)</f>
        <v>1.1050251256281407</v>
      </c>
      <c r="EX98" s="18">
        <f>IFERROR(CX98/'McDonough &amp; Sun 1995 values'!O$2,)</f>
        <v>1.3839999999999999</v>
      </c>
      <c r="EY98" s="18">
        <f>IFERROR(CY98/'McDonough &amp; Sun 1995 values'!P$2,)</f>
        <v>0.43103448275862061</v>
      </c>
      <c r="EZ98" s="18">
        <f>IFERROR(DH98/'McDonough &amp; Sun 1995 values'!Q$2,)</f>
        <v>0.11660777385159012</v>
      </c>
      <c r="FA98" s="18">
        <f>IFERROR(CK98/'McDonough &amp; Sun 1995 values'!R$2,)</f>
        <v>0.11314285714285714</v>
      </c>
      <c r="FB98" s="18">
        <f>IFERROR(CZ98/'McDonough &amp; Sun 1995 values'!S$2,)</f>
        <v>0.25974025974025977</v>
      </c>
      <c r="FC98" s="18">
        <f>IFERROR(BT98/'McDonough &amp; Sun 1995 values'!T$2,)</f>
        <v>5.9153526970954357E-2</v>
      </c>
      <c r="FD98" s="18">
        <f>IFERROR(DA98/'McDonough &amp; Sun 1995 values'!U$2,)</f>
        <v>0.17463235294117646</v>
      </c>
      <c r="FE98" s="18">
        <f>IFERROR(DN98/'McDonough &amp; Sun 1995 values'!V$2,)</f>
        <v>0</v>
      </c>
      <c r="FF98" s="18">
        <f>IFERROR(DB98/'McDonough &amp; Sun 1995 values'!W$2,)</f>
        <v>6.3798219584569729E-2</v>
      </c>
      <c r="FG98" s="18">
        <f>IFERROR(CJ98/'McDonough &amp; Sun 1995 values'!X$2,)</f>
        <v>3.9534883720930239E-2</v>
      </c>
      <c r="FH98" s="18">
        <f>IFERROR(DC98/'McDonough &amp; Sun 1995 values'!Y$2,)</f>
        <v>6.0402684563758385E-2</v>
      </c>
      <c r="FI98" s="18">
        <f>IFERROR(DD98/'McDonough &amp; Sun 1995 values'!Z$2,)</f>
        <v>3.8812785388127859E-2</v>
      </c>
      <c r="FJ98" s="18">
        <f>IFERROR(DE98/'McDonough &amp; Sun 1995 values'!AA$2,)</f>
        <v>0</v>
      </c>
      <c r="FK98" s="18">
        <f>IFERROR(DF98/'McDonough &amp; Sun 1995 values'!AB$2,)</f>
        <v>1.8140589569160998E-2</v>
      </c>
      <c r="FL98" s="18">
        <f>IFERROR(DG98/'McDonough &amp; Sun 1995 values'!AC$2,)</f>
        <v>2.9629629629629627E-2</v>
      </c>
      <c r="FN98" s="28">
        <f t="shared" si="228"/>
        <v>1.3042189506965716</v>
      </c>
      <c r="FO98" s="4">
        <f t="shared" si="161"/>
        <v>1.9984435261707991</v>
      </c>
      <c r="FP98" s="4">
        <f t="shared" si="162"/>
        <v>0.77573075073553366</v>
      </c>
      <c r="FQ98" s="4">
        <f t="shared" si="163"/>
        <v>1.1341337907375644</v>
      </c>
      <c r="FR98" s="4">
        <f t="shared" si="164"/>
        <v>0.88770304057597382</v>
      </c>
      <c r="FS98" s="4">
        <f t="shared" si="165"/>
        <v>1.4689117881322182</v>
      </c>
      <c r="FT98" s="4">
        <f t="shared" si="166"/>
        <v>1.6557692307692313</v>
      </c>
      <c r="FU98" s="4">
        <f t="shared" si="167"/>
        <v>0.60432699073422569</v>
      </c>
      <c r="FV98" s="4">
        <f t="shared" si="168"/>
        <v>0.2624914285714286</v>
      </c>
      <c r="FW98" s="4">
        <f t="shared" si="169"/>
        <v>0.9702857142857142</v>
      </c>
      <c r="FX98" s="4">
        <f t="shared" si="170"/>
        <v>0.85770012300624565</v>
      </c>
      <c r="FY98" s="4">
        <f t="shared" si="171"/>
        <v>0.6533431084998419</v>
      </c>
      <c r="FZ98" s="4">
        <f t="shared" si="172"/>
        <v>0.94671860095797644</v>
      </c>
      <c r="GA98" s="4">
        <f t="shared" si="173"/>
        <v>0.53462167982771003</v>
      </c>
      <c r="GB98" s="4">
        <f t="shared" si="174"/>
        <v>0.6025974025974028</v>
      </c>
      <c r="GC98" s="4">
        <f t="shared" si="175"/>
        <v>0.60394889663182327</v>
      </c>
      <c r="GD98" s="4">
        <f t="shared" si="176"/>
        <v>1.762087985114301</v>
      </c>
      <c r="GE98" s="4">
        <f t="shared" si="177"/>
        <v>1.8488543976348855</v>
      </c>
      <c r="GF98" s="4">
        <f t="shared" si="178"/>
        <v>2.606407918728836</v>
      </c>
      <c r="GG98" s="4">
        <f t="shared" si="179"/>
        <v>1.3669058355547807</v>
      </c>
      <c r="GH98" s="4">
        <f t="shared" si="180"/>
        <v>2.3817166372721927</v>
      </c>
      <c r="GI98" s="4">
        <f t="shared" si="181"/>
        <v>11.420987654320989</v>
      </c>
      <c r="GJ98" s="4">
        <f t="shared" si="182"/>
        <v>77.162647143267307</v>
      </c>
      <c r="GK98" s="4">
        <f t="shared" si="183"/>
        <v>271.37152777777777</v>
      </c>
      <c r="GL98" s="4">
        <f t="shared" si="184"/>
        <v>1.9126984126984128</v>
      </c>
      <c r="GM98" s="4">
        <f t="shared" si="185"/>
        <v>1.0492406810860559</v>
      </c>
      <c r="GN98" s="4">
        <f t="shared" si="186"/>
        <v>1.1265028441844289</v>
      </c>
      <c r="GO98" s="4">
        <f t="shared" si="187"/>
        <v>1.4620198949986183</v>
      </c>
      <c r="GP98" s="4">
        <f t="shared" si="188"/>
        <v>0.76674242424242423</v>
      </c>
      <c r="GQ98" s="27">
        <f t="shared" si="189"/>
        <v>109528.10871144092</v>
      </c>
      <c r="GR98" s="28">
        <f t="shared" si="190"/>
        <v>8.1596871819411572</v>
      </c>
      <c r="GS98" s="28">
        <f t="shared" si="191"/>
        <v>386.0159705302932</v>
      </c>
      <c r="GT98" s="28">
        <f t="shared" si="192"/>
        <v>7850.5605713945406</v>
      </c>
      <c r="GU98" s="28">
        <f t="shared" si="193"/>
        <v>53.665634927382222</v>
      </c>
      <c r="GV98" s="28">
        <f t="shared" si="194"/>
        <v>12.08261371172056</v>
      </c>
      <c r="GW98" s="28">
        <f t="shared" si="195"/>
        <v>109528.10871144092</v>
      </c>
      <c r="GX98" s="28">
        <f t="shared" si="196"/>
        <v>19.457715587705835</v>
      </c>
      <c r="GY98" s="28">
        <f t="shared" si="197"/>
        <v>572.5903562866016</v>
      </c>
      <c r="GZ98" s="28">
        <f t="shared" si="198"/>
        <v>500.5654251998518</v>
      </c>
      <c r="HA98" s="28">
        <f t="shared" si="199"/>
        <v>729.664334538969</v>
      </c>
      <c r="HB98" s="28">
        <f t="shared" si="200"/>
        <v>82.381457125367461</v>
      </c>
      <c r="HC98" s="28">
        <f t="shared" si="201"/>
        <v>3450.6061755939622</v>
      </c>
      <c r="HD98" s="28">
        <f t="shared" si="202"/>
        <v>271.46651586073466</v>
      </c>
      <c r="HE98" s="28">
        <f t="shared" si="203"/>
        <v>27.460485708455813</v>
      </c>
      <c r="HF98" s="28">
        <f t="shared" si="204"/>
        <v>5.1782630193088117</v>
      </c>
      <c r="HG98" s="28">
        <f t="shared" si="205"/>
        <v>186.41746869511718</v>
      </c>
      <c r="HH98" s="28">
        <f t="shared" si="206"/>
        <v>6.276682447647044</v>
      </c>
      <c r="HI98" s="28">
        <f t="shared" si="207"/>
        <v>11185.048121707032</v>
      </c>
      <c r="HJ98" s="28">
        <f t="shared" si="208"/>
        <v>14.907120813161731</v>
      </c>
      <c r="HK98" s="28">
        <f t="shared" si="209"/>
        <v>0</v>
      </c>
      <c r="HL98" s="28">
        <f t="shared" si="210"/>
        <v>6.7474336312205718</v>
      </c>
      <c r="HM98" s="28">
        <f t="shared" si="211"/>
        <v>26.675900402499938</v>
      </c>
      <c r="HN98" s="28">
        <f t="shared" si="212"/>
        <v>1.4122535507205849</v>
      </c>
      <c r="HO98" s="28">
        <f t="shared" si="213"/>
        <v>2.6675900402499937</v>
      </c>
      <c r="HP98" s="28">
        <f t="shared" si="214"/>
        <v>0</v>
      </c>
      <c r="HQ98" s="28">
        <f t="shared" si="215"/>
        <v>1.2553364895294088</v>
      </c>
      <c r="HR98" s="28">
        <f t="shared" si="216"/>
        <v>0.3138341223823522</v>
      </c>
      <c r="HT98" s="4">
        <f>IFERROR(GR98/'McDonough &amp; Sun 1995 values'!C$2,)</f>
        <v>388.55653247338842</v>
      </c>
      <c r="HU98" s="4">
        <f>IFERROR(GS98/'McDonough &amp; Sun 1995 values'!D$2,)</f>
        <v>643.35995088382208</v>
      </c>
      <c r="HV98" s="4">
        <f>IFERROR(GT98/'McDonough &amp; Sun 1995 values'!E$2,)</f>
        <v>1189.4788744537184</v>
      </c>
      <c r="HW98" s="4">
        <f>IFERROR(GU98/'McDonough &amp; Sun 1995 values'!F$2,)</f>
        <v>675.03943304883296</v>
      </c>
      <c r="HX98" s="4">
        <f>IFERROR(GV98/'McDonough &amp; Sun 1995 values'!G$2,)</f>
        <v>595.20264589756459</v>
      </c>
      <c r="HY98" s="4">
        <f>IFERROR(GW98/'McDonough &amp; Sun 1995 values'!H$2,)</f>
        <v>456.36711963100385</v>
      </c>
      <c r="HZ98" s="4">
        <f>IFERROR(GX98/'McDonough &amp; Sun 1995 values'!I$2,)</f>
        <v>525.88420507313072</v>
      </c>
      <c r="IA98" s="4">
        <f>IFERROR(GY98/'McDonough &amp; Sun 1995 values'!J$2,)</f>
        <v>870.19810985805714</v>
      </c>
      <c r="IB98" s="4">
        <f>IFERROR(GZ98/'McDonough &amp; Sun 1995 values'!K$2,)</f>
        <v>772.47750802446262</v>
      </c>
      <c r="IC98" s="4">
        <f>IFERROR(HA98/'McDonough &amp; Sun 1995 values'!L$2,)</f>
        <v>435.62049823222031</v>
      </c>
      <c r="ID98" s="4">
        <f>IFERROR(HB98/'McDonough &amp; Sun 1995 values'!M$2,)</f>
        <v>324.33644537546246</v>
      </c>
      <c r="IE98" s="4">
        <f>IFERROR(HC98/'McDonough &amp; Sun 1995 values'!N$2,)</f>
        <v>173.39729525597801</v>
      </c>
      <c r="IF98" s="4">
        <f>IFERROR(HD98/'McDonough &amp; Sun 1995 values'!O$2,)</f>
        <v>217.17321268858774</v>
      </c>
      <c r="IG98" s="4">
        <f>IFERROR(HE98/'McDonough &amp; Sun 1995 values'!P$2,)</f>
        <v>67.636664306541405</v>
      </c>
      <c r="IH98" s="4">
        <f>IFERROR(HF98/'McDonough &amp; Sun 1995 values'!Q$2,)</f>
        <v>18.297749184836793</v>
      </c>
      <c r="II98" s="4">
        <f>IFERROR(HG98/'McDonough &amp; Sun 1995 values'!R$2,)</f>
        <v>17.754044637630209</v>
      </c>
      <c r="IJ98" s="4">
        <f>IFERROR(HH98/'McDonough &amp; Sun 1995 values'!S$2,)</f>
        <v>40.757678231474316</v>
      </c>
      <c r="IK98" s="4">
        <f>IFERROR(HI98/'McDonough &amp; Sun 1995 values'!T$2,)</f>
        <v>9.2821976113751301</v>
      </c>
      <c r="IL98" s="4">
        <f>IFERROR(HJ98/'McDonough &amp; Sun 1995 values'!U$2,)</f>
        <v>27.402795612429649</v>
      </c>
      <c r="IM98" s="4">
        <f>IFERROR(HK98/'McDonough &amp; Sun 1995 values'!V$2,)</f>
        <v>0</v>
      </c>
      <c r="IN98" s="4">
        <f>IFERROR(HL98/'McDonough &amp; Sun 1995 values'!W$2,)</f>
        <v>10.011029126440016</v>
      </c>
      <c r="IO98" s="4">
        <f>IFERROR(HM98/'McDonough &amp; Sun 1995 values'!X$2,)</f>
        <v>6.2036977680232415</v>
      </c>
      <c r="IP98" s="4">
        <f>IFERROR(HN98/'McDonough &amp; Sun 1995 values'!Y$2,)</f>
        <v>9.4782117498025844</v>
      </c>
      <c r="IQ98" s="4">
        <f>IFERROR(HO98/'McDonough &amp; Sun 1995 values'!Z$2,)</f>
        <v>6.0903882197488439</v>
      </c>
      <c r="IR98" s="4">
        <f>IFERROR(HP98/'McDonough &amp; Sun 1995 values'!AA$2,)</f>
        <v>0</v>
      </c>
      <c r="IS98" s="4">
        <f>IFERROR(HQ98/'McDonough &amp; Sun 1995 values'!AB$2,)</f>
        <v>2.8465680034680472</v>
      </c>
      <c r="IT98" s="4">
        <f>IFERROR(HR98/'McDonough &amp; Sun 1995 values'!AC$2,)</f>
        <v>4.6493944056644771</v>
      </c>
    </row>
    <row r="99" spans="1:254">
      <c r="A99" s="16" t="s">
        <v>672</v>
      </c>
      <c r="B99" s="16" t="s">
        <v>24</v>
      </c>
      <c r="C99" s="16" t="str">
        <f t="shared" si="144"/>
        <v>low-Mg carbonatitic</v>
      </c>
      <c r="D99" s="16" t="s">
        <v>1723</v>
      </c>
      <c r="E99" s="16" t="s">
        <v>237</v>
      </c>
      <c r="F99" s="16" t="s">
        <v>29</v>
      </c>
      <c r="G99" s="16" t="s">
        <v>595</v>
      </c>
      <c r="H99" s="27">
        <v>360</v>
      </c>
      <c r="I99" s="16" t="s">
        <v>735</v>
      </c>
      <c r="J99" s="16" t="s">
        <v>1496</v>
      </c>
      <c r="K99" s="16">
        <v>0</v>
      </c>
      <c r="L99" s="16">
        <v>0</v>
      </c>
      <c r="M99" s="16" t="s">
        <v>78</v>
      </c>
      <c r="N99" s="16">
        <v>22</v>
      </c>
      <c r="O99" s="26">
        <v>9.25</v>
      </c>
      <c r="P99" s="26">
        <v>2.91</v>
      </c>
      <c r="Q99" s="26">
        <v>0.43</v>
      </c>
      <c r="R99" s="26">
        <v>3.47</v>
      </c>
      <c r="S99" s="26">
        <v>31.73</v>
      </c>
      <c r="T99" s="26">
        <v>13.17</v>
      </c>
      <c r="U99" s="26">
        <v>0.8</v>
      </c>
      <c r="V99" s="26">
        <v>20.91</v>
      </c>
      <c r="W99" s="26">
        <v>4.3</v>
      </c>
      <c r="X99" s="26">
        <v>9.59</v>
      </c>
      <c r="Y99" s="26"/>
      <c r="Z99" s="26">
        <v>1.42</v>
      </c>
      <c r="AA99" s="26"/>
      <c r="AB99" s="26"/>
      <c r="AC99" s="26"/>
      <c r="AD99" s="26">
        <v>1.45</v>
      </c>
      <c r="AE99" s="26"/>
      <c r="AF99" s="26">
        <v>0.56999999999999995</v>
      </c>
      <c r="AG99" s="26"/>
      <c r="AH99" s="26"/>
      <c r="AI99" s="26"/>
      <c r="AJ99" s="26">
        <f t="shared" si="145"/>
        <v>98.2</v>
      </c>
      <c r="AK99" s="26">
        <f t="shared" si="217"/>
        <v>9.4510446479267003</v>
      </c>
      <c r="AL99" s="26">
        <f t="shared" si="218"/>
        <v>2.9732475595099133</v>
      </c>
      <c r="AM99" s="26">
        <f t="shared" si="219"/>
        <v>3.5454189111681784</v>
      </c>
      <c r="AN99" s="26">
        <f t="shared" si="220"/>
        <v>32.419637478779912</v>
      </c>
      <c r="AO99" s="26">
        <f t="shared" si="221"/>
        <v>13.456244109534554</v>
      </c>
      <c r="AP99" s="26">
        <f t="shared" si="222"/>
        <v>21.364469577097005</v>
      </c>
      <c r="AQ99" s="26">
        <f t="shared" si="223"/>
        <v>0</v>
      </c>
      <c r="AR99" s="26">
        <f t="shared" si="224"/>
        <v>4.3934585930902497</v>
      </c>
      <c r="AS99" s="26">
        <f t="shared" si="225"/>
        <v>9.7984343971477887</v>
      </c>
      <c r="AT99" s="26">
        <f t="shared" si="226"/>
        <v>1.450863070276315</v>
      </c>
      <c r="AU99" s="26">
        <f t="shared" si="227"/>
        <v>1.4815151069722934</v>
      </c>
      <c r="AV99" s="26">
        <f t="shared" si="146"/>
        <v>100.3343334515029</v>
      </c>
      <c r="AW99" s="16"/>
      <c r="AX99" s="16"/>
      <c r="AY99" s="16"/>
      <c r="AZ99" s="16"/>
      <c r="BA99" s="26"/>
      <c r="BB99" s="26">
        <v>0.05</v>
      </c>
      <c r="BC99" s="26">
        <f t="shared" si="229"/>
        <v>5.0000000000000044E-2</v>
      </c>
      <c r="BD99" s="26">
        <f t="shared" si="230"/>
        <v>0.95</v>
      </c>
      <c r="BE99" s="16"/>
      <c r="BF99" s="16"/>
      <c r="BG99" s="16">
        <v>295</v>
      </c>
      <c r="BH99" s="16">
        <v>19</v>
      </c>
      <c r="BI99" s="16"/>
      <c r="BJ99" s="16">
        <v>0</v>
      </c>
      <c r="BK99" s="18"/>
      <c r="BL99" s="18"/>
      <c r="BM99" s="18"/>
      <c r="BN99" s="18">
        <v>10</v>
      </c>
      <c r="BO99" s="18">
        <v>144</v>
      </c>
      <c r="BP99" s="18">
        <v>6</v>
      </c>
      <c r="BQ99" s="18"/>
      <c r="BR99" s="18">
        <v>7</v>
      </c>
      <c r="BS99" s="18">
        <v>18</v>
      </c>
      <c r="BT99" s="18">
        <v>1.31</v>
      </c>
      <c r="BU99" s="18"/>
      <c r="BV99" s="18">
        <v>0.28000000000000003</v>
      </c>
      <c r="BW99" s="18">
        <v>73</v>
      </c>
      <c r="BX99" s="18">
        <v>6.5519999999999996</v>
      </c>
      <c r="BY99" s="18">
        <v>1.65</v>
      </c>
      <c r="BZ99" s="18"/>
      <c r="CA99" s="18">
        <v>2.1999999999999999E-2</v>
      </c>
      <c r="CB99" s="18">
        <v>8.9999999999999993E-3</v>
      </c>
      <c r="CC99" s="18"/>
      <c r="CD99" s="18"/>
      <c r="CE99" s="18"/>
      <c r="CF99" s="18"/>
      <c r="CG99" s="18"/>
      <c r="CH99" s="18">
        <v>0.02</v>
      </c>
      <c r="CI99" s="18">
        <v>0.08</v>
      </c>
      <c r="CJ99" s="18">
        <v>4.0000000000000001E-3</v>
      </c>
      <c r="CK99" s="18">
        <v>4.5999999999999999E-2</v>
      </c>
      <c r="CL99" s="18"/>
      <c r="CM99" s="18">
        <v>7.0000000000000001E-3</v>
      </c>
      <c r="CN99" s="18"/>
      <c r="CO99" s="18"/>
      <c r="CP99" s="18"/>
      <c r="CQ99" s="18"/>
      <c r="CR99" s="18">
        <v>3.0000000000000001E-3</v>
      </c>
      <c r="CS99" s="18">
        <v>0.28000000000000003</v>
      </c>
      <c r="CT99" s="18">
        <v>0.115</v>
      </c>
      <c r="CU99" s="18">
        <v>4.9000000000000002E-2</v>
      </c>
      <c r="CV99" s="18">
        <v>7.0999999999999994E-2</v>
      </c>
      <c r="CW99" s="18">
        <v>8.0000000000000002E-3</v>
      </c>
      <c r="CX99" s="18">
        <v>1.9E-2</v>
      </c>
      <c r="CY99" s="18">
        <v>4.0000000000000001E-3</v>
      </c>
      <c r="CZ99" s="18">
        <v>2E-3</v>
      </c>
      <c r="DA99" s="18">
        <v>3.0000000000000001E-3</v>
      </c>
      <c r="DB99" s="18">
        <v>2E-3</v>
      </c>
      <c r="DC99" s="18">
        <v>1E-3</v>
      </c>
      <c r="DD99" s="18">
        <v>4.0000000000000001E-3</v>
      </c>
      <c r="DE99" s="18"/>
      <c r="DF99" s="18">
        <v>2E-3</v>
      </c>
      <c r="DG99" s="18">
        <v>1E-3</v>
      </c>
      <c r="DH99" s="18">
        <v>3.0000000000000001E-3</v>
      </c>
      <c r="DI99" s="18">
        <v>2E-3</v>
      </c>
      <c r="DJ99" s="18"/>
      <c r="DK99" s="18">
        <v>0.92</v>
      </c>
      <c r="DL99" s="18">
        <v>3.0000000000000001E-3</v>
      </c>
      <c r="DM99" s="18">
        <v>3.0000000000000001E-3</v>
      </c>
      <c r="DN99" s="18"/>
      <c r="DO99" s="18"/>
      <c r="DP99" s="18"/>
      <c r="DQ99" s="18"/>
      <c r="DR99" s="18"/>
      <c r="DS99" s="18"/>
      <c r="DT99" s="18"/>
      <c r="DU99" s="18"/>
      <c r="DV99" s="28"/>
      <c r="DW99" s="28"/>
      <c r="DX99" s="28"/>
      <c r="DY99" s="28"/>
      <c r="DZ99" s="28"/>
      <c r="EA99" s="28"/>
      <c r="EB99" s="28"/>
      <c r="EC99" s="28"/>
      <c r="ED99" s="28"/>
      <c r="EE99" s="28"/>
      <c r="EF99" s="28"/>
      <c r="EG99" s="28"/>
      <c r="EH99" s="28"/>
      <c r="EI99" s="28"/>
      <c r="EJ99" s="18"/>
      <c r="EK99" s="18"/>
      <c r="EL99" s="18">
        <f>IFERROR(CR99/'McDonough &amp; Sun 1995 values'!C$2,)</f>
        <v>0.14285714285714285</v>
      </c>
      <c r="EM99" s="18">
        <f>IFERROR(CH99/'McDonough &amp; Sun 1995 values'!D$2,)</f>
        <v>3.3333333333333333E-2</v>
      </c>
      <c r="EN99" s="18">
        <f>IFERROR(CS99/'McDonough &amp; Sun 1995 values'!E$2,)</f>
        <v>4.2424242424242434E-2</v>
      </c>
      <c r="EO99" s="18">
        <f>IFERROR(DL99/'McDonough &amp; Sun 1995 values'!F$2,)</f>
        <v>3.7735849056603772E-2</v>
      </c>
      <c r="EP99" s="18">
        <f>IFERROR(DM99/'McDonough &amp; Sun 1995 values'!G$2,)</f>
        <v>0.14778325123152711</v>
      </c>
      <c r="EQ99" s="18">
        <f>IFERROR(BR99/'McDonough &amp; Sun 1995 values'!H$2,)</f>
        <v>2.9166666666666667E-2</v>
      </c>
      <c r="ER99" s="18">
        <f>IFERROR(DI99/'McDonough &amp; Sun 1995 values'!I$2,)</f>
        <v>5.4054054054054057E-2</v>
      </c>
      <c r="ES99" s="18">
        <f>IFERROR(CM99/'McDonough &amp; Sun 1995 values'!J$2,)</f>
        <v>1.0638297872340425E-2</v>
      </c>
      <c r="ET99" s="18">
        <f>IFERROR(CU99/'McDonough &amp; Sun 1995 values'!K$2,)</f>
        <v>7.5617283950617287E-2</v>
      </c>
      <c r="EU99" s="18">
        <f>IFERROR(CV99/'McDonough &amp; Sun 1995 values'!L$2,)</f>
        <v>4.2388059701492529E-2</v>
      </c>
      <c r="EV99" s="18">
        <f>IFERROR(CW99/'McDonough &amp; Sun 1995 values'!M$2,)</f>
        <v>3.1496062992125984E-2</v>
      </c>
      <c r="EW99" s="18">
        <f>IFERROR(CI99/'McDonough &amp; Sun 1995 values'!N$2,)</f>
        <v>4.0201005025125632E-3</v>
      </c>
      <c r="EX99" s="18">
        <f>IFERROR(CX99/'McDonough &amp; Sun 1995 values'!O$2,)</f>
        <v>1.52E-2</v>
      </c>
      <c r="EY99" s="18">
        <f>IFERROR(CY99/'McDonough &amp; Sun 1995 values'!P$2,)</f>
        <v>9.852216748768473E-3</v>
      </c>
      <c r="EZ99" s="18">
        <f>IFERROR(DH99/'McDonough &amp; Sun 1995 values'!Q$2,)</f>
        <v>1.0600706713780919E-2</v>
      </c>
      <c r="FA99" s="18">
        <f>IFERROR(CK99/'McDonough &amp; Sun 1995 values'!R$2,)</f>
        <v>4.3809523809523812E-3</v>
      </c>
      <c r="FB99" s="18">
        <f>IFERROR(CZ99/'McDonough &amp; Sun 1995 values'!S$2,)</f>
        <v>1.2987012987012988E-2</v>
      </c>
      <c r="FC99" s="18">
        <f>IFERROR(BT99/'McDonough &amp; Sun 1995 values'!T$2,)</f>
        <v>1.087136929460581E-3</v>
      </c>
      <c r="FD99" s="18">
        <f>IFERROR(DA99/'McDonough &amp; Sun 1995 values'!U$2,)</f>
        <v>5.5147058823529407E-3</v>
      </c>
      <c r="FE99" s="18">
        <f>IFERROR(DN99/'McDonough &amp; Sun 1995 values'!V$2,)</f>
        <v>0</v>
      </c>
      <c r="FF99" s="18">
        <f>IFERROR(DB99/'McDonough &amp; Sun 1995 values'!W$2,)</f>
        <v>2.9673590504451035E-3</v>
      </c>
      <c r="FG99" s="18">
        <f>IFERROR(CJ99/'McDonough &amp; Sun 1995 values'!X$2,)</f>
        <v>9.3023255813953494E-4</v>
      </c>
      <c r="FH99" s="18">
        <f>IFERROR(DC99/'McDonough &amp; Sun 1995 values'!Y$2,)</f>
        <v>6.7114093959731551E-3</v>
      </c>
      <c r="FI99" s="18">
        <f>IFERROR(DD99/'McDonough &amp; Sun 1995 values'!Z$2,)</f>
        <v>9.1324200913242004E-3</v>
      </c>
      <c r="FJ99" s="18">
        <f>IFERROR(DE99/'McDonough &amp; Sun 1995 values'!AA$2,)</f>
        <v>0</v>
      </c>
      <c r="FK99" s="18">
        <f>IFERROR(DF99/'McDonough &amp; Sun 1995 values'!AB$2,)</f>
        <v>4.5351473922902496E-3</v>
      </c>
      <c r="FL99" s="18">
        <f>IFERROR(DG99/'McDonough &amp; Sun 1995 values'!AC$2,)</f>
        <v>1.4814814814814814E-2</v>
      </c>
      <c r="FN99" s="28">
        <f t="shared" si="228"/>
        <v>5.0668543279380724</v>
      </c>
      <c r="FO99" s="4">
        <f t="shared" si="161"/>
        <v>0.28707070707070709</v>
      </c>
      <c r="FP99" s="4">
        <f t="shared" si="162"/>
        <v>3.5471698113207548</v>
      </c>
      <c r="FQ99" s="4">
        <f t="shared" si="163"/>
        <v>0.25534591194968548</v>
      </c>
      <c r="FR99" s="4">
        <f t="shared" si="164"/>
        <v>7.1080246913580254</v>
      </c>
      <c r="FS99" s="4">
        <f t="shared" si="165"/>
        <v>1.3989197530864197</v>
      </c>
      <c r="FT99" s="4">
        <f t="shared" si="166"/>
        <v>0.23333333333333334</v>
      </c>
      <c r="FU99" s="4">
        <f t="shared" si="167"/>
        <v>5.0810810810810816</v>
      </c>
      <c r="FV99" s="4">
        <f t="shared" si="168"/>
        <v>0.44466666666666671</v>
      </c>
      <c r="FW99" s="4">
        <f t="shared" si="169"/>
        <v>0.41326984126984129</v>
      </c>
      <c r="FX99" s="4">
        <f t="shared" si="170"/>
        <v>1.6902555311512295</v>
      </c>
      <c r="FY99" s="4">
        <f t="shared" si="171"/>
        <v>0.183732921798026</v>
      </c>
      <c r="FZ99" s="4">
        <f t="shared" si="172"/>
        <v>1.7618994437095994</v>
      </c>
      <c r="GA99" s="4">
        <f t="shared" si="173"/>
        <v>0.12763819095477388</v>
      </c>
      <c r="GB99" s="4">
        <f t="shared" si="174"/>
        <v>1.3181818181818183</v>
      </c>
      <c r="GC99" s="4">
        <f t="shared" si="175"/>
        <v>4.2857142857142856</v>
      </c>
      <c r="GD99" s="4">
        <f t="shared" si="176"/>
        <v>1.1242424242424245</v>
      </c>
      <c r="GE99" s="4">
        <f t="shared" si="177"/>
        <v>1.2727272727272729</v>
      </c>
      <c r="GF99" s="4">
        <f t="shared" si="178"/>
        <v>1.4545454545454548</v>
      </c>
      <c r="GG99" s="4">
        <f t="shared" si="179"/>
        <v>3.9878787878787887</v>
      </c>
      <c r="GH99" s="4">
        <f t="shared" si="180"/>
        <v>2.4008487654320989</v>
      </c>
      <c r="GI99" s="4">
        <f t="shared" si="181"/>
        <v>7.6751543209876543</v>
      </c>
      <c r="GJ99" s="4">
        <f t="shared" si="182"/>
        <v>25.483024691358029</v>
      </c>
      <c r="GK99" s="4">
        <f t="shared" si="183"/>
        <v>16.673611111111111</v>
      </c>
      <c r="GL99" s="4">
        <f t="shared" si="184"/>
        <v>4.0298073427844416</v>
      </c>
      <c r="GM99" s="4">
        <f t="shared" si="185"/>
        <v>1.1320754716981132</v>
      </c>
      <c r="GN99" s="4">
        <f t="shared" si="186"/>
        <v>0.14068606165870604</v>
      </c>
      <c r="GO99" s="4">
        <f t="shared" si="187"/>
        <v>7.1985815602836872E-2</v>
      </c>
      <c r="GP99" s="4">
        <f t="shared" si="188"/>
        <v>0.1973611111111111</v>
      </c>
      <c r="GQ99" s="27">
        <f t="shared" si="189"/>
        <v>81340.459208279703</v>
      </c>
      <c r="GR99" s="28">
        <f t="shared" si="190"/>
        <v>34.860196803548448</v>
      </c>
      <c r="GS99" s="28">
        <f t="shared" si="191"/>
        <v>232.40131202365629</v>
      </c>
      <c r="GT99" s="28">
        <f t="shared" si="192"/>
        <v>3253.6183683311883</v>
      </c>
      <c r="GU99" s="28">
        <f t="shared" si="193"/>
        <v>34.860196803548448</v>
      </c>
      <c r="GV99" s="28">
        <f t="shared" si="194"/>
        <v>34.860196803548448</v>
      </c>
      <c r="GW99" s="28">
        <f t="shared" si="195"/>
        <v>81340.459208279703</v>
      </c>
      <c r="GX99" s="28">
        <f t="shared" si="196"/>
        <v>23.240131202365632</v>
      </c>
      <c r="GY99" s="28">
        <f t="shared" si="197"/>
        <v>81.340459208279711</v>
      </c>
      <c r="GZ99" s="28">
        <f t="shared" si="198"/>
        <v>569.38321445795793</v>
      </c>
      <c r="HA99" s="28">
        <f t="shared" si="199"/>
        <v>825.02465768397985</v>
      </c>
      <c r="HB99" s="28">
        <f t="shared" si="200"/>
        <v>92.960524809462527</v>
      </c>
      <c r="HC99" s="28">
        <f t="shared" si="201"/>
        <v>929.60524809462515</v>
      </c>
      <c r="HD99" s="28">
        <f t="shared" si="202"/>
        <v>220.78124642247349</v>
      </c>
      <c r="HE99" s="28">
        <f t="shared" si="203"/>
        <v>46.480262404731263</v>
      </c>
      <c r="HF99" s="28">
        <f t="shared" si="204"/>
        <v>34.860196803548448</v>
      </c>
      <c r="HG99" s="28">
        <f t="shared" si="205"/>
        <v>534.52301765440939</v>
      </c>
      <c r="HH99" s="28">
        <f t="shared" si="206"/>
        <v>23.240131202365632</v>
      </c>
      <c r="HI99" s="28">
        <f t="shared" si="207"/>
        <v>15222.285937549486</v>
      </c>
      <c r="HJ99" s="28">
        <f t="shared" si="208"/>
        <v>34.860196803548448</v>
      </c>
      <c r="HK99" s="28">
        <f t="shared" si="209"/>
        <v>0</v>
      </c>
      <c r="HL99" s="28">
        <f t="shared" si="210"/>
        <v>23.240131202365632</v>
      </c>
      <c r="HM99" s="28">
        <f t="shared" si="211"/>
        <v>46.480262404731263</v>
      </c>
      <c r="HN99" s="28">
        <f t="shared" si="212"/>
        <v>11.620065601182816</v>
      </c>
      <c r="HO99" s="28">
        <f t="shared" si="213"/>
        <v>46.480262404731263</v>
      </c>
      <c r="HP99" s="28">
        <f t="shared" si="214"/>
        <v>0</v>
      </c>
      <c r="HQ99" s="28">
        <f t="shared" si="215"/>
        <v>23.240131202365632</v>
      </c>
      <c r="HR99" s="28">
        <f t="shared" si="216"/>
        <v>11.620065601182816</v>
      </c>
      <c r="HT99" s="4">
        <f>IFERROR(GR99/'McDonough &amp; Sun 1995 values'!C$2,)</f>
        <v>1660.0093715975449</v>
      </c>
      <c r="HU99" s="4">
        <f>IFERROR(GS99/'McDonough &amp; Sun 1995 values'!D$2,)</f>
        <v>387.33552003942714</v>
      </c>
      <c r="HV99" s="4">
        <f>IFERROR(GT99/'McDonough &amp; Sun 1995 values'!E$2,)</f>
        <v>492.97248005018008</v>
      </c>
      <c r="HW99" s="4">
        <f>IFERROR(GU99/'McDonough &amp; Sun 1995 values'!F$2,)</f>
        <v>438.4930415540685</v>
      </c>
      <c r="HX99" s="4">
        <f>IFERROR(GV99/'McDonough &amp; Sun 1995 values'!G$2,)</f>
        <v>1717.2510740664261</v>
      </c>
      <c r="HY99" s="4">
        <f>IFERROR(GW99/'McDonough &amp; Sun 1995 values'!H$2,)</f>
        <v>338.91858003449875</v>
      </c>
      <c r="HZ99" s="4">
        <f>IFERROR(GX99/'McDonough &amp; Sun 1995 values'!I$2,)</f>
        <v>628.11165411799004</v>
      </c>
      <c r="IA99" s="4">
        <f>IFERROR(GY99/'McDonough &amp; Sun 1995 values'!J$2,)</f>
        <v>123.61771916151932</v>
      </c>
      <c r="IB99" s="4">
        <f>IFERROR(GZ99/'McDonough &amp; Sun 1995 values'!K$2,)</f>
        <v>878.67780008944123</v>
      </c>
      <c r="IC99" s="4">
        <f>IFERROR(HA99/'McDonough &amp; Sun 1995 values'!L$2,)</f>
        <v>492.55203443819693</v>
      </c>
      <c r="ID99" s="4">
        <f>IFERROR(HB99/'McDonough &amp; Sun 1995 values'!M$2,)</f>
        <v>365.98631814749024</v>
      </c>
      <c r="IE99" s="4">
        <f>IFERROR(HC99/'McDonough &amp; Sun 1995 values'!N$2,)</f>
        <v>46.71383156254398</v>
      </c>
      <c r="IF99" s="4">
        <f>IFERROR(HD99/'McDonough &amp; Sun 1995 values'!O$2,)</f>
        <v>176.6249971379788</v>
      </c>
      <c r="IG99" s="4">
        <f>IFERROR(HE99/'McDonough &amp; Sun 1995 values'!P$2,)</f>
        <v>114.48340493776172</v>
      </c>
      <c r="IH99" s="4">
        <f>IFERROR(HF99/'McDonough &amp; Sun 1995 values'!Q$2,)</f>
        <v>123.1809074330334</v>
      </c>
      <c r="II99" s="4">
        <f>IFERROR(HG99/'McDonough &amp; Sun 1995 values'!R$2,)</f>
        <v>50.906954062324701</v>
      </c>
      <c r="IJ99" s="4">
        <f>IFERROR(HH99/'McDonough &amp; Sun 1995 values'!S$2,)</f>
        <v>150.9099428725041</v>
      </c>
      <c r="IK99" s="4">
        <f>IFERROR(HI99/'McDonough &amp; Sun 1995 values'!T$2,)</f>
        <v>12.632602437800404</v>
      </c>
      <c r="IL99" s="4">
        <f>IFERROR(HJ99/'McDonough &amp; Sun 1995 values'!U$2,)</f>
        <v>64.081244124169942</v>
      </c>
      <c r="IM99" s="4">
        <f>IFERROR(HK99/'McDonough &amp; Sun 1995 values'!V$2,)</f>
        <v>0</v>
      </c>
      <c r="IN99" s="4">
        <f>IFERROR(HL99/'McDonough &amp; Sun 1995 values'!W$2,)</f>
        <v>34.48090682843565</v>
      </c>
      <c r="IO99" s="4">
        <f>IFERROR(HM99/'McDonough &amp; Sun 1995 values'!X$2,)</f>
        <v>10.809363349937504</v>
      </c>
      <c r="IP99" s="4">
        <f>IFERROR(HN99/'McDonough &amp; Sun 1995 values'!Y$2,)</f>
        <v>77.987017457602789</v>
      </c>
      <c r="IQ99" s="4">
        <f>IFERROR(HO99/'McDonough &amp; Sun 1995 values'!Z$2,)</f>
        <v>106.11932055874718</v>
      </c>
      <c r="IR99" s="4">
        <f>IFERROR(HP99/'McDonough &amp; Sun 1995 values'!AA$2,)</f>
        <v>0</v>
      </c>
      <c r="IS99" s="4">
        <f>IFERROR(HQ99/'McDonough &amp; Sun 1995 values'!AB$2,)</f>
        <v>52.698710209445878</v>
      </c>
      <c r="IT99" s="4">
        <f>IFERROR(HR99/'McDonough &amp; Sun 1995 values'!AC$2,)</f>
        <v>172.14912001752319</v>
      </c>
    </row>
    <row r="100" spans="1:254">
      <c r="A100" s="16" t="s">
        <v>672</v>
      </c>
      <c r="B100" s="16" t="s">
        <v>24</v>
      </c>
      <c r="C100" s="16" t="str">
        <f t="shared" si="144"/>
        <v>low-Mg carbonatitic</v>
      </c>
      <c r="D100" s="16" t="s">
        <v>1723</v>
      </c>
      <c r="E100" s="16" t="s">
        <v>237</v>
      </c>
      <c r="F100" s="16" t="s">
        <v>29</v>
      </c>
      <c r="G100" s="16" t="s">
        <v>595</v>
      </c>
      <c r="H100" s="27">
        <v>360</v>
      </c>
      <c r="I100" s="16" t="s">
        <v>735</v>
      </c>
      <c r="J100" s="16" t="s">
        <v>1496</v>
      </c>
      <c r="K100" s="16">
        <v>0</v>
      </c>
      <c r="L100" s="16">
        <v>0</v>
      </c>
      <c r="M100" s="16" t="s">
        <v>79</v>
      </c>
      <c r="N100" s="16">
        <v>24</v>
      </c>
      <c r="O100" s="26">
        <v>14.21</v>
      </c>
      <c r="P100" s="26">
        <v>4.67</v>
      </c>
      <c r="Q100" s="26">
        <v>0.71</v>
      </c>
      <c r="R100" s="26">
        <v>3.86</v>
      </c>
      <c r="S100" s="26">
        <v>34</v>
      </c>
      <c r="T100" s="26">
        <v>11.1</v>
      </c>
      <c r="U100" s="26">
        <v>0.48</v>
      </c>
      <c r="V100" s="26">
        <v>18.75</v>
      </c>
      <c r="W100" s="26">
        <v>1.56</v>
      </c>
      <c r="X100" s="26">
        <v>4.09</v>
      </c>
      <c r="Y100" s="26"/>
      <c r="Z100" s="26">
        <v>4.8499999999999996</v>
      </c>
      <c r="AA100" s="26"/>
      <c r="AB100" s="26"/>
      <c r="AC100" s="26"/>
      <c r="AD100" s="26">
        <v>0.83</v>
      </c>
      <c r="AE100" s="26"/>
      <c r="AF100" s="26">
        <v>0.9</v>
      </c>
      <c r="AG100" s="26"/>
      <c r="AH100" s="26"/>
      <c r="AI100" s="26"/>
      <c r="AJ100" s="26">
        <f t="shared" si="145"/>
        <v>97.92</v>
      </c>
      <c r="AK100" s="26">
        <f t="shared" si="217"/>
        <v>14.539658560351718</v>
      </c>
      <c r="AL100" s="26">
        <f t="shared" si="218"/>
        <v>4.7783395831697755</v>
      </c>
      <c r="AM100" s="26">
        <f t="shared" si="219"/>
        <v>3.9495483492581016</v>
      </c>
      <c r="AN100" s="26">
        <f t="shared" si="220"/>
        <v>34.788767843206074</v>
      </c>
      <c r="AO100" s="26">
        <f t="shared" si="221"/>
        <v>11.357509501752572</v>
      </c>
      <c r="AP100" s="26">
        <f t="shared" si="222"/>
        <v>19.184982266473938</v>
      </c>
      <c r="AQ100" s="26">
        <f t="shared" si="223"/>
        <v>0</v>
      </c>
      <c r="AR100" s="26">
        <f t="shared" si="224"/>
        <v>1.5961905245706318</v>
      </c>
      <c r="AS100" s="26">
        <f t="shared" si="225"/>
        <v>4.1848841317268484</v>
      </c>
      <c r="AT100" s="26">
        <f t="shared" si="226"/>
        <v>4.9625154129279254</v>
      </c>
      <c r="AU100" s="26">
        <f t="shared" si="227"/>
        <v>0.84925521499591294</v>
      </c>
      <c r="AV100" s="26">
        <f t="shared" si="146"/>
        <v>100.19165138843348</v>
      </c>
      <c r="AW100" s="16"/>
      <c r="AX100" s="16"/>
      <c r="AY100" s="16"/>
      <c r="AZ100" s="16"/>
      <c r="BA100" s="26"/>
      <c r="BB100" s="26">
        <v>0.05</v>
      </c>
      <c r="BC100" s="26">
        <f t="shared" si="229"/>
        <v>5.0000000000000044E-2</v>
      </c>
      <c r="BD100" s="26">
        <f t="shared" si="230"/>
        <v>0.95</v>
      </c>
      <c r="BE100" s="16"/>
      <c r="BF100" s="16"/>
      <c r="BG100" s="16">
        <v>400</v>
      </c>
      <c r="BH100" s="16">
        <v>17</v>
      </c>
      <c r="BI100" s="16"/>
      <c r="BJ100" s="16">
        <v>0</v>
      </c>
      <c r="BK100" s="18"/>
      <c r="BL100" s="18"/>
      <c r="BM100" s="18"/>
      <c r="BN100" s="18">
        <v>28</v>
      </c>
      <c r="BO100" s="18">
        <v>42</v>
      </c>
      <c r="BP100" s="18">
        <v>8</v>
      </c>
      <c r="BQ100" s="18"/>
      <c r="BR100" s="18">
        <v>94</v>
      </c>
      <c r="BS100" s="18">
        <v>130</v>
      </c>
      <c r="BT100" s="18">
        <v>11.83</v>
      </c>
      <c r="BU100" s="18"/>
      <c r="BV100" s="18">
        <v>1.04</v>
      </c>
      <c r="BW100" s="18">
        <v>68</v>
      </c>
      <c r="BX100" s="18">
        <v>0.40400000000000003</v>
      </c>
      <c r="BY100" s="18">
        <v>0.161</v>
      </c>
      <c r="BZ100" s="18"/>
      <c r="CA100" s="18">
        <v>5.3999999999999999E-2</v>
      </c>
      <c r="CB100" s="18">
        <v>0.02</v>
      </c>
      <c r="CC100" s="18"/>
      <c r="CD100" s="18"/>
      <c r="CE100" s="18"/>
      <c r="CF100" s="18"/>
      <c r="CG100" s="18"/>
      <c r="CH100" s="18">
        <v>0.35</v>
      </c>
      <c r="CI100" s="18">
        <v>3.5</v>
      </c>
      <c r="CJ100" s="18">
        <v>0.04</v>
      </c>
      <c r="CK100" s="18">
        <v>0.251</v>
      </c>
      <c r="CL100" s="18"/>
      <c r="CM100" s="18">
        <v>0.41799999999999998</v>
      </c>
      <c r="CN100" s="18"/>
      <c r="CO100" s="18"/>
      <c r="CP100" s="18"/>
      <c r="CQ100" s="18"/>
      <c r="CR100" s="18">
        <v>1.2E-2</v>
      </c>
      <c r="CS100" s="18">
        <v>5.63</v>
      </c>
      <c r="CT100" s="18">
        <v>0.10100000000000001</v>
      </c>
      <c r="CU100" s="18">
        <v>0.42899999999999999</v>
      </c>
      <c r="CV100" s="18">
        <v>0.67</v>
      </c>
      <c r="CW100" s="18">
        <v>8.5999999999999993E-2</v>
      </c>
      <c r="CX100" s="18">
        <v>0.27600000000000002</v>
      </c>
      <c r="CY100" s="18">
        <v>3.3000000000000002E-2</v>
      </c>
      <c r="CZ100" s="18">
        <v>1.0999999999999999E-2</v>
      </c>
      <c r="DA100" s="18">
        <v>0.02</v>
      </c>
      <c r="DB100" s="18">
        <v>1.4E-2</v>
      </c>
      <c r="DC100" s="18">
        <v>8.0000000000000002E-3</v>
      </c>
      <c r="DD100" s="18">
        <v>0.01</v>
      </c>
      <c r="DE100" s="18"/>
      <c r="DF100" s="18">
        <v>5.0000000000000001E-3</v>
      </c>
      <c r="DG100" s="18">
        <v>5.0000000000000001E-3</v>
      </c>
      <c r="DH100" s="18">
        <v>1.2E-2</v>
      </c>
      <c r="DI100" s="18">
        <v>1.7000000000000001E-2</v>
      </c>
      <c r="DJ100" s="18"/>
      <c r="DK100" s="18">
        <v>6.5000000000000002E-2</v>
      </c>
      <c r="DL100" s="18">
        <v>5.7000000000000002E-2</v>
      </c>
      <c r="DM100" s="18">
        <v>1.4E-2</v>
      </c>
      <c r="DN100" s="18"/>
      <c r="DO100" s="18"/>
      <c r="DP100" s="18"/>
      <c r="DQ100" s="18"/>
      <c r="DR100" s="18"/>
      <c r="DS100" s="18"/>
      <c r="DT100" s="18"/>
      <c r="DU100" s="18"/>
      <c r="DV100" s="28"/>
      <c r="DW100" s="28"/>
      <c r="DX100" s="28"/>
      <c r="DY100" s="28"/>
      <c r="DZ100" s="28"/>
      <c r="EA100" s="28"/>
      <c r="EB100" s="28"/>
      <c r="EC100" s="28"/>
      <c r="ED100" s="28"/>
      <c r="EE100" s="28"/>
      <c r="EF100" s="28"/>
      <c r="EG100" s="28"/>
      <c r="EH100" s="28"/>
      <c r="EI100" s="28"/>
      <c r="EJ100" s="18"/>
      <c r="EK100" s="18"/>
      <c r="EL100" s="18">
        <f>IFERROR(CR100/'McDonough &amp; Sun 1995 values'!C$2,)</f>
        <v>0.5714285714285714</v>
      </c>
      <c r="EM100" s="18">
        <f>IFERROR(CH100/'McDonough &amp; Sun 1995 values'!D$2,)</f>
        <v>0.58333333333333337</v>
      </c>
      <c r="EN100" s="18">
        <f>IFERROR(CS100/'McDonough &amp; Sun 1995 values'!E$2,)</f>
        <v>0.85303030303030303</v>
      </c>
      <c r="EO100" s="18">
        <f>IFERROR(DL100/'McDonough &amp; Sun 1995 values'!F$2,)</f>
        <v>0.71698113207547176</v>
      </c>
      <c r="EP100" s="18">
        <f>IFERROR(DM100/'McDonough &amp; Sun 1995 values'!G$2,)</f>
        <v>0.68965517241379315</v>
      </c>
      <c r="EQ100" s="18">
        <f>IFERROR(BR100/'McDonough &amp; Sun 1995 values'!H$2,)</f>
        <v>0.39166666666666666</v>
      </c>
      <c r="ER100" s="18">
        <f>IFERROR(DI100/'McDonough &amp; Sun 1995 values'!I$2,)</f>
        <v>0.45945945945945954</v>
      </c>
      <c r="ES100" s="18">
        <f>IFERROR(CM100/'McDonough &amp; Sun 1995 values'!J$2,)</f>
        <v>0.63525835866261393</v>
      </c>
      <c r="ET100" s="18">
        <f>IFERROR(CU100/'McDonough &amp; Sun 1995 values'!K$2,)</f>
        <v>0.66203703703703698</v>
      </c>
      <c r="EU100" s="18">
        <f>IFERROR(CV100/'McDonough &amp; Sun 1995 values'!L$2,)</f>
        <v>0.4</v>
      </c>
      <c r="EV100" s="18">
        <f>IFERROR(CW100/'McDonough &amp; Sun 1995 values'!M$2,)</f>
        <v>0.33858267716535428</v>
      </c>
      <c r="EW100" s="18">
        <f>IFERROR(CI100/'McDonough &amp; Sun 1995 values'!N$2,)</f>
        <v>0.17587939698492464</v>
      </c>
      <c r="EX100" s="18">
        <f>IFERROR(CX100/'McDonough &amp; Sun 1995 values'!O$2,)</f>
        <v>0.22080000000000002</v>
      </c>
      <c r="EY100" s="18">
        <f>IFERROR(CY100/'McDonough &amp; Sun 1995 values'!P$2,)</f>
        <v>8.1280788177339899E-2</v>
      </c>
      <c r="EZ100" s="18">
        <f>IFERROR(DH100/'McDonough &amp; Sun 1995 values'!Q$2,)</f>
        <v>4.2402826855123678E-2</v>
      </c>
      <c r="FA100" s="18">
        <f>IFERROR(CK100/'McDonough &amp; Sun 1995 values'!R$2,)</f>
        <v>2.3904761904761904E-2</v>
      </c>
      <c r="FB100" s="18">
        <f>IFERROR(CZ100/'McDonough &amp; Sun 1995 values'!S$2,)</f>
        <v>7.1428571428571425E-2</v>
      </c>
      <c r="FC100" s="18">
        <f>IFERROR(BT100/'McDonough &amp; Sun 1995 values'!T$2,)</f>
        <v>9.817427385892117E-3</v>
      </c>
      <c r="FD100" s="18">
        <f>IFERROR(DA100/'McDonough &amp; Sun 1995 values'!U$2,)</f>
        <v>3.6764705882352942E-2</v>
      </c>
      <c r="FE100" s="18">
        <f>IFERROR(DN100/'McDonough &amp; Sun 1995 values'!V$2,)</f>
        <v>0</v>
      </c>
      <c r="FF100" s="18">
        <f>IFERROR(DB100/'McDonough &amp; Sun 1995 values'!W$2,)</f>
        <v>2.0771513353115726E-2</v>
      </c>
      <c r="FG100" s="18">
        <f>IFERROR(CJ100/'McDonough &amp; Sun 1995 values'!X$2,)</f>
        <v>9.3023255813953487E-3</v>
      </c>
      <c r="FH100" s="18">
        <f>IFERROR(DC100/'McDonough &amp; Sun 1995 values'!Y$2,)</f>
        <v>5.3691275167785241E-2</v>
      </c>
      <c r="FI100" s="18">
        <f>IFERROR(DD100/'McDonough &amp; Sun 1995 values'!Z$2,)</f>
        <v>2.2831050228310501E-2</v>
      </c>
      <c r="FJ100" s="18">
        <f>IFERROR(DE100/'McDonough &amp; Sun 1995 values'!AA$2,)</f>
        <v>0</v>
      </c>
      <c r="FK100" s="18">
        <f>IFERROR(DF100/'McDonough &amp; Sun 1995 values'!AB$2,)</f>
        <v>1.1337868480725623E-2</v>
      </c>
      <c r="FL100" s="18">
        <f>IFERROR(DG100/'McDonough &amp; Sun 1995 values'!AC$2,)</f>
        <v>7.407407407407407E-2</v>
      </c>
      <c r="FN100" s="28">
        <f t="shared" si="228"/>
        <v>1.7608217168011739</v>
      </c>
      <c r="FO100" s="4">
        <f t="shared" si="161"/>
        <v>1.2368939393939393</v>
      </c>
      <c r="FP100" s="4">
        <f t="shared" si="162"/>
        <v>1.1286449399656948</v>
      </c>
      <c r="FQ100" s="4">
        <f t="shared" si="163"/>
        <v>1.0396226415094341</v>
      </c>
      <c r="FR100" s="4">
        <f t="shared" si="164"/>
        <v>1.0421539961013646</v>
      </c>
      <c r="FS100" s="4">
        <f t="shared" si="165"/>
        <v>1.4409041394335509</v>
      </c>
      <c r="FT100" s="4">
        <f t="shared" si="166"/>
        <v>1.0208333333333335</v>
      </c>
      <c r="FU100" s="4">
        <f t="shared" si="167"/>
        <v>0.72326393379024978</v>
      </c>
      <c r="FV100" s="4">
        <f t="shared" si="168"/>
        <v>0.29410101010101009</v>
      </c>
      <c r="FW100" s="4">
        <f t="shared" si="169"/>
        <v>0.56375396825396817</v>
      </c>
      <c r="FX100" s="4">
        <f t="shared" si="170"/>
        <v>1.2101871739797485</v>
      </c>
      <c r="FY100" s="4">
        <f t="shared" si="171"/>
        <v>0.64325484514276698</v>
      </c>
      <c r="FZ100" s="4">
        <f t="shared" si="172"/>
        <v>1.306659598885382</v>
      </c>
      <c r="GA100" s="4">
        <f t="shared" si="173"/>
        <v>0.5194577538857077</v>
      </c>
      <c r="GB100" s="4">
        <f t="shared" si="174"/>
        <v>0.87878787878787878</v>
      </c>
      <c r="GC100" s="4">
        <f t="shared" si="175"/>
        <v>0.97959183673469374</v>
      </c>
      <c r="GD100" s="4">
        <f t="shared" si="176"/>
        <v>1.1897527910685803</v>
      </c>
      <c r="GE100" s="4">
        <f t="shared" si="177"/>
        <v>1.4623376623376623</v>
      </c>
      <c r="GF100" s="4">
        <f t="shared" si="178"/>
        <v>2.1779497098646035</v>
      </c>
      <c r="GG100" s="4">
        <f t="shared" si="179"/>
        <v>1.3428084674496159</v>
      </c>
      <c r="GH100" s="4">
        <f t="shared" si="180"/>
        <v>1.9553186907838072</v>
      </c>
      <c r="GI100" s="4">
        <f t="shared" si="181"/>
        <v>8.1450617283950617</v>
      </c>
      <c r="GJ100" s="4">
        <f t="shared" si="182"/>
        <v>31.872354497354497</v>
      </c>
      <c r="GK100" s="4">
        <f t="shared" si="183"/>
        <v>58.391666666666666</v>
      </c>
      <c r="GL100" s="4">
        <f t="shared" si="184"/>
        <v>2.4349313689973027</v>
      </c>
      <c r="GM100" s="4">
        <f t="shared" si="185"/>
        <v>1.2291105121293802</v>
      </c>
      <c r="GN100" s="4">
        <f t="shared" si="186"/>
        <v>0.95955108721066174</v>
      </c>
      <c r="GO100" s="4">
        <f t="shared" si="187"/>
        <v>0.9211246200607901</v>
      </c>
      <c r="GP100" s="4">
        <f t="shared" si="188"/>
        <v>0.56791666666666663</v>
      </c>
      <c r="GQ100" s="27">
        <f t="shared" si="189"/>
        <v>34740.28433636207</v>
      </c>
      <c r="GR100" s="28">
        <f t="shared" si="190"/>
        <v>4.4349299152802644</v>
      </c>
      <c r="GS100" s="28">
        <f t="shared" si="191"/>
        <v>129.35212252900769</v>
      </c>
      <c r="GT100" s="28">
        <f t="shared" si="192"/>
        <v>2080.7212852523239</v>
      </c>
      <c r="GU100" s="28">
        <f t="shared" si="193"/>
        <v>21.065917097581256</v>
      </c>
      <c r="GV100" s="28">
        <f t="shared" si="194"/>
        <v>5.1740849011603087</v>
      </c>
      <c r="GW100" s="28">
        <f t="shared" si="195"/>
        <v>34740.28433636207</v>
      </c>
      <c r="GX100" s="28">
        <f t="shared" si="196"/>
        <v>6.2828173799803748</v>
      </c>
      <c r="GY100" s="28">
        <f t="shared" si="197"/>
        <v>154.48339204892918</v>
      </c>
      <c r="GZ100" s="28">
        <f t="shared" si="198"/>
        <v>158.54874447126946</v>
      </c>
      <c r="HA100" s="28">
        <f t="shared" si="199"/>
        <v>247.61692026981478</v>
      </c>
      <c r="HB100" s="28">
        <f t="shared" si="200"/>
        <v>31.783664392841889</v>
      </c>
      <c r="HC100" s="28">
        <f t="shared" si="201"/>
        <v>1293.5212252900769</v>
      </c>
      <c r="HD100" s="28">
        <f t="shared" si="202"/>
        <v>102.00338805144609</v>
      </c>
      <c r="HE100" s="28">
        <f t="shared" si="203"/>
        <v>12.196057267020729</v>
      </c>
      <c r="HF100" s="28">
        <f t="shared" si="204"/>
        <v>4.4349299152802644</v>
      </c>
      <c r="HG100" s="28">
        <f t="shared" si="205"/>
        <v>92.763950727945527</v>
      </c>
      <c r="HH100" s="28">
        <f t="shared" si="206"/>
        <v>4.0653524223402417</v>
      </c>
      <c r="HI100" s="28">
        <f t="shared" si="207"/>
        <v>4372.1017414804601</v>
      </c>
      <c r="HJ100" s="28">
        <f t="shared" si="208"/>
        <v>7.39154985880044</v>
      </c>
      <c r="HK100" s="28">
        <f t="shared" si="209"/>
        <v>0</v>
      </c>
      <c r="HL100" s="28">
        <f t="shared" si="210"/>
        <v>5.1740849011603087</v>
      </c>
      <c r="HM100" s="28">
        <f t="shared" si="211"/>
        <v>14.78309971760088</v>
      </c>
      <c r="HN100" s="28">
        <f t="shared" si="212"/>
        <v>2.9566199435201765</v>
      </c>
      <c r="HO100" s="28">
        <f t="shared" si="213"/>
        <v>3.69577492940022</v>
      </c>
      <c r="HP100" s="28">
        <f t="shared" si="214"/>
        <v>0</v>
      </c>
      <c r="HQ100" s="28">
        <f t="shared" si="215"/>
        <v>1.84788746470011</v>
      </c>
      <c r="HR100" s="28">
        <f t="shared" si="216"/>
        <v>1.84788746470011</v>
      </c>
      <c r="HT100" s="4">
        <f>IFERROR(GR100/'McDonough &amp; Sun 1995 values'!C$2,)</f>
        <v>211.18713882286971</v>
      </c>
      <c r="HU100" s="4">
        <f>IFERROR(GS100/'McDonough &amp; Sun 1995 values'!D$2,)</f>
        <v>215.58687088167949</v>
      </c>
      <c r="HV100" s="4">
        <f>IFERROR(GT100/'McDonough &amp; Sun 1995 values'!E$2,)</f>
        <v>315.26080079580669</v>
      </c>
      <c r="HW100" s="4">
        <f>IFERROR(GU100/'McDonough &amp; Sun 1995 values'!F$2,)</f>
        <v>264.98008927775163</v>
      </c>
      <c r="HX100" s="4">
        <f>IFERROR(GV100/'McDonough &amp; Sun 1995 values'!G$2,)</f>
        <v>254.88102961380832</v>
      </c>
      <c r="HY100" s="4">
        <f>IFERROR(GW100/'McDonough &amp; Sun 1995 values'!H$2,)</f>
        <v>144.75118473484196</v>
      </c>
      <c r="HZ100" s="4">
        <f>IFERROR(GX100/'McDonough &amp; Sun 1995 values'!I$2,)</f>
        <v>169.80587513460475</v>
      </c>
      <c r="IA100" s="4">
        <f>IFERROR(GY100/'McDonough &amp; Sun 1995 values'!J$2,)</f>
        <v>234.77719156372214</v>
      </c>
      <c r="IB100" s="4">
        <f>IFERROR(GZ100/'McDonough &amp; Sun 1995 values'!K$2,)</f>
        <v>244.67398838158866</v>
      </c>
      <c r="IC100" s="4">
        <f>IFERROR(HA100/'McDonough &amp; Sun 1995 values'!L$2,)</f>
        <v>147.83099717600882</v>
      </c>
      <c r="ID100" s="4">
        <f>IFERROR(HB100/'McDonough &amp; Sun 1995 values'!M$2,)</f>
        <v>125.13253697969247</v>
      </c>
      <c r="IE100" s="4">
        <f>IFERROR(HC100/'McDonough &amp; Sun 1995 values'!N$2,)</f>
        <v>65.001066597491302</v>
      </c>
      <c r="IF100" s="4">
        <f>IFERROR(HD100/'McDonough &amp; Sun 1995 values'!O$2,)</f>
        <v>81.602710441156873</v>
      </c>
      <c r="IG100" s="4">
        <f>IFERROR(HE100/'McDonough &amp; Sun 1995 values'!P$2,)</f>
        <v>30.039549918770266</v>
      </c>
      <c r="IH100" s="4">
        <f>IFERROR(HF100/'McDonough &amp; Sun 1995 values'!Q$2,)</f>
        <v>15.671130442686447</v>
      </c>
      <c r="II100" s="4">
        <f>IFERROR(HG100/'McDonough &amp; Sun 1995 values'!R$2,)</f>
        <v>8.8346619740900501</v>
      </c>
      <c r="IJ100" s="4">
        <f>IFERROR(HH100/'McDonough &amp; Sun 1995 values'!S$2,)</f>
        <v>26.398392352858714</v>
      </c>
      <c r="IK100" s="4">
        <f>IFERROR(HI100/'McDonough &amp; Sun 1995 values'!T$2,)</f>
        <v>3.6283002003987219</v>
      </c>
      <c r="IL100" s="4">
        <f>IFERROR(HJ100/'McDonough &amp; Sun 1995 values'!U$2,)</f>
        <v>13.587407828677279</v>
      </c>
      <c r="IM100" s="4">
        <f>IFERROR(HK100/'McDonough &amp; Sun 1995 values'!V$2,)</f>
        <v>0</v>
      </c>
      <c r="IN100" s="4">
        <f>IFERROR(HL100/'McDonough &amp; Sun 1995 values'!W$2,)</f>
        <v>7.6766838296147011</v>
      </c>
      <c r="IO100" s="4">
        <f>IFERROR(HM100/'McDonough &amp; Sun 1995 values'!X$2,)</f>
        <v>3.4379301668839259</v>
      </c>
      <c r="IP100" s="4">
        <f>IFERROR(HN100/'McDonough &amp; Sun 1995 values'!Y$2,)</f>
        <v>19.84308686926293</v>
      </c>
      <c r="IQ100" s="4">
        <f>IFERROR(HO100/'McDonough &amp; Sun 1995 values'!Z$2,)</f>
        <v>8.437842304566713</v>
      </c>
      <c r="IR100" s="4">
        <f>IFERROR(HP100/'McDonough &amp; Sun 1995 values'!AA$2,)</f>
        <v>0</v>
      </c>
      <c r="IS100" s="4">
        <f>IFERROR(HQ100/'McDonough &amp; Sun 1995 values'!AB$2,)</f>
        <v>4.1902210083902718</v>
      </c>
      <c r="IT100" s="4">
        <f>IFERROR(HR100/'McDonough &amp; Sun 1995 values'!AC$2,)</f>
        <v>27.376110588149775</v>
      </c>
    </row>
    <row r="101" spans="1:254">
      <c r="A101" s="16" t="s">
        <v>672</v>
      </c>
      <c r="B101" s="16" t="s">
        <v>24</v>
      </c>
      <c r="C101" s="16" t="str">
        <f t="shared" si="144"/>
        <v>low-Mg carbonatitic</v>
      </c>
      <c r="D101" s="16" t="s">
        <v>1723</v>
      </c>
      <c r="E101" s="16" t="s">
        <v>237</v>
      </c>
      <c r="F101" s="16" t="s">
        <v>29</v>
      </c>
      <c r="G101" s="16" t="s">
        <v>595</v>
      </c>
      <c r="H101" s="27">
        <v>360</v>
      </c>
      <c r="I101" s="16" t="s">
        <v>735</v>
      </c>
      <c r="J101" s="16" t="s">
        <v>1496</v>
      </c>
      <c r="K101" s="16">
        <v>0</v>
      </c>
      <c r="L101" s="16">
        <v>0</v>
      </c>
      <c r="M101" s="16" t="s">
        <v>85</v>
      </c>
      <c r="N101" s="16">
        <v>31</v>
      </c>
      <c r="O101" s="26">
        <v>10.82</v>
      </c>
      <c r="P101" s="26">
        <v>1.85</v>
      </c>
      <c r="Q101" s="26">
        <v>0.35</v>
      </c>
      <c r="R101" s="26">
        <v>4.26</v>
      </c>
      <c r="S101" s="26">
        <v>25.39</v>
      </c>
      <c r="T101" s="26">
        <v>14.52</v>
      </c>
      <c r="U101" s="26">
        <v>0.56000000000000005</v>
      </c>
      <c r="V101" s="26">
        <v>20.260000000000002</v>
      </c>
      <c r="W101" s="26">
        <v>5.69</v>
      </c>
      <c r="X101" s="26">
        <v>11.39</v>
      </c>
      <c r="Y101" s="26"/>
      <c r="Z101" s="26">
        <v>1.67</v>
      </c>
      <c r="AA101" s="26"/>
      <c r="AB101" s="26"/>
      <c r="AC101" s="26"/>
      <c r="AD101" s="26">
        <v>2.42</v>
      </c>
      <c r="AE101" s="26"/>
      <c r="AF101" s="26">
        <v>0.81</v>
      </c>
      <c r="AG101" s="26"/>
      <c r="AH101" s="26"/>
      <c r="AI101" s="26"/>
      <c r="AJ101" s="26">
        <f t="shared" si="145"/>
        <v>98.27000000000001</v>
      </c>
      <c r="AK101" s="26">
        <f t="shared" si="217"/>
        <v>11.072012433062095</v>
      </c>
      <c r="AL101" s="26">
        <f t="shared" si="218"/>
        <v>1.8930890019560882</v>
      </c>
      <c r="AM101" s="26">
        <f t="shared" si="219"/>
        <v>4.3592211612610461</v>
      </c>
      <c r="AN101" s="26">
        <f t="shared" si="220"/>
        <v>25.9813674376568</v>
      </c>
      <c r="AO101" s="26">
        <f t="shared" si="221"/>
        <v>14.858190436974272</v>
      </c>
      <c r="AP101" s="26">
        <f t="shared" si="222"/>
        <v>20.731882799800193</v>
      </c>
      <c r="AQ101" s="26">
        <f t="shared" si="223"/>
        <v>0</v>
      </c>
      <c r="AR101" s="26">
        <f t="shared" si="224"/>
        <v>5.8225277952054828</v>
      </c>
      <c r="AS101" s="26">
        <f t="shared" si="225"/>
        <v>11.655288503935052</v>
      </c>
      <c r="AT101" s="26">
        <f t="shared" si="226"/>
        <v>1.7088965585225231</v>
      </c>
      <c r="AU101" s="26">
        <f t="shared" si="227"/>
        <v>2.4763650728290449</v>
      </c>
      <c r="AV101" s="26">
        <f t="shared" si="146"/>
        <v>100.5588412012026</v>
      </c>
      <c r="AW101" s="16"/>
      <c r="AX101" s="16"/>
      <c r="AY101" s="16"/>
      <c r="AZ101" s="16"/>
      <c r="BA101" s="26"/>
      <c r="BB101" s="26">
        <v>0.04</v>
      </c>
      <c r="BC101" s="26">
        <f t="shared" si="229"/>
        <v>4.0000000000000036E-2</v>
      </c>
      <c r="BD101" s="26">
        <f t="shared" si="230"/>
        <v>0.96</v>
      </c>
      <c r="BE101" s="16">
        <v>-6.6</v>
      </c>
      <c r="BF101" s="16"/>
      <c r="BG101" s="16">
        <v>614</v>
      </c>
      <c r="BH101" s="16">
        <v>14</v>
      </c>
      <c r="BI101" s="16"/>
      <c r="BJ101" s="16">
        <v>0</v>
      </c>
      <c r="BK101" s="18"/>
      <c r="BL101" s="18"/>
      <c r="BM101" s="18"/>
      <c r="BN101" s="18">
        <v>252</v>
      </c>
      <c r="BO101" s="18">
        <v>315</v>
      </c>
      <c r="BP101" s="18">
        <v>45</v>
      </c>
      <c r="BQ101" s="18"/>
      <c r="BR101" s="18">
        <v>552</v>
      </c>
      <c r="BS101" s="18">
        <v>485</v>
      </c>
      <c r="BT101" s="18">
        <v>55.94</v>
      </c>
      <c r="BU101" s="18"/>
      <c r="BV101" s="18">
        <v>6.33</v>
      </c>
      <c r="BW101" s="18">
        <v>638</v>
      </c>
      <c r="BX101" s="18">
        <v>1.024</v>
      </c>
      <c r="BY101" s="18">
        <v>3.41</v>
      </c>
      <c r="BZ101" s="18"/>
      <c r="CA101" s="18">
        <v>0.39300000000000002</v>
      </c>
      <c r="CB101" s="18">
        <v>9.4E-2</v>
      </c>
      <c r="CC101" s="18"/>
      <c r="CD101" s="18"/>
      <c r="CE101" s="18"/>
      <c r="CF101" s="18"/>
      <c r="CG101" s="18"/>
      <c r="CH101" s="18">
        <v>2.16</v>
      </c>
      <c r="CI101" s="18">
        <v>16.43</v>
      </c>
      <c r="CJ101" s="18">
        <v>0.09</v>
      </c>
      <c r="CK101" s="18">
        <v>0.92400000000000004</v>
      </c>
      <c r="CL101" s="18"/>
      <c r="CM101" s="18">
        <v>3.859</v>
      </c>
      <c r="CN101" s="18"/>
      <c r="CO101" s="18"/>
      <c r="CP101" s="18"/>
      <c r="CQ101" s="18"/>
      <c r="CR101" s="18">
        <v>3.2000000000000001E-2</v>
      </c>
      <c r="CS101" s="18">
        <v>34.81</v>
      </c>
      <c r="CT101" s="18">
        <v>1.02</v>
      </c>
      <c r="CU101" s="18">
        <v>2.16</v>
      </c>
      <c r="CV101" s="18">
        <v>3.18</v>
      </c>
      <c r="CW101" s="18">
        <v>0.35099999999999998</v>
      </c>
      <c r="CX101" s="18">
        <v>1.1919999999999999</v>
      </c>
      <c r="CY101" s="18">
        <v>0.128</v>
      </c>
      <c r="CZ101" s="18">
        <v>2.1999999999999999E-2</v>
      </c>
      <c r="DA101" s="18">
        <v>4.5999999999999999E-2</v>
      </c>
      <c r="DB101" s="18">
        <v>0.02</v>
      </c>
      <c r="DC101" s="18">
        <v>5.0000000000000001E-3</v>
      </c>
      <c r="DD101" s="18">
        <v>1.2E-2</v>
      </c>
      <c r="DE101" s="18"/>
      <c r="DF101" s="18">
        <v>5.0000000000000001E-3</v>
      </c>
      <c r="DG101" s="18">
        <v>1E-3</v>
      </c>
      <c r="DH101" s="18">
        <v>2.4E-2</v>
      </c>
      <c r="DI101" s="18">
        <v>0.185</v>
      </c>
      <c r="DJ101" s="18"/>
      <c r="DK101" s="18">
        <v>0.48699999999999999</v>
      </c>
      <c r="DL101" s="18">
        <v>0.27500000000000002</v>
      </c>
      <c r="DM101" s="18">
        <v>6.2E-2</v>
      </c>
      <c r="DN101" s="18"/>
      <c r="DO101" s="18"/>
      <c r="DP101" s="18"/>
      <c r="DQ101" s="18"/>
      <c r="DR101" s="18"/>
      <c r="DS101" s="18"/>
      <c r="DT101" s="18"/>
      <c r="DU101" s="18"/>
      <c r="DV101" s="28"/>
      <c r="DW101" s="28"/>
      <c r="DX101" s="28"/>
      <c r="DY101" s="28"/>
      <c r="DZ101" s="28"/>
      <c r="EA101" s="28"/>
      <c r="EB101" s="28"/>
      <c r="EC101" s="28"/>
      <c r="ED101" s="28"/>
      <c r="EE101" s="28"/>
      <c r="EF101" s="28"/>
      <c r="EG101" s="28"/>
      <c r="EH101" s="28"/>
      <c r="EI101" s="28"/>
      <c r="EJ101" s="18"/>
      <c r="EK101" s="18"/>
      <c r="EL101" s="18">
        <f>IFERROR(CR101/'McDonough &amp; Sun 1995 values'!C$2,)</f>
        <v>1.5238095238095237</v>
      </c>
      <c r="EM101" s="18">
        <f>IFERROR(CH101/'McDonough &amp; Sun 1995 values'!D$2,)</f>
        <v>3.6000000000000005</v>
      </c>
      <c r="EN101" s="18">
        <f>IFERROR(CS101/'McDonough &amp; Sun 1995 values'!E$2,)</f>
        <v>5.2742424242424253</v>
      </c>
      <c r="EO101" s="18">
        <f>IFERROR(DL101/'McDonough &amp; Sun 1995 values'!F$2,)</f>
        <v>3.459119496855346</v>
      </c>
      <c r="EP101" s="18">
        <f>IFERROR(DM101/'McDonough &amp; Sun 1995 values'!G$2,)</f>
        <v>3.0541871921182269</v>
      </c>
      <c r="EQ101" s="18">
        <f>IFERROR(BR101/'McDonough &amp; Sun 1995 values'!H$2,)</f>
        <v>2.2999999999999998</v>
      </c>
      <c r="ER101" s="18">
        <f>IFERROR(DI101/'McDonough &amp; Sun 1995 values'!I$2,)</f>
        <v>5</v>
      </c>
      <c r="ES101" s="18">
        <f>IFERROR(CM101/'McDonough &amp; Sun 1995 values'!J$2,)</f>
        <v>5.8647416413373854</v>
      </c>
      <c r="ET101" s="18">
        <f>IFERROR(CU101/'McDonough &amp; Sun 1995 values'!K$2,)</f>
        <v>3.3333333333333335</v>
      </c>
      <c r="EU101" s="18">
        <f>IFERROR(CV101/'McDonough &amp; Sun 1995 values'!L$2,)</f>
        <v>1.8985074626865672</v>
      </c>
      <c r="EV101" s="18">
        <f>IFERROR(CW101/'McDonough &amp; Sun 1995 values'!M$2,)</f>
        <v>1.3818897637795275</v>
      </c>
      <c r="EW101" s="18">
        <f>IFERROR(CI101/'McDonough &amp; Sun 1995 values'!N$2,)</f>
        <v>0.82562814070351764</v>
      </c>
      <c r="EX101" s="18">
        <f>IFERROR(CX101/'McDonough &amp; Sun 1995 values'!O$2,)</f>
        <v>0.9536</v>
      </c>
      <c r="EY101" s="18">
        <f>IFERROR(CY101/'McDonough &amp; Sun 1995 values'!P$2,)</f>
        <v>0.31527093596059114</v>
      </c>
      <c r="EZ101" s="18">
        <f>IFERROR(DH101/'McDonough &amp; Sun 1995 values'!Q$2,)</f>
        <v>8.4805653710247356E-2</v>
      </c>
      <c r="FA101" s="18">
        <f>IFERROR(CK101/'McDonough &amp; Sun 1995 values'!R$2,)</f>
        <v>8.8000000000000009E-2</v>
      </c>
      <c r="FB101" s="18">
        <f>IFERROR(CZ101/'McDonough &amp; Sun 1995 values'!S$2,)</f>
        <v>0.14285714285714285</v>
      </c>
      <c r="FC101" s="18">
        <f>IFERROR(BT101/'McDonough &amp; Sun 1995 values'!T$2,)</f>
        <v>4.642323651452282E-2</v>
      </c>
      <c r="FD101" s="18">
        <f>IFERROR(DA101/'McDonough &amp; Sun 1995 values'!U$2,)</f>
        <v>8.4558823529411756E-2</v>
      </c>
      <c r="FE101" s="18">
        <f>IFERROR(DN101/'McDonough &amp; Sun 1995 values'!V$2,)</f>
        <v>0</v>
      </c>
      <c r="FF101" s="18">
        <f>IFERROR(DB101/'McDonough &amp; Sun 1995 values'!W$2,)</f>
        <v>2.9673590504451036E-2</v>
      </c>
      <c r="FG101" s="18">
        <f>IFERROR(CJ101/'McDonough &amp; Sun 1995 values'!X$2,)</f>
        <v>2.0930232558139535E-2</v>
      </c>
      <c r="FH101" s="18">
        <f>IFERROR(DC101/'McDonough &amp; Sun 1995 values'!Y$2,)</f>
        <v>3.3557046979865772E-2</v>
      </c>
      <c r="FI101" s="18">
        <f>IFERROR(DD101/'McDonough &amp; Sun 1995 values'!Z$2,)</f>
        <v>2.7397260273972605E-2</v>
      </c>
      <c r="FJ101" s="18">
        <f>IFERROR(DE101/'McDonough &amp; Sun 1995 values'!AA$2,)</f>
        <v>0</v>
      </c>
      <c r="FK101" s="18">
        <f>IFERROR(DF101/'McDonough &amp; Sun 1995 values'!AB$2,)</f>
        <v>1.1337868480725623E-2</v>
      </c>
      <c r="FL101" s="18">
        <f>IFERROR(DG101/'McDonough &amp; Sun 1995 values'!AC$2,)</f>
        <v>1.4814814814814814E-2</v>
      </c>
      <c r="FN101" s="28">
        <f t="shared" si="228"/>
        <v>1.3279074748340118</v>
      </c>
      <c r="FO101" s="4">
        <f t="shared" ref="FO101:FO132" si="231">IFERROR(EN101/EP101,)</f>
        <v>1.7268890518084068</v>
      </c>
      <c r="FP101" s="4">
        <f t="shared" ref="FP101:FP132" si="232">IFERROR(EO101/ES101,)</f>
        <v>0.58981617748919879</v>
      </c>
      <c r="FQ101" s="4">
        <f t="shared" ref="FQ101:FQ132" si="233">IFERROR(EO101/EP101,)</f>
        <v>1.1325826739703793</v>
      </c>
      <c r="FR101" s="4">
        <f t="shared" ref="FR101:FR132" si="234">IFERROR(ET101/ES101,)</f>
        <v>0.56836831648959152</v>
      </c>
      <c r="FS101" s="4">
        <f t="shared" ref="FS101:FS132" si="235">IFERROR(ET101/ER101,)</f>
        <v>0.66666666666666674</v>
      </c>
      <c r="FT101" s="4">
        <f t="shared" ref="FT101:FT132" si="236">IFERROR(EM101/EL101,)</f>
        <v>2.3625000000000003</v>
      </c>
      <c r="FU101" s="4">
        <f t="shared" ref="FU101:FU132" si="237">IFERROR(ER101/ES101,)</f>
        <v>0.85255247473438722</v>
      </c>
      <c r="FV101" s="4">
        <f t="shared" ref="FV101:FV132" si="238">IFERROR(FA101/EY101,)</f>
        <v>0.27912500000000001</v>
      </c>
      <c r="FW101" s="4">
        <f t="shared" ref="FW101:FW132" si="239">IFERROR(FA101/EZ101,)</f>
        <v>1.0376666666666667</v>
      </c>
      <c r="FX101" s="4">
        <f t="shared" ref="FX101:FX132" si="240">IFERROR(FB101/(0.5*FD101+0.5*EY101),)</f>
        <v>0.71458984463468767</v>
      </c>
      <c r="FY101" s="4">
        <f t="shared" ref="FY101:FY132" si="241">IFERROR(EW101/SQRT(EV101*EX101),)</f>
        <v>0.71922481948467321</v>
      </c>
      <c r="FZ101" s="4">
        <f t="shared" ref="FZ101:FZ132" si="242">IFERROR(FB101/SQRT(EY101*FD101),)</f>
        <v>0.87494454127707944</v>
      </c>
      <c r="GA101" s="4">
        <f t="shared" ref="GA101:GA132" si="243">IFERROR(EW101/EV101,)</f>
        <v>0.59746309897063665</v>
      </c>
      <c r="GB101" s="4">
        <f t="shared" ref="GB101:GB132" si="244">IFERROR(FB101/EY101,)</f>
        <v>0.45312499999999994</v>
      </c>
      <c r="GC101" s="4">
        <f t="shared" ref="GC101:GC132" si="245">IFERROR(EL101/EM101,)</f>
        <v>0.4232804232804232</v>
      </c>
      <c r="GD101" s="4">
        <f t="shared" ref="GD101:GD132" si="246">IFERROR(EN101/EO101,)</f>
        <v>1.5247355371900828</v>
      </c>
      <c r="GE101" s="4">
        <f t="shared" ref="GE101:GE132" si="247">IFERROR(EN101/EM101,)</f>
        <v>1.4650673400673402</v>
      </c>
      <c r="GF101" s="4">
        <f t="shared" ref="GF101:GF132" si="248">IFERROR(EN101/EQ101,)</f>
        <v>2.2931488801054023</v>
      </c>
      <c r="GG101" s="4">
        <f t="shared" ref="GG101:GG132" si="249">IFERROR(EN101/ES101,)</f>
        <v>0.89931368622739472</v>
      </c>
      <c r="GH101" s="4">
        <f t="shared" ref="GH101:GH132" si="250">IFERROR(ET101/EV101,)</f>
        <v>2.4121557454890787</v>
      </c>
      <c r="GI101" s="4">
        <f t="shared" ref="GI101:GI132" si="251">IFERROR(ET101/EY101,)</f>
        <v>10.572916666666668</v>
      </c>
      <c r="GJ101" s="4">
        <f t="shared" ref="GJ101:GJ132" si="252">IFERROR(ET101/FF101,)</f>
        <v>112.33333333333334</v>
      </c>
      <c r="GK101" s="4">
        <f t="shared" ref="GK101:GK132" si="253">IFERROR(ET101/FK101,)</f>
        <v>294</v>
      </c>
      <c r="GL101" s="4">
        <f t="shared" ref="GL101:GL132" si="254">IFERROR(FA101/FC101,)</f>
        <v>1.8956024311762605</v>
      </c>
      <c r="GM101" s="4">
        <f t="shared" ref="GM101:GM132" si="255">IFERROR(EO101/EM101,)</f>
        <v>0.96086652690426266</v>
      </c>
      <c r="GN101" s="4">
        <f t="shared" ref="GN101:GN132" si="256">IFERROR(ES101/ET101,)</f>
        <v>1.7594224924012156</v>
      </c>
      <c r="GO101" s="4">
        <f t="shared" ref="GO101:GO132" si="257">IFERROR(ES101/EP101,)</f>
        <v>1.9202299245024019</v>
      </c>
      <c r="GP101" s="4">
        <f t="shared" ref="GP101:GP132" si="258">IFERROR(EQ101/EP101,)</f>
        <v>0.75306451612903214</v>
      </c>
      <c r="GQ101" s="27">
        <f t="shared" ref="GQ101:GQ132" si="259">AS101*10000/1.20462</f>
        <v>96754.897842764127</v>
      </c>
      <c r="GR101" s="28">
        <f t="shared" ref="GR101:GR132" si="260">IFERROR(CR101/$BR101*$GQ101,"")</f>
        <v>5.6089795850877762</v>
      </c>
      <c r="GS101" s="28">
        <f t="shared" ref="GS101:GS132" si="261">IFERROR(CH101/$BR101*$GQ101,"")</f>
        <v>378.60612199342489</v>
      </c>
      <c r="GT101" s="28">
        <f t="shared" ref="GT101:GT132" si="262">IFERROR(CS101/$BR101*$GQ101,"")</f>
        <v>6101.5181049032963</v>
      </c>
      <c r="GU101" s="28">
        <f t="shared" ref="GU101:GU132" si="263">IFERROR(DL101/$BR101*$GQ101,"")</f>
        <v>48.202168309348082</v>
      </c>
      <c r="GV101" s="28">
        <f t="shared" ref="GV101:GV132" si="264">IFERROR(DM101/$BR101*$GQ101,"")</f>
        <v>10.867397946107564</v>
      </c>
      <c r="GW101" s="28">
        <f t="shared" ref="GW101:GW132" si="265">IFERROR(BR101/$BR101*$GQ101,"")</f>
        <v>96754.897842764127</v>
      </c>
      <c r="GX101" s="28">
        <f t="shared" ref="GX101:GX132" si="266">IFERROR(DI101/$BR101*$GQ101,"")</f>
        <v>32.426913226288704</v>
      </c>
      <c r="GY101" s="28">
        <f t="shared" ref="GY101:GY132" si="267">IFERROR(CM101/$BR101*$GQ101,"")</f>
        <v>676.40788183917891</v>
      </c>
      <c r="GZ101" s="28">
        <f t="shared" ref="GZ101:GZ132" si="268">IFERROR(CU101/$BR101*$GQ101,"")</f>
        <v>378.60612199342489</v>
      </c>
      <c r="HA101" s="28">
        <f t="shared" ref="HA101:HA132" si="269">IFERROR(CV101/$BR101*$GQ101,"")</f>
        <v>557.39234626809764</v>
      </c>
      <c r="HB101" s="28">
        <f t="shared" ref="HB101:HB132" si="270">IFERROR(CW101/$BR101*$GQ101,"")</f>
        <v>61.523494823931536</v>
      </c>
      <c r="HC101" s="28">
        <f t="shared" ref="HC101:HC132" si="271">IFERROR(CI101/$BR101*$GQ101,"")</f>
        <v>2879.8604557185049</v>
      </c>
      <c r="HD101" s="28">
        <f t="shared" ref="HD101:HD132" si="272">IFERROR(CX101/$BR101*$GQ101,"")</f>
        <v>208.93448954451961</v>
      </c>
      <c r="HE101" s="28">
        <f t="shared" ref="HE101:HE132" si="273">IFERROR(CY101/$BR101*$GQ101,"")</f>
        <v>22.435918340351105</v>
      </c>
      <c r="HF101" s="28">
        <f t="shared" ref="HF101:HF132" si="274">IFERROR(DH101/$BR101*$GQ101,"")</f>
        <v>4.2067346888158319</v>
      </c>
      <c r="HG101" s="28">
        <f t="shared" ref="HG101:HG132" si="275">IFERROR(CK101/$BR101*$GQ101,"")</f>
        <v>161.95928551940952</v>
      </c>
      <c r="HH101" s="28">
        <f t="shared" ref="HH101:HH132" si="276">IFERROR(CZ101/$BR101*$GQ101,"")</f>
        <v>3.8561734647478456</v>
      </c>
      <c r="HI101" s="28">
        <f t="shared" ref="HI101:HI132" si="277">IFERROR(BT101/$BR101*$GQ101,"")</f>
        <v>9805.1974371815668</v>
      </c>
      <c r="HJ101" s="28">
        <f t="shared" ref="HJ101:HJ132" si="278">IFERROR(DA101/$BR101*$GQ101,"")</f>
        <v>8.0629081535636775</v>
      </c>
      <c r="HK101" s="28">
        <f t="shared" ref="HK101:HK132" si="279">IFERROR(DN101/$BR101*$GQ101,"")</f>
        <v>0</v>
      </c>
      <c r="HL101" s="28">
        <f t="shared" ref="HL101:HL132" si="280">IFERROR(DB101/$BR101*$GQ101,"")</f>
        <v>3.5056122406798598</v>
      </c>
      <c r="HM101" s="28">
        <f t="shared" ref="HM101:HM132" si="281">IFERROR(CJ101/$BR101*$GQ101,"")</f>
        <v>15.775255083059367</v>
      </c>
      <c r="HN101" s="28">
        <f t="shared" ref="HN101:HN132" si="282">IFERROR(DC101/$BR101*$GQ101,"")</f>
        <v>0.87640306016996494</v>
      </c>
      <c r="HO101" s="28">
        <f t="shared" ref="HO101:HO132" si="283">IFERROR(DD101/$BR101*$GQ101,"")</f>
        <v>2.103367344407916</v>
      </c>
      <c r="HP101" s="28">
        <f t="shared" ref="HP101:HP132" si="284">IFERROR(DE101/$BR101*$GQ101,"")</f>
        <v>0</v>
      </c>
      <c r="HQ101" s="28">
        <f t="shared" ref="HQ101:HQ132" si="285">IFERROR(DF101/$BR101*$GQ101,"")</f>
        <v>0.87640306016996494</v>
      </c>
      <c r="HR101" s="28">
        <f t="shared" ref="HR101:HR132" si="286">IFERROR(DG101/$BR101*$GQ101,"")</f>
        <v>0.17528061203399301</v>
      </c>
      <c r="HT101" s="4">
        <f>IFERROR(GR101/'McDonough &amp; Sun 1995 values'!C$2,)</f>
        <v>267.09426595656078</v>
      </c>
      <c r="HU101" s="4">
        <f>IFERROR(GS101/'McDonough &amp; Sun 1995 values'!D$2,)</f>
        <v>631.01020332237488</v>
      </c>
      <c r="HV101" s="4">
        <f>IFERROR(GT101/'McDonough &amp; Sun 1995 values'!E$2,)</f>
        <v>924.47244013686316</v>
      </c>
      <c r="HW101" s="4">
        <f>IFERROR(GU101/'McDonough &amp; Sun 1995 values'!F$2,)</f>
        <v>606.31658250752298</v>
      </c>
      <c r="HX101" s="4">
        <f>IFERROR(GV101/'McDonough &amp; Sun 1995 values'!G$2,)</f>
        <v>535.33980030086525</v>
      </c>
      <c r="HY101" s="4">
        <f>IFERROR(GW101/'McDonough &amp; Sun 1995 values'!H$2,)</f>
        <v>403.14540767818386</v>
      </c>
      <c r="HZ101" s="4">
        <f>IFERROR(GX101/'McDonough &amp; Sun 1995 values'!I$2,)</f>
        <v>876.40306016996499</v>
      </c>
      <c r="IA101" s="4">
        <f>IFERROR(GY101/'McDonough &amp; Sun 1995 values'!J$2,)</f>
        <v>1027.9755043148616</v>
      </c>
      <c r="IB101" s="4">
        <f>IFERROR(GZ101/'McDonough &amp; Sun 1995 values'!K$2,)</f>
        <v>584.2687067799767</v>
      </c>
      <c r="IC101" s="4">
        <f>IFERROR(HA101/'McDonough &amp; Sun 1995 values'!L$2,)</f>
        <v>332.77155001080456</v>
      </c>
      <c r="ID101" s="4">
        <f>IFERROR(HB101/'McDonough &amp; Sun 1995 values'!M$2,)</f>
        <v>242.21848355878558</v>
      </c>
      <c r="IE101" s="4">
        <f>IFERROR(HC101/'McDonough &amp; Sun 1995 values'!N$2,)</f>
        <v>144.71660581500026</v>
      </c>
      <c r="IF101" s="4">
        <f>IFERROR(HD101/'McDonough &amp; Sun 1995 values'!O$2,)</f>
        <v>167.1475916356157</v>
      </c>
      <c r="IG101" s="4">
        <f>IFERROR(HE101/'McDonough &amp; Sun 1995 values'!P$2,)</f>
        <v>55.260882611702222</v>
      </c>
      <c r="IH101" s="4">
        <f>IFERROR(HF101/'McDonough &amp; Sun 1995 values'!Q$2,)</f>
        <v>14.864786886275025</v>
      </c>
      <c r="II101" s="4">
        <f>IFERROR(HG101/'McDonough &amp; Sun 1995 values'!R$2,)</f>
        <v>15.424693858991382</v>
      </c>
      <c r="IJ101" s="4">
        <f>IFERROR(HH101/'McDonough &amp; Sun 1995 values'!S$2,)</f>
        <v>25.040087433427569</v>
      </c>
      <c r="IK101" s="4">
        <f>IFERROR(HI101/'McDonough &amp; Sun 1995 values'!T$2,)</f>
        <v>8.1370933088643707</v>
      </c>
      <c r="IL101" s="4">
        <f>IFERROR(HJ101/'McDonough &amp; Sun 1995 values'!U$2,)</f>
        <v>14.8215223411097</v>
      </c>
      <c r="IM101" s="4">
        <f>IFERROR(HK101/'McDonough &amp; Sun 1995 values'!V$2,)</f>
        <v>0</v>
      </c>
      <c r="IN101" s="4">
        <f>IFERROR(HL101/'McDonough &amp; Sun 1995 values'!W$2,)</f>
        <v>5.2012051048662604</v>
      </c>
      <c r="IO101" s="4">
        <f>IFERROR(HM101/'McDonough &amp; Sun 1995 values'!X$2,)</f>
        <v>3.6686639728045041</v>
      </c>
      <c r="IP101" s="4">
        <f>IFERROR(HN101/'McDonough &amp; Sun 1995 values'!Y$2,)</f>
        <v>5.881899732684329</v>
      </c>
      <c r="IQ101" s="4">
        <f>IFERROR(HO101/'McDonough &amp; Sun 1995 values'!Z$2,)</f>
        <v>4.8022085488765205</v>
      </c>
      <c r="IR101" s="4">
        <f>IFERROR(HP101/'McDonough &amp; Sun 1995 values'!AA$2,)</f>
        <v>0</v>
      </c>
      <c r="IS101" s="4">
        <f>IFERROR(HQ101/'McDonough &amp; Sun 1995 values'!AB$2,)</f>
        <v>1.9873085264625054</v>
      </c>
      <c r="IT101" s="4">
        <f>IFERROR(HR101/'McDonough &amp; Sun 1995 values'!AC$2,)</f>
        <v>2.5967498079110074</v>
      </c>
    </row>
    <row r="102" spans="1:254">
      <c r="A102" s="16" t="s">
        <v>672</v>
      </c>
      <c r="B102" s="16" t="s">
        <v>24</v>
      </c>
      <c r="C102" s="16" t="str">
        <f t="shared" si="144"/>
        <v>low-Mg carbonatitic</v>
      </c>
      <c r="D102" s="16" t="s">
        <v>1723</v>
      </c>
      <c r="E102" s="16" t="s">
        <v>237</v>
      </c>
      <c r="F102" s="16" t="s">
        <v>29</v>
      </c>
      <c r="G102" s="16" t="s">
        <v>595</v>
      </c>
      <c r="H102" s="27">
        <v>360</v>
      </c>
      <c r="I102" s="16" t="s">
        <v>735</v>
      </c>
      <c r="J102" s="16" t="s">
        <v>1496</v>
      </c>
      <c r="K102" s="16">
        <v>0</v>
      </c>
      <c r="L102" s="16">
        <v>0</v>
      </c>
      <c r="M102" s="16" t="s">
        <v>88</v>
      </c>
      <c r="N102" s="16">
        <v>24</v>
      </c>
      <c r="O102" s="26">
        <v>18.84</v>
      </c>
      <c r="P102" s="26">
        <v>3.54</v>
      </c>
      <c r="Q102" s="26">
        <v>0.17</v>
      </c>
      <c r="R102" s="26">
        <v>6.93</v>
      </c>
      <c r="S102" s="26">
        <v>26.69</v>
      </c>
      <c r="T102" s="26">
        <v>10.43</v>
      </c>
      <c r="U102" s="26">
        <v>0.49</v>
      </c>
      <c r="V102" s="26">
        <v>15.4</v>
      </c>
      <c r="W102" s="26">
        <v>3.01</v>
      </c>
      <c r="X102" s="26">
        <v>10.84</v>
      </c>
      <c r="Y102" s="26"/>
      <c r="Z102" s="26">
        <v>1.66</v>
      </c>
      <c r="AA102" s="26"/>
      <c r="AB102" s="26"/>
      <c r="AC102" s="26"/>
      <c r="AD102" s="26">
        <v>0.78</v>
      </c>
      <c r="AE102" s="26"/>
      <c r="AF102" s="26">
        <v>1.24</v>
      </c>
      <c r="AG102" s="26"/>
      <c r="AH102" s="26"/>
      <c r="AI102" s="26"/>
      <c r="AJ102" s="26">
        <f t="shared" si="145"/>
        <v>98.120000000000019</v>
      </c>
      <c r="AK102" s="26">
        <f t="shared" si="217"/>
        <v>19.235485931625512</v>
      </c>
      <c r="AL102" s="26">
        <f t="shared" si="218"/>
        <v>3.6143110508468324</v>
      </c>
      <c r="AM102" s="26">
        <f t="shared" si="219"/>
        <v>7.0754733283526967</v>
      </c>
      <c r="AN102" s="26">
        <f t="shared" si="220"/>
        <v>27.250271736469479</v>
      </c>
      <c r="AO102" s="26">
        <f t="shared" si="221"/>
        <v>10.648944706308603</v>
      </c>
      <c r="AP102" s="26">
        <f t="shared" si="222"/>
        <v>15.723274063005993</v>
      </c>
      <c r="AQ102" s="26">
        <f t="shared" si="223"/>
        <v>0</v>
      </c>
      <c r="AR102" s="26">
        <f t="shared" si="224"/>
        <v>3.0731853850420805</v>
      </c>
      <c r="AS102" s="26">
        <f t="shared" si="225"/>
        <v>11.067551353440582</v>
      </c>
      <c r="AT102" s="26">
        <f t="shared" si="226"/>
        <v>1.694846424973373</v>
      </c>
      <c r="AU102" s="26">
        <f t="shared" si="227"/>
        <v>0.7963736213730308</v>
      </c>
      <c r="AV102" s="26">
        <f t="shared" si="146"/>
        <v>100.17971760143818</v>
      </c>
      <c r="AW102" s="16"/>
      <c r="AX102" s="16"/>
      <c r="AY102" s="16"/>
      <c r="AZ102" s="16"/>
      <c r="BA102" s="26"/>
      <c r="BB102" s="26">
        <v>0.08</v>
      </c>
      <c r="BC102" s="26">
        <f t="shared" si="229"/>
        <v>7.999999999999996E-2</v>
      </c>
      <c r="BD102" s="26">
        <f t="shared" si="230"/>
        <v>0.92</v>
      </c>
      <c r="BE102" s="16"/>
      <c r="BF102" s="16"/>
      <c r="BG102" s="16">
        <v>492</v>
      </c>
      <c r="BH102" s="16">
        <v>11</v>
      </c>
      <c r="BI102" s="16"/>
      <c r="BJ102" s="16">
        <v>0</v>
      </c>
      <c r="BK102" s="18"/>
      <c r="BL102" s="18"/>
      <c r="BM102" s="18"/>
      <c r="BN102" s="18">
        <v>214</v>
      </c>
      <c r="BO102" s="18">
        <v>381</v>
      </c>
      <c r="BP102" s="18">
        <v>79</v>
      </c>
      <c r="BQ102" s="18"/>
      <c r="BR102" s="18">
        <v>707</v>
      </c>
      <c r="BS102" s="18">
        <v>442</v>
      </c>
      <c r="BT102" s="18">
        <v>125.76</v>
      </c>
      <c r="BU102" s="18"/>
      <c r="BV102" s="18">
        <v>5.18</v>
      </c>
      <c r="BW102" s="18">
        <v>644</v>
      </c>
      <c r="BX102" s="18">
        <v>0.60199999999999998</v>
      </c>
      <c r="BY102" s="18">
        <v>2.4</v>
      </c>
      <c r="BZ102" s="18"/>
      <c r="CA102" s="18">
        <v>0.32200000000000001</v>
      </c>
      <c r="CB102" s="18">
        <v>0.183</v>
      </c>
      <c r="CC102" s="18"/>
      <c r="CD102" s="18"/>
      <c r="CE102" s="18"/>
      <c r="CF102" s="18"/>
      <c r="CG102" s="18"/>
      <c r="CH102" s="18">
        <v>2.8</v>
      </c>
      <c r="CI102" s="18">
        <v>18.55</v>
      </c>
      <c r="CJ102" s="18">
        <v>0.182</v>
      </c>
      <c r="CK102" s="18">
        <v>2.609</v>
      </c>
      <c r="CL102" s="18"/>
      <c r="CM102" s="18">
        <v>7.859</v>
      </c>
      <c r="CN102" s="18"/>
      <c r="CO102" s="18"/>
      <c r="CP102" s="18"/>
      <c r="CQ102" s="18"/>
      <c r="CR102" s="18">
        <v>3.5000000000000003E-2</v>
      </c>
      <c r="CS102" s="18">
        <v>41.56</v>
      </c>
      <c r="CT102" s="18">
        <v>0.67</v>
      </c>
      <c r="CU102" s="18">
        <v>3.36</v>
      </c>
      <c r="CV102" s="18">
        <v>4.82</v>
      </c>
      <c r="CW102" s="18">
        <v>0.53</v>
      </c>
      <c r="CX102" s="18">
        <v>1.77</v>
      </c>
      <c r="CY102" s="18">
        <v>0.16300000000000001</v>
      </c>
      <c r="CZ102" s="18">
        <v>4.2999999999999997E-2</v>
      </c>
      <c r="DA102" s="18">
        <v>0.113</v>
      </c>
      <c r="DB102" s="18">
        <v>5.3999999999999999E-2</v>
      </c>
      <c r="DC102" s="18">
        <v>8.9999999999999993E-3</v>
      </c>
      <c r="DD102" s="18">
        <v>1.4E-2</v>
      </c>
      <c r="DE102" s="18"/>
      <c r="DF102" s="18">
        <v>5.0000000000000001E-3</v>
      </c>
      <c r="DG102" s="18">
        <v>2E-3</v>
      </c>
      <c r="DH102" s="18">
        <v>6.5000000000000002E-2</v>
      </c>
      <c r="DI102" s="18">
        <v>0.314</v>
      </c>
      <c r="DJ102" s="18"/>
      <c r="DK102" s="18">
        <v>0.19700000000000001</v>
      </c>
      <c r="DL102" s="18">
        <v>0.5</v>
      </c>
      <c r="DM102" s="18">
        <v>0.107</v>
      </c>
      <c r="DN102" s="18"/>
      <c r="DO102" s="18"/>
      <c r="DP102" s="18"/>
      <c r="DQ102" s="18"/>
      <c r="DR102" s="18"/>
      <c r="DS102" s="18"/>
      <c r="DT102" s="18"/>
      <c r="DU102" s="18"/>
      <c r="DV102" s="28"/>
      <c r="DW102" s="28"/>
      <c r="DX102" s="28"/>
      <c r="DY102" s="28"/>
      <c r="DZ102" s="28"/>
      <c r="EA102" s="28"/>
      <c r="EB102" s="28"/>
      <c r="EC102" s="28"/>
      <c r="ED102" s="28"/>
      <c r="EE102" s="28"/>
      <c r="EF102" s="28"/>
      <c r="EG102" s="28"/>
      <c r="EH102" s="28"/>
      <c r="EI102" s="28"/>
      <c r="EJ102" s="18"/>
      <c r="EK102" s="18"/>
      <c r="EL102" s="18">
        <f>IFERROR(CR102/'McDonough &amp; Sun 1995 values'!C$2,)</f>
        <v>1.6666666666666667</v>
      </c>
      <c r="EM102" s="18">
        <f>IFERROR(CH102/'McDonough &amp; Sun 1995 values'!D$2,)</f>
        <v>4.666666666666667</v>
      </c>
      <c r="EN102" s="18">
        <f>IFERROR(CS102/'McDonough &amp; Sun 1995 values'!E$2,)</f>
        <v>6.2969696969696978</v>
      </c>
      <c r="EO102" s="18">
        <f>IFERROR(DL102/'McDonough &amp; Sun 1995 values'!F$2,)</f>
        <v>6.2893081761006284</v>
      </c>
      <c r="EP102" s="18">
        <f>IFERROR(DM102/'McDonough &amp; Sun 1995 values'!G$2,)</f>
        <v>5.2709359605911335</v>
      </c>
      <c r="EQ102" s="18">
        <f>IFERROR(BR102/'McDonough &amp; Sun 1995 values'!H$2,)</f>
        <v>2.9458333333333333</v>
      </c>
      <c r="ER102" s="18">
        <f>IFERROR(DI102/'McDonough &amp; Sun 1995 values'!I$2,)</f>
        <v>8.4864864864864877</v>
      </c>
      <c r="ES102" s="18">
        <f>IFERROR(CM102/'McDonough &amp; Sun 1995 values'!J$2,)</f>
        <v>11.943768996960486</v>
      </c>
      <c r="ET102" s="18">
        <f>IFERROR(CU102/'McDonough &amp; Sun 1995 values'!K$2,)</f>
        <v>5.1851851851851851</v>
      </c>
      <c r="EU102" s="18">
        <f>IFERROR(CV102/'McDonough &amp; Sun 1995 values'!L$2,)</f>
        <v>2.8776119402985074</v>
      </c>
      <c r="EV102" s="18">
        <f>IFERROR(CW102/'McDonough &amp; Sun 1995 values'!M$2,)</f>
        <v>2.0866141732283467</v>
      </c>
      <c r="EW102" s="18">
        <f>IFERROR(CI102/'McDonough &amp; Sun 1995 values'!N$2,)</f>
        <v>0.9321608040201006</v>
      </c>
      <c r="EX102" s="18">
        <f>IFERROR(CX102/'McDonough &amp; Sun 1995 values'!O$2,)</f>
        <v>1.4159999999999999</v>
      </c>
      <c r="EY102" s="18">
        <f>IFERROR(CY102/'McDonough &amp; Sun 1995 values'!P$2,)</f>
        <v>0.40147783251231528</v>
      </c>
      <c r="EZ102" s="18">
        <f>IFERROR(DH102/'McDonough &amp; Sun 1995 values'!Q$2,)</f>
        <v>0.22968197879858659</v>
      </c>
      <c r="FA102" s="18">
        <f>IFERROR(CK102/'McDonough &amp; Sun 1995 values'!R$2,)</f>
        <v>0.24847619047619046</v>
      </c>
      <c r="FB102" s="18">
        <f>IFERROR(CZ102/'McDonough &amp; Sun 1995 values'!S$2,)</f>
        <v>0.2792207792207792</v>
      </c>
      <c r="FC102" s="18">
        <f>IFERROR(BT102/'McDonough &amp; Sun 1995 values'!T$2,)</f>
        <v>0.10436514522821577</v>
      </c>
      <c r="FD102" s="18">
        <f>IFERROR(DA102/'McDonough &amp; Sun 1995 values'!U$2,)</f>
        <v>0.2077205882352941</v>
      </c>
      <c r="FE102" s="18">
        <f>IFERROR(DN102/'McDonough &amp; Sun 1995 values'!V$2,)</f>
        <v>0</v>
      </c>
      <c r="FF102" s="18">
        <f>IFERROR(DB102/'McDonough &amp; Sun 1995 values'!W$2,)</f>
        <v>8.0118694362017795E-2</v>
      </c>
      <c r="FG102" s="18">
        <f>IFERROR(CJ102/'McDonough &amp; Sun 1995 values'!X$2,)</f>
        <v>4.2325581395348838E-2</v>
      </c>
      <c r="FH102" s="18">
        <f>IFERROR(DC102/'McDonough &amp; Sun 1995 values'!Y$2,)</f>
        <v>6.0402684563758385E-2</v>
      </c>
      <c r="FI102" s="18">
        <f>IFERROR(DD102/'McDonough &amp; Sun 1995 values'!Z$2,)</f>
        <v>3.1963470319634701E-2</v>
      </c>
      <c r="FJ102" s="18">
        <f>IFERROR(DE102/'McDonough &amp; Sun 1995 values'!AA$2,)</f>
        <v>0</v>
      </c>
      <c r="FK102" s="18">
        <f>IFERROR(DF102/'McDonough &amp; Sun 1995 values'!AB$2,)</f>
        <v>1.1337868480725623E-2</v>
      </c>
      <c r="FL102" s="18">
        <f>IFERROR(DG102/'McDonough &amp; Sun 1995 values'!AC$2,)</f>
        <v>2.9629629629629627E-2</v>
      </c>
      <c r="FN102" s="28">
        <f t="shared" si="228"/>
        <v>1.7892851917141048</v>
      </c>
      <c r="FO102" s="4">
        <f t="shared" si="231"/>
        <v>1.1946587369017276</v>
      </c>
      <c r="FP102" s="4">
        <f t="shared" si="232"/>
        <v>0.52657650844563098</v>
      </c>
      <c r="FQ102" s="4">
        <f t="shared" si="233"/>
        <v>1.1932051960265677</v>
      </c>
      <c r="FR102" s="4">
        <f t="shared" si="234"/>
        <v>0.43413307696295356</v>
      </c>
      <c r="FS102" s="4">
        <f t="shared" si="235"/>
        <v>0.61099315876385929</v>
      </c>
      <c r="FT102" s="4">
        <f t="shared" si="236"/>
        <v>2.8000000000000003</v>
      </c>
      <c r="FU102" s="4">
        <f t="shared" si="237"/>
        <v>0.7105367232609886</v>
      </c>
      <c r="FV102" s="4">
        <f t="shared" si="238"/>
        <v>0.61890388548057251</v>
      </c>
      <c r="FW102" s="4">
        <f t="shared" si="239"/>
        <v>1.0818271062271061</v>
      </c>
      <c r="FX102" s="4">
        <f t="shared" si="240"/>
        <v>0.91668254450863151</v>
      </c>
      <c r="FY102" s="4">
        <f t="shared" si="241"/>
        <v>0.54229816434935307</v>
      </c>
      <c r="FZ102" s="4">
        <f t="shared" si="242"/>
        <v>0.96689024232828535</v>
      </c>
      <c r="GA102" s="4">
        <f t="shared" si="243"/>
        <v>0.44673366834170852</v>
      </c>
      <c r="GB102" s="4">
        <f t="shared" si="244"/>
        <v>0.69548243167875068</v>
      </c>
      <c r="GC102" s="4">
        <f t="shared" si="245"/>
        <v>0.35714285714285715</v>
      </c>
      <c r="GD102" s="4">
        <f t="shared" si="246"/>
        <v>1.001218181818182</v>
      </c>
      <c r="GE102" s="4">
        <f t="shared" si="247"/>
        <v>1.3493506493506495</v>
      </c>
      <c r="GF102" s="4">
        <f t="shared" si="248"/>
        <v>2.1375851870901377</v>
      </c>
      <c r="GG102" s="4">
        <f t="shared" si="249"/>
        <v>0.52721797437410123</v>
      </c>
      <c r="GH102" s="4">
        <f t="shared" si="250"/>
        <v>2.4849755415793147</v>
      </c>
      <c r="GI102" s="4">
        <f t="shared" si="251"/>
        <v>12.915246534878436</v>
      </c>
      <c r="GJ102" s="4">
        <f t="shared" si="252"/>
        <v>64.718792866941016</v>
      </c>
      <c r="GK102" s="4">
        <f t="shared" si="253"/>
        <v>457.33333333333331</v>
      </c>
      <c r="GL102" s="4">
        <f t="shared" si="254"/>
        <v>2.3808349993941595</v>
      </c>
      <c r="GM102" s="4">
        <f t="shared" si="255"/>
        <v>1.3477088948787059</v>
      </c>
      <c r="GN102" s="4">
        <f t="shared" si="256"/>
        <v>2.3034411636995222</v>
      </c>
      <c r="GO102" s="4">
        <f t="shared" si="257"/>
        <v>2.2659673891429706</v>
      </c>
      <c r="GP102" s="4">
        <f t="shared" si="258"/>
        <v>0.55888239875389401</v>
      </c>
      <c r="GQ102" s="27">
        <f t="shared" si="259"/>
        <v>91875.872502868806</v>
      </c>
      <c r="GR102" s="28">
        <f t="shared" si="260"/>
        <v>4.5483105199440006</v>
      </c>
      <c r="GS102" s="28">
        <f t="shared" si="261"/>
        <v>363.86484159552003</v>
      </c>
      <c r="GT102" s="28">
        <f t="shared" si="262"/>
        <v>5400.7938631106472</v>
      </c>
      <c r="GU102" s="28">
        <f t="shared" si="263"/>
        <v>64.975864570628573</v>
      </c>
      <c r="GV102" s="28">
        <f t="shared" si="264"/>
        <v>13.904835018114515</v>
      </c>
      <c r="GW102" s="28">
        <f t="shared" si="265"/>
        <v>91875.872502868806</v>
      </c>
      <c r="GX102" s="28">
        <f t="shared" si="266"/>
        <v>40.804842950354747</v>
      </c>
      <c r="GY102" s="28">
        <f t="shared" si="267"/>
        <v>1021.2906393211399</v>
      </c>
      <c r="GZ102" s="28">
        <f t="shared" si="268"/>
        <v>436.63780991462403</v>
      </c>
      <c r="HA102" s="28">
        <f t="shared" si="269"/>
        <v>626.36733446085952</v>
      </c>
      <c r="HB102" s="28">
        <f t="shared" si="270"/>
        <v>68.874416444866284</v>
      </c>
      <c r="HC102" s="28">
        <f t="shared" si="271"/>
        <v>2410.6045755703203</v>
      </c>
      <c r="HD102" s="28">
        <f t="shared" si="272"/>
        <v>230.01456058002515</v>
      </c>
      <c r="HE102" s="28">
        <f t="shared" si="273"/>
        <v>21.182131850024916</v>
      </c>
      <c r="HF102" s="28">
        <f t="shared" si="274"/>
        <v>8.446862394181716</v>
      </c>
      <c r="HG102" s="28">
        <f t="shared" si="275"/>
        <v>339.04406132953989</v>
      </c>
      <c r="HH102" s="28">
        <f t="shared" si="276"/>
        <v>5.5879243530740572</v>
      </c>
      <c r="HI102" s="28">
        <f t="shared" si="277"/>
        <v>16342.7294568045</v>
      </c>
      <c r="HJ102" s="28">
        <f t="shared" si="278"/>
        <v>14.684545392962058</v>
      </c>
      <c r="HK102" s="28">
        <f t="shared" si="279"/>
        <v>0</v>
      </c>
      <c r="HL102" s="28">
        <f t="shared" si="280"/>
        <v>7.0173933736278862</v>
      </c>
      <c r="HM102" s="28">
        <f t="shared" si="281"/>
        <v>23.651214703708803</v>
      </c>
      <c r="HN102" s="28">
        <f t="shared" si="282"/>
        <v>1.1695655622713141</v>
      </c>
      <c r="HO102" s="28">
        <f t="shared" si="283"/>
        <v>1.8193242079776002</v>
      </c>
      <c r="HP102" s="28">
        <f t="shared" si="284"/>
        <v>0</v>
      </c>
      <c r="HQ102" s="28">
        <f t="shared" si="285"/>
        <v>0.64975864570628572</v>
      </c>
      <c r="HR102" s="28">
        <f t="shared" si="286"/>
        <v>0.25990345828251432</v>
      </c>
      <c r="HT102" s="4">
        <f>IFERROR(GR102/'McDonough &amp; Sun 1995 values'!C$2,)</f>
        <v>216.5862152354286</v>
      </c>
      <c r="HU102" s="4">
        <f>IFERROR(GS102/'McDonough &amp; Sun 1995 values'!D$2,)</f>
        <v>606.44140265920009</v>
      </c>
      <c r="HV102" s="4">
        <f>IFERROR(GT102/'McDonough &amp; Sun 1995 values'!E$2,)</f>
        <v>818.30210047131027</v>
      </c>
      <c r="HW102" s="4">
        <f>IFERROR(GU102/'McDonough &amp; Sun 1995 values'!F$2,)</f>
        <v>817.30647258652289</v>
      </c>
      <c r="HX102" s="4">
        <f>IFERROR(GV102/'McDonough &amp; Sun 1995 values'!G$2,)</f>
        <v>684.967242271651</v>
      </c>
      <c r="HY102" s="4">
        <f>IFERROR(GW102/'McDonough &amp; Sun 1995 values'!H$2,)</f>
        <v>382.81613542862004</v>
      </c>
      <c r="HZ102" s="4">
        <f>IFERROR(GX102/'McDonough &amp; Sun 1995 values'!I$2,)</f>
        <v>1102.833593252831</v>
      </c>
      <c r="IA102" s="4">
        <f>IFERROR(GY102/'McDonough &amp; Sun 1995 values'!J$2,)</f>
        <v>1552.1134336187536</v>
      </c>
      <c r="IB102" s="4">
        <f>IFERROR(GZ102/'McDonough &amp; Sun 1995 values'!K$2,)</f>
        <v>673.82378073244445</v>
      </c>
      <c r="IC102" s="4">
        <f>IFERROR(HA102/'McDonough &amp; Sun 1995 values'!L$2,)</f>
        <v>373.95064743931908</v>
      </c>
      <c r="ID102" s="4">
        <f>IFERROR(HB102/'McDonough &amp; Sun 1995 values'!M$2,)</f>
        <v>271.15911986167828</v>
      </c>
      <c r="IE102" s="4">
        <f>IFERROR(HC102/'McDonough &amp; Sun 1995 values'!N$2,)</f>
        <v>121.13590832011661</v>
      </c>
      <c r="IF102" s="4">
        <f>IFERROR(HD102/'McDonough &amp; Sun 1995 values'!O$2,)</f>
        <v>184.01164846402011</v>
      </c>
      <c r="IG102" s="4">
        <f>IFERROR(HE102/'McDonough &amp; Sun 1995 values'!P$2,)</f>
        <v>52.172738546859399</v>
      </c>
      <c r="IH102" s="4">
        <f>IFERROR(HF102/'McDonough &amp; Sun 1995 values'!Q$2,)</f>
        <v>29.847570297461896</v>
      </c>
      <c r="II102" s="4">
        <f>IFERROR(HG102/'McDonough &amp; Sun 1995 values'!R$2,)</f>
        <v>32.289910602813322</v>
      </c>
      <c r="IJ102" s="4">
        <f>IFERROR(HH102/'McDonough &amp; Sun 1995 values'!S$2,)</f>
        <v>36.285223071909463</v>
      </c>
      <c r="IK102" s="4">
        <f>IFERROR(HI102/'McDonough &amp; Sun 1995 values'!T$2,)</f>
        <v>13.562431084485063</v>
      </c>
      <c r="IL102" s="4">
        <f>IFERROR(HJ102/'McDonough &amp; Sun 1995 values'!U$2,)</f>
        <v>26.993649619415546</v>
      </c>
      <c r="IM102" s="4">
        <f>IFERROR(HK102/'McDonough &amp; Sun 1995 values'!V$2,)</f>
        <v>0</v>
      </c>
      <c r="IN102" s="4">
        <f>IFERROR(HL102/'McDonough &amp; Sun 1995 values'!W$2,)</f>
        <v>10.411562868884104</v>
      </c>
      <c r="IO102" s="4">
        <f>IFERROR(HM102/'McDonough &amp; Sun 1995 values'!X$2,)</f>
        <v>5.5002824892346052</v>
      </c>
      <c r="IP102" s="4">
        <f>IFERROR(HN102/'McDonough &amp; Sun 1995 values'!Y$2,)</f>
        <v>7.8494333038343234</v>
      </c>
      <c r="IQ102" s="4">
        <f>IFERROR(HO102/'McDonough &amp; Sun 1995 values'!Z$2,)</f>
        <v>4.1537082373917809</v>
      </c>
      <c r="IR102" s="4">
        <f>IFERROR(HP102/'McDonough &amp; Sun 1995 values'!AA$2,)</f>
        <v>0</v>
      </c>
      <c r="IS102" s="4">
        <f>IFERROR(HQ102/'McDonough &amp; Sun 1995 values'!AB$2,)</f>
        <v>1.4733756138464529</v>
      </c>
      <c r="IT102" s="4">
        <f>IFERROR(HR102/'McDonough &amp; Sun 1995 values'!AC$2,)</f>
        <v>3.8504216041853971</v>
      </c>
    </row>
    <row r="103" spans="1:254">
      <c r="A103" s="16" t="s">
        <v>672</v>
      </c>
      <c r="B103" s="16" t="s">
        <v>24</v>
      </c>
      <c r="C103" s="16" t="str">
        <f t="shared" si="144"/>
        <v>low-Mg carbonatitic</v>
      </c>
      <c r="D103" s="16" t="s">
        <v>1723</v>
      </c>
      <c r="E103" s="16" t="s">
        <v>237</v>
      </c>
      <c r="F103" s="16" t="s">
        <v>29</v>
      </c>
      <c r="G103" s="16" t="s">
        <v>595</v>
      </c>
      <c r="H103" s="27">
        <v>360</v>
      </c>
      <c r="I103" s="16" t="s">
        <v>735</v>
      </c>
      <c r="J103" s="16" t="s">
        <v>1496</v>
      </c>
      <c r="K103" s="16">
        <v>0</v>
      </c>
      <c r="L103" s="16">
        <v>0</v>
      </c>
      <c r="M103" s="16" t="s">
        <v>92</v>
      </c>
      <c r="N103" s="16">
        <v>43</v>
      </c>
      <c r="O103" s="26">
        <v>8.26</v>
      </c>
      <c r="P103" s="26">
        <v>2.02</v>
      </c>
      <c r="Q103" s="26">
        <v>0.34</v>
      </c>
      <c r="R103" s="26">
        <v>3.89</v>
      </c>
      <c r="S103" s="26">
        <v>34.72</v>
      </c>
      <c r="T103" s="26">
        <v>10.89</v>
      </c>
      <c r="U103" s="26">
        <v>1.1599999999999999</v>
      </c>
      <c r="V103" s="26">
        <v>15.18</v>
      </c>
      <c r="W103" s="26">
        <v>2.99</v>
      </c>
      <c r="X103" s="26">
        <v>9.86</v>
      </c>
      <c r="Y103" s="26"/>
      <c r="Z103" s="26">
        <v>2.23</v>
      </c>
      <c r="AA103" s="26"/>
      <c r="AB103" s="26"/>
      <c r="AC103" s="26"/>
      <c r="AD103" s="26">
        <v>3.87</v>
      </c>
      <c r="AE103" s="26"/>
      <c r="AF103" s="26">
        <v>4.5999999999999996</v>
      </c>
      <c r="AG103" s="26"/>
      <c r="AH103" s="26"/>
      <c r="AI103" s="26"/>
      <c r="AJ103" s="26">
        <f t="shared" si="145"/>
        <v>93.910000000000011</v>
      </c>
      <c r="AK103" s="26">
        <f t="shared" si="217"/>
        <v>8.8782209539015717</v>
      </c>
      <c r="AL103" s="26">
        <f t="shared" si="218"/>
        <v>2.1711872066442104</v>
      </c>
      <c r="AM103" s="26">
        <f t="shared" si="219"/>
        <v>4.1811476405178114</v>
      </c>
      <c r="AN103" s="26">
        <f t="shared" si="220"/>
        <v>37.318623670637116</v>
      </c>
      <c r="AO103" s="26">
        <f t="shared" si="221"/>
        <v>11.705063703146264</v>
      </c>
      <c r="AP103" s="26">
        <f t="shared" si="222"/>
        <v>16.316149404385698</v>
      </c>
      <c r="AQ103" s="26">
        <f t="shared" si="223"/>
        <v>0</v>
      </c>
      <c r="AR103" s="26">
        <f t="shared" si="224"/>
        <v>3.2137870038941529</v>
      </c>
      <c r="AS103" s="26">
        <f t="shared" si="225"/>
        <v>10.597973196788075</v>
      </c>
      <c r="AT103" s="26">
        <f t="shared" si="226"/>
        <v>2.396904688523064</v>
      </c>
      <c r="AU103" s="26">
        <f t="shared" si="227"/>
        <v>4.15965073748173</v>
      </c>
      <c r="AV103" s="26">
        <f t="shared" si="146"/>
        <v>100.9387082059197</v>
      </c>
      <c r="AW103" s="16"/>
      <c r="AX103" s="16"/>
      <c r="AY103" s="16"/>
      <c r="AZ103" s="16"/>
      <c r="BA103" s="26"/>
      <c r="BB103" s="26">
        <v>0.02</v>
      </c>
      <c r="BC103" s="26">
        <f t="shared" si="229"/>
        <v>2.0000000000000018E-2</v>
      </c>
      <c r="BD103" s="26">
        <f t="shared" si="230"/>
        <v>0.98</v>
      </c>
      <c r="BE103" s="16"/>
      <c r="BF103" s="16"/>
      <c r="BG103" s="16">
        <v>614</v>
      </c>
      <c r="BH103" s="16">
        <v>19</v>
      </c>
      <c r="BI103" s="16"/>
      <c r="BJ103" s="16">
        <v>0</v>
      </c>
      <c r="BK103" s="18"/>
      <c r="BL103" s="18"/>
      <c r="BM103" s="18"/>
      <c r="BN103" s="18">
        <v>128</v>
      </c>
      <c r="BO103" s="18">
        <v>209</v>
      </c>
      <c r="BP103" s="18">
        <v>30</v>
      </c>
      <c r="BQ103" s="18"/>
      <c r="BR103" s="18">
        <v>455</v>
      </c>
      <c r="BS103" s="18">
        <v>481</v>
      </c>
      <c r="BT103" s="18">
        <v>45.26</v>
      </c>
      <c r="BU103" s="18"/>
      <c r="BV103" s="18">
        <v>4.79</v>
      </c>
      <c r="BW103" s="18">
        <v>344</v>
      </c>
      <c r="BX103" s="18">
        <v>0.753</v>
      </c>
      <c r="BY103" s="18">
        <v>1.1499999999999999</v>
      </c>
      <c r="BZ103" s="18"/>
      <c r="CA103" s="18">
        <v>0.21199999999999999</v>
      </c>
      <c r="CB103" s="18">
        <v>9.8000000000000004E-2</v>
      </c>
      <c r="CC103" s="18"/>
      <c r="CD103" s="18"/>
      <c r="CE103" s="18"/>
      <c r="CF103" s="18"/>
      <c r="CG103" s="18"/>
      <c r="CH103" s="18">
        <v>1.48</v>
      </c>
      <c r="CI103" s="18">
        <v>15.64</v>
      </c>
      <c r="CJ103" s="18">
        <v>0.126</v>
      </c>
      <c r="CK103" s="18">
        <v>1.004</v>
      </c>
      <c r="CL103" s="18"/>
      <c r="CM103" s="18">
        <v>2.1890000000000001</v>
      </c>
      <c r="CN103" s="18"/>
      <c r="CO103" s="18"/>
      <c r="CP103" s="18"/>
      <c r="CQ103" s="18"/>
      <c r="CR103" s="18">
        <v>2.8000000000000001E-2</v>
      </c>
      <c r="CS103" s="18">
        <v>33.46</v>
      </c>
      <c r="CT103" s="18">
        <v>0.32600000000000001</v>
      </c>
      <c r="CU103" s="18">
        <v>2.2210000000000001</v>
      </c>
      <c r="CV103" s="18">
        <v>3.29</v>
      </c>
      <c r="CW103" s="18">
        <v>0.37</v>
      </c>
      <c r="CX103" s="18">
        <v>1.26</v>
      </c>
      <c r="CY103" s="18">
        <v>0.127</v>
      </c>
      <c r="CZ103" s="18">
        <v>3.3000000000000002E-2</v>
      </c>
      <c r="DA103" s="18">
        <v>6.9000000000000006E-2</v>
      </c>
      <c r="DB103" s="18">
        <v>3.1E-2</v>
      </c>
      <c r="DC103" s="18">
        <v>6.0000000000000001E-3</v>
      </c>
      <c r="DD103" s="18">
        <v>8.9999999999999993E-3</v>
      </c>
      <c r="DE103" s="18"/>
      <c r="DF103" s="18">
        <v>4.0000000000000001E-3</v>
      </c>
      <c r="DG103" s="18">
        <v>1E-3</v>
      </c>
      <c r="DH103" s="18">
        <v>2.4E-2</v>
      </c>
      <c r="DI103" s="18">
        <v>6.4000000000000001E-2</v>
      </c>
      <c r="DJ103" s="18"/>
      <c r="DK103" s="18">
        <v>0.27700000000000002</v>
      </c>
      <c r="DL103" s="18">
        <v>0.222</v>
      </c>
      <c r="DM103" s="18">
        <v>4.4999999999999998E-2</v>
      </c>
      <c r="DN103" s="18"/>
      <c r="DO103" s="18"/>
      <c r="DP103" s="18"/>
      <c r="DQ103" s="18"/>
      <c r="DR103" s="18"/>
      <c r="DS103" s="18"/>
      <c r="DT103" s="18"/>
      <c r="DU103" s="18"/>
      <c r="DV103" s="28"/>
      <c r="DW103" s="28"/>
      <c r="DX103" s="28"/>
      <c r="DY103" s="28"/>
      <c r="DZ103" s="28"/>
      <c r="EA103" s="28"/>
      <c r="EB103" s="28"/>
      <c r="EC103" s="28"/>
      <c r="ED103" s="28"/>
      <c r="EE103" s="28"/>
      <c r="EF103" s="28"/>
      <c r="EG103" s="28"/>
      <c r="EH103" s="28"/>
      <c r="EI103" s="28"/>
      <c r="EJ103" s="18"/>
      <c r="EK103" s="18"/>
      <c r="EL103" s="18">
        <f>IFERROR(CR103/'McDonough &amp; Sun 1995 values'!C$2,)</f>
        <v>1.3333333333333333</v>
      </c>
      <c r="EM103" s="18">
        <f>IFERROR(CH103/'McDonough &amp; Sun 1995 values'!D$2,)</f>
        <v>2.4666666666666668</v>
      </c>
      <c r="EN103" s="18">
        <f>IFERROR(CS103/'McDonough &amp; Sun 1995 values'!E$2,)</f>
        <v>5.0696969696969703</v>
      </c>
      <c r="EO103" s="18">
        <f>IFERROR(DL103/'McDonough &amp; Sun 1995 values'!F$2,)</f>
        <v>2.7924528301886791</v>
      </c>
      <c r="EP103" s="18">
        <f>IFERROR(DM103/'McDonough &amp; Sun 1995 values'!G$2,)</f>
        <v>2.2167487684729066</v>
      </c>
      <c r="EQ103" s="18">
        <f>IFERROR(BR103/'McDonough &amp; Sun 1995 values'!H$2,)</f>
        <v>1.8958333333333333</v>
      </c>
      <c r="ER103" s="18">
        <f>IFERROR(DI103/'McDonough &amp; Sun 1995 values'!I$2,)</f>
        <v>1.7297297297297298</v>
      </c>
      <c r="ES103" s="18">
        <f>IFERROR(CM103/'McDonough &amp; Sun 1995 values'!J$2,)</f>
        <v>3.3267477203647418</v>
      </c>
      <c r="ET103" s="18">
        <f>IFERROR(CU103/'McDonough &amp; Sun 1995 values'!K$2,)</f>
        <v>3.4274691358024691</v>
      </c>
      <c r="EU103" s="18">
        <f>IFERROR(CV103/'McDonough &amp; Sun 1995 values'!L$2,)</f>
        <v>1.964179104477612</v>
      </c>
      <c r="EV103" s="18">
        <f>IFERROR(CW103/'McDonough &amp; Sun 1995 values'!M$2,)</f>
        <v>1.4566929133858266</v>
      </c>
      <c r="EW103" s="18">
        <f>IFERROR(CI103/'McDonough &amp; Sun 1995 values'!N$2,)</f>
        <v>0.78592964824120615</v>
      </c>
      <c r="EX103" s="18">
        <f>IFERROR(CX103/'McDonough &amp; Sun 1995 values'!O$2,)</f>
        <v>1.008</v>
      </c>
      <c r="EY103" s="18">
        <f>IFERROR(CY103/'McDonough &amp; Sun 1995 values'!P$2,)</f>
        <v>0.31280788177339902</v>
      </c>
      <c r="EZ103" s="18">
        <f>IFERROR(DH103/'McDonough &amp; Sun 1995 values'!Q$2,)</f>
        <v>8.4805653710247356E-2</v>
      </c>
      <c r="FA103" s="18">
        <f>IFERROR(CK103/'McDonough &amp; Sun 1995 values'!R$2,)</f>
        <v>9.5619047619047617E-2</v>
      </c>
      <c r="FB103" s="18">
        <f>IFERROR(CZ103/'McDonough &amp; Sun 1995 values'!S$2,)</f>
        <v>0.2142857142857143</v>
      </c>
      <c r="FC103" s="18">
        <f>IFERROR(BT103/'McDonough &amp; Sun 1995 values'!T$2,)</f>
        <v>3.7560165975103733E-2</v>
      </c>
      <c r="FD103" s="18">
        <f>IFERROR(DA103/'McDonough &amp; Sun 1995 values'!U$2,)</f>
        <v>0.12683823529411764</v>
      </c>
      <c r="FE103" s="18">
        <f>IFERROR(DN103/'McDonough &amp; Sun 1995 values'!V$2,)</f>
        <v>0</v>
      </c>
      <c r="FF103" s="18">
        <f>IFERROR(DB103/'McDonough &amp; Sun 1995 values'!W$2,)</f>
        <v>4.5994065281899109E-2</v>
      </c>
      <c r="FG103" s="18">
        <f>IFERROR(CJ103/'McDonough &amp; Sun 1995 values'!X$2,)</f>
        <v>2.9302325581395349E-2</v>
      </c>
      <c r="FH103" s="18">
        <f>IFERROR(DC103/'McDonough &amp; Sun 1995 values'!Y$2,)</f>
        <v>4.0268456375838931E-2</v>
      </c>
      <c r="FI103" s="18">
        <f>IFERROR(DD103/'McDonough &amp; Sun 1995 values'!Z$2,)</f>
        <v>2.0547945205479451E-2</v>
      </c>
      <c r="FJ103" s="18">
        <f>IFERROR(DE103/'McDonough &amp; Sun 1995 values'!AA$2,)</f>
        <v>0</v>
      </c>
      <c r="FK103" s="18">
        <f>IFERROR(DF103/'McDonough &amp; Sun 1995 values'!AB$2,)</f>
        <v>9.0702947845804991E-3</v>
      </c>
      <c r="FL103" s="18">
        <f>IFERROR(DG103/'McDonough &amp; Sun 1995 values'!AC$2,)</f>
        <v>1.4814814814814814E-2</v>
      </c>
      <c r="FN103" s="28">
        <f t="shared" si="228"/>
        <v>1.1692740756780167</v>
      </c>
      <c r="FO103" s="4">
        <f t="shared" si="231"/>
        <v>2.2869966329966331</v>
      </c>
      <c r="FP103" s="4">
        <f t="shared" si="232"/>
        <v>0.83939422670815478</v>
      </c>
      <c r="FQ103" s="4">
        <f t="shared" si="233"/>
        <v>1.2597064989517819</v>
      </c>
      <c r="FR103" s="4">
        <f t="shared" si="234"/>
        <v>1.0302762409127568</v>
      </c>
      <c r="FS103" s="4">
        <f t="shared" si="235"/>
        <v>1.9815055941358024</v>
      </c>
      <c r="FT103" s="4">
        <f t="shared" si="236"/>
        <v>1.85</v>
      </c>
      <c r="FU103" s="4">
        <f t="shared" si="237"/>
        <v>0.51994616818737427</v>
      </c>
      <c r="FV103" s="4">
        <f t="shared" si="238"/>
        <v>0.30567979002624673</v>
      </c>
      <c r="FW103" s="4">
        <f t="shared" si="239"/>
        <v>1.1275079365079363</v>
      </c>
      <c r="FX103" s="4">
        <f t="shared" si="240"/>
        <v>0.97480999361496168</v>
      </c>
      <c r="FY103" s="4">
        <f t="shared" si="241"/>
        <v>0.64858873674446027</v>
      </c>
      <c r="FZ103" s="4">
        <f t="shared" si="242"/>
        <v>1.0757944014403003</v>
      </c>
      <c r="GA103" s="4">
        <f t="shared" si="243"/>
        <v>0.53953008284666593</v>
      </c>
      <c r="GB103" s="4">
        <f t="shared" si="244"/>
        <v>0.68503937007874016</v>
      </c>
      <c r="GC103" s="4">
        <f t="shared" si="245"/>
        <v>0.54054054054054046</v>
      </c>
      <c r="GD103" s="4">
        <f t="shared" si="246"/>
        <v>1.8154995904995908</v>
      </c>
      <c r="GE103" s="4">
        <f t="shared" si="247"/>
        <v>2.0552825552825555</v>
      </c>
      <c r="GF103" s="4">
        <f t="shared" si="248"/>
        <v>2.6741258741258744</v>
      </c>
      <c r="GG103" s="4">
        <f t="shared" si="249"/>
        <v>1.5239198748563756</v>
      </c>
      <c r="GH103" s="4">
        <f t="shared" si="250"/>
        <v>2.3529112445779115</v>
      </c>
      <c r="GI103" s="4">
        <f t="shared" si="251"/>
        <v>10.957106056187421</v>
      </c>
      <c r="GJ103" s="4">
        <f t="shared" si="252"/>
        <v>74.51981282357626</v>
      </c>
      <c r="GK103" s="4">
        <f t="shared" si="253"/>
        <v>377.87847222222223</v>
      </c>
      <c r="GL103" s="4">
        <f t="shared" si="254"/>
        <v>2.5457567914483512</v>
      </c>
      <c r="GM103" s="4">
        <f t="shared" si="255"/>
        <v>1.1320754716981132</v>
      </c>
      <c r="GN103" s="4">
        <f t="shared" si="256"/>
        <v>0.97061347266832632</v>
      </c>
      <c r="GO103" s="4">
        <f t="shared" si="257"/>
        <v>1.5007328605200945</v>
      </c>
      <c r="GP103" s="4">
        <f t="shared" si="258"/>
        <v>0.85523148148148143</v>
      </c>
      <c r="GQ103" s="27">
        <f t="shared" si="259"/>
        <v>87977.729049725851</v>
      </c>
      <c r="GR103" s="28">
        <f t="shared" si="260"/>
        <v>5.4140140953677447</v>
      </c>
      <c r="GS103" s="28">
        <f t="shared" si="261"/>
        <v>286.16931646943794</v>
      </c>
      <c r="GT103" s="28">
        <f t="shared" si="262"/>
        <v>6469.7468439644545</v>
      </c>
      <c r="GU103" s="28">
        <f t="shared" si="263"/>
        <v>42.925397470415696</v>
      </c>
      <c r="GV103" s="28">
        <f t="shared" si="264"/>
        <v>8.701094081841017</v>
      </c>
      <c r="GW103" s="28">
        <f t="shared" si="265"/>
        <v>87977.729049725851</v>
      </c>
      <c r="GX103" s="28">
        <f t="shared" si="266"/>
        <v>12.374889360840561</v>
      </c>
      <c r="GY103" s="28">
        <f t="shared" si="267"/>
        <v>423.25988766999973</v>
      </c>
      <c r="GZ103" s="28">
        <f t="shared" si="268"/>
        <v>429.44733235042003</v>
      </c>
      <c r="HA103" s="28">
        <f t="shared" si="269"/>
        <v>636.14665620570997</v>
      </c>
      <c r="HB103" s="28">
        <f t="shared" si="270"/>
        <v>71.542329117359486</v>
      </c>
      <c r="HC103" s="28">
        <f t="shared" si="271"/>
        <v>3024.1135875554119</v>
      </c>
      <c r="HD103" s="28">
        <f t="shared" si="272"/>
        <v>243.63063429154849</v>
      </c>
      <c r="HE103" s="28">
        <f t="shared" si="273"/>
        <v>24.556421075417983</v>
      </c>
      <c r="HF103" s="28">
        <f t="shared" si="274"/>
        <v>4.64058351031521</v>
      </c>
      <c r="HG103" s="28">
        <f t="shared" si="275"/>
        <v>194.13107684818627</v>
      </c>
      <c r="HH103" s="28">
        <f t="shared" si="276"/>
        <v>6.3808023266834137</v>
      </c>
      <c r="HI103" s="28">
        <f t="shared" si="277"/>
        <v>8751.3670698694332</v>
      </c>
      <c r="HJ103" s="28">
        <f t="shared" si="278"/>
        <v>13.341677592156229</v>
      </c>
      <c r="HK103" s="28">
        <f t="shared" si="279"/>
        <v>0</v>
      </c>
      <c r="HL103" s="28">
        <f t="shared" si="280"/>
        <v>5.9940870341571451</v>
      </c>
      <c r="HM103" s="28">
        <f t="shared" si="281"/>
        <v>24.363063429154852</v>
      </c>
      <c r="HN103" s="28">
        <f t="shared" si="282"/>
        <v>1.1601458775788025</v>
      </c>
      <c r="HO103" s="28">
        <f t="shared" si="283"/>
        <v>1.7402188163682033</v>
      </c>
      <c r="HP103" s="28">
        <f t="shared" si="284"/>
        <v>0</v>
      </c>
      <c r="HQ103" s="28">
        <f t="shared" si="285"/>
        <v>0.77343058505253504</v>
      </c>
      <c r="HR103" s="28">
        <f t="shared" si="286"/>
        <v>0.19335764626313376</v>
      </c>
      <c r="HT103" s="4">
        <f>IFERROR(GR103/'McDonough &amp; Sun 1995 values'!C$2,)</f>
        <v>257.81019501751166</v>
      </c>
      <c r="HU103" s="4">
        <f>IFERROR(GS103/'McDonough &amp; Sun 1995 values'!D$2,)</f>
        <v>476.94886078239659</v>
      </c>
      <c r="HV103" s="4">
        <f>IFERROR(GT103/'McDonough &amp; Sun 1995 values'!E$2,)</f>
        <v>980.26467332794766</v>
      </c>
      <c r="HW103" s="4">
        <f>IFERROR(GU103/'McDonough &amp; Sun 1995 values'!F$2,)</f>
        <v>539.94210654610936</v>
      </c>
      <c r="HX103" s="4">
        <f>IFERROR(GV103/'McDonough &amp; Sun 1995 values'!G$2,)</f>
        <v>428.62532422862154</v>
      </c>
      <c r="HY103" s="4">
        <f>IFERROR(GW103/'McDonough &amp; Sun 1995 values'!H$2,)</f>
        <v>366.57387104052435</v>
      </c>
      <c r="HZ103" s="4">
        <f>IFERROR(GX103/'McDonough &amp; Sun 1995 values'!I$2,)</f>
        <v>334.45646921190706</v>
      </c>
      <c r="IA103" s="4">
        <f>IFERROR(GY103/'McDonough &amp; Sun 1995 values'!J$2,)</f>
        <v>643.2521089209722</v>
      </c>
      <c r="IB103" s="4">
        <f>IFERROR(GZ103/'McDonough &amp; Sun 1995 values'!K$2,)</f>
        <v>662.72736473830253</v>
      </c>
      <c r="IC103" s="4">
        <f>IFERROR(HA103/'McDonough &amp; Sun 1995 values'!L$2,)</f>
        <v>379.78904848102087</v>
      </c>
      <c r="ID103" s="4">
        <f>IFERROR(HB103/'McDonough &amp; Sun 1995 values'!M$2,)</f>
        <v>281.66271306047042</v>
      </c>
      <c r="IE103" s="4">
        <f>IFERROR(HC103/'McDonough &amp; Sun 1995 values'!N$2,)</f>
        <v>151.96550691233227</v>
      </c>
      <c r="IF103" s="4">
        <f>IFERROR(HD103/'McDonough &amp; Sun 1995 values'!O$2,)</f>
        <v>194.90450743323879</v>
      </c>
      <c r="IG103" s="4">
        <f>IFERROR(HE103/'McDonough &amp; Sun 1995 values'!P$2,)</f>
        <v>60.483795752261038</v>
      </c>
      <c r="IH103" s="4">
        <f>IFERROR(HF103/'McDonough &amp; Sun 1995 values'!Q$2,)</f>
        <v>16.397821591219824</v>
      </c>
      <c r="II103" s="4">
        <f>IFERROR(HG103/'McDonough &amp; Sun 1995 values'!R$2,)</f>
        <v>18.488673985541549</v>
      </c>
      <c r="IJ103" s="4">
        <f>IFERROR(HH103/'McDonough &amp; Sun 1995 values'!S$2,)</f>
        <v>41.43378134210009</v>
      </c>
      <c r="IK103" s="4">
        <f>IFERROR(HI103/'McDonough &amp; Sun 1995 values'!T$2,)</f>
        <v>7.2625452861986997</v>
      </c>
      <c r="IL103" s="4">
        <f>IFERROR(HJ103/'McDonough &amp; Sun 1995 values'!U$2,)</f>
        <v>24.525142632640126</v>
      </c>
      <c r="IM103" s="4">
        <f>IFERROR(HK103/'McDonough &amp; Sun 1995 values'!V$2,)</f>
        <v>0</v>
      </c>
      <c r="IN103" s="4">
        <f>IFERROR(HL103/'McDonough &amp; Sun 1995 values'!W$2,)</f>
        <v>8.893304204980927</v>
      </c>
      <c r="IO103" s="4">
        <f>IFERROR(HM103/'McDonough &amp; Sun 1995 values'!X$2,)</f>
        <v>5.6658287044546167</v>
      </c>
      <c r="IP103" s="4">
        <f>IFERROR(HN103/'McDonough &amp; Sun 1995 values'!Y$2,)</f>
        <v>7.7862139434818962</v>
      </c>
      <c r="IQ103" s="4">
        <f>IFERROR(HO103/'McDonough &amp; Sun 1995 values'!Z$2,)</f>
        <v>3.9731023204753502</v>
      </c>
      <c r="IR103" s="4">
        <f>IFERROR(HP103/'McDonough &amp; Sun 1995 values'!AA$2,)</f>
        <v>0</v>
      </c>
      <c r="IS103" s="4">
        <f>IFERROR(HQ103/'McDonough &amp; Sun 1995 values'!AB$2,)</f>
        <v>1.7538108504592631</v>
      </c>
      <c r="IT103" s="4">
        <f>IFERROR(HR103/'McDonough &amp; Sun 1995 values'!AC$2,)</f>
        <v>2.8645577224167962</v>
      </c>
    </row>
    <row r="104" spans="1:254">
      <c r="A104" s="16" t="s">
        <v>1181</v>
      </c>
      <c r="B104" s="16" t="s">
        <v>24</v>
      </c>
      <c r="C104" s="16" t="str">
        <f t="shared" si="144"/>
        <v>low-Mg carbonatitic</v>
      </c>
      <c r="D104" s="16" t="s">
        <v>831</v>
      </c>
      <c r="E104" s="16" t="s">
        <v>801</v>
      </c>
      <c r="F104" s="16" t="s">
        <v>800</v>
      </c>
      <c r="G104" s="16" t="s">
        <v>829</v>
      </c>
      <c r="H104" s="27">
        <v>0</v>
      </c>
      <c r="I104" s="16" t="s">
        <v>712</v>
      </c>
      <c r="J104" s="16" t="s">
        <v>635</v>
      </c>
      <c r="K104" s="16" t="s">
        <v>1169</v>
      </c>
      <c r="L104" s="16" t="s">
        <v>773</v>
      </c>
      <c r="M104" s="16" t="s">
        <v>787</v>
      </c>
      <c r="N104" s="16">
        <v>37</v>
      </c>
      <c r="O104" s="26">
        <v>19.268383356512516</v>
      </c>
      <c r="P104" s="26">
        <v>1.3503529443130378</v>
      </c>
      <c r="Q104" s="26"/>
      <c r="R104" s="26">
        <v>2.5967771554462411</v>
      </c>
      <c r="S104" s="26">
        <v>13.091710724972307</v>
      </c>
      <c r="T104" s="26">
        <v>7.97430436023454</v>
      </c>
      <c r="U104" s="26"/>
      <c r="V104" s="26">
        <v>26.177349805338245</v>
      </c>
      <c r="W104" s="26">
        <v>6.0768386372281427</v>
      </c>
      <c r="X104" s="26">
        <v>12.284206152270821</v>
      </c>
      <c r="Y104" s="26"/>
      <c r="Z104" s="26">
        <v>5.7746866155697081</v>
      </c>
      <c r="AA104" s="26"/>
      <c r="AB104" s="26">
        <v>3.7096600686026719</v>
      </c>
      <c r="AC104" s="26"/>
      <c r="AD104" s="26">
        <v>2.1890335044606433</v>
      </c>
      <c r="AE104" s="26"/>
      <c r="AF104" s="26"/>
      <c r="AG104" s="26"/>
      <c r="AH104" s="26"/>
      <c r="AI104" s="26">
        <v>3.8</v>
      </c>
      <c r="AJ104" s="26">
        <f t="shared" si="145"/>
        <v>100.49330332494887</v>
      </c>
      <c r="AK104" s="26">
        <f t="shared" si="217"/>
        <v>19.268517421727058</v>
      </c>
      <c r="AL104" s="26">
        <f t="shared" si="218"/>
        <v>1.3503623397747033</v>
      </c>
      <c r="AM104" s="26">
        <f t="shared" si="219"/>
        <v>2.5967952232560836</v>
      </c>
      <c r="AN104" s="26">
        <f t="shared" si="220"/>
        <v>13.091801814244022</v>
      </c>
      <c r="AO104" s="26">
        <f t="shared" si="221"/>
        <v>7.9743598437073935</v>
      </c>
      <c r="AP104" s="26">
        <f t="shared" si="222"/>
        <v>26.177531941636495</v>
      </c>
      <c r="AQ104" s="26">
        <f t="shared" si="223"/>
        <v>3.709685879609427</v>
      </c>
      <c r="AR104" s="26">
        <f t="shared" si="224"/>
        <v>6.0768809185477819</v>
      </c>
      <c r="AS104" s="26">
        <f t="shared" si="225"/>
        <v>12.2842916231016</v>
      </c>
      <c r="AT104" s="26">
        <f t="shared" si="226"/>
        <v>5.7747267945813929</v>
      </c>
      <c r="AU104" s="26">
        <f t="shared" si="227"/>
        <v>2.1890487352789734</v>
      </c>
      <c r="AV104" s="26">
        <f t="shared" si="146"/>
        <v>100.49400253546493</v>
      </c>
      <c r="AW104" s="26">
        <v>17</v>
      </c>
      <c r="AX104" s="26">
        <v>16.2</v>
      </c>
      <c r="AY104" s="94"/>
      <c r="AZ104" s="94"/>
      <c r="BA104" s="26">
        <v>0.3</v>
      </c>
      <c r="BB104" s="26">
        <v>0</v>
      </c>
      <c r="BC104" s="26">
        <f>(AX104/18.02)/((AX104/18.02)+(AW104/44.01))</f>
        <v>0.69946100370645792</v>
      </c>
      <c r="BD104" s="26">
        <f>(AW104/44.01)/((AX104/18.02)+(AW104/44.01))</f>
        <v>0.30053899629354203</v>
      </c>
      <c r="BE104" s="16"/>
      <c r="BF104" s="16"/>
      <c r="BG104" s="16"/>
      <c r="BH104" s="16"/>
      <c r="BI104" s="16"/>
      <c r="BJ104" s="16">
        <v>0</v>
      </c>
      <c r="BK104" s="18"/>
      <c r="BL104" s="18"/>
      <c r="BM104" s="18"/>
      <c r="BN104" s="18"/>
      <c r="BO104" s="18"/>
      <c r="BP104" s="18"/>
      <c r="BQ104" s="18"/>
      <c r="BR104" s="18">
        <v>135</v>
      </c>
      <c r="BS104" s="18"/>
      <c r="BT104" s="18">
        <v>55</v>
      </c>
      <c r="BU104" s="18">
        <v>0</v>
      </c>
      <c r="BV104" s="18">
        <v>0</v>
      </c>
      <c r="BW104" s="18"/>
      <c r="BX104" s="18"/>
      <c r="BY104" s="18"/>
      <c r="BZ104" s="18"/>
      <c r="CA104" s="18"/>
      <c r="CB104" s="18"/>
      <c r="CC104" s="18"/>
      <c r="CD104" s="18"/>
      <c r="CE104" s="18"/>
      <c r="CF104" s="18"/>
      <c r="CG104" s="18"/>
      <c r="CH104" s="18">
        <v>0.48</v>
      </c>
      <c r="CI104" s="18">
        <v>5.4</v>
      </c>
      <c r="CJ104" s="18">
        <v>0.21</v>
      </c>
      <c r="CK104" s="18">
        <v>1.4</v>
      </c>
      <c r="CL104" s="18">
        <v>0</v>
      </c>
      <c r="CM104" s="18">
        <v>0.13</v>
      </c>
      <c r="CN104" s="18">
        <v>0</v>
      </c>
      <c r="CO104" s="18">
        <v>0</v>
      </c>
      <c r="CP104" s="18">
        <v>0</v>
      </c>
      <c r="CQ104" s="18">
        <v>0</v>
      </c>
      <c r="CR104" s="18">
        <v>0.01</v>
      </c>
      <c r="CS104" s="18">
        <v>20</v>
      </c>
      <c r="CT104" s="18">
        <v>0</v>
      </c>
      <c r="CU104" s="18">
        <v>1.7</v>
      </c>
      <c r="CV104" s="18">
        <v>2.4</v>
      </c>
      <c r="CW104" s="18">
        <v>0.28999999999999998</v>
      </c>
      <c r="CX104" s="18">
        <v>1.3</v>
      </c>
      <c r="CY104" s="18">
        <v>0.2</v>
      </c>
      <c r="CZ104" s="18">
        <v>0.05</v>
      </c>
      <c r="DA104" s="18">
        <v>0.14000000000000001</v>
      </c>
      <c r="DB104" s="18">
        <v>6.0999999999999999E-2</v>
      </c>
      <c r="DC104" s="18">
        <v>0.01</v>
      </c>
      <c r="DD104" s="18">
        <v>2.3E-2</v>
      </c>
      <c r="DE104" s="18"/>
      <c r="DF104" s="18">
        <v>1.0999999999999999E-2</v>
      </c>
      <c r="DG104" s="18">
        <v>2E-3</v>
      </c>
      <c r="DH104" s="18">
        <v>3.6999999999999998E-2</v>
      </c>
      <c r="DI104" s="18">
        <v>8.0000000000000002E-3</v>
      </c>
      <c r="DJ104" s="18"/>
      <c r="DK104" s="18"/>
      <c r="DL104" s="18">
        <v>0.28000000000000003</v>
      </c>
      <c r="DM104" s="18">
        <v>4.2000000000000003E-2</v>
      </c>
      <c r="DN104" s="18"/>
      <c r="DO104" s="18"/>
      <c r="DP104" s="18"/>
      <c r="DQ104" s="18"/>
      <c r="DR104" s="18"/>
      <c r="DS104" s="18"/>
      <c r="DT104" s="18"/>
      <c r="DU104" s="18"/>
      <c r="DV104" s="28"/>
      <c r="DW104" s="28"/>
      <c r="DX104" s="28"/>
      <c r="DY104" s="28"/>
      <c r="DZ104" s="28"/>
      <c r="EA104" s="28"/>
      <c r="EB104" s="28"/>
      <c r="EC104" s="28"/>
      <c r="ED104" s="28"/>
      <c r="EE104" s="28"/>
      <c r="EF104" s="28"/>
      <c r="EG104" s="28"/>
      <c r="EH104" s="28"/>
      <c r="EI104" s="28"/>
      <c r="EJ104" s="18"/>
      <c r="EK104" s="18"/>
      <c r="EL104" s="18">
        <f>IFERROR(CR104/'McDonough &amp; Sun 1995 values'!C$2,)</f>
        <v>0.47619047619047616</v>
      </c>
      <c r="EM104" s="18">
        <f>IFERROR(CH104/'McDonough &amp; Sun 1995 values'!D$2,)</f>
        <v>0.8</v>
      </c>
      <c r="EN104" s="18">
        <f>IFERROR(CS104/'McDonough &amp; Sun 1995 values'!E$2,)</f>
        <v>3.0303030303030303</v>
      </c>
      <c r="EO104" s="18">
        <f>IFERROR(DL104/'McDonough &amp; Sun 1995 values'!F$2,)</f>
        <v>3.5220125786163523</v>
      </c>
      <c r="EP104" s="18">
        <f>IFERROR(DM104/'McDonough &amp; Sun 1995 values'!G$2,)</f>
        <v>2.0689655172413794</v>
      </c>
      <c r="EQ104" s="18">
        <f>IFERROR(BR104/'McDonough &amp; Sun 1995 values'!H$2,)</f>
        <v>0.5625</v>
      </c>
      <c r="ER104" s="18">
        <f>IFERROR(DI104/'McDonough &amp; Sun 1995 values'!I$2,)</f>
        <v>0.21621621621621623</v>
      </c>
      <c r="ES104" s="18">
        <f>IFERROR(CM104/'McDonough &amp; Sun 1995 values'!J$2,)</f>
        <v>0.19756838905775076</v>
      </c>
      <c r="ET104" s="18">
        <f>IFERROR(CU104/'McDonough &amp; Sun 1995 values'!K$2,)</f>
        <v>2.6234567901234565</v>
      </c>
      <c r="EU104" s="18">
        <f>IFERROR(CV104/'McDonough &amp; Sun 1995 values'!L$2,)</f>
        <v>1.4328358208955223</v>
      </c>
      <c r="EV104" s="18">
        <f>IFERROR(CW104/'McDonough &amp; Sun 1995 values'!M$2,)</f>
        <v>1.1417322834645669</v>
      </c>
      <c r="EW104" s="18">
        <f>IFERROR(CI104/'McDonough &amp; Sun 1995 values'!N$2,)</f>
        <v>0.27135678391959805</v>
      </c>
      <c r="EX104" s="18">
        <f>IFERROR(CX104/'McDonough &amp; Sun 1995 values'!O$2,)</f>
        <v>1.04</v>
      </c>
      <c r="EY104" s="18">
        <f>IFERROR(CY104/'McDonough &amp; Sun 1995 values'!P$2,)</f>
        <v>0.49261083743842365</v>
      </c>
      <c r="EZ104" s="18">
        <f>IFERROR(DH104/'McDonough &amp; Sun 1995 values'!Q$2,)</f>
        <v>0.13074204946996468</v>
      </c>
      <c r="FA104" s="18">
        <f>IFERROR(CK104/'McDonough &amp; Sun 1995 values'!R$2,)</f>
        <v>0.13333333333333333</v>
      </c>
      <c r="FB104" s="18">
        <f>IFERROR(CZ104/'McDonough &amp; Sun 1995 values'!S$2,)</f>
        <v>0.32467532467532467</v>
      </c>
      <c r="FC104" s="18">
        <f>IFERROR(BT104/'McDonough &amp; Sun 1995 values'!T$2,)</f>
        <v>4.5643153526970952E-2</v>
      </c>
      <c r="FD104" s="18">
        <f>IFERROR(DA104/'McDonough &amp; Sun 1995 values'!U$2,)</f>
        <v>0.25735294117647062</v>
      </c>
      <c r="FE104" s="18">
        <f>IFERROR(DN104/'McDonough &amp; Sun 1995 values'!V$2,)</f>
        <v>0</v>
      </c>
      <c r="FF104" s="18">
        <f>IFERROR(DB104/'McDonough &amp; Sun 1995 values'!W$2,)</f>
        <v>9.0504451038575656E-2</v>
      </c>
      <c r="FG104" s="18">
        <f>IFERROR(CJ104/'McDonough &amp; Sun 1995 values'!X$2,)</f>
        <v>4.8837209302325581E-2</v>
      </c>
      <c r="FH104" s="18">
        <f>IFERROR(DC104/'McDonough &amp; Sun 1995 values'!Y$2,)</f>
        <v>6.7114093959731544E-2</v>
      </c>
      <c r="FI104" s="18">
        <f>IFERROR(DD104/'McDonough &amp; Sun 1995 values'!Z$2,)</f>
        <v>5.2511415525114152E-2</v>
      </c>
      <c r="FJ104" s="18">
        <f>IFERROR(DE104/'McDonough &amp; Sun 1995 values'!AA$2,)</f>
        <v>0</v>
      </c>
      <c r="FK104" s="18">
        <f>IFERROR(DF104/'McDonough &amp; Sun 1995 values'!AB$2,)</f>
        <v>2.494331065759637E-2</v>
      </c>
      <c r="FL104" s="18">
        <f>IFERROR(DG104/'McDonough &amp; Sun 1995 values'!AC$2,)</f>
        <v>2.9629629629629627E-2</v>
      </c>
      <c r="FN104" s="28">
        <f t="shared" si="228"/>
        <v>3.6781609195402303</v>
      </c>
      <c r="FO104" s="4">
        <f t="shared" si="231"/>
        <v>1.4646464646464645</v>
      </c>
      <c r="FP104" s="4">
        <f t="shared" si="232"/>
        <v>17.826802128688922</v>
      </c>
      <c r="FQ104" s="4">
        <f t="shared" si="233"/>
        <v>1.7023060796645701</v>
      </c>
      <c r="FR104" s="4">
        <f t="shared" si="234"/>
        <v>13.278727445394111</v>
      </c>
      <c r="FS104" s="4">
        <f t="shared" si="235"/>
        <v>12.133487654320986</v>
      </c>
      <c r="FT104" s="4">
        <f t="shared" si="236"/>
        <v>1.6800000000000002</v>
      </c>
      <c r="FU104" s="4">
        <f t="shared" si="237"/>
        <v>1.0943866943866944</v>
      </c>
      <c r="FV104" s="4">
        <f t="shared" si="238"/>
        <v>0.27066666666666667</v>
      </c>
      <c r="FW104" s="4">
        <f t="shared" si="239"/>
        <v>1.0198198198198196</v>
      </c>
      <c r="FX104" s="4">
        <f t="shared" si="240"/>
        <v>0.86584268182915847</v>
      </c>
      <c r="FY104" s="4">
        <f t="shared" si="241"/>
        <v>0.24902438322387599</v>
      </c>
      <c r="FZ104" s="4">
        <f t="shared" si="242"/>
        <v>0.91186959384633548</v>
      </c>
      <c r="GA104" s="4">
        <f t="shared" si="243"/>
        <v>0.23767111419164796</v>
      </c>
      <c r="GB104" s="4">
        <f t="shared" si="244"/>
        <v>0.65909090909090906</v>
      </c>
      <c r="GC104" s="4">
        <f t="shared" si="245"/>
        <v>0.59523809523809512</v>
      </c>
      <c r="GD104" s="4">
        <f t="shared" si="246"/>
        <v>0.86038961038961037</v>
      </c>
      <c r="GE104" s="4">
        <f t="shared" si="247"/>
        <v>3.7878787878787876</v>
      </c>
      <c r="GF104" s="4">
        <f t="shared" si="248"/>
        <v>5.3872053872053876</v>
      </c>
      <c r="GG104" s="4">
        <f t="shared" si="249"/>
        <v>15.337995337995338</v>
      </c>
      <c r="GH104" s="4">
        <f t="shared" si="250"/>
        <v>2.2977862920391652</v>
      </c>
      <c r="GI104" s="4">
        <f t="shared" si="251"/>
        <v>5.3256172839506162</v>
      </c>
      <c r="GJ104" s="4">
        <f t="shared" si="252"/>
        <v>28.987047156446064</v>
      </c>
      <c r="GK104" s="4">
        <f t="shared" si="253"/>
        <v>105.17676767676767</v>
      </c>
      <c r="GL104" s="4">
        <f t="shared" si="254"/>
        <v>2.9212121212121214</v>
      </c>
      <c r="GM104" s="4">
        <f t="shared" si="255"/>
        <v>4.4025157232704402</v>
      </c>
      <c r="GN104" s="4">
        <f t="shared" si="256"/>
        <v>7.5308421240836768E-2</v>
      </c>
      <c r="GO104" s="4">
        <f t="shared" si="257"/>
        <v>9.5491388044579531E-2</v>
      </c>
      <c r="GP104" s="4">
        <f t="shared" si="258"/>
        <v>0.27187499999999998</v>
      </c>
      <c r="GQ104" s="27">
        <f t="shared" si="259"/>
        <v>101976.48738275639</v>
      </c>
      <c r="GR104" s="28">
        <f t="shared" si="260"/>
        <v>7.553813880204177</v>
      </c>
      <c r="GS104" s="28">
        <f t="shared" si="261"/>
        <v>362.58306624980048</v>
      </c>
      <c r="GT104" s="28">
        <f t="shared" si="262"/>
        <v>15107.627760408353</v>
      </c>
      <c r="GU104" s="28">
        <f t="shared" si="263"/>
        <v>211.50678864571694</v>
      </c>
      <c r="GV104" s="28">
        <f t="shared" si="264"/>
        <v>31.726018296857543</v>
      </c>
      <c r="GW104" s="28">
        <f t="shared" si="265"/>
        <v>101976.48738275639</v>
      </c>
      <c r="GX104" s="28">
        <f t="shared" si="266"/>
        <v>6.0430511041633412</v>
      </c>
      <c r="GY104" s="28">
        <f t="shared" si="267"/>
        <v>98.199580442654295</v>
      </c>
      <c r="GZ104" s="28">
        <f t="shared" si="268"/>
        <v>1284.14835963471</v>
      </c>
      <c r="HA104" s="28">
        <f t="shared" si="269"/>
        <v>1812.9153312490025</v>
      </c>
      <c r="HB104" s="28">
        <f t="shared" si="270"/>
        <v>219.06060252592113</v>
      </c>
      <c r="HC104" s="28">
        <f t="shared" si="271"/>
        <v>4079.0594953102554</v>
      </c>
      <c r="HD104" s="28">
        <f t="shared" si="272"/>
        <v>981.99580442654303</v>
      </c>
      <c r="HE104" s="28">
        <f t="shared" si="273"/>
        <v>151.07627760408354</v>
      </c>
      <c r="HF104" s="28">
        <f t="shared" si="274"/>
        <v>27.949111356755452</v>
      </c>
      <c r="HG104" s="28">
        <f t="shared" si="275"/>
        <v>1057.5339432285848</v>
      </c>
      <c r="HH104" s="28">
        <f t="shared" si="276"/>
        <v>37.769069401020886</v>
      </c>
      <c r="HI104" s="28">
        <f t="shared" si="277"/>
        <v>41545.976341122972</v>
      </c>
      <c r="HJ104" s="28">
        <f t="shared" si="278"/>
        <v>105.75339432285847</v>
      </c>
      <c r="HK104" s="28">
        <f t="shared" si="279"/>
        <v>0</v>
      </c>
      <c r="HL104" s="28">
        <f t="shared" si="280"/>
        <v>46.078264669245478</v>
      </c>
      <c r="HM104" s="28">
        <f t="shared" si="281"/>
        <v>158.6300914842877</v>
      </c>
      <c r="HN104" s="28">
        <f t="shared" si="282"/>
        <v>7.553813880204177</v>
      </c>
      <c r="HO104" s="28">
        <f t="shared" si="283"/>
        <v>17.373771924469608</v>
      </c>
      <c r="HP104" s="28">
        <f t="shared" si="284"/>
        <v>0</v>
      </c>
      <c r="HQ104" s="28">
        <f t="shared" si="285"/>
        <v>8.3091952682245935</v>
      </c>
      <c r="HR104" s="28">
        <f t="shared" si="286"/>
        <v>1.5107627760408353</v>
      </c>
      <c r="HT104" s="4">
        <f>IFERROR(GR104/'McDonough &amp; Sun 1995 values'!C$2,)</f>
        <v>359.70542286686555</v>
      </c>
      <c r="HU104" s="4">
        <f>IFERROR(GS104/'McDonough &amp; Sun 1995 values'!D$2,)</f>
        <v>604.30511041633417</v>
      </c>
      <c r="HV104" s="4">
        <f>IFERROR(GT104/'McDonough &amp; Sun 1995 values'!E$2,)</f>
        <v>2289.0345091527811</v>
      </c>
      <c r="HW104" s="4">
        <f>IFERROR(GU104/'McDonough &amp; Sun 1995 values'!F$2,)</f>
        <v>2660.4627502605904</v>
      </c>
      <c r="HX104" s="4">
        <f>IFERROR(GV104/'McDonough &amp; Sun 1995 values'!G$2,)</f>
        <v>1562.8580441801746</v>
      </c>
      <c r="HY104" s="4">
        <f>IFERROR(GW104/'McDonough &amp; Sun 1995 values'!H$2,)</f>
        <v>424.90203076148492</v>
      </c>
      <c r="HZ104" s="4">
        <f>IFERROR(GX104/'McDonough &amp; Sun 1995 values'!I$2,)</f>
        <v>163.32570551792816</v>
      </c>
      <c r="IA104" s="4">
        <f>IFERROR(GY104/'McDonough &amp; Sun 1995 values'!J$2,)</f>
        <v>149.23948395540165</v>
      </c>
      <c r="IB104" s="4">
        <f>IFERROR(GZ104/'McDonough &amp; Sun 1995 values'!K$2,)</f>
        <v>1981.7104315350462</v>
      </c>
      <c r="IC104" s="4">
        <f>IFERROR(HA104/'McDonough &amp; Sun 1995 values'!L$2,)</f>
        <v>1082.3375111934342</v>
      </c>
      <c r="ID104" s="4">
        <f>IFERROR(HB104/'McDonough &amp; Sun 1995 values'!M$2,)</f>
        <v>862.44331703118553</v>
      </c>
      <c r="IE104" s="4">
        <f>IFERROR(HC104/'McDonough &amp; Sun 1995 values'!N$2,)</f>
        <v>204.97786408594249</v>
      </c>
      <c r="IF104" s="4">
        <f>IFERROR(HD104/'McDonough &amp; Sun 1995 values'!O$2,)</f>
        <v>785.59664354123447</v>
      </c>
      <c r="IG104" s="4">
        <f>IFERROR(HE104/'McDonough &amp; Sun 1995 values'!P$2,)</f>
        <v>372.10905813813679</v>
      </c>
      <c r="IH104" s="4">
        <f>IFERROR(HF104/'McDonough &amp; Sun 1995 values'!Q$2,)</f>
        <v>98.760110801256019</v>
      </c>
      <c r="II104" s="4">
        <f>IFERROR(HG104/'McDonough &amp; Sun 1995 values'!R$2,)</f>
        <v>100.71751840272236</v>
      </c>
      <c r="IJ104" s="4">
        <f>IFERROR(HH104/'McDonough &amp; Sun 1995 values'!S$2,)</f>
        <v>245.25369740922653</v>
      </c>
      <c r="IK104" s="4">
        <f>IFERROR(HI104/'McDonough &amp; Sun 1995 values'!T$2,)</f>
        <v>34.477988664832345</v>
      </c>
      <c r="IL104" s="4">
        <f>IFERROR(HJ104/'McDonough &amp; Sun 1995 values'!U$2,)</f>
        <v>194.39962191701923</v>
      </c>
      <c r="IM104" s="4">
        <f>IFERROR(HK104/'McDonough &amp; Sun 1995 values'!V$2,)</f>
        <v>0</v>
      </c>
      <c r="IN104" s="4">
        <f>IFERROR(HL104/'McDonough &amp; Sun 1995 values'!W$2,)</f>
        <v>68.365377847545219</v>
      </c>
      <c r="IO104" s="4">
        <f>IFERROR(HM104/'McDonough &amp; Sun 1995 values'!X$2,)</f>
        <v>36.890718949834351</v>
      </c>
      <c r="IP104" s="4">
        <f>IFERROR(HN104/'McDonough &amp; Sun 1995 values'!Y$2,)</f>
        <v>50.69673745103475</v>
      </c>
      <c r="IQ104" s="4">
        <f>IFERROR(HO104/'McDonough &amp; Sun 1995 values'!Z$2,)</f>
        <v>39.666145946277645</v>
      </c>
      <c r="IR104" s="4">
        <f>IFERROR(HP104/'McDonough &amp; Sun 1995 values'!AA$2,)</f>
        <v>0</v>
      </c>
      <c r="IS104" s="4">
        <f>IFERROR(HQ104/'McDonough &amp; Sun 1995 values'!AB$2,)</f>
        <v>18.841712626359623</v>
      </c>
      <c r="IT104" s="4">
        <f>IFERROR(HR104/'McDonough &amp; Sun 1995 values'!AC$2,)</f>
        <v>22.381670756160521</v>
      </c>
    </row>
    <row r="105" spans="1:254">
      <c r="A105" s="16" t="s">
        <v>1656</v>
      </c>
      <c r="B105" s="4" t="s">
        <v>24</v>
      </c>
      <c r="C105" s="16" t="str">
        <f t="shared" si="144"/>
        <v>low-Mg carbonatitic</v>
      </c>
      <c r="D105" s="4" t="s">
        <v>1706</v>
      </c>
      <c r="E105" s="4" t="s">
        <v>237</v>
      </c>
      <c r="F105" s="4" t="s">
        <v>849</v>
      </c>
      <c r="G105" s="4" t="s">
        <v>595</v>
      </c>
      <c r="H105" s="49">
        <v>364</v>
      </c>
      <c r="I105" s="4" t="s">
        <v>1148</v>
      </c>
      <c r="J105" s="4" t="s">
        <v>635</v>
      </c>
      <c r="K105" s="4" t="s">
        <v>1678</v>
      </c>
      <c r="M105" s="4" t="s">
        <v>1698</v>
      </c>
      <c r="N105" s="4">
        <v>36</v>
      </c>
      <c r="O105" s="4">
        <v>2.4900000000000002</v>
      </c>
      <c r="P105" s="4">
        <v>0.46</v>
      </c>
      <c r="R105" s="4">
        <v>1.65</v>
      </c>
      <c r="S105" s="4">
        <v>9.89</v>
      </c>
      <c r="T105" s="4">
        <v>12.5</v>
      </c>
      <c r="V105" s="4">
        <v>23.8</v>
      </c>
      <c r="W105" s="4">
        <v>21.1</v>
      </c>
      <c r="X105" s="4">
        <v>23.9</v>
      </c>
      <c r="Z105" s="4">
        <v>3.91</v>
      </c>
      <c r="AA105" s="4">
        <v>0.11</v>
      </c>
      <c r="AB105" s="4">
        <v>0.12</v>
      </c>
      <c r="AD105" s="4">
        <v>0.16</v>
      </c>
      <c r="AJ105" s="26">
        <f t="shared" si="145"/>
        <v>99.980000000000018</v>
      </c>
      <c r="AK105" s="26">
        <f>100*(O105/$AJ105)*(($AJ105+$AD105*8/35.45)/$AJ105)</f>
        <v>2.4913975284669099</v>
      </c>
      <c r="AL105" s="26">
        <f>100*(P105/$AJ105)*(($AJ105+$AD105*8/35.45)/$AJ105)</f>
        <v>0.46025817794971019</v>
      </c>
      <c r="AM105" s="26">
        <f t="shared" ref="AM105:AO106" si="287">100*(R105/$AJ105)*(($AJ105+$AD105*8/35.45)/$AJ105)</f>
        <v>1.650926073080482</v>
      </c>
      <c r="AN105" s="26">
        <f t="shared" si="287"/>
        <v>9.8955508259187699</v>
      </c>
      <c r="AO105" s="26">
        <f t="shared" si="287"/>
        <v>12.507015705155165</v>
      </c>
      <c r="AP105" s="26">
        <f>100*(V105/$AJ105)*(($AJ105+$AD105*8/35.45)/$AJ105)</f>
        <v>23.81335790261544</v>
      </c>
      <c r="AQ105" s="26">
        <f>100*(AB105/$AJ105)*(($AJ105+$AD105*8/35.45)/$AJ105)</f>
        <v>0.12006735076948961</v>
      </c>
      <c r="AR105" s="26">
        <f>100*(W105/$AJ105)*(($AJ105+$AD105*8/35.45)/$AJ105)</f>
        <v>21.111842510301923</v>
      </c>
      <c r="AS105" s="26">
        <f>100*(X105/$AJ105)*(($AJ105+$AD105*8/35.45)/$AJ105)</f>
        <v>23.913414028256678</v>
      </c>
      <c r="AT105" s="26">
        <f>100*(Z105/$AJ105)*(($AJ105+$AD105*8/35.45)/$AJ105)</f>
        <v>3.9121945125725364</v>
      </c>
      <c r="AU105" s="26">
        <f>100*(AD105/$AJ105)*(($AJ105+$AD105*8/35.45)/$AJ105)</f>
        <v>0.16008980102598616</v>
      </c>
      <c r="AV105" s="26">
        <f t="shared" si="146"/>
        <v>100.03611441611311</v>
      </c>
      <c r="BB105" s="26">
        <v>0.05</v>
      </c>
      <c r="BC105" s="26">
        <f>1-BD105</f>
        <v>5.0000000000000044E-2</v>
      </c>
      <c r="BD105" s="26">
        <f>1-BB105</f>
        <v>0.95</v>
      </c>
      <c r="BE105" s="4">
        <v>-4.0861147538441278</v>
      </c>
      <c r="BG105" s="4">
        <v>58.667727272727276</v>
      </c>
      <c r="BH105" s="4">
        <v>14.59182274188629</v>
      </c>
      <c r="BT105" s="44">
        <v>8704.9189926910258</v>
      </c>
      <c r="CI105" s="44">
        <v>5717.6129533870762</v>
      </c>
      <c r="CJ105" s="44">
        <v>28.576861589249958</v>
      </c>
      <c r="CK105" s="44">
        <v>161.11593532140117</v>
      </c>
      <c r="CM105" s="44">
        <v>723.96123424082953</v>
      </c>
      <c r="CS105" s="44">
        <v>21505.409927566689</v>
      </c>
      <c r="CU105" s="44">
        <v>217.34929165927491</v>
      </c>
      <c r="CV105" s="44">
        <v>369.75498120594574</v>
      </c>
      <c r="CW105" s="44">
        <v>54.814967329242634</v>
      </c>
      <c r="CX105" s="44">
        <v>282.45340057586026</v>
      </c>
      <c r="CY105" s="44">
        <v>56.819316883293119</v>
      </c>
      <c r="CZ105" s="44">
        <v>13.640841045885836</v>
      </c>
      <c r="DA105" s="44">
        <v>31.458290869329925</v>
      </c>
      <c r="DB105" s="44">
        <v>7.6261226475972306</v>
      </c>
      <c r="DC105" s="44">
        <v>1.0280717065653877</v>
      </c>
      <c r="DD105" s="44">
        <v>3.6128429232250765</v>
      </c>
      <c r="DF105" s="44">
        <v>2.0734549683647803</v>
      </c>
      <c r="DG105" s="44">
        <v>0.11180615576091946</v>
      </c>
      <c r="DH105" s="44">
        <v>2.5717397160298887</v>
      </c>
      <c r="DI105" s="44">
        <v>35.520784324225033</v>
      </c>
      <c r="DK105" s="44">
        <v>12.859893206738612</v>
      </c>
      <c r="DL105" s="44">
        <v>9.195111737234944</v>
      </c>
      <c r="DM105" s="44">
        <v>1.3114534579879298</v>
      </c>
      <c r="DN105" s="44">
        <v>2.9907449078616613</v>
      </c>
      <c r="EL105" s="18">
        <f>IFERROR(CR105/'McDonough &amp; Sun 1995 values'!C$2,)</f>
        <v>0</v>
      </c>
      <c r="EM105" s="18">
        <f>IFERROR(CH105/'McDonough &amp; Sun 1995 values'!D$2,)</f>
        <v>0</v>
      </c>
      <c r="EN105" s="18">
        <f>IFERROR(CS105/'McDonough &amp; Sun 1995 values'!E$2,)</f>
        <v>3258.3954435707105</v>
      </c>
      <c r="EO105" s="18">
        <f>IFERROR(DL105/'McDonough &amp; Sun 1995 values'!F$2,)</f>
        <v>115.66178285830118</v>
      </c>
      <c r="EP105" s="18">
        <f>IFERROR(DM105/'McDonough &amp; Sun 1995 values'!G$2,)</f>
        <v>64.603618620095062</v>
      </c>
      <c r="EQ105" s="18">
        <f>IFERROR(BR105/'McDonough &amp; Sun 1995 values'!H$2,)</f>
        <v>0</v>
      </c>
      <c r="ER105" s="18">
        <f>IFERROR(DI105/'McDonough &amp; Sun 1995 values'!I$2,)</f>
        <v>960.02119795202793</v>
      </c>
      <c r="ES105" s="18">
        <f>IFERROR(CM105/'McDonough &amp; Sun 1995 values'!J$2,)</f>
        <v>1100.2450368401664</v>
      </c>
      <c r="ET105" s="18">
        <f>IFERROR(CU105/'McDonough &amp; Sun 1995 values'!K$2,)</f>
        <v>335.41557354826375</v>
      </c>
      <c r="EU105" s="18">
        <f>IFERROR(CV105/'McDonough &amp; Sun 1995 values'!L$2,)</f>
        <v>220.74924251101237</v>
      </c>
      <c r="EV105" s="18">
        <f>IFERROR(CW105/'McDonough &amp; Sun 1995 values'!M$2,)</f>
        <v>215.80695798914422</v>
      </c>
      <c r="EW105" s="18">
        <f>IFERROR(CI105/'McDonough &amp; Sun 1995 values'!N$2,)</f>
        <v>287.31723383854654</v>
      </c>
      <c r="EX105" s="18">
        <f>IFERROR(CX105/'McDonough &amp; Sun 1995 values'!O$2,)</f>
        <v>225.96272046068822</v>
      </c>
      <c r="EY105" s="18">
        <f>IFERROR(CY105/'McDonough &amp; Sun 1995 values'!P$2,)</f>
        <v>139.94905636279091</v>
      </c>
      <c r="EZ105" s="18">
        <f>IFERROR(DH105/'McDonough &amp; Sun 1995 values'!Q$2,)</f>
        <v>9.0874194912716924</v>
      </c>
      <c r="FA105" s="18">
        <f>IFERROR(CK105/'McDonough &amp; Sun 1995 values'!R$2,)</f>
        <v>15.344374792514397</v>
      </c>
      <c r="FB105" s="18">
        <f>IFERROR(CZ105/'McDonough &amp; Sun 1995 values'!S$2,)</f>
        <v>88.576889908349585</v>
      </c>
      <c r="FC105" s="18">
        <f>IFERROR(BT105/'McDonough &amp; Sun 1995 values'!T$2,)</f>
        <v>7.2239991640589425</v>
      </c>
      <c r="FD105" s="18">
        <f>IFERROR(DA105/'McDonough &amp; Sun 1995 values'!U$2,)</f>
        <v>57.827740568621181</v>
      </c>
      <c r="FE105" s="18">
        <f>IFERROR(DN105/'McDonough &amp; Sun 1995 values'!V$2,)</f>
        <v>30.209544523855161</v>
      </c>
      <c r="FF105" s="18">
        <f>IFERROR(DB105/'McDonough &amp; Sun 1995 values'!W$2,)</f>
        <v>11.314722029076009</v>
      </c>
      <c r="FG105" s="18">
        <f>IFERROR(CJ105/'McDonough &amp; Sun 1995 values'!X$2,)</f>
        <v>6.6457817649418507</v>
      </c>
      <c r="FH105" s="18">
        <f>IFERROR(DC105/'McDonough &amp; Sun 1995 values'!Y$2,)</f>
        <v>6.8998101111770991</v>
      </c>
      <c r="FI105" s="18">
        <f>IFERROR(DD105/'McDonough &amp; Sun 1995 values'!Z$2,)</f>
        <v>8.248499824714786</v>
      </c>
      <c r="FJ105" s="18">
        <f>IFERROR(DE105/'McDonough &amp; Sun 1995 values'!AA$2,)</f>
        <v>0</v>
      </c>
      <c r="FK105" s="18">
        <f>IFERROR(DF105/'McDonough &amp; Sun 1995 values'!AB$2,)</f>
        <v>4.7017119464053971</v>
      </c>
      <c r="FL105" s="18">
        <f>IFERROR(DG105/'McDonough &amp; Sun 1995 values'!AC$2,)</f>
        <v>1.6563874927543623</v>
      </c>
      <c r="FN105" s="28">
        <f>IFERROR(BR105/DM105,)</f>
        <v>0</v>
      </c>
      <c r="FO105" s="4">
        <f t="shared" si="231"/>
        <v>50.436732696536311</v>
      </c>
      <c r="FP105" s="4">
        <f t="shared" si="232"/>
        <v>0.10512365789940252</v>
      </c>
      <c r="FQ105" s="4">
        <f t="shared" si="233"/>
        <v>1.7903297884667468</v>
      </c>
      <c r="FR105" s="4">
        <f t="shared" si="234"/>
        <v>0.30485533887210786</v>
      </c>
      <c r="FS105" s="4">
        <f t="shared" si="235"/>
        <v>0.34938350763898901</v>
      </c>
      <c r="FT105" s="4">
        <f t="shared" si="236"/>
        <v>0</v>
      </c>
      <c r="FU105" s="4">
        <f t="shared" si="237"/>
        <v>0.87255217320420508</v>
      </c>
      <c r="FV105" s="4">
        <f t="shared" si="238"/>
        <v>0.10964257417168335</v>
      </c>
      <c r="FW105" s="4">
        <f t="shared" si="239"/>
        <v>1.6885293792426332</v>
      </c>
      <c r="FX105" s="4">
        <f t="shared" si="240"/>
        <v>0.89572580082857312</v>
      </c>
      <c r="FY105" s="4">
        <f t="shared" si="241"/>
        <v>1.3010996430594406</v>
      </c>
      <c r="FZ105" s="4">
        <f t="shared" si="242"/>
        <v>0.98461699609080355</v>
      </c>
      <c r="GA105" s="4">
        <f t="shared" si="243"/>
        <v>1.3313622346365659</v>
      </c>
      <c r="GB105" s="4">
        <f t="shared" si="244"/>
        <v>0.6329223805463261</v>
      </c>
      <c r="GC105" s="4">
        <f t="shared" si="245"/>
        <v>0</v>
      </c>
      <c r="GD105" s="4">
        <f t="shared" si="246"/>
        <v>28.171755294163283</v>
      </c>
      <c r="GE105" s="4">
        <f t="shared" si="247"/>
        <v>0</v>
      </c>
      <c r="GF105" s="4">
        <f t="shared" si="248"/>
        <v>0</v>
      </c>
      <c r="GG105" s="4">
        <f t="shared" si="249"/>
        <v>2.9615179659693029</v>
      </c>
      <c r="GH105" s="4">
        <f t="shared" si="250"/>
        <v>1.554238921087689</v>
      </c>
      <c r="GI105" s="4">
        <f t="shared" si="251"/>
        <v>2.3966976431678368</v>
      </c>
      <c r="GJ105" s="4">
        <f t="shared" si="252"/>
        <v>29.644172670466805</v>
      </c>
      <c r="GK105" s="4">
        <f t="shared" si="253"/>
        <v>71.339030840606739</v>
      </c>
      <c r="GL105" s="4">
        <f t="shared" si="254"/>
        <v>2.12408313512219</v>
      </c>
      <c r="GM105" s="4">
        <f t="shared" si="255"/>
        <v>0</v>
      </c>
      <c r="GN105" s="4">
        <f t="shared" si="256"/>
        <v>3.2802443404788701</v>
      </c>
      <c r="GO105" s="4">
        <f t="shared" si="257"/>
        <v>17.030702928735533</v>
      </c>
      <c r="GP105" s="4">
        <f t="shared" si="258"/>
        <v>0</v>
      </c>
      <c r="GQ105" s="27">
        <f t="shared" si="259"/>
        <v>198514.17067836062</v>
      </c>
      <c r="GR105" s="28" t="str">
        <f t="shared" si="260"/>
        <v/>
      </c>
      <c r="GS105" s="28" t="str">
        <f t="shared" si="261"/>
        <v/>
      </c>
      <c r="GT105" s="28" t="str">
        <f t="shared" si="262"/>
        <v/>
      </c>
      <c r="GU105" s="28" t="str">
        <f t="shared" si="263"/>
        <v/>
      </c>
      <c r="GV105" s="28" t="str">
        <f t="shared" si="264"/>
        <v/>
      </c>
      <c r="GW105" s="28" t="str">
        <f t="shared" si="265"/>
        <v/>
      </c>
      <c r="GX105" s="28" t="str">
        <f t="shared" si="266"/>
        <v/>
      </c>
      <c r="GY105" s="28" t="str">
        <f t="shared" si="267"/>
        <v/>
      </c>
      <c r="GZ105" s="28" t="str">
        <f t="shared" si="268"/>
        <v/>
      </c>
      <c r="HA105" s="28" t="str">
        <f t="shared" si="269"/>
        <v/>
      </c>
      <c r="HB105" s="28" t="str">
        <f t="shared" si="270"/>
        <v/>
      </c>
      <c r="HC105" s="28" t="str">
        <f t="shared" si="271"/>
        <v/>
      </c>
      <c r="HD105" s="28" t="str">
        <f t="shared" si="272"/>
        <v/>
      </c>
      <c r="HE105" s="28" t="str">
        <f t="shared" si="273"/>
        <v/>
      </c>
      <c r="HF105" s="28" t="str">
        <f t="shared" si="274"/>
        <v/>
      </c>
      <c r="HG105" s="28" t="str">
        <f t="shared" si="275"/>
        <v/>
      </c>
      <c r="HH105" s="28" t="str">
        <f t="shared" si="276"/>
        <v/>
      </c>
      <c r="HI105" s="28" t="str">
        <f t="shared" si="277"/>
        <v/>
      </c>
      <c r="HJ105" s="28" t="str">
        <f t="shared" si="278"/>
        <v/>
      </c>
      <c r="HK105" s="28" t="str">
        <f t="shared" si="279"/>
        <v/>
      </c>
      <c r="HL105" s="28" t="str">
        <f t="shared" si="280"/>
        <v/>
      </c>
      <c r="HM105" s="28" t="str">
        <f t="shared" si="281"/>
        <v/>
      </c>
      <c r="HN105" s="28" t="str">
        <f t="shared" si="282"/>
        <v/>
      </c>
      <c r="HO105" s="28" t="str">
        <f t="shared" si="283"/>
        <v/>
      </c>
      <c r="HP105" s="28" t="str">
        <f t="shared" si="284"/>
        <v/>
      </c>
      <c r="HQ105" s="28" t="str">
        <f t="shared" si="285"/>
        <v/>
      </c>
      <c r="HR105" s="28" t="str">
        <f t="shared" si="286"/>
        <v/>
      </c>
      <c r="HT105" s="4">
        <f>IFERROR(GR105/'McDonough &amp; Sun 1995 values'!C$2,)</f>
        <v>0</v>
      </c>
      <c r="HU105" s="4">
        <f>IFERROR(GS105/'McDonough &amp; Sun 1995 values'!D$2,)</f>
        <v>0</v>
      </c>
      <c r="HV105" s="4">
        <f>IFERROR(GT105/'McDonough &amp; Sun 1995 values'!E$2,)</f>
        <v>0</v>
      </c>
      <c r="HW105" s="4">
        <f>IFERROR(GU105/'McDonough &amp; Sun 1995 values'!F$2,)</f>
        <v>0</v>
      </c>
      <c r="HX105" s="4">
        <f>IFERROR(GV105/'McDonough &amp; Sun 1995 values'!G$2,)</f>
        <v>0</v>
      </c>
      <c r="HY105" s="4">
        <f>IFERROR(GW105/'McDonough &amp; Sun 1995 values'!H$2,)</f>
        <v>0</v>
      </c>
      <c r="HZ105" s="4">
        <f>IFERROR(GX105/'McDonough &amp; Sun 1995 values'!I$2,)</f>
        <v>0</v>
      </c>
      <c r="IA105" s="4">
        <f>IFERROR(GY105/'McDonough &amp; Sun 1995 values'!J$2,)</f>
        <v>0</v>
      </c>
      <c r="IB105" s="4">
        <f>IFERROR(GZ105/'McDonough &amp; Sun 1995 values'!K$2,)</f>
        <v>0</v>
      </c>
      <c r="IC105" s="4">
        <f>IFERROR(HA105/'McDonough &amp; Sun 1995 values'!L$2,)</f>
        <v>0</v>
      </c>
      <c r="ID105" s="4">
        <f>IFERROR(HB105/'McDonough &amp; Sun 1995 values'!M$2,)</f>
        <v>0</v>
      </c>
      <c r="IE105" s="4">
        <f>IFERROR(HC105/'McDonough &amp; Sun 1995 values'!N$2,)</f>
        <v>0</v>
      </c>
      <c r="IF105" s="4">
        <f>IFERROR(HD105/'McDonough &amp; Sun 1995 values'!O$2,)</f>
        <v>0</v>
      </c>
      <c r="IG105" s="4">
        <f>IFERROR(HE105/'McDonough &amp; Sun 1995 values'!P$2,)</f>
        <v>0</v>
      </c>
      <c r="IH105" s="4">
        <f>IFERROR(HF105/'McDonough &amp; Sun 1995 values'!Q$2,)</f>
        <v>0</v>
      </c>
      <c r="II105" s="4">
        <f>IFERROR(HG105/'McDonough &amp; Sun 1995 values'!R$2,)</f>
        <v>0</v>
      </c>
      <c r="IJ105" s="4">
        <f>IFERROR(HH105/'McDonough &amp; Sun 1995 values'!S$2,)</f>
        <v>0</v>
      </c>
      <c r="IK105" s="4">
        <f>IFERROR(HI105/'McDonough &amp; Sun 1995 values'!T$2,)</f>
        <v>0</v>
      </c>
      <c r="IL105" s="4">
        <f>IFERROR(HJ105/'McDonough &amp; Sun 1995 values'!U$2,)</f>
        <v>0</v>
      </c>
      <c r="IM105" s="4">
        <f>IFERROR(HK105/'McDonough &amp; Sun 1995 values'!V$2,)</f>
        <v>0</v>
      </c>
      <c r="IN105" s="4">
        <f>IFERROR(HL105/'McDonough &amp; Sun 1995 values'!W$2,)</f>
        <v>0</v>
      </c>
      <c r="IO105" s="4">
        <f>IFERROR(HM105/'McDonough &amp; Sun 1995 values'!X$2,)</f>
        <v>0</v>
      </c>
      <c r="IP105" s="4">
        <f>IFERROR(HN105/'McDonough &amp; Sun 1995 values'!Y$2,)</f>
        <v>0</v>
      </c>
      <c r="IQ105" s="4">
        <f>IFERROR(HO105/'McDonough &amp; Sun 1995 values'!Z$2,)</f>
        <v>0</v>
      </c>
      <c r="IR105" s="4">
        <f>IFERROR(HP105/'McDonough &amp; Sun 1995 values'!AA$2,)</f>
        <v>0</v>
      </c>
      <c r="IS105" s="4">
        <f>IFERROR(HQ105/'McDonough &amp; Sun 1995 values'!AB$2,)</f>
        <v>0</v>
      </c>
      <c r="IT105" s="4">
        <f>IFERROR(HR105/'McDonough &amp; Sun 1995 values'!AC$2,)</f>
        <v>0</v>
      </c>
    </row>
    <row r="106" spans="1:254">
      <c r="A106" s="16" t="s">
        <v>1656</v>
      </c>
      <c r="B106" s="4" t="s">
        <v>24</v>
      </c>
      <c r="C106" s="16" t="str">
        <f t="shared" si="144"/>
        <v>low-Mg carbonatitic</v>
      </c>
      <c r="D106" s="4" t="s">
        <v>1706</v>
      </c>
      <c r="E106" s="4" t="s">
        <v>237</v>
      </c>
      <c r="F106" s="4" t="s">
        <v>849</v>
      </c>
      <c r="G106" s="4" t="s">
        <v>595</v>
      </c>
      <c r="H106" s="49">
        <v>364</v>
      </c>
      <c r="I106" s="4" t="s">
        <v>1148</v>
      </c>
      <c r="J106" s="4" t="s">
        <v>635</v>
      </c>
      <c r="K106" s="4" t="s">
        <v>1678</v>
      </c>
      <c r="M106" s="4" t="s">
        <v>1700</v>
      </c>
      <c r="N106" s="4">
        <v>24</v>
      </c>
      <c r="O106" s="4">
        <v>17.2</v>
      </c>
      <c r="P106" s="4">
        <v>3.28</v>
      </c>
      <c r="R106" s="4">
        <v>6.23</v>
      </c>
      <c r="S106" s="4">
        <v>12.7</v>
      </c>
      <c r="T106" s="4">
        <v>7.37</v>
      </c>
      <c r="V106" s="4">
        <v>15.1</v>
      </c>
      <c r="W106" s="4">
        <v>6.64</v>
      </c>
      <c r="X106" s="4">
        <v>14.8</v>
      </c>
      <c r="Z106" s="4">
        <v>4.8899999999999997</v>
      </c>
      <c r="AB106" s="4">
        <v>7.27</v>
      </c>
      <c r="AD106" s="4">
        <v>4.5</v>
      </c>
      <c r="AJ106" s="26">
        <f t="shared" si="145"/>
        <v>99.97999999999999</v>
      </c>
      <c r="AK106" s="26">
        <f>100*(O106/$AJ106)*(($AJ106+$AD106*8/35.45)/$AJ106)</f>
        <v>17.378179123771993</v>
      </c>
      <c r="AL106" s="26">
        <f>100*(P106/$AJ106)*(($AJ106+$AD106*8/35.45)/$AJ106)</f>
        <v>3.3139783445332638</v>
      </c>
      <c r="AM106" s="26">
        <f t="shared" si="287"/>
        <v>6.2945381361104378</v>
      </c>
      <c r="AN106" s="26">
        <f t="shared" si="287"/>
        <v>12.831562492552575</v>
      </c>
      <c r="AO106" s="26">
        <f t="shared" si="287"/>
        <v>7.4463476826860218</v>
      </c>
      <c r="AP106" s="26">
        <f>100*(V106/$AJ106)*(($AJ106+$AD106*8/35.45)/$AJ106)</f>
        <v>15.256424695869597</v>
      </c>
      <c r="AQ106" s="26">
        <f>100*(AB106/$AJ106)*(($AJ106+$AD106*8/35.45)/$AJ106)</f>
        <v>7.3453117575478126</v>
      </c>
      <c r="AR106" s="26">
        <f>100*(W106/$AJ106)*(($AJ106+$AD106*8/35.45)/$AJ106)</f>
        <v>6.7087854291770936</v>
      </c>
      <c r="AS106" s="26">
        <f>100*(X106/$AJ106)*(($AJ106+$AD106*8/35.45)/$AJ106)</f>
        <v>14.953316920454968</v>
      </c>
      <c r="AT106" s="26">
        <f>100*(Z106/$AJ106)*(($AJ106+$AD106*8/35.45)/$AJ106)</f>
        <v>4.940656739258432</v>
      </c>
      <c r="AU106" s="26">
        <f>100*(AD106/$AJ106)*(($AJ106+$AD106*8/35.45)/$AJ106)</f>
        <v>4.5466166312194165</v>
      </c>
      <c r="AV106" s="26">
        <f t="shared" si="146"/>
        <v>101.01571795318162</v>
      </c>
      <c r="BB106" s="26">
        <v>0.13</v>
      </c>
      <c r="BC106" s="26">
        <f>1-BD106</f>
        <v>0.13</v>
      </c>
      <c r="BD106" s="26">
        <f>1-BB106</f>
        <v>0.87</v>
      </c>
      <c r="BE106" s="4">
        <v>-5.9207917474911049</v>
      </c>
      <c r="BG106" s="4">
        <v>406.72950000000003</v>
      </c>
      <c r="BH106" s="4">
        <v>49.129439404147291</v>
      </c>
      <c r="BT106" s="44">
        <v>18365.229512205631</v>
      </c>
      <c r="CH106" s="44">
        <v>3475.65247092249</v>
      </c>
      <c r="CI106" s="44">
        <v>6188.4521659710217</v>
      </c>
      <c r="CJ106" s="44">
        <v>78.660642745539718</v>
      </c>
      <c r="CK106" s="44">
        <v>610.23783029655465</v>
      </c>
      <c r="CM106" s="44">
        <v>537.05951566242948</v>
      </c>
      <c r="CS106" s="44">
        <v>122936.50717525645</v>
      </c>
      <c r="CU106" s="44">
        <v>1884.102750048399</v>
      </c>
      <c r="CV106" s="44">
        <v>2006.1602177381164</v>
      </c>
      <c r="CW106" s="44">
        <v>185.30662694037795</v>
      </c>
      <c r="CX106" s="44">
        <v>713.11058266289183</v>
      </c>
      <c r="CY106" s="44">
        <v>68.838817909336171</v>
      </c>
      <c r="CZ106" s="44">
        <v>17.167777939155783</v>
      </c>
      <c r="DA106" s="44">
        <v>60.405764750006924</v>
      </c>
      <c r="DB106" s="44">
        <v>27.098927476482839</v>
      </c>
      <c r="DC106" s="44">
        <v>3.4867380073648415</v>
      </c>
      <c r="DD106" s="44">
        <v>8.0774006933928675</v>
      </c>
      <c r="DF106" s="44">
        <v>1.6583016563780941</v>
      </c>
      <c r="DG106" s="44">
        <v>0.55257348104353421</v>
      </c>
      <c r="DH106" s="44">
        <v>12.725171294497013</v>
      </c>
      <c r="DI106" s="44">
        <v>3.3164060173746561</v>
      </c>
      <c r="DK106" s="44">
        <v>156.4526319274523</v>
      </c>
      <c r="DL106" s="44">
        <v>473.00430886899926</v>
      </c>
      <c r="DM106" s="44">
        <v>45.700612872090623</v>
      </c>
      <c r="DN106" s="44">
        <v>6.4762789113232104</v>
      </c>
      <c r="EL106" s="18">
        <f>IFERROR(CR106/'McDonough &amp; Sun 1995 values'!C$2,)</f>
        <v>0</v>
      </c>
      <c r="EM106" s="18">
        <f>IFERROR(CH106/'McDonough &amp; Sun 1995 values'!D$2,)</f>
        <v>5792.7541182041505</v>
      </c>
      <c r="EN106" s="18">
        <f>IFERROR(CS106/'McDonough &amp; Sun 1995 values'!E$2,)</f>
        <v>18626.743511402496</v>
      </c>
      <c r="EO106" s="18">
        <f>IFERROR(DL106/'McDonough &amp; Sun 1995 values'!F$2,)</f>
        <v>5949.7397342012482</v>
      </c>
      <c r="EP106" s="18">
        <f>IFERROR(DM106/'McDonough &amp; Sun 1995 values'!G$2,)</f>
        <v>2251.2617178369765</v>
      </c>
      <c r="EQ106" s="18">
        <f>IFERROR(BR106/'McDonough &amp; Sun 1995 values'!H$2,)</f>
        <v>0</v>
      </c>
      <c r="ER106" s="18">
        <f>IFERROR(DI106/'McDonough &amp; Sun 1995 values'!I$2,)</f>
        <v>89.632595064179895</v>
      </c>
      <c r="ES106" s="18">
        <f>IFERROR(CM106/'McDonough &amp; Sun 1995 values'!J$2,)</f>
        <v>816.19987182740033</v>
      </c>
      <c r="ET106" s="18">
        <f>IFERROR(CU106/'McDonough &amp; Sun 1995 values'!K$2,)</f>
        <v>2907.5659722969122</v>
      </c>
      <c r="EU106" s="18">
        <f>IFERROR(CV106/'McDonough &amp; Sun 1995 values'!L$2,)</f>
        <v>1197.7075926794726</v>
      </c>
      <c r="EV106" s="18">
        <f>IFERROR(CW106/'McDonough &amp; Sun 1995 values'!M$2,)</f>
        <v>729.55364937156673</v>
      </c>
      <c r="EW106" s="18">
        <f>IFERROR(CI106/'McDonough &amp; Sun 1995 values'!N$2,)</f>
        <v>310.97749577743832</v>
      </c>
      <c r="EX106" s="18">
        <f>IFERROR(CX106/'McDonough &amp; Sun 1995 values'!O$2,)</f>
        <v>570.48846613031344</v>
      </c>
      <c r="EY106" s="18">
        <f>IFERROR(CY106/'McDonough &amp; Sun 1995 values'!P$2,)</f>
        <v>169.55373869294621</v>
      </c>
      <c r="EZ106" s="18">
        <f>IFERROR(DH106/'McDonough &amp; Sun 1995 values'!Q$2,)</f>
        <v>44.965269591862238</v>
      </c>
      <c r="FA106" s="18">
        <f>IFERROR(CK106/'McDonough &amp; Sun 1995 values'!R$2,)</f>
        <v>58.117888599671872</v>
      </c>
      <c r="FB106" s="18">
        <f>IFERROR(CZ106/'McDonough &amp; Sun 1995 values'!S$2,)</f>
        <v>111.47907752698561</v>
      </c>
      <c r="FC106" s="18">
        <f>IFERROR(BT106/'McDonough &amp; Sun 1995 values'!T$2,)</f>
        <v>15.240854366975627</v>
      </c>
      <c r="FD106" s="18">
        <f>IFERROR(DA106/'McDonough &amp; Sun 1995 values'!U$2,)</f>
        <v>111.04000873163037</v>
      </c>
      <c r="FE106" s="18">
        <f>IFERROR(DN106/'McDonough &amp; Sun 1995 values'!V$2,)</f>
        <v>65.416958700234446</v>
      </c>
      <c r="FF106" s="18">
        <f>IFERROR(DB106/'McDonough &amp; Sun 1995 values'!W$2,)</f>
        <v>40.206123852348426</v>
      </c>
      <c r="FG106" s="18">
        <f>IFERROR(CJ106/'McDonough &amp; Sun 1995 values'!X$2,)</f>
        <v>18.293172731520865</v>
      </c>
      <c r="FH106" s="18">
        <f>IFERROR(DC106/'McDonough &amp; Sun 1995 values'!Y$2,)</f>
        <v>23.400926223925111</v>
      </c>
      <c r="FI106" s="18">
        <f>IFERROR(DD106/'McDonough &amp; Sun 1995 values'!Z$2,)</f>
        <v>18.441554094504262</v>
      </c>
      <c r="FJ106" s="18">
        <f>IFERROR(DE106/'McDonough &amp; Sun 1995 values'!AA$2,)</f>
        <v>0</v>
      </c>
      <c r="FK106" s="18">
        <f>IFERROR(DF106/'McDonough &amp; Sun 1995 values'!AB$2,)</f>
        <v>3.7603212162768576</v>
      </c>
      <c r="FL106" s="18">
        <f>IFERROR(DG106/'McDonough &amp; Sun 1995 values'!AC$2,)</f>
        <v>8.1862737932375431</v>
      </c>
      <c r="FN106" s="28">
        <f>IFERROR(BR106/DM106,)</f>
        <v>0</v>
      </c>
      <c r="FO106" s="4">
        <f t="shared" si="231"/>
        <v>8.273912963482168</v>
      </c>
      <c r="FP106" s="4">
        <f t="shared" si="232"/>
        <v>7.2895622010823153</v>
      </c>
      <c r="FQ106" s="4">
        <f t="shared" si="233"/>
        <v>2.6428467588023432</v>
      </c>
      <c r="FR106" s="4">
        <f t="shared" si="234"/>
        <v>3.5623210351493015</v>
      </c>
      <c r="FS106" s="4">
        <f t="shared" si="235"/>
        <v>32.438712392684813</v>
      </c>
      <c r="FT106" s="4">
        <f t="shared" si="236"/>
        <v>0</v>
      </c>
      <c r="FU106" s="4">
        <f t="shared" si="237"/>
        <v>0.10981696782615309</v>
      </c>
      <c r="FV106" s="4">
        <f t="shared" si="238"/>
        <v>0.34276972626903035</v>
      </c>
      <c r="FW106" s="4">
        <f t="shared" si="239"/>
        <v>1.2925061748143056</v>
      </c>
      <c r="FX106" s="4">
        <f t="shared" si="240"/>
        <v>0.79459416719149178</v>
      </c>
      <c r="FY106" s="4">
        <f t="shared" si="241"/>
        <v>0.4820331548844885</v>
      </c>
      <c r="FZ106" s="4">
        <f t="shared" si="242"/>
        <v>0.81245616304691703</v>
      </c>
      <c r="GA106" s="4">
        <f t="shared" si="243"/>
        <v>0.42625719992671207</v>
      </c>
      <c r="GB106" s="4">
        <f t="shared" si="244"/>
        <v>0.65748522200898751</v>
      </c>
      <c r="GC106" s="4">
        <f t="shared" si="245"/>
        <v>0</v>
      </c>
      <c r="GD106" s="4">
        <f t="shared" si="246"/>
        <v>3.130682070734836</v>
      </c>
      <c r="GE106" s="4">
        <f t="shared" si="247"/>
        <v>3.2155246246110467</v>
      </c>
      <c r="GF106" s="4">
        <f t="shared" si="248"/>
        <v>0</v>
      </c>
      <c r="GG106" s="4">
        <f t="shared" si="249"/>
        <v>22.821301686434772</v>
      </c>
      <c r="GH106" s="4">
        <f t="shared" si="250"/>
        <v>3.9854039175891622</v>
      </c>
      <c r="GI106" s="4">
        <f t="shared" si="251"/>
        <v>17.148344794462929</v>
      </c>
      <c r="GJ106" s="4">
        <f t="shared" si="252"/>
        <v>72.316495441703267</v>
      </c>
      <c r="GK106" s="4">
        <f t="shared" si="253"/>
        <v>773.22276610606434</v>
      </c>
      <c r="GL106" s="4">
        <f t="shared" si="254"/>
        <v>3.8132959741157015</v>
      </c>
      <c r="GM106" s="4">
        <f t="shared" si="255"/>
        <v>1.0271003417016715</v>
      </c>
      <c r="GN106" s="4">
        <f t="shared" si="256"/>
        <v>0.28071585635686219</v>
      </c>
      <c r="GO106" s="4">
        <f t="shared" si="257"/>
        <v>0.36255219255965015</v>
      </c>
      <c r="GP106" s="4">
        <f t="shared" si="258"/>
        <v>0</v>
      </c>
      <c r="GQ106" s="27">
        <f t="shared" si="259"/>
        <v>124133.06204823902</v>
      </c>
      <c r="GR106" s="28" t="str">
        <f t="shared" si="260"/>
        <v/>
      </c>
      <c r="GS106" s="28" t="str">
        <f t="shared" si="261"/>
        <v/>
      </c>
      <c r="GT106" s="28" t="str">
        <f t="shared" si="262"/>
        <v/>
      </c>
      <c r="GU106" s="28" t="str">
        <f t="shared" si="263"/>
        <v/>
      </c>
      <c r="GV106" s="28" t="str">
        <f t="shared" si="264"/>
        <v/>
      </c>
      <c r="GW106" s="28" t="str">
        <f t="shared" si="265"/>
        <v/>
      </c>
      <c r="GX106" s="28" t="str">
        <f t="shared" si="266"/>
        <v/>
      </c>
      <c r="GY106" s="28" t="str">
        <f t="shared" si="267"/>
        <v/>
      </c>
      <c r="GZ106" s="28" t="str">
        <f t="shared" si="268"/>
        <v/>
      </c>
      <c r="HA106" s="28" t="str">
        <f t="shared" si="269"/>
        <v/>
      </c>
      <c r="HB106" s="28" t="str">
        <f t="shared" si="270"/>
        <v/>
      </c>
      <c r="HC106" s="28" t="str">
        <f t="shared" si="271"/>
        <v/>
      </c>
      <c r="HD106" s="28" t="str">
        <f t="shared" si="272"/>
        <v/>
      </c>
      <c r="HE106" s="28" t="str">
        <f t="shared" si="273"/>
        <v/>
      </c>
      <c r="HF106" s="28" t="str">
        <f t="shared" si="274"/>
        <v/>
      </c>
      <c r="HG106" s="28" t="str">
        <f t="shared" si="275"/>
        <v/>
      </c>
      <c r="HH106" s="28" t="str">
        <f t="shared" si="276"/>
        <v/>
      </c>
      <c r="HI106" s="28" t="str">
        <f t="shared" si="277"/>
        <v/>
      </c>
      <c r="HJ106" s="28" t="str">
        <f t="shared" si="278"/>
        <v/>
      </c>
      <c r="HK106" s="28" t="str">
        <f t="shared" si="279"/>
        <v/>
      </c>
      <c r="HL106" s="28" t="str">
        <f t="shared" si="280"/>
        <v/>
      </c>
      <c r="HM106" s="28" t="str">
        <f t="shared" si="281"/>
        <v/>
      </c>
      <c r="HN106" s="28" t="str">
        <f t="shared" si="282"/>
        <v/>
      </c>
      <c r="HO106" s="28" t="str">
        <f t="shared" si="283"/>
        <v/>
      </c>
      <c r="HP106" s="28" t="str">
        <f t="shared" si="284"/>
        <v/>
      </c>
      <c r="HQ106" s="28" t="str">
        <f t="shared" si="285"/>
        <v/>
      </c>
      <c r="HR106" s="28" t="str">
        <f t="shared" si="286"/>
        <v/>
      </c>
      <c r="HT106" s="4">
        <f>IFERROR(GR106/'McDonough &amp; Sun 1995 values'!C$2,)</f>
        <v>0</v>
      </c>
      <c r="HU106" s="4">
        <f>IFERROR(GS106/'McDonough &amp; Sun 1995 values'!D$2,)</f>
        <v>0</v>
      </c>
      <c r="HV106" s="4">
        <f>IFERROR(GT106/'McDonough &amp; Sun 1995 values'!E$2,)</f>
        <v>0</v>
      </c>
      <c r="HW106" s="4">
        <f>IFERROR(GU106/'McDonough &amp; Sun 1995 values'!F$2,)</f>
        <v>0</v>
      </c>
      <c r="HX106" s="4">
        <f>IFERROR(GV106/'McDonough &amp; Sun 1995 values'!G$2,)</f>
        <v>0</v>
      </c>
      <c r="HY106" s="4">
        <f>IFERROR(GW106/'McDonough &amp; Sun 1995 values'!H$2,)</f>
        <v>0</v>
      </c>
      <c r="HZ106" s="4">
        <f>IFERROR(GX106/'McDonough &amp; Sun 1995 values'!I$2,)</f>
        <v>0</v>
      </c>
      <c r="IA106" s="4">
        <f>IFERROR(GY106/'McDonough &amp; Sun 1995 values'!J$2,)</f>
        <v>0</v>
      </c>
      <c r="IB106" s="4">
        <f>IFERROR(GZ106/'McDonough &amp; Sun 1995 values'!K$2,)</f>
        <v>0</v>
      </c>
      <c r="IC106" s="4">
        <f>IFERROR(HA106/'McDonough &amp; Sun 1995 values'!L$2,)</f>
        <v>0</v>
      </c>
      <c r="ID106" s="4">
        <f>IFERROR(HB106/'McDonough &amp; Sun 1995 values'!M$2,)</f>
        <v>0</v>
      </c>
      <c r="IE106" s="4">
        <f>IFERROR(HC106/'McDonough &amp; Sun 1995 values'!N$2,)</f>
        <v>0</v>
      </c>
      <c r="IF106" s="4">
        <f>IFERROR(HD106/'McDonough &amp; Sun 1995 values'!O$2,)</f>
        <v>0</v>
      </c>
      <c r="IG106" s="4">
        <f>IFERROR(HE106/'McDonough &amp; Sun 1995 values'!P$2,)</f>
        <v>0</v>
      </c>
      <c r="IH106" s="4">
        <f>IFERROR(HF106/'McDonough &amp; Sun 1995 values'!Q$2,)</f>
        <v>0</v>
      </c>
      <c r="II106" s="4">
        <f>IFERROR(HG106/'McDonough &amp; Sun 1995 values'!R$2,)</f>
        <v>0</v>
      </c>
      <c r="IJ106" s="4">
        <f>IFERROR(HH106/'McDonough &amp; Sun 1995 values'!S$2,)</f>
        <v>0</v>
      </c>
      <c r="IK106" s="4">
        <f>IFERROR(HI106/'McDonough &amp; Sun 1995 values'!T$2,)</f>
        <v>0</v>
      </c>
      <c r="IL106" s="4">
        <f>IFERROR(HJ106/'McDonough &amp; Sun 1995 values'!U$2,)</f>
        <v>0</v>
      </c>
      <c r="IM106" s="4">
        <f>IFERROR(HK106/'McDonough &amp; Sun 1995 values'!V$2,)</f>
        <v>0</v>
      </c>
      <c r="IN106" s="4">
        <f>IFERROR(HL106/'McDonough &amp; Sun 1995 values'!W$2,)</f>
        <v>0</v>
      </c>
      <c r="IO106" s="4">
        <f>IFERROR(HM106/'McDonough &amp; Sun 1995 values'!X$2,)</f>
        <v>0</v>
      </c>
      <c r="IP106" s="4">
        <f>IFERROR(HN106/'McDonough &amp; Sun 1995 values'!Y$2,)</f>
        <v>0</v>
      </c>
      <c r="IQ106" s="4">
        <f>IFERROR(HO106/'McDonough &amp; Sun 1995 values'!Z$2,)</f>
        <v>0</v>
      </c>
      <c r="IR106" s="4">
        <f>IFERROR(HP106/'McDonough &amp; Sun 1995 values'!AA$2,)</f>
        <v>0</v>
      </c>
      <c r="IS106" s="4">
        <f>IFERROR(HQ106/'McDonough &amp; Sun 1995 values'!AB$2,)</f>
        <v>0</v>
      </c>
      <c r="IT106" s="4">
        <f>IFERROR(HR106/'McDonough &amp; Sun 1995 values'!AC$2,)</f>
        <v>0</v>
      </c>
    </row>
    <row r="107" spans="1:254">
      <c r="A107" s="16" t="s">
        <v>847</v>
      </c>
      <c r="B107" s="16" t="s">
        <v>24</v>
      </c>
      <c r="C107" s="16" t="str">
        <f t="shared" si="144"/>
        <v>saline</v>
      </c>
      <c r="D107" s="16" t="s">
        <v>546</v>
      </c>
      <c r="E107" s="16" t="s">
        <v>1394</v>
      </c>
      <c r="F107" s="16" t="s">
        <v>1728</v>
      </c>
      <c r="G107" s="16" t="s">
        <v>595</v>
      </c>
      <c r="H107" s="27">
        <v>84</v>
      </c>
      <c r="I107" s="16" t="s">
        <v>1148</v>
      </c>
      <c r="J107" s="16">
        <v>0</v>
      </c>
      <c r="K107" s="16">
        <v>0</v>
      </c>
      <c r="L107" s="16" t="s">
        <v>571</v>
      </c>
      <c r="M107" s="16" t="s">
        <v>545</v>
      </c>
      <c r="N107" s="16">
        <v>19</v>
      </c>
      <c r="O107" s="26">
        <v>2.14</v>
      </c>
      <c r="P107" s="26"/>
      <c r="Q107" s="26">
        <v>0.76</v>
      </c>
      <c r="R107" s="26"/>
      <c r="S107" s="26">
        <v>6.63</v>
      </c>
      <c r="T107" s="26">
        <v>5.52</v>
      </c>
      <c r="U107" s="26"/>
      <c r="V107" s="26">
        <v>5.29</v>
      </c>
      <c r="W107" s="26">
        <v>21.48</v>
      </c>
      <c r="X107" s="26">
        <v>24.28</v>
      </c>
      <c r="Y107" s="26"/>
      <c r="Z107" s="26">
        <v>0.56000000000000005</v>
      </c>
      <c r="AA107" s="26"/>
      <c r="AB107" s="26"/>
      <c r="AC107" s="26"/>
      <c r="AD107" s="26">
        <v>33.33</v>
      </c>
      <c r="AE107" s="26"/>
      <c r="AF107" s="26"/>
      <c r="AG107" s="26"/>
      <c r="AH107" s="26"/>
      <c r="AI107" s="26">
        <v>9.08</v>
      </c>
      <c r="AJ107" s="26">
        <f t="shared" si="145"/>
        <v>99.23</v>
      </c>
      <c r="AK107" s="26">
        <f t="shared" ref="AK107:AK138" si="288">100*(O107/($AJ107-$AD107*8/35.45))</f>
        <v>2.3334825665509151</v>
      </c>
      <c r="AL107" s="26">
        <f t="shared" ref="AL107:AL138" si="289">100*(P107/($AJ107-$AD107*8/35.45))</f>
        <v>0</v>
      </c>
      <c r="AM107" s="26">
        <f t="shared" ref="AM107:AM138" si="290">100*(R107/($AJ107-$AD107*8/35.45))</f>
        <v>0</v>
      </c>
      <c r="AN107" s="26">
        <f t="shared" ref="AN107:AN138" si="291">100*(S107/($AJ107-$AD107*8/35.45))</f>
        <v>7.2294343066507309</v>
      </c>
      <c r="AO107" s="26">
        <f t="shared" ref="AO107:AO138" si="292">100*(T107/($AJ107-$AD107*8/35.45))</f>
        <v>6.0190765268042279</v>
      </c>
      <c r="AP107" s="26">
        <f t="shared" ref="AP107:AP138" si="293">100*(V107/($AJ107-$AD107*8/35.45))</f>
        <v>5.7682816715207199</v>
      </c>
      <c r="AQ107" s="26">
        <f t="shared" ref="AQ107:AQ138" si="294">100*(AB107/($AJ107-$AD107*8/35.45))</f>
        <v>0</v>
      </c>
      <c r="AR107" s="26">
        <f t="shared" ref="AR107:AR138" si="295">100*(W107/($AJ107-$AD107*8/35.45))</f>
        <v>23.422058658651242</v>
      </c>
      <c r="AS107" s="26">
        <f t="shared" ref="AS107:AS138" si="296">100*(X107/($AJ107-$AD107*8/35.45))</f>
        <v>26.475213418624399</v>
      </c>
      <c r="AT107" s="26">
        <f t="shared" ref="AT107:AT138" si="297">100*(Z107/($AJ107-$AD107*8/35.45))</f>
        <v>0.61063095199463191</v>
      </c>
      <c r="AU107" s="26">
        <f t="shared" ref="AU107:AU138" si="298">100*(AD107/($AJ107-$AD107*8/35.45))</f>
        <v>36.343445767823354</v>
      </c>
      <c r="AV107" s="26">
        <f t="shared" si="146"/>
        <v>108.20162386862022</v>
      </c>
      <c r="AW107" s="16"/>
      <c r="AX107" s="16"/>
      <c r="AY107" s="16"/>
      <c r="AZ107" s="16"/>
      <c r="BA107" s="26"/>
      <c r="BB107" s="26"/>
      <c r="BC107" s="26"/>
      <c r="BD107" s="26"/>
      <c r="BE107" s="16" t="s">
        <v>1476</v>
      </c>
      <c r="BF107" s="16"/>
      <c r="BG107" s="16" t="s">
        <v>540</v>
      </c>
      <c r="BH107" s="16"/>
      <c r="BI107" s="16"/>
      <c r="BJ107" s="16"/>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v>0</v>
      </c>
      <c r="CM107" s="18">
        <v>0</v>
      </c>
      <c r="CN107" s="18">
        <v>0</v>
      </c>
      <c r="CO107" s="18">
        <v>0</v>
      </c>
      <c r="CP107" s="18">
        <v>0</v>
      </c>
      <c r="CQ107" s="18">
        <v>0</v>
      </c>
      <c r="CR107" s="18">
        <v>0</v>
      </c>
      <c r="CS107" s="18">
        <v>0</v>
      </c>
      <c r="CT107" s="18">
        <v>0</v>
      </c>
      <c r="CU107" s="18">
        <v>0</v>
      </c>
      <c r="CV107" s="18">
        <v>0</v>
      </c>
      <c r="CW107" s="18">
        <v>0</v>
      </c>
      <c r="CX107" s="18">
        <v>0</v>
      </c>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28"/>
      <c r="DW107" s="28"/>
      <c r="DX107" s="28"/>
      <c r="DY107" s="28"/>
      <c r="DZ107" s="28"/>
      <c r="EA107" s="28"/>
      <c r="EB107" s="28"/>
      <c r="EC107" s="28"/>
      <c r="ED107" s="28"/>
      <c r="EE107" s="28"/>
      <c r="EF107" s="28"/>
      <c r="EG107" s="28"/>
      <c r="EH107" s="28"/>
      <c r="EI107" s="28"/>
      <c r="EJ107" s="18"/>
      <c r="EK107" s="18"/>
      <c r="EL107" s="18">
        <f>IFERROR(CR107/'McDonough &amp; Sun 1995 values'!C$2,)</f>
        <v>0</v>
      </c>
      <c r="EM107" s="18">
        <f>IFERROR(CH107/'McDonough &amp; Sun 1995 values'!D$2,)</f>
        <v>0</v>
      </c>
      <c r="EN107" s="18">
        <f>IFERROR(CS107/'McDonough &amp; Sun 1995 values'!E$2,)</f>
        <v>0</v>
      </c>
      <c r="EO107" s="18">
        <f>IFERROR(DL107/'McDonough &amp; Sun 1995 values'!F$2,)</f>
        <v>0</v>
      </c>
      <c r="EP107" s="18">
        <f>IFERROR(DM107/'McDonough &amp; Sun 1995 values'!G$2,)</f>
        <v>0</v>
      </c>
      <c r="EQ107" s="18">
        <f>IFERROR(BR107/'McDonough &amp; Sun 1995 values'!H$2,)</f>
        <v>0</v>
      </c>
      <c r="ER107" s="18">
        <f>IFERROR(DI107/'McDonough &amp; Sun 1995 values'!I$2,)</f>
        <v>0</v>
      </c>
      <c r="ES107" s="18">
        <f>IFERROR(CM107/'McDonough &amp; Sun 1995 values'!J$2,)</f>
        <v>0</v>
      </c>
      <c r="ET107" s="18">
        <f>IFERROR(CU107/'McDonough &amp; Sun 1995 values'!K$2,)</f>
        <v>0</v>
      </c>
      <c r="EU107" s="18">
        <f>IFERROR(CV107/'McDonough &amp; Sun 1995 values'!L$2,)</f>
        <v>0</v>
      </c>
      <c r="EV107" s="18">
        <f>IFERROR(CW107/'McDonough &amp; Sun 1995 values'!M$2,)</f>
        <v>0</v>
      </c>
      <c r="EW107" s="18">
        <f>IFERROR(CI107/'McDonough &amp; Sun 1995 values'!N$2,)</f>
        <v>0</v>
      </c>
      <c r="EX107" s="18">
        <f>IFERROR(CX107/'McDonough &amp; Sun 1995 values'!O$2,)</f>
        <v>0</v>
      </c>
      <c r="EY107" s="18">
        <f>IFERROR(CY107/'McDonough &amp; Sun 1995 values'!P$2,)</f>
        <v>0</v>
      </c>
      <c r="EZ107" s="18">
        <f>IFERROR(DH107/'McDonough &amp; Sun 1995 values'!Q$2,)</f>
        <v>0</v>
      </c>
      <c r="FA107" s="18">
        <f>IFERROR(CK107/'McDonough &amp; Sun 1995 values'!R$2,)</f>
        <v>0</v>
      </c>
      <c r="FB107" s="18">
        <f>IFERROR(CZ107/'McDonough &amp; Sun 1995 values'!S$2,)</f>
        <v>0</v>
      </c>
      <c r="FC107" s="18">
        <f>IFERROR(BT107/'McDonough &amp; Sun 1995 values'!T$2,)</f>
        <v>0</v>
      </c>
      <c r="FD107" s="18">
        <f>IFERROR(DA107/'McDonough &amp; Sun 1995 values'!U$2,)</f>
        <v>0</v>
      </c>
      <c r="FE107" s="18">
        <f>IFERROR(DN107/'McDonough &amp; Sun 1995 values'!V$2,)</f>
        <v>0</v>
      </c>
      <c r="FF107" s="18">
        <f>IFERROR(DB107/'McDonough &amp; Sun 1995 values'!W$2,)</f>
        <v>0</v>
      </c>
      <c r="FG107" s="18">
        <f>IFERROR(CJ107/'McDonough &amp; Sun 1995 values'!X$2,)</f>
        <v>0</v>
      </c>
      <c r="FH107" s="18">
        <f>IFERROR(DC107/'McDonough &amp; Sun 1995 values'!Y$2,)</f>
        <v>0</v>
      </c>
      <c r="FI107" s="18">
        <f>IFERROR(DD107/'McDonough &amp; Sun 1995 values'!Z$2,)</f>
        <v>0</v>
      </c>
      <c r="FJ107" s="18">
        <f>IFERROR(DE107/'McDonough &amp; Sun 1995 values'!AA$2,)</f>
        <v>0</v>
      </c>
      <c r="FK107" s="18">
        <f>IFERROR(DF107/'McDonough &amp; Sun 1995 values'!AB$2,)</f>
        <v>0</v>
      </c>
      <c r="FL107" s="18">
        <f>IFERROR(DG107/'McDonough &amp; Sun 1995 values'!AC$2,)</f>
        <v>0</v>
      </c>
      <c r="FN107" s="28">
        <f t="shared" ref="FN107:FN169" si="299">IFERROR(EP107/EQ107,)</f>
        <v>0</v>
      </c>
      <c r="FO107" s="4">
        <f t="shared" si="231"/>
        <v>0</v>
      </c>
      <c r="FP107" s="4">
        <f t="shared" si="232"/>
        <v>0</v>
      </c>
      <c r="FQ107" s="4">
        <f t="shared" si="233"/>
        <v>0</v>
      </c>
      <c r="FR107" s="4">
        <f t="shared" si="234"/>
        <v>0</v>
      </c>
      <c r="FS107" s="4">
        <f t="shared" si="235"/>
        <v>0</v>
      </c>
      <c r="FT107" s="4">
        <f t="shared" si="236"/>
        <v>0</v>
      </c>
      <c r="FU107" s="4">
        <f t="shared" si="237"/>
        <v>0</v>
      </c>
      <c r="FV107" s="4">
        <f t="shared" si="238"/>
        <v>0</v>
      </c>
      <c r="FW107" s="4">
        <f t="shared" si="239"/>
        <v>0</v>
      </c>
      <c r="FX107" s="4">
        <f t="shared" si="240"/>
        <v>0</v>
      </c>
      <c r="FY107" s="4">
        <f t="shared" si="241"/>
        <v>0</v>
      </c>
      <c r="FZ107" s="4">
        <f t="shared" si="242"/>
        <v>0</v>
      </c>
      <c r="GA107" s="4">
        <f t="shared" si="243"/>
        <v>0</v>
      </c>
      <c r="GB107" s="4">
        <f t="shared" si="244"/>
        <v>0</v>
      </c>
      <c r="GC107" s="4">
        <f t="shared" si="245"/>
        <v>0</v>
      </c>
      <c r="GD107" s="4">
        <f t="shared" si="246"/>
        <v>0</v>
      </c>
      <c r="GE107" s="4">
        <f t="shared" si="247"/>
        <v>0</v>
      </c>
      <c r="GF107" s="4">
        <f t="shared" si="248"/>
        <v>0</v>
      </c>
      <c r="GG107" s="4">
        <f t="shared" si="249"/>
        <v>0</v>
      </c>
      <c r="GH107" s="4">
        <f t="shared" si="250"/>
        <v>0</v>
      </c>
      <c r="GI107" s="4">
        <f t="shared" si="251"/>
        <v>0</v>
      </c>
      <c r="GJ107" s="4">
        <f t="shared" si="252"/>
        <v>0</v>
      </c>
      <c r="GK107" s="4">
        <f t="shared" si="253"/>
        <v>0</v>
      </c>
      <c r="GL107" s="4">
        <f t="shared" si="254"/>
        <v>0</v>
      </c>
      <c r="GM107" s="4">
        <f t="shared" si="255"/>
        <v>0</v>
      </c>
      <c r="GN107" s="4">
        <f t="shared" si="256"/>
        <v>0</v>
      </c>
      <c r="GO107" s="4">
        <f t="shared" si="257"/>
        <v>0</v>
      </c>
      <c r="GP107" s="4">
        <f t="shared" si="258"/>
        <v>0</v>
      </c>
      <c r="GQ107" s="27">
        <f t="shared" si="259"/>
        <v>219780.62308964154</v>
      </c>
      <c r="GR107" s="28" t="str">
        <f t="shared" si="260"/>
        <v/>
      </c>
      <c r="GS107" s="28" t="str">
        <f t="shared" si="261"/>
        <v/>
      </c>
      <c r="GT107" s="28" t="str">
        <f t="shared" si="262"/>
        <v/>
      </c>
      <c r="GU107" s="28" t="str">
        <f t="shared" si="263"/>
        <v/>
      </c>
      <c r="GV107" s="28" t="str">
        <f t="shared" si="264"/>
        <v/>
      </c>
      <c r="GW107" s="28" t="str">
        <f t="shared" si="265"/>
        <v/>
      </c>
      <c r="GX107" s="28" t="str">
        <f t="shared" si="266"/>
        <v/>
      </c>
      <c r="GY107" s="28" t="str">
        <f t="shared" si="267"/>
        <v/>
      </c>
      <c r="GZ107" s="28" t="str">
        <f t="shared" si="268"/>
        <v/>
      </c>
      <c r="HA107" s="28" t="str">
        <f t="shared" si="269"/>
        <v/>
      </c>
      <c r="HB107" s="28" t="str">
        <f t="shared" si="270"/>
        <v/>
      </c>
      <c r="HC107" s="28" t="str">
        <f t="shared" si="271"/>
        <v/>
      </c>
      <c r="HD107" s="28" t="str">
        <f t="shared" si="272"/>
        <v/>
      </c>
      <c r="HE107" s="28" t="str">
        <f t="shared" si="273"/>
        <v/>
      </c>
      <c r="HF107" s="28" t="str">
        <f t="shared" si="274"/>
        <v/>
      </c>
      <c r="HG107" s="28" t="str">
        <f t="shared" si="275"/>
        <v/>
      </c>
      <c r="HH107" s="28" t="str">
        <f t="shared" si="276"/>
        <v/>
      </c>
      <c r="HI107" s="28" t="str">
        <f t="shared" si="277"/>
        <v/>
      </c>
      <c r="HJ107" s="28" t="str">
        <f t="shared" si="278"/>
        <v/>
      </c>
      <c r="HK107" s="28" t="str">
        <f t="shared" si="279"/>
        <v/>
      </c>
      <c r="HL107" s="28" t="str">
        <f t="shared" si="280"/>
        <v/>
      </c>
      <c r="HM107" s="28" t="str">
        <f t="shared" si="281"/>
        <v/>
      </c>
      <c r="HN107" s="28" t="str">
        <f t="shared" si="282"/>
        <v/>
      </c>
      <c r="HO107" s="28" t="str">
        <f t="shared" si="283"/>
        <v/>
      </c>
      <c r="HP107" s="28" t="str">
        <f t="shared" si="284"/>
        <v/>
      </c>
      <c r="HQ107" s="28" t="str">
        <f t="shared" si="285"/>
        <v/>
      </c>
      <c r="HR107" s="28" t="str">
        <f t="shared" si="286"/>
        <v/>
      </c>
      <c r="HT107" s="4">
        <f>IFERROR(GR107/'McDonough &amp; Sun 1995 values'!C$2,)</f>
        <v>0</v>
      </c>
      <c r="HU107" s="4">
        <f>IFERROR(GS107/'McDonough &amp; Sun 1995 values'!D$2,)</f>
        <v>0</v>
      </c>
      <c r="HV107" s="4">
        <f>IFERROR(GT107/'McDonough &amp; Sun 1995 values'!E$2,)</f>
        <v>0</v>
      </c>
      <c r="HW107" s="4">
        <f>IFERROR(GU107/'McDonough &amp; Sun 1995 values'!F$2,)</f>
        <v>0</v>
      </c>
      <c r="HX107" s="4">
        <f>IFERROR(GV107/'McDonough &amp; Sun 1995 values'!G$2,)</f>
        <v>0</v>
      </c>
      <c r="HY107" s="4">
        <f>IFERROR(GW107/'McDonough &amp; Sun 1995 values'!H$2,)</f>
        <v>0</v>
      </c>
      <c r="HZ107" s="4">
        <f>IFERROR(GX107/'McDonough &amp; Sun 1995 values'!I$2,)</f>
        <v>0</v>
      </c>
      <c r="IA107" s="4">
        <f>IFERROR(GY107/'McDonough &amp; Sun 1995 values'!J$2,)</f>
        <v>0</v>
      </c>
      <c r="IB107" s="4">
        <f>IFERROR(GZ107/'McDonough &amp; Sun 1995 values'!K$2,)</f>
        <v>0</v>
      </c>
      <c r="IC107" s="4">
        <f>IFERROR(HA107/'McDonough &amp; Sun 1995 values'!L$2,)</f>
        <v>0</v>
      </c>
      <c r="ID107" s="4">
        <f>IFERROR(HB107/'McDonough &amp; Sun 1995 values'!M$2,)</f>
        <v>0</v>
      </c>
      <c r="IE107" s="4">
        <f>IFERROR(HC107/'McDonough &amp; Sun 1995 values'!N$2,)</f>
        <v>0</v>
      </c>
      <c r="IF107" s="4">
        <f>IFERROR(HD107/'McDonough &amp; Sun 1995 values'!O$2,)</f>
        <v>0</v>
      </c>
      <c r="IG107" s="4">
        <f>IFERROR(HE107/'McDonough &amp; Sun 1995 values'!P$2,)</f>
        <v>0</v>
      </c>
      <c r="IH107" s="4">
        <f>IFERROR(HF107/'McDonough &amp; Sun 1995 values'!Q$2,)</f>
        <v>0</v>
      </c>
      <c r="II107" s="4">
        <f>IFERROR(HG107/'McDonough &amp; Sun 1995 values'!R$2,)</f>
        <v>0</v>
      </c>
      <c r="IJ107" s="4">
        <f>IFERROR(HH107/'McDonough &amp; Sun 1995 values'!S$2,)</f>
        <v>0</v>
      </c>
      <c r="IK107" s="4">
        <f>IFERROR(HI107/'McDonough &amp; Sun 1995 values'!T$2,)</f>
        <v>0</v>
      </c>
      <c r="IL107" s="4">
        <f>IFERROR(HJ107/'McDonough &amp; Sun 1995 values'!U$2,)</f>
        <v>0</v>
      </c>
      <c r="IM107" s="4">
        <f>IFERROR(HK107/'McDonough &amp; Sun 1995 values'!V$2,)</f>
        <v>0</v>
      </c>
      <c r="IN107" s="4">
        <f>IFERROR(HL107/'McDonough &amp; Sun 1995 values'!W$2,)</f>
        <v>0</v>
      </c>
      <c r="IO107" s="4">
        <f>IFERROR(HM107/'McDonough &amp; Sun 1995 values'!X$2,)</f>
        <v>0</v>
      </c>
      <c r="IP107" s="4">
        <f>IFERROR(HN107/'McDonough &amp; Sun 1995 values'!Y$2,)</f>
        <v>0</v>
      </c>
      <c r="IQ107" s="4">
        <f>IFERROR(HO107/'McDonough &amp; Sun 1995 values'!Z$2,)</f>
        <v>0</v>
      </c>
      <c r="IR107" s="4">
        <f>IFERROR(HP107/'McDonough &amp; Sun 1995 values'!AA$2,)</f>
        <v>0</v>
      </c>
      <c r="IS107" s="4">
        <f>IFERROR(HQ107/'McDonough &amp; Sun 1995 values'!AB$2,)</f>
        <v>0</v>
      </c>
      <c r="IT107" s="4">
        <f>IFERROR(HR107/'McDonough &amp; Sun 1995 values'!AC$2,)</f>
        <v>0</v>
      </c>
    </row>
    <row r="108" spans="1:254">
      <c r="A108" s="16" t="s">
        <v>847</v>
      </c>
      <c r="B108" s="16" t="s">
        <v>24</v>
      </c>
      <c r="C108" s="16" t="str">
        <f t="shared" si="144"/>
        <v>saline</v>
      </c>
      <c r="D108" s="16" t="s">
        <v>546</v>
      </c>
      <c r="E108" s="16" t="s">
        <v>1394</v>
      </c>
      <c r="F108" s="16" t="s">
        <v>1728</v>
      </c>
      <c r="G108" s="16" t="s">
        <v>595</v>
      </c>
      <c r="H108" s="27">
        <v>84</v>
      </c>
      <c r="I108" s="16" t="s">
        <v>1148</v>
      </c>
      <c r="J108" s="16">
        <v>0</v>
      </c>
      <c r="K108" s="16">
        <v>0</v>
      </c>
      <c r="L108" s="16" t="s">
        <v>161</v>
      </c>
      <c r="M108" s="16" t="s">
        <v>547</v>
      </c>
      <c r="N108" s="16">
        <v>17</v>
      </c>
      <c r="O108" s="26">
        <v>4.04</v>
      </c>
      <c r="P108" s="26"/>
      <c r="Q108" s="26">
        <v>0.19</v>
      </c>
      <c r="R108" s="26"/>
      <c r="S108" s="26">
        <v>10.75</v>
      </c>
      <c r="T108" s="26">
        <v>0.4</v>
      </c>
      <c r="U108" s="26"/>
      <c r="V108" s="26">
        <v>3.44</v>
      </c>
      <c r="W108" s="26">
        <v>4.13</v>
      </c>
      <c r="X108" s="26">
        <v>40.08</v>
      </c>
      <c r="Y108" s="26"/>
      <c r="Z108" s="26">
        <v>0.24</v>
      </c>
      <c r="AA108" s="26"/>
      <c r="AB108" s="26"/>
      <c r="AC108" s="26"/>
      <c r="AD108" s="26">
        <v>36.729999999999997</v>
      </c>
      <c r="AE108" s="26"/>
      <c r="AF108" s="26"/>
      <c r="AG108" s="26"/>
      <c r="AH108" s="26"/>
      <c r="AI108" s="26">
        <v>13.06</v>
      </c>
      <c r="AJ108" s="26">
        <f t="shared" si="145"/>
        <v>99.81</v>
      </c>
      <c r="AK108" s="26">
        <f t="shared" si="288"/>
        <v>4.4142805603890611</v>
      </c>
      <c r="AL108" s="26">
        <f t="shared" si="289"/>
        <v>0</v>
      </c>
      <c r="AM108" s="26">
        <f t="shared" si="290"/>
        <v>0</v>
      </c>
      <c r="AN108" s="26">
        <f t="shared" si="291"/>
        <v>11.745919807965942</v>
      </c>
      <c r="AO108" s="26">
        <f t="shared" si="292"/>
        <v>0.43705748122663979</v>
      </c>
      <c r="AP108" s="26">
        <f t="shared" si="293"/>
        <v>3.758694338549101</v>
      </c>
      <c r="AQ108" s="26">
        <f t="shared" si="294"/>
        <v>0</v>
      </c>
      <c r="AR108" s="26">
        <f t="shared" si="295"/>
        <v>4.5126184936650553</v>
      </c>
      <c r="AS108" s="26">
        <f t="shared" si="296"/>
        <v>43.793159618909293</v>
      </c>
      <c r="AT108" s="26">
        <f t="shared" si="297"/>
        <v>0.26223448873598382</v>
      </c>
      <c r="AU108" s="26">
        <f t="shared" si="298"/>
        <v>40.132803213636187</v>
      </c>
      <c r="AV108" s="26">
        <f t="shared" si="146"/>
        <v>109.05676800307725</v>
      </c>
      <c r="AW108" s="16"/>
      <c r="AX108" s="16"/>
      <c r="AY108" s="16"/>
      <c r="AZ108" s="16"/>
      <c r="BA108" s="26"/>
      <c r="BB108" s="26"/>
      <c r="BC108" s="26"/>
      <c r="BD108" s="26"/>
      <c r="BE108" s="16" t="s">
        <v>1477</v>
      </c>
      <c r="BF108" s="16"/>
      <c r="BG108" s="16">
        <v>330</v>
      </c>
      <c r="BH108" s="16"/>
      <c r="BI108" s="16"/>
      <c r="BJ108" s="16"/>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v>0</v>
      </c>
      <c r="CM108" s="18">
        <v>0</v>
      </c>
      <c r="CN108" s="18">
        <v>0</v>
      </c>
      <c r="CO108" s="18">
        <v>0</v>
      </c>
      <c r="CP108" s="18">
        <v>0</v>
      </c>
      <c r="CQ108" s="18">
        <v>0</v>
      </c>
      <c r="CR108" s="18">
        <v>0</v>
      </c>
      <c r="CS108" s="18">
        <v>0</v>
      </c>
      <c r="CT108" s="18">
        <v>0</v>
      </c>
      <c r="CU108" s="18">
        <v>0</v>
      </c>
      <c r="CV108" s="18">
        <v>0</v>
      </c>
      <c r="CW108" s="18">
        <v>0</v>
      </c>
      <c r="CX108" s="18">
        <v>0</v>
      </c>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28"/>
      <c r="DW108" s="28"/>
      <c r="DX108" s="28"/>
      <c r="DY108" s="28"/>
      <c r="DZ108" s="28"/>
      <c r="EA108" s="28"/>
      <c r="EB108" s="28"/>
      <c r="EC108" s="28"/>
      <c r="ED108" s="28"/>
      <c r="EE108" s="28"/>
      <c r="EF108" s="28"/>
      <c r="EG108" s="28"/>
      <c r="EH108" s="28"/>
      <c r="EI108" s="28"/>
      <c r="EJ108" s="18"/>
      <c r="EK108" s="18"/>
      <c r="EL108" s="18">
        <f>IFERROR(CR108/'McDonough &amp; Sun 1995 values'!C$2,)</f>
        <v>0</v>
      </c>
      <c r="EM108" s="18">
        <f>IFERROR(CH108/'McDonough &amp; Sun 1995 values'!D$2,)</f>
        <v>0</v>
      </c>
      <c r="EN108" s="18">
        <f>IFERROR(CS108/'McDonough &amp; Sun 1995 values'!E$2,)</f>
        <v>0</v>
      </c>
      <c r="EO108" s="18">
        <f>IFERROR(DL108/'McDonough &amp; Sun 1995 values'!F$2,)</f>
        <v>0</v>
      </c>
      <c r="EP108" s="18">
        <f>IFERROR(DM108/'McDonough &amp; Sun 1995 values'!G$2,)</f>
        <v>0</v>
      </c>
      <c r="EQ108" s="18">
        <f>IFERROR(BR108/'McDonough &amp; Sun 1995 values'!H$2,)</f>
        <v>0</v>
      </c>
      <c r="ER108" s="18">
        <f>IFERROR(DI108/'McDonough &amp; Sun 1995 values'!I$2,)</f>
        <v>0</v>
      </c>
      <c r="ES108" s="18">
        <f>IFERROR(CM108/'McDonough &amp; Sun 1995 values'!J$2,)</f>
        <v>0</v>
      </c>
      <c r="ET108" s="18">
        <f>IFERROR(CU108/'McDonough &amp; Sun 1995 values'!K$2,)</f>
        <v>0</v>
      </c>
      <c r="EU108" s="18">
        <f>IFERROR(CV108/'McDonough &amp; Sun 1995 values'!L$2,)</f>
        <v>0</v>
      </c>
      <c r="EV108" s="18">
        <f>IFERROR(CW108/'McDonough &amp; Sun 1995 values'!M$2,)</f>
        <v>0</v>
      </c>
      <c r="EW108" s="18">
        <f>IFERROR(CI108/'McDonough &amp; Sun 1995 values'!N$2,)</f>
        <v>0</v>
      </c>
      <c r="EX108" s="18">
        <f>IFERROR(CX108/'McDonough &amp; Sun 1995 values'!O$2,)</f>
        <v>0</v>
      </c>
      <c r="EY108" s="18">
        <f>IFERROR(CY108/'McDonough &amp; Sun 1995 values'!P$2,)</f>
        <v>0</v>
      </c>
      <c r="EZ108" s="18">
        <f>IFERROR(DH108/'McDonough &amp; Sun 1995 values'!Q$2,)</f>
        <v>0</v>
      </c>
      <c r="FA108" s="18">
        <f>IFERROR(CK108/'McDonough &amp; Sun 1995 values'!R$2,)</f>
        <v>0</v>
      </c>
      <c r="FB108" s="18">
        <f>IFERROR(CZ108/'McDonough &amp; Sun 1995 values'!S$2,)</f>
        <v>0</v>
      </c>
      <c r="FC108" s="18">
        <f>IFERROR(BT108/'McDonough &amp; Sun 1995 values'!T$2,)</f>
        <v>0</v>
      </c>
      <c r="FD108" s="18">
        <f>IFERROR(DA108/'McDonough &amp; Sun 1995 values'!U$2,)</f>
        <v>0</v>
      </c>
      <c r="FE108" s="18">
        <f>IFERROR(DN108/'McDonough &amp; Sun 1995 values'!V$2,)</f>
        <v>0</v>
      </c>
      <c r="FF108" s="18">
        <f>IFERROR(DB108/'McDonough &amp; Sun 1995 values'!W$2,)</f>
        <v>0</v>
      </c>
      <c r="FG108" s="18">
        <f>IFERROR(CJ108/'McDonough &amp; Sun 1995 values'!X$2,)</f>
        <v>0</v>
      </c>
      <c r="FH108" s="18">
        <f>IFERROR(DC108/'McDonough &amp; Sun 1995 values'!Y$2,)</f>
        <v>0</v>
      </c>
      <c r="FI108" s="18">
        <f>IFERROR(DD108/'McDonough &amp; Sun 1995 values'!Z$2,)</f>
        <v>0</v>
      </c>
      <c r="FJ108" s="18">
        <f>IFERROR(DE108/'McDonough &amp; Sun 1995 values'!AA$2,)</f>
        <v>0</v>
      </c>
      <c r="FK108" s="18">
        <f>IFERROR(DF108/'McDonough &amp; Sun 1995 values'!AB$2,)</f>
        <v>0</v>
      </c>
      <c r="FL108" s="18">
        <f>IFERROR(DG108/'McDonough &amp; Sun 1995 values'!AC$2,)</f>
        <v>0</v>
      </c>
      <c r="FN108" s="28">
        <f t="shared" si="299"/>
        <v>0</v>
      </c>
      <c r="FO108" s="4">
        <f t="shared" si="231"/>
        <v>0</v>
      </c>
      <c r="FP108" s="4">
        <f t="shared" si="232"/>
        <v>0</v>
      </c>
      <c r="FQ108" s="4">
        <f t="shared" si="233"/>
        <v>0</v>
      </c>
      <c r="FR108" s="4">
        <f t="shared" si="234"/>
        <v>0</v>
      </c>
      <c r="FS108" s="4">
        <f t="shared" si="235"/>
        <v>0</v>
      </c>
      <c r="FT108" s="4">
        <f t="shared" si="236"/>
        <v>0</v>
      </c>
      <c r="FU108" s="4">
        <f t="shared" si="237"/>
        <v>0</v>
      </c>
      <c r="FV108" s="4">
        <f t="shared" si="238"/>
        <v>0</v>
      </c>
      <c r="FW108" s="4">
        <f t="shared" si="239"/>
        <v>0</v>
      </c>
      <c r="FX108" s="4">
        <f t="shared" si="240"/>
        <v>0</v>
      </c>
      <c r="FY108" s="4">
        <f t="shared" si="241"/>
        <v>0</v>
      </c>
      <c r="FZ108" s="4">
        <f t="shared" si="242"/>
        <v>0</v>
      </c>
      <c r="GA108" s="4">
        <f t="shared" si="243"/>
        <v>0</v>
      </c>
      <c r="GB108" s="4">
        <f t="shared" si="244"/>
        <v>0</v>
      </c>
      <c r="GC108" s="4">
        <f t="shared" si="245"/>
        <v>0</v>
      </c>
      <c r="GD108" s="4">
        <f t="shared" si="246"/>
        <v>0</v>
      </c>
      <c r="GE108" s="4">
        <f t="shared" si="247"/>
        <v>0</v>
      </c>
      <c r="GF108" s="4">
        <f t="shared" si="248"/>
        <v>0</v>
      </c>
      <c r="GG108" s="4">
        <f t="shared" si="249"/>
        <v>0</v>
      </c>
      <c r="GH108" s="4">
        <f t="shared" si="250"/>
        <v>0</v>
      </c>
      <c r="GI108" s="4">
        <f t="shared" si="251"/>
        <v>0</v>
      </c>
      <c r="GJ108" s="4">
        <f t="shared" si="252"/>
        <v>0</v>
      </c>
      <c r="GK108" s="4">
        <f t="shared" si="253"/>
        <v>0</v>
      </c>
      <c r="GL108" s="4">
        <f t="shared" si="254"/>
        <v>0</v>
      </c>
      <c r="GM108" s="4">
        <f t="shared" si="255"/>
        <v>0</v>
      </c>
      <c r="GN108" s="4">
        <f t="shared" si="256"/>
        <v>0</v>
      </c>
      <c r="GO108" s="4">
        <f t="shared" si="257"/>
        <v>0</v>
      </c>
      <c r="GP108" s="4">
        <f t="shared" si="258"/>
        <v>0</v>
      </c>
      <c r="GQ108" s="27">
        <f t="shared" si="259"/>
        <v>363543.35490784887</v>
      </c>
      <c r="GR108" s="28" t="str">
        <f t="shared" si="260"/>
        <v/>
      </c>
      <c r="GS108" s="28" t="str">
        <f t="shared" si="261"/>
        <v/>
      </c>
      <c r="GT108" s="28" t="str">
        <f t="shared" si="262"/>
        <v/>
      </c>
      <c r="GU108" s="28" t="str">
        <f t="shared" si="263"/>
        <v/>
      </c>
      <c r="GV108" s="28" t="str">
        <f t="shared" si="264"/>
        <v/>
      </c>
      <c r="GW108" s="28" t="str">
        <f t="shared" si="265"/>
        <v/>
      </c>
      <c r="GX108" s="28" t="str">
        <f t="shared" si="266"/>
        <v/>
      </c>
      <c r="GY108" s="28" t="str">
        <f t="shared" si="267"/>
        <v/>
      </c>
      <c r="GZ108" s="28" t="str">
        <f t="shared" si="268"/>
        <v/>
      </c>
      <c r="HA108" s="28" t="str">
        <f t="shared" si="269"/>
        <v/>
      </c>
      <c r="HB108" s="28" t="str">
        <f t="shared" si="270"/>
        <v/>
      </c>
      <c r="HC108" s="28" t="str">
        <f t="shared" si="271"/>
        <v/>
      </c>
      <c r="HD108" s="28" t="str">
        <f t="shared" si="272"/>
        <v/>
      </c>
      <c r="HE108" s="28" t="str">
        <f t="shared" si="273"/>
        <v/>
      </c>
      <c r="HF108" s="28" t="str">
        <f t="shared" si="274"/>
        <v/>
      </c>
      <c r="HG108" s="28" t="str">
        <f t="shared" si="275"/>
        <v/>
      </c>
      <c r="HH108" s="28" t="str">
        <f t="shared" si="276"/>
        <v/>
      </c>
      <c r="HI108" s="28" t="str">
        <f t="shared" si="277"/>
        <v/>
      </c>
      <c r="HJ108" s="28" t="str">
        <f t="shared" si="278"/>
        <v/>
      </c>
      <c r="HK108" s="28" t="str">
        <f t="shared" si="279"/>
        <v/>
      </c>
      <c r="HL108" s="28" t="str">
        <f t="shared" si="280"/>
        <v/>
      </c>
      <c r="HM108" s="28" t="str">
        <f t="shared" si="281"/>
        <v/>
      </c>
      <c r="HN108" s="28" t="str">
        <f t="shared" si="282"/>
        <v/>
      </c>
      <c r="HO108" s="28" t="str">
        <f t="shared" si="283"/>
        <v/>
      </c>
      <c r="HP108" s="28" t="str">
        <f t="shared" si="284"/>
        <v/>
      </c>
      <c r="HQ108" s="28" t="str">
        <f t="shared" si="285"/>
        <v/>
      </c>
      <c r="HR108" s="28" t="str">
        <f t="shared" si="286"/>
        <v/>
      </c>
      <c r="HT108" s="4">
        <f>IFERROR(GR108/'McDonough &amp; Sun 1995 values'!C$2,)</f>
        <v>0</v>
      </c>
      <c r="HU108" s="4">
        <f>IFERROR(GS108/'McDonough &amp; Sun 1995 values'!D$2,)</f>
        <v>0</v>
      </c>
      <c r="HV108" s="4">
        <f>IFERROR(GT108/'McDonough &amp; Sun 1995 values'!E$2,)</f>
        <v>0</v>
      </c>
      <c r="HW108" s="4">
        <f>IFERROR(GU108/'McDonough &amp; Sun 1995 values'!F$2,)</f>
        <v>0</v>
      </c>
      <c r="HX108" s="4">
        <f>IFERROR(GV108/'McDonough &amp; Sun 1995 values'!G$2,)</f>
        <v>0</v>
      </c>
      <c r="HY108" s="4">
        <f>IFERROR(GW108/'McDonough &amp; Sun 1995 values'!H$2,)</f>
        <v>0</v>
      </c>
      <c r="HZ108" s="4">
        <f>IFERROR(GX108/'McDonough &amp; Sun 1995 values'!I$2,)</f>
        <v>0</v>
      </c>
      <c r="IA108" s="4">
        <f>IFERROR(GY108/'McDonough &amp; Sun 1995 values'!J$2,)</f>
        <v>0</v>
      </c>
      <c r="IB108" s="4">
        <f>IFERROR(GZ108/'McDonough &amp; Sun 1995 values'!K$2,)</f>
        <v>0</v>
      </c>
      <c r="IC108" s="4">
        <f>IFERROR(HA108/'McDonough &amp; Sun 1995 values'!L$2,)</f>
        <v>0</v>
      </c>
      <c r="ID108" s="4">
        <f>IFERROR(HB108/'McDonough &amp; Sun 1995 values'!M$2,)</f>
        <v>0</v>
      </c>
      <c r="IE108" s="4">
        <f>IFERROR(HC108/'McDonough &amp; Sun 1995 values'!N$2,)</f>
        <v>0</v>
      </c>
      <c r="IF108" s="4">
        <f>IFERROR(HD108/'McDonough &amp; Sun 1995 values'!O$2,)</f>
        <v>0</v>
      </c>
      <c r="IG108" s="4">
        <f>IFERROR(HE108/'McDonough &amp; Sun 1995 values'!P$2,)</f>
        <v>0</v>
      </c>
      <c r="IH108" s="4">
        <f>IFERROR(HF108/'McDonough &amp; Sun 1995 values'!Q$2,)</f>
        <v>0</v>
      </c>
      <c r="II108" s="4">
        <f>IFERROR(HG108/'McDonough &amp; Sun 1995 values'!R$2,)</f>
        <v>0</v>
      </c>
      <c r="IJ108" s="4">
        <f>IFERROR(HH108/'McDonough &amp; Sun 1995 values'!S$2,)</f>
        <v>0</v>
      </c>
      <c r="IK108" s="4">
        <f>IFERROR(HI108/'McDonough &amp; Sun 1995 values'!T$2,)</f>
        <v>0</v>
      </c>
      <c r="IL108" s="4">
        <f>IFERROR(HJ108/'McDonough &amp; Sun 1995 values'!U$2,)</f>
        <v>0</v>
      </c>
      <c r="IM108" s="4">
        <f>IFERROR(HK108/'McDonough &amp; Sun 1995 values'!V$2,)</f>
        <v>0</v>
      </c>
      <c r="IN108" s="4">
        <f>IFERROR(HL108/'McDonough &amp; Sun 1995 values'!W$2,)</f>
        <v>0</v>
      </c>
      <c r="IO108" s="4">
        <f>IFERROR(HM108/'McDonough &amp; Sun 1995 values'!X$2,)</f>
        <v>0</v>
      </c>
      <c r="IP108" s="4">
        <f>IFERROR(HN108/'McDonough &amp; Sun 1995 values'!Y$2,)</f>
        <v>0</v>
      </c>
      <c r="IQ108" s="4">
        <f>IFERROR(HO108/'McDonough &amp; Sun 1995 values'!Z$2,)</f>
        <v>0</v>
      </c>
      <c r="IR108" s="4">
        <f>IFERROR(HP108/'McDonough &amp; Sun 1995 values'!AA$2,)</f>
        <v>0</v>
      </c>
      <c r="IS108" s="4">
        <f>IFERROR(HQ108/'McDonough &amp; Sun 1995 values'!AB$2,)</f>
        <v>0</v>
      </c>
      <c r="IT108" s="4">
        <f>IFERROR(HR108/'McDonough &amp; Sun 1995 values'!AC$2,)</f>
        <v>0</v>
      </c>
    </row>
    <row r="109" spans="1:254">
      <c r="A109" s="16" t="s">
        <v>847</v>
      </c>
      <c r="B109" s="16" t="s">
        <v>24</v>
      </c>
      <c r="C109" s="16" t="str">
        <f t="shared" si="144"/>
        <v>saline</v>
      </c>
      <c r="D109" s="16" t="s">
        <v>546</v>
      </c>
      <c r="E109" s="16" t="s">
        <v>1394</v>
      </c>
      <c r="F109" s="16" t="s">
        <v>1728</v>
      </c>
      <c r="G109" s="16" t="s">
        <v>595</v>
      </c>
      <c r="H109" s="27">
        <v>84</v>
      </c>
      <c r="I109" s="16" t="s">
        <v>1148</v>
      </c>
      <c r="J109" s="16">
        <v>0</v>
      </c>
      <c r="K109" s="16">
        <v>0</v>
      </c>
      <c r="L109" s="16" t="s">
        <v>535</v>
      </c>
      <c r="M109" s="16" t="s">
        <v>548</v>
      </c>
      <c r="N109" s="16">
        <v>23</v>
      </c>
      <c r="O109" s="26">
        <v>1.5404347826086955</v>
      </c>
      <c r="P109" s="26">
        <v>6.2173913043478267E-2</v>
      </c>
      <c r="Q109" s="26">
        <v>0.10391304347826087</v>
      </c>
      <c r="R109" s="26"/>
      <c r="S109" s="26">
        <v>7.7252173913043478</v>
      </c>
      <c r="T109" s="26">
        <v>4.7134782608695653</v>
      </c>
      <c r="U109" s="26"/>
      <c r="V109" s="26">
        <v>6.3304347826086955</v>
      </c>
      <c r="W109" s="26">
        <v>22.03913043478261</v>
      </c>
      <c r="X109" s="26">
        <v>32.170869565217394</v>
      </c>
      <c r="Y109" s="26"/>
      <c r="Z109" s="26">
        <v>0.35173913043478255</v>
      </c>
      <c r="AA109" s="26"/>
      <c r="AB109" s="26"/>
      <c r="AC109" s="26"/>
      <c r="AD109" s="26">
        <v>24.967391304347828</v>
      </c>
      <c r="AE109" s="26"/>
      <c r="AF109" s="26"/>
      <c r="AG109" s="26"/>
      <c r="AH109" s="26"/>
      <c r="AI109" s="26">
        <v>12.204347826086956</v>
      </c>
      <c r="AJ109" s="26">
        <f t="shared" si="145"/>
        <v>99.900869565217391</v>
      </c>
      <c r="AK109" s="26">
        <f t="shared" si="288"/>
        <v>1.6341278384303424</v>
      </c>
      <c r="AL109" s="26">
        <f t="shared" si="289"/>
        <v>6.595548430582529E-2</v>
      </c>
      <c r="AM109" s="26">
        <f t="shared" si="290"/>
        <v>0</v>
      </c>
      <c r="AN109" s="26">
        <f t="shared" si="291"/>
        <v>8.1950842317895365</v>
      </c>
      <c r="AO109" s="26">
        <f t="shared" si="292"/>
        <v>5.0001636738423203</v>
      </c>
      <c r="AP109" s="26">
        <f t="shared" si="293"/>
        <v>6.7154674929567557</v>
      </c>
      <c r="AQ109" s="26">
        <f t="shared" si="294"/>
        <v>0</v>
      </c>
      <c r="AR109" s="26">
        <f t="shared" si="295"/>
        <v>23.379604891344641</v>
      </c>
      <c r="AS109" s="26">
        <f t="shared" si="296"/>
        <v>34.127581470216292</v>
      </c>
      <c r="AT109" s="26">
        <f t="shared" si="297"/>
        <v>0.37313277484903945</v>
      </c>
      <c r="AU109" s="26">
        <f t="shared" si="298"/>
        <v>26.485969834000116</v>
      </c>
      <c r="AV109" s="26">
        <f t="shared" si="146"/>
        <v>105.97708769173488</v>
      </c>
      <c r="AW109" s="16"/>
      <c r="AX109" s="16"/>
      <c r="AY109" s="16"/>
      <c r="AZ109" s="16"/>
      <c r="BA109" s="26"/>
      <c r="BB109" s="26"/>
      <c r="BC109" s="26"/>
      <c r="BD109" s="26"/>
      <c r="BE109" s="25">
        <v>-7.3550000000000004</v>
      </c>
      <c r="BF109" s="16"/>
      <c r="BG109" s="25"/>
      <c r="BH109" s="16"/>
      <c r="BI109" s="16"/>
      <c r="BJ109" s="16"/>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v>0</v>
      </c>
      <c r="CM109" s="18">
        <v>0</v>
      </c>
      <c r="CN109" s="18">
        <v>0</v>
      </c>
      <c r="CO109" s="18">
        <v>0</v>
      </c>
      <c r="CP109" s="18">
        <v>0</v>
      </c>
      <c r="CQ109" s="18">
        <v>0</v>
      </c>
      <c r="CR109" s="18">
        <v>0</v>
      </c>
      <c r="CS109" s="18">
        <v>0</v>
      </c>
      <c r="CT109" s="18">
        <v>0</v>
      </c>
      <c r="CU109" s="18">
        <v>0</v>
      </c>
      <c r="CV109" s="18">
        <v>0</v>
      </c>
      <c r="CW109" s="18">
        <v>0</v>
      </c>
      <c r="CX109" s="18">
        <v>0</v>
      </c>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28"/>
      <c r="DW109" s="28"/>
      <c r="DX109" s="28"/>
      <c r="DY109" s="28"/>
      <c r="DZ109" s="28"/>
      <c r="EA109" s="28"/>
      <c r="EB109" s="28"/>
      <c r="EC109" s="28"/>
      <c r="ED109" s="28"/>
      <c r="EE109" s="28"/>
      <c r="EF109" s="28"/>
      <c r="EG109" s="28"/>
      <c r="EH109" s="28"/>
      <c r="EI109" s="28"/>
      <c r="EJ109" s="18"/>
      <c r="EK109" s="18"/>
      <c r="EL109" s="18">
        <f>IFERROR(CR109/'McDonough &amp; Sun 1995 values'!C$2,)</f>
        <v>0</v>
      </c>
      <c r="EM109" s="18">
        <f>IFERROR(CH109/'McDonough &amp; Sun 1995 values'!D$2,)</f>
        <v>0</v>
      </c>
      <c r="EN109" s="18">
        <f>IFERROR(CS109/'McDonough &amp; Sun 1995 values'!E$2,)</f>
        <v>0</v>
      </c>
      <c r="EO109" s="18">
        <f>IFERROR(DL109/'McDonough &amp; Sun 1995 values'!F$2,)</f>
        <v>0</v>
      </c>
      <c r="EP109" s="18">
        <f>IFERROR(DM109/'McDonough &amp; Sun 1995 values'!G$2,)</f>
        <v>0</v>
      </c>
      <c r="EQ109" s="18">
        <f>IFERROR(BR109/'McDonough &amp; Sun 1995 values'!H$2,)</f>
        <v>0</v>
      </c>
      <c r="ER109" s="18">
        <f>IFERROR(DI109/'McDonough &amp; Sun 1995 values'!I$2,)</f>
        <v>0</v>
      </c>
      <c r="ES109" s="18">
        <f>IFERROR(CM109/'McDonough &amp; Sun 1995 values'!J$2,)</f>
        <v>0</v>
      </c>
      <c r="ET109" s="18">
        <f>IFERROR(CU109/'McDonough &amp; Sun 1995 values'!K$2,)</f>
        <v>0</v>
      </c>
      <c r="EU109" s="18">
        <f>IFERROR(CV109/'McDonough &amp; Sun 1995 values'!L$2,)</f>
        <v>0</v>
      </c>
      <c r="EV109" s="18">
        <f>IFERROR(CW109/'McDonough &amp; Sun 1995 values'!M$2,)</f>
        <v>0</v>
      </c>
      <c r="EW109" s="18">
        <f>IFERROR(CI109/'McDonough &amp; Sun 1995 values'!N$2,)</f>
        <v>0</v>
      </c>
      <c r="EX109" s="18">
        <f>IFERROR(CX109/'McDonough &amp; Sun 1995 values'!O$2,)</f>
        <v>0</v>
      </c>
      <c r="EY109" s="18">
        <f>IFERROR(CY109/'McDonough &amp; Sun 1995 values'!P$2,)</f>
        <v>0</v>
      </c>
      <c r="EZ109" s="18">
        <f>IFERROR(DH109/'McDonough &amp; Sun 1995 values'!Q$2,)</f>
        <v>0</v>
      </c>
      <c r="FA109" s="18">
        <f>IFERROR(CK109/'McDonough &amp; Sun 1995 values'!R$2,)</f>
        <v>0</v>
      </c>
      <c r="FB109" s="18">
        <f>IFERROR(CZ109/'McDonough &amp; Sun 1995 values'!S$2,)</f>
        <v>0</v>
      </c>
      <c r="FC109" s="18">
        <f>IFERROR(BT109/'McDonough &amp; Sun 1995 values'!T$2,)</f>
        <v>0</v>
      </c>
      <c r="FD109" s="18">
        <f>IFERROR(DA109/'McDonough &amp; Sun 1995 values'!U$2,)</f>
        <v>0</v>
      </c>
      <c r="FE109" s="18">
        <f>IFERROR(DN109/'McDonough &amp; Sun 1995 values'!V$2,)</f>
        <v>0</v>
      </c>
      <c r="FF109" s="18">
        <f>IFERROR(DB109/'McDonough &amp; Sun 1995 values'!W$2,)</f>
        <v>0</v>
      </c>
      <c r="FG109" s="18">
        <f>IFERROR(CJ109/'McDonough &amp; Sun 1995 values'!X$2,)</f>
        <v>0</v>
      </c>
      <c r="FH109" s="18">
        <f>IFERROR(DC109/'McDonough &amp; Sun 1995 values'!Y$2,)</f>
        <v>0</v>
      </c>
      <c r="FI109" s="18">
        <f>IFERROR(DD109/'McDonough &amp; Sun 1995 values'!Z$2,)</f>
        <v>0</v>
      </c>
      <c r="FJ109" s="18">
        <f>IFERROR(DE109/'McDonough &amp; Sun 1995 values'!AA$2,)</f>
        <v>0</v>
      </c>
      <c r="FK109" s="18">
        <f>IFERROR(DF109/'McDonough &amp; Sun 1995 values'!AB$2,)</f>
        <v>0</v>
      </c>
      <c r="FL109" s="18">
        <f>IFERROR(DG109/'McDonough &amp; Sun 1995 values'!AC$2,)</f>
        <v>0</v>
      </c>
      <c r="FN109" s="28">
        <f t="shared" si="299"/>
        <v>0</v>
      </c>
      <c r="FO109" s="4">
        <f t="shared" si="231"/>
        <v>0</v>
      </c>
      <c r="FP109" s="4">
        <f t="shared" si="232"/>
        <v>0</v>
      </c>
      <c r="FQ109" s="4">
        <f t="shared" si="233"/>
        <v>0</v>
      </c>
      <c r="FR109" s="4">
        <f t="shared" si="234"/>
        <v>0</v>
      </c>
      <c r="FS109" s="4">
        <f t="shared" si="235"/>
        <v>0</v>
      </c>
      <c r="FT109" s="4">
        <f t="shared" si="236"/>
        <v>0</v>
      </c>
      <c r="FU109" s="4">
        <f t="shared" si="237"/>
        <v>0</v>
      </c>
      <c r="FV109" s="4">
        <f t="shared" si="238"/>
        <v>0</v>
      </c>
      <c r="FW109" s="4">
        <f t="shared" si="239"/>
        <v>0</v>
      </c>
      <c r="FX109" s="4">
        <f t="shared" si="240"/>
        <v>0</v>
      </c>
      <c r="FY109" s="4">
        <f t="shared" si="241"/>
        <v>0</v>
      </c>
      <c r="FZ109" s="4">
        <f t="shared" si="242"/>
        <v>0</v>
      </c>
      <c r="GA109" s="4">
        <f t="shared" si="243"/>
        <v>0</v>
      </c>
      <c r="GB109" s="4">
        <f t="shared" si="244"/>
        <v>0</v>
      </c>
      <c r="GC109" s="4">
        <f t="shared" si="245"/>
        <v>0</v>
      </c>
      <c r="GD109" s="4">
        <f t="shared" si="246"/>
        <v>0</v>
      </c>
      <c r="GE109" s="4">
        <f t="shared" si="247"/>
        <v>0</v>
      </c>
      <c r="GF109" s="4">
        <f t="shared" si="248"/>
        <v>0</v>
      </c>
      <c r="GG109" s="4">
        <f t="shared" si="249"/>
        <v>0</v>
      </c>
      <c r="GH109" s="4">
        <f t="shared" si="250"/>
        <v>0</v>
      </c>
      <c r="GI109" s="4">
        <f t="shared" si="251"/>
        <v>0</v>
      </c>
      <c r="GJ109" s="4">
        <f t="shared" si="252"/>
        <v>0</v>
      </c>
      <c r="GK109" s="4">
        <f t="shared" si="253"/>
        <v>0</v>
      </c>
      <c r="GL109" s="4">
        <f t="shared" si="254"/>
        <v>0</v>
      </c>
      <c r="GM109" s="4">
        <f t="shared" si="255"/>
        <v>0</v>
      </c>
      <c r="GN109" s="4">
        <f t="shared" si="256"/>
        <v>0</v>
      </c>
      <c r="GO109" s="4">
        <f t="shared" si="257"/>
        <v>0</v>
      </c>
      <c r="GP109" s="4">
        <f t="shared" si="258"/>
        <v>0</v>
      </c>
      <c r="GQ109" s="27">
        <f t="shared" si="259"/>
        <v>283305.78497963084</v>
      </c>
      <c r="GR109" s="28" t="str">
        <f t="shared" si="260"/>
        <v/>
      </c>
      <c r="GS109" s="28" t="str">
        <f t="shared" si="261"/>
        <v/>
      </c>
      <c r="GT109" s="28" t="str">
        <f t="shared" si="262"/>
        <v/>
      </c>
      <c r="GU109" s="28" t="str">
        <f t="shared" si="263"/>
        <v/>
      </c>
      <c r="GV109" s="28" t="str">
        <f t="shared" si="264"/>
        <v/>
      </c>
      <c r="GW109" s="28" t="str">
        <f t="shared" si="265"/>
        <v/>
      </c>
      <c r="GX109" s="28" t="str">
        <f t="shared" si="266"/>
        <v/>
      </c>
      <c r="GY109" s="28" t="str">
        <f t="shared" si="267"/>
        <v/>
      </c>
      <c r="GZ109" s="28" t="str">
        <f t="shared" si="268"/>
        <v/>
      </c>
      <c r="HA109" s="28" t="str">
        <f t="shared" si="269"/>
        <v/>
      </c>
      <c r="HB109" s="28" t="str">
        <f t="shared" si="270"/>
        <v/>
      </c>
      <c r="HC109" s="28" t="str">
        <f t="shared" si="271"/>
        <v/>
      </c>
      <c r="HD109" s="28" t="str">
        <f t="shared" si="272"/>
        <v/>
      </c>
      <c r="HE109" s="28" t="str">
        <f t="shared" si="273"/>
        <v/>
      </c>
      <c r="HF109" s="28" t="str">
        <f t="shared" si="274"/>
        <v/>
      </c>
      <c r="HG109" s="28" t="str">
        <f t="shared" si="275"/>
        <v/>
      </c>
      <c r="HH109" s="28" t="str">
        <f t="shared" si="276"/>
        <v/>
      </c>
      <c r="HI109" s="28" t="str">
        <f t="shared" si="277"/>
        <v/>
      </c>
      <c r="HJ109" s="28" t="str">
        <f t="shared" si="278"/>
        <v/>
      </c>
      <c r="HK109" s="28" t="str">
        <f t="shared" si="279"/>
        <v/>
      </c>
      <c r="HL109" s="28" t="str">
        <f t="shared" si="280"/>
        <v/>
      </c>
      <c r="HM109" s="28" t="str">
        <f t="shared" si="281"/>
        <v/>
      </c>
      <c r="HN109" s="28" t="str">
        <f t="shared" si="282"/>
        <v/>
      </c>
      <c r="HO109" s="28" t="str">
        <f t="shared" si="283"/>
        <v/>
      </c>
      <c r="HP109" s="28" t="str">
        <f t="shared" si="284"/>
        <v/>
      </c>
      <c r="HQ109" s="28" t="str">
        <f t="shared" si="285"/>
        <v/>
      </c>
      <c r="HR109" s="28" t="str">
        <f t="shared" si="286"/>
        <v/>
      </c>
      <c r="HT109" s="4">
        <f>IFERROR(GR109/'McDonough &amp; Sun 1995 values'!C$2,)</f>
        <v>0</v>
      </c>
      <c r="HU109" s="4">
        <f>IFERROR(GS109/'McDonough &amp; Sun 1995 values'!D$2,)</f>
        <v>0</v>
      </c>
      <c r="HV109" s="4">
        <f>IFERROR(GT109/'McDonough &amp; Sun 1995 values'!E$2,)</f>
        <v>0</v>
      </c>
      <c r="HW109" s="4">
        <f>IFERROR(GU109/'McDonough &amp; Sun 1995 values'!F$2,)</f>
        <v>0</v>
      </c>
      <c r="HX109" s="4">
        <f>IFERROR(GV109/'McDonough &amp; Sun 1995 values'!G$2,)</f>
        <v>0</v>
      </c>
      <c r="HY109" s="4">
        <f>IFERROR(GW109/'McDonough &amp; Sun 1995 values'!H$2,)</f>
        <v>0</v>
      </c>
      <c r="HZ109" s="4">
        <f>IFERROR(GX109/'McDonough &amp; Sun 1995 values'!I$2,)</f>
        <v>0</v>
      </c>
      <c r="IA109" s="4">
        <f>IFERROR(GY109/'McDonough &amp; Sun 1995 values'!J$2,)</f>
        <v>0</v>
      </c>
      <c r="IB109" s="4">
        <f>IFERROR(GZ109/'McDonough &amp; Sun 1995 values'!K$2,)</f>
        <v>0</v>
      </c>
      <c r="IC109" s="4">
        <f>IFERROR(HA109/'McDonough &amp; Sun 1995 values'!L$2,)</f>
        <v>0</v>
      </c>
      <c r="ID109" s="4">
        <f>IFERROR(HB109/'McDonough &amp; Sun 1995 values'!M$2,)</f>
        <v>0</v>
      </c>
      <c r="IE109" s="4">
        <f>IFERROR(HC109/'McDonough &amp; Sun 1995 values'!N$2,)</f>
        <v>0</v>
      </c>
      <c r="IF109" s="4">
        <f>IFERROR(HD109/'McDonough &amp; Sun 1995 values'!O$2,)</f>
        <v>0</v>
      </c>
      <c r="IG109" s="4">
        <f>IFERROR(HE109/'McDonough &amp; Sun 1995 values'!P$2,)</f>
        <v>0</v>
      </c>
      <c r="IH109" s="4">
        <f>IFERROR(HF109/'McDonough &amp; Sun 1995 values'!Q$2,)</f>
        <v>0</v>
      </c>
      <c r="II109" s="4">
        <f>IFERROR(HG109/'McDonough &amp; Sun 1995 values'!R$2,)</f>
        <v>0</v>
      </c>
      <c r="IJ109" s="4">
        <f>IFERROR(HH109/'McDonough &amp; Sun 1995 values'!S$2,)</f>
        <v>0</v>
      </c>
      <c r="IK109" s="4">
        <f>IFERROR(HI109/'McDonough &amp; Sun 1995 values'!T$2,)</f>
        <v>0</v>
      </c>
      <c r="IL109" s="4">
        <f>IFERROR(HJ109/'McDonough &amp; Sun 1995 values'!U$2,)</f>
        <v>0</v>
      </c>
      <c r="IM109" s="4">
        <f>IFERROR(HK109/'McDonough &amp; Sun 1995 values'!V$2,)</f>
        <v>0</v>
      </c>
      <c r="IN109" s="4">
        <f>IFERROR(HL109/'McDonough &amp; Sun 1995 values'!W$2,)</f>
        <v>0</v>
      </c>
      <c r="IO109" s="4">
        <f>IFERROR(HM109/'McDonough &amp; Sun 1995 values'!X$2,)</f>
        <v>0</v>
      </c>
      <c r="IP109" s="4">
        <f>IFERROR(HN109/'McDonough &amp; Sun 1995 values'!Y$2,)</f>
        <v>0</v>
      </c>
      <c r="IQ109" s="4">
        <f>IFERROR(HO109/'McDonough &amp; Sun 1995 values'!Z$2,)</f>
        <v>0</v>
      </c>
      <c r="IR109" s="4">
        <f>IFERROR(HP109/'McDonough &amp; Sun 1995 values'!AA$2,)</f>
        <v>0</v>
      </c>
      <c r="IS109" s="4">
        <f>IFERROR(HQ109/'McDonough &amp; Sun 1995 values'!AB$2,)</f>
        <v>0</v>
      </c>
      <c r="IT109" s="4">
        <f>IFERROR(HR109/'McDonough &amp; Sun 1995 values'!AC$2,)</f>
        <v>0</v>
      </c>
    </row>
    <row r="110" spans="1:254">
      <c r="A110" s="16" t="s">
        <v>847</v>
      </c>
      <c r="B110" s="16" t="s">
        <v>24</v>
      </c>
      <c r="C110" s="16" t="str">
        <f t="shared" si="144"/>
        <v>saline</v>
      </c>
      <c r="D110" s="16" t="s">
        <v>546</v>
      </c>
      <c r="E110" s="16" t="s">
        <v>1394</v>
      </c>
      <c r="F110" s="16" t="s">
        <v>1728</v>
      </c>
      <c r="G110" s="16" t="s">
        <v>595</v>
      </c>
      <c r="H110" s="27">
        <v>84</v>
      </c>
      <c r="I110" s="16" t="s">
        <v>1148</v>
      </c>
      <c r="J110" s="16">
        <v>0</v>
      </c>
      <c r="K110" s="16">
        <v>0</v>
      </c>
      <c r="L110" s="16" t="s">
        <v>161</v>
      </c>
      <c r="M110" s="16" t="s">
        <v>551</v>
      </c>
      <c r="N110" s="16">
        <v>40</v>
      </c>
      <c r="O110" s="26">
        <v>1.4470000000000001</v>
      </c>
      <c r="P110" s="26"/>
      <c r="Q110" s="26">
        <v>8.2500000000000018E-2</v>
      </c>
      <c r="R110" s="26"/>
      <c r="S110" s="26">
        <v>6.6105</v>
      </c>
      <c r="T110" s="26">
        <v>4.758</v>
      </c>
      <c r="U110" s="26"/>
      <c r="V110" s="26">
        <v>6.8719999999999999</v>
      </c>
      <c r="W110" s="26">
        <v>18.813499999999998</v>
      </c>
      <c r="X110" s="26">
        <v>36.292500000000004</v>
      </c>
      <c r="Y110" s="26"/>
      <c r="Z110" s="26">
        <v>3.1500000000000007E-2</v>
      </c>
      <c r="AA110" s="26"/>
      <c r="AB110" s="26"/>
      <c r="AC110" s="26"/>
      <c r="AD110" s="26">
        <v>25.0945</v>
      </c>
      <c r="AE110" s="26"/>
      <c r="AF110" s="26"/>
      <c r="AG110" s="26"/>
      <c r="AH110" s="26"/>
      <c r="AI110" s="26">
        <v>11.528</v>
      </c>
      <c r="AJ110" s="26">
        <f t="shared" si="145"/>
        <v>99.919499999999985</v>
      </c>
      <c r="AK110" s="26">
        <f t="shared" si="288"/>
        <v>1.5351738581330496</v>
      </c>
      <c r="AL110" s="26">
        <f t="shared" si="289"/>
        <v>0</v>
      </c>
      <c r="AM110" s="26">
        <f t="shared" si="290"/>
        <v>0</v>
      </c>
      <c r="AN110" s="26">
        <f t="shared" si="291"/>
        <v>7.0133149890729261</v>
      </c>
      <c r="AO110" s="26">
        <f t="shared" si="292"/>
        <v>5.0479317325480642</v>
      </c>
      <c r="AP110" s="26">
        <f t="shared" si="293"/>
        <v>7.2907496565931691</v>
      </c>
      <c r="AQ110" s="26">
        <f t="shared" si="294"/>
        <v>0</v>
      </c>
      <c r="AR110" s="26">
        <f t="shared" si="295"/>
        <v>19.959912494807273</v>
      </c>
      <c r="AS110" s="26">
        <f t="shared" si="296"/>
        <v>38.504006389974919</v>
      </c>
      <c r="AT110" s="26">
        <f t="shared" si="297"/>
        <v>3.341947237815554E-2</v>
      </c>
      <c r="AU110" s="26">
        <f t="shared" si="298"/>
        <v>26.623649193448383</v>
      </c>
      <c r="AV110" s="26">
        <f t="shared" si="146"/>
        <v>106.00815778695595</v>
      </c>
      <c r="AW110" s="16"/>
      <c r="AX110" s="16"/>
      <c r="AY110" s="16"/>
      <c r="AZ110" s="16"/>
      <c r="BA110" s="26"/>
      <c r="BB110" s="26"/>
      <c r="BC110" s="26"/>
      <c r="BD110" s="26"/>
      <c r="BE110" s="25">
        <v>-6.53</v>
      </c>
      <c r="BF110" s="25"/>
      <c r="BG110" s="25"/>
      <c r="BH110" s="16">
        <v>0</v>
      </c>
      <c r="BI110" s="16">
        <v>0</v>
      </c>
      <c r="BJ110" s="16">
        <v>0</v>
      </c>
      <c r="BK110" s="18"/>
      <c r="BL110" s="18"/>
      <c r="BM110" s="18"/>
      <c r="BN110" s="18">
        <v>0</v>
      </c>
      <c r="BO110" s="18">
        <v>0</v>
      </c>
      <c r="BP110" s="18">
        <v>0</v>
      </c>
      <c r="BQ110" s="18">
        <v>0</v>
      </c>
      <c r="BR110" s="18">
        <v>0</v>
      </c>
      <c r="BS110" s="18">
        <v>0</v>
      </c>
      <c r="BT110" s="18">
        <v>0</v>
      </c>
      <c r="BU110" s="18">
        <v>0</v>
      </c>
      <c r="BV110" s="18">
        <v>0</v>
      </c>
      <c r="BW110" s="18"/>
      <c r="BX110" s="18"/>
      <c r="BY110" s="18"/>
      <c r="BZ110" s="18"/>
      <c r="CA110" s="18"/>
      <c r="CB110" s="18"/>
      <c r="CC110" s="18"/>
      <c r="CD110" s="18"/>
      <c r="CE110" s="18"/>
      <c r="CF110" s="18"/>
      <c r="CG110" s="18"/>
      <c r="CH110" s="18"/>
      <c r="CI110" s="18"/>
      <c r="CJ110" s="18"/>
      <c r="CK110" s="18"/>
      <c r="CL110" s="18">
        <v>0</v>
      </c>
      <c r="CM110" s="18">
        <v>0</v>
      </c>
      <c r="CN110" s="18">
        <v>0</v>
      </c>
      <c r="CO110" s="18">
        <v>0</v>
      </c>
      <c r="CP110" s="18">
        <v>0</v>
      </c>
      <c r="CQ110" s="18">
        <v>0</v>
      </c>
      <c r="CR110" s="18">
        <v>0</v>
      </c>
      <c r="CS110" s="18">
        <v>0</v>
      </c>
      <c r="CT110" s="18">
        <v>0</v>
      </c>
      <c r="CU110" s="18">
        <v>0</v>
      </c>
      <c r="CV110" s="18">
        <v>0</v>
      </c>
      <c r="CW110" s="18">
        <v>0</v>
      </c>
      <c r="CX110" s="18">
        <v>0</v>
      </c>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28"/>
      <c r="DW110" s="28"/>
      <c r="DX110" s="28"/>
      <c r="DY110" s="28"/>
      <c r="DZ110" s="28"/>
      <c r="EA110" s="28"/>
      <c r="EB110" s="28"/>
      <c r="EC110" s="28"/>
      <c r="ED110" s="28"/>
      <c r="EE110" s="28"/>
      <c r="EF110" s="28"/>
      <c r="EG110" s="28"/>
      <c r="EH110" s="28"/>
      <c r="EI110" s="28"/>
      <c r="EJ110" s="18"/>
      <c r="EK110" s="18"/>
      <c r="EL110" s="18">
        <f>IFERROR(CR110/'McDonough &amp; Sun 1995 values'!C$2,)</f>
        <v>0</v>
      </c>
      <c r="EM110" s="18">
        <f>IFERROR(CH110/'McDonough &amp; Sun 1995 values'!D$2,)</f>
        <v>0</v>
      </c>
      <c r="EN110" s="18">
        <f>IFERROR(CS110/'McDonough &amp; Sun 1995 values'!E$2,)</f>
        <v>0</v>
      </c>
      <c r="EO110" s="18">
        <f>IFERROR(DL110/'McDonough &amp; Sun 1995 values'!F$2,)</f>
        <v>0</v>
      </c>
      <c r="EP110" s="18">
        <f>IFERROR(DM110/'McDonough &amp; Sun 1995 values'!G$2,)</f>
        <v>0</v>
      </c>
      <c r="EQ110" s="18">
        <f>IFERROR(BR110/'McDonough &amp; Sun 1995 values'!H$2,)</f>
        <v>0</v>
      </c>
      <c r="ER110" s="18">
        <f>IFERROR(DI110/'McDonough &amp; Sun 1995 values'!I$2,)</f>
        <v>0</v>
      </c>
      <c r="ES110" s="18">
        <f>IFERROR(CM110/'McDonough &amp; Sun 1995 values'!J$2,)</f>
        <v>0</v>
      </c>
      <c r="ET110" s="18">
        <f>IFERROR(CU110/'McDonough &amp; Sun 1995 values'!K$2,)</f>
        <v>0</v>
      </c>
      <c r="EU110" s="18">
        <f>IFERROR(CV110/'McDonough &amp; Sun 1995 values'!L$2,)</f>
        <v>0</v>
      </c>
      <c r="EV110" s="18">
        <f>IFERROR(CW110/'McDonough &amp; Sun 1995 values'!M$2,)</f>
        <v>0</v>
      </c>
      <c r="EW110" s="18">
        <f>IFERROR(CI110/'McDonough &amp; Sun 1995 values'!N$2,)</f>
        <v>0</v>
      </c>
      <c r="EX110" s="18">
        <f>IFERROR(CX110/'McDonough &amp; Sun 1995 values'!O$2,)</f>
        <v>0</v>
      </c>
      <c r="EY110" s="18">
        <f>IFERROR(CY110/'McDonough &amp; Sun 1995 values'!P$2,)</f>
        <v>0</v>
      </c>
      <c r="EZ110" s="18">
        <f>IFERROR(DH110/'McDonough &amp; Sun 1995 values'!Q$2,)</f>
        <v>0</v>
      </c>
      <c r="FA110" s="18">
        <f>IFERROR(CK110/'McDonough &amp; Sun 1995 values'!R$2,)</f>
        <v>0</v>
      </c>
      <c r="FB110" s="18">
        <f>IFERROR(CZ110/'McDonough &amp; Sun 1995 values'!S$2,)</f>
        <v>0</v>
      </c>
      <c r="FC110" s="18">
        <f>IFERROR(BT110/'McDonough &amp; Sun 1995 values'!T$2,)</f>
        <v>0</v>
      </c>
      <c r="FD110" s="18">
        <f>IFERROR(DA110/'McDonough &amp; Sun 1995 values'!U$2,)</f>
        <v>0</v>
      </c>
      <c r="FE110" s="18">
        <f>IFERROR(DN110/'McDonough &amp; Sun 1995 values'!V$2,)</f>
        <v>0</v>
      </c>
      <c r="FF110" s="18">
        <f>IFERROR(DB110/'McDonough &amp; Sun 1995 values'!W$2,)</f>
        <v>0</v>
      </c>
      <c r="FG110" s="18">
        <f>IFERROR(CJ110/'McDonough &amp; Sun 1995 values'!X$2,)</f>
        <v>0</v>
      </c>
      <c r="FH110" s="18">
        <f>IFERROR(DC110/'McDonough &amp; Sun 1995 values'!Y$2,)</f>
        <v>0</v>
      </c>
      <c r="FI110" s="18">
        <f>IFERROR(DD110/'McDonough &amp; Sun 1995 values'!Z$2,)</f>
        <v>0</v>
      </c>
      <c r="FJ110" s="18">
        <f>IFERROR(DE110/'McDonough &amp; Sun 1995 values'!AA$2,)</f>
        <v>0</v>
      </c>
      <c r="FK110" s="18">
        <f>IFERROR(DF110/'McDonough &amp; Sun 1995 values'!AB$2,)</f>
        <v>0</v>
      </c>
      <c r="FL110" s="18">
        <f>IFERROR(DG110/'McDonough &amp; Sun 1995 values'!AC$2,)</f>
        <v>0</v>
      </c>
      <c r="FN110" s="28">
        <f t="shared" si="299"/>
        <v>0</v>
      </c>
      <c r="FO110" s="4">
        <f t="shared" si="231"/>
        <v>0</v>
      </c>
      <c r="FP110" s="4">
        <f t="shared" si="232"/>
        <v>0</v>
      </c>
      <c r="FQ110" s="4">
        <f t="shared" si="233"/>
        <v>0</v>
      </c>
      <c r="FR110" s="4">
        <f t="shared" si="234"/>
        <v>0</v>
      </c>
      <c r="FS110" s="4">
        <f t="shared" si="235"/>
        <v>0</v>
      </c>
      <c r="FT110" s="4">
        <f t="shared" si="236"/>
        <v>0</v>
      </c>
      <c r="FU110" s="4">
        <f t="shared" si="237"/>
        <v>0</v>
      </c>
      <c r="FV110" s="4">
        <f t="shared" si="238"/>
        <v>0</v>
      </c>
      <c r="FW110" s="4">
        <f t="shared" si="239"/>
        <v>0</v>
      </c>
      <c r="FX110" s="4">
        <f t="shared" si="240"/>
        <v>0</v>
      </c>
      <c r="FY110" s="4">
        <f t="shared" si="241"/>
        <v>0</v>
      </c>
      <c r="FZ110" s="4">
        <f t="shared" si="242"/>
        <v>0</v>
      </c>
      <c r="GA110" s="4">
        <f t="shared" si="243"/>
        <v>0</v>
      </c>
      <c r="GB110" s="4">
        <f t="shared" si="244"/>
        <v>0</v>
      </c>
      <c r="GC110" s="4">
        <f t="shared" si="245"/>
        <v>0</v>
      </c>
      <c r="GD110" s="4">
        <f t="shared" si="246"/>
        <v>0</v>
      </c>
      <c r="GE110" s="4">
        <f t="shared" si="247"/>
        <v>0</v>
      </c>
      <c r="GF110" s="4">
        <f t="shared" si="248"/>
        <v>0</v>
      </c>
      <c r="GG110" s="4">
        <f t="shared" si="249"/>
        <v>0</v>
      </c>
      <c r="GH110" s="4">
        <f t="shared" si="250"/>
        <v>0</v>
      </c>
      <c r="GI110" s="4">
        <f t="shared" si="251"/>
        <v>0</v>
      </c>
      <c r="GJ110" s="4">
        <f t="shared" si="252"/>
        <v>0</v>
      </c>
      <c r="GK110" s="4">
        <f t="shared" si="253"/>
        <v>0</v>
      </c>
      <c r="GL110" s="4">
        <f t="shared" si="254"/>
        <v>0</v>
      </c>
      <c r="GM110" s="4">
        <f t="shared" si="255"/>
        <v>0</v>
      </c>
      <c r="GN110" s="4">
        <f t="shared" si="256"/>
        <v>0</v>
      </c>
      <c r="GO110" s="4">
        <f t="shared" si="257"/>
        <v>0</v>
      </c>
      <c r="GP110" s="4">
        <f t="shared" si="258"/>
        <v>0</v>
      </c>
      <c r="GQ110" s="27">
        <f t="shared" si="259"/>
        <v>319636.12085118063</v>
      </c>
      <c r="GR110" s="28" t="str">
        <f t="shared" si="260"/>
        <v/>
      </c>
      <c r="GS110" s="28" t="str">
        <f t="shared" si="261"/>
        <v/>
      </c>
      <c r="GT110" s="28" t="str">
        <f t="shared" si="262"/>
        <v/>
      </c>
      <c r="GU110" s="28" t="str">
        <f t="shared" si="263"/>
        <v/>
      </c>
      <c r="GV110" s="28" t="str">
        <f t="shared" si="264"/>
        <v/>
      </c>
      <c r="GW110" s="28" t="str">
        <f t="shared" si="265"/>
        <v/>
      </c>
      <c r="GX110" s="28" t="str">
        <f t="shared" si="266"/>
        <v/>
      </c>
      <c r="GY110" s="28" t="str">
        <f t="shared" si="267"/>
        <v/>
      </c>
      <c r="GZ110" s="28" t="str">
        <f t="shared" si="268"/>
        <v/>
      </c>
      <c r="HA110" s="28" t="str">
        <f t="shared" si="269"/>
        <v/>
      </c>
      <c r="HB110" s="28" t="str">
        <f t="shared" si="270"/>
        <v/>
      </c>
      <c r="HC110" s="28" t="str">
        <f t="shared" si="271"/>
        <v/>
      </c>
      <c r="HD110" s="28" t="str">
        <f t="shared" si="272"/>
        <v/>
      </c>
      <c r="HE110" s="28" t="str">
        <f t="shared" si="273"/>
        <v/>
      </c>
      <c r="HF110" s="28" t="str">
        <f t="shared" si="274"/>
        <v/>
      </c>
      <c r="HG110" s="28" t="str">
        <f t="shared" si="275"/>
        <v/>
      </c>
      <c r="HH110" s="28" t="str">
        <f t="shared" si="276"/>
        <v/>
      </c>
      <c r="HI110" s="28" t="str">
        <f t="shared" si="277"/>
        <v/>
      </c>
      <c r="HJ110" s="28" t="str">
        <f t="shared" si="278"/>
        <v/>
      </c>
      <c r="HK110" s="28" t="str">
        <f t="shared" si="279"/>
        <v/>
      </c>
      <c r="HL110" s="28" t="str">
        <f t="shared" si="280"/>
        <v/>
      </c>
      <c r="HM110" s="28" t="str">
        <f t="shared" si="281"/>
        <v/>
      </c>
      <c r="HN110" s="28" t="str">
        <f t="shared" si="282"/>
        <v/>
      </c>
      <c r="HO110" s="28" t="str">
        <f t="shared" si="283"/>
        <v/>
      </c>
      <c r="HP110" s="28" t="str">
        <f t="shared" si="284"/>
        <v/>
      </c>
      <c r="HQ110" s="28" t="str">
        <f t="shared" si="285"/>
        <v/>
      </c>
      <c r="HR110" s="28" t="str">
        <f t="shared" si="286"/>
        <v/>
      </c>
      <c r="HT110" s="4">
        <f>IFERROR(GR110/'McDonough &amp; Sun 1995 values'!C$2,)</f>
        <v>0</v>
      </c>
      <c r="HU110" s="4">
        <f>IFERROR(GS110/'McDonough &amp; Sun 1995 values'!D$2,)</f>
        <v>0</v>
      </c>
      <c r="HV110" s="4">
        <f>IFERROR(GT110/'McDonough &amp; Sun 1995 values'!E$2,)</f>
        <v>0</v>
      </c>
      <c r="HW110" s="4">
        <f>IFERROR(GU110/'McDonough &amp; Sun 1995 values'!F$2,)</f>
        <v>0</v>
      </c>
      <c r="HX110" s="4">
        <f>IFERROR(GV110/'McDonough &amp; Sun 1995 values'!G$2,)</f>
        <v>0</v>
      </c>
      <c r="HY110" s="4">
        <f>IFERROR(GW110/'McDonough &amp; Sun 1995 values'!H$2,)</f>
        <v>0</v>
      </c>
      <c r="HZ110" s="4">
        <f>IFERROR(GX110/'McDonough &amp; Sun 1995 values'!I$2,)</f>
        <v>0</v>
      </c>
      <c r="IA110" s="4">
        <f>IFERROR(GY110/'McDonough &amp; Sun 1995 values'!J$2,)</f>
        <v>0</v>
      </c>
      <c r="IB110" s="4">
        <f>IFERROR(GZ110/'McDonough &amp; Sun 1995 values'!K$2,)</f>
        <v>0</v>
      </c>
      <c r="IC110" s="4">
        <f>IFERROR(HA110/'McDonough &amp; Sun 1995 values'!L$2,)</f>
        <v>0</v>
      </c>
      <c r="ID110" s="4">
        <f>IFERROR(HB110/'McDonough &amp; Sun 1995 values'!M$2,)</f>
        <v>0</v>
      </c>
      <c r="IE110" s="4">
        <f>IFERROR(HC110/'McDonough &amp; Sun 1995 values'!N$2,)</f>
        <v>0</v>
      </c>
      <c r="IF110" s="4">
        <f>IFERROR(HD110/'McDonough &amp; Sun 1995 values'!O$2,)</f>
        <v>0</v>
      </c>
      <c r="IG110" s="4">
        <f>IFERROR(HE110/'McDonough &amp; Sun 1995 values'!P$2,)</f>
        <v>0</v>
      </c>
      <c r="IH110" s="4">
        <f>IFERROR(HF110/'McDonough &amp; Sun 1995 values'!Q$2,)</f>
        <v>0</v>
      </c>
      <c r="II110" s="4">
        <f>IFERROR(HG110/'McDonough &amp; Sun 1995 values'!R$2,)</f>
        <v>0</v>
      </c>
      <c r="IJ110" s="4">
        <f>IFERROR(HH110/'McDonough &amp; Sun 1995 values'!S$2,)</f>
        <v>0</v>
      </c>
      <c r="IK110" s="4">
        <f>IFERROR(HI110/'McDonough &amp; Sun 1995 values'!T$2,)</f>
        <v>0</v>
      </c>
      <c r="IL110" s="4">
        <f>IFERROR(HJ110/'McDonough &amp; Sun 1995 values'!U$2,)</f>
        <v>0</v>
      </c>
      <c r="IM110" s="4">
        <f>IFERROR(HK110/'McDonough &amp; Sun 1995 values'!V$2,)</f>
        <v>0</v>
      </c>
      <c r="IN110" s="4">
        <f>IFERROR(HL110/'McDonough &amp; Sun 1995 values'!W$2,)</f>
        <v>0</v>
      </c>
      <c r="IO110" s="4">
        <f>IFERROR(HM110/'McDonough &amp; Sun 1995 values'!X$2,)</f>
        <v>0</v>
      </c>
      <c r="IP110" s="4">
        <f>IFERROR(HN110/'McDonough &amp; Sun 1995 values'!Y$2,)</f>
        <v>0</v>
      </c>
      <c r="IQ110" s="4">
        <f>IFERROR(HO110/'McDonough &amp; Sun 1995 values'!Z$2,)</f>
        <v>0</v>
      </c>
      <c r="IR110" s="4">
        <f>IFERROR(HP110/'McDonough &amp; Sun 1995 values'!AA$2,)</f>
        <v>0</v>
      </c>
      <c r="IS110" s="4">
        <f>IFERROR(HQ110/'McDonough &amp; Sun 1995 values'!AB$2,)</f>
        <v>0</v>
      </c>
      <c r="IT110" s="4">
        <f>IFERROR(HR110/'McDonough &amp; Sun 1995 values'!AC$2,)</f>
        <v>0</v>
      </c>
    </row>
    <row r="111" spans="1:254">
      <c r="A111" s="16" t="s">
        <v>847</v>
      </c>
      <c r="B111" s="16" t="s">
        <v>24</v>
      </c>
      <c r="C111" s="16" t="str">
        <f t="shared" si="144"/>
        <v>saline</v>
      </c>
      <c r="D111" s="16" t="s">
        <v>546</v>
      </c>
      <c r="E111" s="16" t="s">
        <v>1394</v>
      </c>
      <c r="F111" s="16" t="s">
        <v>1728</v>
      </c>
      <c r="G111" s="16" t="s">
        <v>595</v>
      </c>
      <c r="H111" s="27">
        <v>84</v>
      </c>
      <c r="I111" s="16" t="s">
        <v>1148</v>
      </c>
      <c r="J111" s="16">
        <v>0</v>
      </c>
      <c r="K111" s="16">
        <v>0</v>
      </c>
      <c r="L111" s="16" t="s">
        <v>161</v>
      </c>
      <c r="M111" s="16" t="s">
        <v>554</v>
      </c>
      <c r="N111" s="16">
        <v>20</v>
      </c>
      <c r="O111" s="26">
        <v>1.9300000000000002</v>
      </c>
      <c r="P111" s="26"/>
      <c r="Q111" s="26">
        <v>0.16</v>
      </c>
      <c r="R111" s="26"/>
      <c r="S111" s="26">
        <v>6.45</v>
      </c>
      <c r="T111" s="26">
        <v>5.59</v>
      </c>
      <c r="U111" s="26"/>
      <c r="V111" s="26">
        <v>6.9599999999999991</v>
      </c>
      <c r="W111" s="26">
        <v>15.38</v>
      </c>
      <c r="X111" s="26">
        <v>30.5</v>
      </c>
      <c r="Y111" s="26"/>
      <c r="Z111" s="26">
        <v>0.64</v>
      </c>
      <c r="AA111" s="26"/>
      <c r="AB111" s="26"/>
      <c r="AC111" s="26"/>
      <c r="AD111" s="26">
        <v>32.39</v>
      </c>
      <c r="AE111" s="26"/>
      <c r="AF111" s="26"/>
      <c r="AG111" s="26"/>
      <c r="AH111" s="26"/>
      <c r="AI111" s="26">
        <v>14.62</v>
      </c>
      <c r="AJ111" s="26">
        <f t="shared" si="145"/>
        <v>99.84</v>
      </c>
      <c r="AK111" s="26">
        <f t="shared" si="288"/>
        <v>2.085797607956569</v>
      </c>
      <c r="AL111" s="26">
        <f t="shared" si="289"/>
        <v>0</v>
      </c>
      <c r="AM111" s="26">
        <f t="shared" si="290"/>
        <v>0</v>
      </c>
      <c r="AN111" s="26">
        <f t="shared" si="291"/>
        <v>6.9706707623419</v>
      </c>
      <c r="AO111" s="26">
        <f t="shared" si="292"/>
        <v>6.0412479940296464</v>
      </c>
      <c r="AP111" s="26">
        <f t="shared" si="293"/>
        <v>7.5218400784340487</v>
      </c>
      <c r="AQ111" s="26">
        <f t="shared" si="294"/>
        <v>0</v>
      </c>
      <c r="AR111" s="26">
        <f t="shared" si="295"/>
        <v>16.62153741470053</v>
      </c>
      <c r="AS111" s="26">
        <f t="shared" si="296"/>
        <v>32.96208655060898</v>
      </c>
      <c r="AT111" s="26">
        <f t="shared" si="297"/>
        <v>0.69166345548818853</v>
      </c>
      <c r="AU111" s="26">
        <f t="shared" si="298"/>
        <v>35.004655192597539</v>
      </c>
      <c r="AV111" s="26">
        <f t="shared" si="146"/>
        <v>107.8994990561574</v>
      </c>
      <c r="AW111" s="16"/>
      <c r="AX111" s="16"/>
      <c r="AY111" s="16"/>
      <c r="AZ111" s="16"/>
      <c r="BA111" s="26"/>
      <c r="BB111" s="26"/>
      <c r="BC111" s="26"/>
      <c r="BD111" s="26"/>
      <c r="BE111" s="25">
        <v>-6.5650000000000004</v>
      </c>
      <c r="BF111" s="16"/>
      <c r="BG111" s="25">
        <v>495</v>
      </c>
      <c r="BH111" s="16">
        <v>0</v>
      </c>
      <c r="BI111" s="16">
        <v>0</v>
      </c>
      <c r="BJ111" s="16">
        <v>0</v>
      </c>
      <c r="BK111" s="18"/>
      <c r="BL111" s="18"/>
      <c r="BM111" s="18"/>
      <c r="BN111" s="18">
        <v>0</v>
      </c>
      <c r="BO111" s="18">
        <v>0</v>
      </c>
      <c r="BP111" s="18">
        <v>0</v>
      </c>
      <c r="BQ111" s="18">
        <v>0</v>
      </c>
      <c r="BR111" s="18">
        <v>0</v>
      </c>
      <c r="BS111" s="18">
        <v>0</v>
      </c>
      <c r="BT111" s="18">
        <v>0</v>
      </c>
      <c r="BU111" s="18">
        <v>0</v>
      </c>
      <c r="BV111" s="18">
        <v>0</v>
      </c>
      <c r="BW111" s="18"/>
      <c r="BX111" s="18"/>
      <c r="BY111" s="18"/>
      <c r="BZ111" s="18"/>
      <c r="CA111" s="18"/>
      <c r="CB111" s="18"/>
      <c r="CC111" s="18"/>
      <c r="CD111" s="18"/>
      <c r="CE111" s="18"/>
      <c r="CF111" s="18"/>
      <c r="CG111" s="18"/>
      <c r="CH111" s="18"/>
      <c r="CI111" s="18"/>
      <c r="CJ111" s="18"/>
      <c r="CK111" s="18"/>
      <c r="CL111" s="18">
        <v>0</v>
      </c>
      <c r="CM111" s="18">
        <v>0</v>
      </c>
      <c r="CN111" s="18">
        <v>0</v>
      </c>
      <c r="CO111" s="18">
        <v>0</v>
      </c>
      <c r="CP111" s="18">
        <v>0</v>
      </c>
      <c r="CQ111" s="18">
        <v>0</v>
      </c>
      <c r="CR111" s="18">
        <v>0</v>
      </c>
      <c r="CS111" s="18">
        <v>0</v>
      </c>
      <c r="CT111" s="18">
        <v>0</v>
      </c>
      <c r="CU111" s="18">
        <v>0</v>
      </c>
      <c r="CV111" s="18">
        <v>0</v>
      </c>
      <c r="CW111" s="18">
        <v>0</v>
      </c>
      <c r="CX111" s="18">
        <v>0</v>
      </c>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28"/>
      <c r="DW111" s="28"/>
      <c r="DX111" s="28"/>
      <c r="DY111" s="28"/>
      <c r="DZ111" s="28"/>
      <c r="EA111" s="28"/>
      <c r="EB111" s="28"/>
      <c r="EC111" s="28"/>
      <c r="ED111" s="28"/>
      <c r="EE111" s="28"/>
      <c r="EF111" s="28"/>
      <c r="EG111" s="28"/>
      <c r="EH111" s="28"/>
      <c r="EI111" s="28"/>
      <c r="EJ111" s="18"/>
      <c r="EK111" s="18"/>
      <c r="EL111" s="18">
        <f>IFERROR(CR111/'McDonough &amp; Sun 1995 values'!C$2,)</f>
        <v>0</v>
      </c>
      <c r="EM111" s="18">
        <f>IFERROR(CH111/'McDonough &amp; Sun 1995 values'!D$2,)</f>
        <v>0</v>
      </c>
      <c r="EN111" s="18">
        <f>IFERROR(CS111/'McDonough &amp; Sun 1995 values'!E$2,)</f>
        <v>0</v>
      </c>
      <c r="EO111" s="18">
        <f>IFERROR(DL111/'McDonough &amp; Sun 1995 values'!F$2,)</f>
        <v>0</v>
      </c>
      <c r="EP111" s="18">
        <f>IFERROR(DM111/'McDonough &amp; Sun 1995 values'!G$2,)</f>
        <v>0</v>
      </c>
      <c r="EQ111" s="18">
        <f>IFERROR(BR111/'McDonough &amp; Sun 1995 values'!H$2,)</f>
        <v>0</v>
      </c>
      <c r="ER111" s="18">
        <f>IFERROR(DI111/'McDonough &amp; Sun 1995 values'!I$2,)</f>
        <v>0</v>
      </c>
      <c r="ES111" s="18">
        <f>IFERROR(CM111/'McDonough &amp; Sun 1995 values'!J$2,)</f>
        <v>0</v>
      </c>
      <c r="ET111" s="18">
        <f>IFERROR(CU111/'McDonough &amp; Sun 1995 values'!K$2,)</f>
        <v>0</v>
      </c>
      <c r="EU111" s="18">
        <f>IFERROR(CV111/'McDonough &amp; Sun 1995 values'!L$2,)</f>
        <v>0</v>
      </c>
      <c r="EV111" s="18">
        <f>IFERROR(CW111/'McDonough &amp; Sun 1995 values'!M$2,)</f>
        <v>0</v>
      </c>
      <c r="EW111" s="18">
        <f>IFERROR(CI111/'McDonough &amp; Sun 1995 values'!N$2,)</f>
        <v>0</v>
      </c>
      <c r="EX111" s="18">
        <f>IFERROR(CX111/'McDonough &amp; Sun 1995 values'!O$2,)</f>
        <v>0</v>
      </c>
      <c r="EY111" s="18">
        <f>IFERROR(CY111/'McDonough &amp; Sun 1995 values'!P$2,)</f>
        <v>0</v>
      </c>
      <c r="EZ111" s="18">
        <f>IFERROR(DH111/'McDonough &amp; Sun 1995 values'!Q$2,)</f>
        <v>0</v>
      </c>
      <c r="FA111" s="18">
        <f>IFERROR(CK111/'McDonough &amp; Sun 1995 values'!R$2,)</f>
        <v>0</v>
      </c>
      <c r="FB111" s="18">
        <f>IFERROR(CZ111/'McDonough &amp; Sun 1995 values'!S$2,)</f>
        <v>0</v>
      </c>
      <c r="FC111" s="18">
        <f>IFERROR(BT111/'McDonough &amp; Sun 1995 values'!T$2,)</f>
        <v>0</v>
      </c>
      <c r="FD111" s="18">
        <f>IFERROR(DA111/'McDonough &amp; Sun 1995 values'!U$2,)</f>
        <v>0</v>
      </c>
      <c r="FE111" s="18">
        <f>IFERROR(DN111/'McDonough &amp; Sun 1995 values'!V$2,)</f>
        <v>0</v>
      </c>
      <c r="FF111" s="18">
        <f>IFERROR(DB111/'McDonough &amp; Sun 1995 values'!W$2,)</f>
        <v>0</v>
      </c>
      <c r="FG111" s="18">
        <f>IFERROR(CJ111/'McDonough &amp; Sun 1995 values'!X$2,)</f>
        <v>0</v>
      </c>
      <c r="FH111" s="18">
        <f>IFERROR(DC111/'McDonough &amp; Sun 1995 values'!Y$2,)</f>
        <v>0</v>
      </c>
      <c r="FI111" s="18">
        <f>IFERROR(DD111/'McDonough &amp; Sun 1995 values'!Z$2,)</f>
        <v>0</v>
      </c>
      <c r="FJ111" s="18">
        <f>IFERROR(DE111/'McDonough &amp; Sun 1995 values'!AA$2,)</f>
        <v>0</v>
      </c>
      <c r="FK111" s="18">
        <f>IFERROR(DF111/'McDonough &amp; Sun 1995 values'!AB$2,)</f>
        <v>0</v>
      </c>
      <c r="FL111" s="18">
        <f>IFERROR(DG111/'McDonough &amp; Sun 1995 values'!AC$2,)</f>
        <v>0</v>
      </c>
      <c r="FN111" s="28">
        <f t="shared" si="299"/>
        <v>0</v>
      </c>
      <c r="FO111" s="4">
        <f t="shared" si="231"/>
        <v>0</v>
      </c>
      <c r="FP111" s="4">
        <f t="shared" si="232"/>
        <v>0</v>
      </c>
      <c r="FQ111" s="4">
        <f t="shared" si="233"/>
        <v>0</v>
      </c>
      <c r="FR111" s="4">
        <f t="shared" si="234"/>
        <v>0</v>
      </c>
      <c r="FS111" s="4">
        <f t="shared" si="235"/>
        <v>0</v>
      </c>
      <c r="FT111" s="4">
        <f t="shared" si="236"/>
        <v>0</v>
      </c>
      <c r="FU111" s="4">
        <f t="shared" si="237"/>
        <v>0</v>
      </c>
      <c r="FV111" s="4">
        <f t="shared" si="238"/>
        <v>0</v>
      </c>
      <c r="FW111" s="4">
        <f t="shared" si="239"/>
        <v>0</v>
      </c>
      <c r="FX111" s="4">
        <f t="shared" si="240"/>
        <v>0</v>
      </c>
      <c r="FY111" s="4">
        <f t="shared" si="241"/>
        <v>0</v>
      </c>
      <c r="FZ111" s="4">
        <f t="shared" si="242"/>
        <v>0</v>
      </c>
      <c r="GA111" s="4">
        <f t="shared" si="243"/>
        <v>0</v>
      </c>
      <c r="GB111" s="4">
        <f t="shared" si="244"/>
        <v>0</v>
      </c>
      <c r="GC111" s="4">
        <f t="shared" si="245"/>
        <v>0</v>
      </c>
      <c r="GD111" s="4">
        <f t="shared" si="246"/>
        <v>0</v>
      </c>
      <c r="GE111" s="4">
        <f t="shared" si="247"/>
        <v>0</v>
      </c>
      <c r="GF111" s="4">
        <f t="shared" si="248"/>
        <v>0</v>
      </c>
      <c r="GG111" s="4">
        <f t="shared" si="249"/>
        <v>0</v>
      </c>
      <c r="GH111" s="4">
        <f t="shared" si="250"/>
        <v>0</v>
      </c>
      <c r="GI111" s="4">
        <f t="shared" si="251"/>
        <v>0</v>
      </c>
      <c r="GJ111" s="4">
        <f t="shared" si="252"/>
        <v>0</v>
      </c>
      <c r="GK111" s="4">
        <f t="shared" si="253"/>
        <v>0</v>
      </c>
      <c r="GL111" s="4">
        <f t="shared" si="254"/>
        <v>0</v>
      </c>
      <c r="GM111" s="4">
        <f t="shared" si="255"/>
        <v>0</v>
      </c>
      <c r="GN111" s="4">
        <f t="shared" si="256"/>
        <v>0</v>
      </c>
      <c r="GO111" s="4">
        <f t="shared" si="257"/>
        <v>0</v>
      </c>
      <c r="GP111" s="4">
        <f t="shared" si="258"/>
        <v>0</v>
      </c>
      <c r="GQ111" s="27">
        <f t="shared" si="259"/>
        <v>273630.57686746842</v>
      </c>
      <c r="GR111" s="28" t="str">
        <f t="shared" si="260"/>
        <v/>
      </c>
      <c r="GS111" s="28" t="str">
        <f t="shared" si="261"/>
        <v/>
      </c>
      <c r="GT111" s="28" t="str">
        <f t="shared" si="262"/>
        <v/>
      </c>
      <c r="GU111" s="28" t="str">
        <f t="shared" si="263"/>
        <v/>
      </c>
      <c r="GV111" s="28" t="str">
        <f t="shared" si="264"/>
        <v/>
      </c>
      <c r="GW111" s="28" t="str">
        <f t="shared" si="265"/>
        <v/>
      </c>
      <c r="GX111" s="28" t="str">
        <f t="shared" si="266"/>
        <v/>
      </c>
      <c r="GY111" s="28" t="str">
        <f t="shared" si="267"/>
        <v/>
      </c>
      <c r="GZ111" s="28" t="str">
        <f t="shared" si="268"/>
        <v/>
      </c>
      <c r="HA111" s="28" t="str">
        <f t="shared" si="269"/>
        <v/>
      </c>
      <c r="HB111" s="28" t="str">
        <f t="shared" si="270"/>
        <v/>
      </c>
      <c r="HC111" s="28" t="str">
        <f t="shared" si="271"/>
        <v/>
      </c>
      <c r="HD111" s="28" t="str">
        <f t="shared" si="272"/>
        <v/>
      </c>
      <c r="HE111" s="28" t="str">
        <f t="shared" si="273"/>
        <v/>
      </c>
      <c r="HF111" s="28" t="str">
        <f t="shared" si="274"/>
        <v/>
      </c>
      <c r="HG111" s="28" t="str">
        <f t="shared" si="275"/>
        <v/>
      </c>
      <c r="HH111" s="28" t="str">
        <f t="shared" si="276"/>
        <v/>
      </c>
      <c r="HI111" s="28" t="str">
        <f t="shared" si="277"/>
        <v/>
      </c>
      <c r="HJ111" s="28" t="str">
        <f t="shared" si="278"/>
        <v/>
      </c>
      <c r="HK111" s="28" t="str">
        <f t="shared" si="279"/>
        <v/>
      </c>
      <c r="HL111" s="28" t="str">
        <f t="shared" si="280"/>
        <v/>
      </c>
      <c r="HM111" s="28" t="str">
        <f t="shared" si="281"/>
        <v/>
      </c>
      <c r="HN111" s="28" t="str">
        <f t="shared" si="282"/>
        <v/>
      </c>
      <c r="HO111" s="28" t="str">
        <f t="shared" si="283"/>
        <v/>
      </c>
      <c r="HP111" s="28" t="str">
        <f t="shared" si="284"/>
        <v/>
      </c>
      <c r="HQ111" s="28" t="str">
        <f t="shared" si="285"/>
        <v/>
      </c>
      <c r="HR111" s="28" t="str">
        <f t="shared" si="286"/>
        <v/>
      </c>
      <c r="HT111" s="4">
        <f>IFERROR(GR111/'McDonough &amp; Sun 1995 values'!C$2,)</f>
        <v>0</v>
      </c>
      <c r="HU111" s="4">
        <f>IFERROR(GS111/'McDonough &amp; Sun 1995 values'!D$2,)</f>
        <v>0</v>
      </c>
      <c r="HV111" s="4">
        <f>IFERROR(GT111/'McDonough &amp; Sun 1995 values'!E$2,)</f>
        <v>0</v>
      </c>
      <c r="HW111" s="4">
        <f>IFERROR(GU111/'McDonough &amp; Sun 1995 values'!F$2,)</f>
        <v>0</v>
      </c>
      <c r="HX111" s="4">
        <f>IFERROR(GV111/'McDonough &amp; Sun 1995 values'!G$2,)</f>
        <v>0</v>
      </c>
      <c r="HY111" s="4">
        <f>IFERROR(GW111/'McDonough &amp; Sun 1995 values'!H$2,)</f>
        <v>0</v>
      </c>
      <c r="HZ111" s="4">
        <f>IFERROR(GX111/'McDonough &amp; Sun 1995 values'!I$2,)</f>
        <v>0</v>
      </c>
      <c r="IA111" s="4">
        <f>IFERROR(GY111/'McDonough &amp; Sun 1995 values'!J$2,)</f>
        <v>0</v>
      </c>
      <c r="IB111" s="4">
        <f>IFERROR(GZ111/'McDonough &amp; Sun 1995 values'!K$2,)</f>
        <v>0</v>
      </c>
      <c r="IC111" s="4">
        <f>IFERROR(HA111/'McDonough &amp; Sun 1995 values'!L$2,)</f>
        <v>0</v>
      </c>
      <c r="ID111" s="4">
        <f>IFERROR(HB111/'McDonough &amp; Sun 1995 values'!M$2,)</f>
        <v>0</v>
      </c>
      <c r="IE111" s="4">
        <f>IFERROR(HC111/'McDonough &amp; Sun 1995 values'!N$2,)</f>
        <v>0</v>
      </c>
      <c r="IF111" s="4">
        <f>IFERROR(HD111/'McDonough &amp; Sun 1995 values'!O$2,)</f>
        <v>0</v>
      </c>
      <c r="IG111" s="4">
        <f>IFERROR(HE111/'McDonough &amp; Sun 1995 values'!P$2,)</f>
        <v>0</v>
      </c>
      <c r="IH111" s="4">
        <f>IFERROR(HF111/'McDonough &amp; Sun 1995 values'!Q$2,)</f>
        <v>0</v>
      </c>
      <c r="II111" s="4">
        <f>IFERROR(HG111/'McDonough &amp; Sun 1995 values'!R$2,)</f>
        <v>0</v>
      </c>
      <c r="IJ111" s="4">
        <f>IFERROR(HH111/'McDonough &amp; Sun 1995 values'!S$2,)</f>
        <v>0</v>
      </c>
      <c r="IK111" s="4">
        <f>IFERROR(HI111/'McDonough &amp; Sun 1995 values'!T$2,)</f>
        <v>0</v>
      </c>
      <c r="IL111" s="4">
        <f>IFERROR(HJ111/'McDonough &amp; Sun 1995 values'!U$2,)</f>
        <v>0</v>
      </c>
      <c r="IM111" s="4">
        <f>IFERROR(HK111/'McDonough &amp; Sun 1995 values'!V$2,)</f>
        <v>0</v>
      </c>
      <c r="IN111" s="4">
        <f>IFERROR(HL111/'McDonough &amp; Sun 1995 values'!W$2,)</f>
        <v>0</v>
      </c>
      <c r="IO111" s="4">
        <f>IFERROR(HM111/'McDonough &amp; Sun 1995 values'!X$2,)</f>
        <v>0</v>
      </c>
      <c r="IP111" s="4">
        <f>IFERROR(HN111/'McDonough &amp; Sun 1995 values'!Y$2,)</f>
        <v>0</v>
      </c>
      <c r="IQ111" s="4">
        <f>IFERROR(HO111/'McDonough &amp; Sun 1995 values'!Z$2,)</f>
        <v>0</v>
      </c>
      <c r="IR111" s="4">
        <f>IFERROR(HP111/'McDonough &amp; Sun 1995 values'!AA$2,)</f>
        <v>0</v>
      </c>
      <c r="IS111" s="4">
        <f>IFERROR(HQ111/'McDonough &amp; Sun 1995 values'!AB$2,)</f>
        <v>0</v>
      </c>
      <c r="IT111" s="4">
        <f>IFERROR(HR111/'McDonough &amp; Sun 1995 values'!AC$2,)</f>
        <v>0</v>
      </c>
    </row>
    <row r="112" spans="1:254">
      <c r="A112" s="16" t="s">
        <v>847</v>
      </c>
      <c r="B112" s="16" t="s">
        <v>24</v>
      </c>
      <c r="C112" s="16" t="str">
        <f t="shared" si="144"/>
        <v>saline</v>
      </c>
      <c r="D112" s="16" t="s">
        <v>546</v>
      </c>
      <c r="E112" s="16" t="s">
        <v>1394</v>
      </c>
      <c r="F112" s="16" t="s">
        <v>1728</v>
      </c>
      <c r="G112" s="16" t="s">
        <v>595</v>
      </c>
      <c r="H112" s="27">
        <v>84</v>
      </c>
      <c r="I112" s="16" t="s">
        <v>1148</v>
      </c>
      <c r="J112" s="16">
        <v>0</v>
      </c>
      <c r="K112" s="16">
        <v>0</v>
      </c>
      <c r="L112" s="16" t="s">
        <v>571</v>
      </c>
      <c r="M112" s="16" t="s">
        <v>557</v>
      </c>
      <c r="N112" s="16">
        <v>13</v>
      </c>
      <c r="O112" s="26">
        <v>2.58</v>
      </c>
      <c r="P112" s="26">
        <v>0.74</v>
      </c>
      <c r="Q112" s="26">
        <v>0.23</v>
      </c>
      <c r="R112" s="26"/>
      <c r="S112" s="26">
        <v>6.9</v>
      </c>
      <c r="T112" s="26">
        <v>5.91</v>
      </c>
      <c r="U112" s="26"/>
      <c r="V112" s="26">
        <v>4.8499999999999996</v>
      </c>
      <c r="W112" s="26">
        <v>21.34</v>
      </c>
      <c r="X112" s="26">
        <v>29.36</v>
      </c>
      <c r="Y112" s="26"/>
      <c r="Z112" s="26">
        <v>0.75</v>
      </c>
      <c r="AA112" s="26"/>
      <c r="AB112" s="26"/>
      <c r="AC112" s="26"/>
      <c r="AD112" s="26">
        <v>27.36</v>
      </c>
      <c r="AE112" s="26"/>
      <c r="AF112" s="26"/>
      <c r="AG112" s="26"/>
      <c r="AH112" s="26"/>
      <c r="AI112" s="26">
        <v>11.08</v>
      </c>
      <c r="AJ112" s="26">
        <f t="shared" si="145"/>
        <v>99.79</v>
      </c>
      <c r="AK112" s="26">
        <f t="shared" si="288"/>
        <v>2.7559488717712832</v>
      </c>
      <c r="AL112" s="26">
        <f t="shared" si="289"/>
        <v>0.79046595546928278</v>
      </c>
      <c r="AM112" s="26">
        <f t="shared" si="290"/>
        <v>0</v>
      </c>
      <c r="AN112" s="26">
        <f t="shared" si="291"/>
        <v>7.3705609361325015</v>
      </c>
      <c r="AO112" s="26">
        <f t="shared" si="292"/>
        <v>6.3130456713830565</v>
      </c>
      <c r="AP112" s="26">
        <f t="shared" si="293"/>
        <v>5.1807566000351644</v>
      </c>
      <c r="AQ112" s="26">
        <f t="shared" si="294"/>
        <v>0</v>
      </c>
      <c r="AR112" s="26">
        <f t="shared" si="295"/>
        <v>22.795329040154723</v>
      </c>
      <c r="AS112" s="26">
        <f t="shared" si="296"/>
        <v>31.362270881862354</v>
      </c>
      <c r="AT112" s="26">
        <f t="shared" si="297"/>
        <v>0.80114792784048927</v>
      </c>
      <c r="AU112" s="26">
        <f t="shared" si="298"/>
        <v>29.225876407621048</v>
      </c>
      <c r="AV112" s="26">
        <f t="shared" si="146"/>
        <v>106.5954022922699</v>
      </c>
      <c r="AW112" s="16"/>
      <c r="AX112" s="16"/>
      <c r="AY112" s="16"/>
      <c r="AZ112" s="16"/>
      <c r="BA112" s="26"/>
      <c r="BB112" s="26"/>
      <c r="BC112" s="26"/>
      <c r="BD112" s="26"/>
      <c r="BE112" s="16" t="s">
        <v>1478</v>
      </c>
      <c r="BF112" s="16"/>
      <c r="BG112" s="16" t="s">
        <v>540</v>
      </c>
      <c r="BH112" s="16">
        <v>0</v>
      </c>
      <c r="BI112" s="16">
        <v>0</v>
      </c>
      <c r="BJ112" s="16">
        <v>0</v>
      </c>
      <c r="BK112" s="18"/>
      <c r="BL112" s="18"/>
      <c r="BM112" s="18"/>
      <c r="BN112" s="18">
        <v>0</v>
      </c>
      <c r="BO112" s="18">
        <v>0</v>
      </c>
      <c r="BP112" s="18">
        <v>0</v>
      </c>
      <c r="BQ112" s="18">
        <v>0</v>
      </c>
      <c r="BR112" s="18">
        <v>0</v>
      </c>
      <c r="BS112" s="18">
        <v>0</v>
      </c>
      <c r="BT112" s="18">
        <v>0</v>
      </c>
      <c r="BU112" s="18">
        <v>0</v>
      </c>
      <c r="BV112" s="18">
        <v>0</v>
      </c>
      <c r="BW112" s="18"/>
      <c r="BX112" s="18"/>
      <c r="BY112" s="18"/>
      <c r="BZ112" s="18"/>
      <c r="CA112" s="18"/>
      <c r="CB112" s="18"/>
      <c r="CC112" s="18"/>
      <c r="CD112" s="18"/>
      <c r="CE112" s="18"/>
      <c r="CF112" s="18"/>
      <c r="CG112" s="18"/>
      <c r="CH112" s="18"/>
      <c r="CI112" s="18"/>
      <c r="CJ112" s="18"/>
      <c r="CK112" s="18"/>
      <c r="CL112" s="18">
        <v>0</v>
      </c>
      <c r="CM112" s="18">
        <v>0</v>
      </c>
      <c r="CN112" s="18">
        <v>0</v>
      </c>
      <c r="CO112" s="18">
        <v>0</v>
      </c>
      <c r="CP112" s="18">
        <v>0</v>
      </c>
      <c r="CQ112" s="18">
        <v>0</v>
      </c>
      <c r="CR112" s="18">
        <v>0</v>
      </c>
      <c r="CS112" s="18">
        <v>0</v>
      </c>
      <c r="CT112" s="18">
        <v>0</v>
      </c>
      <c r="CU112" s="18">
        <v>0</v>
      </c>
      <c r="CV112" s="18">
        <v>0</v>
      </c>
      <c r="CW112" s="18">
        <v>0</v>
      </c>
      <c r="CX112" s="18">
        <v>0</v>
      </c>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28"/>
      <c r="DW112" s="28"/>
      <c r="DX112" s="28"/>
      <c r="DY112" s="28"/>
      <c r="DZ112" s="28"/>
      <c r="EA112" s="28"/>
      <c r="EB112" s="28"/>
      <c r="EC112" s="28"/>
      <c r="ED112" s="28"/>
      <c r="EE112" s="28"/>
      <c r="EF112" s="28"/>
      <c r="EG112" s="28"/>
      <c r="EH112" s="28"/>
      <c r="EI112" s="28"/>
      <c r="EJ112" s="18"/>
      <c r="EK112" s="18"/>
      <c r="EL112" s="18">
        <f>IFERROR(CR112/'McDonough &amp; Sun 1995 values'!C$2,)</f>
        <v>0</v>
      </c>
      <c r="EM112" s="18">
        <f>IFERROR(CH112/'McDonough &amp; Sun 1995 values'!D$2,)</f>
        <v>0</v>
      </c>
      <c r="EN112" s="18">
        <f>IFERROR(CS112/'McDonough &amp; Sun 1995 values'!E$2,)</f>
        <v>0</v>
      </c>
      <c r="EO112" s="18">
        <f>IFERROR(DL112/'McDonough &amp; Sun 1995 values'!F$2,)</f>
        <v>0</v>
      </c>
      <c r="EP112" s="18">
        <f>IFERROR(DM112/'McDonough &amp; Sun 1995 values'!G$2,)</f>
        <v>0</v>
      </c>
      <c r="EQ112" s="18">
        <f>IFERROR(BR112/'McDonough &amp; Sun 1995 values'!H$2,)</f>
        <v>0</v>
      </c>
      <c r="ER112" s="18">
        <f>IFERROR(DI112/'McDonough &amp; Sun 1995 values'!I$2,)</f>
        <v>0</v>
      </c>
      <c r="ES112" s="18">
        <f>IFERROR(CM112/'McDonough &amp; Sun 1995 values'!J$2,)</f>
        <v>0</v>
      </c>
      <c r="ET112" s="18">
        <f>IFERROR(CU112/'McDonough &amp; Sun 1995 values'!K$2,)</f>
        <v>0</v>
      </c>
      <c r="EU112" s="18">
        <f>IFERROR(CV112/'McDonough &amp; Sun 1995 values'!L$2,)</f>
        <v>0</v>
      </c>
      <c r="EV112" s="18">
        <f>IFERROR(CW112/'McDonough &amp; Sun 1995 values'!M$2,)</f>
        <v>0</v>
      </c>
      <c r="EW112" s="18">
        <f>IFERROR(CI112/'McDonough &amp; Sun 1995 values'!N$2,)</f>
        <v>0</v>
      </c>
      <c r="EX112" s="18">
        <f>IFERROR(CX112/'McDonough &amp; Sun 1995 values'!O$2,)</f>
        <v>0</v>
      </c>
      <c r="EY112" s="18">
        <f>IFERROR(CY112/'McDonough &amp; Sun 1995 values'!P$2,)</f>
        <v>0</v>
      </c>
      <c r="EZ112" s="18">
        <f>IFERROR(DH112/'McDonough &amp; Sun 1995 values'!Q$2,)</f>
        <v>0</v>
      </c>
      <c r="FA112" s="18">
        <f>IFERROR(CK112/'McDonough &amp; Sun 1995 values'!R$2,)</f>
        <v>0</v>
      </c>
      <c r="FB112" s="18">
        <f>IFERROR(CZ112/'McDonough &amp; Sun 1995 values'!S$2,)</f>
        <v>0</v>
      </c>
      <c r="FC112" s="18">
        <f>IFERROR(BT112/'McDonough &amp; Sun 1995 values'!T$2,)</f>
        <v>0</v>
      </c>
      <c r="FD112" s="18">
        <f>IFERROR(DA112/'McDonough &amp; Sun 1995 values'!U$2,)</f>
        <v>0</v>
      </c>
      <c r="FE112" s="18">
        <f>IFERROR(DN112/'McDonough &amp; Sun 1995 values'!V$2,)</f>
        <v>0</v>
      </c>
      <c r="FF112" s="18">
        <f>IFERROR(DB112/'McDonough &amp; Sun 1995 values'!W$2,)</f>
        <v>0</v>
      </c>
      <c r="FG112" s="18">
        <f>IFERROR(CJ112/'McDonough &amp; Sun 1995 values'!X$2,)</f>
        <v>0</v>
      </c>
      <c r="FH112" s="18">
        <f>IFERROR(DC112/'McDonough &amp; Sun 1995 values'!Y$2,)</f>
        <v>0</v>
      </c>
      <c r="FI112" s="18">
        <f>IFERROR(DD112/'McDonough &amp; Sun 1995 values'!Z$2,)</f>
        <v>0</v>
      </c>
      <c r="FJ112" s="18">
        <f>IFERROR(DE112/'McDonough &amp; Sun 1995 values'!AA$2,)</f>
        <v>0</v>
      </c>
      <c r="FK112" s="18">
        <f>IFERROR(DF112/'McDonough &amp; Sun 1995 values'!AB$2,)</f>
        <v>0</v>
      </c>
      <c r="FL112" s="18">
        <f>IFERROR(DG112/'McDonough &amp; Sun 1995 values'!AC$2,)</f>
        <v>0</v>
      </c>
      <c r="FN112" s="28">
        <f t="shared" si="299"/>
        <v>0</v>
      </c>
      <c r="FO112" s="4">
        <f t="shared" si="231"/>
        <v>0</v>
      </c>
      <c r="FP112" s="4">
        <f t="shared" si="232"/>
        <v>0</v>
      </c>
      <c r="FQ112" s="4">
        <f t="shared" si="233"/>
        <v>0</v>
      </c>
      <c r="FR112" s="4">
        <f t="shared" si="234"/>
        <v>0</v>
      </c>
      <c r="FS112" s="4">
        <f t="shared" si="235"/>
        <v>0</v>
      </c>
      <c r="FT112" s="4">
        <f t="shared" si="236"/>
        <v>0</v>
      </c>
      <c r="FU112" s="4">
        <f t="shared" si="237"/>
        <v>0</v>
      </c>
      <c r="FV112" s="4">
        <f t="shared" si="238"/>
        <v>0</v>
      </c>
      <c r="FW112" s="4">
        <f t="shared" si="239"/>
        <v>0</v>
      </c>
      <c r="FX112" s="4">
        <f t="shared" si="240"/>
        <v>0</v>
      </c>
      <c r="FY112" s="4">
        <f t="shared" si="241"/>
        <v>0</v>
      </c>
      <c r="FZ112" s="4">
        <f t="shared" si="242"/>
        <v>0</v>
      </c>
      <c r="GA112" s="4">
        <f t="shared" si="243"/>
        <v>0</v>
      </c>
      <c r="GB112" s="4">
        <f t="shared" si="244"/>
        <v>0</v>
      </c>
      <c r="GC112" s="4">
        <f t="shared" si="245"/>
        <v>0</v>
      </c>
      <c r="GD112" s="4">
        <f t="shared" si="246"/>
        <v>0</v>
      </c>
      <c r="GE112" s="4">
        <f t="shared" si="247"/>
        <v>0</v>
      </c>
      <c r="GF112" s="4">
        <f t="shared" si="248"/>
        <v>0</v>
      </c>
      <c r="GG112" s="4">
        <f t="shared" si="249"/>
        <v>0</v>
      </c>
      <c r="GH112" s="4">
        <f t="shared" si="250"/>
        <v>0</v>
      </c>
      <c r="GI112" s="4">
        <f t="shared" si="251"/>
        <v>0</v>
      </c>
      <c r="GJ112" s="4">
        <f t="shared" si="252"/>
        <v>0</v>
      </c>
      <c r="GK112" s="4">
        <f t="shared" si="253"/>
        <v>0</v>
      </c>
      <c r="GL112" s="4">
        <f t="shared" si="254"/>
        <v>0</v>
      </c>
      <c r="GM112" s="4">
        <f t="shared" si="255"/>
        <v>0</v>
      </c>
      <c r="GN112" s="4">
        <f t="shared" si="256"/>
        <v>0</v>
      </c>
      <c r="GO112" s="4">
        <f t="shared" si="257"/>
        <v>0</v>
      </c>
      <c r="GP112" s="4">
        <f t="shared" si="258"/>
        <v>0</v>
      </c>
      <c r="GQ112" s="27">
        <f t="shared" si="259"/>
        <v>260349.91019460373</v>
      </c>
      <c r="GR112" s="28" t="str">
        <f t="shared" si="260"/>
        <v/>
      </c>
      <c r="GS112" s="28" t="str">
        <f t="shared" si="261"/>
        <v/>
      </c>
      <c r="GT112" s="28" t="str">
        <f t="shared" si="262"/>
        <v/>
      </c>
      <c r="GU112" s="28" t="str">
        <f t="shared" si="263"/>
        <v/>
      </c>
      <c r="GV112" s="28" t="str">
        <f t="shared" si="264"/>
        <v/>
      </c>
      <c r="GW112" s="28" t="str">
        <f t="shared" si="265"/>
        <v/>
      </c>
      <c r="GX112" s="28" t="str">
        <f t="shared" si="266"/>
        <v/>
      </c>
      <c r="GY112" s="28" t="str">
        <f t="shared" si="267"/>
        <v/>
      </c>
      <c r="GZ112" s="28" t="str">
        <f t="shared" si="268"/>
        <v/>
      </c>
      <c r="HA112" s="28" t="str">
        <f t="shared" si="269"/>
        <v/>
      </c>
      <c r="HB112" s="28" t="str">
        <f t="shared" si="270"/>
        <v/>
      </c>
      <c r="HC112" s="28" t="str">
        <f t="shared" si="271"/>
        <v/>
      </c>
      <c r="HD112" s="28" t="str">
        <f t="shared" si="272"/>
        <v/>
      </c>
      <c r="HE112" s="28" t="str">
        <f t="shared" si="273"/>
        <v/>
      </c>
      <c r="HF112" s="28" t="str">
        <f t="shared" si="274"/>
        <v/>
      </c>
      <c r="HG112" s="28" t="str">
        <f t="shared" si="275"/>
        <v/>
      </c>
      <c r="HH112" s="28" t="str">
        <f t="shared" si="276"/>
        <v/>
      </c>
      <c r="HI112" s="28" t="str">
        <f t="shared" si="277"/>
        <v/>
      </c>
      <c r="HJ112" s="28" t="str">
        <f t="shared" si="278"/>
        <v/>
      </c>
      <c r="HK112" s="28" t="str">
        <f t="shared" si="279"/>
        <v/>
      </c>
      <c r="HL112" s="28" t="str">
        <f t="shared" si="280"/>
        <v/>
      </c>
      <c r="HM112" s="28" t="str">
        <f t="shared" si="281"/>
        <v/>
      </c>
      <c r="HN112" s="28" t="str">
        <f t="shared" si="282"/>
        <v/>
      </c>
      <c r="HO112" s="28" t="str">
        <f t="shared" si="283"/>
        <v/>
      </c>
      <c r="HP112" s="28" t="str">
        <f t="shared" si="284"/>
        <v/>
      </c>
      <c r="HQ112" s="28" t="str">
        <f t="shared" si="285"/>
        <v/>
      </c>
      <c r="HR112" s="28" t="str">
        <f t="shared" si="286"/>
        <v/>
      </c>
      <c r="HT112" s="4">
        <f>IFERROR(GR112/'McDonough &amp; Sun 1995 values'!C$2,)</f>
        <v>0</v>
      </c>
      <c r="HU112" s="4">
        <f>IFERROR(GS112/'McDonough &amp; Sun 1995 values'!D$2,)</f>
        <v>0</v>
      </c>
      <c r="HV112" s="4">
        <f>IFERROR(GT112/'McDonough &amp; Sun 1995 values'!E$2,)</f>
        <v>0</v>
      </c>
      <c r="HW112" s="4">
        <f>IFERROR(GU112/'McDonough &amp; Sun 1995 values'!F$2,)</f>
        <v>0</v>
      </c>
      <c r="HX112" s="4">
        <f>IFERROR(GV112/'McDonough &amp; Sun 1995 values'!G$2,)</f>
        <v>0</v>
      </c>
      <c r="HY112" s="4">
        <f>IFERROR(GW112/'McDonough &amp; Sun 1995 values'!H$2,)</f>
        <v>0</v>
      </c>
      <c r="HZ112" s="4">
        <f>IFERROR(GX112/'McDonough &amp; Sun 1995 values'!I$2,)</f>
        <v>0</v>
      </c>
      <c r="IA112" s="4">
        <f>IFERROR(GY112/'McDonough &amp; Sun 1995 values'!J$2,)</f>
        <v>0</v>
      </c>
      <c r="IB112" s="4">
        <f>IFERROR(GZ112/'McDonough &amp; Sun 1995 values'!K$2,)</f>
        <v>0</v>
      </c>
      <c r="IC112" s="4">
        <f>IFERROR(HA112/'McDonough &amp; Sun 1995 values'!L$2,)</f>
        <v>0</v>
      </c>
      <c r="ID112" s="4">
        <f>IFERROR(HB112/'McDonough &amp; Sun 1995 values'!M$2,)</f>
        <v>0</v>
      </c>
      <c r="IE112" s="4">
        <f>IFERROR(HC112/'McDonough &amp; Sun 1995 values'!N$2,)</f>
        <v>0</v>
      </c>
      <c r="IF112" s="4">
        <f>IFERROR(HD112/'McDonough &amp; Sun 1995 values'!O$2,)</f>
        <v>0</v>
      </c>
      <c r="IG112" s="4">
        <f>IFERROR(HE112/'McDonough &amp; Sun 1995 values'!P$2,)</f>
        <v>0</v>
      </c>
      <c r="IH112" s="4">
        <f>IFERROR(HF112/'McDonough &amp; Sun 1995 values'!Q$2,)</f>
        <v>0</v>
      </c>
      <c r="II112" s="4">
        <f>IFERROR(HG112/'McDonough &amp; Sun 1995 values'!R$2,)</f>
        <v>0</v>
      </c>
      <c r="IJ112" s="4">
        <f>IFERROR(HH112/'McDonough &amp; Sun 1995 values'!S$2,)</f>
        <v>0</v>
      </c>
      <c r="IK112" s="4">
        <f>IFERROR(HI112/'McDonough &amp; Sun 1995 values'!T$2,)</f>
        <v>0</v>
      </c>
      <c r="IL112" s="4">
        <f>IFERROR(HJ112/'McDonough &amp; Sun 1995 values'!U$2,)</f>
        <v>0</v>
      </c>
      <c r="IM112" s="4">
        <f>IFERROR(HK112/'McDonough &amp; Sun 1995 values'!V$2,)</f>
        <v>0</v>
      </c>
      <c r="IN112" s="4">
        <f>IFERROR(HL112/'McDonough &amp; Sun 1995 values'!W$2,)</f>
        <v>0</v>
      </c>
      <c r="IO112" s="4">
        <f>IFERROR(HM112/'McDonough &amp; Sun 1995 values'!X$2,)</f>
        <v>0</v>
      </c>
      <c r="IP112" s="4">
        <f>IFERROR(HN112/'McDonough &amp; Sun 1995 values'!Y$2,)</f>
        <v>0</v>
      </c>
      <c r="IQ112" s="4">
        <f>IFERROR(HO112/'McDonough &amp; Sun 1995 values'!Z$2,)</f>
        <v>0</v>
      </c>
      <c r="IR112" s="4">
        <f>IFERROR(HP112/'McDonough &amp; Sun 1995 values'!AA$2,)</f>
        <v>0</v>
      </c>
      <c r="IS112" s="4">
        <f>IFERROR(HQ112/'McDonough &amp; Sun 1995 values'!AB$2,)</f>
        <v>0</v>
      </c>
      <c r="IT112" s="4">
        <f>IFERROR(HR112/'McDonough &amp; Sun 1995 values'!AC$2,)</f>
        <v>0</v>
      </c>
    </row>
    <row r="113" spans="1:254">
      <c r="A113" s="16" t="s">
        <v>847</v>
      </c>
      <c r="B113" s="16" t="s">
        <v>24</v>
      </c>
      <c r="C113" s="16" t="str">
        <f t="shared" si="144"/>
        <v>saline</v>
      </c>
      <c r="D113" s="16" t="s">
        <v>546</v>
      </c>
      <c r="E113" s="16" t="s">
        <v>1394</v>
      </c>
      <c r="F113" s="16" t="s">
        <v>1728</v>
      </c>
      <c r="G113" s="16" t="s">
        <v>595</v>
      </c>
      <c r="H113" s="27">
        <v>84</v>
      </c>
      <c r="I113" s="16" t="s">
        <v>1148</v>
      </c>
      <c r="J113" s="16">
        <v>0</v>
      </c>
      <c r="K113" s="16">
        <v>0</v>
      </c>
      <c r="L113" s="16" t="s">
        <v>561</v>
      </c>
      <c r="M113" s="16" t="s">
        <v>560</v>
      </c>
      <c r="N113" s="16">
        <v>55</v>
      </c>
      <c r="O113" s="26">
        <v>2.1807272727272728</v>
      </c>
      <c r="P113" s="26">
        <v>9.4545454545454544E-2</v>
      </c>
      <c r="Q113" s="26">
        <v>0.13636363636363635</v>
      </c>
      <c r="R113" s="26"/>
      <c r="S113" s="26">
        <v>18.980909090909091</v>
      </c>
      <c r="T113" s="26">
        <v>2.9860000000000002</v>
      </c>
      <c r="U113" s="26"/>
      <c r="V113" s="26">
        <v>6.044545454545454</v>
      </c>
      <c r="W113" s="26">
        <v>10.654727272727273</v>
      </c>
      <c r="X113" s="26">
        <v>28.381272727272723</v>
      </c>
      <c r="Y113" s="26"/>
      <c r="Z113" s="26">
        <v>0.15018181818181819</v>
      </c>
      <c r="AA113" s="26"/>
      <c r="AB113" s="26"/>
      <c r="AC113" s="26"/>
      <c r="AD113" s="26">
        <v>30.388181818181817</v>
      </c>
      <c r="AE113" s="26"/>
      <c r="AF113" s="26"/>
      <c r="AG113" s="26"/>
      <c r="AH113" s="26"/>
      <c r="AI113" s="26">
        <v>12.072545454545455</v>
      </c>
      <c r="AJ113" s="26">
        <f t="shared" si="145"/>
        <v>99.861090909090905</v>
      </c>
      <c r="AK113" s="26">
        <f t="shared" si="288"/>
        <v>2.3447825337292323</v>
      </c>
      <c r="AL113" s="26">
        <f t="shared" si="289"/>
        <v>0.10165807216434888</v>
      </c>
      <c r="AM113" s="26">
        <f t="shared" si="290"/>
        <v>0</v>
      </c>
      <c r="AN113" s="26">
        <f t="shared" si="291"/>
        <v>20.408835468456157</v>
      </c>
      <c r="AO113" s="26">
        <f t="shared" si="292"/>
        <v>3.2106356137598118</v>
      </c>
      <c r="AP113" s="26">
        <f t="shared" si="293"/>
        <v>6.4992742482764969</v>
      </c>
      <c r="AQ113" s="26">
        <f t="shared" si="294"/>
        <v>0</v>
      </c>
      <c r="AR113" s="26">
        <f t="shared" si="295"/>
        <v>11.456278244044249</v>
      </c>
      <c r="AS113" s="26">
        <f t="shared" si="296"/>
        <v>30.516384789689166</v>
      </c>
      <c r="AT113" s="26">
        <f t="shared" si="297"/>
        <v>0.16147993770721575</v>
      </c>
      <c r="AU113" s="26">
        <f t="shared" si="298"/>
        <v>32.674272867670098</v>
      </c>
      <c r="AV113" s="26">
        <f t="shared" si="146"/>
        <v>107.37360177549678</v>
      </c>
      <c r="AW113" s="16"/>
      <c r="AX113" s="16"/>
      <c r="AY113" s="16"/>
      <c r="AZ113" s="16"/>
      <c r="BA113" s="26"/>
      <c r="BB113" s="26"/>
      <c r="BC113" s="26"/>
      <c r="BD113" s="26"/>
      <c r="BE113" s="16">
        <v>-6.0399999999999991</v>
      </c>
      <c r="BF113" s="16"/>
      <c r="BG113" s="16"/>
      <c r="BH113" s="16">
        <v>0</v>
      </c>
      <c r="BI113" s="16">
        <v>0</v>
      </c>
      <c r="BJ113" s="16">
        <v>0</v>
      </c>
      <c r="BK113" s="18">
        <v>0</v>
      </c>
      <c r="BL113" s="18">
        <v>0</v>
      </c>
      <c r="BM113" s="18">
        <v>0</v>
      </c>
      <c r="BN113" s="18">
        <v>0</v>
      </c>
      <c r="BO113" s="18">
        <v>0</v>
      </c>
      <c r="BP113" s="18">
        <v>0</v>
      </c>
      <c r="BQ113" s="18">
        <v>0</v>
      </c>
      <c r="BR113" s="18">
        <v>0</v>
      </c>
      <c r="BS113" s="18">
        <v>0</v>
      </c>
      <c r="BT113" s="18">
        <v>0</v>
      </c>
      <c r="BU113" s="18">
        <v>0</v>
      </c>
      <c r="BV113" s="18">
        <v>0</v>
      </c>
      <c r="BW113" s="18"/>
      <c r="BX113" s="18"/>
      <c r="BY113" s="18"/>
      <c r="BZ113" s="18"/>
      <c r="CA113" s="18"/>
      <c r="CB113" s="18"/>
      <c r="CC113" s="18"/>
      <c r="CD113" s="18"/>
      <c r="CE113" s="18"/>
      <c r="CF113" s="18"/>
      <c r="CG113" s="18"/>
      <c r="CH113" s="18"/>
      <c r="CI113" s="18"/>
      <c r="CJ113" s="18"/>
      <c r="CK113" s="18"/>
      <c r="CL113" s="18">
        <v>0</v>
      </c>
      <c r="CM113" s="18">
        <v>0</v>
      </c>
      <c r="CN113" s="18">
        <v>0</v>
      </c>
      <c r="CO113" s="18">
        <v>0</v>
      </c>
      <c r="CP113" s="18">
        <v>0</v>
      </c>
      <c r="CQ113" s="18">
        <v>0</v>
      </c>
      <c r="CR113" s="18">
        <v>0</v>
      </c>
      <c r="CS113" s="18">
        <v>0</v>
      </c>
      <c r="CT113" s="18">
        <v>0</v>
      </c>
      <c r="CU113" s="18">
        <v>0</v>
      </c>
      <c r="CV113" s="18">
        <v>0</v>
      </c>
      <c r="CW113" s="18">
        <v>0</v>
      </c>
      <c r="CX113" s="18">
        <v>0</v>
      </c>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28"/>
      <c r="DW113" s="28"/>
      <c r="DX113" s="28"/>
      <c r="DY113" s="28"/>
      <c r="DZ113" s="28"/>
      <c r="EA113" s="28"/>
      <c r="EB113" s="28"/>
      <c r="EC113" s="28"/>
      <c r="ED113" s="28"/>
      <c r="EE113" s="28"/>
      <c r="EF113" s="28"/>
      <c r="EG113" s="28"/>
      <c r="EH113" s="28"/>
      <c r="EI113" s="28"/>
      <c r="EJ113" s="18"/>
      <c r="EK113" s="18"/>
      <c r="EL113" s="18">
        <f>IFERROR(CR113/'McDonough &amp; Sun 1995 values'!C$2,)</f>
        <v>0</v>
      </c>
      <c r="EM113" s="18">
        <f>IFERROR(CH113/'McDonough &amp; Sun 1995 values'!D$2,)</f>
        <v>0</v>
      </c>
      <c r="EN113" s="18">
        <f>IFERROR(CS113/'McDonough &amp; Sun 1995 values'!E$2,)</f>
        <v>0</v>
      </c>
      <c r="EO113" s="18">
        <f>IFERROR(DL113/'McDonough &amp; Sun 1995 values'!F$2,)</f>
        <v>0</v>
      </c>
      <c r="EP113" s="18">
        <f>IFERROR(DM113/'McDonough &amp; Sun 1995 values'!G$2,)</f>
        <v>0</v>
      </c>
      <c r="EQ113" s="18">
        <f>IFERROR(BR113/'McDonough &amp; Sun 1995 values'!H$2,)</f>
        <v>0</v>
      </c>
      <c r="ER113" s="18">
        <f>IFERROR(DI113/'McDonough &amp; Sun 1995 values'!I$2,)</f>
        <v>0</v>
      </c>
      <c r="ES113" s="18">
        <f>IFERROR(CM113/'McDonough &amp; Sun 1995 values'!J$2,)</f>
        <v>0</v>
      </c>
      <c r="ET113" s="18">
        <f>IFERROR(CU113/'McDonough &amp; Sun 1995 values'!K$2,)</f>
        <v>0</v>
      </c>
      <c r="EU113" s="18">
        <f>IFERROR(CV113/'McDonough &amp; Sun 1995 values'!L$2,)</f>
        <v>0</v>
      </c>
      <c r="EV113" s="18">
        <f>IFERROR(CW113/'McDonough &amp; Sun 1995 values'!M$2,)</f>
        <v>0</v>
      </c>
      <c r="EW113" s="18">
        <f>IFERROR(CI113/'McDonough &amp; Sun 1995 values'!N$2,)</f>
        <v>0</v>
      </c>
      <c r="EX113" s="18">
        <f>IFERROR(CX113/'McDonough &amp; Sun 1995 values'!O$2,)</f>
        <v>0</v>
      </c>
      <c r="EY113" s="18">
        <f>IFERROR(CY113/'McDonough &amp; Sun 1995 values'!P$2,)</f>
        <v>0</v>
      </c>
      <c r="EZ113" s="18">
        <f>IFERROR(DH113/'McDonough &amp; Sun 1995 values'!Q$2,)</f>
        <v>0</v>
      </c>
      <c r="FA113" s="18">
        <f>IFERROR(CK113/'McDonough &amp; Sun 1995 values'!R$2,)</f>
        <v>0</v>
      </c>
      <c r="FB113" s="18">
        <f>IFERROR(CZ113/'McDonough &amp; Sun 1995 values'!S$2,)</f>
        <v>0</v>
      </c>
      <c r="FC113" s="18">
        <f>IFERROR(BT113/'McDonough &amp; Sun 1995 values'!T$2,)</f>
        <v>0</v>
      </c>
      <c r="FD113" s="18">
        <f>IFERROR(DA113/'McDonough &amp; Sun 1995 values'!U$2,)</f>
        <v>0</v>
      </c>
      <c r="FE113" s="18">
        <f>IFERROR(DN113/'McDonough &amp; Sun 1995 values'!V$2,)</f>
        <v>0</v>
      </c>
      <c r="FF113" s="18">
        <f>IFERROR(DB113/'McDonough &amp; Sun 1995 values'!W$2,)</f>
        <v>0</v>
      </c>
      <c r="FG113" s="18">
        <f>IFERROR(CJ113/'McDonough &amp; Sun 1995 values'!X$2,)</f>
        <v>0</v>
      </c>
      <c r="FH113" s="18">
        <f>IFERROR(DC113/'McDonough &amp; Sun 1995 values'!Y$2,)</f>
        <v>0</v>
      </c>
      <c r="FI113" s="18">
        <f>IFERROR(DD113/'McDonough &amp; Sun 1995 values'!Z$2,)</f>
        <v>0</v>
      </c>
      <c r="FJ113" s="18">
        <f>IFERROR(DE113/'McDonough &amp; Sun 1995 values'!AA$2,)</f>
        <v>0</v>
      </c>
      <c r="FK113" s="18">
        <f>IFERROR(DF113/'McDonough &amp; Sun 1995 values'!AB$2,)</f>
        <v>0</v>
      </c>
      <c r="FL113" s="18">
        <f>IFERROR(DG113/'McDonough &amp; Sun 1995 values'!AC$2,)</f>
        <v>0</v>
      </c>
      <c r="FN113" s="28">
        <f t="shared" si="299"/>
        <v>0</v>
      </c>
      <c r="FO113" s="4">
        <f t="shared" si="231"/>
        <v>0</v>
      </c>
      <c r="FP113" s="4">
        <f t="shared" si="232"/>
        <v>0</v>
      </c>
      <c r="FQ113" s="4">
        <f t="shared" si="233"/>
        <v>0</v>
      </c>
      <c r="FR113" s="4">
        <f t="shared" si="234"/>
        <v>0</v>
      </c>
      <c r="FS113" s="4">
        <f t="shared" si="235"/>
        <v>0</v>
      </c>
      <c r="FT113" s="4">
        <f t="shared" si="236"/>
        <v>0</v>
      </c>
      <c r="FU113" s="4">
        <f t="shared" si="237"/>
        <v>0</v>
      </c>
      <c r="FV113" s="4">
        <f t="shared" si="238"/>
        <v>0</v>
      </c>
      <c r="FW113" s="4">
        <f t="shared" si="239"/>
        <v>0</v>
      </c>
      <c r="FX113" s="4">
        <f t="shared" si="240"/>
        <v>0</v>
      </c>
      <c r="FY113" s="4">
        <f t="shared" si="241"/>
        <v>0</v>
      </c>
      <c r="FZ113" s="4">
        <f t="shared" si="242"/>
        <v>0</v>
      </c>
      <c r="GA113" s="4">
        <f t="shared" si="243"/>
        <v>0</v>
      </c>
      <c r="GB113" s="4">
        <f t="shared" si="244"/>
        <v>0</v>
      </c>
      <c r="GC113" s="4">
        <f t="shared" si="245"/>
        <v>0</v>
      </c>
      <c r="GD113" s="4">
        <f t="shared" si="246"/>
        <v>0</v>
      </c>
      <c r="GE113" s="4">
        <f t="shared" si="247"/>
        <v>0</v>
      </c>
      <c r="GF113" s="4">
        <f t="shared" si="248"/>
        <v>0</v>
      </c>
      <c r="GG113" s="4">
        <f t="shared" si="249"/>
        <v>0</v>
      </c>
      <c r="GH113" s="4">
        <f t="shared" si="250"/>
        <v>0</v>
      </c>
      <c r="GI113" s="4">
        <f t="shared" si="251"/>
        <v>0</v>
      </c>
      <c r="GJ113" s="4">
        <f t="shared" si="252"/>
        <v>0</v>
      </c>
      <c r="GK113" s="4">
        <f t="shared" si="253"/>
        <v>0</v>
      </c>
      <c r="GL113" s="4">
        <f t="shared" si="254"/>
        <v>0</v>
      </c>
      <c r="GM113" s="4">
        <f t="shared" si="255"/>
        <v>0</v>
      </c>
      <c r="GN113" s="4">
        <f t="shared" si="256"/>
        <v>0</v>
      </c>
      <c r="GO113" s="4">
        <f t="shared" si="257"/>
        <v>0</v>
      </c>
      <c r="GP113" s="4">
        <f t="shared" si="258"/>
        <v>0</v>
      </c>
      <c r="GQ113" s="27">
        <f t="shared" si="259"/>
        <v>253327.89418811878</v>
      </c>
      <c r="GR113" s="28" t="str">
        <f t="shared" si="260"/>
        <v/>
      </c>
      <c r="GS113" s="28" t="str">
        <f t="shared" si="261"/>
        <v/>
      </c>
      <c r="GT113" s="28" t="str">
        <f t="shared" si="262"/>
        <v/>
      </c>
      <c r="GU113" s="28" t="str">
        <f t="shared" si="263"/>
        <v/>
      </c>
      <c r="GV113" s="28" t="str">
        <f t="shared" si="264"/>
        <v/>
      </c>
      <c r="GW113" s="28" t="str">
        <f t="shared" si="265"/>
        <v/>
      </c>
      <c r="GX113" s="28" t="str">
        <f t="shared" si="266"/>
        <v/>
      </c>
      <c r="GY113" s="28" t="str">
        <f t="shared" si="267"/>
        <v/>
      </c>
      <c r="GZ113" s="28" t="str">
        <f t="shared" si="268"/>
        <v/>
      </c>
      <c r="HA113" s="28" t="str">
        <f t="shared" si="269"/>
        <v/>
      </c>
      <c r="HB113" s="28" t="str">
        <f t="shared" si="270"/>
        <v/>
      </c>
      <c r="HC113" s="28" t="str">
        <f t="shared" si="271"/>
        <v/>
      </c>
      <c r="HD113" s="28" t="str">
        <f t="shared" si="272"/>
        <v/>
      </c>
      <c r="HE113" s="28" t="str">
        <f t="shared" si="273"/>
        <v/>
      </c>
      <c r="HF113" s="28" t="str">
        <f t="shared" si="274"/>
        <v/>
      </c>
      <c r="HG113" s="28" t="str">
        <f t="shared" si="275"/>
        <v/>
      </c>
      <c r="HH113" s="28" t="str">
        <f t="shared" si="276"/>
        <v/>
      </c>
      <c r="HI113" s="28" t="str">
        <f t="shared" si="277"/>
        <v/>
      </c>
      <c r="HJ113" s="28" t="str">
        <f t="shared" si="278"/>
        <v/>
      </c>
      <c r="HK113" s="28" t="str">
        <f t="shared" si="279"/>
        <v/>
      </c>
      <c r="HL113" s="28" t="str">
        <f t="shared" si="280"/>
        <v/>
      </c>
      <c r="HM113" s="28" t="str">
        <f t="shared" si="281"/>
        <v/>
      </c>
      <c r="HN113" s="28" t="str">
        <f t="shared" si="282"/>
        <v/>
      </c>
      <c r="HO113" s="28" t="str">
        <f t="shared" si="283"/>
        <v/>
      </c>
      <c r="HP113" s="28" t="str">
        <f t="shared" si="284"/>
        <v/>
      </c>
      <c r="HQ113" s="28" t="str">
        <f t="shared" si="285"/>
        <v/>
      </c>
      <c r="HR113" s="28" t="str">
        <f t="shared" si="286"/>
        <v/>
      </c>
      <c r="HT113" s="4">
        <f>IFERROR(GR113/'McDonough &amp; Sun 1995 values'!C$2,)</f>
        <v>0</v>
      </c>
      <c r="HU113" s="4">
        <f>IFERROR(GS113/'McDonough &amp; Sun 1995 values'!D$2,)</f>
        <v>0</v>
      </c>
      <c r="HV113" s="4">
        <f>IFERROR(GT113/'McDonough &amp; Sun 1995 values'!E$2,)</f>
        <v>0</v>
      </c>
      <c r="HW113" s="4">
        <f>IFERROR(GU113/'McDonough &amp; Sun 1995 values'!F$2,)</f>
        <v>0</v>
      </c>
      <c r="HX113" s="4">
        <f>IFERROR(GV113/'McDonough &amp; Sun 1995 values'!G$2,)</f>
        <v>0</v>
      </c>
      <c r="HY113" s="4">
        <f>IFERROR(GW113/'McDonough &amp; Sun 1995 values'!H$2,)</f>
        <v>0</v>
      </c>
      <c r="HZ113" s="4">
        <f>IFERROR(GX113/'McDonough &amp; Sun 1995 values'!I$2,)</f>
        <v>0</v>
      </c>
      <c r="IA113" s="4">
        <f>IFERROR(GY113/'McDonough &amp; Sun 1995 values'!J$2,)</f>
        <v>0</v>
      </c>
      <c r="IB113" s="4">
        <f>IFERROR(GZ113/'McDonough &amp; Sun 1995 values'!K$2,)</f>
        <v>0</v>
      </c>
      <c r="IC113" s="4">
        <f>IFERROR(HA113/'McDonough &amp; Sun 1995 values'!L$2,)</f>
        <v>0</v>
      </c>
      <c r="ID113" s="4">
        <f>IFERROR(HB113/'McDonough &amp; Sun 1995 values'!M$2,)</f>
        <v>0</v>
      </c>
      <c r="IE113" s="4">
        <f>IFERROR(HC113/'McDonough &amp; Sun 1995 values'!N$2,)</f>
        <v>0</v>
      </c>
      <c r="IF113" s="4">
        <f>IFERROR(HD113/'McDonough &amp; Sun 1995 values'!O$2,)</f>
        <v>0</v>
      </c>
      <c r="IG113" s="4">
        <f>IFERROR(HE113/'McDonough &amp; Sun 1995 values'!P$2,)</f>
        <v>0</v>
      </c>
      <c r="IH113" s="4">
        <f>IFERROR(HF113/'McDonough &amp; Sun 1995 values'!Q$2,)</f>
        <v>0</v>
      </c>
      <c r="II113" s="4">
        <f>IFERROR(HG113/'McDonough &amp; Sun 1995 values'!R$2,)</f>
        <v>0</v>
      </c>
      <c r="IJ113" s="4">
        <f>IFERROR(HH113/'McDonough &amp; Sun 1995 values'!S$2,)</f>
        <v>0</v>
      </c>
      <c r="IK113" s="4">
        <f>IFERROR(HI113/'McDonough &amp; Sun 1995 values'!T$2,)</f>
        <v>0</v>
      </c>
      <c r="IL113" s="4">
        <f>IFERROR(HJ113/'McDonough &amp; Sun 1995 values'!U$2,)</f>
        <v>0</v>
      </c>
      <c r="IM113" s="4">
        <f>IFERROR(HK113/'McDonough &amp; Sun 1995 values'!V$2,)</f>
        <v>0</v>
      </c>
      <c r="IN113" s="4">
        <f>IFERROR(HL113/'McDonough &amp; Sun 1995 values'!W$2,)</f>
        <v>0</v>
      </c>
      <c r="IO113" s="4">
        <f>IFERROR(HM113/'McDonough &amp; Sun 1995 values'!X$2,)</f>
        <v>0</v>
      </c>
      <c r="IP113" s="4">
        <f>IFERROR(HN113/'McDonough &amp; Sun 1995 values'!Y$2,)</f>
        <v>0</v>
      </c>
      <c r="IQ113" s="4">
        <f>IFERROR(HO113/'McDonough &amp; Sun 1995 values'!Z$2,)</f>
        <v>0</v>
      </c>
      <c r="IR113" s="4">
        <f>IFERROR(HP113/'McDonough &amp; Sun 1995 values'!AA$2,)</f>
        <v>0</v>
      </c>
      <c r="IS113" s="4">
        <f>IFERROR(HQ113/'McDonough &amp; Sun 1995 values'!AB$2,)</f>
        <v>0</v>
      </c>
      <c r="IT113" s="4">
        <f>IFERROR(HR113/'McDonough &amp; Sun 1995 values'!AC$2,)</f>
        <v>0</v>
      </c>
    </row>
    <row r="114" spans="1:254">
      <c r="A114" s="16" t="s">
        <v>772</v>
      </c>
      <c r="B114" s="16" t="s">
        <v>24</v>
      </c>
      <c r="C114" s="16" t="str">
        <f t="shared" si="144"/>
        <v>saline</v>
      </c>
      <c r="D114" s="16" t="s">
        <v>119</v>
      </c>
      <c r="E114" s="16" t="s">
        <v>1394</v>
      </c>
      <c r="F114" s="16" t="s">
        <v>1728</v>
      </c>
      <c r="G114" s="16" t="s">
        <v>595</v>
      </c>
      <c r="H114" s="27">
        <v>84</v>
      </c>
      <c r="I114" s="16">
        <v>0</v>
      </c>
      <c r="J114" s="16" t="s">
        <v>635</v>
      </c>
      <c r="K114" s="16" t="s">
        <v>585</v>
      </c>
      <c r="L114" s="16" t="s">
        <v>1172</v>
      </c>
      <c r="M114" s="16" t="s">
        <v>577</v>
      </c>
      <c r="N114" s="16">
        <v>26</v>
      </c>
      <c r="O114" s="26">
        <v>1.95</v>
      </c>
      <c r="P114" s="26">
        <v>0.35</v>
      </c>
      <c r="Q114" s="26"/>
      <c r="R114" s="26">
        <v>0.75</v>
      </c>
      <c r="S114" s="26">
        <v>4.68</v>
      </c>
      <c r="T114" s="26">
        <v>3.01</v>
      </c>
      <c r="U114" s="26"/>
      <c r="V114" s="26">
        <v>10.42</v>
      </c>
      <c r="W114" s="26">
        <v>22.42</v>
      </c>
      <c r="X114" s="26">
        <v>27.25</v>
      </c>
      <c r="Y114" s="26"/>
      <c r="Z114" s="26">
        <v>1.02</v>
      </c>
      <c r="AA114" s="26"/>
      <c r="AB114" s="26">
        <v>1.17</v>
      </c>
      <c r="AC114" s="26"/>
      <c r="AD114" s="26">
        <v>34.83</v>
      </c>
      <c r="AE114" s="26"/>
      <c r="AF114" s="26"/>
      <c r="AG114" s="26"/>
      <c r="AH114" s="26"/>
      <c r="AI114" s="26">
        <v>8.7799999999999994</v>
      </c>
      <c r="AJ114" s="26">
        <f t="shared" si="145"/>
        <v>107.85</v>
      </c>
      <c r="AK114" s="26">
        <f t="shared" si="288"/>
        <v>1.9501966700450044</v>
      </c>
      <c r="AL114" s="26">
        <f t="shared" si="289"/>
        <v>0.35003529975166747</v>
      </c>
      <c r="AM114" s="26">
        <f t="shared" si="290"/>
        <v>0.75007564232500179</v>
      </c>
      <c r="AN114" s="26">
        <f t="shared" si="291"/>
        <v>4.6804720081080111</v>
      </c>
      <c r="AO114" s="26">
        <f t="shared" si="292"/>
        <v>3.0103035778643399</v>
      </c>
      <c r="AP114" s="26">
        <f t="shared" si="293"/>
        <v>10.421050924035358</v>
      </c>
      <c r="AQ114" s="26">
        <f t="shared" si="294"/>
        <v>1.1701180020270028</v>
      </c>
      <c r="AR114" s="26">
        <f t="shared" si="295"/>
        <v>22.42226120123539</v>
      </c>
      <c r="AS114" s="26">
        <f t="shared" si="296"/>
        <v>27.252748337808399</v>
      </c>
      <c r="AT114" s="26">
        <f t="shared" si="297"/>
        <v>1.0201028735620024</v>
      </c>
      <c r="AU114" s="26">
        <f t="shared" si="298"/>
        <v>34.833512829573074</v>
      </c>
      <c r="AV114" s="26">
        <f t="shared" si="146"/>
        <v>107.86087736633525</v>
      </c>
      <c r="AW114" s="26">
        <v>11</v>
      </c>
      <c r="AX114" s="26">
        <v>33</v>
      </c>
      <c r="AY114" s="94"/>
      <c r="AZ114" s="94"/>
      <c r="BA114" s="26">
        <v>0.12</v>
      </c>
      <c r="BB114" s="26"/>
      <c r="BC114" s="26">
        <f t="shared" ref="BC114:BC119" si="300">(AX114/18.02)/((AX114/18.02)+(AW114/44.01))</f>
        <v>0.87990669776741082</v>
      </c>
      <c r="BD114" s="26">
        <f t="shared" ref="BD114:BD119" si="301">(AW114/44.01)/((AX114/18.02)+(AW114/44.01))</f>
        <v>0.12009330223258914</v>
      </c>
      <c r="BE114" s="16"/>
      <c r="BF114" s="16"/>
      <c r="BG114" s="16"/>
      <c r="BH114" s="16"/>
      <c r="BI114" s="16"/>
      <c r="BJ114" s="16"/>
      <c r="BK114" s="16"/>
      <c r="BL114" s="16"/>
      <c r="BM114" s="16"/>
      <c r="BN114" s="16"/>
      <c r="BO114" s="16"/>
      <c r="BP114" s="16"/>
      <c r="BQ114" s="16"/>
      <c r="BR114" s="16">
        <v>281.32499999999999</v>
      </c>
      <c r="BS114" s="16"/>
      <c r="BT114" s="16">
        <v>1.5189999999999999</v>
      </c>
      <c r="BU114" s="16"/>
      <c r="BV114" s="16"/>
      <c r="BW114" s="16"/>
      <c r="BX114" s="16"/>
      <c r="BY114" s="16"/>
      <c r="BZ114" s="16"/>
      <c r="CA114" s="16"/>
      <c r="CB114" s="16"/>
      <c r="CC114" s="16"/>
      <c r="CD114" s="16"/>
      <c r="CE114" s="16"/>
      <c r="CF114" s="16"/>
      <c r="CG114" s="16"/>
      <c r="CH114" s="16">
        <v>1.3145</v>
      </c>
      <c r="CI114" s="16">
        <v>25.519000000000002</v>
      </c>
      <c r="CJ114" s="16">
        <v>7.145E-2</v>
      </c>
      <c r="CK114" s="16">
        <v>0.53949999999999998</v>
      </c>
      <c r="CL114" s="16"/>
      <c r="CM114" s="16">
        <v>0.45599999999999996</v>
      </c>
      <c r="CN114" s="16"/>
      <c r="CO114" s="16"/>
      <c r="CP114" s="16"/>
      <c r="CQ114" s="16"/>
      <c r="CR114" s="16">
        <v>5.5650000000000005E-2</v>
      </c>
      <c r="CS114" s="16">
        <v>10.92</v>
      </c>
      <c r="CT114" s="16"/>
      <c r="CU114" s="16">
        <v>0.71950000000000003</v>
      </c>
      <c r="CV114" s="16">
        <v>0.89949999999999997</v>
      </c>
      <c r="CW114" s="16">
        <v>0.1197</v>
      </c>
      <c r="CX114" s="16">
        <v>0.53500000000000003</v>
      </c>
      <c r="CY114" s="16">
        <v>7.0800000000000002E-2</v>
      </c>
      <c r="CZ114" s="16">
        <v>1.8700000000000001E-2</v>
      </c>
      <c r="DA114" s="16">
        <v>2.1100000000000001E-2</v>
      </c>
      <c r="DB114" s="16">
        <v>1.8700000000000001E-2</v>
      </c>
      <c r="DC114" s="16">
        <v>2.2799999999999999E-3</v>
      </c>
      <c r="DD114" s="16">
        <v>7.3499999999999998E-3</v>
      </c>
      <c r="DE114" s="16"/>
      <c r="DF114" s="16">
        <v>1.6299999999999999E-2</v>
      </c>
      <c r="DG114" s="16">
        <v>1.9599999999999999E-3</v>
      </c>
      <c r="DH114" s="16">
        <v>1.34E-2</v>
      </c>
      <c r="DI114" s="16">
        <v>2.6700000000000002E-2</v>
      </c>
      <c r="DJ114" s="16"/>
      <c r="DK114" s="16"/>
      <c r="DL114" s="16">
        <v>0.10105</v>
      </c>
      <c r="DM114" s="16">
        <v>0.309</v>
      </c>
      <c r="DN114" s="16"/>
      <c r="DO114" s="16"/>
      <c r="DP114" s="16"/>
      <c r="DQ114" s="16"/>
      <c r="DR114" s="16"/>
      <c r="DS114" s="16"/>
      <c r="DT114" s="16"/>
      <c r="DU114" s="16"/>
      <c r="DV114" s="27"/>
      <c r="DW114" s="27"/>
      <c r="DX114" s="27"/>
      <c r="DY114" s="27"/>
      <c r="DZ114" s="27"/>
      <c r="EA114" s="27"/>
      <c r="EB114" s="27"/>
      <c r="EC114" s="27"/>
      <c r="ED114" s="27"/>
      <c r="EE114" s="27"/>
      <c r="EF114" s="27"/>
      <c r="EG114" s="27"/>
      <c r="EH114" s="27"/>
      <c r="EI114" s="27"/>
      <c r="EJ114" s="16"/>
      <c r="EK114" s="18"/>
      <c r="EL114" s="18">
        <f>IFERROR(CR114/'McDonough &amp; Sun 1995 values'!C$2,)</f>
        <v>2.65</v>
      </c>
      <c r="EM114" s="18">
        <f>IFERROR(CH114/'McDonough &amp; Sun 1995 values'!D$2,)</f>
        <v>2.1908333333333334</v>
      </c>
      <c r="EN114" s="18">
        <f>IFERROR(CS114/'McDonough &amp; Sun 1995 values'!E$2,)</f>
        <v>1.6545454545454545</v>
      </c>
      <c r="EO114" s="18">
        <f>IFERROR(DL114/'McDonough &amp; Sun 1995 values'!F$2,)</f>
        <v>1.2710691823899372</v>
      </c>
      <c r="EP114" s="18">
        <f>IFERROR(DM114/'McDonough &amp; Sun 1995 values'!G$2,)</f>
        <v>15.221674876847292</v>
      </c>
      <c r="EQ114" s="18">
        <f>IFERROR(BR114/'McDonough &amp; Sun 1995 values'!H$2,)</f>
        <v>1.1721874999999999</v>
      </c>
      <c r="ER114" s="18">
        <f>IFERROR(DI114/'McDonough &amp; Sun 1995 values'!I$2,)</f>
        <v>0.72162162162162169</v>
      </c>
      <c r="ES114" s="18">
        <f>IFERROR(CM114/'McDonough &amp; Sun 1995 values'!J$2,)</f>
        <v>0.69300911854103331</v>
      </c>
      <c r="ET114" s="18">
        <f>IFERROR(CU114/'McDonough &amp; Sun 1995 values'!K$2,)</f>
        <v>1.1103395061728396</v>
      </c>
      <c r="EU114" s="18">
        <f>IFERROR(CV114/'McDonough &amp; Sun 1995 values'!L$2,)</f>
        <v>0.53701492537313433</v>
      </c>
      <c r="EV114" s="18">
        <f>IFERROR(CW114/'McDonough &amp; Sun 1995 values'!M$2,)</f>
        <v>0.47125984251968506</v>
      </c>
      <c r="EW114" s="18">
        <f>IFERROR(CI114/'McDonough &amp; Sun 1995 values'!N$2,)</f>
        <v>1.2823618090452262</v>
      </c>
      <c r="EX114" s="18">
        <f>IFERROR(CX114/'McDonough &amp; Sun 1995 values'!O$2,)</f>
        <v>0.42800000000000005</v>
      </c>
      <c r="EY114" s="18">
        <f>IFERROR(CY114/'McDonough &amp; Sun 1995 values'!P$2,)</f>
        <v>0.17438423645320197</v>
      </c>
      <c r="EZ114" s="18">
        <f>IFERROR(DH114/'McDonough &amp; Sun 1995 values'!Q$2,)</f>
        <v>4.7349823321554775E-2</v>
      </c>
      <c r="FA114" s="18">
        <f>IFERROR(CK114/'McDonough &amp; Sun 1995 values'!R$2,)</f>
        <v>5.1380952380952381E-2</v>
      </c>
      <c r="FB114" s="18">
        <f>IFERROR(CZ114/'McDonough &amp; Sun 1995 values'!S$2,)</f>
        <v>0.12142857142857144</v>
      </c>
      <c r="FC114" s="18">
        <f>IFERROR(BT114/'McDonough &amp; Sun 1995 values'!T$2,)</f>
        <v>1.2605809128630704E-3</v>
      </c>
      <c r="FD114" s="18">
        <f>IFERROR(DA114/'McDonough &amp; Sun 1995 values'!U$2,)</f>
        <v>3.8786764705882354E-2</v>
      </c>
      <c r="FE114" s="18">
        <f>IFERROR(DN114/'McDonough &amp; Sun 1995 values'!V$2,)</f>
        <v>0</v>
      </c>
      <c r="FF114" s="18">
        <f>IFERROR(DB114/'McDonough &amp; Sun 1995 values'!W$2,)</f>
        <v>2.7744807121661722E-2</v>
      </c>
      <c r="FG114" s="18">
        <f>IFERROR(CJ114/'McDonough &amp; Sun 1995 values'!X$2,)</f>
        <v>1.6616279069767443E-2</v>
      </c>
      <c r="FH114" s="18">
        <f>IFERROR(DC114/'McDonough &amp; Sun 1995 values'!Y$2,)</f>
        <v>1.5302013422818792E-2</v>
      </c>
      <c r="FI114" s="18">
        <f>IFERROR(DD114/'McDonough &amp; Sun 1995 values'!Z$2,)</f>
        <v>1.678082191780822E-2</v>
      </c>
      <c r="FJ114" s="18">
        <f>IFERROR(DE114/'McDonough &amp; Sun 1995 values'!AA$2,)</f>
        <v>0</v>
      </c>
      <c r="FK114" s="18">
        <f>IFERROR(DF114/'McDonough &amp; Sun 1995 values'!AB$2,)</f>
        <v>3.696145124716553E-2</v>
      </c>
      <c r="FL114" s="18">
        <f>IFERROR(DG114/'McDonough &amp; Sun 1995 values'!AC$2,)</f>
        <v>2.9037037037037035E-2</v>
      </c>
      <c r="FM114" s="16"/>
      <c r="FN114" s="28">
        <f t="shared" si="299"/>
        <v>12.985699708320805</v>
      </c>
      <c r="FO114" s="4">
        <f t="shared" si="231"/>
        <v>0.10869667549279199</v>
      </c>
      <c r="FP114" s="4">
        <f t="shared" si="232"/>
        <v>1.8341305307293394</v>
      </c>
      <c r="FQ114" s="4">
        <f t="shared" si="233"/>
        <v>8.3503897742769326E-2</v>
      </c>
      <c r="FR114" s="4">
        <f t="shared" si="234"/>
        <v>1.6022004277669486</v>
      </c>
      <c r="FS114" s="4">
        <f t="shared" si="235"/>
        <v>1.5386727239099274</v>
      </c>
      <c r="FT114" s="4">
        <f t="shared" si="236"/>
        <v>0.82672955974842777</v>
      </c>
      <c r="FU114" s="4">
        <f t="shared" si="237"/>
        <v>1.0412873399715508</v>
      </c>
      <c r="FV114" s="4">
        <f t="shared" si="238"/>
        <v>0.29464218455743879</v>
      </c>
      <c r="FW114" s="4">
        <f t="shared" si="239"/>
        <v>1.0851350390902628</v>
      </c>
      <c r="FX114" s="4">
        <f t="shared" si="240"/>
        <v>1.1392597564239262</v>
      </c>
      <c r="FY114" s="4">
        <f t="shared" si="241"/>
        <v>2.8553442390937267</v>
      </c>
      <c r="FZ114" s="4">
        <f t="shared" si="242"/>
        <v>1.4764729535480614</v>
      </c>
      <c r="GA114" s="4">
        <f t="shared" si="243"/>
        <v>2.7211353341477649</v>
      </c>
      <c r="GB114" s="4">
        <f t="shared" si="244"/>
        <v>0.69632768361581932</v>
      </c>
      <c r="GC114" s="4">
        <f t="shared" si="245"/>
        <v>1.2095853936858121</v>
      </c>
      <c r="GD114" s="4">
        <f t="shared" si="246"/>
        <v>1.3016958301470918</v>
      </c>
      <c r="GE114" s="4">
        <f t="shared" si="247"/>
        <v>0.75521283585186205</v>
      </c>
      <c r="GF114" s="4">
        <f t="shared" si="248"/>
        <v>1.4115023872421901</v>
      </c>
      <c r="GG114" s="4">
        <f t="shared" si="249"/>
        <v>2.3874800637958535</v>
      </c>
      <c r="GH114" s="4">
        <f t="shared" si="250"/>
        <v>2.3561088936332601</v>
      </c>
      <c r="GI114" s="4">
        <f t="shared" si="251"/>
        <v>6.3672011229685435</v>
      </c>
      <c r="GJ114" s="4">
        <f t="shared" si="252"/>
        <v>40.019723377566514</v>
      </c>
      <c r="GK114" s="4">
        <f t="shared" si="253"/>
        <v>30.040473755964559</v>
      </c>
      <c r="GL114" s="4">
        <f t="shared" si="254"/>
        <v>40.759741684692315</v>
      </c>
      <c r="GM114" s="4">
        <f t="shared" si="255"/>
        <v>0.5801761197671832</v>
      </c>
      <c r="GN114" s="4">
        <f t="shared" si="256"/>
        <v>0.6241416383802495</v>
      </c>
      <c r="GO114" s="4">
        <f t="shared" si="257"/>
        <v>4.5527783515802507E-2</v>
      </c>
      <c r="GP114" s="4">
        <f t="shared" si="258"/>
        <v>7.7007787216828466E-2</v>
      </c>
      <c r="GQ114" s="27">
        <f t="shared" si="259"/>
        <v>226235.23051093621</v>
      </c>
      <c r="GR114" s="28">
        <f t="shared" si="260"/>
        <v>44.752476949910609</v>
      </c>
      <c r="GS114" s="28">
        <f t="shared" si="261"/>
        <v>1057.0913018986073</v>
      </c>
      <c r="GT114" s="28">
        <f t="shared" si="262"/>
        <v>8781.6181184730231</v>
      </c>
      <c r="GU114" s="28">
        <f t="shared" si="263"/>
        <v>81.262134695210534</v>
      </c>
      <c r="GV114" s="28">
        <f t="shared" si="264"/>
        <v>248.49084236338501</v>
      </c>
      <c r="GW114" s="28">
        <f t="shared" si="265"/>
        <v>226235.23051093621</v>
      </c>
      <c r="GX114" s="28">
        <f t="shared" si="266"/>
        <v>21.47153880615657</v>
      </c>
      <c r="GY114" s="28">
        <f t="shared" si="267"/>
        <v>366.70493241975259</v>
      </c>
      <c r="GZ114" s="28">
        <f t="shared" si="268"/>
        <v>578.60569928950008</v>
      </c>
      <c r="HA114" s="28">
        <f t="shared" si="269"/>
        <v>723.35764629729715</v>
      </c>
      <c r="HB114" s="28">
        <f t="shared" si="270"/>
        <v>96.260044760185068</v>
      </c>
      <c r="HC114" s="28">
        <f t="shared" si="271"/>
        <v>20521.805198288745</v>
      </c>
      <c r="HD114" s="28">
        <f t="shared" si="272"/>
        <v>430.23495360650804</v>
      </c>
      <c r="HE114" s="28">
        <f t="shared" si="273"/>
        <v>56.935765823066859</v>
      </c>
      <c r="HF114" s="28">
        <f t="shared" si="274"/>
        <v>10.775978277247118</v>
      </c>
      <c r="HG114" s="28">
        <f t="shared" si="275"/>
        <v>433.85375228170295</v>
      </c>
      <c r="HH114" s="28">
        <f t="shared" si="276"/>
        <v>15.038118939143367</v>
      </c>
      <c r="HI114" s="28">
        <f t="shared" si="277"/>
        <v>1221.545597249132</v>
      </c>
      <c r="HJ114" s="28">
        <f t="shared" si="278"/>
        <v>16.968144899247328</v>
      </c>
      <c r="HK114" s="28">
        <f t="shared" si="279"/>
        <v>0</v>
      </c>
      <c r="HL114" s="28">
        <f t="shared" si="280"/>
        <v>15.038118939143367</v>
      </c>
      <c r="HM114" s="28">
        <f t="shared" si="281"/>
        <v>57.458481187261675</v>
      </c>
      <c r="HN114" s="28">
        <f t="shared" si="282"/>
        <v>1.8335246620987631</v>
      </c>
      <c r="HO114" s="28">
        <f t="shared" si="283"/>
        <v>5.9107045028183816</v>
      </c>
      <c r="HP114" s="28">
        <f t="shared" si="284"/>
        <v>0</v>
      </c>
      <c r="HQ114" s="28">
        <f t="shared" si="285"/>
        <v>13.108092979039402</v>
      </c>
      <c r="HR114" s="28">
        <f t="shared" si="286"/>
        <v>1.576187867418235</v>
      </c>
      <c r="HT114" s="4">
        <f>IFERROR(GR114/'McDonough &amp; Sun 1995 values'!C$2,)</f>
        <v>2131.0703309481241</v>
      </c>
      <c r="HU114" s="4">
        <f>IFERROR(GS114/'McDonough &amp; Sun 1995 values'!D$2,)</f>
        <v>1761.8188364976788</v>
      </c>
      <c r="HV114" s="4">
        <f>IFERROR(GT114/'McDonough &amp; Sun 1995 values'!E$2,)</f>
        <v>1330.54819976864</v>
      </c>
      <c r="HW114" s="4">
        <f>IFERROR(GU114/'McDonough &amp; Sun 1995 values'!F$2,)</f>
        <v>1022.1652162919564</v>
      </c>
      <c r="HX114" s="4">
        <f>IFERROR(GV114/'McDonough &amp; Sun 1995 values'!G$2,)</f>
        <v>12240.928195240642</v>
      </c>
      <c r="HY114" s="4">
        <f>IFERROR(GW114/'McDonough &amp; Sun 1995 values'!H$2,)</f>
        <v>942.64679379556753</v>
      </c>
      <c r="HZ114" s="4">
        <f>IFERROR(GX114/'McDonough &amp; Sun 1995 values'!I$2,)</f>
        <v>580.31185962585323</v>
      </c>
      <c r="IA114" s="4">
        <f>IFERROR(GY114/'McDonough &amp; Sun 1995 values'!J$2,)</f>
        <v>557.30232890539901</v>
      </c>
      <c r="IB114" s="4">
        <f>IFERROR(GZ114/'McDonough &amp; Sun 1995 values'!K$2,)</f>
        <v>892.91002976774701</v>
      </c>
      <c r="IC114" s="4">
        <f>IFERROR(HA114/'McDonough &amp; Sun 1995 values'!L$2,)</f>
        <v>431.85531122226695</v>
      </c>
      <c r="ID114" s="4">
        <f>IFERROR(HB114/'McDonough &amp; Sun 1995 values'!M$2,)</f>
        <v>378.97655417395697</v>
      </c>
      <c r="IE114" s="4">
        <f>IFERROR(HC114/'McDonough &amp; Sun 1995 values'!N$2,)</f>
        <v>1031.2464923763189</v>
      </c>
      <c r="IF114" s="4">
        <f>IFERROR(HD114/'McDonough &amp; Sun 1995 values'!O$2,)</f>
        <v>344.18796288520645</v>
      </c>
      <c r="IG114" s="4">
        <f>IFERROR(HE114/'McDonough &amp; Sun 1995 values'!P$2,)</f>
        <v>140.23587641149473</v>
      </c>
      <c r="IH114" s="4">
        <f>IFERROR(HF114/'McDonough &amp; Sun 1995 values'!Q$2,)</f>
        <v>38.077661757056958</v>
      </c>
      <c r="II114" s="4">
        <f>IFERROR(HG114/'McDonough &amp; Sun 1995 values'!R$2,)</f>
        <v>41.319404979209807</v>
      </c>
      <c r="IJ114" s="4">
        <f>IFERROR(HH114/'McDonough &amp; Sun 1995 values'!S$2,)</f>
        <v>97.650122981450437</v>
      </c>
      <c r="IK114" s="4">
        <f>IFERROR(HI114/'McDonough &amp; Sun 1995 values'!T$2,)</f>
        <v>1.0137307860988647</v>
      </c>
      <c r="IL114" s="4">
        <f>IFERROR(HJ114/'McDonough &amp; Sun 1995 values'!U$2,)</f>
        <v>31.191442829498762</v>
      </c>
      <c r="IM114" s="4">
        <f>IFERROR(HK114/'McDonough &amp; Sun 1995 values'!V$2,)</f>
        <v>0</v>
      </c>
      <c r="IN114" s="4">
        <f>IFERROR(HL114/'McDonough &amp; Sun 1995 values'!W$2,)</f>
        <v>22.311749167868495</v>
      </c>
      <c r="IO114" s="4">
        <f>IFERROR(HM114/'McDonough &amp; Sun 1995 values'!X$2,)</f>
        <v>13.362437485409693</v>
      </c>
      <c r="IP114" s="4">
        <f>IFERROR(HN114/'McDonough &amp; Sun 1995 values'!Y$2,)</f>
        <v>12.305534644958142</v>
      </c>
      <c r="IQ114" s="4">
        <f>IFERROR(HO114/'McDonough &amp; Sun 1995 values'!Z$2,)</f>
        <v>13.494759138854752</v>
      </c>
      <c r="IR114" s="4">
        <f>IFERROR(HP114/'McDonough &amp; Sun 1995 values'!AA$2,)</f>
        <v>0</v>
      </c>
      <c r="IS114" s="4">
        <f>IFERROR(HQ114/'McDonough &amp; Sun 1995 values'!AB$2,)</f>
        <v>29.723566845894336</v>
      </c>
      <c r="IT114" s="4">
        <f>IFERROR(HR114/'McDonough &amp; Sun 1995 values'!AC$2,)</f>
        <v>23.350931369159035</v>
      </c>
    </row>
    <row r="115" spans="1:254">
      <c r="A115" s="16" t="s">
        <v>772</v>
      </c>
      <c r="B115" s="16" t="s">
        <v>24</v>
      </c>
      <c r="C115" s="16" t="str">
        <f t="shared" si="144"/>
        <v>saline</v>
      </c>
      <c r="D115" s="16" t="s">
        <v>119</v>
      </c>
      <c r="E115" s="16" t="s">
        <v>1394</v>
      </c>
      <c r="F115" s="16" t="s">
        <v>1728</v>
      </c>
      <c r="G115" s="16" t="s">
        <v>595</v>
      </c>
      <c r="H115" s="27">
        <v>84</v>
      </c>
      <c r="I115" s="16" t="s">
        <v>735</v>
      </c>
      <c r="J115" s="16" t="s">
        <v>635</v>
      </c>
      <c r="K115" s="16" t="s">
        <v>585</v>
      </c>
      <c r="L115" s="16" t="s">
        <v>790</v>
      </c>
      <c r="M115" s="16" t="s">
        <v>580</v>
      </c>
      <c r="N115" s="16">
        <v>38</v>
      </c>
      <c r="O115" s="26">
        <v>1.34</v>
      </c>
      <c r="P115" s="26">
        <v>0.22</v>
      </c>
      <c r="Q115" s="26"/>
      <c r="R115" s="26">
        <v>0.8</v>
      </c>
      <c r="S115" s="26">
        <v>5.24</v>
      </c>
      <c r="T115" s="26">
        <v>2.6</v>
      </c>
      <c r="U115" s="26"/>
      <c r="V115" s="26">
        <v>10.33</v>
      </c>
      <c r="W115" s="26">
        <v>19.89</v>
      </c>
      <c r="X115" s="26">
        <v>31.5</v>
      </c>
      <c r="Y115" s="26"/>
      <c r="Z115" s="26">
        <v>0.86</v>
      </c>
      <c r="AA115" s="26"/>
      <c r="AB115" s="26">
        <v>0.56000000000000005</v>
      </c>
      <c r="AC115" s="26"/>
      <c r="AD115" s="26">
        <v>34.36</v>
      </c>
      <c r="AE115" s="26"/>
      <c r="AF115" s="26"/>
      <c r="AG115" s="26"/>
      <c r="AH115" s="26"/>
      <c r="AI115" s="26">
        <v>9.64</v>
      </c>
      <c r="AJ115" s="26">
        <f t="shared" si="145"/>
        <v>107.7</v>
      </c>
      <c r="AK115" s="26">
        <f t="shared" si="288"/>
        <v>1.340724255839191</v>
      </c>
      <c r="AL115" s="26">
        <f t="shared" si="289"/>
        <v>0.22011890767509104</v>
      </c>
      <c r="AM115" s="26">
        <f t="shared" si="290"/>
        <v>0.80043239154578583</v>
      </c>
      <c r="AN115" s="26">
        <f t="shared" si="291"/>
        <v>5.2428321646248968</v>
      </c>
      <c r="AO115" s="26">
        <f t="shared" si="292"/>
        <v>2.6014052725238037</v>
      </c>
      <c r="AP115" s="26">
        <f t="shared" si="293"/>
        <v>10.335583255834957</v>
      </c>
      <c r="AQ115" s="26">
        <f t="shared" si="294"/>
        <v>0.56030267408205003</v>
      </c>
      <c r="AR115" s="26">
        <f t="shared" si="295"/>
        <v>19.900750334807096</v>
      </c>
      <c r="AS115" s="26">
        <f t="shared" si="296"/>
        <v>31.517025417115313</v>
      </c>
      <c r="AT115" s="26">
        <f t="shared" si="297"/>
        <v>0.8604648209117195</v>
      </c>
      <c r="AU115" s="26">
        <f t="shared" si="298"/>
        <v>34.378571216891494</v>
      </c>
      <c r="AV115" s="26">
        <f t="shared" si="146"/>
        <v>107.75821071185138</v>
      </c>
      <c r="AW115" s="26">
        <v>11.2</v>
      </c>
      <c r="AX115" s="26">
        <v>33.6</v>
      </c>
      <c r="AY115" s="94"/>
      <c r="AZ115" s="94"/>
      <c r="BA115" s="26">
        <v>0.12</v>
      </c>
      <c r="BB115" s="26"/>
      <c r="BC115" s="26">
        <f t="shared" si="300"/>
        <v>0.87990669776741093</v>
      </c>
      <c r="BD115" s="26">
        <f t="shared" si="301"/>
        <v>0.12009330223258913</v>
      </c>
      <c r="BE115" s="16"/>
      <c r="BF115" s="16"/>
      <c r="BG115" s="16">
        <v>660</v>
      </c>
      <c r="BH115" s="16">
        <v>1.6</v>
      </c>
      <c r="BI115" s="16"/>
      <c r="BJ115" s="16"/>
      <c r="BK115" s="18"/>
      <c r="BL115" s="18"/>
      <c r="BM115" s="18"/>
      <c r="BN115" s="18"/>
      <c r="BO115" s="18"/>
      <c r="BP115" s="18"/>
      <c r="BQ115" s="18"/>
      <c r="BR115" s="18">
        <v>262.57</v>
      </c>
      <c r="BS115" s="18"/>
      <c r="BT115" s="18">
        <v>4.7789999999999999</v>
      </c>
      <c r="BU115" s="18"/>
      <c r="BV115" s="18"/>
      <c r="BW115" s="18"/>
      <c r="BX115" s="18"/>
      <c r="BY115" s="18"/>
      <c r="BZ115" s="18"/>
      <c r="CA115" s="18"/>
      <c r="CB115" s="18"/>
      <c r="CC115" s="18"/>
      <c r="CD115" s="18"/>
      <c r="CE115" s="18"/>
      <c r="CF115" s="18"/>
      <c r="CG115" s="18"/>
      <c r="CH115" s="18">
        <v>1.508</v>
      </c>
      <c r="CI115" s="18">
        <v>8.4290000000000003</v>
      </c>
      <c r="CJ115" s="18">
        <v>7.2099999999999997E-2</v>
      </c>
      <c r="CK115" s="18">
        <v>0.55300000000000005</v>
      </c>
      <c r="CL115" s="18"/>
      <c r="CM115" s="18">
        <v>0.66200000000000003</v>
      </c>
      <c r="CN115" s="18"/>
      <c r="CO115" s="18"/>
      <c r="CP115" s="18"/>
      <c r="CQ115" s="18"/>
      <c r="CR115" s="18">
        <v>3.09E-2</v>
      </c>
      <c r="CS115" s="18">
        <v>8.17</v>
      </c>
      <c r="CT115" s="18"/>
      <c r="CU115" s="18">
        <v>0.93799999999999994</v>
      </c>
      <c r="CV115" s="18">
        <v>0.89400000000000002</v>
      </c>
      <c r="CW115" s="18">
        <v>9.0200000000000002E-2</v>
      </c>
      <c r="CX115" s="18">
        <v>0.379</v>
      </c>
      <c r="CY115" s="18">
        <v>4.99E-2</v>
      </c>
      <c r="CZ115" s="18">
        <v>1.4999999999999999E-2</v>
      </c>
      <c r="DA115" s="18">
        <v>2.93E-2</v>
      </c>
      <c r="DB115" s="18">
        <v>1.7399999999999999E-2</v>
      </c>
      <c r="DC115" s="18">
        <v>4.9199999999999999E-3</v>
      </c>
      <c r="DD115" s="18">
        <v>1.0999999999999999E-2</v>
      </c>
      <c r="DE115" s="18"/>
      <c r="DF115" s="18">
        <v>5.1999999999999998E-3</v>
      </c>
      <c r="DG115" s="18"/>
      <c r="DH115" s="18">
        <v>4.8999999999999998E-3</v>
      </c>
      <c r="DI115" s="18">
        <v>3.1300000000000001E-2</v>
      </c>
      <c r="DJ115" s="18"/>
      <c r="DK115" s="18"/>
      <c r="DL115" s="18">
        <v>0.11459999999999999</v>
      </c>
      <c r="DM115" s="18">
        <v>3.6999999999999998E-2</v>
      </c>
      <c r="DN115" s="18"/>
      <c r="DO115" s="18"/>
      <c r="DP115" s="18"/>
      <c r="DQ115" s="18"/>
      <c r="DR115" s="18"/>
      <c r="DS115" s="18"/>
      <c r="DT115" s="18"/>
      <c r="DU115" s="18"/>
      <c r="DV115" s="28"/>
      <c r="DW115" s="28"/>
      <c r="DX115" s="28"/>
      <c r="DY115" s="28"/>
      <c r="DZ115" s="28"/>
      <c r="EA115" s="28"/>
      <c r="EB115" s="28"/>
      <c r="EC115" s="28"/>
      <c r="ED115" s="28"/>
      <c r="EE115" s="28"/>
      <c r="EF115" s="28"/>
      <c r="EG115" s="28"/>
      <c r="EH115" s="28"/>
      <c r="EI115" s="28"/>
      <c r="EJ115" s="18"/>
      <c r="EK115" s="18"/>
      <c r="EL115" s="18">
        <f>IFERROR(CR115/'McDonough &amp; Sun 1995 values'!C$2,)</f>
        <v>1.4714285714285713</v>
      </c>
      <c r="EM115" s="18">
        <f>IFERROR(CH115/'McDonough &amp; Sun 1995 values'!D$2,)</f>
        <v>2.5133333333333336</v>
      </c>
      <c r="EN115" s="18">
        <f>IFERROR(CS115/'McDonough &amp; Sun 1995 values'!E$2,)</f>
        <v>1.237878787878788</v>
      </c>
      <c r="EO115" s="18">
        <f>IFERROR(DL115/'McDonough &amp; Sun 1995 values'!F$2,)</f>
        <v>1.4415094339622641</v>
      </c>
      <c r="EP115" s="18">
        <f>IFERROR(DM115/'McDonough &amp; Sun 1995 values'!G$2,)</f>
        <v>1.8226600985221675</v>
      </c>
      <c r="EQ115" s="18">
        <f>IFERROR(BR115/'McDonough &amp; Sun 1995 values'!H$2,)</f>
        <v>1.0940416666666666</v>
      </c>
      <c r="ER115" s="18">
        <f>IFERROR(DI115/'McDonough &amp; Sun 1995 values'!I$2,)</f>
        <v>0.84594594594594608</v>
      </c>
      <c r="ES115" s="18">
        <f>IFERROR(CM115/'McDonough &amp; Sun 1995 values'!J$2,)</f>
        <v>1.006079027355623</v>
      </c>
      <c r="ET115" s="18">
        <f>IFERROR(CU115/'McDonough &amp; Sun 1995 values'!K$2,)</f>
        <v>1.4475308641975306</v>
      </c>
      <c r="EU115" s="18">
        <f>IFERROR(CV115/'McDonough &amp; Sun 1995 values'!L$2,)</f>
        <v>0.53373134328358207</v>
      </c>
      <c r="EV115" s="18">
        <f>IFERROR(CW115/'McDonough &amp; Sun 1995 values'!M$2,)</f>
        <v>0.35511811023622047</v>
      </c>
      <c r="EW115" s="18">
        <f>IFERROR(CI115/'McDonough &amp; Sun 1995 values'!N$2,)</f>
        <v>0.42356783919597996</v>
      </c>
      <c r="EX115" s="18">
        <f>IFERROR(CX115/'McDonough &amp; Sun 1995 values'!O$2,)</f>
        <v>0.30320000000000003</v>
      </c>
      <c r="EY115" s="18">
        <f>IFERROR(CY115/'McDonough &amp; Sun 1995 values'!P$2,)</f>
        <v>0.12290640394088669</v>
      </c>
      <c r="EZ115" s="18">
        <f>IFERROR(DH115/'McDonough &amp; Sun 1995 values'!Q$2,)</f>
        <v>1.7314487632508833E-2</v>
      </c>
      <c r="FA115" s="18">
        <f>IFERROR(CK115/'McDonough &amp; Sun 1995 values'!R$2,)</f>
        <v>5.2666666666666674E-2</v>
      </c>
      <c r="FB115" s="18">
        <f>IFERROR(CZ115/'McDonough &amp; Sun 1995 values'!S$2,)</f>
        <v>9.7402597402597393E-2</v>
      </c>
      <c r="FC115" s="18">
        <f>IFERROR(BT115/'McDonough &amp; Sun 1995 values'!T$2,)</f>
        <v>3.9659751037344395E-3</v>
      </c>
      <c r="FD115" s="18">
        <f>IFERROR(DA115/'McDonough &amp; Sun 1995 values'!U$2,)</f>
        <v>5.3860294117647055E-2</v>
      </c>
      <c r="FE115" s="18">
        <f>IFERROR(DN115/'McDonough &amp; Sun 1995 values'!V$2,)</f>
        <v>0</v>
      </c>
      <c r="FF115" s="18">
        <f>IFERROR(DB115/'McDonough &amp; Sun 1995 values'!W$2,)</f>
        <v>2.5816023738872401E-2</v>
      </c>
      <c r="FG115" s="18">
        <f>IFERROR(CJ115/'McDonough &amp; Sun 1995 values'!X$2,)</f>
        <v>1.6767441860465117E-2</v>
      </c>
      <c r="FH115" s="18">
        <f>IFERROR(DC115/'McDonough &amp; Sun 1995 values'!Y$2,)</f>
        <v>3.302013422818792E-2</v>
      </c>
      <c r="FI115" s="18">
        <f>IFERROR(DD115/'McDonough &amp; Sun 1995 values'!Z$2,)</f>
        <v>2.5114155251141551E-2</v>
      </c>
      <c r="FJ115" s="18">
        <f>IFERROR(DE115/'McDonough &amp; Sun 1995 values'!AA$2,)</f>
        <v>0</v>
      </c>
      <c r="FK115" s="18">
        <f>IFERROR(DF115/'McDonough &amp; Sun 1995 values'!AB$2,)</f>
        <v>1.1791383219954647E-2</v>
      </c>
      <c r="FL115" s="18">
        <f>IFERROR(DG115/'McDonough &amp; Sun 1995 values'!AC$2,)</f>
        <v>0</v>
      </c>
      <c r="FN115" s="28">
        <f t="shared" si="299"/>
        <v>1.6659878266569685</v>
      </c>
      <c r="FO115" s="4">
        <f t="shared" si="231"/>
        <v>0.67916052416052419</v>
      </c>
      <c r="FP115" s="4">
        <f t="shared" si="232"/>
        <v>1.4327994071709513</v>
      </c>
      <c r="FQ115" s="4">
        <f t="shared" si="233"/>
        <v>0.79088220295767464</v>
      </c>
      <c r="FR115" s="4">
        <f t="shared" si="234"/>
        <v>1.4387844541419565</v>
      </c>
      <c r="FS115" s="4">
        <f t="shared" si="235"/>
        <v>1.7111387212558666</v>
      </c>
      <c r="FT115" s="4">
        <f t="shared" si="236"/>
        <v>1.7080906148867316</v>
      </c>
      <c r="FU115" s="4">
        <f t="shared" si="237"/>
        <v>0.8408344900792033</v>
      </c>
      <c r="FV115" s="4">
        <f t="shared" si="238"/>
        <v>0.4285103540414163</v>
      </c>
      <c r="FW115" s="4">
        <f t="shared" si="239"/>
        <v>3.0417687074829938</v>
      </c>
      <c r="FX115" s="4">
        <f t="shared" si="240"/>
        <v>1.1020469180268777</v>
      </c>
      <c r="FY115" s="4">
        <f t="shared" si="241"/>
        <v>1.2908386738136879</v>
      </c>
      <c r="FZ115" s="4">
        <f t="shared" si="242"/>
        <v>1.1971509703134304</v>
      </c>
      <c r="GA115" s="4">
        <f t="shared" si="243"/>
        <v>1.1927520083789236</v>
      </c>
      <c r="GB115" s="4">
        <f t="shared" si="244"/>
        <v>0.79249407906722535</v>
      </c>
      <c r="GC115" s="4">
        <f t="shared" si="245"/>
        <v>0.58544903372489565</v>
      </c>
      <c r="GD115" s="4">
        <f t="shared" si="246"/>
        <v>0.8587379025860703</v>
      </c>
      <c r="GE115" s="4">
        <f t="shared" si="247"/>
        <v>0.49252471666264769</v>
      </c>
      <c r="GF115" s="4">
        <f t="shared" si="248"/>
        <v>1.1314731655973993</v>
      </c>
      <c r="GG115" s="4">
        <f t="shared" si="249"/>
        <v>1.2303991577405478</v>
      </c>
      <c r="GH115" s="4">
        <f t="shared" si="250"/>
        <v>4.076195559935397</v>
      </c>
      <c r="GI115" s="4">
        <f t="shared" si="251"/>
        <v>11.777505628541032</v>
      </c>
      <c r="GJ115" s="4">
        <f t="shared" si="252"/>
        <v>56.071023130410097</v>
      </c>
      <c r="GK115" s="4">
        <f t="shared" si="253"/>
        <v>122.76175213675214</v>
      </c>
      <c r="GL115" s="4">
        <f t="shared" si="254"/>
        <v>13.279626142149686</v>
      </c>
      <c r="GM115" s="4">
        <f t="shared" si="255"/>
        <v>0.57354486762424295</v>
      </c>
      <c r="GN115" s="4">
        <f t="shared" si="256"/>
        <v>0.69503114043330905</v>
      </c>
      <c r="GO115" s="4">
        <f t="shared" si="257"/>
        <v>0.55198389879240939</v>
      </c>
      <c r="GP115" s="4">
        <f t="shared" si="258"/>
        <v>0.60024448198198188</v>
      </c>
      <c r="GQ115" s="27">
        <f t="shared" si="259"/>
        <v>261634.58532246941</v>
      </c>
      <c r="GR115" s="28">
        <f t="shared" si="260"/>
        <v>30.789917684671916</v>
      </c>
      <c r="GS115" s="28">
        <f t="shared" si="261"/>
        <v>1502.6276980092314</v>
      </c>
      <c r="GT115" s="28">
        <f t="shared" si="262"/>
        <v>8140.8940933258755</v>
      </c>
      <c r="GU115" s="28">
        <f t="shared" si="263"/>
        <v>114.1917335489774</v>
      </c>
      <c r="GV115" s="28">
        <f t="shared" si="264"/>
        <v>36.868186224364429</v>
      </c>
      <c r="GW115" s="28">
        <f t="shared" si="265"/>
        <v>261634.58532246941</v>
      </c>
      <c r="GX115" s="28">
        <f t="shared" si="266"/>
        <v>31.188492670881264</v>
      </c>
      <c r="GY115" s="28">
        <f t="shared" si="267"/>
        <v>659.64160217646634</v>
      </c>
      <c r="GZ115" s="28">
        <f t="shared" si="268"/>
        <v>934.6583426609144</v>
      </c>
      <c r="HA115" s="28">
        <f t="shared" si="269"/>
        <v>890.81509417788652</v>
      </c>
      <c r="HB115" s="28">
        <f t="shared" si="270"/>
        <v>89.878659390207346</v>
      </c>
      <c r="HC115" s="28">
        <f t="shared" si="271"/>
        <v>8398.9713968964279</v>
      </c>
      <c r="HD115" s="28">
        <f t="shared" si="272"/>
        <v>377.64979943335453</v>
      </c>
      <c r="HE115" s="28">
        <f t="shared" si="273"/>
        <v>49.722229529615817</v>
      </c>
      <c r="HF115" s="28">
        <f t="shared" si="274"/>
        <v>4.8825435810644784</v>
      </c>
      <c r="HG115" s="28">
        <f t="shared" si="275"/>
        <v>551.02991843441976</v>
      </c>
      <c r="HH115" s="28">
        <f t="shared" si="276"/>
        <v>14.946561982850444</v>
      </c>
      <c r="HI115" s="28">
        <f t="shared" si="277"/>
        <v>4761.9746477361523</v>
      </c>
      <c r="HJ115" s="28">
        <f t="shared" si="278"/>
        <v>29.195617739834535</v>
      </c>
      <c r="HK115" s="28">
        <f t="shared" si="279"/>
        <v>0</v>
      </c>
      <c r="HL115" s="28">
        <f t="shared" si="280"/>
        <v>17.338011900106515</v>
      </c>
      <c r="HM115" s="28">
        <f t="shared" si="281"/>
        <v>71.843141264234475</v>
      </c>
      <c r="HN115" s="28">
        <f t="shared" si="282"/>
        <v>4.9024723303749456</v>
      </c>
      <c r="HO115" s="28">
        <f t="shared" si="283"/>
        <v>10.960812120756993</v>
      </c>
      <c r="HP115" s="28">
        <f t="shared" si="284"/>
        <v>0</v>
      </c>
      <c r="HQ115" s="28">
        <f t="shared" si="285"/>
        <v>5.1814748207214869</v>
      </c>
      <c r="HR115" s="28">
        <f t="shared" si="286"/>
        <v>0</v>
      </c>
      <c r="HT115" s="4">
        <f>IFERROR(GR115/'McDonough &amp; Sun 1995 values'!C$2,)</f>
        <v>1466.1865564129482</v>
      </c>
      <c r="HU115" s="4">
        <f>IFERROR(GS115/'McDonough &amp; Sun 1995 values'!D$2,)</f>
        <v>2504.3794966820524</v>
      </c>
      <c r="HV115" s="4">
        <f>IFERROR(GT115/'McDonough &amp; Sun 1995 values'!E$2,)</f>
        <v>1233.4688020190722</v>
      </c>
      <c r="HW115" s="4">
        <f>IFERROR(GU115/'McDonough &amp; Sun 1995 values'!F$2,)</f>
        <v>1436.3740069053761</v>
      </c>
      <c r="HX115" s="4">
        <f>IFERROR(GV115/'McDonough &amp; Sun 1995 values'!G$2,)</f>
        <v>1816.1668090819917</v>
      </c>
      <c r="HY115" s="4">
        <f>IFERROR(GW115/'McDonough &amp; Sun 1995 values'!H$2,)</f>
        <v>1090.1441055102891</v>
      </c>
      <c r="HZ115" s="4">
        <f>IFERROR(GX115/'McDonough &amp; Sun 1995 values'!I$2,)</f>
        <v>842.93223434814229</v>
      </c>
      <c r="IA115" s="4">
        <f>IFERROR(GY115/'McDonough &amp; Sun 1995 values'!J$2,)</f>
        <v>1002.4948361344473</v>
      </c>
      <c r="IB115" s="4">
        <f>IFERROR(GZ115/'McDonough &amp; Sun 1995 values'!K$2,)</f>
        <v>1442.3739855878309</v>
      </c>
      <c r="IC115" s="4">
        <f>IFERROR(HA115/'McDonough &amp; Sun 1995 values'!L$2,)</f>
        <v>531.82990697187256</v>
      </c>
      <c r="ID115" s="4">
        <f>IFERROR(HB115/'McDonough &amp; Sun 1995 values'!M$2,)</f>
        <v>353.85298972522577</v>
      </c>
      <c r="IE115" s="4">
        <f>IFERROR(HC115/'McDonough &amp; Sun 1995 values'!N$2,)</f>
        <v>422.05886416564965</v>
      </c>
      <c r="IF115" s="4">
        <f>IFERROR(HD115/'McDonough &amp; Sun 1995 values'!O$2,)</f>
        <v>302.11983954668364</v>
      </c>
      <c r="IG115" s="4">
        <f>IFERROR(HE115/'McDonough &amp; Sun 1995 values'!P$2,)</f>
        <v>122.46854563944781</v>
      </c>
      <c r="IH115" s="4">
        <f>IFERROR(HF115/'McDonough &amp; Sun 1995 values'!Q$2,)</f>
        <v>17.252804173372716</v>
      </c>
      <c r="II115" s="4">
        <f>IFERROR(HG115/'McDonough &amp; Sun 1995 values'!R$2,)</f>
        <v>52.479039850897117</v>
      </c>
      <c r="IJ115" s="4">
        <f>IFERROR(HH115/'McDonough &amp; Sun 1995 values'!S$2,)</f>
        <v>97.055597291236651</v>
      </c>
      <c r="IK115" s="4">
        <f>IFERROR(HI115/'McDonough &amp; Sun 1995 values'!T$2,)</f>
        <v>3.9518461806939023</v>
      </c>
      <c r="IL115" s="4">
        <f>IFERROR(HJ115/'McDonough &amp; Sun 1995 values'!U$2,)</f>
        <v>53.668414962931131</v>
      </c>
      <c r="IM115" s="4">
        <f>IFERROR(HK115/'McDonough &amp; Sun 1995 values'!V$2,)</f>
        <v>0</v>
      </c>
      <c r="IN115" s="4">
        <f>IFERROR(HL115/'McDonough &amp; Sun 1995 values'!W$2,)</f>
        <v>25.724053264252987</v>
      </c>
      <c r="IO115" s="4">
        <f>IFERROR(HM115/'McDonough &amp; Sun 1995 values'!X$2,)</f>
        <v>16.707707270752206</v>
      </c>
      <c r="IP115" s="4">
        <f>IFERROR(HN115/'McDonough &amp; Sun 1995 values'!Y$2,)</f>
        <v>32.902498861576817</v>
      </c>
      <c r="IQ115" s="4">
        <f>IFERROR(HO115/'McDonough &amp; Sun 1995 values'!Z$2,)</f>
        <v>25.024685207207746</v>
      </c>
      <c r="IR115" s="4">
        <f>IFERROR(HP115/'McDonough &amp; Sun 1995 values'!AA$2,)</f>
        <v>0</v>
      </c>
      <c r="IS115" s="4">
        <f>IFERROR(HQ115/'McDonough &amp; Sun 1995 values'!AB$2,)</f>
        <v>11.749376010706319</v>
      </c>
      <c r="IT115" s="4">
        <f>IFERROR(HR115/'McDonough &amp; Sun 1995 values'!AC$2,)</f>
        <v>0</v>
      </c>
    </row>
    <row r="116" spans="1:254">
      <c r="A116" s="16" t="s">
        <v>772</v>
      </c>
      <c r="B116" s="16" t="s">
        <v>24</v>
      </c>
      <c r="C116" s="16" t="str">
        <f t="shared" si="144"/>
        <v>saline</v>
      </c>
      <c r="D116" s="16" t="s">
        <v>119</v>
      </c>
      <c r="E116" s="16" t="s">
        <v>1394</v>
      </c>
      <c r="F116" s="16" t="s">
        <v>1728</v>
      </c>
      <c r="G116" s="16" t="s">
        <v>595</v>
      </c>
      <c r="H116" s="27">
        <v>84</v>
      </c>
      <c r="I116" s="16">
        <v>0</v>
      </c>
      <c r="J116" s="16" t="s">
        <v>635</v>
      </c>
      <c r="K116" s="16" t="s">
        <v>585</v>
      </c>
      <c r="L116" s="16" t="s">
        <v>791</v>
      </c>
      <c r="M116" s="16" t="s">
        <v>582</v>
      </c>
      <c r="N116" s="16">
        <v>68</v>
      </c>
      <c r="O116" s="26">
        <v>1.5199999999999998</v>
      </c>
      <c r="P116" s="26">
        <v>0.32</v>
      </c>
      <c r="Q116" s="26"/>
      <c r="R116" s="26">
        <v>0.79</v>
      </c>
      <c r="S116" s="26">
        <v>5.54</v>
      </c>
      <c r="T116" s="26">
        <v>1.1399999999999999</v>
      </c>
      <c r="U116" s="26"/>
      <c r="V116" s="26">
        <v>7.45</v>
      </c>
      <c r="W116" s="26">
        <v>24.27</v>
      </c>
      <c r="X116" s="26">
        <v>26.97</v>
      </c>
      <c r="Y116" s="26"/>
      <c r="Z116" s="26">
        <v>0.57999999999999996</v>
      </c>
      <c r="AA116" s="26"/>
      <c r="AB116" s="26">
        <v>1.2300000000000002</v>
      </c>
      <c r="AC116" s="26"/>
      <c r="AD116" s="26">
        <v>38.94</v>
      </c>
      <c r="AE116" s="26"/>
      <c r="AF116" s="26"/>
      <c r="AG116" s="26"/>
      <c r="AH116" s="26"/>
      <c r="AI116" s="26">
        <v>8.2100000000000009</v>
      </c>
      <c r="AJ116" s="26">
        <f t="shared" si="145"/>
        <v>108.75</v>
      </c>
      <c r="AK116" s="26">
        <f t="shared" si="288"/>
        <v>1.5205715547522445</v>
      </c>
      <c r="AL116" s="26">
        <f t="shared" si="289"/>
        <v>0.320120327316262</v>
      </c>
      <c r="AM116" s="26">
        <f t="shared" si="290"/>
        <v>0.79029705806202188</v>
      </c>
      <c r="AN116" s="26">
        <f t="shared" si="291"/>
        <v>5.5420831666627857</v>
      </c>
      <c r="AO116" s="26">
        <f t="shared" si="292"/>
        <v>1.1404286660641834</v>
      </c>
      <c r="AP116" s="26">
        <f t="shared" si="293"/>
        <v>7.4528013703317253</v>
      </c>
      <c r="AQ116" s="26">
        <f t="shared" si="294"/>
        <v>1.2304625081218823</v>
      </c>
      <c r="AR116" s="26">
        <f t="shared" si="295"/>
        <v>24.279126074892748</v>
      </c>
      <c r="AS116" s="26">
        <f t="shared" si="296"/>
        <v>26.98014133662371</v>
      </c>
      <c r="AT116" s="26">
        <f t="shared" si="297"/>
        <v>0.58021809326072493</v>
      </c>
      <c r="AU116" s="26">
        <f t="shared" si="298"/>
        <v>38.954642330297631</v>
      </c>
      <c r="AV116" s="26">
        <f t="shared" si="146"/>
        <v>108.79089248638591</v>
      </c>
      <c r="AW116" s="26">
        <v>11.1</v>
      </c>
      <c r="AX116" s="26">
        <v>16.100000000000001</v>
      </c>
      <c r="AY116" s="94"/>
      <c r="AZ116" s="94"/>
      <c r="BA116" s="26">
        <v>0.22</v>
      </c>
      <c r="BB116" s="26"/>
      <c r="BC116" s="26">
        <f t="shared" si="300"/>
        <v>0.77985280376146149</v>
      </c>
      <c r="BD116" s="26">
        <f t="shared" si="301"/>
        <v>0.22014719623853843</v>
      </c>
      <c r="BE116" s="16"/>
      <c r="BF116" s="16"/>
      <c r="BG116" s="16">
        <v>73</v>
      </c>
      <c r="BH116" s="16"/>
      <c r="BI116" s="16"/>
      <c r="BJ116" s="16"/>
      <c r="BK116" s="16"/>
      <c r="BL116" s="16"/>
      <c r="BM116" s="16"/>
      <c r="BN116" s="16"/>
      <c r="BO116" s="16"/>
      <c r="BP116" s="16"/>
      <c r="BQ116" s="16"/>
      <c r="BR116" s="16">
        <v>494.78666666666669</v>
      </c>
      <c r="BS116" s="16"/>
      <c r="BT116" s="16">
        <v>0.67033333333333334</v>
      </c>
      <c r="BU116" s="16"/>
      <c r="BV116" s="16"/>
      <c r="BW116" s="16"/>
      <c r="BX116" s="16"/>
      <c r="BY116" s="16"/>
      <c r="BZ116" s="16"/>
      <c r="CA116" s="16"/>
      <c r="CB116" s="16"/>
      <c r="CC116" s="16"/>
      <c r="CD116" s="16"/>
      <c r="CE116" s="16"/>
      <c r="CF116" s="16"/>
      <c r="CG116" s="16"/>
      <c r="CH116" s="16">
        <v>3.5306666666666668</v>
      </c>
      <c r="CI116" s="16">
        <v>6.5168333333333335</v>
      </c>
      <c r="CJ116" s="16">
        <v>3.3566666666666671E-3</v>
      </c>
      <c r="CK116" s="16">
        <v>5.238333333333333E-2</v>
      </c>
      <c r="CL116" s="16"/>
      <c r="CM116" s="16">
        <v>0.42671666666666663</v>
      </c>
      <c r="CN116" s="16"/>
      <c r="CO116" s="16"/>
      <c r="CP116" s="16"/>
      <c r="CQ116" s="16"/>
      <c r="CR116" s="16">
        <v>8.716666666666667E-2</v>
      </c>
      <c r="CS116" s="16">
        <v>26.276666666666667</v>
      </c>
      <c r="CT116" s="16"/>
      <c r="CU116" s="16">
        <v>0.68103333333333327</v>
      </c>
      <c r="CV116" s="16">
        <v>0.8098833333333334</v>
      </c>
      <c r="CW116" s="16">
        <v>7.9783333333333331E-2</v>
      </c>
      <c r="CX116" s="16">
        <v>0.27766666666666667</v>
      </c>
      <c r="CY116" s="16">
        <v>3.2649999999999998E-2</v>
      </c>
      <c r="CZ116" s="16">
        <v>1.5050000000000001E-2</v>
      </c>
      <c r="DA116" s="16">
        <v>2.4899999999999999E-2</v>
      </c>
      <c r="DB116" s="16">
        <v>6.6E-3</v>
      </c>
      <c r="DC116" s="16"/>
      <c r="DD116" s="16">
        <v>1.01E-2</v>
      </c>
      <c r="DE116" s="16"/>
      <c r="DF116" s="16">
        <v>7.1000000000000004E-3</v>
      </c>
      <c r="DG116" s="16">
        <v>3.3149999999999998E-3</v>
      </c>
      <c r="DH116" s="16">
        <v>8.0999999999999996E-3</v>
      </c>
      <c r="DI116" s="16">
        <v>1.2640000000000002E-2</v>
      </c>
      <c r="DJ116" s="16"/>
      <c r="DK116" s="16"/>
      <c r="DL116" s="16">
        <v>7.8750000000000001E-2</v>
      </c>
      <c r="DM116" s="16">
        <v>2.1933333333333332E-2</v>
      </c>
      <c r="DN116" s="16"/>
      <c r="DO116" s="16"/>
      <c r="DP116" s="16"/>
      <c r="DQ116" s="16"/>
      <c r="DR116" s="16"/>
      <c r="DS116" s="16"/>
      <c r="DT116" s="16"/>
      <c r="DU116" s="16"/>
      <c r="DV116" s="27"/>
      <c r="DW116" s="27"/>
      <c r="DX116" s="27"/>
      <c r="DY116" s="27"/>
      <c r="DZ116" s="27"/>
      <c r="EA116" s="27"/>
      <c r="EB116" s="27"/>
      <c r="EC116" s="27"/>
      <c r="ED116" s="27"/>
      <c r="EE116" s="27"/>
      <c r="EF116" s="27"/>
      <c r="EG116" s="27"/>
      <c r="EH116" s="27"/>
      <c r="EI116" s="27"/>
      <c r="EJ116" s="16"/>
      <c r="EK116" s="18"/>
      <c r="EL116" s="18">
        <f>IFERROR(CR116/'McDonough &amp; Sun 1995 values'!C$2,)</f>
        <v>4.1507936507936503</v>
      </c>
      <c r="EM116" s="18">
        <f>IFERROR(CH116/'McDonough &amp; Sun 1995 values'!D$2,)</f>
        <v>5.884444444444445</v>
      </c>
      <c r="EN116" s="18">
        <f>IFERROR(CS116/'McDonough &amp; Sun 1995 values'!E$2,)</f>
        <v>3.9813131313131316</v>
      </c>
      <c r="EO116" s="18">
        <f>IFERROR(DL116/'McDonough &amp; Sun 1995 values'!F$2,)</f>
        <v>0.99056603773584906</v>
      </c>
      <c r="EP116" s="18">
        <f>IFERROR(DM116/'McDonough &amp; Sun 1995 values'!G$2,)</f>
        <v>1.0804597701149425</v>
      </c>
      <c r="EQ116" s="18">
        <f>IFERROR(BR116/'McDonough &amp; Sun 1995 values'!H$2,)</f>
        <v>2.0616111111111111</v>
      </c>
      <c r="ER116" s="18">
        <f>IFERROR(DI116/'McDonough &amp; Sun 1995 values'!I$2,)</f>
        <v>0.34162162162162168</v>
      </c>
      <c r="ES116" s="18">
        <f>IFERROR(CM116/'McDonough &amp; Sun 1995 values'!J$2,)</f>
        <v>0.64850557244174256</v>
      </c>
      <c r="ET116" s="18">
        <f>IFERROR(CU116/'McDonough &amp; Sun 1995 values'!K$2,)</f>
        <v>1.0509773662551438</v>
      </c>
      <c r="EU116" s="18">
        <f>IFERROR(CV116/'McDonough &amp; Sun 1995 values'!L$2,)</f>
        <v>0.48351243781094533</v>
      </c>
      <c r="EV116" s="18">
        <f>IFERROR(CW116/'McDonough &amp; Sun 1995 values'!M$2,)</f>
        <v>0.31410761154855643</v>
      </c>
      <c r="EW116" s="18">
        <f>IFERROR(CI116/'McDonough &amp; Sun 1995 values'!N$2,)</f>
        <v>0.32747906197654947</v>
      </c>
      <c r="EX116" s="18">
        <f>IFERROR(CX116/'McDonough &amp; Sun 1995 values'!O$2,)</f>
        <v>0.22213333333333335</v>
      </c>
      <c r="EY116" s="18">
        <f>IFERROR(CY116/'McDonough &amp; Sun 1995 values'!P$2,)</f>
        <v>8.0418719211822656E-2</v>
      </c>
      <c r="EZ116" s="18">
        <f>IFERROR(DH116/'McDonough &amp; Sun 1995 values'!Q$2,)</f>
        <v>2.8621908127208481E-2</v>
      </c>
      <c r="FA116" s="18">
        <f>IFERROR(CK116/'McDonough &amp; Sun 1995 values'!R$2,)</f>
        <v>4.9888888888888882E-3</v>
      </c>
      <c r="FB116" s="18">
        <f>IFERROR(CZ116/'McDonough &amp; Sun 1995 values'!S$2,)</f>
        <v>9.7727272727272732E-2</v>
      </c>
      <c r="FC116" s="18">
        <f>IFERROR(BT116/'McDonough &amp; Sun 1995 values'!T$2,)</f>
        <v>5.5629322268326421E-4</v>
      </c>
      <c r="FD116" s="18">
        <f>IFERROR(DA116/'McDonough &amp; Sun 1995 values'!U$2,)</f>
        <v>4.5772058823529409E-2</v>
      </c>
      <c r="FE116" s="18">
        <f>IFERROR(DN116/'McDonough &amp; Sun 1995 values'!V$2,)</f>
        <v>0</v>
      </c>
      <c r="FF116" s="18">
        <f>IFERROR(DB116/'McDonough &amp; Sun 1995 values'!W$2,)</f>
        <v>9.7922848664688412E-3</v>
      </c>
      <c r="FG116" s="18">
        <f>IFERROR(CJ116/'McDonough &amp; Sun 1995 values'!X$2,)</f>
        <v>7.8062015503875982E-4</v>
      </c>
      <c r="FH116" s="18">
        <f>IFERROR(DC116/'McDonough &amp; Sun 1995 values'!Y$2,)</f>
        <v>0</v>
      </c>
      <c r="FI116" s="18">
        <f>IFERROR(DD116/'McDonough &amp; Sun 1995 values'!Z$2,)</f>
        <v>2.3059360730593607E-2</v>
      </c>
      <c r="FJ116" s="18">
        <f>IFERROR(DE116/'McDonough &amp; Sun 1995 values'!AA$2,)</f>
        <v>0</v>
      </c>
      <c r="FK116" s="18">
        <f>IFERROR(DF116/'McDonough &amp; Sun 1995 values'!AB$2,)</f>
        <v>1.6099773242630386E-2</v>
      </c>
      <c r="FL116" s="18">
        <f>IFERROR(DG116/'McDonough &amp; Sun 1995 values'!AC$2,)</f>
        <v>4.9111111111111105E-2</v>
      </c>
      <c r="FM116" s="16"/>
      <c r="FN116" s="28">
        <f t="shared" si="299"/>
        <v>0.52408515082780371</v>
      </c>
      <c r="FO116" s="4">
        <f t="shared" si="231"/>
        <v>3.6848323662153453</v>
      </c>
      <c r="FP116" s="4">
        <f t="shared" si="232"/>
        <v>1.5274595621533151</v>
      </c>
      <c r="FQ116" s="4">
        <f t="shared" si="233"/>
        <v>0.91680048173424322</v>
      </c>
      <c r="FR116" s="4">
        <f t="shared" si="234"/>
        <v>1.6206142412902036</v>
      </c>
      <c r="FS116" s="4">
        <f t="shared" si="235"/>
        <v>3.0764369107152145</v>
      </c>
      <c r="FT116" s="4">
        <f t="shared" si="236"/>
        <v>1.4176673040152967</v>
      </c>
      <c r="FU116" s="4">
        <f t="shared" si="237"/>
        <v>0.52678286222792747</v>
      </c>
      <c r="FV116" s="4">
        <f t="shared" si="238"/>
        <v>6.2036413135953712E-2</v>
      </c>
      <c r="FW116" s="4">
        <f t="shared" si="239"/>
        <v>0.1743031550068587</v>
      </c>
      <c r="FX116" s="4">
        <f t="shared" si="240"/>
        <v>1.5488813722963917</v>
      </c>
      <c r="FY116" s="4">
        <f t="shared" si="241"/>
        <v>1.239759487953527</v>
      </c>
      <c r="FZ116" s="4">
        <f t="shared" si="242"/>
        <v>1.6107827845355229</v>
      </c>
      <c r="GA116" s="4">
        <f t="shared" si="243"/>
        <v>1.0425696479052879</v>
      </c>
      <c r="GB116" s="4">
        <f t="shared" si="244"/>
        <v>1.2152304051232077</v>
      </c>
      <c r="GC116" s="4">
        <f t="shared" si="245"/>
        <v>0.70538411739318063</v>
      </c>
      <c r="GD116" s="4">
        <f t="shared" si="246"/>
        <v>4.0192303992303993</v>
      </c>
      <c r="GE116" s="4">
        <f t="shared" si="247"/>
        <v>0.67658266959626479</v>
      </c>
      <c r="GF116" s="4">
        <f t="shared" si="248"/>
        <v>1.9311659264231418</v>
      </c>
      <c r="GG116" s="4">
        <f t="shared" si="249"/>
        <v>6.1392119058017602</v>
      </c>
      <c r="GH116" s="4">
        <f t="shared" si="250"/>
        <v>3.3459149909605999</v>
      </c>
      <c r="GI116" s="4">
        <f t="shared" si="251"/>
        <v>13.068815029083872</v>
      </c>
      <c r="GJ116" s="4">
        <f t="shared" si="252"/>
        <v>107.3270825539344</v>
      </c>
      <c r="GK116" s="4">
        <f t="shared" si="253"/>
        <v>65.279016692749067</v>
      </c>
      <c r="GL116" s="4">
        <f t="shared" si="254"/>
        <v>8.9680921597878314</v>
      </c>
      <c r="GM116" s="4">
        <f t="shared" si="255"/>
        <v>0.16833637348230063</v>
      </c>
      <c r="GN116" s="4">
        <f t="shared" si="256"/>
        <v>0.61704998914725062</v>
      </c>
      <c r="GO116" s="4">
        <f t="shared" si="257"/>
        <v>0.60021260428118728</v>
      </c>
      <c r="GP116" s="4">
        <f t="shared" si="258"/>
        <v>1.908086879432624</v>
      </c>
      <c r="GQ116" s="27">
        <f t="shared" si="259"/>
        <v>223972.21809885031</v>
      </c>
      <c r="GR116" s="28">
        <f t="shared" si="260"/>
        <v>39.45723074783028</v>
      </c>
      <c r="GS116" s="28">
        <f t="shared" si="261"/>
        <v>1598.2064553767432</v>
      </c>
      <c r="GT116" s="28">
        <f t="shared" si="262"/>
        <v>11894.506691592585</v>
      </c>
      <c r="GU116" s="28">
        <f t="shared" si="263"/>
        <v>35.647306937571337</v>
      </c>
      <c r="GV116" s="28">
        <f t="shared" si="264"/>
        <v>9.9284351174272754</v>
      </c>
      <c r="GW116" s="28">
        <f t="shared" si="265"/>
        <v>223972.21809885031</v>
      </c>
      <c r="GX116" s="28">
        <f t="shared" si="266"/>
        <v>5.7216756786146252</v>
      </c>
      <c r="GY116" s="28">
        <f t="shared" si="267"/>
        <v>193.15936497833624</v>
      </c>
      <c r="GZ116" s="28">
        <f t="shared" si="268"/>
        <v>308.27941927683378</v>
      </c>
      <c r="HA116" s="28">
        <f t="shared" si="269"/>
        <v>366.60520338992677</v>
      </c>
      <c r="HB116" s="28">
        <f t="shared" si="270"/>
        <v>36.115059959820947</v>
      </c>
      <c r="HC116" s="28">
        <f t="shared" si="271"/>
        <v>2949.9372456422789</v>
      </c>
      <c r="HD116" s="28">
        <f t="shared" si="272"/>
        <v>125.68976372062188</v>
      </c>
      <c r="HE116" s="28">
        <f t="shared" si="273"/>
        <v>14.779486622370843</v>
      </c>
      <c r="HF116" s="28">
        <f t="shared" si="274"/>
        <v>3.666580142150194</v>
      </c>
      <c r="HG116" s="28">
        <f t="shared" si="275"/>
        <v>23.712060466621523</v>
      </c>
      <c r="HH116" s="28">
        <f t="shared" si="276"/>
        <v>6.8125964369580769</v>
      </c>
      <c r="HI116" s="28">
        <f t="shared" si="277"/>
        <v>303.43591217547493</v>
      </c>
      <c r="HJ116" s="28">
        <f t="shared" si="278"/>
        <v>11.271338955498745</v>
      </c>
      <c r="HK116" s="28">
        <f t="shared" si="279"/>
        <v>0</v>
      </c>
      <c r="HL116" s="28">
        <f t="shared" si="280"/>
        <v>2.9875838195297879</v>
      </c>
      <c r="HM116" s="28">
        <f t="shared" si="281"/>
        <v>1.5194428819527761</v>
      </c>
      <c r="HN116" s="28">
        <f t="shared" si="282"/>
        <v>0</v>
      </c>
      <c r="HO116" s="28">
        <f t="shared" si="283"/>
        <v>4.5719085723107362</v>
      </c>
      <c r="HP116" s="28">
        <f t="shared" si="284"/>
        <v>0</v>
      </c>
      <c r="HQ116" s="28">
        <f t="shared" si="285"/>
        <v>3.2139159270699231</v>
      </c>
      <c r="HR116" s="28">
        <f t="shared" si="286"/>
        <v>1.500581872991098</v>
      </c>
      <c r="HT116" s="4">
        <f>IFERROR(GR116/'McDonough &amp; Sun 1995 values'!C$2,)</f>
        <v>1878.9157498966799</v>
      </c>
      <c r="HU116" s="4">
        <f>IFERROR(GS116/'McDonough &amp; Sun 1995 values'!D$2,)</f>
        <v>2663.6774256279054</v>
      </c>
      <c r="HV116" s="4">
        <f>IFERROR(GT116/'McDonough &amp; Sun 1995 values'!E$2,)</f>
        <v>1802.1979835746342</v>
      </c>
      <c r="HW116" s="4">
        <f>IFERROR(GU116/'McDonough &amp; Sun 1995 values'!F$2,)</f>
        <v>448.39379795687216</v>
      </c>
      <c r="HX116" s="4">
        <f>IFERROR(GV116/'McDonough &amp; Sun 1995 values'!G$2,)</f>
        <v>489.08547376489042</v>
      </c>
      <c r="HY116" s="4">
        <f>IFERROR(GW116/'McDonough &amp; Sun 1995 values'!H$2,)</f>
        <v>933.21757541187628</v>
      </c>
      <c r="HZ116" s="4">
        <f>IFERROR(GX116/'McDonough &amp; Sun 1995 values'!I$2,)</f>
        <v>154.63988320580069</v>
      </c>
      <c r="IA116" s="4">
        <f>IFERROR(GY116/'McDonough &amp; Sun 1995 values'!J$2,)</f>
        <v>293.55526592452316</v>
      </c>
      <c r="IB116" s="4">
        <f>IFERROR(GZ116/'McDonough &amp; Sun 1995 values'!K$2,)</f>
        <v>475.73984456301508</v>
      </c>
      <c r="IC116" s="4">
        <f>IFERROR(HA116/'McDonough &amp; Sun 1995 values'!L$2,)</f>
        <v>218.86877814323987</v>
      </c>
      <c r="ID116" s="4">
        <f>IFERROR(HB116/'McDonough &amp; Sun 1995 values'!M$2,)</f>
        <v>142.18527543236593</v>
      </c>
      <c r="IE116" s="4">
        <f>IFERROR(HC116/'McDonough &amp; Sun 1995 values'!N$2,)</f>
        <v>148.23805254483815</v>
      </c>
      <c r="IF116" s="4">
        <f>IFERROR(HD116/'McDonough &amp; Sun 1995 values'!O$2,)</f>
        <v>100.55181097649751</v>
      </c>
      <c r="IG116" s="4">
        <f>IFERROR(HE116/'McDonough &amp; Sun 1995 values'!P$2,)</f>
        <v>36.402676409780398</v>
      </c>
      <c r="IH116" s="4">
        <f>IFERROR(HF116/'McDonough &amp; Sun 1995 values'!Q$2,)</f>
        <v>12.956113576502453</v>
      </c>
      <c r="II116" s="4">
        <f>IFERROR(HG116/'McDonough &amp; Sun 1995 values'!R$2,)</f>
        <v>2.2582914730115737</v>
      </c>
      <c r="IJ116" s="4">
        <f>IFERROR(HH116/'McDonough &amp; Sun 1995 values'!S$2,)</f>
        <v>44.237639201026475</v>
      </c>
      <c r="IK116" s="4">
        <f>IFERROR(HI116/'McDonough &amp; Sun 1995 values'!T$2,)</f>
        <v>0.25181403500039412</v>
      </c>
      <c r="IL116" s="4">
        <f>IFERROR(HJ116/'McDonough &amp; Sun 1995 values'!U$2,)</f>
        <v>20.719373079960928</v>
      </c>
      <c r="IM116" s="4">
        <f>IFERROR(HK116/'McDonough &amp; Sun 1995 values'!V$2,)</f>
        <v>0</v>
      </c>
      <c r="IN116" s="4">
        <f>IFERROR(HL116/'McDonough &amp; Sun 1995 values'!W$2,)</f>
        <v>4.4326169429225333</v>
      </c>
      <c r="IO116" s="4">
        <f>IFERROR(HM116/'McDonough &amp; Sun 1995 values'!X$2,)</f>
        <v>0.35335880975645956</v>
      </c>
      <c r="IP116" s="4">
        <f>IFERROR(HN116/'McDonough &amp; Sun 1995 values'!Y$2,)</f>
        <v>0</v>
      </c>
      <c r="IQ116" s="4">
        <f>IFERROR(HO116/'McDonough &amp; Sun 1995 values'!Z$2,)</f>
        <v>10.438147425366978</v>
      </c>
      <c r="IR116" s="4">
        <f>IFERROR(HP116/'McDonough &amp; Sun 1995 values'!AA$2,)</f>
        <v>0</v>
      </c>
      <c r="IS116" s="4">
        <f>IFERROR(HQ116/'McDonough &amp; Sun 1995 values'!AB$2,)</f>
        <v>7.2877912178456308</v>
      </c>
      <c r="IT116" s="4">
        <f>IFERROR(HR116/'McDonough &amp; Sun 1995 values'!AC$2,)</f>
        <v>22.230842562831079</v>
      </c>
    </row>
    <row r="117" spans="1:254">
      <c r="A117" s="16" t="s">
        <v>772</v>
      </c>
      <c r="B117" s="16" t="s">
        <v>24</v>
      </c>
      <c r="C117" s="16" t="str">
        <f t="shared" si="144"/>
        <v>saline</v>
      </c>
      <c r="D117" s="16" t="s">
        <v>119</v>
      </c>
      <c r="E117" s="16" t="s">
        <v>1394</v>
      </c>
      <c r="F117" s="16" t="s">
        <v>1728</v>
      </c>
      <c r="G117" s="16" t="s">
        <v>595</v>
      </c>
      <c r="H117" s="27">
        <v>84</v>
      </c>
      <c r="I117" s="16" t="s">
        <v>735</v>
      </c>
      <c r="J117" s="16" t="s">
        <v>635</v>
      </c>
      <c r="K117" s="16" t="s">
        <v>674</v>
      </c>
      <c r="L117" s="16">
        <v>0</v>
      </c>
      <c r="M117" s="16" t="s">
        <v>583</v>
      </c>
      <c r="N117" s="16">
        <v>49</v>
      </c>
      <c r="O117" s="26">
        <v>1.55</v>
      </c>
      <c r="P117" s="26">
        <v>0.48</v>
      </c>
      <c r="Q117" s="26"/>
      <c r="R117" s="26">
        <v>0.72</v>
      </c>
      <c r="S117" s="26">
        <v>8.7200000000000006</v>
      </c>
      <c r="T117" s="26">
        <v>1.42</v>
      </c>
      <c r="U117" s="26"/>
      <c r="V117" s="26">
        <v>8.76</v>
      </c>
      <c r="W117" s="26">
        <v>13</v>
      </c>
      <c r="X117" s="26">
        <v>31.2</v>
      </c>
      <c r="Y117" s="26"/>
      <c r="Z117" s="26">
        <v>0.51</v>
      </c>
      <c r="AA117" s="26"/>
      <c r="AB117" s="26">
        <v>4.38</v>
      </c>
      <c r="AC117" s="26"/>
      <c r="AD117" s="26">
        <v>37.72</v>
      </c>
      <c r="AE117" s="26"/>
      <c r="AF117" s="26"/>
      <c r="AG117" s="26"/>
      <c r="AH117" s="26"/>
      <c r="AI117" s="26">
        <v>7.97</v>
      </c>
      <c r="AJ117" s="26">
        <f t="shared" si="145"/>
        <v>108.46</v>
      </c>
      <c r="AK117" s="26">
        <f t="shared" si="288"/>
        <v>1.5508106211794206</v>
      </c>
      <c r="AL117" s="26">
        <f t="shared" si="289"/>
        <v>0.48025103107491734</v>
      </c>
      <c r="AM117" s="26">
        <f t="shared" si="290"/>
        <v>0.72037654661237593</v>
      </c>
      <c r="AN117" s="26">
        <f t="shared" si="291"/>
        <v>8.7245603978609996</v>
      </c>
      <c r="AO117" s="26">
        <f t="shared" si="292"/>
        <v>1.4207426335966304</v>
      </c>
      <c r="AP117" s="26">
        <f t="shared" si="293"/>
        <v>8.7645813171172406</v>
      </c>
      <c r="AQ117" s="26">
        <f t="shared" si="294"/>
        <v>4.3822906585586203</v>
      </c>
      <c r="AR117" s="26">
        <f t="shared" si="295"/>
        <v>13.006798758279011</v>
      </c>
      <c r="AS117" s="26">
        <f t="shared" si="296"/>
        <v>31.216317019869628</v>
      </c>
      <c r="AT117" s="26">
        <f t="shared" si="297"/>
        <v>0.51026672051709965</v>
      </c>
      <c r="AU117" s="26">
        <f t="shared" si="298"/>
        <v>37.739726858637255</v>
      </c>
      <c r="AV117" s="26">
        <f t="shared" si="146"/>
        <v>108.51672256330319</v>
      </c>
      <c r="AW117" s="26">
        <v>9.1</v>
      </c>
      <c r="AX117" s="26">
        <v>27.3</v>
      </c>
      <c r="AY117" s="94"/>
      <c r="AZ117" s="94"/>
      <c r="BA117" s="26">
        <v>0.12</v>
      </c>
      <c r="BB117" s="26"/>
      <c r="BC117" s="26">
        <f t="shared" si="300"/>
        <v>0.87990669776741093</v>
      </c>
      <c r="BD117" s="26">
        <f t="shared" si="301"/>
        <v>0.12009330223258913</v>
      </c>
      <c r="BE117" s="16"/>
      <c r="BF117" s="16"/>
      <c r="BG117" s="16">
        <v>190</v>
      </c>
      <c r="BH117" s="16"/>
      <c r="BI117" s="16"/>
      <c r="BJ117" s="16"/>
      <c r="BK117" s="16"/>
      <c r="BL117" s="16"/>
      <c r="BM117" s="16"/>
      <c r="BN117" s="16"/>
      <c r="BO117" s="16"/>
      <c r="BP117" s="16"/>
      <c r="BQ117" s="16"/>
      <c r="BR117" s="16">
        <v>791.22249999999997</v>
      </c>
      <c r="BS117" s="16"/>
      <c r="BT117" s="16">
        <v>0.441</v>
      </c>
      <c r="BU117" s="16"/>
      <c r="BV117" s="16"/>
      <c r="BW117" s="16"/>
      <c r="BX117" s="16"/>
      <c r="BY117" s="16"/>
      <c r="BZ117" s="16"/>
      <c r="CA117" s="16"/>
      <c r="CB117" s="16"/>
      <c r="CC117" s="16"/>
      <c r="CD117" s="16"/>
      <c r="CE117" s="16"/>
      <c r="CF117" s="16"/>
      <c r="CG117" s="16"/>
      <c r="CH117" s="16">
        <v>7.9077500000000001</v>
      </c>
      <c r="CI117" s="16">
        <v>9.6379999999999999</v>
      </c>
      <c r="CJ117" s="16">
        <v>3.2399999999999998E-3</v>
      </c>
      <c r="CK117" s="16">
        <v>2.3266666666666668E-2</v>
      </c>
      <c r="CL117" s="16"/>
      <c r="CM117" s="16">
        <v>0.77400000000000002</v>
      </c>
      <c r="CN117" s="16"/>
      <c r="CO117" s="16"/>
      <c r="CP117" s="16"/>
      <c r="CQ117" s="16"/>
      <c r="CR117" s="16">
        <v>0.18365000000000001</v>
      </c>
      <c r="CS117" s="16">
        <v>132.1875</v>
      </c>
      <c r="CT117" s="16"/>
      <c r="CU117" s="16">
        <v>1.8492999999999999</v>
      </c>
      <c r="CV117" s="16">
        <v>2.6622500000000002</v>
      </c>
      <c r="CW117" s="16">
        <v>0.25842500000000002</v>
      </c>
      <c r="CX117" s="16">
        <v>0.59972500000000006</v>
      </c>
      <c r="CY117" s="16">
        <v>2.6850000000000002E-2</v>
      </c>
      <c r="CZ117" s="16">
        <v>1.0500000000000001E-2</v>
      </c>
      <c r="DA117" s="16">
        <v>1.1599999999999999E-2</v>
      </c>
      <c r="DB117" s="16"/>
      <c r="DC117" s="16"/>
      <c r="DD117" s="16"/>
      <c r="DE117" s="16"/>
      <c r="DF117" s="16"/>
      <c r="DG117" s="16"/>
      <c r="DH117" s="16">
        <v>6.0000000000000001E-3</v>
      </c>
      <c r="DI117" s="16">
        <v>1.7257499999999999E-2</v>
      </c>
      <c r="DJ117" s="16"/>
      <c r="DK117" s="16"/>
      <c r="DL117" s="16">
        <v>0.19160000000000002</v>
      </c>
      <c r="DM117" s="16">
        <v>3.7992500000000005E-2</v>
      </c>
      <c r="DN117" s="16"/>
      <c r="DO117" s="16"/>
      <c r="DP117" s="16"/>
      <c r="DQ117" s="16"/>
      <c r="DR117" s="16"/>
      <c r="DS117" s="16"/>
      <c r="DT117" s="16"/>
      <c r="DU117" s="16"/>
      <c r="DV117" s="27"/>
      <c r="DW117" s="27"/>
      <c r="DX117" s="27"/>
      <c r="DY117" s="27"/>
      <c r="DZ117" s="27"/>
      <c r="EA117" s="27"/>
      <c r="EB117" s="27"/>
      <c r="EC117" s="27"/>
      <c r="ED117" s="27"/>
      <c r="EE117" s="27"/>
      <c r="EF117" s="27"/>
      <c r="EG117" s="27"/>
      <c r="EH117" s="27"/>
      <c r="EI117" s="27"/>
      <c r="EJ117" s="16"/>
      <c r="EK117" s="18"/>
      <c r="EL117" s="18">
        <f>IFERROR(CR117/'McDonough &amp; Sun 1995 values'!C$2,)</f>
        <v>8.7452380952380953</v>
      </c>
      <c r="EM117" s="18">
        <f>IFERROR(CH117/'McDonough &amp; Sun 1995 values'!D$2,)</f>
        <v>13.179583333333333</v>
      </c>
      <c r="EN117" s="18">
        <f>IFERROR(CS117/'McDonough &amp; Sun 1995 values'!E$2,)</f>
        <v>20.028409090909093</v>
      </c>
      <c r="EO117" s="18">
        <f>IFERROR(DL117/'McDonough &amp; Sun 1995 values'!F$2,)</f>
        <v>2.4100628930817614</v>
      </c>
      <c r="EP117" s="18">
        <f>IFERROR(DM117/'McDonough &amp; Sun 1995 values'!G$2,)</f>
        <v>1.8715517241379314</v>
      </c>
      <c r="EQ117" s="18">
        <f>IFERROR(BR117/'McDonough &amp; Sun 1995 values'!H$2,)</f>
        <v>3.2967604166666664</v>
      </c>
      <c r="ER117" s="18">
        <f>IFERROR(DI117/'McDonough &amp; Sun 1995 values'!I$2,)</f>
        <v>0.4664189189189189</v>
      </c>
      <c r="ES117" s="18">
        <f>IFERROR(CM117/'McDonough &amp; Sun 1995 values'!J$2,)</f>
        <v>1.1762917933130699</v>
      </c>
      <c r="ET117" s="18">
        <f>IFERROR(CU117/'McDonough &amp; Sun 1995 values'!K$2,)</f>
        <v>2.8538580246913576</v>
      </c>
      <c r="EU117" s="18">
        <f>IFERROR(CV117/'McDonough &amp; Sun 1995 values'!L$2,)</f>
        <v>1.589402985074627</v>
      </c>
      <c r="EV117" s="18">
        <f>IFERROR(CW117/'McDonough &amp; Sun 1995 values'!M$2,)</f>
        <v>1.0174212598425196</v>
      </c>
      <c r="EW117" s="18">
        <f>IFERROR(CI117/'McDonough &amp; Sun 1995 values'!N$2,)</f>
        <v>0.48432160804020102</v>
      </c>
      <c r="EX117" s="18">
        <f>IFERROR(CX117/'McDonough &amp; Sun 1995 values'!O$2,)</f>
        <v>0.47978000000000004</v>
      </c>
      <c r="EY117" s="18">
        <f>IFERROR(CY117/'McDonough &amp; Sun 1995 values'!P$2,)</f>
        <v>6.613300492610838E-2</v>
      </c>
      <c r="EZ117" s="18">
        <f>IFERROR(DH117/'McDonough &amp; Sun 1995 values'!Q$2,)</f>
        <v>2.1201413427561839E-2</v>
      </c>
      <c r="FA117" s="18">
        <f>IFERROR(CK117/'McDonough &amp; Sun 1995 values'!R$2,)</f>
        <v>2.2158730158730162E-3</v>
      </c>
      <c r="FB117" s="18">
        <f>IFERROR(CZ117/'McDonough &amp; Sun 1995 values'!S$2,)</f>
        <v>6.8181818181818191E-2</v>
      </c>
      <c r="FC117" s="18">
        <f>IFERROR(BT117/'McDonough &amp; Sun 1995 values'!T$2,)</f>
        <v>3.6597510373443981E-4</v>
      </c>
      <c r="FD117" s="18">
        <f>IFERROR(DA117/'McDonough &amp; Sun 1995 values'!U$2,)</f>
        <v>2.1323529411764703E-2</v>
      </c>
      <c r="FE117" s="18">
        <f>IFERROR(DN117/'McDonough &amp; Sun 1995 values'!V$2,)</f>
        <v>0</v>
      </c>
      <c r="FF117" s="18">
        <f>IFERROR(DB117/'McDonough &amp; Sun 1995 values'!W$2,)</f>
        <v>0</v>
      </c>
      <c r="FG117" s="18">
        <f>IFERROR(CJ117/'McDonough &amp; Sun 1995 values'!X$2,)</f>
        <v>7.5348837209302324E-4</v>
      </c>
      <c r="FH117" s="18">
        <f>IFERROR(DC117/'McDonough &amp; Sun 1995 values'!Y$2,)</f>
        <v>0</v>
      </c>
      <c r="FI117" s="18">
        <f>IFERROR(DD117/'McDonough &amp; Sun 1995 values'!Z$2,)</f>
        <v>0</v>
      </c>
      <c r="FJ117" s="18">
        <f>IFERROR(DE117/'McDonough &amp; Sun 1995 values'!AA$2,)</f>
        <v>0</v>
      </c>
      <c r="FK117" s="18">
        <f>IFERROR(DF117/'McDonough &amp; Sun 1995 values'!AB$2,)</f>
        <v>0</v>
      </c>
      <c r="FL117" s="18">
        <f>IFERROR(DG117/'McDonough &amp; Sun 1995 values'!AC$2,)</f>
        <v>0</v>
      </c>
      <c r="FM117" s="16"/>
      <c r="FN117" s="28">
        <f t="shared" si="299"/>
        <v>0.56769418689825368</v>
      </c>
      <c r="FO117" s="4">
        <f t="shared" si="231"/>
        <v>10.701499099702692</v>
      </c>
      <c r="FP117" s="4">
        <f t="shared" si="232"/>
        <v>2.0488648367542623</v>
      </c>
      <c r="FQ117" s="4">
        <f t="shared" si="233"/>
        <v>1.2877351248156808</v>
      </c>
      <c r="FR117" s="4">
        <f t="shared" si="234"/>
        <v>2.4261480364947201</v>
      </c>
      <c r="FS117" s="4">
        <f t="shared" si="235"/>
        <v>6.1186583754066488</v>
      </c>
      <c r="FT117" s="4">
        <f t="shared" si="236"/>
        <v>1.5070582630002722</v>
      </c>
      <c r="FU117" s="4">
        <f t="shared" si="237"/>
        <v>0.39651634192331864</v>
      </c>
      <c r="FV117" s="4">
        <f t="shared" si="238"/>
        <v>3.3506310780053797E-2</v>
      </c>
      <c r="FW117" s="4">
        <f t="shared" si="239"/>
        <v>0.10451534391534392</v>
      </c>
      <c r="FX117" s="4">
        <f t="shared" si="240"/>
        <v>1.5592160997006723</v>
      </c>
      <c r="FY117" s="4">
        <f t="shared" si="241"/>
        <v>0.69320609301254232</v>
      </c>
      <c r="FZ117" s="4">
        <f t="shared" si="242"/>
        <v>1.8156406823234101</v>
      </c>
      <c r="GA117" s="4">
        <f t="shared" si="243"/>
        <v>0.47602859027652539</v>
      </c>
      <c r="GB117" s="4">
        <f t="shared" si="244"/>
        <v>1.0309801929913662</v>
      </c>
      <c r="GC117" s="4">
        <f t="shared" si="245"/>
        <v>0.66354435296296133</v>
      </c>
      <c r="GD117" s="4">
        <f t="shared" si="246"/>
        <v>8.3103263190358696</v>
      </c>
      <c r="GE117" s="4">
        <f t="shared" si="247"/>
        <v>1.5196541942455764</v>
      </c>
      <c r="GF117" s="4">
        <f t="shared" si="248"/>
        <v>6.075178829998114</v>
      </c>
      <c r="GG117" s="4">
        <f t="shared" si="249"/>
        <v>17.026735377026078</v>
      </c>
      <c r="GH117" s="4">
        <f t="shared" si="250"/>
        <v>2.8049915382474793</v>
      </c>
      <c r="GI117" s="4">
        <f t="shared" si="251"/>
        <v>43.153309423638404</v>
      </c>
      <c r="GJ117" s="4">
        <f t="shared" si="252"/>
        <v>0</v>
      </c>
      <c r="GK117" s="4">
        <f t="shared" si="253"/>
        <v>0</v>
      </c>
      <c r="GL117" s="4">
        <f t="shared" si="254"/>
        <v>6.0547097145736615</v>
      </c>
      <c r="GM117" s="4">
        <f t="shared" si="255"/>
        <v>0.18286336010231188</v>
      </c>
      <c r="GN117" s="4">
        <f t="shared" si="256"/>
        <v>0.41217600284803407</v>
      </c>
      <c r="GO117" s="4">
        <f t="shared" si="257"/>
        <v>0.62851150633033659</v>
      </c>
      <c r="GP117" s="4">
        <f t="shared" si="258"/>
        <v>1.7615117841240591</v>
      </c>
      <c r="GQ117" s="27">
        <f t="shared" si="259"/>
        <v>259138.29273853684</v>
      </c>
      <c r="GR117" s="28">
        <f t="shared" si="260"/>
        <v>60.148374776288968</v>
      </c>
      <c r="GS117" s="28">
        <f t="shared" si="261"/>
        <v>2589.9172917898122</v>
      </c>
      <c r="GT117" s="28">
        <f t="shared" si="262"/>
        <v>43293.565427392852</v>
      </c>
      <c r="GU117" s="28">
        <f t="shared" si="263"/>
        <v>62.752129633198834</v>
      </c>
      <c r="GV117" s="28">
        <f t="shared" si="264"/>
        <v>12.44316432718845</v>
      </c>
      <c r="GW117" s="28">
        <f t="shared" si="265"/>
        <v>259138.29273853684</v>
      </c>
      <c r="GX117" s="28">
        <f t="shared" si="266"/>
        <v>5.6521131374996276</v>
      </c>
      <c r="GY117" s="28">
        <f t="shared" si="267"/>
        <v>253.49764267273429</v>
      </c>
      <c r="GZ117" s="28">
        <f t="shared" si="268"/>
        <v>605.67595684068158</v>
      </c>
      <c r="HA117" s="28">
        <f t="shared" si="269"/>
        <v>871.9303607306033</v>
      </c>
      <c r="HB117" s="28">
        <f t="shared" si="270"/>
        <v>84.638408666280839</v>
      </c>
      <c r="HC117" s="28">
        <f t="shared" si="271"/>
        <v>3156.6024290436862</v>
      </c>
      <c r="HD117" s="28">
        <f t="shared" si="272"/>
        <v>196.4197335295938</v>
      </c>
      <c r="HE117" s="28">
        <f t="shared" si="273"/>
        <v>8.7938135733371023</v>
      </c>
      <c r="HF117" s="28">
        <f t="shared" si="274"/>
        <v>1.9650980052149947</v>
      </c>
      <c r="HG117" s="28">
        <f t="shared" si="275"/>
        <v>7.6202133757781461</v>
      </c>
      <c r="HH117" s="28">
        <f t="shared" si="276"/>
        <v>3.4389215091262408</v>
      </c>
      <c r="HI117" s="28">
        <f t="shared" si="277"/>
        <v>144.43470338330212</v>
      </c>
      <c r="HJ117" s="28">
        <f t="shared" si="278"/>
        <v>3.7991894767489893</v>
      </c>
      <c r="HK117" s="28">
        <f t="shared" si="279"/>
        <v>0</v>
      </c>
      <c r="HL117" s="28">
        <f t="shared" si="280"/>
        <v>0</v>
      </c>
      <c r="HM117" s="28">
        <f t="shared" si="281"/>
        <v>1.0611529228160972</v>
      </c>
      <c r="HN117" s="28">
        <f t="shared" si="282"/>
        <v>0</v>
      </c>
      <c r="HO117" s="28">
        <f t="shared" si="283"/>
        <v>0</v>
      </c>
      <c r="HP117" s="28">
        <f t="shared" si="284"/>
        <v>0</v>
      </c>
      <c r="HQ117" s="28">
        <f t="shared" si="285"/>
        <v>0</v>
      </c>
      <c r="HR117" s="28">
        <f t="shared" si="286"/>
        <v>0</v>
      </c>
      <c r="HT117" s="4">
        <f>IFERROR(GR117/'McDonough &amp; Sun 1995 values'!C$2,)</f>
        <v>2864.208322680427</v>
      </c>
      <c r="HU117" s="4">
        <f>IFERROR(GS117/'McDonough &amp; Sun 1995 values'!D$2,)</f>
        <v>4316.5288196496876</v>
      </c>
      <c r="HV117" s="4">
        <f>IFERROR(GT117/'McDonough &amp; Sun 1995 values'!E$2,)</f>
        <v>6559.6311253625536</v>
      </c>
      <c r="HW117" s="4">
        <f>IFERROR(GU117/'McDonough &amp; Sun 1995 values'!F$2,)</f>
        <v>789.33496393960797</v>
      </c>
      <c r="HX117" s="4">
        <f>IFERROR(GV117/'McDonough &amp; Sun 1995 values'!G$2,)</f>
        <v>612.96375996002223</v>
      </c>
      <c r="HY117" s="4">
        <f>IFERROR(GW117/'McDonough &amp; Sun 1995 values'!H$2,)</f>
        <v>1079.7428864105702</v>
      </c>
      <c r="HZ117" s="4">
        <f>IFERROR(GX117/'McDonough &amp; Sun 1995 values'!I$2,)</f>
        <v>152.75981452701697</v>
      </c>
      <c r="IA117" s="4">
        <f>IFERROR(GY117/'McDonough &amp; Sun 1995 values'!J$2,)</f>
        <v>385.25477609838038</v>
      </c>
      <c r="IB117" s="4">
        <f>IFERROR(GZ117/'McDonough &amp; Sun 1995 values'!K$2,)</f>
        <v>934.68511858129875</v>
      </c>
      <c r="IC117" s="4">
        <f>IFERROR(HA117/'McDonough &amp; Sun 1995 values'!L$2,)</f>
        <v>520.55543924215124</v>
      </c>
      <c r="ID117" s="4">
        <f>IFERROR(HB117/'McDonough &amp; Sun 1995 values'!M$2,)</f>
        <v>333.22208136331039</v>
      </c>
      <c r="IE117" s="4">
        <f>IFERROR(HC117/'McDonough &amp; Sun 1995 values'!N$2,)</f>
        <v>158.62323764038626</v>
      </c>
      <c r="IF117" s="4">
        <f>IFERROR(HD117/'McDonough &amp; Sun 1995 values'!O$2,)</f>
        <v>157.13578682367503</v>
      </c>
      <c r="IG117" s="4">
        <f>IFERROR(HE117/'McDonough &amp; Sun 1995 values'!P$2,)</f>
        <v>21.659639343194833</v>
      </c>
      <c r="IH117" s="4">
        <f>IFERROR(HF117/'McDonough &amp; Sun 1995 values'!Q$2,)</f>
        <v>6.943809205706696</v>
      </c>
      <c r="II117" s="4">
        <f>IFERROR(HG117/'McDonough &amp; Sun 1995 values'!R$2,)</f>
        <v>0.72573460721696625</v>
      </c>
      <c r="IJ117" s="4">
        <f>IFERROR(HH117/'McDonough &amp; Sun 1995 values'!S$2,)</f>
        <v>22.330659150170394</v>
      </c>
      <c r="IK117" s="4">
        <f>IFERROR(HI117/'McDonough &amp; Sun 1995 values'!T$2,)</f>
        <v>0.11986282438448309</v>
      </c>
      <c r="IL117" s="4">
        <f>IFERROR(HJ117/'McDonough &amp; Sun 1995 values'!U$2,)</f>
        <v>6.9838041852003476</v>
      </c>
      <c r="IM117" s="4">
        <f>IFERROR(HK117/'McDonough &amp; Sun 1995 values'!V$2,)</f>
        <v>0</v>
      </c>
      <c r="IN117" s="4">
        <f>IFERROR(HL117/'McDonough &amp; Sun 1995 values'!W$2,)</f>
        <v>0</v>
      </c>
      <c r="IO117" s="4">
        <f>IFERROR(HM117/'McDonough &amp; Sun 1995 values'!X$2,)</f>
        <v>0.24677974949211565</v>
      </c>
      <c r="IP117" s="4">
        <f>IFERROR(HN117/'McDonough &amp; Sun 1995 values'!Y$2,)</f>
        <v>0</v>
      </c>
      <c r="IQ117" s="4">
        <f>IFERROR(HO117/'McDonough &amp; Sun 1995 values'!Z$2,)</f>
        <v>0</v>
      </c>
      <c r="IR117" s="4">
        <f>IFERROR(HP117/'McDonough &amp; Sun 1995 values'!AA$2,)</f>
        <v>0</v>
      </c>
      <c r="IS117" s="4">
        <f>IFERROR(HQ117/'McDonough &amp; Sun 1995 values'!AB$2,)</f>
        <v>0</v>
      </c>
      <c r="IT117" s="4">
        <f>IFERROR(HR117/'McDonough &amp; Sun 1995 values'!AC$2,)</f>
        <v>0</v>
      </c>
    </row>
    <row r="118" spans="1:254">
      <c r="A118" s="16" t="s">
        <v>771</v>
      </c>
      <c r="B118" s="16" t="s">
        <v>24</v>
      </c>
      <c r="C118" s="16" t="str">
        <f t="shared" si="144"/>
        <v>saline</v>
      </c>
      <c r="D118" s="16" t="s">
        <v>119</v>
      </c>
      <c r="E118" s="16" t="s">
        <v>1394</v>
      </c>
      <c r="F118" s="16" t="s">
        <v>97</v>
      </c>
      <c r="G118" s="16" t="s">
        <v>595</v>
      </c>
      <c r="H118" s="27">
        <v>118</v>
      </c>
      <c r="I118" s="16" t="s">
        <v>735</v>
      </c>
      <c r="J118" s="16" t="s">
        <v>635</v>
      </c>
      <c r="K118" s="16" t="s">
        <v>762</v>
      </c>
      <c r="L118" s="16" t="s">
        <v>478</v>
      </c>
      <c r="M118" s="16" t="s">
        <v>755</v>
      </c>
      <c r="N118" s="16">
        <v>42</v>
      </c>
      <c r="O118" s="26">
        <v>4.9000000000000004</v>
      </c>
      <c r="P118" s="26">
        <v>0.7</v>
      </c>
      <c r="Q118" s="26"/>
      <c r="R118" s="26">
        <v>1.1000000000000001</v>
      </c>
      <c r="S118" s="26">
        <v>13.7</v>
      </c>
      <c r="T118" s="26">
        <v>1.3</v>
      </c>
      <c r="U118" s="26"/>
      <c r="V118" s="26">
        <v>3.2</v>
      </c>
      <c r="W118" s="26">
        <v>11.6</v>
      </c>
      <c r="X118" s="26">
        <v>34</v>
      </c>
      <c r="Y118" s="26"/>
      <c r="Z118" s="26">
        <v>0.9</v>
      </c>
      <c r="AA118" s="26"/>
      <c r="AB118" s="26">
        <v>0.9</v>
      </c>
      <c r="AC118" s="26"/>
      <c r="AD118" s="26">
        <v>35.9</v>
      </c>
      <c r="AE118" s="26"/>
      <c r="AF118" s="26"/>
      <c r="AG118" s="26"/>
      <c r="AH118" s="26"/>
      <c r="AI118" s="26">
        <v>25.1</v>
      </c>
      <c r="AJ118" s="26">
        <f t="shared" si="145"/>
        <v>108.20000000000002</v>
      </c>
      <c r="AK118" s="26">
        <f t="shared" si="288"/>
        <v>4.8951807670304834</v>
      </c>
      <c r="AL118" s="26">
        <f t="shared" si="289"/>
        <v>0.69931153814721181</v>
      </c>
      <c r="AM118" s="26">
        <f t="shared" si="290"/>
        <v>1.09891813137419</v>
      </c>
      <c r="AN118" s="26">
        <f t="shared" si="291"/>
        <v>13.686525818024004</v>
      </c>
      <c r="AO118" s="26">
        <f t="shared" si="292"/>
        <v>1.2987214279876793</v>
      </c>
      <c r="AP118" s="26">
        <f t="shared" si="293"/>
        <v>3.1968527458158258</v>
      </c>
      <c r="AQ118" s="26">
        <f t="shared" si="294"/>
        <v>0.89911483476070098</v>
      </c>
      <c r="AR118" s="26">
        <f t="shared" si="295"/>
        <v>11.588591203582368</v>
      </c>
      <c r="AS118" s="26">
        <f t="shared" si="296"/>
        <v>33.966560424293149</v>
      </c>
      <c r="AT118" s="26">
        <f t="shared" si="297"/>
        <v>0.89911483476070098</v>
      </c>
      <c r="AU118" s="26">
        <f t="shared" si="298"/>
        <v>35.864691742121288</v>
      </c>
      <c r="AV118" s="26">
        <f t="shared" si="146"/>
        <v>108.09358346789759</v>
      </c>
      <c r="AW118" s="26">
        <v>6.3</v>
      </c>
      <c r="AX118" s="26">
        <v>23.2</v>
      </c>
      <c r="AY118" s="94"/>
      <c r="AZ118" s="94"/>
      <c r="BA118" s="26">
        <v>0.1</v>
      </c>
      <c r="BB118" s="26"/>
      <c r="BC118" s="26">
        <f t="shared" si="300"/>
        <v>0.89993812568418718</v>
      </c>
      <c r="BD118" s="26">
        <f t="shared" si="301"/>
        <v>0.10006187431581286</v>
      </c>
      <c r="BE118" s="16"/>
      <c r="BF118" s="16"/>
      <c r="BG118" s="16">
        <v>113</v>
      </c>
      <c r="BH118" s="16">
        <v>1E-10</v>
      </c>
      <c r="BI118" s="16"/>
      <c r="BJ118" s="16"/>
      <c r="BK118" s="18"/>
      <c r="BL118" s="18"/>
      <c r="BM118" s="18"/>
      <c r="BN118" s="18"/>
      <c r="BO118" s="18"/>
      <c r="BP118" s="18"/>
      <c r="BQ118" s="18"/>
      <c r="BR118" s="18">
        <v>533</v>
      </c>
      <c r="BS118" s="18"/>
      <c r="BT118" s="18">
        <v>1.2</v>
      </c>
      <c r="BU118" s="18"/>
      <c r="BV118" s="18"/>
      <c r="BW118" s="18"/>
      <c r="BX118" s="18"/>
      <c r="BY118" s="18"/>
      <c r="BZ118" s="18"/>
      <c r="CA118" s="18"/>
      <c r="CB118" s="18"/>
      <c r="CC118" s="18"/>
      <c r="CD118" s="18"/>
      <c r="CE118" s="18"/>
      <c r="CF118" s="18"/>
      <c r="CG118" s="18"/>
      <c r="CH118" s="18">
        <v>1.8</v>
      </c>
      <c r="CI118" s="18">
        <v>7.8</v>
      </c>
      <c r="CJ118" s="18">
        <v>6.0000000000000001E-3</v>
      </c>
      <c r="CK118" s="18">
        <v>2.5000000000000001E-2</v>
      </c>
      <c r="CL118" s="18"/>
      <c r="CM118" s="18">
        <v>0.3</v>
      </c>
      <c r="CN118" s="18"/>
      <c r="CO118" s="18"/>
      <c r="CP118" s="18"/>
      <c r="CQ118" s="18"/>
      <c r="CR118" s="18">
        <v>5.6000000000000001E-2</v>
      </c>
      <c r="CS118" s="18">
        <v>27</v>
      </c>
      <c r="CT118" s="18"/>
      <c r="CU118" s="18">
        <v>0.84</v>
      </c>
      <c r="CV118" s="18">
        <v>0.6</v>
      </c>
      <c r="CW118" s="18">
        <v>0.05</v>
      </c>
      <c r="CX118" s="18">
        <v>0.15</v>
      </c>
      <c r="CY118" s="18">
        <v>0</v>
      </c>
      <c r="CZ118" s="18">
        <v>0</v>
      </c>
      <c r="DA118" s="18">
        <v>1.2E-2</v>
      </c>
      <c r="DB118" s="18">
        <v>1.4999999999999999E-2</v>
      </c>
      <c r="DC118" s="18">
        <v>2E-3</v>
      </c>
      <c r="DD118" s="18">
        <v>8.9999999999999993E-3</v>
      </c>
      <c r="DE118" s="18"/>
      <c r="DF118" s="18">
        <v>1.6E-2</v>
      </c>
      <c r="DG118" s="18"/>
      <c r="DH118" s="18">
        <v>8.9999999999999993E-3</v>
      </c>
      <c r="DI118" s="18">
        <v>7.0000000000000001E-3</v>
      </c>
      <c r="DJ118" s="18"/>
      <c r="DK118" s="18"/>
      <c r="DL118" s="18">
        <v>0.3</v>
      </c>
      <c r="DM118" s="18">
        <v>0.06</v>
      </c>
      <c r="DN118" s="18"/>
      <c r="DO118" s="18"/>
      <c r="DP118" s="18"/>
      <c r="DQ118" s="18"/>
      <c r="DR118" s="18"/>
      <c r="DS118" s="18"/>
      <c r="DT118" s="18"/>
      <c r="DU118" s="18"/>
      <c r="DV118" s="28"/>
      <c r="DW118" s="28"/>
      <c r="DX118" s="28"/>
      <c r="DY118" s="28"/>
      <c r="DZ118" s="28"/>
      <c r="EA118" s="28"/>
      <c r="EB118" s="28"/>
      <c r="EC118" s="28"/>
      <c r="ED118" s="28"/>
      <c r="EE118" s="28"/>
      <c r="EF118" s="28"/>
      <c r="EG118" s="28"/>
      <c r="EH118" s="28"/>
      <c r="EI118" s="28"/>
      <c r="EJ118" s="18"/>
      <c r="EK118" s="18"/>
      <c r="EL118" s="18">
        <f>IFERROR(CR118/'McDonough &amp; Sun 1995 values'!C$2,)</f>
        <v>2.6666666666666665</v>
      </c>
      <c r="EM118" s="18">
        <f>IFERROR(CH118/'McDonough &amp; Sun 1995 values'!D$2,)</f>
        <v>3</v>
      </c>
      <c r="EN118" s="18">
        <f>IFERROR(CS118/'McDonough &amp; Sun 1995 values'!E$2,)</f>
        <v>4.0909090909090908</v>
      </c>
      <c r="EO118" s="18">
        <f>IFERROR(DL118/'McDonough &amp; Sun 1995 values'!F$2,)</f>
        <v>3.773584905660377</v>
      </c>
      <c r="EP118" s="18">
        <f>IFERROR(DM118/'McDonough &amp; Sun 1995 values'!G$2,)</f>
        <v>2.9556650246305418</v>
      </c>
      <c r="EQ118" s="18">
        <f>IFERROR(BR118/'McDonough &amp; Sun 1995 values'!H$2,)</f>
        <v>2.2208333333333332</v>
      </c>
      <c r="ER118" s="18">
        <f>IFERROR(DI118/'McDonough &amp; Sun 1995 values'!I$2,)</f>
        <v>0.1891891891891892</v>
      </c>
      <c r="ES118" s="18">
        <f>IFERROR(CM118/'McDonough &amp; Sun 1995 values'!J$2,)</f>
        <v>0.45592705167173248</v>
      </c>
      <c r="ET118" s="18">
        <f>IFERROR(CU118/'McDonough &amp; Sun 1995 values'!K$2,)</f>
        <v>1.2962962962962963</v>
      </c>
      <c r="EU118" s="18">
        <f>IFERROR(CV118/'McDonough &amp; Sun 1995 values'!L$2,)</f>
        <v>0.35820895522388058</v>
      </c>
      <c r="EV118" s="18">
        <f>IFERROR(CW118/'McDonough &amp; Sun 1995 values'!M$2,)</f>
        <v>0.19685039370078741</v>
      </c>
      <c r="EW118" s="18">
        <f>IFERROR(CI118/'McDonough &amp; Sun 1995 values'!N$2,)</f>
        <v>0.39195979899497491</v>
      </c>
      <c r="EX118" s="18">
        <f>IFERROR(CX118/'McDonough &amp; Sun 1995 values'!O$2,)</f>
        <v>0.12</v>
      </c>
      <c r="EY118" s="18">
        <f>IFERROR(CY118/'McDonough &amp; Sun 1995 values'!P$2,)</f>
        <v>0</v>
      </c>
      <c r="EZ118" s="18">
        <f>IFERROR(DH118/'McDonough &amp; Sun 1995 values'!Q$2,)</f>
        <v>3.180212014134276E-2</v>
      </c>
      <c r="FA118" s="18">
        <f>IFERROR(CK118/'McDonough &amp; Sun 1995 values'!R$2,)</f>
        <v>2.3809523809523812E-3</v>
      </c>
      <c r="FB118" s="18">
        <f>IFERROR(CZ118/'McDonough &amp; Sun 1995 values'!S$2,)</f>
        <v>0</v>
      </c>
      <c r="FC118" s="18">
        <f>IFERROR(BT118/'McDonough &amp; Sun 1995 values'!T$2,)</f>
        <v>9.9585062240663898E-4</v>
      </c>
      <c r="FD118" s="18">
        <f>IFERROR(DA118/'McDonough &amp; Sun 1995 values'!U$2,)</f>
        <v>2.2058823529411763E-2</v>
      </c>
      <c r="FE118" s="18">
        <f>IFERROR(DN118/'McDonough &amp; Sun 1995 values'!V$2,)</f>
        <v>0</v>
      </c>
      <c r="FF118" s="18">
        <f>IFERROR(DB118/'McDonough &amp; Sun 1995 values'!W$2,)</f>
        <v>2.2255192878338277E-2</v>
      </c>
      <c r="FG118" s="18">
        <f>IFERROR(CJ118/'McDonough &amp; Sun 1995 values'!X$2,)</f>
        <v>1.3953488372093023E-3</v>
      </c>
      <c r="FH118" s="18">
        <f>IFERROR(DC118/'McDonough &amp; Sun 1995 values'!Y$2,)</f>
        <v>1.342281879194631E-2</v>
      </c>
      <c r="FI118" s="18">
        <f>IFERROR(DD118/'McDonough &amp; Sun 1995 values'!Z$2,)</f>
        <v>2.0547945205479451E-2</v>
      </c>
      <c r="FJ118" s="18">
        <f>IFERROR(DE118/'McDonough &amp; Sun 1995 values'!AA$2,)</f>
        <v>0</v>
      </c>
      <c r="FK118" s="18">
        <f>IFERROR(DF118/'McDonough &amp; Sun 1995 values'!AB$2,)</f>
        <v>3.6281179138321996E-2</v>
      </c>
      <c r="FL118" s="18">
        <f>IFERROR(DG118/'McDonough &amp; Sun 1995 values'!AC$2,)</f>
        <v>0</v>
      </c>
      <c r="FN118" s="28">
        <f t="shared" si="299"/>
        <v>1.3308810617473359</v>
      </c>
      <c r="FO118" s="4">
        <f t="shared" si="231"/>
        <v>1.384090909090909</v>
      </c>
      <c r="FP118" s="4">
        <f t="shared" si="232"/>
        <v>8.2767295597484285</v>
      </c>
      <c r="FQ118" s="4">
        <f t="shared" si="233"/>
        <v>1.2767295597484276</v>
      </c>
      <c r="FR118" s="4">
        <f t="shared" si="234"/>
        <v>2.8432098765432103</v>
      </c>
      <c r="FS118" s="4">
        <f t="shared" si="235"/>
        <v>6.8518518518518512</v>
      </c>
      <c r="FT118" s="4">
        <f t="shared" si="236"/>
        <v>1.125</v>
      </c>
      <c r="FU118" s="4">
        <f t="shared" si="237"/>
        <v>0.41495495495495505</v>
      </c>
      <c r="FV118" s="4">
        <f t="shared" si="238"/>
        <v>0</v>
      </c>
      <c r="FW118" s="4">
        <f t="shared" si="239"/>
        <v>7.4867724867724861E-2</v>
      </c>
      <c r="FX118" s="4">
        <f t="shared" si="240"/>
        <v>0</v>
      </c>
      <c r="FY118" s="4">
        <f t="shared" si="241"/>
        <v>2.5502500185654351</v>
      </c>
      <c r="FZ118" s="4">
        <f t="shared" si="242"/>
        <v>0</v>
      </c>
      <c r="GA118" s="4">
        <f t="shared" si="243"/>
        <v>1.9911557788944725</v>
      </c>
      <c r="GB118" s="4">
        <f t="shared" si="244"/>
        <v>0</v>
      </c>
      <c r="GC118" s="4">
        <f t="shared" si="245"/>
        <v>0.88888888888888884</v>
      </c>
      <c r="GD118" s="4">
        <f t="shared" si="246"/>
        <v>1.0840909090909092</v>
      </c>
      <c r="GE118" s="4">
        <f t="shared" si="247"/>
        <v>1.3636363636363635</v>
      </c>
      <c r="GF118" s="4">
        <f t="shared" si="248"/>
        <v>1.8420603786457446</v>
      </c>
      <c r="GG118" s="4">
        <f t="shared" si="249"/>
        <v>8.9727272727272727</v>
      </c>
      <c r="GH118" s="4">
        <f t="shared" si="250"/>
        <v>6.5851851851851846</v>
      </c>
      <c r="GI118" s="4">
        <f t="shared" si="251"/>
        <v>0</v>
      </c>
      <c r="GJ118" s="4">
        <f t="shared" si="252"/>
        <v>58.246913580246918</v>
      </c>
      <c r="GK118" s="4">
        <f t="shared" si="253"/>
        <v>35.729166666666664</v>
      </c>
      <c r="GL118" s="4">
        <f t="shared" si="254"/>
        <v>2.3908730158730163</v>
      </c>
      <c r="GM118" s="4">
        <f t="shared" si="255"/>
        <v>1.2578616352201257</v>
      </c>
      <c r="GN118" s="4">
        <f t="shared" si="256"/>
        <v>0.35171515414676507</v>
      </c>
      <c r="GO118" s="4">
        <f t="shared" si="257"/>
        <v>0.15425531914893617</v>
      </c>
      <c r="GP118" s="4">
        <f t="shared" si="258"/>
        <v>0.75138194444444439</v>
      </c>
      <c r="GQ118" s="27">
        <f t="shared" si="259"/>
        <v>281969.0892089883</v>
      </c>
      <c r="GR118" s="28">
        <f t="shared" si="260"/>
        <v>29.625270160794269</v>
      </c>
      <c r="GS118" s="28">
        <f t="shared" si="261"/>
        <v>952.24082659695864</v>
      </c>
      <c r="GT118" s="28">
        <f t="shared" si="262"/>
        <v>14283.612398954379</v>
      </c>
      <c r="GU118" s="28">
        <f t="shared" si="263"/>
        <v>158.70680443282643</v>
      </c>
      <c r="GV118" s="28">
        <f t="shared" si="264"/>
        <v>31.741360886565285</v>
      </c>
      <c r="GW118" s="28">
        <f t="shared" si="265"/>
        <v>281969.0892089883</v>
      </c>
      <c r="GX118" s="28">
        <f t="shared" si="266"/>
        <v>3.7031587700992836</v>
      </c>
      <c r="GY118" s="28">
        <f t="shared" si="267"/>
        <v>158.70680443282643</v>
      </c>
      <c r="GZ118" s="28">
        <f t="shared" si="268"/>
        <v>444.37905241191402</v>
      </c>
      <c r="HA118" s="28">
        <f t="shared" si="269"/>
        <v>317.41360886565286</v>
      </c>
      <c r="HB118" s="28">
        <f t="shared" si="270"/>
        <v>26.451134072137737</v>
      </c>
      <c r="HC118" s="28">
        <f t="shared" si="271"/>
        <v>4126.3769152534869</v>
      </c>
      <c r="HD118" s="28">
        <f t="shared" si="272"/>
        <v>79.353402216413215</v>
      </c>
      <c r="HE118" s="28">
        <f t="shared" si="273"/>
        <v>0</v>
      </c>
      <c r="HF118" s="28">
        <f t="shared" si="274"/>
        <v>4.7612041329847923</v>
      </c>
      <c r="HG118" s="28">
        <f t="shared" si="275"/>
        <v>13.225567036068869</v>
      </c>
      <c r="HH118" s="28">
        <f t="shared" si="276"/>
        <v>0</v>
      </c>
      <c r="HI118" s="28">
        <f t="shared" si="277"/>
        <v>634.82721773130572</v>
      </c>
      <c r="HJ118" s="28">
        <f t="shared" si="278"/>
        <v>6.3482721773130582</v>
      </c>
      <c r="HK118" s="28">
        <f t="shared" si="279"/>
        <v>0</v>
      </c>
      <c r="HL118" s="28">
        <f t="shared" si="280"/>
        <v>7.9353402216413214</v>
      </c>
      <c r="HM118" s="28">
        <f t="shared" si="281"/>
        <v>3.1741360886565291</v>
      </c>
      <c r="HN118" s="28">
        <f t="shared" si="282"/>
        <v>1.0580453628855095</v>
      </c>
      <c r="HO118" s="28">
        <f t="shared" si="283"/>
        <v>4.7612041329847923</v>
      </c>
      <c r="HP118" s="28">
        <f t="shared" si="284"/>
        <v>0</v>
      </c>
      <c r="HQ118" s="28">
        <f t="shared" si="285"/>
        <v>8.4643629030840764</v>
      </c>
      <c r="HR118" s="28">
        <f t="shared" si="286"/>
        <v>0</v>
      </c>
      <c r="HT118" s="4">
        <f>IFERROR(GR118/'McDonough &amp; Sun 1995 values'!C$2,)</f>
        <v>1410.7271505140127</v>
      </c>
      <c r="HU118" s="4">
        <f>IFERROR(GS118/'McDonough &amp; Sun 1995 values'!D$2,)</f>
        <v>1587.0680443282645</v>
      </c>
      <c r="HV118" s="4">
        <f>IFERROR(GT118/'McDonough &amp; Sun 1995 values'!E$2,)</f>
        <v>2164.1836968112698</v>
      </c>
      <c r="HW118" s="4">
        <f>IFERROR(GU118/'McDonough &amp; Sun 1995 values'!F$2,)</f>
        <v>1996.3120054443575</v>
      </c>
      <c r="HX118" s="4">
        <f>IFERROR(GV118/'McDonough &amp; Sun 1995 values'!G$2,)</f>
        <v>1563.6138367766152</v>
      </c>
      <c r="HY118" s="4">
        <f>IFERROR(GW118/'McDonough &amp; Sun 1995 values'!H$2,)</f>
        <v>1174.8712050374513</v>
      </c>
      <c r="HZ118" s="4">
        <f>IFERROR(GX118/'McDonough &amp; Sun 1995 values'!I$2,)</f>
        <v>100.08537216484551</v>
      </c>
      <c r="IA118" s="4">
        <f>IFERROR(GY118/'McDonough &amp; Sun 1995 values'!J$2,)</f>
        <v>241.19575141766933</v>
      </c>
      <c r="IB118" s="4">
        <f>IFERROR(GZ118/'McDonough &amp; Sun 1995 values'!K$2,)</f>
        <v>685.77014261097838</v>
      </c>
      <c r="IC118" s="4">
        <f>IFERROR(HA118/'McDonough &amp; Sun 1995 values'!L$2,)</f>
        <v>189.50066200934498</v>
      </c>
      <c r="ID118" s="4">
        <f>IFERROR(HB118/'McDonough &amp; Sun 1995 values'!M$2,)</f>
        <v>104.13832311865251</v>
      </c>
      <c r="IE118" s="4">
        <f>IFERROR(HC118/'McDonough &amp; Sun 1995 values'!N$2,)</f>
        <v>207.35562388208479</v>
      </c>
      <c r="IF118" s="4">
        <f>IFERROR(HD118/'McDonough &amp; Sun 1995 values'!O$2,)</f>
        <v>63.482721773130571</v>
      </c>
      <c r="IG118" s="4">
        <f>IFERROR(HE118/'McDonough &amp; Sun 1995 values'!P$2,)</f>
        <v>0</v>
      </c>
      <c r="IH118" s="4">
        <f>IFERROR(HF118/'McDonough &amp; Sun 1995 values'!Q$2,)</f>
        <v>16.824042872737785</v>
      </c>
      <c r="II118" s="4">
        <f>IFERROR(HG118/'McDonough &amp; Sun 1995 values'!R$2,)</f>
        <v>1.2595778129589399</v>
      </c>
      <c r="IJ118" s="4">
        <f>IFERROR(HH118/'McDonough &amp; Sun 1995 values'!S$2,)</f>
        <v>0</v>
      </c>
      <c r="IK118" s="4">
        <f>IFERROR(HI118/'McDonough &amp; Sun 1995 values'!T$2,)</f>
        <v>0.52682756658199648</v>
      </c>
      <c r="IL118" s="4">
        <f>IFERROR(HJ118/'McDonough &amp; Sun 1995 values'!U$2,)</f>
        <v>11.669617973001944</v>
      </c>
      <c r="IM118" s="4">
        <f>IFERROR(HK118/'McDonough &amp; Sun 1995 values'!V$2,)</f>
        <v>0</v>
      </c>
      <c r="IN118" s="4">
        <f>IFERROR(HL118/'McDonough &amp; Sun 1995 values'!W$2,)</f>
        <v>11.773501812524215</v>
      </c>
      <c r="IO118" s="4">
        <f>IFERROR(HM118/'McDonough &amp; Sun 1995 values'!X$2,)</f>
        <v>0.73817118340849519</v>
      </c>
      <c r="IP118" s="4">
        <f>IFERROR(HN118/'McDonough &amp; Sun 1995 values'!Y$2,)</f>
        <v>7.1009755898356346</v>
      </c>
      <c r="IQ118" s="4">
        <f>IFERROR(HO118/'McDonough &amp; Sun 1995 values'!Z$2,)</f>
        <v>10.870329070741535</v>
      </c>
      <c r="IR118" s="4">
        <f>IFERROR(HP118/'McDonough &amp; Sun 1995 values'!AA$2,)</f>
        <v>0</v>
      </c>
      <c r="IS118" s="4">
        <f>IFERROR(HQ118/'McDonough &amp; Sun 1995 values'!AB$2,)</f>
        <v>19.193566673660037</v>
      </c>
      <c r="IT118" s="4">
        <f>IFERROR(HR118/'McDonough &amp; Sun 1995 values'!AC$2,)</f>
        <v>0</v>
      </c>
    </row>
    <row r="119" spans="1:254">
      <c r="A119" s="16" t="s">
        <v>771</v>
      </c>
      <c r="B119" s="16" t="s">
        <v>24</v>
      </c>
      <c r="C119" s="16" t="str">
        <f t="shared" si="144"/>
        <v>saline</v>
      </c>
      <c r="D119" s="16" t="s">
        <v>119</v>
      </c>
      <c r="E119" s="16" t="s">
        <v>1394</v>
      </c>
      <c r="F119" s="16" t="s">
        <v>97</v>
      </c>
      <c r="G119" s="16" t="s">
        <v>595</v>
      </c>
      <c r="H119" s="27">
        <v>118</v>
      </c>
      <c r="I119" s="16" t="s">
        <v>735</v>
      </c>
      <c r="J119" s="16" t="s">
        <v>635</v>
      </c>
      <c r="K119" s="16" t="s">
        <v>761</v>
      </c>
      <c r="L119" s="16" t="s">
        <v>763</v>
      </c>
      <c r="M119" s="16" t="s">
        <v>758</v>
      </c>
      <c r="N119" s="16">
        <v>28</v>
      </c>
      <c r="O119" s="26">
        <v>5.2</v>
      </c>
      <c r="P119" s="26">
        <v>1.2</v>
      </c>
      <c r="Q119" s="26"/>
      <c r="R119" s="26">
        <v>1.4</v>
      </c>
      <c r="S119" s="26">
        <v>9.1999999999999993</v>
      </c>
      <c r="T119" s="26">
        <v>2.1</v>
      </c>
      <c r="U119" s="26"/>
      <c r="V119" s="26">
        <v>6</v>
      </c>
      <c r="W119" s="26">
        <v>8</v>
      </c>
      <c r="X119" s="26">
        <v>43.1</v>
      </c>
      <c r="Y119" s="26"/>
      <c r="Z119" s="26">
        <v>1.9</v>
      </c>
      <c r="AA119" s="26"/>
      <c r="AB119" s="26">
        <v>1.9</v>
      </c>
      <c r="AC119" s="26"/>
      <c r="AD119" s="26">
        <v>25.7</v>
      </c>
      <c r="AE119" s="26"/>
      <c r="AF119" s="26"/>
      <c r="AG119" s="26"/>
      <c r="AH119" s="26"/>
      <c r="AI119" s="26">
        <v>3.9</v>
      </c>
      <c r="AJ119" s="26">
        <f t="shared" si="145"/>
        <v>105.70000000000002</v>
      </c>
      <c r="AK119" s="26">
        <f t="shared" si="288"/>
        <v>5.2051905073182985</v>
      </c>
      <c r="AL119" s="26">
        <f t="shared" si="289"/>
        <v>1.2011978093811457</v>
      </c>
      <c r="AM119" s="26">
        <f t="shared" si="290"/>
        <v>1.4013974442780033</v>
      </c>
      <c r="AN119" s="26">
        <f t="shared" si="291"/>
        <v>9.2091832052554494</v>
      </c>
      <c r="AO119" s="26">
        <f t="shared" si="292"/>
        <v>2.102096166417005</v>
      </c>
      <c r="AP119" s="26">
        <f t="shared" si="293"/>
        <v>6.0059890469057287</v>
      </c>
      <c r="AQ119" s="26">
        <f t="shared" si="294"/>
        <v>1.9018965315201475</v>
      </c>
      <c r="AR119" s="26">
        <f t="shared" si="295"/>
        <v>8.0079853958743055</v>
      </c>
      <c r="AS119" s="26">
        <f t="shared" si="296"/>
        <v>43.143021320272815</v>
      </c>
      <c r="AT119" s="26">
        <f t="shared" si="297"/>
        <v>1.9018965315201475</v>
      </c>
      <c r="AU119" s="26">
        <f t="shared" si="298"/>
        <v>25.725653084246204</v>
      </c>
      <c r="AV119" s="26">
        <f t="shared" si="146"/>
        <v>105.80550704298926</v>
      </c>
      <c r="AW119" s="26">
        <v>10.3</v>
      </c>
      <c r="AX119" s="26">
        <v>28.1</v>
      </c>
      <c r="AY119" s="94"/>
      <c r="AZ119" s="94"/>
      <c r="BA119" s="26">
        <v>0.13</v>
      </c>
      <c r="BB119" s="26"/>
      <c r="BC119" s="26">
        <f t="shared" si="300"/>
        <v>0.86950172503861745</v>
      </c>
      <c r="BD119" s="26">
        <f t="shared" si="301"/>
        <v>0.13049827496138264</v>
      </c>
      <c r="BE119" s="16"/>
      <c r="BF119" s="16"/>
      <c r="BG119" s="16">
        <v>177</v>
      </c>
      <c r="BH119" s="16">
        <v>1.0000000000000001E-17</v>
      </c>
      <c r="BI119" s="16"/>
      <c r="BJ119" s="16"/>
      <c r="BK119" s="18"/>
      <c r="BL119" s="18"/>
      <c r="BM119" s="18"/>
      <c r="BN119" s="18"/>
      <c r="BO119" s="18"/>
      <c r="BP119" s="18"/>
      <c r="BQ119" s="18"/>
      <c r="BR119" s="18">
        <v>264</v>
      </c>
      <c r="BS119" s="18"/>
      <c r="BT119" s="18">
        <v>2.2000000000000002</v>
      </c>
      <c r="BU119" s="18"/>
      <c r="BV119" s="18"/>
      <c r="BW119" s="18"/>
      <c r="BX119" s="18"/>
      <c r="BY119" s="18"/>
      <c r="BZ119" s="18"/>
      <c r="CA119" s="18"/>
      <c r="CB119" s="18"/>
      <c r="CC119" s="18"/>
      <c r="CD119" s="18"/>
      <c r="CE119" s="18"/>
      <c r="CF119" s="18"/>
      <c r="CG119" s="18"/>
      <c r="CH119" s="18">
        <v>0.69</v>
      </c>
      <c r="CI119" s="18">
        <v>4</v>
      </c>
      <c r="CJ119" s="18">
        <v>8.0000000000000002E-3</v>
      </c>
      <c r="CK119" s="18">
        <v>9.0999999999999998E-2</v>
      </c>
      <c r="CL119" s="18"/>
      <c r="CM119" s="18">
        <v>0.28000000000000003</v>
      </c>
      <c r="CN119" s="18"/>
      <c r="CO119" s="18"/>
      <c r="CP119" s="18"/>
      <c r="CQ119" s="18"/>
      <c r="CR119" s="18">
        <v>2.3E-2</v>
      </c>
      <c r="CS119" s="18">
        <v>17.600000000000001</v>
      </c>
      <c r="CT119" s="18"/>
      <c r="CU119" s="18">
        <v>0.8</v>
      </c>
      <c r="CV119" s="18">
        <v>0.85</v>
      </c>
      <c r="CW119" s="18">
        <v>7.6999999999999999E-2</v>
      </c>
      <c r="CX119" s="18">
        <v>0.2</v>
      </c>
      <c r="CY119" s="18">
        <v>0.03</v>
      </c>
      <c r="CZ119" s="18">
        <v>1.4E-2</v>
      </c>
      <c r="DA119" s="18"/>
      <c r="DB119" s="18">
        <v>8.9999999999999993E-3</v>
      </c>
      <c r="DC119" s="18">
        <v>3.0000000000000001E-3</v>
      </c>
      <c r="DD119" s="18">
        <v>1.9E-2</v>
      </c>
      <c r="DE119" s="18"/>
      <c r="DF119" s="18">
        <v>2.1000000000000001E-2</v>
      </c>
      <c r="DG119" s="18">
        <v>6.0000000000000001E-3</v>
      </c>
      <c r="DH119" s="18"/>
      <c r="DI119" s="18">
        <v>8.9999999999999993E-3</v>
      </c>
      <c r="DJ119" s="18"/>
      <c r="DK119" s="18"/>
      <c r="DL119" s="18">
        <v>0.15</v>
      </c>
      <c r="DM119" s="18">
        <v>2.5999999999999999E-2</v>
      </c>
      <c r="DN119" s="18"/>
      <c r="DO119" s="18"/>
      <c r="DP119" s="18"/>
      <c r="DQ119" s="18"/>
      <c r="DR119" s="18"/>
      <c r="DS119" s="18"/>
      <c r="DT119" s="18"/>
      <c r="DU119" s="18"/>
      <c r="DV119" s="28"/>
      <c r="DW119" s="28"/>
      <c r="DX119" s="28"/>
      <c r="DY119" s="28"/>
      <c r="DZ119" s="28"/>
      <c r="EA119" s="28"/>
      <c r="EB119" s="28"/>
      <c r="EC119" s="28"/>
      <c r="ED119" s="28"/>
      <c r="EE119" s="28"/>
      <c r="EF119" s="28"/>
      <c r="EG119" s="28"/>
      <c r="EH119" s="28"/>
      <c r="EI119" s="28"/>
      <c r="EJ119" s="18"/>
      <c r="EK119" s="18"/>
      <c r="EL119" s="18">
        <f>IFERROR(CR119/'McDonough &amp; Sun 1995 values'!C$2,)</f>
        <v>1.0952380952380951</v>
      </c>
      <c r="EM119" s="18">
        <f>IFERROR(CH119/'McDonough &amp; Sun 1995 values'!D$2,)</f>
        <v>1.1499999999999999</v>
      </c>
      <c r="EN119" s="18">
        <f>IFERROR(CS119/'McDonough &amp; Sun 1995 values'!E$2,)</f>
        <v>2.666666666666667</v>
      </c>
      <c r="EO119" s="18">
        <f>IFERROR(DL119/'McDonough &amp; Sun 1995 values'!F$2,)</f>
        <v>1.8867924528301885</v>
      </c>
      <c r="EP119" s="18">
        <f>IFERROR(DM119/'McDonough &amp; Sun 1995 values'!G$2,)</f>
        <v>1.2807881773399015</v>
      </c>
      <c r="EQ119" s="18">
        <f>IFERROR(BR119/'McDonough &amp; Sun 1995 values'!H$2,)</f>
        <v>1.1000000000000001</v>
      </c>
      <c r="ER119" s="18">
        <f>IFERROR(DI119/'McDonough &amp; Sun 1995 values'!I$2,)</f>
        <v>0.24324324324324323</v>
      </c>
      <c r="ES119" s="18">
        <f>IFERROR(CM119/'McDonough &amp; Sun 1995 values'!J$2,)</f>
        <v>0.42553191489361702</v>
      </c>
      <c r="ET119" s="18">
        <f>IFERROR(CU119/'McDonough &amp; Sun 1995 values'!K$2,)</f>
        <v>1.2345679012345678</v>
      </c>
      <c r="EU119" s="18">
        <f>IFERROR(CV119/'McDonough &amp; Sun 1995 values'!L$2,)</f>
        <v>0.5074626865671642</v>
      </c>
      <c r="EV119" s="18">
        <f>IFERROR(CW119/'McDonough &amp; Sun 1995 values'!M$2,)</f>
        <v>0.30314960629921262</v>
      </c>
      <c r="EW119" s="18">
        <f>IFERROR(CI119/'McDonough &amp; Sun 1995 values'!N$2,)</f>
        <v>0.20100502512562815</v>
      </c>
      <c r="EX119" s="18">
        <f>IFERROR(CX119/'McDonough &amp; Sun 1995 values'!O$2,)</f>
        <v>0.16</v>
      </c>
      <c r="EY119" s="18">
        <f>IFERROR(CY119/'McDonough &amp; Sun 1995 values'!P$2,)</f>
        <v>7.389162561576354E-2</v>
      </c>
      <c r="EZ119" s="18">
        <f>IFERROR(DH119/'McDonough &amp; Sun 1995 values'!Q$2,)</f>
        <v>0</v>
      </c>
      <c r="FA119" s="18">
        <f>IFERROR(CK119/'McDonough &amp; Sun 1995 values'!R$2,)</f>
        <v>8.6666666666666663E-3</v>
      </c>
      <c r="FB119" s="18">
        <f>IFERROR(CZ119/'McDonough &amp; Sun 1995 values'!S$2,)</f>
        <v>9.0909090909090912E-2</v>
      </c>
      <c r="FC119" s="18">
        <f>IFERROR(BT119/'McDonough &amp; Sun 1995 values'!T$2,)</f>
        <v>1.8257261410788382E-3</v>
      </c>
      <c r="FD119" s="18">
        <f>IFERROR(DA119/'McDonough &amp; Sun 1995 values'!U$2,)</f>
        <v>0</v>
      </c>
      <c r="FE119" s="18">
        <f>IFERROR(DN119/'McDonough &amp; Sun 1995 values'!V$2,)</f>
        <v>0</v>
      </c>
      <c r="FF119" s="18">
        <f>IFERROR(DB119/'McDonough &amp; Sun 1995 values'!W$2,)</f>
        <v>1.3353115727002965E-2</v>
      </c>
      <c r="FG119" s="18">
        <f>IFERROR(CJ119/'McDonough &amp; Sun 1995 values'!X$2,)</f>
        <v>1.8604651162790699E-3</v>
      </c>
      <c r="FH119" s="18">
        <f>IFERROR(DC119/'McDonough &amp; Sun 1995 values'!Y$2,)</f>
        <v>2.0134228187919465E-2</v>
      </c>
      <c r="FI119" s="18">
        <f>IFERROR(DD119/'McDonough &amp; Sun 1995 values'!Z$2,)</f>
        <v>4.3378995433789952E-2</v>
      </c>
      <c r="FJ119" s="18">
        <f>IFERROR(DE119/'McDonough &amp; Sun 1995 values'!AA$2,)</f>
        <v>0</v>
      </c>
      <c r="FK119" s="18">
        <f>IFERROR(DF119/'McDonough &amp; Sun 1995 values'!AB$2,)</f>
        <v>4.7619047619047623E-2</v>
      </c>
      <c r="FL119" s="18">
        <f>IFERROR(DG119/'McDonough &amp; Sun 1995 values'!AC$2,)</f>
        <v>8.8888888888888878E-2</v>
      </c>
      <c r="FN119" s="28">
        <f t="shared" si="299"/>
        <v>1.1643528884908194</v>
      </c>
      <c r="FO119" s="4">
        <f t="shared" si="231"/>
        <v>2.0820512820512822</v>
      </c>
      <c r="FP119" s="4">
        <f t="shared" si="232"/>
        <v>4.4339622641509431</v>
      </c>
      <c r="FQ119" s="4">
        <f t="shared" si="233"/>
        <v>1.4731494920174164</v>
      </c>
      <c r="FR119" s="4">
        <f t="shared" si="234"/>
        <v>2.9012345679012346</v>
      </c>
      <c r="FS119" s="4">
        <f t="shared" si="235"/>
        <v>5.0754458161865568</v>
      </c>
      <c r="FT119" s="4">
        <f t="shared" si="236"/>
        <v>1.05</v>
      </c>
      <c r="FU119" s="4">
        <f t="shared" si="237"/>
        <v>0.57162162162162156</v>
      </c>
      <c r="FV119" s="4">
        <f t="shared" si="238"/>
        <v>0.1172888888888889</v>
      </c>
      <c r="FW119" s="4">
        <f t="shared" si="239"/>
        <v>0</v>
      </c>
      <c r="FX119" s="4">
        <f t="shared" si="240"/>
        <v>2.4606060606060609</v>
      </c>
      <c r="FY119" s="4">
        <f t="shared" si="241"/>
        <v>0.9126797595552093</v>
      </c>
      <c r="FZ119" s="4">
        <f t="shared" si="242"/>
        <v>0</v>
      </c>
      <c r="GA119" s="4">
        <f t="shared" si="243"/>
        <v>0.66305553742739676</v>
      </c>
      <c r="GB119" s="4">
        <f t="shared" si="244"/>
        <v>1.2303030303030305</v>
      </c>
      <c r="GC119" s="4">
        <f t="shared" si="245"/>
        <v>0.95238095238095233</v>
      </c>
      <c r="GD119" s="4">
        <f t="shared" si="246"/>
        <v>1.4133333333333336</v>
      </c>
      <c r="GE119" s="4">
        <f t="shared" si="247"/>
        <v>2.3188405797101455</v>
      </c>
      <c r="GF119" s="4">
        <f t="shared" si="248"/>
        <v>2.4242424242424243</v>
      </c>
      <c r="GG119" s="4">
        <f t="shared" si="249"/>
        <v>6.2666666666666675</v>
      </c>
      <c r="GH119" s="4">
        <f t="shared" si="250"/>
        <v>4.0724707391374055</v>
      </c>
      <c r="GI119" s="4">
        <f t="shared" si="251"/>
        <v>16.707818930041153</v>
      </c>
      <c r="GJ119" s="4">
        <f t="shared" si="252"/>
        <v>92.455418381344316</v>
      </c>
      <c r="GK119" s="4">
        <f t="shared" si="253"/>
        <v>25.925925925925924</v>
      </c>
      <c r="GL119" s="4">
        <f t="shared" si="254"/>
        <v>4.7469696969696962</v>
      </c>
      <c r="GM119" s="4">
        <f t="shared" si="255"/>
        <v>1.6406890894175554</v>
      </c>
      <c r="GN119" s="4">
        <f t="shared" si="256"/>
        <v>0.34468085106382979</v>
      </c>
      <c r="GO119" s="4">
        <f t="shared" si="257"/>
        <v>0.33224222585924712</v>
      </c>
      <c r="GP119" s="4">
        <f t="shared" si="258"/>
        <v>0.85884615384615393</v>
      </c>
      <c r="GQ119" s="27">
        <f t="shared" si="259"/>
        <v>358146.31435865926</v>
      </c>
      <c r="GR119" s="28">
        <f t="shared" si="260"/>
        <v>31.202141023671071</v>
      </c>
      <c r="GS119" s="28">
        <f t="shared" si="261"/>
        <v>936.06423071013216</v>
      </c>
      <c r="GT119" s="28">
        <f t="shared" si="262"/>
        <v>23876.42095724395</v>
      </c>
      <c r="GU119" s="28">
        <f t="shared" si="263"/>
        <v>203.49222406742004</v>
      </c>
      <c r="GV119" s="28">
        <f t="shared" si="264"/>
        <v>35.271985505019472</v>
      </c>
      <c r="GW119" s="28">
        <f t="shared" si="265"/>
        <v>358146.31435865926</v>
      </c>
      <c r="GX119" s="28">
        <f t="shared" si="266"/>
        <v>12.209533444045201</v>
      </c>
      <c r="GY119" s="28">
        <f t="shared" si="267"/>
        <v>379.85215159251743</v>
      </c>
      <c r="GZ119" s="28">
        <f t="shared" si="268"/>
        <v>1085.2918616929069</v>
      </c>
      <c r="HA119" s="28">
        <f t="shared" si="269"/>
        <v>1153.1226030487135</v>
      </c>
      <c r="HB119" s="28">
        <f t="shared" si="270"/>
        <v>104.45934168794227</v>
      </c>
      <c r="HC119" s="28">
        <f t="shared" si="271"/>
        <v>5426.4593084645348</v>
      </c>
      <c r="HD119" s="28">
        <f t="shared" si="272"/>
        <v>271.32296542322672</v>
      </c>
      <c r="HE119" s="28">
        <f t="shared" si="273"/>
        <v>40.698444813484009</v>
      </c>
      <c r="HF119" s="28">
        <f t="shared" si="274"/>
        <v>0</v>
      </c>
      <c r="HG119" s="28">
        <f t="shared" si="275"/>
        <v>123.45194926756814</v>
      </c>
      <c r="HH119" s="28">
        <f t="shared" si="276"/>
        <v>18.992607579625872</v>
      </c>
      <c r="HI119" s="28">
        <f t="shared" si="277"/>
        <v>2984.5526196554938</v>
      </c>
      <c r="HJ119" s="28">
        <f t="shared" si="278"/>
        <v>0</v>
      </c>
      <c r="HK119" s="28">
        <f t="shared" si="279"/>
        <v>0</v>
      </c>
      <c r="HL119" s="28">
        <f t="shared" si="280"/>
        <v>12.209533444045201</v>
      </c>
      <c r="HM119" s="28">
        <f t="shared" si="281"/>
        <v>10.852918616929069</v>
      </c>
      <c r="HN119" s="28">
        <f t="shared" si="282"/>
        <v>4.0698444813484009</v>
      </c>
      <c r="HO119" s="28">
        <f t="shared" si="283"/>
        <v>25.775681715206535</v>
      </c>
      <c r="HP119" s="28">
        <f t="shared" si="284"/>
        <v>0</v>
      </c>
      <c r="HQ119" s="28">
        <f t="shared" si="285"/>
        <v>28.488911369438807</v>
      </c>
      <c r="HR119" s="28">
        <f t="shared" si="286"/>
        <v>8.1396889626968019</v>
      </c>
      <c r="HT119" s="4">
        <f>IFERROR(GR119/'McDonough &amp; Sun 1995 values'!C$2,)</f>
        <v>1485.8162392224319</v>
      </c>
      <c r="HU119" s="4">
        <f>IFERROR(GS119/'McDonough &amp; Sun 1995 values'!D$2,)</f>
        <v>1560.1070511835537</v>
      </c>
      <c r="HV119" s="4">
        <f>IFERROR(GT119/'McDonough &amp; Sun 1995 values'!E$2,)</f>
        <v>3617.6395389763561</v>
      </c>
      <c r="HW119" s="4">
        <f>IFERROR(GU119/'McDonough &amp; Sun 1995 values'!F$2,)</f>
        <v>2559.6506172002519</v>
      </c>
      <c r="HX119" s="4">
        <f>IFERROR(GV119/'McDonough &amp; Sun 1995 values'!G$2,)</f>
        <v>1737.5362317743584</v>
      </c>
      <c r="HY119" s="4">
        <f>IFERROR(GW119/'McDonough &amp; Sun 1995 values'!H$2,)</f>
        <v>1492.2763098277469</v>
      </c>
      <c r="HZ119" s="4">
        <f>IFERROR(GX119/'McDonough &amp; Sun 1995 values'!I$2,)</f>
        <v>329.98739037960007</v>
      </c>
      <c r="IA119" s="4">
        <f>IFERROR(GY119/'McDonough &amp; Sun 1995 values'!J$2,)</f>
        <v>577.28290515580159</v>
      </c>
      <c r="IB119" s="4">
        <f>IFERROR(GZ119/'McDonough &amp; Sun 1995 values'!K$2,)</f>
        <v>1674.8331198964611</v>
      </c>
      <c r="IC119" s="4">
        <f>IFERROR(HA119/'McDonough &amp; Sun 1995 values'!L$2,)</f>
        <v>688.43140480520208</v>
      </c>
      <c r="ID119" s="4">
        <f>IFERROR(HB119/'McDonough &amp; Sun 1995 values'!M$2,)</f>
        <v>411.25725073993021</v>
      </c>
      <c r="IE119" s="4">
        <f>IFERROR(HC119/'McDonough &amp; Sun 1995 values'!N$2,)</f>
        <v>272.68639741027818</v>
      </c>
      <c r="IF119" s="4">
        <f>IFERROR(HD119/'McDonough &amp; Sun 1995 values'!O$2,)</f>
        <v>217.05837233858136</v>
      </c>
      <c r="IG119" s="4">
        <f>IFERROR(HE119/'McDonough &amp; Sun 1995 values'!P$2,)</f>
        <v>100.24247491005913</v>
      </c>
      <c r="IH119" s="4">
        <f>IFERROR(HF119/'McDonough &amp; Sun 1995 values'!Q$2,)</f>
        <v>0</v>
      </c>
      <c r="II119" s="4">
        <f>IFERROR(HG119/'McDonough &amp; Sun 1995 values'!R$2,)</f>
        <v>11.757328501673156</v>
      </c>
      <c r="IJ119" s="4">
        <f>IFERROR(HH119/'McDonough &amp; Sun 1995 values'!S$2,)</f>
        <v>123.32862064692125</v>
      </c>
      <c r="IK119" s="4">
        <f>IFERROR(HI119/'McDonough &amp; Sun 1995 values'!T$2,)</f>
        <v>2.4768071532410736</v>
      </c>
      <c r="IL119" s="4">
        <f>IFERROR(HJ119/'McDonough &amp; Sun 1995 values'!U$2,)</f>
        <v>0</v>
      </c>
      <c r="IM119" s="4">
        <f>IFERROR(HK119/'McDonough &amp; Sun 1995 values'!V$2,)</f>
        <v>0</v>
      </c>
      <c r="IN119" s="4">
        <f>IFERROR(HL119/'McDonough &amp; Sun 1995 values'!W$2,)</f>
        <v>18.11503478344985</v>
      </c>
      <c r="IO119" s="4">
        <f>IFERROR(HM119/'McDonough &amp; Sun 1995 values'!X$2,)</f>
        <v>2.5239345620765277</v>
      </c>
      <c r="IP119" s="4">
        <f>IFERROR(HN119/'McDonough &amp; Sun 1995 values'!Y$2,)</f>
        <v>27.31439249227115</v>
      </c>
      <c r="IQ119" s="4">
        <f>IFERROR(HO119/'McDonough &amp; Sun 1995 values'!Z$2,)</f>
        <v>58.848588390882497</v>
      </c>
      <c r="IR119" s="4">
        <f>IFERROR(HP119/'McDonough &amp; Sun 1995 values'!AA$2,)</f>
        <v>0</v>
      </c>
      <c r="IS119" s="4">
        <f>IFERROR(HQ119/'McDonough &amp; Sun 1995 values'!AB$2,)</f>
        <v>64.600706053149224</v>
      </c>
      <c r="IT119" s="4">
        <f>IFERROR(HR119/'McDonough &amp; Sun 1995 values'!AC$2,)</f>
        <v>120.5879846325452</v>
      </c>
    </row>
    <row r="120" spans="1:254">
      <c r="A120" s="16" t="s">
        <v>750</v>
      </c>
      <c r="B120" s="16" t="s">
        <v>24</v>
      </c>
      <c r="C120" s="16" t="str">
        <f t="shared" si="144"/>
        <v>saline</v>
      </c>
      <c r="D120" s="16" t="s">
        <v>1716</v>
      </c>
      <c r="E120" s="16" t="s">
        <v>1394</v>
      </c>
      <c r="F120" s="16" t="s">
        <v>142</v>
      </c>
      <c r="G120" s="16" t="s">
        <v>595</v>
      </c>
      <c r="H120" s="27">
        <v>90.4</v>
      </c>
      <c r="I120" s="16" t="s">
        <v>736</v>
      </c>
      <c r="J120" s="16">
        <v>0</v>
      </c>
      <c r="K120" s="16" t="s">
        <v>751</v>
      </c>
      <c r="L120" s="16" t="s">
        <v>145</v>
      </c>
      <c r="M120" s="16" t="s">
        <v>146</v>
      </c>
      <c r="N120" s="16">
        <v>15</v>
      </c>
      <c r="O120" s="26">
        <v>5.0999999999999996</v>
      </c>
      <c r="P120" s="26">
        <v>1.2</v>
      </c>
      <c r="Q120" s="26"/>
      <c r="R120" s="26">
        <v>0.5</v>
      </c>
      <c r="S120" s="26">
        <v>14.5</v>
      </c>
      <c r="T120" s="26">
        <v>1.1000000000000001</v>
      </c>
      <c r="U120" s="26"/>
      <c r="V120" s="26">
        <v>11.1</v>
      </c>
      <c r="W120" s="26">
        <v>4.5999999999999996</v>
      </c>
      <c r="X120" s="26">
        <v>28.8</v>
      </c>
      <c r="Y120" s="26"/>
      <c r="Z120" s="26">
        <v>0.4</v>
      </c>
      <c r="AA120" s="26">
        <v>1.1000000000000001</v>
      </c>
      <c r="AB120" s="26">
        <v>1.6</v>
      </c>
      <c r="AC120" s="26"/>
      <c r="AD120" s="26">
        <v>38.5</v>
      </c>
      <c r="AE120" s="26">
        <v>1.2</v>
      </c>
      <c r="AF120" s="26"/>
      <c r="AG120" s="26"/>
      <c r="AH120" s="26"/>
      <c r="AI120" s="26">
        <v>4.2</v>
      </c>
      <c r="AJ120" s="26">
        <f t="shared" si="145"/>
        <v>107.4</v>
      </c>
      <c r="AK120" s="26">
        <f t="shared" si="288"/>
        <v>5.1665604558586926</v>
      </c>
      <c r="AL120" s="26">
        <f t="shared" si="289"/>
        <v>1.2156612837314571</v>
      </c>
      <c r="AM120" s="26">
        <f t="shared" si="290"/>
        <v>0.50652553488810714</v>
      </c>
      <c r="AN120" s="26">
        <f t="shared" si="291"/>
        <v>14.689240511755106</v>
      </c>
      <c r="AO120" s="26">
        <f t="shared" si="292"/>
        <v>1.1143561767538357</v>
      </c>
      <c r="AP120" s="26">
        <f t="shared" si="293"/>
        <v>11.244866874515976</v>
      </c>
      <c r="AQ120" s="26">
        <f t="shared" si="294"/>
        <v>1.6208817116419429</v>
      </c>
      <c r="AR120" s="26">
        <f t="shared" si="295"/>
        <v>4.6600349209705847</v>
      </c>
      <c r="AS120" s="26">
        <f t="shared" si="296"/>
        <v>29.175870809554972</v>
      </c>
      <c r="AT120" s="26">
        <f t="shared" si="297"/>
        <v>0.40522042791048574</v>
      </c>
      <c r="AU120" s="26">
        <f t="shared" si="298"/>
        <v>39.002466186384247</v>
      </c>
      <c r="AV120" s="26">
        <f t="shared" si="146"/>
        <v>108.80168489396542</v>
      </c>
      <c r="AY120" s="16">
        <v>30</v>
      </c>
      <c r="AZ120" s="16">
        <v>125</v>
      </c>
      <c r="BA120" s="26">
        <v>0.09</v>
      </c>
      <c r="BB120" s="53"/>
      <c r="BC120" s="26">
        <f t="shared" ref="BC120:BC129" si="302">(AZ120/18.02)/((AZ120/18.02)+(AY120/44.01))</f>
        <v>0.91052409444127214</v>
      </c>
      <c r="BD120" s="26">
        <f t="shared" ref="BD120:BD129" si="303">(AY120/44.01)/((AZ120/18.02)+(AY120/44.01))</f>
        <v>8.9475905558727878E-2</v>
      </c>
      <c r="BE120" s="16"/>
      <c r="BF120" s="16"/>
      <c r="BG120" s="16"/>
      <c r="BH120" s="16"/>
      <c r="BI120" s="16"/>
      <c r="BJ120" s="16"/>
      <c r="BK120" s="18"/>
      <c r="BL120" s="18"/>
      <c r="BM120" s="18"/>
      <c r="BN120" s="18"/>
      <c r="BO120" s="18"/>
      <c r="BP120" s="18"/>
      <c r="BQ120" s="18"/>
      <c r="BR120" s="18">
        <v>0</v>
      </c>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28"/>
      <c r="DW120" s="28"/>
      <c r="DX120" s="28"/>
      <c r="DY120" s="28"/>
      <c r="DZ120" s="28"/>
      <c r="EA120" s="28"/>
      <c r="EB120" s="28"/>
      <c r="EC120" s="28"/>
      <c r="ED120" s="28"/>
      <c r="EE120" s="28"/>
      <c r="EF120" s="28"/>
      <c r="EG120" s="28"/>
      <c r="EH120" s="28"/>
      <c r="EI120" s="28"/>
      <c r="EJ120" s="18"/>
      <c r="EK120" s="18"/>
      <c r="EL120" s="18">
        <f>IFERROR(CR120/'McDonough &amp; Sun 1995 values'!C$2,)</f>
        <v>0</v>
      </c>
      <c r="EM120" s="18">
        <f>IFERROR(CH120/'McDonough &amp; Sun 1995 values'!D$2,)</f>
        <v>0</v>
      </c>
      <c r="EN120" s="18">
        <f>IFERROR(CS120/'McDonough &amp; Sun 1995 values'!E$2,)</f>
        <v>0</v>
      </c>
      <c r="EO120" s="18">
        <f>IFERROR(DL120/'McDonough &amp; Sun 1995 values'!F$2,)</f>
        <v>0</v>
      </c>
      <c r="EP120" s="18">
        <f>IFERROR(DM120/'McDonough &amp; Sun 1995 values'!G$2,)</f>
        <v>0</v>
      </c>
      <c r="EQ120" s="18">
        <f>IFERROR(BR120/'McDonough &amp; Sun 1995 values'!H$2,)</f>
        <v>0</v>
      </c>
      <c r="ER120" s="18">
        <f>IFERROR(DI120/'McDonough &amp; Sun 1995 values'!I$2,)</f>
        <v>0</v>
      </c>
      <c r="ES120" s="18">
        <f>IFERROR(CM120/'McDonough &amp; Sun 1995 values'!J$2,)</f>
        <v>0</v>
      </c>
      <c r="ET120" s="18">
        <f>IFERROR(CU120/'McDonough &amp; Sun 1995 values'!K$2,)</f>
        <v>0</v>
      </c>
      <c r="EU120" s="18">
        <f>IFERROR(CV120/'McDonough &amp; Sun 1995 values'!L$2,)</f>
        <v>0</v>
      </c>
      <c r="EV120" s="18">
        <f>IFERROR(CW120/'McDonough &amp; Sun 1995 values'!M$2,)</f>
        <v>0</v>
      </c>
      <c r="EW120" s="18">
        <f>IFERROR(CI120/'McDonough &amp; Sun 1995 values'!N$2,)</f>
        <v>0</v>
      </c>
      <c r="EX120" s="18">
        <f>IFERROR(CX120/'McDonough &amp; Sun 1995 values'!O$2,)</f>
        <v>0</v>
      </c>
      <c r="EY120" s="18">
        <f>IFERROR(CY120/'McDonough &amp; Sun 1995 values'!P$2,)</f>
        <v>0</v>
      </c>
      <c r="EZ120" s="18">
        <f>IFERROR(DH120/'McDonough &amp; Sun 1995 values'!Q$2,)</f>
        <v>0</v>
      </c>
      <c r="FA120" s="18">
        <f>IFERROR(CK120/'McDonough &amp; Sun 1995 values'!R$2,)</f>
        <v>0</v>
      </c>
      <c r="FB120" s="18">
        <f>IFERROR(CZ120/'McDonough &amp; Sun 1995 values'!S$2,)</f>
        <v>0</v>
      </c>
      <c r="FC120" s="18">
        <f>IFERROR(BT120/'McDonough &amp; Sun 1995 values'!T$2,)</f>
        <v>0</v>
      </c>
      <c r="FD120" s="18">
        <f>IFERROR(DA120/'McDonough &amp; Sun 1995 values'!U$2,)</f>
        <v>0</v>
      </c>
      <c r="FE120" s="18">
        <f>IFERROR(DN120/'McDonough &amp; Sun 1995 values'!V$2,)</f>
        <v>0</v>
      </c>
      <c r="FF120" s="18">
        <f>IFERROR(DB120/'McDonough &amp; Sun 1995 values'!W$2,)</f>
        <v>0</v>
      </c>
      <c r="FG120" s="18">
        <f>IFERROR(CJ120/'McDonough &amp; Sun 1995 values'!X$2,)</f>
        <v>0</v>
      </c>
      <c r="FH120" s="18">
        <f>IFERROR(DC120/'McDonough &amp; Sun 1995 values'!Y$2,)</f>
        <v>0</v>
      </c>
      <c r="FI120" s="18">
        <f>IFERROR(DD120/'McDonough &amp; Sun 1995 values'!Z$2,)</f>
        <v>0</v>
      </c>
      <c r="FJ120" s="18">
        <f>IFERROR(DE120/'McDonough &amp; Sun 1995 values'!AA$2,)</f>
        <v>0</v>
      </c>
      <c r="FK120" s="18">
        <f>IFERROR(DF120/'McDonough &amp; Sun 1995 values'!AB$2,)</f>
        <v>0</v>
      </c>
      <c r="FL120" s="18">
        <f>IFERROR(DG120/'McDonough &amp; Sun 1995 values'!AC$2,)</f>
        <v>0</v>
      </c>
      <c r="FN120" s="28">
        <f t="shared" si="299"/>
        <v>0</v>
      </c>
      <c r="FO120" s="4">
        <f t="shared" si="231"/>
        <v>0</v>
      </c>
      <c r="FP120" s="4">
        <f t="shared" si="232"/>
        <v>0</v>
      </c>
      <c r="FQ120" s="4">
        <f t="shared" si="233"/>
        <v>0</v>
      </c>
      <c r="FR120" s="4">
        <f t="shared" si="234"/>
        <v>0</v>
      </c>
      <c r="FS120" s="4">
        <f t="shared" si="235"/>
        <v>0</v>
      </c>
      <c r="FT120" s="4">
        <f t="shared" si="236"/>
        <v>0</v>
      </c>
      <c r="FU120" s="4">
        <f t="shared" si="237"/>
        <v>0</v>
      </c>
      <c r="FV120" s="4">
        <f t="shared" si="238"/>
        <v>0</v>
      </c>
      <c r="FW120" s="4">
        <f t="shared" si="239"/>
        <v>0</v>
      </c>
      <c r="FX120" s="4">
        <f t="shared" si="240"/>
        <v>0</v>
      </c>
      <c r="FY120" s="4">
        <f t="shared" si="241"/>
        <v>0</v>
      </c>
      <c r="FZ120" s="4">
        <f t="shared" si="242"/>
        <v>0</v>
      </c>
      <c r="GA120" s="4">
        <f t="shared" si="243"/>
        <v>0</v>
      </c>
      <c r="GB120" s="4">
        <f t="shared" si="244"/>
        <v>0</v>
      </c>
      <c r="GC120" s="4">
        <f t="shared" si="245"/>
        <v>0</v>
      </c>
      <c r="GD120" s="4">
        <f t="shared" si="246"/>
        <v>0</v>
      </c>
      <c r="GE120" s="4">
        <f t="shared" si="247"/>
        <v>0</v>
      </c>
      <c r="GF120" s="4">
        <f t="shared" si="248"/>
        <v>0</v>
      </c>
      <c r="GG120" s="4">
        <f t="shared" si="249"/>
        <v>0</v>
      </c>
      <c r="GH120" s="4">
        <f t="shared" si="250"/>
        <v>0</v>
      </c>
      <c r="GI120" s="4">
        <f t="shared" si="251"/>
        <v>0</v>
      </c>
      <c r="GJ120" s="4">
        <f t="shared" si="252"/>
        <v>0</v>
      </c>
      <c r="GK120" s="4">
        <f t="shared" si="253"/>
        <v>0</v>
      </c>
      <c r="GL120" s="4">
        <f t="shared" si="254"/>
        <v>0</v>
      </c>
      <c r="GM120" s="4">
        <f t="shared" si="255"/>
        <v>0</v>
      </c>
      <c r="GN120" s="4">
        <f t="shared" si="256"/>
        <v>0</v>
      </c>
      <c r="GO120" s="4">
        <f t="shared" si="257"/>
        <v>0</v>
      </c>
      <c r="GP120" s="4">
        <f t="shared" si="258"/>
        <v>0</v>
      </c>
      <c r="GQ120" s="27">
        <f t="shared" si="259"/>
        <v>242199.78756416938</v>
      </c>
      <c r="GR120" s="28" t="str">
        <f t="shared" si="260"/>
        <v/>
      </c>
      <c r="GS120" s="28" t="str">
        <f t="shared" si="261"/>
        <v/>
      </c>
      <c r="GT120" s="28" t="str">
        <f t="shared" si="262"/>
        <v/>
      </c>
      <c r="GU120" s="28" t="str">
        <f t="shared" si="263"/>
        <v/>
      </c>
      <c r="GV120" s="28" t="str">
        <f t="shared" si="264"/>
        <v/>
      </c>
      <c r="GW120" s="28" t="str">
        <f t="shared" si="265"/>
        <v/>
      </c>
      <c r="GX120" s="28" t="str">
        <f t="shared" si="266"/>
        <v/>
      </c>
      <c r="GY120" s="28" t="str">
        <f t="shared" si="267"/>
        <v/>
      </c>
      <c r="GZ120" s="28" t="str">
        <f t="shared" si="268"/>
        <v/>
      </c>
      <c r="HA120" s="28" t="str">
        <f t="shared" si="269"/>
        <v/>
      </c>
      <c r="HB120" s="28" t="str">
        <f t="shared" si="270"/>
        <v/>
      </c>
      <c r="HC120" s="28" t="str">
        <f t="shared" si="271"/>
        <v/>
      </c>
      <c r="HD120" s="28" t="str">
        <f t="shared" si="272"/>
        <v/>
      </c>
      <c r="HE120" s="28" t="str">
        <f t="shared" si="273"/>
        <v/>
      </c>
      <c r="HF120" s="28" t="str">
        <f t="shared" si="274"/>
        <v/>
      </c>
      <c r="HG120" s="28" t="str">
        <f t="shared" si="275"/>
        <v/>
      </c>
      <c r="HH120" s="28" t="str">
        <f t="shared" si="276"/>
        <v/>
      </c>
      <c r="HI120" s="28" t="str">
        <f t="shared" si="277"/>
        <v/>
      </c>
      <c r="HJ120" s="28" t="str">
        <f t="shared" si="278"/>
        <v/>
      </c>
      <c r="HK120" s="28" t="str">
        <f t="shared" si="279"/>
        <v/>
      </c>
      <c r="HL120" s="28" t="str">
        <f t="shared" si="280"/>
        <v/>
      </c>
      <c r="HM120" s="28" t="str">
        <f t="shared" si="281"/>
        <v/>
      </c>
      <c r="HN120" s="28" t="str">
        <f t="shared" si="282"/>
        <v/>
      </c>
      <c r="HO120" s="28" t="str">
        <f t="shared" si="283"/>
        <v/>
      </c>
      <c r="HP120" s="28" t="str">
        <f t="shared" si="284"/>
        <v/>
      </c>
      <c r="HQ120" s="28" t="str">
        <f t="shared" si="285"/>
        <v/>
      </c>
      <c r="HR120" s="28" t="str">
        <f t="shared" si="286"/>
        <v/>
      </c>
      <c r="HT120" s="4">
        <f>IFERROR(GR120/'McDonough &amp; Sun 1995 values'!C$2,)</f>
        <v>0</v>
      </c>
      <c r="HU120" s="4">
        <f>IFERROR(GS120/'McDonough &amp; Sun 1995 values'!D$2,)</f>
        <v>0</v>
      </c>
      <c r="HV120" s="4">
        <f>IFERROR(GT120/'McDonough &amp; Sun 1995 values'!E$2,)</f>
        <v>0</v>
      </c>
      <c r="HW120" s="4">
        <f>IFERROR(GU120/'McDonough &amp; Sun 1995 values'!F$2,)</f>
        <v>0</v>
      </c>
      <c r="HX120" s="4">
        <f>IFERROR(GV120/'McDonough &amp; Sun 1995 values'!G$2,)</f>
        <v>0</v>
      </c>
      <c r="HY120" s="4">
        <f>IFERROR(GW120/'McDonough &amp; Sun 1995 values'!H$2,)</f>
        <v>0</v>
      </c>
      <c r="HZ120" s="4">
        <f>IFERROR(GX120/'McDonough &amp; Sun 1995 values'!I$2,)</f>
        <v>0</v>
      </c>
      <c r="IA120" s="4">
        <f>IFERROR(GY120/'McDonough &amp; Sun 1995 values'!J$2,)</f>
        <v>0</v>
      </c>
      <c r="IB120" s="4">
        <f>IFERROR(GZ120/'McDonough &amp; Sun 1995 values'!K$2,)</f>
        <v>0</v>
      </c>
      <c r="IC120" s="4">
        <f>IFERROR(HA120/'McDonough &amp; Sun 1995 values'!L$2,)</f>
        <v>0</v>
      </c>
      <c r="ID120" s="4">
        <f>IFERROR(HB120/'McDonough &amp; Sun 1995 values'!M$2,)</f>
        <v>0</v>
      </c>
      <c r="IE120" s="4">
        <f>IFERROR(HC120/'McDonough &amp; Sun 1995 values'!N$2,)</f>
        <v>0</v>
      </c>
      <c r="IF120" s="4">
        <f>IFERROR(HD120/'McDonough &amp; Sun 1995 values'!O$2,)</f>
        <v>0</v>
      </c>
      <c r="IG120" s="4">
        <f>IFERROR(HE120/'McDonough &amp; Sun 1995 values'!P$2,)</f>
        <v>0</v>
      </c>
      <c r="IH120" s="4">
        <f>IFERROR(HF120/'McDonough &amp; Sun 1995 values'!Q$2,)</f>
        <v>0</v>
      </c>
      <c r="II120" s="4">
        <f>IFERROR(HG120/'McDonough &amp; Sun 1995 values'!R$2,)</f>
        <v>0</v>
      </c>
      <c r="IJ120" s="4">
        <f>IFERROR(HH120/'McDonough &amp; Sun 1995 values'!S$2,)</f>
        <v>0</v>
      </c>
      <c r="IK120" s="4">
        <f>IFERROR(HI120/'McDonough &amp; Sun 1995 values'!T$2,)</f>
        <v>0</v>
      </c>
      <c r="IL120" s="4">
        <f>IFERROR(HJ120/'McDonough &amp; Sun 1995 values'!U$2,)</f>
        <v>0</v>
      </c>
      <c r="IM120" s="4">
        <f>IFERROR(HK120/'McDonough &amp; Sun 1995 values'!V$2,)</f>
        <v>0</v>
      </c>
      <c r="IN120" s="4">
        <f>IFERROR(HL120/'McDonough &amp; Sun 1995 values'!W$2,)</f>
        <v>0</v>
      </c>
      <c r="IO120" s="4">
        <f>IFERROR(HM120/'McDonough &amp; Sun 1995 values'!X$2,)</f>
        <v>0</v>
      </c>
      <c r="IP120" s="4">
        <f>IFERROR(HN120/'McDonough &amp; Sun 1995 values'!Y$2,)</f>
        <v>0</v>
      </c>
      <c r="IQ120" s="4">
        <f>IFERROR(HO120/'McDonough &amp; Sun 1995 values'!Z$2,)</f>
        <v>0</v>
      </c>
      <c r="IR120" s="4">
        <f>IFERROR(HP120/'McDonough &amp; Sun 1995 values'!AA$2,)</f>
        <v>0</v>
      </c>
      <c r="IS120" s="4">
        <f>IFERROR(HQ120/'McDonough &amp; Sun 1995 values'!AB$2,)</f>
        <v>0</v>
      </c>
      <c r="IT120" s="4">
        <f>IFERROR(HR120/'McDonough &amp; Sun 1995 values'!AC$2,)</f>
        <v>0</v>
      </c>
    </row>
    <row r="121" spans="1:254">
      <c r="A121" s="16" t="s">
        <v>750</v>
      </c>
      <c r="B121" s="16" t="s">
        <v>24</v>
      </c>
      <c r="C121" s="16" t="str">
        <f t="shared" si="144"/>
        <v>saline</v>
      </c>
      <c r="D121" s="16" t="s">
        <v>1716</v>
      </c>
      <c r="E121" s="16" t="s">
        <v>1394</v>
      </c>
      <c r="F121" s="16" t="s">
        <v>142</v>
      </c>
      <c r="G121" s="16" t="s">
        <v>595</v>
      </c>
      <c r="H121" s="27">
        <v>90.4</v>
      </c>
      <c r="I121" s="16" t="s">
        <v>736</v>
      </c>
      <c r="J121" s="16">
        <v>0</v>
      </c>
      <c r="K121" s="16" t="s">
        <v>751</v>
      </c>
      <c r="L121" s="16" t="s">
        <v>145</v>
      </c>
      <c r="M121" s="16" t="s">
        <v>147</v>
      </c>
      <c r="N121" s="16">
        <v>17</v>
      </c>
      <c r="O121" s="26">
        <v>6.4</v>
      </c>
      <c r="P121" s="26">
        <v>0.6</v>
      </c>
      <c r="Q121" s="26"/>
      <c r="R121" s="26">
        <v>0.7</v>
      </c>
      <c r="S121" s="26">
        <v>19.7</v>
      </c>
      <c r="T121" s="26">
        <v>0.5</v>
      </c>
      <c r="U121" s="26"/>
      <c r="V121" s="26">
        <v>5.0999999999999996</v>
      </c>
      <c r="W121" s="26">
        <v>1.9</v>
      </c>
      <c r="X121" s="26">
        <v>31.9</v>
      </c>
      <c r="Y121" s="26"/>
      <c r="Z121" s="26">
        <v>1.2</v>
      </c>
      <c r="AA121" s="26">
        <v>0.2</v>
      </c>
      <c r="AB121" s="26">
        <v>0.2</v>
      </c>
      <c r="AC121" s="26"/>
      <c r="AD121" s="26">
        <v>40.6</v>
      </c>
      <c r="AE121" s="26">
        <v>0.2</v>
      </c>
      <c r="AF121" s="26"/>
      <c r="AG121" s="26"/>
      <c r="AH121" s="26"/>
      <c r="AI121" s="26">
        <v>3.9</v>
      </c>
      <c r="AJ121" s="26">
        <f t="shared" si="145"/>
        <v>108.80000000000001</v>
      </c>
      <c r="AK121" s="26">
        <f t="shared" si="288"/>
        <v>6.4232650842543926</v>
      </c>
      <c r="AL121" s="26">
        <f t="shared" si="289"/>
        <v>0.6021811016488493</v>
      </c>
      <c r="AM121" s="26">
        <f t="shared" si="290"/>
        <v>0.70254461859032413</v>
      </c>
      <c r="AN121" s="26">
        <f t="shared" si="291"/>
        <v>19.771612837470549</v>
      </c>
      <c r="AO121" s="26">
        <f t="shared" si="292"/>
        <v>0.50181758470737448</v>
      </c>
      <c r="AP121" s="26">
        <f t="shared" si="293"/>
        <v>5.118539364015219</v>
      </c>
      <c r="AQ121" s="26">
        <f t="shared" si="294"/>
        <v>0.20072703388294977</v>
      </c>
      <c r="AR121" s="26">
        <f t="shared" si="295"/>
        <v>1.9069068218880227</v>
      </c>
      <c r="AS121" s="26">
        <f t="shared" si="296"/>
        <v>32.015961904330489</v>
      </c>
      <c r="AT121" s="26">
        <f t="shared" si="297"/>
        <v>1.2043622032976986</v>
      </c>
      <c r="AU121" s="26">
        <f t="shared" si="298"/>
        <v>40.747587878238804</v>
      </c>
      <c r="AV121" s="26">
        <f t="shared" si="146"/>
        <v>109.19550643232468</v>
      </c>
      <c r="AY121" s="16">
        <v>0</v>
      </c>
      <c r="AZ121" s="16">
        <v>140</v>
      </c>
      <c r="BA121" s="26">
        <v>0</v>
      </c>
      <c r="BB121" s="53"/>
      <c r="BC121" s="26">
        <f t="shared" si="302"/>
        <v>1</v>
      </c>
      <c r="BD121" s="26">
        <f t="shared" si="303"/>
        <v>0</v>
      </c>
      <c r="BE121" s="16"/>
      <c r="BF121" s="16"/>
      <c r="BG121" s="16"/>
      <c r="BH121" s="16"/>
      <c r="BI121" s="16"/>
      <c r="BJ121" s="16"/>
      <c r="BK121" s="18"/>
      <c r="BL121" s="18"/>
      <c r="BM121" s="18"/>
      <c r="BN121" s="18"/>
      <c r="BO121" s="18"/>
      <c r="BP121" s="18"/>
      <c r="BQ121" s="18"/>
      <c r="BR121" s="18">
        <v>0</v>
      </c>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28"/>
      <c r="DW121" s="28"/>
      <c r="DX121" s="28"/>
      <c r="DY121" s="28"/>
      <c r="DZ121" s="28"/>
      <c r="EA121" s="28"/>
      <c r="EB121" s="28"/>
      <c r="EC121" s="28"/>
      <c r="ED121" s="28"/>
      <c r="EE121" s="28"/>
      <c r="EF121" s="28"/>
      <c r="EG121" s="28"/>
      <c r="EH121" s="28"/>
      <c r="EI121" s="28"/>
      <c r="EJ121" s="18"/>
      <c r="EK121" s="18"/>
      <c r="EL121" s="18">
        <f>IFERROR(CR121/'McDonough &amp; Sun 1995 values'!C$2,)</f>
        <v>0</v>
      </c>
      <c r="EM121" s="18">
        <f>IFERROR(CH121/'McDonough &amp; Sun 1995 values'!D$2,)</f>
        <v>0</v>
      </c>
      <c r="EN121" s="18">
        <f>IFERROR(CS121/'McDonough &amp; Sun 1995 values'!E$2,)</f>
        <v>0</v>
      </c>
      <c r="EO121" s="18">
        <f>IFERROR(DL121/'McDonough &amp; Sun 1995 values'!F$2,)</f>
        <v>0</v>
      </c>
      <c r="EP121" s="18">
        <f>IFERROR(DM121/'McDonough &amp; Sun 1995 values'!G$2,)</f>
        <v>0</v>
      </c>
      <c r="EQ121" s="18">
        <f>IFERROR(BR121/'McDonough &amp; Sun 1995 values'!H$2,)</f>
        <v>0</v>
      </c>
      <c r="ER121" s="18">
        <f>IFERROR(DI121/'McDonough &amp; Sun 1995 values'!I$2,)</f>
        <v>0</v>
      </c>
      <c r="ES121" s="18">
        <f>IFERROR(CM121/'McDonough &amp; Sun 1995 values'!J$2,)</f>
        <v>0</v>
      </c>
      <c r="ET121" s="18">
        <f>IFERROR(CU121/'McDonough &amp; Sun 1995 values'!K$2,)</f>
        <v>0</v>
      </c>
      <c r="EU121" s="18">
        <f>IFERROR(CV121/'McDonough &amp; Sun 1995 values'!L$2,)</f>
        <v>0</v>
      </c>
      <c r="EV121" s="18">
        <f>IFERROR(CW121/'McDonough &amp; Sun 1995 values'!M$2,)</f>
        <v>0</v>
      </c>
      <c r="EW121" s="18">
        <f>IFERROR(CI121/'McDonough &amp; Sun 1995 values'!N$2,)</f>
        <v>0</v>
      </c>
      <c r="EX121" s="18">
        <f>IFERROR(CX121/'McDonough &amp; Sun 1995 values'!O$2,)</f>
        <v>0</v>
      </c>
      <c r="EY121" s="18">
        <f>IFERROR(CY121/'McDonough &amp; Sun 1995 values'!P$2,)</f>
        <v>0</v>
      </c>
      <c r="EZ121" s="18">
        <f>IFERROR(DH121/'McDonough &amp; Sun 1995 values'!Q$2,)</f>
        <v>0</v>
      </c>
      <c r="FA121" s="18">
        <f>IFERROR(CK121/'McDonough &amp; Sun 1995 values'!R$2,)</f>
        <v>0</v>
      </c>
      <c r="FB121" s="18">
        <f>IFERROR(CZ121/'McDonough &amp; Sun 1995 values'!S$2,)</f>
        <v>0</v>
      </c>
      <c r="FC121" s="18">
        <f>IFERROR(BT121/'McDonough &amp; Sun 1995 values'!T$2,)</f>
        <v>0</v>
      </c>
      <c r="FD121" s="18">
        <f>IFERROR(DA121/'McDonough &amp; Sun 1995 values'!U$2,)</f>
        <v>0</v>
      </c>
      <c r="FE121" s="18">
        <f>IFERROR(DN121/'McDonough &amp; Sun 1995 values'!V$2,)</f>
        <v>0</v>
      </c>
      <c r="FF121" s="18">
        <f>IFERROR(DB121/'McDonough &amp; Sun 1995 values'!W$2,)</f>
        <v>0</v>
      </c>
      <c r="FG121" s="18">
        <f>IFERROR(CJ121/'McDonough &amp; Sun 1995 values'!X$2,)</f>
        <v>0</v>
      </c>
      <c r="FH121" s="18">
        <f>IFERROR(DC121/'McDonough &amp; Sun 1995 values'!Y$2,)</f>
        <v>0</v>
      </c>
      <c r="FI121" s="18">
        <f>IFERROR(DD121/'McDonough &amp; Sun 1995 values'!Z$2,)</f>
        <v>0</v>
      </c>
      <c r="FJ121" s="18">
        <f>IFERROR(DE121/'McDonough &amp; Sun 1995 values'!AA$2,)</f>
        <v>0</v>
      </c>
      <c r="FK121" s="18">
        <f>IFERROR(DF121/'McDonough &amp; Sun 1995 values'!AB$2,)</f>
        <v>0</v>
      </c>
      <c r="FL121" s="18">
        <f>IFERROR(DG121/'McDonough &amp; Sun 1995 values'!AC$2,)</f>
        <v>0</v>
      </c>
      <c r="FN121" s="28">
        <f t="shared" si="299"/>
        <v>0</v>
      </c>
      <c r="FO121" s="4">
        <f t="shared" si="231"/>
        <v>0</v>
      </c>
      <c r="FP121" s="4">
        <f t="shared" si="232"/>
        <v>0</v>
      </c>
      <c r="FQ121" s="4">
        <f t="shared" si="233"/>
        <v>0</v>
      </c>
      <c r="FR121" s="4">
        <f t="shared" si="234"/>
        <v>0</v>
      </c>
      <c r="FS121" s="4">
        <f t="shared" si="235"/>
        <v>0</v>
      </c>
      <c r="FT121" s="4">
        <f t="shared" si="236"/>
        <v>0</v>
      </c>
      <c r="FU121" s="4">
        <f t="shared" si="237"/>
        <v>0</v>
      </c>
      <c r="FV121" s="4">
        <f t="shared" si="238"/>
        <v>0</v>
      </c>
      <c r="FW121" s="4">
        <f t="shared" si="239"/>
        <v>0</v>
      </c>
      <c r="FX121" s="4">
        <f t="shared" si="240"/>
        <v>0</v>
      </c>
      <c r="FY121" s="4">
        <f t="shared" si="241"/>
        <v>0</v>
      </c>
      <c r="FZ121" s="4">
        <f t="shared" si="242"/>
        <v>0</v>
      </c>
      <c r="GA121" s="4">
        <f t="shared" si="243"/>
        <v>0</v>
      </c>
      <c r="GB121" s="4">
        <f t="shared" si="244"/>
        <v>0</v>
      </c>
      <c r="GC121" s="4">
        <f t="shared" si="245"/>
        <v>0</v>
      </c>
      <c r="GD121" s="4">
        <f t="shared" si="246"/>
        <v>0</v>
      </c>
      <c r="GE121" s="4">
        <f t="shared" si="247"/>
        <v>0</v>
      </c>
      <c r="GF121" s="4">
        <f t="shared" si="248"/>
        <v>0</v>
      </c>
      <c r="GG121" s="4">
        <f t="shared" si="249"/>
        <v>0</v>
      </c>
      <c r="GH121" s="4">
        <f t="shared" si="250"/>
        <v>0</v>
      </c>
      <c r="GI121" s="4">
        <f t="shared" si="251"/>
        <v>0</v>
      </c>
      <c r="GJ121" s="4">
        <f t="shared" si="252"/>
        <v>0</v>
      </c>
      <c r="GK121" s="4">
        <f t="shared" si="253"/>
        <v>0</v>
      </c>
      <c r="GL121" s="4">
        <f t="shared" si="254"/>
        <v>0</v>
      </c>
      <c r="GM121" s="4">
        <f t="shared" si="255"/>
        <v>0</v>
      </c>
      <c r="GN121" s="4">
        <f t="shared" si="256"/>
        <v>0</v>
      </c>
      <c r="GO121" s="4">
        <f t="shared" si="257"/>
        <v>0</v>
      </c>
      <c r="GP121" s="4">
        <f t="shared" si="258"/>
        <v>0</v>
      </c>
      <c r="GQ121" s="27">
        <f t="shared" si="259"/>
        <v>265776.44322965323</v>
      </c>
      <c r="GR121" s="28" t="str">
        <f t="shared" si="260"/>
        <v/>
      </c>
      <c r="GS121" s="28" t="str">
        <f t="shared" si="261"/>
        <v/>
      </c>
      <c r="GT121" s="28" t="str">
        <f t="shared" si="262"/>
        <v/>
      </c>
      <c r="GU121" s="28" t="str">
        <f t="shared" si="263"/>
        <v/>
      </c>
      <c r="GV121" s="28" t="str">
        <f t="shared" si="264"/>
        <v/>
      </c>
      <c r="GW121" s="28" t="str">
        <f t="shared" si="265"/>
        <v/>
      </c>
      <c r="GX121" s="28" t="str">
        <f t="shared" si="266"/>
        <v/>
      </c>
      <c r="GY121" s="28" t="str">
        <f t="shared" si="267"/>
        <v/>
      </c>
      <c r="GZ121" s="28" t="str">
        <f t="shared" si="268"/>
        <v/>
      </c>
      <c r="HA121" s="28" t="str">
        <f t="shared" si="269"/>
        <v/>
      </c>
      <c r="HB121" s="28" t="str">
        <f t="shared" si="270"/>
        <v/>
      </c>
      <c r="HC121" s="28" t="str">
        <f t="shared" si="271"/>
        <v/>
      </c>
      <c r="HD121" s="28" t="str">
        <f t="shared" si="272"/>
        <v/>
      </c>
      <c r="HE121" s="28" t="str">
        <f t="shared" si="273"/>
        <v/>
      </c>
      <c r="HF121" s="28" t="str">
        <f t="shared" si="274"/>
        <v/>
      </c>
      <c r="HG121" s="28" t="str">
        <f t="shared" si="275"/>
        <v/>
      </c>
      <c r="HH121" s="28" t="str">
        <f t="shared" si="276"/>
        <v/>
      </c>
      <c r="HI121" s="28" t="str">
        <f t="shared" si="277"/>
        <v/>
      </c>
      <c r="HJ121" s="28" t="str">
        <f t="shared" si="278"/>
        <v/>
      </c>
      <c r="HK121" s="28" t="str">
        <f t="shared" si="279"/>
        <v/>
      </c>
      <c r="HL121" s="28" t="str">
        <f t="shared" si="280"/>
        <v/>
      </c>
      <c r="HM121" s="28" t="str">
        <f t="shared" si="281"/>
        <v/>
      </c>
      <c r="HN121" s="28" t="str">
        <f t="shared" si="282"/>
        <v/>
      </c>
      <c r="HO121" s="28" t="str">
        <f t="shared" si="283"/>
        <v/>
      </c>
      <c r="HP121" s="28" t="str">
        <f t="shared" si="284"/>
        <v/>
      </c>
      <c r="HQ121" s="28" t="str">
        <f t="shared" si="285"/>
        <v/>
      </c>
      <c r="HR121" s="28" t="str">
        <f t="shared" si="286"/>
        <v/>
      </c>
      <c r="HT121" s="4">
        <f>IFERROR(GR121/'McDonough &amp; Sun 1995 values'!C$2,)</f>
        <v>0</v>
      </c>
      <c r="HU121" s="4">
        <f>IFERROR(GS121/'McDonough &amp; Sun 1995 values'!D$2,)</f>
        <v>0</v>
      </c>
      <c r="HV121" s="4">
        <f>IFERROR(GT121/'McDonough &amp; Sun 1995 values'!E$2,)</f>
        <v>0</v>
      </c>
      <c r="HW121" s="4">
        <f>IFERROR(GU121/'McDonough &amp; Sun 1995 values'!F$2,)</f>
        <v>0</v>
      </c>
      <c r="HX121" s="4">
        <f>IFERROR(GV121/'McDonough &amp; Sun 1995 values'!G$2,)</f>
        <v>0</v>
      </c>
      <c r="HY121" s="4">
        <f>IFERROR(GW121/'McDonough &amp; Sun 1995 values'!H$2,)</f>
        <v>0</v>
      </c>
      <c r="HZ121" s="4">
        <f>IFERROR(GX121/'McDonough &amp; Sun 1995 values'!I$2,)</f>
        <v>0</v>
      </c>
      <c r="IA121" s="4">
        <f>IFERROR(GY121/'McDonough &amp; Sun 1995 values'!J$2,)</f>
        <v>0</v>
      </c>
      <c r="IB121" s="4">
        <f>IFERROR(GZ121/'McDonough &amp; Sun 1995 values'!K$2,)</f>
        <v>0</v>
      </c>
      <c r="IC121" s="4">
        <f>IFERROR(HA121/'McDonough &amp; Sun 1995 values'!L$2,)</f>
        <v>0</v>
      </c>
      <c r="ID121" s="4">
        <f>IFERROR(HB121/'McDonough &amp; Sun 1995 values'!M$2,)</f>
        <v>0</v>
      </c>
      <c r="IE121" s="4">
        <f>IFERROR(HC121/'McDonough &amp; Sun 1995 values'!N$2,)</f>
        <v>0</v>
      </c>
      <c r="IF121" s="4">
        <f>IFERROR(HD121/'McDonough &amp; Sun 1995 values'!O$2,)</f>
        <v>0</v>
      </c>
      <c r="IG121" s="4">
        <f>IFERROR(HE121/'McDonough &amp; Sun 1995 values'!P$2,)</f>
        <v>0</v>
      </c>
      <c r="IH121" s="4">
        <f>IFERROR(HF121/'McDonough &amp; Sun 1995 values'!Q$2,)</f>
        <v>0</v>
      </c>
      <c r="II121" s="4">
        <f>IFERROR(HG121/'McDonough &amp; Sun 1995 values'!R$2,)</f>
        <v>0</v>
      </c>
      <c r="IJ121" s="4">
        <f>IFERROR(HH121/'McDonough &amp; Sun 1995 values'!S$2,)</f>
        <v>0</v>
      </c>
      <c r="IK121" s="4">
        <f>IFERROR(HI121/'McDonough &amp; Sun 1995 values'!T$2,)</f>
        <v>0</v>
      </c>
      <c r="IL121" s="4">
        <f>IFERROR(HJ121/'McDonough &amp; Sun 1995 values'!U$2,)</f>
        <v>0</v>
      </c>
      <c r="IM121" s="4">
        <f>IFERROR(HK121/'McDonough &amp; Sun 1995 values'!V$2,)</f>
        <v>0</v>
      </c>
      <c r="IN121" s="4">
        <f>IFERROR(HL121/'McDonough &amp; Sun 1995 values'!W$2,)</f>
        <v>0</v>
      </c>
      <c r="IO121" s="4">
        <f>IFERROR(HM121/'McDonough &amp; Sun 1995 values'!X$2,)</f>
        <v>0</v>
      </c>
      <c r="IP121" s="4">
        <f>IFERROR(HN121/'McDonough &amp; Sun 1995 values'!Y$2,)</f>
        <v>0</v>
      </c>
      <c r="IQ121" s="4">
        <f>IFERROR(HO121/'McDonough &amp; Sun 1995 values'!Z$2,)</f>
        <v>0</v>
      </c>
      <c r="IR121" s="4">
        <f>IFERROR(HP121/'McDonough &amp; Sun 1995 values'!AA$2,)</f>
        <v>0</v>
      </c>
      <c r="IS121" s="4">
        <f>IFERROR(HQ121/'McDonough &amp; Sun 1995 values'!AB$2,)</f>
        <v>0</v>
      </c>
      <c r="IT121" s="4">
        <f>IFERROR(HR121/'McDonough &amp; Sun 1995 values'!AC$2,)</f>
        <v>0</v>
      </c>
    </row>
    <row r="122" spans="1:254">
      <c r="A122" s="16" t="s">
        <v>750</v>
      </c>
      <c r="B122" s="16" t="s">
        <v>24</v>
      </c>
      <c r="C122" s="16" t="str">
        <f t="shared" si="144"/>
        <v>saline</v>
      </c>
      <c r="D122" s="16" t="s">
        <v>1716</v>
      </c>
      <c r="E122" s="16" t="s">
        <v>1394</v>
      </c>
      <c r="F122" s="16" t="s">
        <v>142</v>
      </c>
      <c r="G122" s="16" t="s">
        <v>595</v>
      </c>
      <c r="H122" s="27">
        <v>90.4</v>
      </c>
      <c r="I122" s="16" t="s">
        <v>736</v>
      </c>
      <c r="J122" s="16">
        <v>0</v>
      </c>
      <c r="K122" s="16" t="s">
        <v>751</v>
      </c>
      <c r="L122" s="16">
        <v>0</v>
      </c>
      <c r="M122" s="16" t="s">
        <v>151</v>
      </c>
      <c r="N122" s="16">
        <v>13</v>
      </c>
      <c r="O122" s="26">
        <v>5.9</v>
      </c>
      <c r="P122" s="26">
        <v>0.2</v>
      </c>
      <c r="Q122" s="26"/>
      <c r="R122" s="26">
        <v>0.3</v>
      </c>
      <c r="S122" s="26">
        <v>20.3</v>
      </c>
      <c r="T122" s="26">
        <v>1.8</v>
      </c>
      <c r="U122" s="26"/>
      <c r="V122" s="26">
        <v>9.6</v>
      </c>
      <c r="W122" s="26">
        <v>4.4000000000000004</v>
      </c>
      <c r="X122" s="26">
        <v>26.7</v>
      </c>
      <c r="Y122" s="26"/>
      <c r="Z122" s="26">
        <v>2.4</v>
      </c>
      <c r="AA122" s="26">
        <v>1.5</v>
      </c>
      <c r="AB122" s="26">
        <v>2.2999999999999998</v>
      </c>
      <c r="AC122" s="26"/>
      <c r="AD122" s="26">
        <v>31.2</v>
      </c>
      <c r="AE122" s="26">
        <v>0.9</v>
      </c>
      <c r="AF122" s="26"/>
      <c r="AG122" s="26"/>
      <c r="AH122" s="26"/>
      <c r="AI122" s="26">
        <v>4.3</v>
      </c>
      <c r="AJ122" s="26">
        <f t="shared" si="145"/>
        <v>105.10000000000001</v>
      </c>
      <c r="AK122" s="26">
        <f t="shared" si="288"/>
        <v>6.0167798411769189</v>
      </c>
      <c r="AL122" s="26">
        <f t="shared" si="289"/>
        <v>0.20395863868396336</v>
      </c>
      <c r="AM122" s="26">
        <f t="shared" si="290"/>
        <v>0.30593795802594498</v>
      </c>
      <c r="AN122" s="26">
        <f t="shared" si="291"/>
        <v>20.70180182642228</v>
      </c>
      <c r="AO122" s="26">
        <f t="shared" si="292"/>
        <v>1.8356277481556702</v>
      </c>
      <c r="AP122" s="26">
        <f t="shared" si="293"/>
        <v>9.7900146568302393</v>
      </c>
      <c r="AQ122" s="26">
        <f t="shared" si="294"/>
        <v>2.3455243448655785</v>
      </c>
      <c r="AR122" s="26">
        <f t="shared" si="295"/>
        <v>4.4870900510471943</v>
      </c>
      <c r="AS122" s="26">
        <f t="shared" si="296"/>
        <v>27.228478264309107</v>
      </c>
      <c r="AT122" s="26">
        <f t="shared" si="297"/>
        <v>2.4475036642075598</v>
      </c>
      <c r="AU122" s="26">
        <f t="shared" si="298"/>
        <v>31.817547634698279</v>
      </c>
      <c r="AV122" s="26">
        <f t="shared" si="146"/>
        <v>107.18026462842275</v>
      </c>
      <c r="AY122" s="16">
        <v>55</v>
      </c>
      <c r="AZ122" s="16">
        <v>75</v>
      </c>
      <c r="BA122" s="26">
        <v>0.23</v>
      </c>
      <c r="BB122" s="53"/>
      <c r="BC122" s="26">
        <f t="shared" si="302"/>
        <v>0.76907394247236038</v>
      </c>
      <c r="BD122" s="26">
        <f t="shared" si="303"/>
        <v>0.23092605752763956</v>
      </c>
      <c r="BE122" s="16"/>
      <c r="BF122" s="16"/>
      <c r="BG122" s="16"/>
      <c r="BH122" s="16"/>
      <c r="BI122" s="16"/>
      <c r="BJ122" s="16"/>
      <c r="BK122" s="18"/>
      <c r="BL122" s="18"/>
      <c r="BM122" s="18"/>
      <c r="BN122" s="18"/>
      <c r="BO122" s="18"/>
      <c r="BP122" s="18"/>
      <c r="BQ122" s="18"/>
      <c r="BR122" s="18">
        <v>0</v>
      </c>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28"/>
      <c r="DW122" s="28"/>
      <c r="DX122" s="28"/>
      <c r="DY122" s="28"/>
      <c r="DZ122" s="28"/>
      <c r="EA122" s="28"/>
      <c r="EB122" s="28"/>
      <c r="EC122" s="28"/>
      <c r="ED122" s="28"/>
      <c r="EE122" s="28"/>
      <c r="EF122" s="28"/>
      <c r="EG122" s="28"/>
      <c r="EH122" s="28"/>
      <c r="EI122" s="28"/>
      <c r="EJ122" s="18"/>
      <c r="EK122" s="18"/>
      <c r="EL122" s="18">
        <f>IFERROR(CR122/'McDonough &amp; Sun 1995 values'!C$2,)</f>
        <v>0</v>
      </c>
      <c r="EM122" s="18">
        <f>IFERROR(CH122/'McDonough &amp; Sun 1995 values'!D$2,)</f>
        <v>0</v>
      </c>
      <c r="EN122" s="18">
        <f>IFERROR(CS122/'McDonough &amp; Sun 1995 values'!E$2,)</f>
        <v>0</v>
      </c>
      <c r="EO122" s="18">
        <f>IFERROR(DL122/'McDonough &amp; Sun 1995 values'!F$2,)</f>
        <v>0</v>
      </c>
      <c r="EP122" s="18">
        <f>IFERROR(DM122/'McDonough &amp; Sun 1995 values'!G$2,)</f>
        <v>0</v>
      </c>
      <c r="EQ122" s="18">
        <f>IFERROR(BR122/'McDonough &amp; Sun 1995 values'!H$2,)</f>
        <v>0</v>
      </c>
      <c r="ER122" s="18">
        <f>IFERROR(DI122/'McDonough &amp; Sun 1995 values'!I$2,)</f>
        <v>0</v>
      </c>
      <c r="ES122" s="18">
        <f>IFERROR(CM122/'McDonough &amp; Sun 1995 values'!J$2,)</f>
        <v>0</v>
      </c>
      <c r="ET122" s="18">
        <f>IFERROR(CU122/'McDonough &amp; Sun 1995 values'!K$2,)</f>
        <v>0</v>
      </c>
      <c r="EU122" s="18">
        <f>IFERROR(CV122/'McDonough &amp; Sun 1995 values'!L$2,)</f>
        <v>0</v>
      </c>
      <c r="EV122" s="18">
        <f>IFERROR(CW122/'McDonough &amp; Sun 1995 values'!M$2,)</f>
        <v>0</v>
      </c>
      <c r="EW122" s="18">
        <f>IFERROR(CI122/'McDonough &amp; Sun 1995 values'!N$2,)</f>
        <v>0</v>
      </c>
      <c r="EX122" s="18">
        <f>IFERROR(CX122/'McDonough &amp; Sun 1995 values'!O$2,)</f>
        <v>0</v>
      </c>
      <c r="EY122" s="18">
        <f>IFERROR(CY122/'McDonough &amp; Sun 1995 values'!P$2,)</f>
        <v>0</v>
      </c>
      <c r="EZ122" s="18">
        <f>IFERROR(DH122/'McDonough &amp; Sun 1995 values'!Q$2,)</f>
        <v>0</v>
      </c>
      <c r="FA122" s="18">
        <f>IFERROR(CK122/'McDonough &amp; Sun 1995 values'!R$2,)</f>
        <v>0</v>
      </c>
      <c r="FB122" s="18">
        <f>IFERROR(CZ122/'McDonough &amp; Sun 1995 values'!S$2,)</f>
        <v>0</v>
      </c>
      <c r="FC122" s="18">
        <f>IFERROR(BT122/'McDonough &amp; Sun 1995 values'!T$2,)</f>
        <v>0</v>
      </c>
      <c r="FD122" s="18">
        <f>IFERROR(DA122/'McDonough &amp; Sun 1995 values'!U$2,)</f>
        <v>0</v>
      </c>
      <c r="FE122" s="18">
        <f>IFERROR(DN122/'McDonough &amp; Sun 1995 values'!V$2,)</f>
        <v>0</v>
      </c>
      <c r="FF122" s="18">
        <f>IFERROR(DB122/'McDonough &amp; Sun 1995 values'!W$2,)</f>
        <v>0</v>
      </c>
      <c r="FG122" s="18">
        <f>IFERROR(CJ122/'McDonough &amp; Sun 1995 values'!X$2,)</f>
        <v>0</v>
      </c>
      <c r="FH122" s="18">
        <f>IFERROR(DC122/'McDonough &amp; Sun 1995 values'!Y$2,)</f>
        <v>0</v>
      </c>
      <c r="FI122" s="18">
        <f>IFERROR(DD122/'McDonough &amp; Sun 1995 values'!Z$2,)</f>
        <v>0</v>
      </c>
      <c r="FJ122" s="18">
        <f>IFERROR(DE122/'McDonough &amp; Sun 1995 values'!AA$2,)</f>
        <v>0</v>
      </c>
      <c r="FK122" s="18">
        <f>IFERROR(DF122/'McDonough &amp; Sun 1995 values'!AB$2,)</f>
        <v>0</v>
      </c>
      <c r="FL122" s="18">
        <f>IFERROR(DG122/'McDonough &amp; Sun 1995 values'!AC$2,)</f>
        <v>0</v>
      </c>
      <c r="FN122" s="28">
        <f t="shared" si="299"/>
        <v>0</v>
      </c>
      <c r="FO122" s="4">
        <f t="shared" si="231"/>
        <v>0</v>
      </c>
      <c r="FP122" s="4">
        <f t="shared" si="232"/>
        <v>0</v>
      </c>
      <c r="FQ122" s="4">
        <f t="shared" si="233"/>
        <v>0</v>
      </c>
      <c r="FR122" s="4">
        <f t="shared" si="234"/>
        <v>0</v>
      </c>
      <c r="FS122" s="4">
        <f t="shared" si="235"/>
        <v>0</v>
      </c>
      <c r="FT122" s="4">
        <f t="shared" si="236"/>
        <v>0</v>
      </c>
      <c r="FU122" s="4">
        <f t="shared" si="237"/>
        <v>0</v>
      </c>
      <c r="FV122" s="4">
        <f t="shared" si="238"/>
        <v>0</v>
      </c>
      <c r="FW122" s="4">
        <f t="shared" si="239"/>
        <v>0</v>
      </c>
      <c r="FX122" s="4">
        <f t="shared" si="240"/>
        <v>0</v>
      </c>
      <c r="FY122" s="4">
        <f t="shared" si="241"/>
        <v>0</v>
      </c>
      <c r="FZ122" s="4">
        <f t="shared" si="242"/>
        <v>0</v>
      </c>
      <c r="GA122" s="4">
        <f t="shared" si="243"/>
        <v>0</v>
      </c>
      <c r="GB122" s="4">
        <f t="shared" si="244"/>
        <v>0</v>
      </c>
      <c r="GC122" s="4">
        <f t="shared" si="245"/>
        <v>0</v>
      </c>
      <c r="GD122" s="4">
        <f t="shared" si="246"/>
        <v>0</v>
      </c>
      <c r="GE122" s="4">
        <f t="shared" si="247"/>
        <v>0</v>
      </c>
      <c r="GF122" s="4">
        <f t="shared" si="248"/>
        <v>0</v>
      </c>
      <c r="GG122" s="4">
        <f t="shared" si="249"/>
        <v>0</v>
      </c>
      <c r="GH122" s="4">
        <f t="shared" si="250"/>
        <v>0</v>
      </c>
      <c r="GI122" s="4">
        <f t="shared" si="251"/>
        <v>0</v>
      </c>
      <c r="GJ122" s="4">
        <f t="shared" si="252"/>
        <v>0</v>
      </c>
      <c r="GK122" s="4">
        <f t="shared" si="253"/>
        <v>0</v>
      </c>
      <c r="GL122" s="4">
        <f t="shared" si="254"/>
        <v>0</v>
      </c>
      <c r="GM122" s="4">
        <f t="shared" si="255"/>
        <v>0</v>
      </c>
      <c r="GN122" s="4">
        <f t="shared" si="256"/>
        <v>0</v>
      </c>
      <c r="GO122" s="4">
        <f t="shared" si="257"/>
        <v>0</v>
      </c>
      <c r="GP122" s="4">
        <f t="shared" si="258"/>
        <v>0</v>
      </c>
      <c r="GQ122" s="27">
        <f t="shared" si="259"/>
        <v>226033.75557693798</v>
      </c>
      <c r="GR122" s="28" t="str">
        <f t="shared" si="260"/>
        <v/>
      </c>
      <c r="GS122" s="28" t="str">
        <f t="shared" si="261"/>
        <v/>
      </c>
      <c r="GT122" s="28" t="str">
        <f t="shared" si="262"/>
        <v/>
      </c>
      <c r="GU122" s="28" t="str">
        <f t="shared" si="263"/>
        <v/>
      </c>
      <c r="GV122" s="28" t="str">
        <f t="shared" si="264"/>
        <v/>
      </c>
      <c r="GW122" s="28" t="str">
        <f t="shared" si="265"/>
        <v/>
      </c>
      <c r="GX122" s="28" t="str">
        <f t="shared" si="266"/>
        <v/>
      </c>
      <c r="GY122" s="28" t="str">
        <f t="shared" si="267"/>
        <v/>
      </c>
      <c r="GZ122" s="28" t="str">
        <f t="shared" si="268"/>
        <v/>
      </c>
      <c r="HA122" s="28" t="str">
        <f t="shared" si="269"/>
        <v/>
      </c>
      <c r="HB122" s="28" t="str">
        <f t="shared" si="270"/>
        <v/>
      </c>
      <c r="HC122" s="28" t="str">
        <f t="shared" si="271"/>
        <v/>
      </c>
      <c r="HD122" s="28" t="str">
        <f t="shared" si="272"/>
        <v/>
      </c>
      <c r="HE122" s="28" t="str">
        <f t="shared" si="273"/>
        <v/>
      </c>
      <c r="HF122" s="28" t="str">
        <f t="shared" si="274"/>
        <v/>
      </c>
      <c r="HG122" s="28" t="str">
        <f t="shared" si="275"/>
        <v/>
      </c>
      <c r="HH122" s="28" t="str">
        <f t="shared" si="276"/>
        <v/>
      </c>
      <c r="HI122" s="28" t="str">
        <f t="shared" si="277"/>
        <v/>
      </c>
      <c r="HJ122" s="28" t="str">
        <f t="shared" si="278"/>
        <v/>
      </c>
      <c r="HK122" s="28" t="str">
        <f t="shared" si="279"/>
        <v/>
      </c>
      <c r="HL122" s="28" t="str">
        <f t="shared" si="280"/>
        <v/>
      </c>
      <c r="HM122" s="28" t="str">
        <f t="shared" si="281"/>
        <v/>
      </c>
      <c r="HN122" s="28" t="str">
        <f t="shared" si="282"/>
        <v/>
      </c>
      <c r="HO122" s="28" t="str">
        <f t="shared" si="283"/>
        <v/>
      </c>
      <c r="HP122" s="28" t="str">
        <f t="shared" si="284"/>
        <v/>
      </c>
      <c r="HQ122" s="28" t="str">
        <f t="shared" si="285"/>
        <v/>
      </c>
      <c r="HR122" s="28" t="str">
        <f t="shared" si="286"/>
        <v/>
      </c>
      <c r="HT122" s="4">
        <f>IFERROR(GR122/'McDonough &amp; Sun 1995 values'!C$2,)</f>
        <v>0</v>
      </c>
      <c r="HU122" s="4">
        <f>IFERROR(GS122/'McDonough &amp; Sun 1995 values'!D$2,)</f>
        <v>0</v>
      </c>
      <c r="HV122" s="4">
        <f>IFERROR(GT122/'McDonough &amp; Sun 1995 values'!E$2,)</f>
        <v>0</v>
      </c>
      <c r="HW122" s="4">
        <f>IFERROR(GU122/'McDonough &amp; Sun 1995 values'!F$2,)</f>
        <v>0</v>
      </c>
      <c r="HX122" s="4">
        <f>IFERROR(GV122/'McDonough &amp; Sun 1995 values'!G$2,)</f>
        <v>0</v>
      </c>
      <c r="HY122" s="4">
        <f>IFERROR(GW122/'McDonough &amp; Sun 1995 values'!H$2,)</f>
        <v>0</v>
      </c>
      <c r="HZ122" s="4">
        <f>IFERROR(GX122/'McDonough &amp; Sun 1995 values'!I$2,)</f>
        <v>0</v>
      </c>
      <c r="IA122" s="4">
        <f>IFERROR(GY122/'McDonough &amp; Sun 1995 values'!J$2,)</f>
        <v>0</v>
      </c>
      <c r="IB122" s="4">
        <f>IFERROR(GZ122/'McDonough &amp; Sun 1995 values'!K$2,)</f>
        <v>0</v>
      </c>
      <c r="IC122" s="4">
        <f>IFERROR(HA122/'McDonough &amp; Sun 1995 values'!L$2,)</f>
        <v>0</v>
      </c>
      <c r="ID122" s="4">
        <f>IFERROR(HB122/'McDonough &amp; Sun 1995 values'!M$2,)</f>
        <v>0</v>
      </c>
      <c r="IE122" s="4">
        <f>IFERROR(HC122/'McDonough &amp; Sun 1995 values'!N$2,)</f>
        <v>0</v>
      </c>
      <c r="IF122" s="4">
        <f>IFERROR(HD122/'McDonough &amp; Sun 1995 values'!O$2,)</f>
        <v>0</v>
      </c>
      <c r="IG122" s="4">
        <f>IFERROR(HE122/'McDonough &amp; Sun 1995 values'!P$2,)</f>
        <v>0</v>
      </c>
      <c r="IH122" s="4">
        <f>IFERROR(HF122/'McDonough &amp; Sun 1995 values'!Q$2,)</f>
        <v>0</v>
      </c>
      <c r="II122" s="4">
        <f>IFERROR(HG122/'McDonough &amp; Sun 1995 values'!R$2,)</f>
        <v>0</v>
      </c>
      <c r="IJ122" s="4">
        <f>IFERROR(HH122/'McDonough &amp; Sun 1995 values'!S$2,)</f>
        <v>0</v>
      </c>
      <c r="IK122" s="4">
        <f>IFERROR(HI122/'McDonough &amp; Sun 1995 values'!T$2,)</f>
        <v>0</v>
      </c>
      <c r="IL122" s="4">
        <f>IFERROR(HJ122/'McDonough &amp; Sun 1995 values'!U$2,)</f>
        <v>0</v>
      </c>
      <c r="IM122" s="4">
        <f>IFERROR(HK122/'McDonough &amp; Sun 1995 values'!V$2,)</f>
        <v>0</v>
      </c>
      <c r="IN122" s="4">
        <f>IFERROR(HL122/'McDonough &amp; Sun 1995 values'!W$2,)</f>
        <v>0</v>
      </c>
      <c r="IO122" s="4">
        <f>IFERROR(HM122/'McDonough &amp; Sun 1995 values'!X$2,)</f>
        <v>0</v>
      </c>
      <c r="IP122" s="4">
        <f>IFERROR(HN122/'McDonough &amp; Sun 1995 values'!Y$2,)</f>
        <v>0</v>
      </c>
      <c r="IQ122" s="4">
        <f>IFERROR(HO122/'McDonough &amp; Sun 1995 values'!Z$2,)</f>
        <v>0</v>
      </c>
      <c r="IR122" s="4">
        <f>IFERROR(HP122/'McDonough &amp; Sun 1995 values'!AA$2,)</f>
        <v>0</v>
      </c>
      <c r="IS122" s="4">
        <f>IFERROR(HQ122/'McDonough &amp; Sun 1995 values'!AB$2,)</f>
        <v>0</v>
      </c>
      <c r="IT122" s="4">
        <f>IFERROR(HR122/'McDonough &amp; Sun 1995 values'!AC$2,)</f>
        <v>0</v>
      </c>
    </row>
    <row r="123" spans="1:254">
      <c r="A123" s="16" t="s">
        <v>750</v>
      </c>
      <c r="B123" s="16" t="s">
        <v>24</v>
      </c>
      <c r="C123" s="16" t="str">
        <f t="shared" si="144"/>
        <v>saline</v>
      </c>
      <c r="D123" s="16" t="s">
        <v>1716</v>
      </c>
      <c r="E123" s="16" t="s">
        <v>1394</v>
      </c>
      <c r="F123" s="16" t="s">
        <v>142</v>
      </c>
      <c r="G123" s="16" t="s">
        <v>595</v>
      </c>
      <c r="H123" s="27">
        <v>90.4</v>
      </c>
      <c r="I123" s="16" t="s">
        <v>736</v>
      </c>
      <c r="J123" s="16">
        <v>0</v>
      </c>
      <c r="K123" s="16" t="s">
        <v>751</v>
      </c>
      <c r="L123" s="16" t="s">
        <v>145</v>
      </c>
      <c r="M123" s="16" t="s">
        <v>152</v>
      </c>
      <c r="N123" s="16">
        <v>31</v>
      </c>
      <c r="O123" s="26">
        <v>7.1</v>
      </c>
      <c r="P123" s="26">
        <v>1.7</v>
      </c>
      <c r="Q123" s="26"/>
      <c r="R123" s="26">
        <v>0.5</v>
      </c>
      <c r="S123" s="26">
        <v>10.1</v>
      </c>
      <c r="T123" s="26">
        <v>1.1000000000000001</v>
      </c>
      <c r="U123" s="26"/>
      <c r="V123" s="26">
        <v>3.7</v>
      </c>
      <c r="W123" s="26">
        <v>2.8</v>
      </c>
      <c r="X123" s="26">
        <v>39</v>
      </c>
      <c r="Y123" s="26"/>
      <c r="Z123" s="26">
        <v>0.6</v>
      </c>
      <c r="AA123" s="26"/>
      <c r="AB123" s="26">
        <v>0.3</v>
      </c>
      <c r="AC123" s="26"/>
      <c r="AD123" s="26">
        <v>42.2</v>
      </c>
      <c r="AE123" s="26"/>
      <c r="AF123" s="26"/>
      <c r="AG123" s="26"/>
      <c r="AH123" s="26"/>
      <c r="AI123" s="26">
        <v>4.2</v>
      </c>
      <c r="AJ123" s="26">
        <f t="shared" si="145"/>
        <v>109.1</v>
      </c>
      <c r="AK123" s="26">
        <f t="shared" si="288"/>
        <v>7.1301800710765875</v>
      </c>
      <c r="AL123" s="26">
        <f t="shared" si="289"/>
        <v>1.7072262142014363</v>
      </c>
      <c r="AM123" s="26">
        <f t="shared" si="290"/>
        <v>0.50212535711806949</v>
      </c>
      <c r="AN123" s="26">
        <f t="shared" si="291"/>
        <v>10.142932213785006</v>
      </c>
      <c r="AO123" s="26">
        <f t="shared" si="292"/>
        <v>1.1046757856597531</v>
      </c>
      <c r="AP123" s="26">
        <f t="shared" si="293"/>
        <v>3.7157276426737149</v>
      </c>
      <c r="AQ123" s="26">
        <f t="shared" si="294"/>
        <v>0.3012752142708417</v>
      </c>
      <c r="AR123" s="26">
        <f t="shared" si="295"/>
        <v>2.8119019998611892</v>
      </c>
      <c r="AS123" s="26">
        <f t="shared" si="296"/>
        <v>39.165777855209427</v>
      </c>
      <c r="AT123" s="26">
        <f t="shared" si="297"/>
        <v>0.60255042854168339</v>
      </c>
      <c r="AU123" s="26">
        <f t="shared" si="298"/>
        <v>42.379380140765072</v>
      </c>
      <c r="AV123" s="26">
        <f t="shared" si="146"/>
        <v>109.56375292316278</v>
      </c>
      <c r="AW123" s="96"/>
      <c r="AX123" s="96"/>
      <c r="AY123" s="16">
        <v>1</v>
      </c>
      <c r="AZ123" s="16">
        <v>100</v>
      </c>
      <c r="BA123" s="26">
        <v>4.0000000000000001E-3</v>
      </c>
      <c r="BB123" s="53"/>
      <c r="BC123" s="26">
        <f t="shared" si="302"/>
        <v>0.99592217278944195</v>
      </c>
      <c r="BD123" s="26">
        <f t="shared" si="303"/>
        <v>4.0778272105579964E-3</v>
      </c>
      <c r="BE123" s="16"/>
      <c r="BF123" s="16"/>
      <c r="BG123" s="16"/>
      <c r="BH123" s="16"/>
      <c r="BI123" s="16"/>
      <c r="BJ123" s="16"/>
      <c r="BK123" s="18"/>
      <c r="BL123" s="18"/>
      <c r="BM123" s="18"/>
      <c r="BN123" s="18"/>
      <c r="BO123" s="18"/>
      <c r="BP123" s="18"/>
      <c r="BQ123" s="18"/>
      <c r="BR123" s="18">
        <v>0</v>
      </c>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28"/>
      <c r="DW123" s="28"/>
      <c r="DX123" s="28"/>
      <c r="DY123" s="28"/>
      <c r="DZ123" s="28"/>
      <c r="EA123" s="28"/>
      <c r="EB123" s="28"/>
      <c r="EC123" s="28"/>
      <c r="ED123" s="28"/>
      <c r="EE123" s="28"/>
      <c r="EF123" s="28"/>
      <c r="EG123" s="28"/>
      <c r="EH123" s="28"/>
      <c r="EI123" s="28"/>
      <c r="EJ123" s="18"/>
      <c r="EK123" s="18"/>
      <c r="EL123" s="18">
        <f>IFERROR(CR123/'McDonough &amp; Sun 1995 values'!C$2,)</f>
        <v>0</v>
      </c>
      <c r="EM123" s="18">
        <f>IFERROR(CH123/'McDonough &amp; Sun 1995 values'!D$2,)</f>
        <v>0</v>
      </c>
      <c r="EN123" s="18">
        <f>IFERROR(CS123/'McDonough &amp; Sun 1995 values'!E$2,)</f>
        <v>0</v>
      </c>
      <c r="EO123" s="18">
        <f>IFERROR(DL123/'McDonough &amp; Sun 1995 values'!F$2,)</f>
        <v>0</v>
      </c>
      <c r="EP123" s="18">
        <f>IFERROR(DM123/'McDonough &amp; Sun 1995 values'!G$2,)</f>
        <v>0</v>
      </c>
      <c r="EQ123" s="18">
        <f>IFERROR(BR123/'McDonough &amp; Sun 1995 values'!H$2,)</f>
        <v>0</v>
      </c>
      <c r="ER123" s="18">
        <f>IFERROR(DI123/'McDonough &amp; Sun 1995 values'!I$2,)</f>
        <v>0</v>
      </c>
      <c r="ES123" s="18">
        <f>IFERROR(CM123/'McDonough &amp; Sun 1995 values'!J$2,)</f>
        <v>0</v>
      </c>
      <c r="ET123" s="18">
        <f>IFERROR(CU123/'McDonough &amp; Sun 1995 values'!K$2,)</f>
        <v>0</v>
      </c>
      <c r="EU123" s="18">
        <f>IFERROR(CV123/'McDonough &amp; Sun 1995 values'!L$2,)</f>
        <v>0</v>
      </c>
      <c r="EV123" s="18">
        <f>IFERROR(CW123/'McDonough &amp; Sun 1995 values'!M$2,)</f>
        <v>0</v>
      </c>
      <c r="EW123" s="18">
        <f>IFERROR(CI123/'McDonough &amp; Sun 1995 values'!N$2,)</f>
        <v>0</v>
      </c>
      <c r="EX123" s="18">
        <f>IFERROR(CX123/'McDonough &amp; Sun 1995 values'!O$2,)</f>
        <v>0</v>
      </c>
      <c r="EY123" s="18">
        <f>IFERROR(CY123/'McDonough &amp; Sun 1995 values'!P$2,)</f>
        <v>0</v>
      </c>
      <c r="EZ123" s="18">
        <f>IFERROR(DH123/'McDonough &amp; Sun 1995 values'!Q$2,)</f>
        <v>0</v>
      </c>
      <c r="FA123" s="18">
        <f>IFERROR(CK123/'McDonough &amp; Sun 1995 values'!R$2,)</f>
        <v>0</v>
      </c>
      <c r="FB123" s="18">
        <f>IFERROR(CZ123/'McDonough &amp; Sun 1995 values'!S$2,)</f>
        <v>0</v>
      </c>
      <c r="FC123" s="18">
        <f>IFERROR(BT123/'McDonough &amp; Sun 1995 values'!T$2,)</f>
        <v>0</v>
      </c>
      <c r="FD123" s="18">
        <f>IFERROR(DA123/'McDonough &amp; Sun 1995 values'!U$2,)</f>
        <v>0</v>
      </c>
      <c r="FE123" s="18">
        <f>IFERROR(DN123/'McDonough &amp; Sun 1995 values'!V$2,)</f>
        <v>0</v>
      </c>
      <c r="FF123" s="18">
        <f>IFERROR(DB123/'McDonough &amp; Sun 1995 values'!W$2,)</f>
        <v>0</v>
      </c>
      <c r="FG123" s="18">
        <f>IFERROR(CJ123/'McDonough &amp; Sun 1995 values'!X$2,)</f>
        <v>0</v>
      </c>
      <c r="FH123" s="18">
        <f>IFERROR(DC123/'McDonough &amp; Sun 1995 values'!Y$2,)</f>
        <v>0</v>
      </c>
      <c r="FI123" s="18">
        <f>IFERROR(DD123/'McDonough &amp; Sun 1995 values'!Z$2,)</f>
        <v>0</v>
      </c>
      <c r="FJ123" s="18">
        <f>IFERROR(DE123/'McDonough &amp; Sun 1995 values'!AA$2,)</f>
        <v>0</v>
      </c>
      <c r="FK123" s="18">
        <f>IFERROR(DF123/'McDonough &amp; Sun 1995 values'!AB$2,)</f>
        <v>0</v>
      </c>
      <c r="FL123" s="18">
        <f>IFERROR(DG123/'McDonough &amp; Sun 1995 values'!AC$2,)</f>
        <v>0</v>
      </c>
      <c r="FN123" s="28">
        <f t="shared" si="299"/>
        <v>0</v>
      </c>
      <c r="FO123" s="4">
        <f t="shared" si="231"/>
        <v>0</v>
      </c>
      <c r="FP123" s="4">
        <f t="shared" si="232"/>
        <v>0</v>
      </c>
      <c r="FQ123" s="4">
        <f t="shared" si="233"/>
        <v>0</v>
      </c>
      <c r="FR123" s="4">
        <f t="shared" si="234"/>
        <v>0</v>
      </c>
      <c r="FS123" s="4">
        <f t="shared" si="235"/>
        <v>0</v>
      </c>
      <c r="FT123" s="4">
        <f t="shared" si="236"/>
        <v>0</v>
      </c>
      <c r="FU123" s="4">
        <f t="shared" si="237"/>
        <v>0</v>
      </c>
      <c r="FV123" s="4">
        <f t="shared" si="238"/>
        <v>0</v>
      </c>
      <c r="FW123" s="4">
        <f t="shared" si="239"/>
        <v>0</v>
      </c>
      <c r="FX123" s="4">
        <f t="shared" si="240"/>
        <v>0</v>
      </c>
      <c r="FY123" s="4">
        <f t="shared" si="241"/>
        <v>0</v>
      </c>
      <c r="FZ123" s="4">
        <f t="shared" si="242"/>
        <v>0</v>
      </c>
      <c r="GA123" s="4">
        <f t="shared" si="243"/>
        <v>0</v>
      </c>
      <c r="GB123" s="4">
        <f t="shared" si="244"/>
        <v>0</v>
      </c>
      <c r="GC123" s="4">
        <f t="shared" si="245"/>
        <v>0</v>
      </c>
      <c r="GD123" s="4">
        <f t="shared" si="246"/>
        <v>0</v>
      </c>
      <c r="GE123" s="4">
        <f t="shared" si="247"/>
        <v>0</v>
      </c>
      <c r="GF123" s="4">
        <f t="shared" si="248"/>
        <v>0</v>
      </c>
      <c r="GG123" s="4">
        <f t="shared" si="249"/>
        <v>0</v>
      </c>
      <c r="GH123" s="4">
        <f t="shared" si="250"/>
        <v>0</v>
      </c>
      <c r="GI123" s="4">
        <f t="shared" si="251"/>
        <v>0</v>
      </c>
      <c r="GJ123" s="4">
        <f t="shared" si="252"/>
        <v>0</v>
      </c>
      <c r="GK123" s="4">
        <f t="shared" si="253"/>
        <v>0</v>
      </c>
      <c r="GL123" s="4">
        <f t="shared" si="254"/>
        <v>0</v>
      </c>
      <c r="GM123" s="4">
        <f t="shared" si="255"/>
        <v>0</v>
      </c>
      <c r="GN123" s="4">
        <f t="shared" si="256"/>
        <v>0</v>
      </c>
      <c r="GO123" s="4">
        <f t="shared" si="257"/>
        <v>0</v>
      </c>
      <c r="GP123" s="4">
        <f t="shared" si="258"/>
        <v>0</v>
      </c>
      <c r="GQ123" s="27">
        <f t="shared" si="259"/>
        <v>325129.73265601957</v>
      </c>
      <c r="GR123" s="28" t="str">
        <f t="shared" si="260"/>
        <v/>
      </c>
      <c r="GS123" s="28" t="str">
        <f t="shared" si="261"/>
        <v/>
      </c>
      <c r="GT123" s="28" t="str">
        <f t="shared" si="262"/>
        <v/>
      </c>
      <c r="GU123" s="28" t="str">
        <f t="shared" si="263"/>
        <v/>
      </c>
      <c r="GV123" s="28" t="str">
        <f t="shared" si="264"/>
        <v/>
      </c>
      <c r="GW123" s="28" t="str">
        <f t="shared" si="265"/>
        <v/>
      </c>
      <c r="GX123" s="28" t="str">
        <f t="shared" si="266"/>
        <v/>
      </c>
      <c r="GY123" s="28" t="str">
        <f t="shared" si="267"/>
        <v/>
      </c>
      <c r="GZ123" s="28" t="str">
        <f t="shared" si="268"/>
        <v/>
      </c>
      <c r="HA123" s="28" t="str">
        <f t="shared" si="269"/>
        <v/>
      </c>
      <c r="HB123" s="28" t="str">
        <f t="shared" si="270"/>
        <v/>
      </c>
      <c r="HC123" s="28" t="str">
        <f t="shared" si="271"/>
        <v/>
      </c>
      <c r="HD123" s="28" t="str">
        <f t="shared" si="272"/>
        <v/>
      </c>
      <c r="HE123" s="28" t="str">
        <f t="shared" si="273"/>
        <v/>
      </c>
      <c r="HF123" s="28" t="str">
        <f t="shared" si="274"/>
        <v/>
      </c>
      <c r="HG123" s="28" t="str">
        <f t="shared" si="275"/>
        <v/>
      </c>
      <c r="HH123" s="28" t="str">
        <f t="shared" si="276"/>
        <v/>
      </c>
      <c r="HI123" s="28" t="str">
        <f t="shared" si="277"/>
        <v/>
      </c>
      <c r="HJ123" s="28" t="str">
        <f t="shared" si="278"/>
        <v/>
      </c>
      <c r="HK123" s="28" t="str">
        <f t="shared" si="279"/>
        <v/>
      </c>
      <c r="HL123" s="28" t="str">
        <f t="shared" si="280"/>
        <v/>
      </c>
      <c r="HM123" s="28" t="str">
        <f t="shared" si="281"/>
        <v/>
      </c>
      <c r="HN123" s="28" t="str">
        <f t="shared" si="282"/>
        <v/>
      </c>
      <c r="HO123" s="28" t="str">
        <f t="shared" si="283"/>
        <v/>
      </c>
      <c r="HP123" s="28" t="str">
        <f t="shared" si="284"/>
        <v/>
      </c>
      <c r="HQ123" s="28" t="str">
        <f t="shared" si="285"/>
        <v/>
      </c>
      <c r="HR123" s="28" t="str">
        <f t="shared" si="286"/>
        <v/>
      </c>
      <c r="HT123" s="4">
        <f>IFERROR(GR123/'McDonough &amp; Sun 1995 values'!C$2,)</f>
        <v>0</v>
      </c>
      <c r="HU123" s="4">
        <f>IFERROR(GS123/'McDonough &amp; Sun 1995 values'!D$2,)</f>
        <v>0</v>
      </c>
      <c r="HV123" s="4">
        <f>IFERROR(GT123/'McDonough &amp; Sun 1995 values'!E$2,)</f>
        <v>0</v>
      </c>
      <c r="HW123" s="4">
        <f>IFERROR(GU123/'McDonough &amp; Sun 1995 values'!F$2,)</f>
        <v>0</v>
      </c>
      <c r="HX123" s="4">
        <f>IFERROR(GV123/'McDonough &amp; Sun 1995 values'!G$2,)</f>
        <v>0</v>
      </c>
      <c r="HY123" s="4">
        <f>IFERROR(GW123/'McDonough &amp; Sun 1995 values'!H$2,)</f>
        <v>0</v>
      </c>
      <c r="HZ123" s="4">
        <f>IFERROR(GX123/'McDonough &amp; Sun 1995 values'!I$2,)</f>
        <v>0</v>
      </c>
      <c r="IA123" s="4">
        <f>IFERROR(GY123/'McDonough &amp; Sun 1995 values'!J$2,)</f>
        <v>0</v>
      </c>
      <c r="IB123" s="4">
        <f>IFERROR(GZ123/'McDonough &amp; Sun 1995 values'!K$2,)</f>
        <v>0</v>
      </c>
      <c r="IC123" s="4">
        <f>IFERROR(HA123/'McDonough &amp; Sun 1995 values'!L$2,)</f>
        <v>0</v>
      </c>
      <c r="ID123" s="4">
        <f>IFERROR(HB123/'McDonough &amp; Sun 1995 values'!M$2,)</f>
        <v>0</v>
      </c>
      <c r="IE123" s="4">
        <f>IFERROR(HC123/'McDonough &amp; Sun 1995 values'!N$2,)</f>
        <v>0</v>
      </c>
      <c r="IF123" s="4">
        <f>IFERROR(HD123/'McDonough &amp; Sun 1995 values'!O$2,)</f>
        <v>0</v>
      </c>
      <c r="IG123" s="4">
        <f>IFERROR(HE123/'McDonough &amp; Sun 1995 values'!P$2,)</f>
        <v>0</v>
      </c>
      <c r="IH123" s="4">
        <f>IFERROR(HF123/'McDonough &amp; Sun 1995 values'!Q$2,)</f>
        <v>0</v>
      </c>
      <c r="II123" s="4">
        <f>IFERROR(HG123/'McDonough &amp; Sun 1995 values'!R$2,)</f>
        <v>0</v>
      </c>
      <c r="IJ123" s="4">
        <f>IFERROR(HH123/'McDonough &amp; Sun 1995 values'!S$2,)</f>
        <v>0</v>
      </c>
      <c r="IK123" s="4">
        <f>IFERROR(HI123/'McDonough &amp; Sun 1995 values'!T$2,)</f>
        <v>0</v>
      </c>
      <c r="IL123" s="4">
        <f>IFERROR(HJ123/'McDonough &amp; Sun 1995 values'!U$2,)</f>
        <v>0</v>
      </c>
      <c r="IM123" s="4">
        <f>IFERROR(HK123/'McDonough &amp; Sun 1995 values'!V$2,)</f>
        <v>0</v>
      </c>
      <c r="IN123" s="4">
        <f>IFERROR(HL123/'McDonough &amp; Sun 1995 values'!W$2,)</f>
        <v>0</v>
      </c>
      <c r="IO123" s="4">
        <f>IFERROR(HM123/'McDonough &amp; Sun 1995 values'!X$2,)</f>
        <v>0</v>
      </c>
      <c r="IP123" s="4">
        <f>IFERROR(HN123/'McDonough &amp; Sun 1995 values'!Y$2,)</f>
        <v>0</v>
      </c>
      <c r="IQ123" s="4">
        <f>IFERROR(HO123/'McDonough &amp; Sun 1995 values'!Z$2,)</f>
        <v>0</v>
      </c>
      <c r="IR123" s="4">
        <f>IFERROR(HP123/'McDonough &amp; Sun 1995 values'!AA$2,)</f>
        <v>0</v>
      </c>
      <c r="IS123" s="4">
        <f>IFERROR(HQ123/'McDonough &amp; Sun 1995 values'!AB$2,)</f>
        <v>0</v>
      </c>
      <c r="IT123" s="4">
        <f>IFERROR(HR123/'McDonough &amp; Sun 1995 values'!AC$2,)</f>
        <v>0</v>
      </c>
    </row>
    <row r="124" spans="1:254">
      <c r="A124" s="16" t="s">
        <v>750</v>
      </c>
      <c r="B124" s="16" t="s">
        <v>24</v>
      </c>
      <c r="C124" s="16" t="str">
        <f t="shared" si="144"/>
        <v>saline</v>
      </c>
      <c r="D124" s="16" t="s">
        <v>1716</v>
      </c>
      <c r="E124" s="16" t="s">
        <v>1394</v>
      </c>
      <c r="F124" s="16" t="s">
        <v>142</v>
      </c>
      <c r="G124" s="16" t="s">
        <v>595</v>
      </c>
      <c r="H124" s="27">
        <v>90.4</v>
      </c>
      <c r="I124" s="16" t="s">
        <v>736</v>
      </c>
      <c r="J124" s="16">
        <v>0</v>
      </c>
      <c r="K124" s="16" t="s">
        <v>751</v>
      </c>
      <c r="L124" s="16" t="s">
        <v>145</v>
      </c>
      <c r="M124" s="16" t="s">
        <v>154</v>
      </c>
      <c r="N124" s="16">
        <v>13</v>
      </c>
      <c r="O124" s="26">
        <v>3.7</v>
      </c>
      <c r="P124" s="26">
        <v>1.2</v>
      </c>
      <c r="Q124" s="26"/>
      <c r="R124" s="26">
        <v>0.4</v>
      </c>
      <c r="S124" s="26">
        <v>20</v>
      </c>
      <c r="T124" s="26">
        <v>2.2000000000000002</v>
      </c>
      <c r="U124" s="26"/>
      <c r="V124" s="26">
        <v>7.7</v>
      </c>
      <c r="W124" s="26">
        <v>2</v>
      </c>
      <c r="X124" s="26">
        <v>30.6</v>
      </c>
      <c r="Y124" s="26"/>
      <c r="Z124" s="26">
        <v>2.2999999999999998</v>
      </c>
      <c r="AA124" s="26"/>
      <c r="AB124" s="26">
        <v>1.8</v>
      </c>
      <c r="AC124" s="26"/>
      <c r="AD124" s="26">
        <v>35.700000000000003</v>
      </c>
      <c r="AE124" s="26">
        <v>0.1</v>
      </c>
      <c r="AF124" s="26"/>
      <c r="AG124" s="26"/>
      <c r="AH124" s="26"/>
      <c r="AI124" s="26">
        <v>6.4</v>
      </c>
      <c r="AJ124" s="26">
        <f t="shared" si="145"/>
        <v>107.60000000000001</v>
      </c>
      <c r="AK124" s="26">
        <f t="shared" si="288"/>
        <v>3.7169648777778406</v>
      </c>
      <c r="AL124" s="26">
        <f t="shared" si="289"/>
        <v>1.2055021225225429</v>
      </c>
      <c r="AM124" s="26">
        <f t="shared" si="290"/>
        <v>0.40183404084084762</v>
      </c>
      <c r="AN124" s="26">
        <f t="shared" si="291"/>
        <v>20.091702042042382</v>
      </c>
      <c r="AO124" s="26">
        <f t="shared" si="292"/>
        <v>2.2100872246246621</v>
      </c>
      <c r="AP124" s="26">
        <f t="shared" si="293"/>
        <v>7.7353052861863167</v>
      </c>
      <c r="AQ124" s="26">
        <f t="shared" si="294"/>
        <v>1.8082531837838141</v>
      </c>
      <c r="AR124" s="26">
        <f t="shared" si="295"/>
        <v>2.0091702042042381</v>
      </c>
      <c r="AS124" s="26">
        <f t="shared" si="296"/>
        <v>30.74030412432484</v>
      </c>
      <c r="AT124" s="26">
        <f t="shared" si="297"/>
        <v>2.3105457348348732</v>
      </c>
      <c r="AU124" s="26">
        <f t="shared" si="298"/>
        <v>35.86368814504565</v>
      </c>
      <c r="AV124" s="26">
        <f t="shared" si="146"/>
        <v>108.09335698618801</v>
      </c>
      <c r="AY124" s="16">
        <v>45</v>
      </c>
      <c r="AZ124" s="16">
        <v>85</v>
      </c>
      <c r="BA124" s="26">
        <v>0.18</v>
      </c>
      <c r="BB124" s="53"/>
      <c r="BC124" s="26">
        <f t="shared" si="302"/>
        <v>0.82184873949579829</v>
      </c>
      <c r="BD124" s="26">
        <f t="shared" si="303"/>
        <v>0.17815126050420169</v>
      </c>
      <c r="BE124" s="16"/>
      <c r="BF124" s="16"/>
      <c r="BG124" s="16"/>
      <c r="BH124" s="16"/>
      <c r="BI124" s="16"/>
      <c r="BJ124" s="16"/>
      <c r="BK124" s="18"/>
      <c r="BL124" s="18"/>
      <c r="BM124" s="18"/>
      <c r="BN124" s="18"/>
      <c r="BO124" s="18"/>
      <c r="BP124" s="18"/>
      <c r="BQ124" s="18"/>
      <c r="BR124" s="18">
        <v>0</v>
      </c>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28"/>
      <c r="DW124" s="28"/>
      <c r="DX124" s="28"/>
      <c r="DY124" s="28"/>
      <c r="DZ124" s="28"/>
      <c r="EA124" s="28"/>
      <c r="EB124" s="28"/>
      <c r="EC124" s="28"/>
      <c r="ED124" s="28"/>
      <c r="EE124" s="28"/>
      <c r="EF124" s="28"/>
      <c r="EG124" s="28"/>
      <c r="EH124" s="28"/>
      <c r="EI124" s="28"/>
      <c r="EJ124" s="18"/>
      <c r="EK124" s="18"/>
      <c r="EL124" s="18">
        <f>IFERROR(CR124/'McDonough &amp; Sun 1995 values'!C$2,)</f>
        <v>0</v>
      </c>
      <c r="EM124" s="18">
        <f>IFERROR(CH124/'McDonough &amp; Sun 1995 values'!D$2,)</f>
        <v>0</v>
      </c>
      <c r="EN124" s="18">
        <f>IFERROR(CS124/'McDonough &amp; Sun 1995 values'!E$2,)</f>
        <v>0</v>
      </c>
      <c r="EO124" s="18">
        <f>IFERROR(DL124/'McDonough &amp; Sun 1995 values'!F$2,)</f>
        <v>0</v>
      </c>
      <c r="EP124" s="18">
        <f>IFERROR(DM124/'McDonough &amp; Sun 1995 values'!G$2,)</f>
        <v>0</v>
      </c>
      <c r="EQ124" s="18">
        <f>IFERROR(BR124/'McDonough &amp; Sun 1995 values'!H$2,)</f>
        <v>0</v>
      </c>
      <c r="ER124" s="18">
        <f>IFERROR(DI124/'McDonough &amp; Sun 1995 values'!I$2,)</f>
        <v>0</v>
      </c>
      <c r="ES124" s="18">
        <f>IFERROR(CM124/'McDonough &amp; Sun 1995 values'!J$2,)</f>
        <v>0</v>
      </c>
      <c r="ET124" s="18">
        <f>IFERROR(CU124/'McDonough &amp; Sun 1995 values'!K$2,)</f>
        <v>0</v>
      </c>
      <c r="EU124" s="18">
        <f>IFERROR(CV124/'McDonough &amp; Sun 1995 values'!L$2,)</f>
        <v>0</v>
      </c>
      <c r="EV124" s="18">
        <f>IFERROR(CW124/'McDonough &amp; Sun 1995 values'!M$2,)</f>
        <v>0</v>
      </c>
      <c r="EW124" s="18">
        <f>IFERROR(CI124/'McDonough &amp; Sun 1995 values'!N$2,)</f>
        <v>0</v>
      </c>
      <c r="EX124" s="18">
        <f>IFERROR(CX124/'McDonough &amp; Sun 1995 values'!O$2,)</f>
        <v>0</v>
      </c>
      <c r="EY124" s="18">
        <f>IFERROR(CY124/'McDonough &amp; Sun 1995 values'!P$2,)</f>
        <v>0</v>
      </c>
      <c r="EZ124" s="18">
        <f>IFERROR(DH124/'McDonough &amp; Sun 1995 values'!Q$2,)</f>
        <v>0</v>
      </c>
      <c r="FA124" s="18">
        <f>IFERROR(CK124/'McDonough &amp; Sun 1995 values'!R$2,)</f>
        <v>0</v>
      </c>
      <c r="FB124" s="18">
        <f>IFERROR(CZ124/'McDonough &amp; Sun 1995 values'!S$2,)</f>
        <v>0</v>
      </c>
      <c r="FC124" s="18">
        <f>IFERROR(BT124/'McDonough &amp; Sun 1995 values'!T$2,)</f>
        <v>0</v>
      </c>
      <c r="FD124" s="18">
        <f>IFERROR(DA124/'McDonough &amp; Sun 1995 values'!U$2,)</f>
        <v>0</v>
      </c>
      <c r="FE124" s="18">
        <f>IFERROR(DN124/'McDonough &amp; Sun 1995 values'!V$2,)</f>
        <v>0</v>
      </c>
      <c r="FF124" s="18">
        <f>IFERROR(DB124/'McDonough &amp; Sun 1995 values'!W$2,)</f>
        <v>0</v>
      </c>
      <c r="FG124" s="18">
        <f>IFERROR(CJ124/'McDonough &amp; Sun 1995 values'!X$2,)</f>
        <v>0</v>
      </c>
      <c r="FH124" s="18">
        <f>IFERROR(DC124/'McDonough &amp; Sun 1995 values'!Y$2,)</f>
        <v>0</v>
      </c>
      <c r="FI124" s="18">
        <f>IFERROR(DD124/'McDonough &amp; Sun 1995 values'!Z$2,)</f>
        <v>0</v>
      </c>
      <c r="FJ124" s="18">
        <f>IFERROR(DE124/'McDonough &amp; Sun 1995 values'!AA$2,)</f>
        <v>0</v>
      </c>
      <c r="FK124" s="18">
        <f>IFERROR(DF124/'McDonough &amp; Sun 1995 values'!AB$2,)</f>
        <v>0</v>
      </c>
      <c r="FL124" s="18">
        <f>IFERROR(DG124/'McDonough &amp; Sun 1995 values'!AC$2,)</f>
        <v>0</v>
      </c>
      <c r="FN124" s="28">
        <f t="shared" si="299"/>
        <v>0</v>
      </c>
      <c r="FO124" s="4">
        <f t="shared" si="231"/>
        <v>0</v>
      </c>
      <c r="FP124" s="4">
        <f t="shared" si="232"/>
        <v>0</v>
      </c>
      <c r="FQ124" s="4">
        <f t="shared" si="233"/>
        <v>0</v>
      </c>
      <c r="FR124" s="4">
        <f t="shared" si="234"/>
        <v>0</v>
      </c>
      <c r="FS124" s="4">
        <f t="shared" si="235"/>
        <v>0</v>
      </c>
      <c r="FT124" s="4">
        <f t="shared" si="236"/>
        <v>0</v>
      </c>
      <c r="FU124" s="4">
        <f t="shared" si="237"/>
        <v>0</v>
      </c>
      <c r="FV124" s="4">
        <f t="shared" si="238"/>
        <v>0</v>
      </c>
      <c r="FW124" s="4">
        <f t="shared" si="239"/>
        <v>0</v>
      </c>
      <c r="FX124" s="4">
        <f t="shared" si="240"/>
        <v>0</v>
      </c>
      <c r="FY124" s="4">
        <f t="shared" si="241"/>
        <v>0</v>
      </c>
      <c r="FZ124" s="4">
        <f t="shared" si="242"/>
        <v>0</v>
      </c>
      <c r="GA124" s="4">
        <f t="shared" si="243"/>
        <v>0</v>
      </c>
      <c r="GB124" s="4">
        <f t="shared" si="244"/>
        <v>0</v>
      </c>
      <c r="GC124" s="4">
        <f t="shared" si="245"/>
        <v>0</v>
      </c>
      <c r="GD124" s="4">
        <f t="shared" si="246"/>
        <v>0</v>
      </c>
      <c r="GE124" s="4">
        <f t="shared" si="247"/>
        <v>0</v>
      </c>
      <c r="GF124" s="4">
        <f t="shared" si="248"/>
        <v>0</v>
      </c>
      <c r="GG124" s="4">
        <f t="shared" si="249"/>
        <v>0</v>
      </c>
      <c r="GH124" s="4">
        <f t="shared" si="250"/>
        <v>0</v>
      </c>
      <c r="GI124" s="4">
        <f t="shared" si="251"/>
        <v>0</v>
      </c>
      <c r="GJ124" s="4">
        <f t="shared" si="252"/>
        <v>0</v>
      </c>
      <c r="GK124" s="4">
        <f t="shared" si="253"/>
        <v>0</v>
      </c>
      <c r="GL124" s="4">
        <f t="shared" si="254"/>
        <v>0</v>
      </c>
      <c r="GM124" s="4">
        <f t="shared" si="255"/>
        <v>0</v>
      </c>
      <c r="GN124" s="4">
        <f t="shared" si="256"/>
        <v>0</v>
      </c>
      <c r="GO124" s="4">
        <f t="shared" si="257"/>
        <v>0</v>
      </c>
      <c r="GP124" s="4">
        <f t="shared" si="258"/>
        <v>0</v>
      </c>
      <c r="GQ124" s="27">
        <f t="shared" si="259"/>
        <v>255186.73211738837</v>
      </c>
      <c r="GR124" s="28" t="str">
        <f t="shared" si="260"/>
        <v/>
      </c>
      <c r="GS124" s="28" t="str">
        <f t="shared" si="261"/>
        <v/>
      </c>
      <c r="GT124" s="28" t="str">
        <f t="shared" si="262"/>
        <v/>
      </c>
      <c r="GU124" s="28" t="str">
        <f t="shared" si="263"/>
        <v/>
      </c>
      <c r="GV124" s="28" t="str">
        <f t="shared" si="264"/>
        <v/>
      </c>
      <c r="GW124" s="28" t="str">
        <f t="shared" si="265"/>
        <v/>
      </c>
      <c r="GX124" s="28" t="str">
        <f t="shared" si="266"/>
        <v/>
      </c>
      <c r="GY124" s="28" t="str">
        <f t="shared" si="267"/>
        <v/>
      </c>
      <c r="GZ124" s="28" t="str">
        <f t="shared" si="268"/>
        <v/>
      </c>
      <c r="HA124" s="28" t="str">
        <f t="shared" si="269"/>
        <v/>
      </c>
      <c r="HB124" s="28" t="str">
        <f t="shared" si="270"/>
        <v/>
      </c>
      <c r="HC124" s="28" t="str">
        <f t="shared" si="271"/>
        <v/>
      </c>
      <c r="HD124" s="28" t="str">
        <f t="shared" si="272"/>
        <v/>
      </c>
      <c r="HE124" s="28" t="str">
        <f t="shared" si="273"/>
        <v/>
      </c>
      <c r="HF124" s="28" t="str">
        <f t="shared" si="274"/>
        <v/>
      </c>
      <c r="HG124" s="28" t="str">
        <f t="shared" si="275"/>
        <v/>
      </c>
      <c r="HH124" s="28" t="str">
        <f t="shared" si="276"/>
        <v/>
      </c>
      <c r="HI124" s="28" t="str">
        <f t="shared" si="277"/>
        <v/>
      </c>
      <c r="HJ124" s="28" t="str">
        <f t="shared" si="278"/>
        <v/>
      </c>
      <c r="HK124" s="28" t="str">
        <f t="shared" si="279"/>
        <v/>
      </c>
      <c r="HL124" s="28" t="str">
        <f t="shared" si="280"/>
        <v/>
      </c>
      <c r="HM124" s="28" t="str">
        <f t="shared" si="281"/>
        <v/>
      </c>
      <c r="HN124" s="28" t="str">
        <f t="shared" si="282"/>
        <v/>
      </c>
      <c r="HO124" s="28" t="str">
        <f t="shared" si="283"/>
        <v/>
      </c>
      <c r="HP124" s="28" t="str">
        <f t="shared" si="284"/>
        <v/>
      </c>
      <c r="HQ124" s="28" t="str">
        <f t="shared" si="285"/>
        <v/>
      </c>
      <c r="HR124" s="28" t="str">
        <f t="shared" si="286"/>
        <v/>
      </c>
      <c r="HT124" s="4">
        <f>IFERROR(GR124/'McDonough &amp; Sun 1995 values'!C$2,)</f>
        <v>0</v>
      </c>
      <c r="HU124" s="4">
        <f>IFERROR(GS124/'McDonough &amp; Sun 1995 values'!D$2,)</f>
        <v>0</v>
      </c>
      <c r="HV124" s="4">
        <f>IFERROR(GT124/'McDonough &amp; Sun 1995 values'!E$2,)</f>
        <v>0</v>
      </c>
      <c r="HW124" s="4">
        <f>IFERROR(GU124/'McDonough &amp; Sun 1995 values'!F$2,)</f>
        <v>0</v>
      </c>
      <c r="HX124" s="4">
        <f>IFERROR(GV124/'McDonough &amp; Sun 1995 values'!G$2,)</f>
        <v>0</v>
      </c>
      <c r="HY124" s="4">
        <f>IFERROR(GW124/'McDonough &amp; Sun 1995 values'!H$2,)</f>
        <v>0</v>
      </c>
      <c r="HZ124" s="4">
        <f>IFERROR(GX124/'McDonough &amp; Sun 1995 values'!I$2,)</f>
        <v>0</v>
      </c>
      <c r="IA124" s="4">
        <f>IFERROR(GY124/'McDonough &amp; Sun 1995 values'!J$2,)</f>
        <v>0</v>
      </c>
      <c r="IB124" s="4">
        <f>IFERROR(GZ124/'McDonough &amp; Sun 1995 values'!K$2,)</f>
        <v>0</v>
      </c>
      <c r="IC124" s="4">
        <f>IFERROR(HA124/'McDonough &amp; Sun 1995 values'!L$2,)</f>
        <v>0</v>
      </c>
      <c r="ID124" s="4">
        <f>IFERROR(HB124/'McDonough &amp; Sun 1995 values'!M$2,)</f>
        <v>0</v>
      </c>
      <c r="IE124" s="4">
        <f>IFERROR(HC124/'McDonough &amp; Sun 1995 values'!N$2,)</f>
        <v>0</v>
      </c>
      <c r="IF124" s="4">
        <f>IFERROR(HD124/'McDonough &amp; Sun 1995 values'!O$2,)</f>
        <v>0</v>
      </c>
      <c r="IG124" s="4">
        <f>IFERROR(HE124/'McDonough &amp; Sun 1995 values'!P$2,)</f>
        <v>0</v>
      </c>
      <c r="IH124" s="4">
        <f>IFERROR(HF124/'McDonough &amp; Sun 1995 values'!Q$2,)</f>
        <v>0</v>
      </c>
      <c r="II124" s="4">
        <f>IFERROR(HG124/'McDonough &amp; Sun 1995 values'!R$2,)</f>
        <v>0</v>
      </c>
      <c r="IJ124" s="4">
        <f>IFERROR(HH124/'McDonough &amp; Sun 1995 values'!S$2,)</f>
        <v>0</v>
      </c>
      <c r="IK124" s="4">
        <f>IFERROR(HI124/'McDonough &amp; Sun 1995 values'!T$2,)</f>
        <v>0</v>
      </c>
      <c r="IL124" s="4">
        <f>IFERROR(HJ124/'McDonough &amp; Sun 1995 values'!U$2,)</f>
        <v>0</v>
      </c>
      <c r="IM124" s="4">
        <f>IFERROR(HK124/'McDonough &amp; Sun 1995 values'!V$2,)</f>
        <v>0</v>
      </c>
      <c r="IN124" s="4">
        <f>IFERROR(HL124/'McDonough &amp; Sun 1995 values'!W$2,)</f>
        <v>0</v>
      </c>
      <c r="IO124" s="4">
        <f>IFERROR(HM124/'McDonough &amp; Sun 1995 values'!X$2,)</f>
        <v>0</v>
      </c>
      <c r="IP124" s="4">
        <f>IFERROR(HN124/'McDonough &amp; Sun 1995 values'!Y$2,)</f>
        <v>0</v>
      </c>
      <c r="IQ124" s="4">
        <f>IFERROR(HO124/'McDonough &amp; Sun 1995 values'!Z$2,)</f>
        <v>0</v>
      </c>
      <c r="IR124" s="4">
        <f>IFERROR(HP124/'McDonough &amp; Sun 1995 values'!AA$2,)</f>
        <v>0</v>
      </c>
      <c r="IS124" s="4">
        <f>IFERROR(HQ124/'McDonough &amp; Sun 1995 values'!AB$2,)</f>
        <v>0</v>
      </c>
      <c r="IT124" s="4">
        <f>IFERROR(HR124/'McDonough &amp; Sun 1995 values'!AC$2,)</f>
        <v>0</v>
      </c>
    </row>
    <row r="125" spans="1:254">
      <c r="A125" s="16" t="s">
        <v>750</v>
      </c>
      <c r="B125" s="16" t="s">
        <v>24</v>
      </c>
      <c r="C125" s="16" t="str">
        <f t="shared" si="144"/>
        <v>saline</v>
      </c>
      <c r="D125" s="16" t="s">
        <v>1716</v>
      </c>
      <c r="E125" s="16" t="s">
        <v>1394</v>
      </c>
      <c r="F125" s="16" t="s">
        <v>142</v>
      </c>
      <c r="G125" s="16" t="s">
        <v>595</v>
      </c>
      <c r="H125" s="27">
        <v>90.4</v>
      </c>
      <c r="I125" s="16" t="s">
        <v>736</v>
      </c>
      <c r="J125" s="16">
        <v>0</v>
      </c>
      <c r="K125" s="16" t="s">
        <v>751</v>
      </c>
      <c r="L125" s="16">
        <v>0</v>
      </c>
      <c r="M125" s="16" t="s">
        <v>155</v>
      </c>
      <c r="N125" s="16">
        <v>11</v>
      </c>
      <c r="O125" s="26">
        <v>8.9</v>
      </c>
      <c r="P125" s="26">
        <v>2.2000000000000002</v>
      </c>
      <c r="Q125" s="26"/>
      <c r="R125" s="26">
        <v>0.6</v>
      </c>
      <c r="S125" s="26">
        <v>22</v>
      </c>
      <c r="T125" s="26">
        <v>2</v>
      </c>
      <c r="U125" s="26"/>
      <c r="V125" s="26">
        <v>7.5</v>
      </c>
      <c r="W125" s="26">
        <v>4.0999999999999996</v>
      </c>
      <c r="X125" s="26">
        <v>25.5</v>
      </c>
      <c r="Y125" s="26"/>
      <c r="Z125" s="26">
        <v>2.1</v>
      </c>
      <c r="AA125" s="26"/>
      <c r="AB125" s="26">
        <v>2</v>
      </c>
      <c r="AC125" s="26"/>
      <c r="AD125" s="26">
        <v>29.3</v>
      </c>
      <c r="AE125" s="26">
        <v>0.1</v>
      </c>
      <c r="AF125" s="26"/>
      <c r="AG125" s="26"/>
      <c r="AH125" s="26"/>
      <c r="AI125" s="26">
        <v>3.7</v>
      </c>
      <c r="AJ125" s="26">
        <f t="shared" si="145"/>
        <v>106.2</v>
      </c>
      <c r="AK125" s="26">
        <f t="shared" si="288"/>
        <v>8.9368313415798255</v>
      </c>
      <c r="AL125" s="26">
        <f t="shared" si="289"/>
        <v>2.209104376570294</v>
      </c>
      <c r="AM125" s="26">
        <f t="shared" si="290"/>
        <v>0.60248301179189834</v>
      </c>
      <c r="AN125" s="26">
        <f t="shared" si="291"/>
        <v>22.091043765702938</v>
      </c>
      <c r="AO125" s="26">
        <f t="shared" si="292"/>
        <v>2.0082767059729942</v>
      </c>
      <c r="AP125" s="26">
        <f t="shared" si="293"/>
        <v>7.5310376473987288</v>
      </c>
      <c r="AQ125" s="26">
        <f t="shared" si="294"/>
        <v>2.0082767059729942</v>
      </c>
      <c r="AR125" s="26">
        <f t="shared" si="295"/>
        <v>4.1169672472446388</v>
      </c>
      <c r="AS125" s="26">
        <f t="shared" si="296"/>
        <v>25.60552800115568</v>
      </c>
      <c r="AT125" s="26">
        <f t="shared" si="297"/>
        <v>2.1086905412716446</v>
      </c>
      <c r="AU125" s="26">
        <f t="shared" si="298"/>
        <v>29.421253742504373</v>
      </c>
      <c r="AV125" s="26">
        <f t="shared" si="146"/>
        <v>106.63949308716602</v>
      </c>
      <c r="AY125" s="16">
        <v>5</v>
      </c>
      <c r="AZ125" s="16">
        <v>35</v>
      </c>
      <c r="BA125" s="26">
        <v>5.5E-2</v>
      </c>
      <c r="BB125" s="53"/>
      <c r="BC125" s="26">
        <f t="shared" si="302"/>
        <v>0.94473918243429733</v>
      </c>
      <c r="BD125" s="26">
        <f t="shared" si="303"/>
        <v>5.5260817565702725E-2</v>
      </c>
      <c r="BE125" s="16"/>
      <c r="BF125" s="16"/>
      <c r="BG125" s="16"/>
      <c r="BH125" s="16"/>
      <c r="BI125" s="16"/>
      <c r="BJ125" s="16"/>
      <c r="BK125" s="18"/>
      <c r="BL125" s="18"/>
      <c r="BM125" s="18"/>
      <c r="BN125" s="18"/>
      <c r="BO125" s="18"/>
      <c r="BP125" s="18"/>
      <c r="BQ125" s="18"/>
      <c r="BR125" s="18">
        <v>0</v>
      </c>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28"/>
      <c r="DW125" s="28"/>
      <c r="DX125" s="28"/>
      <c r="DY125" s="28"/>
      <c r="DZ125" s="28"/>
      <c r="EA125" s="28"/>
      <c r="EB125" s="28"/>
      <c r="EC125" s="28"/>
      <c r="ED125" s="28"/>
      <c r="EE125" s="28"/>
      <c r="EF125" s="28"/>
      <c r="EG125" s="28"/>
      <c r="EH125" s="28"/>
      <c r="EI125" s="28"/>
      <c r="EJ125" s="18"/>
      <c r="EK125" s="18"/>
      <c r="EL125" s="18">
        <f>IFERROR(CR125/'McDonough &amp; Sun 1995 values'!C$2,)</f>
        <v>0</v>
      </c>
      <c r="EM125" s="18">
        <f>IFERROR(CH125/'McDonough &amp; Sun 1995 values'!D$2,)</f>
        <v>0</v>
      </c>
      <c r="EN125" s="18">
        <f>IFERROR(CS125/'McDonough &amp; Sun 1995 values'!E$2,)</f>
        <v>0</v>
      </c>
      <c r="EO125" s="18">
        <f>IFERROR(DL125/'McDonough &amp; Sun 1995 values'!F$2,)</f>
        <v>0</v>
      </c>
      <c r="EP125" s="18">
        <f>IFERROR(DM125/'McDonough &amp; Sun 1995 values'!G$2,)</f>
        <v>0</v>
      </c>
      <c r="EQ125" s="18">
        <f>IFERROR(BR125/'McDonough &amp; Sun 1995 values'!H$2,)</f>
        <v>0</v>
      </c>
      <c r="ER125" s="18">
        <f>IFERROR(DI125/'McDonough &amp; Sun 1995 values'!I$2,)</f>
        <v>0</v>
      </c>
      <c r="ES125" s="18">
        <f>IFERROR(CM125/'McDonough &amp; Sun 1995 values'!J$2,)</f>
        <v>0</v>
      </c>
      <c r="ET125" s="18">
        <f>IFERROR(CU125/'McDonough &amp; Sun 1995 values'!K$2,)</f>
        <v>0</v>
      </c>
      <c r="EU125" s="18">
        <f>IFERROR(CV125/'McDonough &amp; Sun 1995 values'!L$2,)</f>
        <v>0</v>
      </c>
      <c r="EV125" s="18">
        <f>IFERROR(CW125/'McDonough &amp; Sun 1995 values'!M$2,)</f>
        <v>0</v>
      </c>
      <c r="EW125" s="18">
        <f>IFERROR(CI125/'McDonough &amp; Sun 1995 values'!N$2,)</f>
        <v>0</v>
      </c>
      <c r="EX125" s="18">
        <f>IFERROR(CX125/'McDonough &amp; Sun 1995 values'!O$2,)</f>
        <v>0</v>
      </c>
      <c r="EY125" s="18">
        <f>IFERROR(CY125/'McDonough &amp; Sun 1995 values'!P$2,)</f>
        <v>0</v>
      </c>
      <c r="EZ125" s="18">
        <f>IFERROR(DH125/'McDonough &amp; Sun 1995 values'!Q$2,)</f>
        <v>0</v>
      </c>
      <c r="FA125" s="18">
        <f>IFERROR(CK125/'McDonough &amp; Sun 1995 values'!R$2,)</f>
        <v>0</v>
      </c>
      <c r="FB125" s="18">
        <f>IFERROR(CZ125/'McDonough &amp; Sun 1995 values'!S$2,)</f>
        <v>0</v>
      </c>
      <c r="FC125" s="18">
        <f>IFERROR(BT125/'McDonough &amp; Sun 1995 values'!T$2,)</f>
        <v>0</v>
      </c>
      <c r="FD125" s="18">
        <f>IFERROR(DA125/'McDonough &amp; Sun 1995 values'!U$2,)</f>
        <v>0</v>
      </c>
      <c r="FE125" s="18">
        <f>IFERROR(DN125/'McDonough &amp; Sun 1995 values'!V$2,)</f>
        <v>0</v>
      </c>
      <c r="FF125" s="18">
        <f>IFERROR(DB125/'McDonough &amp; Sun 1995 values'!W$2,)</f>
        <v>0</v>
      </c>
      <c r="FG125" s="18">
        <f>IFERROR(CJ125/'McDonough &amp; Sun 1995 values'!X$2,)</f>
        <v>0</v>
      </c>
      <c r="FH125" s="18">
        <f>IFERROR(DC125/'McDonough &amp; Sun 1995 values'!Y$2,)</f>
        <v>0</v>
      </c>
      <c r="FI125" s="18">
        <f>IFERROR(DD125/'McDonough &amp; Sun 1995 values'!Z$2,)</f>
        <v>0</v>
      </c>
      <c r="FJ125" s="18">
        <f>IFERROR(DE125/'McDonough &amp; Sun 1995 values'!AA$2,)</f>
        <v>0</v>
      </c>
      <c r="FK125" s="18">
        <f>IFERROR(DF125/'McDonough &amp; Sun 1995 values'!AB$2,)</f>
        <v>0</v>
      </c>
      <c r="FL125" s="18">
        <f>IFERROR(DG125/'McDonough &amp; Sun 1995 values'!AC$2,)</f>
        <v>0</v>
      </c>
      <c r="FN125" s="28">
        <f t="shared" si="299"/>
        <v>0</v>
      </c>
      <c r="FO125" s="4">
        <f t="shared" si="231"/>
        <v>0</v>
      </c>
      <c r="FP125" s="4">
        <f t="shared" si="232"/>
        <v>0</v>
      </c>
      <c r="FQ125" s="4">
        <f t="shared" si="233"/>
        <v>0</v>
      </c>
      <c r="FR125" s="4">
        <f t="shared" si="234"/>
        <v>0</v>
      </c>
      <c r="FS125" s="4">
        <f t="shared" si="235"/>
        <v>0</v>
      </c>
      <c r="FT125" s="4">
        <f t="shared" si="236"/>
        <v>0</v>
      </c>
      <c r="FU125" s="4">
        <f t="shared" si="237"/>
        <v>0</v>
      </c>
      <c r="FV125" s="4">
        <f t="shared" si="238"/>
        <v>0</v>
      </c>
      <c r="FW125" s="4">
        <f t="shared" si="239"/>
        <v>0</v>
      </c>
      <c r="FX125" s="4">
        <f t="shared" si="240"/>
        <v>0</v>
      </c>
      <c r="FY125" s="4">
        <f t="shared" si="241"/>
        <v>0</v>
      </c>
      <c r="FZ125" s="4">
        <f t="shared" si="242"/>
        <v>0</v>
      </c>
      <c r="GA125" s="4">
        <f t="shared" si="243"/>
        <v>0</v>
      </c>
      <c r="GB125" s="4">
        <f t="shared" si="244"/>
        <v>0</v>
      </c>
      <c r="GC125" s="4">
        <f t="shared" si="245"/>
        <v>0</v>
      </c>
      <c r="GD125" s="4">
        <f t="shared" si="246"/>
        <v>0</v>
      </c>
      <c r="GE125" s="4">
        <f t="shared" si="247"/>
        <v>0</v>
      </c>
      <c r="GF125" s="4">
        <f t="shared" si="248"/>
        <v>0</v>
      </c>
      <c r="GG125" s="4">
        <f t="shared" si="249"/>
        <v>0</v>
      </c>
      <c r="GH125" s="4">
        <f t="shared" si="250"/>
        <v>0</v>
      </c>
      <c r="GI125" s="4">
        <f t="shared" si="251"/>
        <v>0</v>
      </c>
      <c r="GJ125" s="4">
        <f t="shared" si="252"/>
        <v>0</v>
      </c>
      <c r="GK125" s="4">
        <f t="shared" si="253"/>
        <v>0</v>
      </c>
      <c r="GL125" s="4">
        <f t="shared" si="254"/>
        <v>0</v>
      </c>
      <c r="GM125" s="4">
        <f t="shared" si="255"/>
        <v>0</v>
      </c>
      <c r="GN125" s="4">
        <f t="shared" si="256"/>
        <v>0</v>
      </c>
      <c r="GO125" s="4">
        <f t="shared" si="257"/>
        <v>0</v>
      </c>
      <c r="GP125" s="4">
        <f t="shared" si="258"/>
        <v>0</v>
      </c>
      <c r="GQ125" s="27">
        <f t="shared" si="259"/>
        <v>212561.04000560907</v>
      </c>
      <c r="GR125" s="28" t="str">
        <f t="shared" si="260"/>
        <v/>
      </c>
      <c r="GS125" s="28" t="str">
        <f t="shared" si="261"/>
        <v/>
      </c>
      <c r="GT125" s="28" t="str">
        <f t="shared" si="262"/>
        <v/>
      </c>
      <c r="GU125" s="28" t="str">
        <f t="shared" si="263"/>
        <v/>
      </c>
      <c r="GV125" s="28" t="str">
        <f t="shared" si="264"/>
        <v/>
      </c>
      <c r="GW125" s="28" t="str">
        <f t="shared" si="265"/>
        <v/>
      </c>
      <c r="GX125" s="28" t="str">
        <f t="shared" si="266"/>
        <v/>
      </c>
      <c r="GY125" s="28" t="str">
        <f t="shared" si="267"/>
        <v/>
      </c>
      <c r="GZ125" s="28" t="str">
        <f t="shared" si="268"/>
        <v/>
      </c>
      <c r="HA125" s="28" t="str">
        <f t="shared" si="269"/>
        <v/>
      </c>
      <c r="HB125" s="28" t="str">
        <f t="shared" si="270"/>
        <v/>
      </c>
      <c r="HC125" s="28" t="str">
        <f t="shared" si="271"/>
        <v/>
      </c>
      <c r="HD125" s="28" t="str">
        <f t="shared" si="272"/>
        <v/>
      </c>
      <c r="HE125" s="28" t="str">
        <f t="shared" si="273"/>
        <v/>
      </c>
      <c r="HF125" s="28" t="str">
        <f t="shared" si="274"/>
        <v/>
      </c>
      <c r="HG125" s="28" t="str">
        <f t="shared" si="275"/>
        <v/>
      </c>
      <c r="HH125" s="28" t="str">
        <f t="shared" si="276"/>
        <v/>
      </c>
      <c r="HI125" s="28" t="str">
        <f t="shared" si="277"/>
        <v/>
      </c>
      <c r="HJ125" s="28" t="str">
        <f t="shared" si="278"/>
        <v/>
      </c>
      <c r="HK125" s="28" t="str">
        <f t="shared" si="279"/>
        <v/>
      </c>
      <c r="HL125" s="28" t="str">
        <f t="shared" si="280"/>
        <v/>
      </c>
      <c r="HM125" s="28" t="str">
        <f t="shared" si="281"/>
        <v/>
      </c>
      <c r="HN125" s="28" t="str">
        <f t="shared" si="282"/>
        <v/>
      </c>
      <c r="HO125" s="28" t="str">
        <f t="shared" si="283"/>
        <v/>
      </c>
      <c r="HP125" s="28" t="str">
        <f t="shared" si="284"/>
        <v/>
      </c>
      <c r="HQ125" s="28" t="str">
        <f t="shared" si="285"/>
        <v/>
      </c>
      <c r="HR125" s="28" t="str">
        <f t="shared" si="286"/>
        <v/>
      </c>
      <c r="HT125" s="4">
        <f>IFERROR(GR125/'McDonough &amp; Sun 1995 values'!C$2,)</f>
        <v>0</v>
      </c>
      <c r="HU125" s="4">
        <f>IFERROR(GS125/'McDonough &amp; Sun 1995 values'!D$2,)</f>
        <v>0</v>
      </c>
      <c r="HV125" s="4">
        <f>IFERROR(GT125/'McDonough &amp; Sun 1995 values'!E$2,)</f>
        <v>0</v>
      </c>
      <c r="HW125" s="4">
        <f>IFERROR(GU125/'McDonough &amp; Sun 1995 values'!F$2,)</f>
        <v>0</v>
      </c>
      <c r="HX125" s="4">
        <f>IFERROR(GV125/'McDonough &amp; Sun 1995 values'!G$2,)</f>
        <v>0</v>
      </c>
      <c r="HY125" s="4">
        <f>IFERROR(GW125/'McDonough &amp; Sun 1995 values'!H$2,)</f>
        <v>0</v>
      </c>
      <c r="HZ125" s="4">
        <f>IFERROR(GX125/'McDonough &amp; Sun 1995 values'!I$2,)</f>
        <v>0</v>
      </c>
      <c r="IA125" s="4">
        <f>IFERROR(GY125/'McDonough &amp; Sun 1995 values'!J$2,)</f>
        <v>0</v>
      </c>
      <c r="IB125" s="4">
        <f>IFERROR(GZ125/'McDonough &amp; Sun 1995 values'!K$2,)</f>
        <v>0</v>
      </c>
      <c r="IC125" s="4">
        <f>IFERROR(HA125/'McDonough &amp; Sun 1995 values'!L$2,)</f>
        <v>0</v>
      </c>
      <c r="ID125" s="4">
        <f>IFERROR(HB125/'McDonough &amp; Sun 1995 values'!M$2,)</f>
        <v>0</v>
      </c>
      <c r="IE125" s="4">
        <f>IFERROR(HC125/'McDonough &amp; Sun 1995 values'!N$2,)</f>
        <v>0</v>
      </c>
      <c r="IF125" s="4">
        <f>IFERROR(HD125/'McDonough &amp; Sun 1995 values'!O$2,)</f>
        <v>0</v>
      </c>
      <c r="IG125" s="4">
        <f>IFERROR(HE125/'McDonough &amp; Sun 1995 values'!P$2,)</f>
        <v>0</v>
      </c>
      <c r="IH125" s="4">
        <f>IFERROR(HF125/'McDonough &amp; Sun 1995 values'!Q$2,)</f>
        <v>0</v>
      </c>
      <c r="II125" s="4">
        <f>IFERROR(HG125/'McDonough &amp; Sun 1995 values'!R$2,)</f>
        <v>0</v>
      </c>
      <c r="IJ125" s="4">
        <f>IFERROR(HH125/'McDonough &amp; Sun 1995 values'!S$2,)</f>
        <v>0</v>
      </c>
      <c r="IK125" s="4">
        <f>IFERROR(HI125/'McDonough &amp; Sun 1995 values'!T$2,)</f>
        <v>0</v>
      </c>
      <c r="IL125" s="4">
        <f>IFERROR(HJ125/'McDonough &amp; Sun 1995 values'!U$2,)</f>
        <v>0</v>
      </c>
      <c r="IM125" s="4">
        <f>IFERROR(HK125/'McDonough &amp; Sun 1995 values'!V$2,)</f>
        <v>0</v>
      </c>
      <c r="IN125" s="4">
        <f>IFERROR(HL125/'McDonough &amp; Sun 1995 values'!W$2,)</f>
        <v>0</v>
      </c>
      <c r="IO125" s="4">
        <f>IFERROR(HM125/'McDonough &amp; Sun 1995 values'!X$2,)</f>
        <v>0</v>
      </c>
      <c r="IP125" s="4">
        <f>IFERROR(HN125/'McDonough &amp; Sun 1995 values'!Y$2,)</f>
        <v>0</v>
      </c>
      <c r="IQ125" s="4">
        <f>IFERROR(HO125/'McDonough &amp; Sun 1995 values'!Z$2,)</f>
        <v>0</v>
      </c>
      <c r="IR125" s="4">
        <f>IFERROR(HP125/'McDonough &amp; Sun 1995 values'!AA$2,)</f>
        <v>0</v>
      </c>
      <c r="IS125" s="4">
        <f>IFERROR(HQ125/'McDonough &amp; Sun 1995 values'!AB$2,)</f>
        <v>0</v>
      </c>
      <c r="IT125" s="4">
        <f>IFERROR(HR125/'McDonough &amp; Sun 1995 values'!AC$2,)</f>
        <v>0</v>
      </c>
    </row>
    <row r="126" spans="1:254">
      <c r="A126" s="16" t="s">
        <v>845</v>
      </c>
      <c r="B126" s="16" t="s">
        <v>24</v>
      </c>
      <c r="C126" s="16" t="str">
        <f t="shared" si="144"/>
        <v>saline</v>
      </c>
      <c r="D126" s="16" t="s">
        <v>1707</v>
      </c>
      <c r="E126" s="16" t="s">
        <v>1394</v>
      </c>
      <c r="F126" s="16" t="s">
        <v>142</v>
      </c>
      <c r="G126" s="16" t="s">
        <v>595</v>
      </c>
      <c r="H126" s="27">
        <v>90.4</v>
      </c>
      <c r="I126" s="16" t="s">
        <v>1148</v>
      </c>
      <c r="J126" s="16">
        <v>0</v>
      </c>
      <c r="K126" s="16">
        <v>0</v>
      </c>
      <c r="L126" s="16">
        <v>0</v>
      </c>
      <c r="M126" s="16">
        <v>21</v>
      </c>
      <c r="N126" s="16">
        <v>27</v>
      </c>
      <c r="O126" s="26">
        <v>4.3888888888888893</v>
      </c>
      <c r="P126" s="26"/>
      <c r="Q126" s="26"/>
      <c r="R126" s="26">
        <v>2.2370370370370374</v>
      </c>
      <c r="S126" s="26">
        <v>10.592592592592592</v>
      </c>
      <c r="T126" s="26">
        <v>11.237037037037037</v>
      </c>
      <c r="U126" s="26"/>
      <c r="V126" s="26">
        <v>15.822222222222221</v>
      </c>
      <c r="W126" s="26">
        <v>7.7074074074074082</v>
      </c>
      <c r="X126" s="26">
        <v>26.359259259259261</v>
      </c>
      <c r="Y126" s="26"/>
      <c r="Z126" s="26">
        <v>0.37407407407407406</v>
      </c>
      <c r="AA126" s="26"/>
      <c r="AB126" s="26">
        <v>0</v>
      </c>
      <c r="AC126" s="26"/>
      <c r="AD126" s="26">
        <v>21.31851851851852</v>
      </c>
      <c r="AE126" s="26"/>
      <c r="AF126" s="26"/>
      <c r="AG126" s="26"/>
      <c r="AH126" s="26"/>
      <c r="AI126" s="26">
        <v>6.9296296296296296</v>
      </c>
      <c r="AJ126" s="26">
        <f t="shared" si="145"/>
        <v>100.03703703703704</v>
      </c>
      <c r="AK126" s="26">
        <f t="shared" si="288"/>
        <v>4.6089144133592779</v>
      </c>
      <c r="AL126" s="26">
        <f t="shared" si="289"/>
        <v>0</v>
      </c>
      <c r="AM126" s="26">
        <f t="shared" si="290"/>
        <v>2.349185068075109</v>
      </c>
      <c r="AN126" s="26">
        <f t="shared" si="291"/>
        <v>11.123624660090744</v>
      </c>
      <c r="AO126" s="26">
        <f t="shared" si="292"/>
        <v>11.800376649900462</v>
      </c>
      <c r="AP126" s="26">
        <f t="shared" si="293"/>
        <v>16.615428163604076</v>
      </c>
      <c r="AQ126" s="26">
        <f t="shared" si="294"/>
        <v>0</v>
      </c>
      <c r="AR126" s="26">
        <f t="shared" si="295"/>
        <v>8.0937982229541401</v>
      </c>
      <c r="AS126" s="26">
        <f t="shared" si="296"/>
        <v>27.680712134918128</v>
      </c>
      <c r="AT126" s="26">
        <f t="shared" si="297"/>
        <v>0.39282730442977803</v>
      </c>
      <c r="AU126" s="26">
        <f t="shared" si="298"/>
        <v>22.38726697324557</v>
      </c>
      <c r="AV126" s="26">
        <f t="shared" si="146"/>
        <v>105.05213359057728</v>
      </c>
      <c r="AY126" s="16">
        <v>227</v>
      </c>
      <c r="AZ126" s="16">
        <v>444.5</v>
      </c>
      <c r="BA126" s="26"/>
      <c r="BB126" s="106"/>
      <c r="BC126" s="26">
        <f t="shared" si="302"/>
        <v>0.82706030549632537</v>
      </c>
      <c r="BD126" s="26">
        <f t="shared" si="303"/>
        <v>0.17293969450367469</v>
      </c>
      <c r="BE126" s="25">
        <v>-4.6546700000000003</v>
      </c>
      <c r="BF126" s="16"/>
      <c r="BG126" s="16" t="s">
        <v>1512</v>
      </c>
      <c r="BH126" s="18"/>
      <c r="BI126" s="16"/>
      <c r="BJ126" s="16"/>
      <c r="BK126" s="18"/>
      <c r="BL126" s="18"/>
      <c r="BM126" s="18"/>
      <c r="BN126" s="18"/>
      <c r="BO126" s="18"/>
      <c r="BP126" s="18"/>
      <c r="BQ126" s="18"/>
      <c r="BR126" s="18">
        <v>0</v>
      </c>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28"/>
      <c r="DW126" s="28"/>
      <c r="DX126" s="28"/>
      <c r="DY126" s="28"/>
      <c r="DZ126" s="28"/>
      <c r="EA126" s="28"/>
      <c r="EB126" s="28"/>
      <c r="EC126" s="28"/>
      <c r="ED126" s="28"/>
      <c r="EE126" s="28"/>
      <c r="EF126" s="28"/>
      <c r="EG126" s="28"/>
      <c r="EH126" s="28"/>
      <c r="EI126" s="28"/>
      <c r="EJ126" s="18"/>
      <c r="EK126" s="18"/>
      <c r="EL126" s="18">
        <f>IFERROR(CR126/'McDonough &amp; Sun 1995 values'!C$2,)</f>
        <v>0</v>
      </c>
      <c r="EM126" s="18">
        <f>IFERROR(CH126/'McDonough &amp; Sun 1995 values'!D$2,)</f>
        <v>0</v>
      </c>
      <c r="EN126" s="18">
        <f>IFERROR(CS126/'McDonough &amp; Sun 1995 values'!E$2,)</f>
        <v>0</v>
      </c>
      <c r="EO126" s="18">
        <f>IFERROR(DL126/'McDonough &amp; Sun 1995 values'!F$2,)</f>
        <v>0</v>
      </c>
      <c r="EP126" s="18">
        <f>IFERROR(DM126/'McDonough &amp; Sun 1995 values'!G$2,)</f>
        <v>0</v>
      </c>
      <c r="EQ126" s="18">
        <f>IFERROR(BR126/'McDonough &amp; Sun 1995 values'!H$2,)</f>
        <v>0</v>
      </c>
      <c r="ER126" s="18">
        <f>IFERROR(DI126/'McDonough &amp; Sun 1995 values'!I$2,)</f>
        <v>0</v>
      </c>
      <c r="ES126" s="18">
        <f>IFERROR(CM126/'McDonough &amp; Sun 1995 values'!J$2,)</f>
        <v>0</v>
      </c>
      <c r="ET126" s="18">
        <f>IFERROR(CU126/'McDonough &amp; Sun 1995 values'!K$2,)</f>
        <v>0</v>
      </c>
      <c r="EU126" s="18">
        <f>IFERROR(CV126/'McDonough &amp; Sun 1995 values'!L$2,)</f>
        <v>0</v>
      </c>
      <c r="EV126" s="18">
        <f>IFERROR(CW126/'McDonough &amp; Sun 1995 values'!M$2,)</f>
        <v>0</v>
      </c>
      <c r="EW126" s="18">
        <f>IFERROR(CI126/'McDonough &amp; Sun 1995 values'!N$2,)</f>
        <v>0</v>
      </c>
      <c r="EX126" s="18">
        <f>IFERROR(CX126/'McDonough &amp; Sun 1995 values'!O$2,)</f>
        <v>0</v>
      </c>
      <c r="EY126" s="18">
        <f>IFERROR(CY126/'McDonough &amp; Sun 1995 values'!P$2,)</f>
        <v>0</v>
      </c>
      <c r="EZ126" s="18">
        <f>IFERROR(DH126/'McDonough &amp; Sun 1995 values'!Q$2,)</f>
        <v>0</v>
      </c>
      <c r="FA126" s="18">
        <f>IFERROR(CK126/'McDonough &amp; Sun 1995 values'!R$2,)</f>
        <v>0</v>
      </c>
      <c r="FB126" s="18">
        <f>IFERROR(CZ126/'McDonough &amp; Sun 1995 values'!S$2,)</f>
        <v>0</v>
      </c>
      <c r="FC126" s="18">
        <f>IFERROR(BT126/'McDonough &amp; Sun 1995 values'!T$2,)</f>
        <v>0</v>
      </c>
      <c r="FD126" s="18">
        <f>IFERROR(DA126/'McDonough &amp; Sun 1995 values'!U$2,)</f>
        <v>0</v>
      </c>
      <c r="FE126" s="18">
        <f>IFERROR(DN126/'McDonough &amp; Sun 1995 values'!V$2,)</f>
        <v>0</v>
      </c>
      <c r="FF126" s="18">
        <f>IFERROR(DB126/'McDonough &amp; Sun 1995 values'!W$2,)</f>
        <v>0</v>
      </c>
      <c r="FG126" s="18">
        <f>IFERROR(CJ126/'McDonough &amp; Sun 1995 values'!X$2,)</f>
        <v>0</v>
      </c>
      <c r="FH126" s="18">
        <f>IFERROR(DC126/'McDonough &amp; Sun 1995 values'!Y$2,)</f>
        <v>0</v>
      </c>
      <c r="FI126" s="18">
        <f>IFERROR(DD126/'McDonough &amp; Sun 1995 values'!Z$2,)</f>
        <v>0</v>
      </c>
      <c r="FJ126" s="18">
        <f>IFERROR(DE126/'McDonough &amp; Sun 1995 values'!AA$2,)</f>
        <v>0</v>
      </c>
      <c r="FK126" s="18">
        <f>IFERROR(DF126/'McDonough &amp; Sun 1995 values'!AB$2,)</f>
        <v>0</v>
      </c>
      <c r="FL126" s="18">
        <f>IFERROR(DG126/'McDonough &amp; Sun 1995 values'!AC$2,)</f>
        <v>0</v>
      </c>
      <c r="FN126" s="28">
        <f t="shared" si="299"/>
        <v>0</v>
      </c>
      <c r="FO126" s="4">
        <f t="shared" si="231"/>
        <v>0</v>
      </c>
      <c r="FP126" s="4">
        <f t="shared" si="232"/>
        <v>0</v>
      </c>
      <c r="FQ126" s="4">
        <f t="shared" si="233"/>
        <v>0</v>
      </c>
      <c r="FR126" s="4">
        <f t="shared" si="234"/>
        <v>0</v>
      </c>
      <c r="FS126" s="4">
        <f t="shared" si="235"/>
        <v>0</v>
      </c>
      <c r="FT126" s="4">
        <f t="shared" si="236"/>
        <v>0</v>
      </c>
      <c r="FU126" s="4">
        <f t="shared" si="237"/>
        <v>0</v>
      </c>
      <c r="FV126" s="4">
        <f t="shared" si="238"/>
        <v>0</v>
      </c>
      <c r="FW126" s="4">
        <f t="shared" si="239"/>
        <v>0</v>
      </c>
      <c r="FX126" s="4">
        <f t="shared" si="240"/>
        <v>0</v>
      </c>
      <c r="FY126" s="4">
        <f t="shared" si="241"/>
        <v>0</v>
      </c>
      <c r="FZ126" s="4">
        <f t="shared" si="242"/>
        <v>0</v>
      </c>
      <c r="GA126" s="4">
        <f t="shared" si="243"/>
        <v>0</v>
      </c>
      <c r="GB126" s="4">
        <f t="shared" si="244"/>
        <v>0</v>
      </c>
      <c r="GC126" s="4">
        <f t="shared" si="245"/>
        <v>0</v>
      </c>
      <c r="GD126" s="4">
        <f t="shared" si="246"/>
        <v>0</v>
      </c>
      <c r="GE126" s="4">
        <f t="shared" si="247"/>
        <v>0</v>
      </c>
      <c r="GF126" s="4">
        <f t="shared" si="248"/>
        <v>0</v>
      </c>
      <c r="GG126" s="4">
        <f t="shared" si="249"/>
        <v>0</v>
      </c>
      <c r="GH126" s="4">
        <f t="shared" si="250"/>
        <v>0</v>
      </c>
      <c r="GI126" s="4">
        <f t="shared" si="251"/>
        <v>0</v>
      </c>
      <c r="GJ126" s="4">
        <f t="shared" si="252"/>
        <v>0</v>
      </c>
      <c r="GK126" s="4">
        <f t="shared" si="253"/>
        <v>0</v>
      </c>
      <c r="GL126" s="4">
        <f t="shared" si="254"/>
        <v>0</v>
      </c>
      <c r="GM126" s="4">
        <f t="shared" si="255"/>
        <v>0</v>
      </c>
      <c r="GN126" s="4">
        <f t="shared" si="256"/>
        <v>0</v>
      </c>
      <c r="GO126" s="4">
        <f t="shared" si="257"/>
        <v>0</v>
      </c>
      <c r="GP126" s="4">
        <f t="shared" si="258"/>
        <v>0</v>
      </c>
      <c r="GQ126" s="27">
        <f t="shared" si="259"/>
        <v>229787.91764139835</v>
      </c>
      <c r="GR126" s="28" t="str">
        <f t="shared" si="260"/>
        <v/>
      </c>
      <c r="GS126" s="28" t="str">
        <f t="shared" si="261"/>
        <v/>
      </c>
      <c r="GT126" s="28" t="str">
        <f t="shared" si="262"/>
        <v/>
      </c>
      <c r="GU126" s="28" t="str">
        <f t="shared" si="263"/>
        <v/>
      </c>
      <c r="GV126" s="28" t="str">
        <f t="shared" si="264"/>
        <v/>
      </c>
      <c r="GW126" s="28" t="str">
        <f t="shared" si="265"/>
        <v/>
      </c>
      <c r="GX126" s="28" t="str">
        <f t="shared" si="266"/>
        <v/>
      </c>
      <c r="GY126" s="28" t="str">
        <f t="shared" si="267"/>
        <v/>
      </c>
      <c r="GZ126" s="28" t="str">
        <f t="shared" si="268"/>
        <v/>
      </c>
      <c r="HA126" s="28" t="str">
        <f t="shared" si="269"/>
        <v/>
      </c>
      <c r="HB126" s="28" t="str">
        <f t="shared" si="270"/>
        <v/>
      </c>
      <c r="HC126" s="28" t="str">
        <f t="shared" si="271"/>
        <v/>
      </c>
      <c r="HD126" s="28" t="str">
        <f t="shared" si="272"/>
        <v/>
      </c>
      <c r="HE126" s="28" t="str">
        <f t="shared" si="273"/>
        <v/>
      </c>
      <c r="HF126" s="28" t="str">
        <f t="shared" si="274"/>
        <v/>
      </c>
      <c r="HG126" s="28" t="str">
        <f t="shared" si="275"/>
        <v/>
      </c>
      <c r="HH126" s="28" t="str">
        <f t="shared" si="276"/>
        <v/>
      </c>
      <c r="HI126" s="28" t="str">
        <f t="shared" si="277"/>
        <v/>
      </c>
      <c r="HJ126" s="28" t="str">
        <f t="shared" si="278"/>
        <v/>
      </c>
      <c r="HK126" s="28" t="str">
        <f t="shared" si="279"/>
        <v/>
      </c>
      <c r="HL126" s="28" t="str">
        <f t="shared" si="280"/>
        <v/>
      </c>
      <c r="HM126" s="28" t="str">
        <f t="shared" si="281"/>
        <v/>
      </c>
      <c r="HN126" s="28" t="str">
        <f t="shared" si="282"/>
        <v/>
      </c>
      <c r="HO126" s="28" t="str">
        <f t="shared" si="283"/>
        <v/>
      </c>
      <c r="HP126" s="28" t="str">
        <f t="shared" si="284"/>
        <v/>
      </c>
      <c r="HQ126" s="28" t="str">
        <f t="shared" si="285"/>
        <v/>
      </c>
      <c r="HR126" s="28" t="str">
        <f t="shared" si="286"/>
        <v/>
      </c>
      <c r="HT126" s="4">
        <f>IFERROR(GR126/'McDonough &amp; Sun 1995 values'!C$2,)</f>
        <v>0</v>
      </c>
      <c r="HU126" s="4">
        <f>IFERROR(GS126/'McDonough &amp; Sun 1995 values'!D$2,)</f>
        <v>0</v>
      </c>
      <c r="HV126" s="4">
        <f>IFERROR(GT126/'McDonough &amp; Sun 1995 values'!E$2,)</f>
        <v>0</v>
      </c>
      <c r="HW126" s="4">
        <f>IFERROR(GU126/'McDonough &amp; Sun 1995 values'!F$2,)</f>
        <v>0</v>
      </c>
      <c r="HX126" s="4">
        <f>IFERROR(GV126/'McDonough &amp; Sun 1995 values'!G$2,)</f>
        <v>0</v>
      </c>
      <c r="HY126" s="4">
        <f>IFERROR(GW126/'McDonough &amp; Sun 1995 values'!H$2,)</f>
        <v>0</v>
      </c>
      <c r="HZ126" s="4">
        <f>IFERROR(GX126/'McDonough &amp; Sun 1995 values'!I$2,)</f>
        <v>0</v>
      </c>
      <c r="IA126" s="4">
        <f>IFERROR(GY126/'McDonough &amp; Sun 1995 values'!J$2,)</f>
        <v>0</v>
      </c>
      <c r="IB126" s="4">
        <f>IFERROR(GZ126/'McDonough &amp; Sun 1995 values'!K$2,)</f>
        <v>0</v>
      </c>
      <c r="IC126" s="4">
        <f>IFERROR(HA126/'McDonough &amp; Sun 1995 values'!L$2,)</f>
        <v>0</v>
      </c>
      <c r="ID126" s="4">
        <f>IFERROR(HB126/'McDonough &amp; Sun 1995 values'!M$2,)</f>
        <v>0</v>
      </c>
      <c r="IE126" s="4">
        <f>IFERROR(HC126/'McDonough &amp; Sun 1995 values'!N$2,)</f>
        <v>0</v>
      </c>
      <c r="IF126" s="4">
        <f>IFERROR(HD126/'McDonough &amp; Sun 1995 values'!O$2,)</f>
        <v>0</v>
      </c>
      <c r="IG126" s="4">
        <f>IFERROR(HE126/'McDonough &amp; Sun 1995 values'!P$2,)</f>
        <v>0</v>
      </c>
      <c r="IH126" s="4">
        <f>IFERROR(HF126/'McDonough &amp; Sun 1995 values'!Q$2,)</f>
        <v>0</v>
      </c>
      <c r="II126" s="4">
        <f>IFERROR(HG126/'McDonough &amp; Sun 1995 values'!R$2,)</f>
        <v>0</v>
      </c>
      <c r="IJ126" s="4">
        <f>IFERROR(HH126/'McDonough &amp; Sun 1995 values'!S$2,)</f>
        <v>0</v>
      </c>
      <c r="IK126" s="4">
        <f>IFERROR(HI126/'McDonough &amp; Sun 1995 values'!T$2,)</f>
        <v>0</v>
      </c>
      <c r="IL126" s="4">
        <f>IFERROR(HJ126/'McDonough &amp; Sun 1995 values'!U$2,)</f>
        <v>0</v>
      </c>
      <c r="IM126" s="4">
        <f>IFERROR(HK126/'McDonough &amp; Sun 1995 values'!V$2,)</f>
        <v>0</v>
      </c>
      <c r="IN126" s="4">
        <f>IFERROR(HL126/'McDonough &amp; Sun 1995 values'!W$2,)</f>
        <v>0</v>
      </c>
      <c r="IO126" s="4">
        <f>IFERROR(HM126/'McDonough &amp; Sun 1995 values'!X$2,)</f>
        <v>0</v>
      </c>
      <c r="IP126" s="4">
        <f>IFERROR(HN126/'McDonough &amp; Sun 1995 values'!Y$2,)</f>
        <v>0</v>
      </c>
      <c r="IQ126" s="4">
        <f>IFERROR(HO126/'McDonough &amp; Sun 1995 values'!Z$2,)</f>
        <v>0</v>
      </c>
      <c r="IR126" s="4">
        <f>IFERROR(HP126/'McDonough &amp; Sun 1995 values'!AA$2,)</f>
        <v>0</v>
      </c>
      <c r="IS126" s="4">
        <f>IFERROR(HQ126/'McDonough &amp; Sun 1995 values'!AB$2,)</f>
        <v>0</v>
      </c>
      <c r="IT126" s="4">
        <f>IFERROR(HR126/'McDonough &amp; Sun 1995 values'!AC$2,)</f>
        <v>0</v>
      </c>
    </row>
    <row r="127" spans="1:254">
      <c r="A127" s="16" t="s">
        <v>845</v>
      </c>
      <c r="B127" s="16" t="s">
        <v>24</v>
      </c>
      <c r="C127" s="16" t="str">
        <f t="shared" si="144"/>
        <v>saline</v>
      </c>
      <c r="D127" s="16" t="s">
        <v>119</v>
      </c>
      <c r="E127" s="16" t="s">
        <v>1394</v>
      </c>
      <c r="F127" s="16" t="s">
        <v>142</v>
      </c>
      <c r="G127" s="16" t="s">
        <v>595</v>
      </c>
      <c r="H127" s="27">
        <v>90.4</v>
      </c>
      <c r="I127" s="16" t="s">
        <v>1148</v>
      </c>
      <c r="J127" s="16">
        <v>0</v>
      </c>
      <c r="K127" s="16">
        <v>0</v>
      </c>
      <c r="L127" s="16">
        <v>0</v>
      </c>
      <c r="M127" s="16">
        <v>23</v>
      </c>
      <c r="N127" s="16">
        <v>39</v>
      </c>
      <c r="O127" s="26">
        <v>1.6846153846153846</v>
      </c>
      <c r="P127" s="26">
        <v>9.7435897435897451E-2</v>
      </c>
      <c r="Q127" s="26"/>
      <c r="R127" s="26">
        <v>0.56923076923076921</v>
      </c>
      <c r="S127" s="26">
        <v>16.007692307692306</v>
      </c>
      <c r="T127" s="26">
        <v>4.476923076923077</v>
      </c>
      <c r="U127" s="26"/>
      <c r="V127" s="26">
        <v>7.3871794871794876</v>
      </c>
      <c r="W127" s="26">
        <v>16.397435897435898</v>
      </c>
      <c r="X127" s="26">
        <v>21.974358974358974</v>
      </c>
      <c r="Y127" s="26"/>
      <c r="Z127" s="26">
        <v>0.3923076923076923</v>
      </c>
      <c r="AA127" s="26"/>
      <c r="AB127" s="26">
        <v>0</v>
      </c>
      <c r="AC127" s="26"/>
      <c r="AD127" s="26">
        <v>31.04615384615385</v>
      </c>
      <c r="AE127" s="26"/>
      <c r="AF127" s="26"/>
      <c r="AG127" s="26"/>
      <c r="AH127" s="26"/>
      <c r="AI127" s="26">
        <v>11.843589743589742</v>
      </c>
      <c r="AJ127" s="26">
        <f t="shared" si="145"/>
        <v>100.03333333333333</v>
      </c>
      <c r="AK127" s="26">
        <f t="shared" si="288"/>
        <v>1.810885747611169</v>
      </c>
      <c r="AL127" s="26">
        <f t="shared" si="289"/>
        <v>0.10473920610232031</v>
      </c>
      <c r="AM127" s="26">
        <f t="shared" si="290"/>
        <v>0.61189746722934479</v>
      </c>
      <c r="AN127" s="26">
        <f t="shared" si="291"/>
        <v>17.207549044652247</v>
      </c>
      <c r="AO127" s="26">
        <f t="shared" si="292"/>
        <v>4.8124908909118735</v>
      </c>
      <c r="AP127" s="26">
        <f t="shared" si="293"/>
        <v>7.9408855994943348</v>
      </c>
      <c r="AQ127" s="26">
        <f t="shared" si="294"/>
        <v>0</v>
      </c>
      <c r="AR127" s="26">
        <f t="shared" si="295"/>
        <v>17.626505869061532</v>
      </c>
      <c r="AS127" s="26">
        <f t="shared" si="296"/>
        <v>23.621447270970652</v>
      </c>
      <c r="AT127" s="26">
        <f t="shared" si="297"/>
        <v>0.42171311930671057</v>
      </c>
      <c r="AU127" s="26">
        <f t="shared" si="298"/>
        <v>33.373218618076159</v>
      </c>
      <c r="AV127" s="26">
        <f t="shared" si="146"/>
        <v>107.53133283341634</v>
      </c>
      <c r="AY127" s="16">
        <v>315</v>
      </c>
      <c r="AZ127" s="16">
        <v>431.5</v>
      </c>
      <c r="BA127" s="26"/>
      <c r="BB127" s="106"/>
      <c r="BC127" s="26">
        <f t="shared" si="302"/>
        <v>0.7698792477200459</v>
      </c>
      <c r="BD127" s="26">
        <f t="shared" si="303"/>
        <v>0.2301207522799541</v>
      </c>
      <c r="BE127" s="25">
        <v>-5.5407700000000002</v>
      </c>
      <c r="BF127" s="16"/>
      <c r="BG127" s="16" t="s">
        <v>1513</v>
      </c>
      <c r="BH127" s="18">
        <v>0</v>
      </c>
      <c r="BI127" s="16"/>
      <c r="BJ127" s="16"/>
      <c r="BK127" s="18"/>
      <c r="BL127" s="18"/>
      <c r="BM127" s="18"/>
      <c r="BN127" s="18"/>
      <c r="BO127" s="18"/>
      <c r="BP127" s="18"/>
      <c r="BQ127" s="18"/>
      <c r="BR127" s="18">
        <v>0</v>
      </c>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28"/>
      <c r="DW127" s="28"/>
      <c r="DX127" s="28"/>
      <c r="DY127" s="28"/>
      <c r="DZ127" s="28"/>
      <c r="EA127" s="28"/>
      <c r="EB127" s="28"/>
      <c r="EC127" s="28"/>
      <c r="ED127" s="28"/>
      <c r="EE127" s="28"/>
      <c r="EF127" s="28"/>
      <c r="EG127" s="28"/>
      <c r="EH127" s="28"/>
      <c r="EI127" s="28"/>
      <c r="EJ127" s="18"/>
      <c r="EK127" s="18"/>
      <c r="EL127" s="18">
        <f>IFERROR(CR127/'McDonough &amp; Sun 1995 values'!C$2,)</f>
        <v>0</v>
      </c>
      <c r="EM127" s="18">
        <f>IFERROR(CH127/'McDonough &amp; Sun 1995 values'!D$2,)</f>
        <v>0</v>
      </c>
      <c r="EN127" s="18">
        <f>IFERROR(CS127/'McDonough &amp; Sun 1995 values'!E$2,)</f>
        <v>0</v>
      </c>
      <c r="EO127" s="18">
        <f>IFERROR(DL127/'McDonough &amp; Sun 1995 values'!F$2,)</f>
        <v>0</v>
      </c>
      <c r="EP127" s="18">
        <f>IFERROR(DM127/'McDonough &amp; Sun 1995 values'!G$2,)</f>
        <v>0</v>
      </c>
      <c r="EQ127" s="18">
        <f>IFERROR(BR127/'McDonough &amp; Sun 1995 values'!H$2,)</f>
        <v>0</v>
      </c>
      <c r="ER127" s="18">
        <f>IFERROR(DI127/'McDonough &amp; Sun 1995 values'!I$2,)</f>
        <v>0</v>
      </c>
      <c r="ES127" s="18">
        <f>IFERROR(CM127/'McDonough &amp; Sun 1995 values'!J$2,)</f>
        <v>0</v>
      </c>
      <c r="ET127" s="18">
        <f>IFERROR(CU127/'McDonough &amp; Sun 1995 values'!K$2,)</f>
        <v>0</v>
      </c>
      <c r="EU127" s="18">
        <f>IFERROR(CV127/'McDonough &amp; Sun 1995 values'!L$2,)</f>
        <v>0</v>
      </c>
      <c r="EV127" s="18">
        <f>IFERROR(CW127/'McDonough &amp; Sun 1995 values'!M$2,)</f>
        <v>0</v>
      </c>
      <c r="EW127" s="18">
        <f>IFERROR(CI127/'McDonough &amp; Sun 1995 values'!N$2,)</f>
        <v>0</v>
      </c>
      <c r="EX127" s="18">
        <f>IFERROR(CX127/'McDonough &amp; Sun 1995 values'!O$2,)</f>
        <v>0</v>
      </c>
      <c r="EY127" s="18">
        <f>IFERROR(CY127/'McDonough &amp; Sun 1995 values'!P$2,)</f>
        <v>0</v>
      </c>
      <c r="EZ127" s="18">
        <f>IFERROR(DH127/'McDonough &amp; Sun 1995 values'!Q$2,)</f>
        <v>0</v>
      </c>
      <c r="FA127" s="18">
        <f>IFERROR(CK127/'McDonough &amp; Sun 1995 values'!R$2,)</f>
        <v>0</v>
      </c>
      <c r="FB127" s="18">
        <f>IFERROR(CZ127/'McDonough &amp; Sun 1995 values'!S$2,)</f>
        <v>0</v>
      </c>
      <c r="FC127" s="18">
        <f>IFERROR(BT127/'McDonough &amp; Sun 1995 values'!T$2,)</f>
        <v>0</v>
      </c>
      <c r="FD127" s="18">
        <f>IFERROR(DA127/'McDonough &amp; Sun 1995 values'!U$2,)</f>
        <v>0</v>
      </c>
      <c r="FE127" s="18">
        <f>IFERROR(DN127/'McDonough &amp; Sun 1995 values'!V$2,)</f>
        <v>0</v>
      </c>
      <c r="FF127" s="18">
        <f>IFERROR(DB127/'McDonough &amp; Sun 1995 values'!W$2,)</f>
        <v>0</v>
      </c>
      <c r="FG127" s="18">
        <f>IFERROR(CJ127/'McDonough &amp; Sun 1995 values'!X$2,)</f>
        <v>0</v>
      </c>
      <c r="FH127" s="18">
        <f>IFERROR(DC127/'McDonough &amp; Sun 1995 values'!Y$2,)</f>
        <v>0</v>
      </c>
      <c r="FI127" s="18">
        <f>IFERROR(DD127/'McDonough &amp; Sun 1995 values'!Z$2,)</f>
        <v>0</v>
      </c>
      <c r="FJ127" s="18">
        <f>IFERROR(DE127/'McDonough &amp; Sun 1995 values'!AA$2,)</f>
        <v>0</v>
      </c>
      <c r="FK127" s="18">
        <f>IFERROR(DF127/'McDonough &amp; Sun 1995 values'!AB$2,)</f>
        <v>0</v>
      </c>
      <c r="FL127" s="18">
        <f>IFERROR(DG127/'McDonough &amp; Sun 1995 values'!AC$2,)</f>
        <v>0</v>
      </c>
      <c r="FN127" s="28">
        <f t="shared" si="299"/>
        <v>0</v>
      </c>
      <c r="FO127" s="4">
        <f t="shared" si="231"/>
        <v>0</v>
      </c>
      <c r="FP127" s="4">
        <f t="shared" si="232"/>
        <v>0</v>
      </c>
      <c r="FQ127" s="4">
        <f t="shared" si="233"/>
        <v>0</v>
      </c>
      <c r="FR127" s="4">
        <f t="shared" si="234"/>
        <v>0</v>
      </c>
      <c r="FS127" s="4">
        <f t="shared" si="235"/>
        <v>0</v>
      </c>
      <c r="FT127" s="4">
        <f t="shared" si="236"/>
        <v>0</v>
      </c>
      <c r="FU127" s="4">
        <f t="shared" si="237"/>
        <v>0</v>
      </c>
      <c r="FV127" s="4">
        <f t="shared" si="238"/>
        <v>0</v>
      </c>
      <c r="FW127" s="4">
        <f t="shared" si="239"/>
        <v>0</v>
      </c>
      <c r="FX127" s="4">
        <f t="shared" si="240"/>
        <v>0</v>
      </c>
      <c r="FY127" s="4">
        <f t="shared" si="241"/>
        <v>0</v>
      </c>
      <c r="FZ127" s="4">
        <f t="shared" si="242"/>
        <v>0</v>
      </c>
      <c r="GA127" s="4">
        <f t="shared" si="243"/>
        <v>0</v>
      </c>
      <c r="GB127" s="4">
        <f t="shared" si="244"/>
        <v>0</v>
      </c>
      <c r="GC127" s="4">
        <f t="shared" si="245"/>
        <v>0</v>
      </c>
      <c r="GD127" s="4">
        <f t="shared" si="246"/>
        <v>0</v>
      </c>
      <c r="GE127" s="4">
        <f t="shared" si="247"/>
        <v>0</v>
      </c>
      <c r="GF127" s="4">
        <f t="shared" si="248"/>
        <v>0</v>
      </c>
      <c r="GG127" s="4">
        <f t="shared" si="249"/>
        <v>0</v>
      </c>
      <c r="GH127" s="4">
        <f t="shared" si="250"/>
        <v>0</v>
      </c>
      <c r="GI127" s="4">
        <f t="shared" si="251"/>
        <v>0</v>
      </c>
      <c r="GJ127" s="4">
        <f t="shared" si="252"/>
        <v>0</v>
      </c>
      <c r="GK127" s="4">
        <f t="shared" si="253"/>
        <v>0</v>
      </c>
      <c r="GL127" s="4">
        <f t="shared" si="254"/>
        <v>0</v>
      </c>
      <c r="GM127" s="4">
        <f t="shared" si="255"/>
        <v>0</v>
      </c>
      <c r="GN127" s="4">
        <f t="shared" si="256"/>
        <v>0</v>
      </c>
      <c r="GO127" s="4">
        <f t="shared" si="257"/>
        <v>0</v>
      </c>
      <c r="GP127" s="4">
        <f t="shared" si="258"/>
        <v>0</v>
      </c>
      <c r="GQ127" s="27">
        <f t="shared" si="259"/>
        <v>196090.44570877665</v>
      </c>
      <c r="GR127" s="28" t="str">
        <f t="shared" si="260"/>
        <v/>
      </c>
      <c r="GS127" s="28" t="str">
        <f t="shared" si="261"/>
        <v/>
      </c>
      <c r="GT127" s="28" t="str">
        <f t="shared" si="262"/>
        <v/>
      </c>
      <c r="GU127" s="28" t="str">
        <f t="shared" si="263"/>
        <v/>
      </c>
      <c r="GV127" s="28" t="str">
        <f t="shared" si="264"/>
        <v/>
      </c>
      <c r="GW127" s="28" t="str">
        <f t="shared" si="265"/>
        <v/>
      </c>
      <c r="GX127" s="28" t="str">
        <f t="shared" si="266"/>
        <v/>
      </c>
      <c r="GY127" s="28" t="str">
        <f t="shared" si="267"/>
        <v/>
      </c>
      <c r="GZ127" s="28" t="str">
        <f t="shared" si="268"/>
        <v/>
      </c>
      <c r="HA127" s="28" t="str">
        <f t="shared" si="269"/>
        <v/>
      </c>
      <c r="HB127" s="28" t="str">
        <f t="shared" si="270"/>
        <v/>
      </c>
      <c r="HC127" s="28" t="str">
        <f t="shared" si="271"/>
        <v/>
      </c>
      <c r="HD127" s="28" t="str">
        <f t="shared" si="272"/>
        <v/>
      </c>
      <c r="HE127" s="28" t="str">
        <f t="shared" si="273"/>
        <v/>
      </c>
      <c r="HF127" s="28" t="str">
        <f t="shared" si="274"/>
        <v/>
      </c>
      <c r="HG127" s="28" t="str">
        <f t="shared" si="275"/>
        <v/>
      </c>
      <c r="HH127" s="28" t="str">
        <f t="shared" si="276"/>
        <v/>
      </c>
      <c r="HI127" s="28" t="str">
        <f t="shared" si="277"/>
        <v/>
      </c>
      <c r="HJ127" s="28" t="str">
        <f t="shared" si="278"/>
        <v/>
      </c>
      <c r="HK127" s="28" t="str">
        <f t="shared" si="279"/>
        <v/>
      </c>
      <c r="HL127" s="28" t="str">
        <f t="shared" si="280"/>
        <v/>
      </c>
      <c r="HM127" s="28" t="str">
        <f t="shared" si="281"/>
        <v/>
      </c>
      <c r="HN127" s="28" t="str">
        <f t="shared" si="282"/>
        <v/>
      </c>
      <c r="HO127" s="28" t="str">
        <f t="shared" si="283"/>
        <v/>
      </c>
      <c r="HP127" s="28" t="str">
        <f t="shared" si="284"/>
        <v/>
      </c>
      <c r="HQ127" s="28" t="str">
        <f t="shared" si="285"/>
        <v/>
      </c>
      <c r="HR127" s="28" t="str">
        <f t="shared" si="286"/>
        <v/>
      </c>
      <c r="HT127" s="4">
        <f>IFERROR(GR127/'McDonough &amp; Sun 1995 values'!C$2,)</f>
        <v>0</v>
      </c>
      <c r="HU127" s="4">
        <f>IFERROR(GS127/'McDonough &amp; Sun 1995 values'!D$2,)</f>
        <v>0</v>
      </c>
      <c r="HV127" s="4">
        <f>IFERROR(GT127/'McDonough &amp; Sun 1995 values'!E$2,)</f>
        <v>0</v>
      </c>
      <c r="HW127" s="4">
        <f>IFERROR(GU127/'McDonough &amp; Sun 1995 values'!F$2,)</f>
        <v>0</v>
      </c>
      <c r="HX127" s="4">
        <f>IFERROR(GV127/'McDonough &amp; Sun 1995 values'!G$2,)</f>
        <v>0</v>
      </c>
      <c r="HY127" s="4">
        <f>IFERROR(GW127/'McDonough &amp; Sun 1995 values'!H$2,)</f>
        <v>0</v>
      </c>
      <c r="HZ127" s="4">
        <f>IFERROR(GX127/'McDonough &amp; Sun 1995 values'!I$2,)</f>
        <v>0</v>
      </c>
      <c r="IA127" s="4">
        <f>IFERROR(GY127/'McDonough &amp; Sun 1995 values'!J$2,)</f>
        <v>0</v>
      </c>
      <c r="IB127" s="4">
        <f>IFERROR(GZ127/'McDonough &amp; Sun 1995 values'!K$2,)</f>
        <v>0</v>
      </c>
      <c r="IC127" s="4">
        <f>IFERROR(HA127/'McDonough &amp; Sun 1995 values'!L$2,)</f>
        <v>0</v>
      </c>
      <c r="ID127" s="4">
        <f>IFERROR(HB127/'McDonough &amp; Sun 1995 values'!M$2,)</f>
        <v>0</v>
      </c>
      <c r="IE127" s="4">
        <f>IFERROR(HC127/'McDonough &amp; Sun 1995 values'!N$2,)</f>
        <v>0</v>
      </c>
      <c r="IF127" s="4">
        <f>IFERROR(HD127/'McDonough &amp; Sun 1995 values'!O$2,)</f>
        <v>0</v>
      </c>
      <c r="IG127" s="4">
        <f>IFERROR(HE127/'McDonough &amp; Sun 1995 values'!P$2,)</f>
        <v>0</v>
      </c>
      <c r="IH127" s="4">
        <f>IFERROR(HF127/'McDonough &amp; Sun 1995 values'!Q$2,)</f>
        <v>0</v>
      </c>
      <c r="II127" s="4">
        <f>IFERROR(HG127/'McDonough &amp; Sun 1995 values'!R$2,)</f>
        <v>0</v>
      </c>
      <c r="IJ127" s="4">
        <f>IFERROR(HH127/'McDonough &amp; Sun 1995 values'!S$2,)</f>
        <v>0</v>
      </c>
      <c r="IK127" s="4">
        <f>IFERROR(HI127/'McDonough &amp; Sun 1995 values'!T$2,)</f>
        <v>0</v>
      </c>
      <c r="IL127" s="4">
        <f>IFERROR(HJ127/'McDonough &amp; Sun 1995 values'!U$2,)</f>
        <v>0</v>
      </c>
      <c r="IM127" s="4">
        <f>IFERROR(HK127/'McDonough &amp; Sun 1995 values'!V$2,)</f>
        <v>0</v>
      </c>
      <c r="IN127" s="4">
        <f>IFERROR(HL127/'McDonough &amp; Sun 1995 values'!W$2,)</f>
        <v>0</v>
      </c>
      <c r="IO127" s="4">
        <f>IFERROR(HM127/'McDonough &amp; Sun 1995 values'!X$2,)</f>
        <v>0</v>
      </c>
      <c r="IP127" s="4">
        <f>IFERROR(HN127/'McDonough &amp; Sun 1995 values'!Y$2,)</f>
        <v>0</v>
      </c>
      <c r="IQ127" s="4">
        <f>IFERROR(HO127/'McDonough &amp; Sun 1995 values'!Z$2,)</f>
        <v>0</v>
      </c>
      <c r="IR127" s="4">
        <f>IFERROR(HP127/'McDonough &amp; Sun 1995 values'!AA$2,)</f>
        <v>0</v>
      </c>
      <c r="IS127" s="4">
        <f>IFERROR(HQ127/'McDonough &amp; Sun 1995 values'!AB$2,)</f>
        <v>0</v>
      </c>
      <c r="IT127" s="4">
        <f>IFERROR(HR127/'McDonough &amp; Sun 1995 values'!AC$2,)</f>
        <v>0</v>
      </c>
    </row>
    <row r="128" spans="1:254">
      <c r="A128" s="16" t="s">
        <v>845</v>
      </c>
      <c r="B128" s="16" t="s">
        <v>24</v>
      </c>
      <c r="C128" s="16" t="str">
        <f t="shared" si="144"/>
        <v>saline</v>
      </c>
      <c r="D128" s="16" t="s">
        <v>119</v>
      </c>
      <c r="E128" s="16" t="s">
        <v>1394</v>
      </c>
      <c r="F128" s="16" t="s">
        <v>142</v>
      </c>
      <c r="G128" s="16" t="s">
        <v>595</v>
      </c>
      <c r="H128" s="27">
        <v>90.4</v>
      </c>
      <c r="I128" s="16" t="s">
        <v>1148</v>
      </c>
      <c r="J128" s="16">
        <v>0</v>
      </c>
      <c r="K128" s="16">
        <v>0</v>
      </c>
      <c r="L128" s="16">
        <v>0</v>
      </c>
      <c r="M128" s="16" t="s">
        <v>506</v>
      </c>
      <c r="N128" s="16">
        <v>19</v>
      </c>
      <c r="O128" s="26">
        <v>4.5</v>
      </c>
      <c r="P128" s="26">
        <v>0.3</v>
      </c>
      <c r="Q128" s="26"/>
      <c r="R128" s="26">
        <v>0.7</v>
      </c>
      <c r="S128" s="26">
        <v>17.399999999999999</v>
      </c>
      <c r="T128" s="26">
        <v>0.8</v>
      </c>
      <c r="U128" s="26"/>
      <c r="V128" s="26">
        <v>4.7</v>
      </c>
      <c r="W128" s="26">
        <v>4.8</v>
      </c>
      <c r="X128" s="26">
        <v>31.8</v>
      </c>
      <c r="Y128" s="26"/>
      <c r="Z128" s="26">
        <v>0.1</v>
      </c>
      <c r="AA128" s="26"/>
      <c r="AB128" s="26">
        <v>0</v>
      </c>
      <c r="AC128" s="26"/>
      <c r="AD128" s="26">
        <v>35.1</v>
      </c>
      <c r="AE128" s="26"/>
      <c r="AF128" s="26"/>
      <c r="AG128" s="26"/>
      <c r="AH128" s="26"/>
      <c r="AI128" s="26">
        <v>9</v>
      </c>
      <c r="AJ128" s="26">
        <f t="shared" si="145"/>
        <v>100.19999999999999</v>
      </c>
      <c r="AK128" s="26">
        <f t="shared" si="288"/>
        <v>4.8765166035417229</v>
      </c>
      <c r="AL128" s="26">
        <f t="shared" si="289"/>
        <v>0.32510110690278149</v>
      </c>
      <c r="AM128" s="26">
        <f t="shared" si="290"/>
        <v>0.75856924943982351</v>
      </c>
      <c r="AN128" s="26">
        <f t="shared" si="291"/>
        <v>18.855864200361328</v>
      </c>
      <c r="AO128" s="26">
        <f t="shared" si="292"/>
        <v>0.86693628507408405</v>
      </c>
      <c r="AP128" s="26">
        <f t="shared" si="293"/>
        <v>5.0932506748102444</v>
      </c>
      <c r="AQ128" s="26">
        <f t="shared" si="294"/>
        <v>0</v>
      </c>
      <c r="AR128" s="26">
        <f t="shared" si="295"/>
        <v>5.2016177104445038</v>
      </c>
      <c r="AS128" s="26">
        <f t="shared" si="296"/>
        <v>34.460717331694845</v>
      </c>
      <c r="AT128" s="26">
        <f t="shared" si="297"/>
        <v>0.10836703563426051</v>
      </c>
      <c r="AU128" s="26">
        <f t="shared" si="298"/>
        <v>38.036829507625441</v>
      </c>
      <c r="AV128" s="26">
        <f t="shared" si="146"/>
        <v>108.58376970552904</v>
      </c>
      <c r="AY128" s="16">
        <v>11</v>
      </c>
      <c r="AZ128" s="16">
        <v>99</v>
      </c>
      <c r="BA128" s="26"/>
      <c r="BB128" s="106"/>
      <c r="BC128" s="26">
        <f t="shared" si="302"/>
        <v>0.95648499191036196</v>
      </c>
      <c r="BD128" s="26">
        <f t="shared" si="303"/>
        <v>4.351500808963802E-2</v>
      </c>
      <c r="BE128" s="25">
        <v>-5.01</v>
      </c>
      <c r="BF128" s="16"/>
      <c r="BG128" s="16" t="s">
        <v>1514</v>
      </c>
      <c r="BH128" s="16" t="s">
        <v>1517</v>
      </c>
      <c r="BI128" s="16"/>
      <c r="BJ128" s="16"/>
      <c r="BK128" s="18"/>
      <c r="BL128" s="18"/>
      <c r="BM128" s="18"/>
      <c r="BN128" s="18"/>
      <c r="BO128" s="18"/>
      <c r="BP128" s="18"/>
      <c r="BQ128" s="18"/>
      <c r="BR128" s="18">
        <v>0</v>
      </c>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28"/>
      <c r="DW128" s="28"/>
      <c r="DX128" s="28"/>
      <c r="DY128" s="28"/>
      <c r="DZ128" s="28"/>
      <c r="EA128" s="28"/>
      <c r="EB128" s="28"/>
      <c r="EC128" s="28"/>
      <c r="ED128" s="28"/>
      <c r="EE128" s="28"/>
      <c r="EF128" s="28"/>
      <c r="EG128" s="28"/>
      <c r="EH128" s="28"/>
      <c r="EI128" s="28"/>
      <c r="EJ128" s="18"/>
      <c r="EK128" s="18"/>
      <c r="EL128" s="18">
        <f>IFERROR(CR128/'McDonough &amp; Sun 1995 values'!C$2,)</f>
        <v>0</v>
      </c>
      <c r="EM128" s="18">
        <f>IFERROR(CH128/'McDonough &amp; Sun 1995 values'!D$2,)</f>
        <v>0</v>
      </c>
      <c r="EN128" s="18">
        <f>IFERROR(CS128/'McDonough &amp; Sun 1995 values'!E$2,)</f>
        <v>0</v>
      </c>
      <c r="EO128" s="18">
        <f>IFERROR(DL128/'McDonough &amp; Sun 1995 values'!F$2,)</f>
        <v>0</v>
      </c>
      <c r="EP128" s="18">
        <f>IFERROR(DM128/'McDonough &amp; Sun 1995 values'!G$2,)</f>
        <v>0</v>
      </c>
      <c r="EQ128" s="18">
        <f>IFERROR(BR128/'McDonough &amp; Sun 1995 values'!H$2,)</f>
        <v>0</v>
      </c>
      <c r="ER128" s="18">
        <f>IFERROR(DI128/'McDonough &amp; Sun 1995 values'!I$2,)</f>
        <v>0</v>
      </c>
      <c r="ES128" s="18">
        <f>IFERROR(CM128/'McDonough &amp; Sun 1995 values'!J$2,)</f>
        <v>0</v>
      </c>
      <c r="ET128" s="18">
        <f>IFERROR(CU128/'McDonough &amp; Sun 1995 values'!K$2,)</f>
        <v>0</v>
      </c>
      <c r="EU128" s="18">
        <f>IFERROR(CV128/'McDonough &amp; Sun 1995 values'!L$2,)</f>
        <v>0</v>
      </c>
      <c r="EV128" s="18">
        <f>IFERROR(CW128/'McDonough &amp; Sun 1995 values'!M$2,)</f>
        <v>0</v>
      </c>
      <c r="EW128" s="18">
        <f>IFERROR(CI128/'McDonough &amp; Sun 1995 values'!N$2,)</f>
        <v>0</v>
      </c>
      <c r="EX128" s="18">
        <f>IFERROR(CX128/'McDonough &amp; Sun 1995 values'!O$2,)</f>
        <v>0</v>
      </c>
      <c r="EY128" s="18">
        <f>IFERROR(CY128/'McDonough &amp; Sun 1995 values'!P$2,)</f>
        <v>0</v>
      </c>
      <c r="EZ128" s="18">
        <f>IFERROR(DH128/'McDonough &amp; Sun 1995 values'!Q$2,)</f>
        <v>0</v>
      </c>
      <c r="FA128" s="18">
        <f>IFERROR(CK128/'McDonough &amp; Sun 1995 values'!R$2,)</f>
        <v>0</v>
      </c>
      <c r="FB128" s="18">
        <f>IFERROR(CZ128/'McDonough &amp; Sun 1995 values'!S$2,)</f>
        <v>0</v>
      </c>
      <c r="FC128" s="18">
        <f>IFERROR(BT128/'McDonough &amp; Sun 1995 values'!T$2,)</f>
        <v>0</v>
      </c>
      <c r="FD128" s="18">
        <f>IFERROR(DA128/'McDonough &amp; Sun 1995 values'!U$2,)</f>
        <v>0</v>
      </c>
      <c r="FE128" s="18">
        <f>IFERROR(DN128/'McDonough &amp; Sun 1995 values'!V$2,)</f>
        <v>0</v>
      </c>
      <c r="FF128" s="18">
        <f>IFERROR(DB128/'McDonough &amp; Sun 1995 values'!W$2,)</f>
        <v>0</v>
      </c>
      <c r="FG128" s="18">
        <f>IFERROR(CJ128/'McDonough &amp; Sun 1995 values'!X$2,)</f>
        <v>0</v>
      </c>
      <c r="FH128" s="18">
        <f>IFERROR(DC128/'McDonough &amp; Sun 1995 values'!Y$2,)</f>
        <v>0</v>
      </c>
      <c r="FI128" s="18">
        <f>IFERROR(DD128/'McDonough &amp; Sun 1995 values'!Z$2,)</f>
        <v>0</v>
      </c>
      <c r="FJ128" s="18">
        <f>IFERROR(DE128/'McDonough &amp; Sun 1995 values'!AA$2,)</f>
        <v>0</v>
      </c>
      <c r="FK128" s="18">
        <f>IFERROR(DF128/'McDonough &amp; Sun 1995 values'!AB$2,)</f>
        <v>0</v>
      </c>
      <c r="FL128" s="18">
        <f>IFERROR(DG128/'McDonough &amp; Sun 1995 values'!AC$2,)</f>
        <v>0</v>
      </c>
      <c r="FN128" s="28">
        <f t="shared" si="299"/>
        <v>0</v>
      </c>
      <c r="FO128" s="4">
        <f t="shared" si="231"/>
        <v>0</v>
      </c>
      <c r="FP128" s="4">
        <f t="shared" si="232"/>
        <v>0</v>
      </c>
      <c r="FQ128" s="4">
        <f t="shared" si="233"/>
        <v>0</v>
      </c>
      <c r="FR128" s="4">
        <f t="shared" si="234"/>
        <v>0</v>
      </c>
      <c r="FS128" s="4">
        <f t="shared" si="235"/>
        <v>0</v>
      </c>
      <c r="FT128" s="4">
        <f t="shared" si="236"/>
        <v>0</v>
      </c>
      <c r="FU128" s="4">
        <f t="shared" si="237"/>
        <v>0</v>
      </c>
      <c r="FV128" s="4">
        <f t="shared" si="238"/>
        <v>0</v>
      </c>
      <c r="FW128" s="4">
        <f t="shared" si="239"/>
        <v>0</v>
      </c>
      <c r="FX128" s="4">
        <f t="shared" si="240"/>
        <v>0</v>
      </c>
      <c r="FY128" s="4">
        <f t="shared" si="241"/>
        <v>0</v>
      </c>
      <c r="FZ128" s="4">
        <f t="shared" si="242"/>
        <v>0</v>
      </c>
      <c r="GA128" s="4">
        <f t="shared" si="243"/>
        <v>0</v>
      </c>
      <c r="GB128" s="4">
        <f t="shared" si="244"/>
        <v>0</v>
      </c>
      <c r="GC128" s="4">
        <f t="shared" si="245"/>
        <v>0</v>
      </c>
      <c r="GD128" s="4">
        <f t="shared" si="246"/>
        <v>0</v>
      </c>
      <c r="GE128" s="4">
        <f t="shared" si="247"/>
        <v>0</v>
      </c>
      <c r="GF128" s="4">
        <f t="shared" si="248"/>
        <v>0</v>
      </c>
      <c r="GG128" s="4">
        <f t="shared" si="249"/>
        <v>0</v>
      </c>
      <c r="GH128" s="4">
        <f t="shared" si="250"/>
        <v>0</v>
      </c>
      <c r="GI128" s="4">
        <f t="shared" si="251"/>
        <v>0</v>
      </c>
      <c r="GJ128" s="4">
        <f t="shared" si="252"/>
        <v>0</v>
      </c>
      <c r="GK128" s="4">
        <f t="shared" si="253"/>
        <v>0</v>
      </c>
      <c r="GL128" s="4">
        <f t="shared" si="254"/>
        <v>0</v>
      </c>
      <c r="GM128" s="4">
        <f t="shared" si="255"/>
        <v>0</v>
      </c>
      <c r="GN128" s="4">
        <f t="shared" si="256"/>
        <v>0</v>
      </c>
      <c r="GO128" s="4">
        <f t="shared" si="257"/>
        <v>0</v>
      </c>
      <c r="GP128" s="4">
        <f t="shared" si="258"/>
        <v>0</v>
      </c>
      <c r="GQ128" s="27">
        <f t="shared" si="259"/>
        <v>286071.270041132</v>
      </c>
      <c r="GR128" s="28" t="str">
        <f t="shared" si="260"/>
        <v/>
      </c>
      <c r="GS128" s="28" t="str">
        <f t="shared" si="261"/>
        <v/>
      </c>
      <c r="GT128" s="28" t="str">
        <f t="shared" si="262"/>
        <v/>
      </c>
      <c r="GU128" s="28" t="str">
        <f t="shared" si="263"/>
        <v/>
      </c>
      <c r="GV128" s="28" t="str">
        <f t="shared" si="264"/>
        <v/>
      </c>
      <c r="GW128" s="28" t="str">
        <f t="shared" si="265"/>
        <v/>
      </c>
      <c r="GX128" s="28" t="str">
        <f t="shared" si="266"/>
        <v/>
      </c>
      <c r="GY128" s="28" t="str">
        <f t="shared" si="267"/>
        <v/>
      </c>
      <c r="GZ128" s="28" t="str">
        <f t="shared" si="268"/>
        <v/>
      </c>
      <c r="HA128" s="28" t="str">
        <f t="shared" si="269"/>
        <v/>
      </c>
      <c r="HB128" s="28" t="str">
        <f t="shared" si="270"/>
        <v/>
      </c>
      <c r="HC128" s="28" t="str">
        <f t="shared" si="271"/>
        <v/>
      </c>
      <c r="HD128" s="28" t="str">
        <f t="shared" si="272"/>
        <v/>
      </c>
      <c r="HE128" s="28" t="str">
        <f t="shared" si="273"/>
        <v/>
      </c>
      <c r="HF128" s="28" t="str">
        <f t="shared" si="274"/>
        <v/>
      </c>
      <c r="HG128" s="28" t="str">
        <f t="shared" si="275"/>
        <v/>
      </c>
      <c r="HH128" s="28" t="str">
        <f t="shared" si="276"/>
        <v/>
      </c>
      <c r="HI128" s="28" t="str">
        <f t="shared" si="277"/>
        <v/>
      </c>
      <c r="HJ128" s="28" t="str">
        <f t="shared" si="278"/>
        <v/>
      </c>
      <c r="HK128" s="28" t="str">
        <f t="shared" si="279"/>
        <v/>
      </c>
      <c r="HL128" s="28" t="str">
        <f t="shared" si="280"/>
        <v/>
      </c>
      <c r="HM128" s="28" t="str">
        <f t="shared" si="281"/>
        <v/>
      </c>
      <c r="HN128" s="28" t="str">
        <f t="shared" si="282"/>
        <v/>
      </c>
      <c r="HO128" s="28" t="str">
        <f t="shared" si="283"/>
        <v/>
      </c>
      <c r="HP128" s="28" t="str">
        <f t="shared" si="284"/>
        <v/>
      </c>
      <c r="HQ128" s="28" t="str">
        <f t="shared" si="285"/>
        <v/>
      </c>
      <c r="HR128" s="28" t="str">
        <f t="shared" si="286"/>
        <v/>
      </c>
      <c r="HT128" s="4">
        <f>IFERROR(GR128/'McDonough &amp; Sun 1995 values'!C$2,)</f>
        <v>0</v>
      </c>
      <c r="HU128" s="4">
        <f>IFERROR(GS128/'McDonough &amp; Sun 1995 values'!D$2,)</f>
        <v>0</v>
      </c>
      <c r="HV128" s="4">
        <f>IFERROR(GT128/'McDonough &amp; Sun 1995 values'!E$2,)</f>
        <v>0</v>
      </c>
      <c r="HW128" s="4">
        <f>IFERROR(GU128/'McDonough &amp; Sun 1995 values'!F$2,)</f>
        <v>0</v>
      </c>
      <c r="HX128" s="4">
        <f>IFERROR(GV128/'McDonough &amp; Sun 1995 values'!G$2,)</f>
        <v>0</v>
      </c>
      <c r="HY128" s="4">
        <f>IFERROR(GW128/'McDonough &amp; Sun 1995 values'!H$2,)</f>
        <v>0</v>
      </c>
      <c r="HZ128" s="4">
        <f>IFERROR(GX128/'McDonough &amp; Sun 1995 values'!I$2,)</f>
        <v>0</v>
      </c>
      <c r="IA128" s="4">
        <f>IFERROR(GY128/'McDonough &amp; Sun 1995 values'!J$2,)</f>
        <v>0</v>
      </c>
      <c r="IB128" s="4">
        <f>IFERROR(GZ128/'McDonough &amp; Sun 1995 values'!K$2,)</f>
        <v>0</v>
      </c>
      <c r="IC128" s="4">
        <f>IFERROR(HA128/'McDonough &amp; Sun 1995 values'!L$2,)</f>
        <v>0</v>
      </c>
      <c r="ID128" s="4">
        <f>IFERROR(HB128/'McDonough &amp; Sun 1995 values'!M$2,)</f>
        <v>0</v>
      </c>
      <c r="IE128" s="4">
        <f>IFERROR(HC128/'McDonough &amp; Sun 1995 values'!N$2,)</f>
        <v>0</v>
      </c>
      <c r="IF128" s="4">
        <f>IFERROR(HD128/'McDonough &amp; Sun 1995 values'!O$2,)</f>
        <v>0</v>
      </c>
      <c r="IG128" s="4">
        <f>IFERROR(HE128/'McDonough &amp; Sun 1995 values'!P$2,)</f>
        <v>0</v>
      </c>
      <c r="IH128" s="4">
        <f>IFERROR(HF128/'McDonough &amp; Sun 1995 values'!Q$2,)</f>
        <v>0</v>
      </c>
      <c r="II128" s="4">
        <f>IFERROR(HG128/'McDonough &amp; Sun 1995 values'!R$2,)</f>
        <v>0</v>
      </c>
      <c r="IJ128" s="4">
        <f>IFERROR(HH128/'McDonough &amp; Sun 1995 values'!S$2,)</f>
        <v>0</v>
      </c>
      <c r="IK128" s="4">
        <f>IFERROR(HI128/'McDonough &amp; Sun 1995 values'!T$2,)</f>
        <v>0</v>
      </c>
      <c r="IL128" s="4">
        <f>IFERROR(HJ128/'McDonough &amp; Sun 1995 values'!U$2,)</f>
        <v>0</v>
      </c>
      <c r="IM128" s="4">
        <f>IFERROR(HK128/'McDonough &amp; Sun 1995 values'!V$2,)</f>
        <v>0</v>
      </c>
      <c r="IN128" s="4">
        <f>IFERROR(HL128/'McDonough &amp; Sun 1995 values'!W$2,)</f>
        <v>0</v>
      </c>
      <c r="IO128" s="4">
        <f>IFERROR(HM128/'McDonough &amp; Sun 1995 values'!X$2,)</f>
        <v>0</v>
      </c>
      <c r="IP128" s="4">
        <f>IFERROR(HN128/'McDonough &amp; Sun 1995 values'!Y$2,)</f>
        <v>0</v>
      </c>
      <c r="IQ128" s="4">
        <f>IFERROR(HO128/'McDonough &amp; Sun 1995 values'!Z$2,)</f>
        <v>0</v>
      </c>
      <c r="IR128" s="4">
        <f>IFERROR(HP128/'McDonough &amp; Sun 1995 values'!AA$2,)</f>
        <v>0</v>
      </c>
      <c r="IS128" s="4">
        <f>IFERROR(HQ128/'McDonough &amp; Sun 1995 values'!AB$2,)</f>
        <v>0</v>
      </c>
      <c r="IT128" s="4">
        <f>IFERROR(HR128/'McDonough &amp; Sun 1995 values'!AC$2,)</f>
        <v>0</v>
      </c>
    </row>
    <row r="129" spans="1:254">
      <c r="A129" s="16" t="s">
        <v>845</v>
      </c>
      <c r="B129" s="16" t="s">
        <v>24</v>
      </c>
      <c r="C129" s="16" t="str">
        <f t="shared" si="144"/>
        <v>saline</v>
      </c>
      <c r="D129" s="16" t="s">
        <v>119</v>
      </c>
      <c r="E129" s="16" t="s">
        <v>1394</v>
      </c>
      <c r="F129" s="16" t="s">
        <v>142</v>
      </c>
      <c r="G129" s="16" t="s">
        <v>595</v>
      </c>
      <c r="H129" s="27">
        <v>90.4</v>
      </c>
      <c r="I129" s="16" t="s">
        <v>1148</v>
      </c>
      <c r="J129" s="16">
        <v>0</v>
      </c>
      <c r="K129" s="16">
        <v>0</v>
      </c>
      <c r="L129" s="16">
        <v>0</v>
      </c>
      <c r="M129" s="16" t="s">
        <v>507</v>
      </c>
      <c r="N129" s="16">
        <v>25</v>
      </c>
      <c r="O129" s="26">
        <v>6.4</v>
      </c>
      <c r="P129" s="26">
        <v>0.1</v>
      </c>
      <c r="Q129" s="26"/>
      <c r="R129" s="26">
        <v>1.4</v>
      </c>
      <c r="S129" s="26">
        <v>13.5</v>
      </c>
      <c r="T129" s="26">
        <v>0.5</v>
      </c>
      <c r="U129" s="26"/>
      <c r="V129" s="26">
        <v>6.6</v>
      </c>
      <c r="W129" s="26">
        <v>1.9</v>
      </c>
      <c r="X129" s="26">
        <v>32</v>
      </c>
      <c r="Y129" s="26"/>
      <c r="Z129" s="26">
        <v>0.3</v>
      </c>
      <c r="AA129" s="26"/>
      <c r="AB129" s="26">
        <v>0</v>
      </c>
      <c r="AC129" s="26"/>
      <c r="AD129" s="26">
        <v>37.200000000000003</v>
      </c>
      <c r="AE129" s="26"/>
      <c r="AF129" s="26"/>
      <c r="AG129" s="26"/>
      <c r="AH129" s="26"/>
      <c r="AI129" s="26">
        <v>12.5</v>
      </c>
      <c r="AJ129" s="26">
        <f t="shared" si="145"/>
        <v>99.9</v>
      </c>
      <c r="AK129" s="26">
        <f t="shared" si="288"/>
        <v>6.994147395614168</v>
      </c>
      <c r="AL129" s="26">
        <f t="shared" si="289"/>
        <v>0.10928355305647137</v>
      </c>
      <c r="AM129" s="26">
        <f t="shared" si="290"/>
        <v>1.5299697427905994</v>
      </c>
      <c r="AN129" s="26">
        <f t="shared" si="291"/>
        <v>14.753279662623637</v>
      </c>
      <c r="AO129" s="26">
        <f t="shared" si="292"/>
        <v>0.54641776528235697</v>
      </c>
      <c r="AP129" s="26">
        <f t="shared" si="293"/>
        <v>7.2127145017271106</v>
      </c>
      <c r="AQ129" s="26">
        <f t="shared" si="294"/>
        <v>0</v>
      </c>
      <c r="AR129" s="26">
        <f t="shared" si="295"/>
        <v>2.0763875080729561</v>
      </c>
      <c r="AS129" s="26">
        <f t="shared" si="296"/>
        <v>34.970736978070846</v>
      </c>
      <c r="AT129" s="26">
        <f t="shared" si="297"/>
        <v>0.32785065916941414</v>
      </c>
      <c r="AU129" s="26">
        <f t="shared" si="298"/>
        <v>40.653481737007354</v>
      </c>
      <c r="AV129" s="26">
        <f t="shared" si="146"/>
        <v>109.17426950341492</v>
      </c>
      <c r="AY129" s="16">
        <v>22</v>
      </c>
      <c r="AZ129" s="16">
        <v>123</v>
      </c>
      <c r="BA129" s="26"/>
      <c r="BB129" s="106"/>
      <c r="BC129" s="26">
        <f t="shared" si="302"/>
        <v>0.93176204500427739</v>
      </c>
      <c r="BD129" s="26">
        <f t="shared" si="303"/>
        <v>6.8237954995722661E-2</v>
      </c>
      <c r="BE129" s="25">
        <v>-3.36375</v>
      </c>
      <c r="BF129" s="16"/>
      <c r="BG129" s="16" t="s">
        <v>1515</v>
      </c>
      <c r="BH129" s="16" t="s">
        <v>1516</v>
      </c>
      <c r="BI129" s="16"/>
      <c r="BJ129" s="16"/>
      <c r="BK129" s="18"/>
      <c r="BL129" s="18"/>
      <c r="BM129" s="18"/>
      <c r="BN129" s="18"/>
      <c r="BO129" s="18"/>
      <c r="BP129" s="18"/>
      <c r="BQ129" s="18"/>
      <c r="BR129" s="18">
        <v>0</v>
      </c>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28"/>
      <c r="DW129" s="28"/>
      <c r="DX129" s="28"/>
      <c r="DY129" s="28"/>
      <c r="DZ129" s="28"/>
      <c r="EA129" s="28"/>
      <c r="EB129" s="28"/>
      <c r="EC129" s="28"/>
      <c r="ED129" s="28"/>
      <c r="EE129" s="28"/>
      <c r="EF129" s="28"/>
      <c r="EG129" s="28"/>
      <c r="EH129" s="28"/>
      <c r="EI129" s="28"/>
      <c r="EJ129" s="18"/>
      <c r="EK129" s="18"/>
      <c r="EL129" s="18">
        <f>IFERROR(CR129/'McDonough &amp; Sun 1995 values'!C$2,)</f>
        <v>0</v>
      </c>
      <c r="EM129" s="18">
        <f>IFERROR(CH129/'McDonough &amp; Sun 1995 values'!D$2,)</f>
        <v>0</v>
      </c>
      <c r="EN129" s="18">
        <f>IFERROR(CS129/'McDonough &amp; Sun 1995 values'!E$2,)</f>
        <v>0</v>
      </c>
      <c r="EO129" s="18">
        <f>IFERROR(DL129/'McDonough &amp; Sun 1995 values'!F$2,)</f>
        <v>0</v>
      </c>
      <c r="EP129" s="18">
        <f>IFERROR(DM129/'McDonough &amp; Sun 1995 values'!G$2,)</f>
        <v>0</v>
      </c>
      <c r="EQ129" s="18">
        <f>IFERROR(BR129/'McDonough &amp; Sun 1995 values'!H$2,)</f>
        <v>0</v>
      </c>
      <c r="ER129" s="18">
        <f>IFERROR(DI129/'McDonough &amp; Sun 1995 values'!I$2,)</f>
        <v>0</v>
      </c>
      <c r="ES129" s="18">
        <f>IFERROR(CM129/'McDonough &amp; Sun 1995 values'!J$2,)</f>
        <v>0</v>
      </c>
      <c r="ET129" s="18">
        <f>IFERROR(CU129/'McDonough &amp; Sun 1995 values'!K$2,)</f>
        <v>0</v>
      </c>
      <c r="EU129" s="18">
        <f>IFERROR(CV129/'McDonough &amp; Sun 1995 values'!L$2,)</f>
        <v>0</v>
      </c>
      <c r="EV129" s="18">
        <f>IFERROR(CW129/'McDonough &amp; Sun 1995 values'!M$2,)</f>
        <v>0</v>
      </c>
      <c r="EW129" s="18">
        <f>IFERROR(CI129/'McDonough &amp; Sun 1995 values'!N$2,)</f>
        <v>0</v>
      </c>
      <c r="EX129" s="18">
        <f>IFERROR(CX129/'McDonough &amp; Sun 1995 values'!O$2,)</f>
        <v>0</v>
      </c>
      <c r="EY129" s="18">
        <f>IFERROR(CY129/'McDonough &amp; Sun 1995 values'!P$2,)</f>
        <v>0</v>
      </c>
      <c r="EZ129" s="18">
        <f>IFERROR(DH129/'McDonough &amp; Sun 1995 values'!Q$2,)</f>
        <v>0</v>
      </c>
      <c r="FA129" s="18">
        <f>IFERROR(CK129/'McDonough &amp; Sun 1995 values'!R$2,)</f>
        <v>0</v>
      </c>
      <c r="FB129" s="18">
        <f>IFERROR(CZ129/'McDonough &amp; Sun 1995 values'!S$2,)</f>
        <v>0</v>
      </c>
      <c r="FC129" s="18">
        <f>IFERROR(BT129/'McDonough &amp; Sun 1995 values'!T$2,)</f>
        <v>0</v>
      </c>
      <c r="FD129" s="18">
        <f>IFERROR(DA129/'McDonough &amp; Sun 1995 values'!U$2,)</f>
        <v>0</v>
      </c>
      <c r="FE129" s="18">
        <f>IFERROR(DN129/'McDonough &amp; Sun 1995 values'!V$2,)</f>
        <v>0</v>
      </c>
      <c r="FF129" s="18">
        <f>IFERROR(DB129/'McDonough &amp; Sun 1995 values'!W$2,)</f>
        <v>0</v>
      </c>
      <c r="FG129" s="18">
        <f>IFERROR(CJ129/'McDonough &amp; Sun 1995 values'!X$2,)</f>
        <v>0</v>
      </c>
      <c r="FH129" s="18">
        <f>IFERROR(DC129/'McDonough &amp; Sun 1995 values'!Y$2,)</f>
        <v>0</v>
      </c>
      <c r="FI129" s="18">
        <f>IFERROR(DD129/'McDonough &amp; Sun 1995 values'!Z$2,)</f>
        <v>0</v>
      </c>
      <c r="FJ129" s="18">
        <f>IFERROR(DE129/'McDonough &amp; Sun 1995 values'!AA$2,)</f>
        <v>0</v>
      </c>
      <c r="FK129" s="18">
        <f>IFERROR(DF129/'McDonough &amp; Sun 1995 values'!AB$2,)</f>
        <v>0</v>
      </c>
      <c r="FL129" s="18">
        <f>IFERROR(DG129/'McDonough &amp; Sun 1995 values'!AC$2,)</f>
        <v>0</v>
      </c>
      <c r="FN129" s="28">
        <f t="shared" si="299"/>
        <v>0</v>
      </c>
      <c r="FO129" s="4">
        <f t="shared" si="231"/>
        <v>0</v>
      </c>
      <c r="FP129" s="4">
        <f t="shared" si="232"/>
        <v>0</v>
      </c>
      <c r="FQ129" s="4">
        <f t="shared" si="233"/>
        <v>0</v>
      </c>
      <c r="FR129" s="4">
        <f t="shared" si="234"/>
        <v>0</v>
      </c>
      <c r="FS129" s="4">
        <f t="shared" si="235"/>
        <v>0</v>
      </c>
      <c r="FT129" s="4">
        <f t="shared" si="236"/>
        <v>0</v>
      </c>
      <c r="FU129" s="4">
        <f t="shared" si="237"/>
        <v>0</v>
      </c>
      <c r="FV129" s="4">
        <f t="shared" si="238"/>
        <v>0</v>
      </c>
      <c r="FW129" s="4">
        <f t="shared" si="239"/>
        <v>0</v>
      </c>
      <c r="FX129" s="4">
        <f t="shared" si="240"/>
        <v>0</v>
      </c>
      <c r="FY129" s="4">
        <f t="shared" si="241"/>
        <v>0</v>
      </c>
      <c r="FZ129" s="4">
        <f t="shared" si="242"/>
        <v>0</v>
      </c>
      <c r="GA129" s="4">
        <f t="shared" si="243"/>
        <v>0</v>
      </c>
      <c r="GB129" s="4">
        <f t="shared" si="244"/>
        <v>0</v>
      </c>
      <c r="GC129" s="4">
        <f t="shared" si="245"/>
        <v>0</v>
      </c>
      <c r="GD129" s="4">
        <f t="shared" si="246"/>
        <v>0</v>
      </c>
      <c r="GE129" s="4">
        <f t="shared" si="247"/>
        <v>0</v>
      </c>
      <c r="GF129" s="4">
        <f t="shared" si="248"/>
        <v>0</v>
      </c>
      <c r="GG129" s="4">
        <f t="shared" si="249"/>
        <v>0</v>
      </c>
      <c r="GH129" s="4">
        <f t="shared" si="250"/>
        <v>0</v>
      </c>
      <c r="GI129" s="4">
        <f t="shared" si="251"/>
        <v>0</v>
      </c>
      <c r="GJ129" s="4">
        <f t="shared" si="252"/>
        <v>0</v>
      </c>
      <c r="GK129" s="4">
        <f t="shared" si="253"/>
        <v>0</v>
      </c>
      <c r="GL129" s="4">
        <f t="shared" si="254"/>
        <v>0</v>
      </c>
      <c r="GM129" s="4">
        <f t="shared" si="255"/>
        <v>0</v>
      </c>
      <c r="GN129" s="4">
        <f t="shared" si="256"/>
        <v>0</v>
      </c>
      <c r="GO129" s="4">
        <f t="shared" si="257"/>
        <v>0</v>
      </c>
      <c r="GP129" s="4">
        <f t="shared" si="258"/>
        <v>0</v>
      </c>
      <c r="GQ129" s="27">
        <f t="shared" si="259"/>
        <v>290305.13338705024</v>
      </c>
      <c r="GR129" s="28" t="str">
        <f t="shared" si="260"/>
        <v/>
      </c>
      <c r="GS129" s="28" t="str">
        <f t="shared" si="261"/>
        <v/>
      </c>
      <c r="GT129" s="28" t="str">
        <f t="shared" si="262"/>
        <v/>
      </c>
      <c r="GU129" s="28" t="str">
        <f t="shared" si="263"/>
        <v/>
      </c>
      <c r="GV129" s="28" t="str">
        <f t="shared" si="264"/>
        <v/>
      </c>
      <c r="GW129" s="28" t="str">
        <f t="shared" si="265"/>
        <v/>
      </c>
      <c r="GX129" s="28" t="str">
        <f t="shared" si="266"/>
        <v/>
      </c>
      <c r="GY129" s="28" t="str">
        <f t="shared" si="267"/>
        <v/>
      </c>
      <c r="GZ129" s="28" t="str">
        <f t="shared" si="268"/>
        <v/>
      </c>
      <c r="HA129" s="28" t="str">
        <f t="shared" si="269"/>
        <v/>
      </c>
      <c r="HB129" s="28" t="str">
        <f t="shared" si="270"/>
        <v/>
      </c>
      <c r="HC129" s="28" t="str">
        <f t="shared" si="271"/>
        <v/>
      </c>
      <c r="HD129" s="28" t="str">
        <f t="shared" si="272"/>
        <v/>
      </c>
      <c r="HE129" s="28" t="str">
        <f t="shared" si="273"/>
        <v/>
      </c>
      <c r="HF129" s="28" t="str">
        <f t="shared" si="274"/>
        <v/>
      </c>
      <c r="HG129" s="28" t="str">
        <f t="shared" si="275"/>
        <v/>
      </c>
      <c r="HH129" s="28" t="str">
        <f t="shared" si="276"/>
        <v/>
      </c>
      <c r="HI129" s="28" t="str">
        <f t="shared" si="277"/>
        <v/>
      </c>
      <c r="HJ129" s="28" t="str">
        <f t="shared" si="278"/>
        <v/>
      </c>
      <c r="HK129" s="28" t="str">
        <f t="shared" si="279"/>
        <v/>
      </c>
      <c r="HL129" s="28" t="str">
        <f t="shared" si="280"/>
        <v/>
      </c>
      <c r="HM129" s="28" t="str">
        <f t="shared" si="281"/>
        <v/>
      </c>
      <c r="HN129" s="28" t="str">
        <f t="shared" si="282"/>
        <v/>
      </c>
      <c r="HO129" s="28" t="str">
        <f t="shared" si="283"/>
        <v/>
      </c>
      <c r="HP129" s="28" t="str">
        <f t="shared" si="284"/>
        <v/>
      </c>
      <c r="HQ129" s="28" t="str">
        <f t="shared" si="285"/>
        <v/>
      </c>
      <c r="HR129" s="28" t="str">
        <f t="shared" si="286"/>
        <v/>
      </c>
      <c r="HT129" s="4">
        <f>IFERROR(GR129/'McDonough &amp; Sun 1995 values'!C$2,)</f>
        <v>0</v>
      </c>
      <c r="HU129" s="4">
        <f>IFERROR(GS129/'McDonough &amp; Sun 1995 values'!D$2,)</f>
        <v>0</v>
      </c>
      <c r="HV129" s="4">
        <f>IFERROR(GT129/'McDonough &amp; Sun 1995 values'!E$2,)</f>
        <v>0</v>
      </c>
      <c r="HW129" s="4">
        <f>IFERROR(GU129/'McDonough &amp; Sun 1995 values'!F$2,)</f>
        <v>0</v>
      </c>
      <c r="HX129" s="4">
        <f>IFERROR(GV129/'McDonough &amp; Sun 1995 values'!G$2,)</f>
        <v>0</v>
      </c>
      <c r="HY129" s="4">
        <f>IFERROR(GW129/'McDonough &amp; Sun 1995 values'!H$2,)</f>
        <v>0</v>
      </c>
      <c r="HZ129" s="4">
        <f>IFERROR(GX129/'McDonough &amp; Sun 1995 values'!I$2,)</f>
        <v>0</v>
      </c>
      <c r="IA129" s="4">
        <f>IFERROR(GY129/'McDonough &amp; Sun 1995 values'!J$2,)</f>
        <v>0</v>
      </c>
      <c r="IB129" s="4">
        <f>IFERROR(GZ129/'McDonough &amp; Sun 1995 values'!K$2,)</f>
        <v>0</v>
      </c>
      <c r="IC129" s="4">
        <f>IFERROR(HA129/'McDonough &amp; Sun 1995 values'!L$2,)</f>
        <v>0</v>
      </c>
      <c r="ID129" s="4">
        <f>IFERROR(HB129/'McDonough &amp; Sun 1995 values'!M$2,)</f>
        <v>0</v>
      </c>
      <c r="IE129" s="4">
        <f>IFERROR(HC129/'McDonough &amp; Sun 1995 values'!N$2,)</f>
        <v>0</v>
      </c>
      <c r="IF129" s="4">
        <f>IFERROR(HD129/'McDonough &amp; Sun 1995 values'!O$2,)</f>
        <v>0</v>
      </c>
      <c r="IG129" s="4">
        <f>IFERROR(HE129/'McDonough &amp; Sun 1995 values'!P$2,)</f>
        <v>0</v>
      </c>
      <c r="IH129" s="4">
        <f>IFERROR(HF129/'McDonough &amp; Sun 1995 values'!Q$2,)</f>
        <v>0</v>
      </c>
      <c r="II129" s="4">
        <f>IFERROR(HG129/'McDonough &amp; Sun 1995 values'!R$2,)</f>
        <v>0</v>
      </c>
      <c r="IJ129" s="4">
        <f>IFERROR(HH129/'McDonough &amp; Sun 1995 values'!S$2,)</f>
        <v>0</v>
      </c>
      <c r="IK129" s="4">
        <f>IFERROR(HI129/'McDonough &amp; Sun 1995 values'!T$2,)</f>
        <v>0</v>
      </c>
      <c r="IL129" s="4">
        <f>IFERROR(HJ129/'McDonough &amp; Sun 1995 values'!U$2,)</f>
        <v>0</v>
      </c>
      <c r="IM129" s="4">
        <f>IFERROR(HK129/'McDonough &amp; Sun 1995 values'!V$2,)</f>
        <v>0</v>
      </c>
      <c r="IN129" s="4">
        <f>IFERROR(HL129/'McDonough &amp; Sun 1995 values'!W$2,)</f>
        <v>0</v>
      </c>
      <c r="IO129" s="4">
        <f>IFERROR(HM129/'McDonough &amp; Sun 1995 values'!X$2,)</f>
        <v>0</v>
      </c>
      <c r="IP129" s="4">
        <f>IFERROR(HN129/'McDonough &amp; Sun 1995 values'!Y$2,)</f>
        <v>0</v>
      </c>
      <c r="IQ129" s="4">
        <f>IFERROR(HO129/'McDonough &amp; Sun 1995 values'!Z$2,)</f>
        <v>0</v>
      </c>
      <c r="IR129" s="4">
        <f>IFERROR(HP129/'McDonough &amp; Sun 1995 values'!AA$2,)</f>
        <v>0</v>
      </c>
      <c r="IS129" s="4">
        <f>IFERROR(HQ129/'McDonough &amp; Sun 1995 values'!AB$2,)</f>
        <v>0</v>
      </c>
      <c r="IT129" s="4">
        <f>IFERROR(HR129/'McDonough &amp; Sun 1995 values'!AC$2,)</f>
        <v>0</v>
      </c>
    </row>
    <row r="130" spans="1:254">
      <c r="A130" s="16" t="s">
        <v>847</v>
      </c>
      <c r="B130" s="16" t="s">
        <v>24</v>
      </c>
      <c r="C130" s="16" t="str">
        <f t="shared" ref="C130:C193" si="304">_xlfn.IFS(AND(AU130&gt;=15),"saline",AND(AK130&gt;=40,AU130&lt;=15),"silicic",AND(AK130&lt;=40,AK130&gt;=20,AO130&lt;=15,AU130&lt;=15),"silicic - low-Mg carbonatitic",AND(AO130&lt;15,AP130&gt;=15,AK130&lt;=20,AU130&lt;=15),"low-Mg carbonatitic",AND(AO130&gt;=15,AK130&lt;=20),"high-Mg carbonatitic")</f>
        <v>saline</v>
      </c>
      <c r="D130" s="16" t="s">
        <v>119</v>
      </c>
      <c r="E130" s="16" t="s">
        <v>1394</v>
      </c>
      <c r="F130" s="16" t="s">
        <v>142</v>
      </c>
      <c r="G130" s="16" t="s">
        <v>595</v>
      </c>
      <c r="H130" s="27">
        <v>90.4</v>
      </c>
      <c r="I130" s="16" t="s">
        <v>1148</v>
      </c>
      <c r="J130" s="16">
        <v>0</v>
      </c>
      <c r="K130" s="16">
        <v>0</v>
      </c>
      <c r="L130" s="16" t="s">
        <v>572</v>
      </c>
      <c r="M130" s="16" t="s">
        <v>565</v>
      </c>
      <c r="N130" s="16">
        <v>30</v>
      </c>
      <c r="O130" s="26">
        <v>1.4753333333333334</v>
      </c>
      <c r="P130" s="26"/>
      <c r="Q130" s="26">
        <v>0.628</v>
      </c>
      <c r="R130" s="26"/>
      <c r="S130" s="26">
        <v>11.432666666666666</v>
      </c>
      <c r="T130" s="26">
        <v>6.91</v>
      </c>
      <c r="U130" s="26"/>
      <c r="V130" s="26">
        <v>10.738</v>
      </c>
      <c r="W130" s="26">
        <v>11.45</v>
      </c>
      <c r="X130" s="26">
        <v>27.269333333333336</v>
      </c>
      <c r="Y130" s="26"/>
      <c r="Z130" s="26">
        <v>0.6386666666666666</v>
      </c>
      <c r="AA130" s="26"/>
      <c r="AB130" s="26">
        <v>0</v>
      </c>
      <c r="AC130" s="26"/>
      <c r="AD130" s="26">
        <v>29.453333333333333</v>
      </c>
      <c r="AE130" s="26"/>
      <c r="AF130" s="26"/>
      <c r="AG130" s="26"/>
      <c r="AH130" s="26"/>
      <c r="AI130" s="26">
        <v>5.2846666666666664</v>
      </c>
      <c r="AJ130" s="26">
        <f t="shared" ref="AJ130:AJ193" si="305">SUM(O130:P130,R130:T130,V130:X130,Z130,AB130,AD130)</f>
        <v>99.367333333333335</v>
      </c>
      <c r="AK130" s="26">
        <f t="shared" si="288"/>
        <v>1.5911602382512016</v>
      </c>
      <c r="AL130" s="26">
        <f t="shared" si="289"/>
        <v>0</v>
      </c>
      <c r="AM130" s="26">
        <f t="shared" si="290"/>
        <v>0</v>
      </c>
      <c r="AN130" s="26">
        <f t="shared" si="291"/>
        <v>12.330233585978242</v>
      </c>
      <c r="AO130" s="26">
        <f t="shared" si="292"/>
        <v>7.4524970038290563</v>
      </c>
      <c r="AP130" s="26">
        <f t="shared" si="293"/>
        <v>11.581029352694125</v>
      </c>
      <c r="AQ130" s="26">
        <f t="shared" si="294"/>
        <v>0</v>
      </c>
      <c r="AR130" s="26">
        <f t="shared" si="295"/>
        <v>12.348927741511243</v>
      </c>
      <c r="AS130" s="26">
        <f t="shared" si="296"/>
        <v>29.410220689302825</v>
      </c>
      <c r="AT130" s="26">
        <f t="shared" si="297"/>
        <v>0.68880773079288327</v>
      </c>
      <c r="AU130" s="26">
        <f t="shared" si="298"/>
        <v>31.765684286460949</v>
      </c>
      <c r="AV130" s="26">
        <f t="shared" ref="AV130:AV193" si="306">SUM(AK130:AU130)</f>
        <v>107.16856062882053</v>
      </c>
      <c r="AW130" s="16"/>
      <c r="AX130" s="16"/>
      <c r="AY130" s="16"/>
      <c r="AZ130" s="16"/>
      <c r="BA130" s="26"/>
      <c r="BB130" s="26"/>
      <c r="BC130" s="26"/>
      <c r="BD130" s="26"/>
      <c r="BE130" s="16"/>
      <c r="BF130" s="16"/>
      <c r="BG130" s="16"/>
      <c r="BH130" s="16"/>
      <c r="BI130" s="16"/>
      <c r="BJ130" s="16"/>
      <c r="BK130" s="18"/>
      <c r="BL130" s="18"/>
      <c r="BM130" s="18"/>
      <c r="BN130" s="18"/>
      <c r="BO130" s="18"/>
      <c r="BP130" s="18"/>
      <c r="BQ130" s="18"/>
      <c r="BR130" s="18">
        <v>0</v>
      </c>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28"/>
      <c r="DW130" s="28"/>
      <c r="DX130" s="28"/>
      <c r="DY130" s="28"/>
      <c r="DZ130" s="28"/>
      <c r="EA130" s="28"/>
      <c r="EB130" s="28"/>
      <c r="EC130" s="28"/>
      <c r="ED130" s="28"/>
      <c r="EE130" s="28"/>
      <c r="EF130" s="28"/>
      <c r="EG130" s="28"/>
      <c r="EH130" s="28"/>
      <c r="EI130" s="28"/>
      <c r="EJ130" s="18"/>
      <c r="EK130" s="18"/>
      <c r="EL130" s="18">
        <f>IFERROR(CR130/'McDonough &amp; Sun 1995 values'!C$2,)</f>
        <v>0</v>
      </c>
      <c r="EM130" s="18">
        <f>IFERROR(CH130/'McDonough &amp; Sun 1995 values'!D$2,)</f>
        <v>0</v>
      </c>
      <c r="EN130" s="18">
        <f>IFERROR(CS130/'McDonough &amp; Sun 1995 values'!E$2,)</f>
        <v>0</v>
      </c>
      <c r="EO130" s="18">
        <f>IFERROR(DL130/'McDonough &amp; Sun 1995 values'!F$2,)</f>
        <v>0</v>
      </c>
      <c r="EP130" s="18">
        <f>IFERROR(DM130/'McDonough &amp; Sun 1995 values'!G$2,)</f>
        <v>0</v>
      </c>
      <c r="EQ130" s="18">
        <f>IFERROR(BR130/'McDonough &amp; Sun 1995 values'!H$2,)</f>
        <v>0</v>
      </c>
      <c r="ER130" s="18">
        <f>IFERROR(DI130/'McDonough &amp; Sun 1995 values'!I$2,)</f>
        <v>0</v>
      </c>
      <c r="ES130" s="18">
        <f>IFERROR(CM130/'McDonough &amp; Sun 1995 values'!J$2,)</f>
        <v>0</v>
      </c>
      <c r="ET130" s="18">
        <f>IFERROR(CU130/'McDonough &amp; Sun 1995 values'!K$2,)</f>
        <v>0</v>
      </c>
      <c r="EU130" s="18">
        <f>IFERROR(CV130/'McDonough &amp; Sun 1995 values'!L$2,)</f>
        <v>0</v>
      </c>
      <c r="EV130" s="18">
        <f>IFERROR(CW130/'McDonough &amp; Sun 1995 values'!M$2,)</f>
        <v>0</v>
      </c>
      <c r="EW130" s="18">
        <f>IFERROR(CI130/'McDonough &amp; Sun 1995 values'!N$2,)</f>
        <v>0</v>
      </c>
      <c r="EX130" s="18">
        <f>IFERROR(CX130/'McDonough &amp; Sun 1995 values'!O$2,)</f>
        <v>0</v>
      </c>
      <c r="EY130" s="18">
        <f>IFERROR(CY130/'McDonough &amp; Sun 1995 values'!P$2,)</f>
        <v>0</v>
      </c>
      <c r="EZ130" s="18">
        <f>IFERROR(DH130/'McDonough &amp; Sun 1995 values'!Q$2,)</f>
        <v>0</v>
      </c>
      <c r="FA130" s="18">
        <f>IFERROR(CK130/'McDonough &amp; Sun 1995 values'!R$2,)</f>
        <v>0</v>
      </c>
      <c r="FB130" s="18">
        <f>IFERROR(CZ130/'McDonough &amp; Sun 1995 values'!S$2,)</f>
        <v>0</v>
      </c>
      <c r="FC130" s="18">
        <f>IFERROR(BT130/'McDonough &amp; Sun 1995 values'!T$2,)</f>
        <v>0</v>
      </c>
      <c r="FD130" s="18">
        <f>IFERROR(DA130/'McDonough &amp; Sun 1995 values'!U$2,)</f>
        <v>0</v>
      </c>
      <c r="FE130" s="18">
        <f>IFERROR(DN130/'McDonough &amp; Sun 1995 values'!V$2,)</f>
        <v>0</v>
      </c>
      <c r="FF130" s="18">
        <f>IFERROR(DB130/'McDonough &amp; Sun 1995 values'!W$2,)</f>
        <v>0</v>
      </c>
      <c r="FG130" s="18">
        <f>IFERROR(CJ130/'McDonough &amp; Sun 1995 values'!X$2,)</f>
        <v>0</v>
      </c>
      <c r="FH130" s="18">
        <f>IFERROR(DC130/'McDonough &amp; Sun 1995 values'!Y$2,)</f>
        <v>0</v>
      </c>
      <c r="FI130" s="18">
        <f>IFERROR(DD130/'McDonough &amp; Sun 1995 values'!Z$2,)</f>
        <v>0</v>
      </c>
      <c r="FJ130" s="18">
        <f>IFERROR(DE130/'McDonough &amp; Sun 1995 values'!AA$2,)</f>
        <v>0</v>
      </c>
      <c r="FK130" s="18">
        <f>IFERROR(DF130/'McDonough &amp; Sun 1995 values'!AB$2,)</f>
        <v>0</v>
      </c>
      <c r="FL130" s="18">
        <f>IFERROR(DG130/'McDonough &amp; Sun 1995 values'!AC$2,)</f>
        <v>0</v>
      </c>
      <c r="FN130" s="28">
        <f t="shared" si="299"/>
        <v>0</v>
      </c>
      <c r="FO130" s="4">
        <f t="shared" si="231"/>
        <v>0</v>
      </c>
      <c r="FP130" s="4">
        <f t="shared" si="232"/>
        <v>0</v>
      </c>
      <c r="FQ130" s="4">
        <f t="shared" si="233"/>
        <v>0</v>
      </c>
      <c r="FR130" s="4">
        <f t="shared" si="234"/>
        <v>0</v>
      </c>
      <c r="FS130" s="4">
        <f t="shared" si="235"/>
        <v>0</v>
      </c>
      <c r="FT130" s="4">
        <f t="shared" si="236"/>
        <v>0</v>
      </c>
      <c r="FU130" s="4">
        <f t="shared" si="237"/>
        <v>0</v>
      </c>
      <c r="FV130" s="4">
        <f t="shared" si="238"/>
        <v>0</v>
      </c>
      <c r="FW130" s="4">
        <f t="shared" si="239"/>
        <v>0</v>
      </c>
      <c r="FX130" s="4">
        <f t="shared" si="240"/>
        <v>0</v>
      </c>
      <c r="FY130" s="4">
        <f t="shared" si="241"/>
        <v>0</v>
      </c>
      <c r="FZ130" s="4">
        <f t="shared" si="242"/>
        <v>0</v>
      </c>
      <c r="GA130" s="4">
        <f t="shared" si="243"/>
        <v>0</v>
      </c>
      <c r="GB130" s="4">
        <f t="shared" si="244"/>
        <v>0</v>
      </c>
      <c r="GC130" s="4">
        <f t="shared" si="245"/>
        <v>0</v>
      </c>
      <c r="GD130" s="4">
        <f t="shared" si="246"/>
        <v>0</v>
      </c>
      <c r="GE130" s="4">
        <f t="shared" si="247"/>
        <v>0</v>
      </c>
      <c r="GF130" s="4">
        <f t="shared" si="248"/>
        <v>0</v>
      </c>
      <c r="GG130" s="4">
        <f t="shared" si="249"/>
        <v>0</v>
      </c>
      <c r="GH130" s="4">
        <f t="shared" si="250"/>
        <v>0</v>
      </c>
      <c r="GI130" s="4">
        <f t="shared" si="251"/>
        <v>0</v>
      </c>
      <c r="GJ130" s="4">
        <f t="shared" si="252"/>
        <v>0</v>
      </c>
      <c r="GK130" s="4">
        <f t="shared" si="253"/>
        <v>0</v>
      </c>
      <c r="GL130" s="4">
        <f t="shared" si="254"/>
        <v>0</v>
      </c>
      <c r="GM130" s="4">
        <f t="shared" si="255"/>
        <v>0</v>
      </c>
      <c r="GN130" s="4">
        <f t="shared" si="256"/>
        <v>0</v>
      </c>
      <c r="GO130" s="4">
        <f t="shared" si="257"/>
        <v>0</v>
      </c>
      <c r="GP130" s="4">
        <f t="shared" si="258"/>
        <v>0</v>
      </c>
      <c r="GQ130" s="27">
        <f t="shared" si="259"/>
        <v>244145.21333949978</v>
      </c>
      <c r="GR130" s="28" t="str">
        <f t="shared" si="260"/>
        <v/>
      </c>
      <c r="GS130" s="28" t="str">
        <f t="shared" si="261"/>
        <v/>
      </c>
      <c r="GT130" s="28" t="str">
        <f t="shared" si="262"/>
        <v/>
      </c>
      <c r="GU130" s="28" t="str">
        <f t="shared" si="263"/>
        <v/>
      </c>
      <c r="GV130" s="28" t="str">
        <f t="shared" si="264"/>
        <v/>
      </c>
      <c r="GW130" s="28" t="str">
        <f t="shared" si="265"/>
        <v/>
      </c>
      <c r="GX130" s="28" t="str">
        <f t="shared" si="266"/>
        <v/>
      </c>
      <c r="GY130" s="28" t="str">
        <f t="shared" si="267"/>
        <v/>
      </c>
      <c r="GZ130" s="28" t="str">
        <f t="shared" si="268"/>
        <v/>
      </c>
      <c r="HA130" s="28" t="str">
        <f t="shared" si="269"/>
        <v/>
      </c>
      <c r="HB130" s="28" t="str">
        <f t="shared" si="270"/>
        <v/>
      </c>
      <c r="HC130" s="28" t="str">
        <f t="shared" si="271"/>
        <v/>
      </c>
      <c r="HD130" s="28" t="str">
        <f t="shared" si="272"/>
        <v/>
      </c>
      <c r="HE130" s="28" t="str">
        <f t="shared" si="273"/>
        <v/>
      </c>
      <c r="HF130" s="28" t="str">
        <f t="shared" si="274"/>
        <v/>
      </c>
      <c r="HG130" s="28" t="str">
        <f t="shared" si="275"/>
        <v/>
      </c>
      <c r="HH130" s="28" t="str">
        <f t="shared" si="276"/>
        <v/>
      </c>
      <c r="HI130" s="28" t="str">
        <f t="shared" si="277"/>
        <v/>
      </c>
      <c r="HJ130" s="28" t="str">
        <f t="shared" si="278"/>
        <v/>
      </c>
      <c r="HK130" s="28" t="str">
        <f t="shared" si="279"/>
        <v/>
      </c>
      <c r="HL130" s="28" t="str">
        <f t="shared" si="280"/>
        <v/>
      </c>
      <c r="HM130" s="28" t="str">
        <f t="shared" si="281"/>
        <v/>
      </c>
      <c r="HN130" s="28" t="str">
        <f t="shared" si="282"/>
        <v/>
      </c>
      <c r="HO130" s="28" t="str">
        <f t="shared" si="283"/>
        <v/>
      </c>
      <c r="HP130" s="28" t="str">
        <f t="shared" si="284"/>
        <v/>
      </c>
      <c r="HQ130" s="28" t="str">
        <f t="shared" si="285"/>
        <v/>
      </c>
      <c r="HR130" s="28" t="str">
        <f t="shared" si="286"/>
        <v/>
      </c>
      <c r="HT130" s="4">
        <f>IFERROR(GR130/'McDonough &amp; Sun 1995 values'!C$2,)</f>
        <v>0</v>
      </c>
      <c r="HU130" s="4">
        <f>IFERROR(GS130/'McDonough &amp; Sun 1995 values'!D$2,)</f>
        <v>0</v>
      </c>
      <c r="HV130" s="4">
        <f>IFERROR(GT130/'McDonough &amp; Sun 1995 values'!E$2,)</f>
        <v>0</v>
      </c>
      <c r="HW130" s="4">
        <f>IFERROR(GU130/'McDonough &amp; Sun 1995 values'!F$2,)</f>
        <v>0</v>
      </c>
      <c r="HX130" s="4">
        <f>IFERROR(GV130/'McDonough &amp; Sun 1995 values'!G$2,)</f>
        <v>0</v>
      </c>
      <c r="HY130" s="4">
        <f>IFERROR(GW130/'McDonough &amp; Sun 1995 values'!H$2,)</f>
        <v>0</v>
      </c>
      <c r="HZ130" s="4">
        <f>IFERROR(GX130/'McDonough &amp; Sun 1995 values'!I$2,)</f>
        <v>0</v>
      </c>
      <c r="IA130" s="4">
        <f>IFERROR(GY130/'McDonough &amp; Sun 1995 values'!J$2,)</f>
        <v>0</v>
      </c>
      <c r="IB130" s="4">
        <f>IFERROR(GZ130/'McDonough &amp; Sun 1995 values'!K$2,)</f>
        <v>0</v>
      </c>
      <c r="IC130" s="4">
        <f>IFERROR(HA130/'McDonough &amp; Sun 1995 values'!L$2,)</f>
        <v>0</v>
      </c>
      <c r="ID130" s="4">
        <f>IFERROR(HB130/'McDonough &amp; Sun 1995 values'!M$2,)</f>
        <v>0</v>
      </c>
      <c r="IE130" s="4">
        <f>IFERROR(HC130/'McDonough &amp; Sun 1995 values'!N$2,)</f>
        <v>0</v>
      </c>
      <c r="IF130" s="4">
        <f>IFERROR(HD130/'McDonough &amp; Sun 1995 values'!O$2,)</f>
        <v>0</v>
      </c>
      <c r="IG130" s="4">
        <f>IFERROR(HE130/'McDonough &amp; Sun 1995 values'!P$2,)</f>
        <v>0</v>
      </c>
      <c r="IH130" s="4">
        <f>IFERROR(HF130/'McDonough &amp; Sun 1995 values'!Q$2,)</f>
        <v>0</v>
      </c>
      <c r="II130" s="4">
        <f>IFERROR(HG130/'McDonough &amp; Sun 1995 values'!R$2,)</f>
        <v>0</v>
      </c>
      <c r="IJ130" s="4">
        <f>IFERROR(HH130/'McDonough &amp; Sun 1995 values'!S$2,)</f>
        <v>0</v>
      </c>
      <c r="IK130" s="4">
        <f>IFERROR(HI130/'McDonough &amp; Sun 1995 values'!T$2,)</f>
        <v>0</v>
      </c>
      <c r="IL130" s="4">
        <f>IFERROR(HJ130/'McDonough &amp; Sun 1995 values'!U$2,)</f>
        <v>0</v>
      </c>
      <c r="IM130" s="4">
        <f>IFERROR(HK130/'McDonough &amp; Sun 1995 values'!V$2,)</f>
        <v>0</v>
      </c>
      <c r="IN130" s="4">
        <f>IFERROR(HL130/'McDonough &amp; Sun 1995 values'!W$2,)</f>
        <v>0</v>
      </c>
      <c r="IO130" s="4">
        <f>IFERROR(HM130/'McDonough &amp; Sun 1995 values'!X$2,)</f>
        <v>0</v>
      </c>
      <c r="IP130" s="4">
        <f>IFERROR(HN130/'McDonough &amp; Sun 1995 values'!Y$2,)</f>
        <v>0</v>
      </c>
      <c r="IQ130" s="4">
        <f>IFERROR(HO130/'McDonough &amp; Sun 1995 values'!Z$2,)</f>
        <v>0</v>
      </c>
      <c r="IR130" s="4">
        <f>IFERROR(HP130/'McDonough &amp; Sun 1995 values'!AA$2,)</f>
        <v>0</v>
      </c>
      <c r="IS130" s="4">
        <f>IFERROR(HQ130/'McDonough &amp; Sun 1995 values'!AB$2,)</f>
        <v>0</v>
      </c>
      <c r="IT130" s="4">
        <f>IFERROR(HR130/'McDonough &amp; Sun 1995 values'!AC$2,)</f>
        <v>0</v>
      </c>
    </row>
    <row r="131" spans="1:254">
      <c r="A131" s="16" t="s">
        <v>1277</v>
      </c>
      <c r="B131" s="16" t="s">
        <v>24</v>
      </c>
      <c r="C131" s="16" t="str">
        <f t="shared" si="304"/>
        <v>saline</v>
      </c>
      <c r="D131" s="16">
        <v>0</v>
      </c>
      <c r="E131" s="16" t="s">
        <v>1394</v>
      </c>
      <c r="F131" s="16" t="s">
        <v>1650</v>
      </c>
      <c r="G131" s="16" t="s">
        <v>1799</v>
      </c>
      <c r="H131" s="27">
        <v>0</v>
      </c>
      <c r="I131" s="16" t="s">
        <v>735</v>
      </c>
      <c r="J131" s="16" t="s">
        <v>635</v>
      </c>
      <c r="K131" s="16" t="s">
        <v>115</v>
      </c>
      <c r="L131" s="16">
        <v>0</v>
      </c>
      <c r="M131" s="16" t="s">
        <v>785</v>
      </c>
      <c r="N131" s="16">
        <v>21</v>
      </c>
      <c r="O131" s="26">
        <v>2.0434154329884926</v>
      </c>
      <c r="P131" s="26">
        <v>0.38471433183770692</v>
      </c>
      <c r="Q131" s="26">
        <v>0.52884422704415135</v>
      </c>
      <c r="R131" s="26">
        <v>0.89655873163560684</v>
      </c>
      <c r="S131" s="26">
        <v>9.5304964848349751</v>
      </c>
      <c r="T131" s="26">
        <v>6.2266220037247404</v>
      </c>
      <c r="U131" s="26">
        <v>0.69319872330659738</v>
      </c>
      <c r="V131" s="26">
        <v>16.025176000609708</v>
      </c>
      <c r="W131" s="26">
        <v>18.099350492454764</v>
      </c>
      <c r="X131" s="26">
        <v>21.095122306451191</v>
      </c>
      <c r="Y131" s="26"/>
      <c r="Z131" s="26">
        <v>1.0398702739583185</v>
      </c>
      <c r="AA131" s="26">
        <v>1.3137054568321982</v>
      </c>
      <c r="AB131" s="26">
        <v>0.8240040739826171</v>
      </c>
      <c r="AC131" s="26">
        <v>6.168909852338432E-2</v>
      </c>
      <c r="AD131" s="26">
        <v>30.768392010800994</v>
      </c>
      <c r="AE131" s="26"/>
      <c r="AF131" s="26">
        <v>0.22237198560652419</v>
      </c>
      <c r="AG131" s="26"/>
      <c r="AH131" s="26"/>
      <c r="AI131" s="26">
        <v>7.9933333333333323</v>
      </c>
      <c r="AJ131" s="26">
        <f t="shared" si="305"/>
        <v>106.93372214327911</v>
      </c>
      <c r="AK131" s="26">
        <f t="shared" si="288"/>
        <v>2.0436152899784563</v>
      </c>
      <c r="AL131" s="26">
        <f t="shared" si="289"/>
        <v>0.38475195896291886</v>
      </c>
      <c r="AM131" s="26">
        <f t="shared" si="290"/>
        <v>0.89664641988858651</v>
      </c>
      <c r="AN131" s="26">
        <f t="shared" si="291"/>
        <v>9.5314286185115495</v>
      </c>
      <c r="AO131" s="26">
        <f t="shared" si="292"/>
        <v>6.2272310007555047</v>
      </c>
      <c r="AP131" s="26">
        <f t="shared" si="293"/>
        <v>16.026743348779551</v>
      </c>
      <c r="AQ131" s="26">
        <f t="shared" si="294"/>
        <v>0.82408466600090458</v>
      </c>
      <c r="AR131" s="26">
        <f t="shared" si="295"/>
        <v>18.101120706015514</v>
      </c>
      <c r="AS131" s="26">
        <f t="shared" si="296"/>
        <v>21.097185522564285</v>
      </c>
      <c r="AT131" s="26">
        <f t="shared" si="297"/>
        <v>1.039971978848842</v>
      </c>
      <c r="AU131" s="26">
        <f t="shared" si="298"/>
        <v>30.771401324577347</v>
      </c>
      <c r="AV131" s="26">
        <f t="shared" si="306"/>
        <v>106.94418083488347</v>
      </c>
      <c r="AW131" s="16"/>
      <c r="AX131" s="16"/>
      <c r="AY131" s="16"/>
      <c r="AZ131" s="16"/>
      <c r="BA131" s="26"/>
      <c r="BB131" s="26"/>
      <c r="BC131" s="26"/>
      <c r="BD131" s="26"/>
      <c r="BE131" s="16"/>
      <c r="BF131" s="16"/>
      <c r="BG131" s="16"/>
      <c r="BH131" s="16"/>
      <c r="BI131" s="16"/>
      <c r="BJ131" s="16"/>
      <c r="BK131" s="18"/>
      <c r="BL131" s="18"/>
      <c r="BM131" s="18"/>
      <c r="BN131" s="18"/>
      <c r="BO131" s="18"/>
      <c r="BP131" s="18"/>
      <c r="BQ131" s="18"/>
      <c r="BR131" s="18">
        <v>295</v>
      </c>
      <c r="BS131" s="18"/>
      <c r="BT131" s="18">
        <v>25</v>
      </c>
      <c r="BU131" s="18"/>
      <c r="BV131" s="18"/>
      <c r="BW131" s="18"/>
      <c r="BX131" s="18"/>
      <c r="BY131" s="18"/>
      <c r="BZ131" s="18"/>
      <c r="CA131" s="18"/>
      <c r="CB131" s="18"/>
      <c r="CC131" s="18"/>
      <c r="CD131" s="18"/>
      <c r="CE131" s="18"/>
      <c r="CF131" s="18"/>
      <c r="CG131" s="18"/>
      <c r="CH131" s="18">
        <v>1.34</v>
      </c>
      <c r="CI131" s="18">
        <v>21.8</v>
      </c>
      <c r="CJ131" s="18">
        <v>2.1</v>
      </c>
      <c r="CK131" s="18">
        <v>0.51</v>
      </c>
      <c r="CL131" s="18"/>
      <c r="CM131" s="18">
        <v>10</v>
      </c>
      <c r="CN131" s="18"/>
      <c r="CO131" s="18"/>
      <c r="CP131" s="18"/>
      <c r="CQ131" s="18"/>
      <c r="CR131" s="18">
        <v>1.7000000000000001E-2</v>
      </c>
      <c r="CS131" s="18">
        <v>101</v>
      </c>
      <c r="CT131" s="18"/>
      <c r="CU131" s="18">
        <v>10.1</v>
      </c>
      <c r="CV131" s="18">
        <v>18.3</v>
      </c>
      <c r="CW131" s="18">
        <v>2.2599999999999998</v>
      </c>
      <c r="CX131" s="18">
        <v>10</v>
      </c>
      <c r="CY131" s="18">
        <v>1.6</v>
      </c>
      <c r="CZ131" s="18">
        <v>0.32</v>
      </c>
      <c r="DA131" s="18">
        <v>1.1399999999999999</v>
      </c>
      <c r="DB131" s="18">
        <v>0.66</v>
      </c>
      <c r="DC131" s="18">
        <v>0.1</v>
      </c>
      <c r="DD131" s="18">
        <v>0.24</v>
      </c>
      <c r="DE131" s="18"/>
      <c r="DF131" s="18">
        <v>0.15</v>
      </c>
      <c r="DG131" s="18">
        <v>2.3E-2</v>
      </c>
      <c r="DH131" s="18">
        <v>1.4E-2</v>
      </c>
      <c r="DI131" s="18">
        <v>0.01</v>
      </c>
      <c r="DJ131" s="18"/>
      <c r="DK131" s="18">
        <v>0</v>
      </c>
      <c r="DL131" s="18">
        <v>0.55000000000000004</v>
      </c>
      <c r="DM131" s="18">
        <v>3.3000000000000002E-2</v>
      </c>
      <c r="DN131" s="18"/>
      <c r="DO131" s="18"/>
      <c r="DP131" s="18"/>
      <c r="DQ131" s="18"/>
      <c r="DR131" s="18"/>
      <c r="DS131" s="18"/>
      <c r="DT131" s="18"/>
      <c r="DU131" s="18"/>
      <c r="DV131" s="28"/>
      <c r="DW131" s="28"/>
      <c r="DX131" s="28"/>
      <c r="DY131" s="28"/>
      <c r="DZ131" s="28"/>
      <c r="EA131" s="28"/>
      <c r="EB131" s="28"/>
      <c r="EC131" s="28"/>
      <c r="ED131" s="28"/>
      <c r="EE131" s="28"/>
      <c r="EF131" s="28"/>
      <c r="EG131" s="28"/>
      <c r="EH131" s="28"/>
      <c r="EI131" s="28"/>
      <c r="EJ131" s="18"/>
      <c r="EK131" s="18"/>
      <c r="EL131" s="18">
        <f>IFERROR(CR131/'McDonough &amp; Sun 1995 values'!C$2,)</f>
        <v>0.80952380952380953</v>
      </c>
      <c r="EM131" s="18">
        <f>IFERROR(CH131/'McDonough &amp; Sun 1995 values'!D$2,)</f>
        <v>2.2333333333333334</v>
      </c>
      <c r="EN131" s="18">
        <f>IFERROR(CS131/'McDonough &amp; Sun 1995 values'!E$2,)</f>
        <v>15.303030303030305</v>
      </c>
      <c r="EO131" s="18">
        <f>IFERROR(DL131/'McDonough &amp; Sun 1995 values'!F$2,)</f>
        <v>6.9182389937106921</v>
      </c>
      <c r="EP131" s="18">
        <f>IFERROR(DM131/'McDonough &amp; Sun 1995 values'!G$2,)</f>
        <v>1.6256157635467983</v>
      </c>
      <c r="EQ131" s="18">
        <f>IFERROR(BR131/'McDonough &amp; Sun 1995 values'!H$2,)</f>
        <v>1.2291666666666667</v>
      </c>
      <c r="ER131" s="18">
        <f>IFERROR(DI131/'McDonough &amp; Sun 1995 values'!I$2,)</f>
        <v>0.27027027027027029</v>
      </c>
      <c r="ES131" s="18">
        <f>IFERROR(CM131/'McDonough &amp; Sun 1995 values'!J$2,)</f>
        <v>15.19756838905775</v>
      </c>
      <c r="ET131" s="18">
        <f>IFERROR(CU131/'McDonough &amp; Sun 1995 values'!K$2,)</f>
        <v>15.586419753086419</v>
      </c>
      <c r="EU131" s="18">
        <f>IFERROR(CV131/'McDonough &amp; Sun 1995 values'!L$2,)</f>
        <v>10.925373134328359</v>
      </c>
      <c r="EV131" s="18">
        <f>IFERROR(CW131/'McDonough &amp; Sun 1995 values'!M$2,)</f>
        <v>8.897637795275589</v>
      </c>
      <c r="EW131" s="18">
        <f>IFERROR(CI131/'McDonough &amp; Sun 1995 values'!N$2,)</f>
        <v>1.0954773869346734</v>
      </c>
      <c r="EX131" s="18">
        <f>IFERROR(CX131/'McDonough &amp; Sun 1995 values'!O$2,)</f>
        <v>8</v>
      </c>
      <c r="EY131" s="18">
        <f>IFERROR(CY131/'McDonough &amp; Sun 1995 values'!P$2,)</f>
        <v>3.9408866995073892</v>
      </c>
      <c r="EZ131" s="18">
        <f>IFERROR(DH131/'McDonough &amp; Sun 1995 values'!Q$2,)</f>
        <v>4.9469964664310959E-2</v>
      </c>
      <c r="FA131" s="18">
        <f>IFERROR(CK131/'McDonough &amp; Sun 1995 values'!R$2,)</f>
        <v>4.8571428571428571E-2</v>
      </c>
      <c r="FB131" s="18">
        <f>IFERROR(CZ131/'McDonough &amp; Sun 1995 values'!S$2,)</f>
        <v>2.0779220779220782</v>
      </c>
      <c r="FC131" s="18">
        <f>IFERROR(BT131/'McDonough &amp; Sun 1995 values'!T$2,)</f>
        <v>2.0746887966804978E-2</v>
      </c>
      <c r="FD131" s="18">
        <f>IFERROR(DA131/'McDonough &amp; Sun 1995 values'!U$2,)</f>
        <v>2.0955882352941173</v>
      </c>
      <c r="FE131" s="18">
        <f>IFERROR(DN131/'McDonough &amp; Sun 1995 values'!V$2,)</f>
        <v>0</v>
      </c>
      <c r="FF131" s="18">
        <f>IFERROR(DB131/'McDonough &amp; Sun 1995 values'!W$2,)</f>
        <v>0.97922848664688422</v>
      </c>
      <c r="FG131" s="18">
        <f>IFERROR(CJ131/'McDonough &amp; Sun 1995 values'!X$2,)</f>
        <v>0.48837209302325585</v>
      </c>
      <c r="FH131" s="18">
        <f>IFERROR(DC131/'McDonough &amp; Sun 1995 values'!Y$2,)</f>
        <v>0.67114093959731547</v>
      </c>
      <c r="FI131" s="18">
        <f>IFERROR(DD131/'McDonough &amp; Sun 1995 values'!Z$2,)</f>
        <v>0.54794520547945202</v>
      </c>
      <c r="FJ131" s="18">
        <f>IFERROR(DE131/'McDonough &amp; Sun 1995 values'!AA$2,)</f>
        <v>0</v>
      </c>
      <c r="FK131" s="18">
        <f>IFERROR(DF131/'McDonough &amp; Sun 1995 values'!AB$2,)</f>
        <v>0.3401360544217687</v>
      </c>
      <c r="FL131" s="18">
        <f>IFERROR(DG131/'McDonough &amp; Sun 1995 values'!AC$2,)</f>
        <v>0.34074074074074073</v>
      </c>
      <c r="FN131" s="28">
        <f t="shared" si="299"/>
        <v>1.3225348584787511</v>
      </c>
      <c r="FO131" s="4">
        <f t="shared" si="231"/>
        <v>9.4136822773186406</v>
      </c>
      <c r="FP131" s="4">
        <f t="shared" si="232"/>
        <v>0.45522012578616355</v>
      </c>
      <c r="FQ131" s="4">
        <f t="shared" si="233"/>
        <v>4.2557651991614254</v>
      </c>
      <c r="FR131" s="4">
        <f t="shared" si="234"/>
        <v>1.0255864197530864</v>
      </c>
      <c r="FS131" s="4">
        <f t="shared" si="235"/>
        <v>57.669753086419746</v>
      </c>
      <c r="FT131" s="4">
        <f t="shared" si="236"/>
        <v>2.7588235294117647</v>
      </c>
      <c r="FU131" s="4">
        <f t="shared" si="237"/>
        <v>1.7783783783783785E-2</v>
      </c>
      <c r="FV131" s="4">
        <f t="shared" si="238"/>
        <v>1.2324999999999999E-2</v>
      </c>
      <c r="FW131" s="4">
        <f t="shared" si="239"/>
        <v>0.98183673469387744</v>
      </c>
      <c r="FX131" s="4">
        <f t="shared" si="240"/>
        <v>0.68845546460979556</v>
      </c>
      <c r="FY131" s="4">
        <f t="shared" si="241"/>
        <v>0.12984375377755678</v>
      </c>
      <c r="FZ131" s="4">
        <f t="shared" si="242"/>
        <v>0.72306827511876992</v>
      </c>
      <c r="GA131" s="4">
        <f t="shared" si="243"/>
        <v>0.12312002490327748</v>
      </c>
      <c r="GB131" s="4">
        <f t="shared" si="244"/>
        <v>0.52727272727272734</v>
      </c>
      <c r="GC131" s="4">
        <f t="shared" si="245"/>
        <v>0.36247334754797439</v>
      </c>
      <c r="GD131" s="4">
        <f t="shared" si="246"/>
        <v>2.2119834710743804</v>
      </c>
      <c r="GE131" s="4">
        <f t="shared" si="247"/>
        <v>6.8521031207598373</v>
      </c>
      <c r="GF131" s="4">
        <f t="shared" si="248"/>
        <v>12.449922958397535</v>
      </c>
      <c r="GG131" s="4">
        <f t="shared" si="249"/>
        <v>1.006939393939394</v>
      </c>
      <c r="GH131" s="4">
        <f t="shared" si="250"/>
        <v>1.7517480607451112</v>
      </c>
      <c r="GI131" s="4">
        <f t="shared" si="251"/>
        <v>3.9550540123456788</v>
      </c>
      <c r="GJ131" s="4">
        <f t="shared" si="252"/>
        <v>15.91704077815189</v>
      </c>
      <c r="GK131" s="4">
        <f t="shared" si="253"/>
        <v>45.824074074074076</v>
      </c>
      <c r="GL131" s="4">
        <f t="shared" si="254"/>
        <v>2.3411428571428572</v>
      </c>
      <c r="GM131" s="4">
        <f t="shared" si="255"/>
        <v>3.0977189524077726</v>
      </c>
      <c r="GN131" s="4">
        <f t="shared" si="256"/>
        <v>0.97505191248608136</v>
      </c>
      <c r="GO131" s="4">
        <f t="shared" si="257"/>
        <v>9.348807221147645</v>
      </c>
      <c r="GP131" s="4">
        <f t="shared" si="258"/>
        <v>0.75612373737373728</v>
      </c>
      <c r="GQ131" s="27">
        <f t="shared" si="259"/>
        <v>175135.60726672548</v>
      </c>
      <c r="GR131" s="28">
        <f t="shared" si="260"/>
        <v>10.092560418760451</v>
      </c>
      <c r="GS131" s="28">
        <f t="shared" si="261"/>
        <v>795.53123300817674</v>
      </c>
      <c r="GT131" s="28">
        <f t="shared" si="262"/>
        <v>59961.682487929735</v>
      </c>
      <c r="GU131" s="28">
        <f t="shared" si="263"/>
        <v>326.52401354813225</v>
      </c>
      <c r="GV131" s="28">
        <f t="shared" si="264"/>
        <v>19.591440812887935</v>
      </c>
      <c r="GW131" s="28">
        <f t="shared" si="265"/>
        <v>175135.60726672548</v>
      </c>
      <c r="GX131" s="28">
        <f t="shared" si="266"/>
        <v>5.9368002463296774</v>
      </c>
      <c r="GY131" s="28">
        <f t="shared" si="267"/>
        <v>5936.8002463296771</v>
      </c>
      <c r="GZ131" s="28">
        <f t="shared" si="268"/>
        <v>5996.1682487929738</v>
      </c>
      <c r="HA131" s="28">
        <f t="shared" si="269"/>
        <v>10864.34445078331</v>
      </c>
      <c r="HB131" s="28">
        <f t="shared" si="270"/>
        <v>1341.7168556705069</v>
      </c>
      <c r="HC131" s="28">
        <f t="shared" si="271"/>
        <v>12942.224536998696</v>
      </c>
      <c r="HD131" s="28">
        <f t="shared" si="272"/>
        <v>5936.8002463296771</v>
      </c>
      <c r="HE131" s="28">
        <f t="shared" si="273"/>
        <v>949.88803941274841</v>
      </c>
      <c r="HF131" s="28">
        <f t="shared" si="274"/>
        <v>8.3115203448615471</v>
      </c>
      <c r="HG131" s="28">
        <f t="shared" si="275"/>
        <v>302.77681256281352</v>
      </c>
      <c r="HH131" s="28">
        <f t="shared" si="276"/>
        <v>189.97760788254968</v>
      </c>
      <c r="HI131" s="28">
        <f t="shared" si="277"/>
        <v>14842.000615824192</v>
      </c>
      <c r="HJ131" s="28">
        <f t="shared" si="278"/>
        <v>676.7952280815831</v>
      </c>
      <c r="HK131" s="28">
        <f t="shared" si="279"/>
        <v>0</v>
      </c>
      <c r="HL131" s="28">
        <f t="shared" si="280"/>
        <v>391.82881625775866</v>
      </c>
      <c r="HM131" s="28">
        <f t="shared" si="281"/>
        <v>1246.7280517292322</v>
      </c>
      <c r="HN131" s="28">
        <f t="shared" si="282"/>
        <v>59.368002463296776</v>
      </c>
      <c r="HO131" s="28">
        <f t="shared" si="283"/>
        <v>142.48320591191225</v>
      </c>
      <c r="HP131" s="28">
        <f t="shared" si="284"/>
        <v>0</v>
      </c>
      <c r="HQ131" s="28">
        <f t="shared" si="285"/>
        <v>89.052003694945157</v>
      </c>
      <c r="HR131" s="28">
        <f t="shared" si="286"/>
        <v>13.654640566558259</v>
      </c>
      <c r="HT131" s="4">
        <f>IFERROR(GR131/'McDonough &amp; Sun 1995 values'!C$2,)</f>
        <v>480.59811517906905</v>
      </c>
      <c r="HU131" s="4">
        <f>IFERROR(GS131/'McDonough &amp; Sun 1995 values'!D$2,)</f>
        <v>1325.8853883469612</v>
      </c>
      <c r="HV131" s="4">
        <f>IFERROR(GT131/'McDonough &amp; Sun 1995 values'!E$2,)</f>
        <v>9085.1034072620823</v>
      </c>
      <c r="HW131" s="4">
        <f>IFERROR(GU131/'McDonough &amp; Sun 1995 values'!F$2,)</f>
        <v>4107.2202962029214</v>
      </c>
      <c r="HX131" s="4">
        <f>IFERROR(GV131/'McDonough &amp; Sun 1995 values'!G$2,)</f>
        <v>965.09560654620373</v>
      </c>
      <c r="HY131" s="4">
        <f>IFERROR(GW131/'McDonough &amp; Sun 1995 values'!H$2,)</f>
        <v>729.73169694468947</v>
      </c>
      <c r="HZ131" s="4">
        <f>IFERROR(GX131/'McDonough &amp; Sun 1995 values'!I$2,)</f>
        <v>160.4540607116129</v>
      </c>
      <c r="IA131" s="4">
        <f>IFERROR(GY131/'McDonough &amp; Sun 1995 values'!J$2,)</f>
        <v>9022.4927755770168</v>
      </c>
      <c r="IB131" s="4">
        <f>IFERROR(GZ131/'McDonough &amp; Sun 1995 values'!K$2,)</f>
        <v>9253.3460629521196</v>
      </c>
      <c r="IC131" s="4">
        <f>IFERROR(HA131/'McDonough &amp; Sun 1995 values'!L$2,)</f>
        <v>6486.1757915124235</v>
      </c>
      <c r="ID131" s="4">
        <f>IFERROR(HB131/'McDonough &amp; Sun 1995 values'!M$2,)</f>
        <v>5282.3498254744363</v>
      </c>
      <c r="IE131" s="4">
        <f>IFERROR(HC131/'McDonough &amp; Sun 1995 values'!N$2,)</f>
        <v>650.36304206023601</v>
      </c>
      <c r="IF131" s="4">
        <f>IFERROR(HD131/'McDonough &amp; Sun 1995 values'!O$2,)</f>
        <v>4749.4401970637418</v>
      </c>
      <c r="IG131" s="4">
        <f>IFERROR(HE131/'McDonough &amp; Sun 1995 values'!P$2,)</f>
        <v>2339.6257128392817</v>
      </c>
      <c r="IH131" s="4">
        <f>IFERROR(HF131/'McDonough &amp; Sun 1995 values'!Q$2,)</f>
        <v>29.369329840500168</v>
      </c>
      <c r="II131" s="4">
        <f>IFERROR(HG131/'McDonough &amp; Sun 1995 values'!R$2,)</f>
        <v>28.835886910744144</v>
      </c>
      <c r="IJ131" s="4">
        <f>IFERROR(HH131/'McDonough &amp; Sun 1995 values'!S$2,)</f>
        <v>1233.6208304061668</v>
      </c>
      <c r="IK131" s="4">
        <f>IFERROR(HI131/'McDonough &amp; Sun 1995 values'!T$2,)</f>
        <v>12.317012959190201</v>
      </c>
      <c r="IL131" s="4">
        <f>IFERROR(HJ131/'McDonough &amp; Sun 1995 values'!U$2,)</f>
        <v>1244.1088751499688</v>
      </c>
      <c r="IM131" s="4">
        <f>IFERROR(HK131/'McDonough &amp; Sun 1995 values'!V$2,)</f>
        <v>0</v>
      </c>
      <c r="IN131" s="4">
        <f>IFERROR(HL131/'McDonough &amp; Sun 1995 values'!W$2,)</f>
        <v>581.34839207382583</v>
      </c>
      <c r="IO131" s="4">
        <f>IFERROR(HM131/'McDonough &amp; Sun 1995 values'!X$2,)</f>
        <v>289.93675621610055</v>
      </c>
      <c r="IP131" s="4">
        <f>IFERROR(HN131/'McDonough &amp; Sun 1995 values'!Y$2,)</f>
        <v>398.44296955232738</v>
      </c>
      <c r="IQ131" s="4">
        <f>IFERROR(HO131/'McDonough &amp; Sun 1995 values'!Z$2,)</f>
        <v>325.30412308655764</v>
      </c>
      <c r="IR131" s="4">
        <f>IFERROR(HP131/'McDonough &amp; Sun 1995 values'!AA$2,)</f>
        <v>0</v>
      </c>
      <c r="IS131" s="4">
        <f>IFERROR(HQ131/'McDonough &amp; Sun 1995 values'!AB$2,)</f>
        <v>201.9319811676761</v>
      </c>
      <c r="IT131" s="4">
        <f>IFERROR(HR131/'McDonough &amp; Sun 1995 values'!AC$2,)</f>
        <v>202.29097135641862</v>
      </c>
    </row>
    <row r="132" spans="1:254">
      <c r="A132" s="16" t="s">
        <v>842</v>
      </c>
      <c r="B132" s="16" t="s">
        <v>24</v>
      </c>
      <c r="C132" s="16" t="str">
        <f t="shared" si="304"/>
        <v>saline</v>
      </c>
      <c r="D132" s="16" t="s">
        <v>1709</v>
      </c>
      <c r="E132" s="16" t="s">
        <v>237</v>
      </c>
      <c r="F132" s="16" t="s">
        <v>29</v>
      </c>
      <c r="G132" s="16" t="s">
        <v>595</v>
      </c>
      <c r="H132" s="27">
        <v>360</v>
      </c>
      <c r="I132" s="16" t="s">
        <v>712</v>
      </c>
      <c r="J132" s="16">
        <v>0</v>
      </c>
      <c r="K132" s="16" t="s">
        <v>913</v>
      </c>
      <c r="L132" s="16">
        <v>0</v>
      </c>
      <c r="M132" s="16" t="s">
        <v>964</v>
      </c>
      <c r="N132" s="16" t="s">
        <v>1084</v>
      </c>
      <c r="O132" s="26">
        <v>18.5</v>
      </c>
      <c r="P132" s="26"/>
      <c r="Q132" s="26"/>
      <c r="R132" s="26">
        <v>0.3</v>
      </c>
      <c r="S132" s="26">
        <v>7.3</v>
      </c>
      <c r="T132" s="26">
        <v>6.6</v>
      </c>
      <c r="U132" s="26">
        <v>8.5</v>
      </c>
      <c r="V132" s="26">
        <v>4.8</v>
      </c>
      <c r="W132" s="26">
        <v>2</v>
      </c>
      <c r="X132" s="26">
        <v>7.9</v>
      </c>
      <c r="Y132" s="26"/>
      <c r="Z132" s="26"/>
      <c r="AA132" s="26"/>
      <c r="AB132" s="26"/>
      <c r="AC132" s="26"/>
      <c r="AD132" s="26">
        <v>34</v>
      </c>
      <c r="AE132" s="26"/>
      <c r="AF132" s="26">
        <v>9.9</v>
      </c>
      <c r="AG132" s="26"/>
      <c r="AH132" s="26"/>
      <c r="AI132" s="26"/>
      <c r="AJ132" s="26">
        <f t="shared" si="305"/>
        <v>81.400000000000006</v>
      </c>
      <c r="AK132" s="26">
        <f t="shared" si="288"/>
        <v>25.092495877381264</v>
      </c>
      <c r="AL132" s="26">
        <f t="shared" si="289"/>
        <v>0</v>
      </c>
      <c r="AM132" s="26">
        <f t="shared" si="290"/>
        <v>0.40690533855212863</v>
      </c>
      <c r="AN132" s="26">
        <f t="shared" si="291"/>
        <v>9.901363238101796</v>
      </c>
      <c r="AO132" s="26">
        <f t="shared" si="292"/>
        <v>8.9519174481468298</v>
      </c>
      <c r="AP132" s="26">
        <f t="shared" si="293"/>
        <v>6.510485416834058</v>
      </c>
      <c r="AQ132" s="26">
        <f t="shared" si="294"/>
        <v>0</v>
      </c>
      <c r="AR132" s="26">
        <f t="shared" si="295"/>
        <v>2.712702257014191</v>
      </c>
      <c r="AS132" s="26">
        <f t="shared" si="296"/>
        <v>10.715173915206053</v>
      </c>
      <c r="AT132" s="26">
        <f t="shared" si="297"/>
        <v>0</v>
      </c>
      <c r="AU132" s="26">
        <f t="shared" si="298"/>
        <v>46.115938369241242</v>
      </c>
      <c r="AV132" s="26">
        <f t="shared" si="306"/>
        <v>110.40698186047757</v>
      </c>
      <c r="AW132" s="16"/>
      <c r="AX132" s="16"/>
      <c r="AY132" s="16"/>
      <c r="AZ132" s="16"/>
      <c r="BA132" s="26"/>
      <c r="BB132" s="26">
        <v>0.02</v>
      </c>
      <c r="BC132" s="26">
        <f t="shared" ref="BC132:BC138" si="307">1-BD132</f>
        <v>2.0000000000000018E-2</v>
      </c>
      <c r="BD132" s="26">
        <f t="shared" ref="BD132:BD138" si="308">1-BB132</f>
        <v>0.98</v>
      </c>
      <c r="BE132" s="16"/>
      <c r="BF132" s="16"/>
      <c r="BG132" s="16"/>
      <c r="BH132" s="16"/>
      <c r="BI132" s="16"/>
      <c r="BJ132" s="16"/>
      <c r="BK132" s="18"/>
      <c r="BL132" s="18"/>
      <c r="BM132" s="18"/>
      <c r="BN132" s="18"/>
      <c r="BO132" s="18"/>
      <c r="BP132" s="18"/>
      <c r="BQ132" s="18"/>
      <c r="BR132" s="18">
        <v>0</v>
      </c>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28"/>
      <c r="DW132" s="28"/>
      <c r="DX132" s="28"/>
      <c r="DY132" s="28"/>
      <c r="DZ132" s="28"/>
      <c r="EA132" s="28"/>
      <c r="EB132" s="28"/>
      <c r="EC132" s="28"/>
      <c r="ED132" s="28"/>
      <c r="EE132" s="28"/>
      <c r="EF132" s="28"/>
      <c r="EG132" s="28"/>
      <c r="EH132" s="28"/>
      <c r="EI132" s="28"/>
      <c r="EJ132" s="18"/>
      <c r="EK132" s="18"/>
      <c r="EL132" s="18">
        <f>IFERROR(CR132/'McDonough &amp; Sun 1995 values'!C$2,)</f>
        <v>0</v>
      </c>
      <c r="EM132" s="18">
        <f>IFERROR(CH132/'McDonough &amp; Sun 1995 values'!D$2,)</f>
        <v>0</v>
      </c>
      <c r="EN132" s="18">
        <f>IFERROR(CS132/'McDonough &amp; Sun 1995 values'!E$2,)</f>
        <v>0</v>
      </c>
      <c r="EO132" s="18">
        <f>IFERROR(DL132/'McDonough &amp; Sun 1995 values'!F$2,)</f>
        <v>0</v>
      </c>
      <c r="EP132" s="18">
        <f>IFERROR(DM132/'McDonough &amp; Sun 1995 values'!G$2,)</f>
        <v>0</v>
      </c>
      <c r="EQ132" s="18">
        <f>IFERROR(BR132/'McDonough &amp; Sun 1995 values'!H$2,)</f>
        <v>0</v>
      </c>
      <c r="ER132" s="18">
        <f>IFERROR(DI132/'McDonough &amp; Sun 1995 values'!I$2,)</f>
        <v>0</v>
      </c>
      <c r="ES132" s="18">
        <f>IFERROR(CM132/'McDonough &amp; Sun 1995 values'!J$2,)</f>
        <v>0</v>
      </c>
      <c r="ET132" s="18">
        <f>IFERROR(CU132/'McDonough &amp; Sun 1995 values'!K$2,)</f>
        <v>0</v>
      </c>
      <c r="EU132" s="18">
        <f>IFERROR(CV132/'McDonough &amp; Sun 1995 values'!L$2,)</f>
        <v>0</v>
      </c>
      <c r="EV132" s="18">
        <f>IFERROR(CW132/'McDonough &amp; Sun 1995 values'!M$2,)</f>
        <v>0</v>
      </c>
      <c r="EW132" s="18">
        <f>IFERROR(CI132/'McDonough &amp; Sun 1995 values'!N$2,)</f>
        <v>0</v>
      </c>
      <c r="EX132" s="18">
        <f>IFERROR(CX132/'McDonough &amp; Sun 1995 values'!O$2,)</f>
        <v>0</v>
      </c>
      <c r="EY132" s="18">
        <f>IFERROR(CY132/'McDonough &amp; Sun 1995 values'!P$2,)</f>
        <v>0</v>
      </c>
      <c r="EZ132" s="18">
        <f>IFERROR(DH132/'McDonough &amp; Sun 1995 values'!Q$2,)</f>
        <v>0</v>
      </c>
      <c r="FA132" s="18">
        <f>IFERROR(CK132/'McDonough &amp; Sun 1995 values'!R$2,)</f>
        <v>0</v>
      </c>
      <c r="FB132" s="18">
        <f>IFERROR(CZ132/'McDonough &amp; Sun 1995 values'!S$2,)</f>
        <v>0</v>
      </c>
      <c r="FC132" s="18">
        <f>IFERROR(BT132/'McDonough &amp; Sun 1995 values'!T$2,)</f>
        <v>0</v>
      </c>
      <c r="FD132" s="18">
        <f>IFERROR(DA132/'McDonough &amp; Sun 1995 values'!U$2,)</f>
        <v>0</v>
      </c>
      <c r="FE132" s="18">
        <f>IFERROR(DN132/'McDonough &amp; Sun 1995 values'!V$2,)</f>
        <v>0</v>
      </c>
      <c r="FF132" s="18">
        <f>IFERROR(DB132/'McDonough &amp; Sun 1995 values'!W$2,)</f>
        <v>0</v>
      </c>
      <c r="FG132" s="18">
        <f>IFERROR(CJ132/'McDonough &amp; Sun 1995 values'!X$2,)</f>
        <v>0</v>
      </c>
      <c r="FH132" s="18">
        <f>IFERROR(DC132/'McDonough &amp; Sun 1995 values'!Y$2,)</f>
        <v>0</v>
      </c>
      <c r="FI132" s="18">
        <f>IFERROR(DD132/'McDonough &amp; Sun 1995 values'!Z$2,)</f>
        <v>0</v>
      </c>
      <c r="FJ132" s="18">
        <f>IFERROR(DE132/'McDonough &amp; Sun 1995 values'!AA$2,)</f>
        <v>0</v>
      </c>
      <c r="FK132" s="18">
        <f>IFERROR(DF132/'McDonough &amp; Sun 1995 values'!AB$2,)</f>
        <v>0</v>
      </c>
      <c r="FL132" s="18">
        <f>IFERROR(DG132/'McDonough &amp; Sun 1995 values'!AC$2,)</f>
        <v>0</v>
      </c>
      <c r="FN132" s="28">
        <f t="shared" si="299"/>
        <v>0</v>
      </c>
      <c r="FO132" s="4">
        <f t="shared" si="231"/>
        <v>0</v>
      </c>
      <c r="FP132" s="4">
        <f t="shared" si="232"/>
        <v>0</v>
      </c>
      <c r="FQ132" s="4">
        <f t="shared" si="233"/>
        <v>0</v>
      </c>
      <c r="FR132" s="4">
        <f t="shared" si="234"/>
        <v>0</v>
      </c>
      <c r="FS132" s="4">
        <f t="shared" si="235"/>
        <v>0</v>
      </c>
      <c r="FT132" s="4">
        <f t="shared" si="236"/>
        <v>0</v>
      </c>
      <c r="FU132" s="4">
        <f t="shared" si="237"/>
        <v>0</v>
      </c>
      <c r="FV132" s="4">
        <f t="shared" si="238"/>
        <v>0</v>
      </c>
      <c r="FW132" s="4">
        <f t="shared" si="239"/>
        <v>0</v>
      </c>
      <c r="FX132" s="4">
        <f t="shared" si="240"/>
        <v>0</v>
      </c>
      <c r="FY132" s="4">
        <f t="shared" si="241"/>
        <v>0</v>
      </c>
      <c r="FZ132" s="4">
        <f t="shared" si="242"/>
        <v>0</v>
      </c>
      <c r="GA132" s="4">
        <f t="shared" si="243"/>
        <v>0</v>
      </c>
      <c r="GB132" s="4">
        <f t="shared" si="244"/>
        <v>0</v>
      </c>
      <c r="GC132" s="4">
        <f t="shared" si="245"/>
        <v>0</v>
      </c>
      <c r="GD132" s="4">
        <f t="shared" si="246"/>
        <v>0</v>
      </c>
      <c r="GE132" s="4">
        <f t="shared" si="247"/>
        <v>0</v>
      </c>
      <c r="GF132" s="4">
        <f t="shared" si="248"/>
        <v>0</v>
      </c>
      <c r="GG132" s="4">
        <f t="shared" si="249"/>
        <v>0</v>
      </c>
      <c r="GH132" s="4">
        <f t="shared" si="250"/>
        <v>0</v>
      </c>
      <c r="GI132" s="4">
        <f t="shared" si="251"/>
        <v>0</v>
      </c>
      <c r="GJ132" s="4">
        <f t="shared" si="252"/>
        <v>0</v>
      </c>
      <c r="GK132" s="4">
        <f t="shared" si="253"/>
        <v>0</v>
      </c>
      <c r="GL132" s="4">
        <f t="shared" si="254"/>
        <v>0</v>
      </c>
      <c r="GM132" s="4">
        <f t="shared" si="255"/>
        <v>0</v>
      </c>
      <c r="GN132" s="4">
        <f t="shared" si="256"/>
        <v>0</v>
      </c>
      <c r="GO132" s="4">
        <f t="shared" si="257"/>
        <v>0</v>
      </c>
      <c r="GP132" s="4">
        <f t="shared" si="258"/>
        <v>0</v>
      </c>
      <c r="GQ132" s="27">
        <f t="shared" si="259"/>
        <v>88950.655934701834</v>
      </c>
      <c r="GR132" s="28" t="str">
        <f t="shared" si="260"/>
        <v/>
      </c>
      <c r="GS132" s="28" t="str">
        <f t="shared" si="261"/>
        <v/>
      </c>
      <c r="GT132" s="28" t="str">
        <f t="shared" si="262"/>
        <v/>
      </c>
      <c r="GU132" s="28" t="str">
        <f t="shared" si="263"/>
        <v/>
      </c>
      <c r="GV132" s="28" t="str">
        <f t="shared" si="264"/>
        <v/>
      </c>
      <c r="GW132" s="28" t="str">
        <f t="shared" si="265"/>
        <v/>
      </c>
      <c r="GX132" s="28" t="str">
        <f t="shared" si="266"/>
        <v/>
      </c>
      <c r="GY132" s="28" t="str">
        <f t="shared" si="267"/>
        <v/>
      </c>
      <c r="GZ132" s="28" t="str">
        <f t="shared" si="268"/>
        <v/>
      </c>
      <c r="HA132" s="28" t="str">
        <f t="shared" si="269"/>
        <v/>
      </c>
      <c r="HB132" s="28" t="str">
        <f t="shared" si="270"/>
        <v/>
      </c>
      <c r="HC132" s="28" t="str">
        <f t="shared" si="271"/>
        <v/>
      </c>
      <c r="HD132" s="28" t="str">
        <f t="shared" si="272"/>
        <v/>
      </c>
      <c r="HE132" s="28" t="str">
        <f t="shared" si="273"/>
        <v/>
      </c>
      <c r="HF132" s="28" t="str">
        <f t="shared" si="274"/>
        <v/>
      </c>
      <c r="HG132" s="28" t="str">
        <f t="shared" si="275"/>
        <v/>
      </c>
      <c r="HH132" s="28" t="str">
        <f t="shared" si="276"/>
        <v/>
      </c>
      <c r="HI132" s="28" t="str">
        <f t="shared" si="277"/>
        <v/>
      </c>
      <c r="HJ132" s="28" t="str">
        <f t="shared" si="278"/>
        <v/>
      </c>
      <c r="HK132" s="28" t="str">
        <f t="shared" si="279"/>
        <v/>
      </c>
      <c r="HL132" s="28" t="str">
        <f t="shared" si="280"/>
        <v/>
      </c>
      <c r="HM132" s="28" t="str">
        <f t="shared" si="281"/>
        <v/>
      </c>
      <c r="HN132" s="28" t="str">
        <f t="shared" si="282"/>
        <v/>
      </c>
      <c r="HO132" s="28" t="str">
        <f t="shared" si="283"/>
        <v/>
      </c>
      <c r="HP132" s="28" t="str">
        <f t="shared" si="284"/>
        <v/>
      </c>
      <c r="HQ132" s="28" t="str">
        <f t="shared" si="285"/>
        <v/>
      </c>
      <c r="HR132" s="28" t="str">
        <f t="shared" si="286"/>
        <v/>
      </c>
      <c r="HT132" s="4">
        <f>IFERROR(GR132/'McDonough &amp; Sun 1995 values'!C$2,)</f>
        <v>0</v>
      </c>
      <c r="HU132" s="4">
        <f>IFERROR(GS132/'McDonough &amp; Sun 1995 values'!D$2,)</f>
        <v>0</v>
      </c>
      <c r="HV132" s="4">
        <f>IFERROR(GT132/'McDonough &amp; Sun 1995 values'!E$2,)</f>
        <v>0</v>
      </c>
      <c r="HW132" s="4">
        <f>IFERROR(GU132/'McDonough &amp; Sun 1995 values'!F$2,)</f>
        <v>0</v>
      </c>
      <c r="HX132" s="4">
        <f>IFERROR(GV132/'McDonough &amp; Sun 1995 values'!G$2,)</f>
        <v>0</v>
      </c>
      <c r="HY132" s="4">
        <f>IFERROR(GW132/'McDonough &amp; Sun 1995 values'!H$2,)</f>
        <v>0</v>
      </c>
      <c r="HZ132" s="4">
        <f>IFERROR(GX132/'McDonough &amp; Sun 1995 values'!I$2,)</f>
        <v>0</v>
      </c>
      <c r="IA132" s="4">
        <f>IFERROR(GY132/'McDonough &amp; Sun 1995 values'!J$2,)</f>
        <v>0</v>
      </c>
      <c r="IB132" s="4">
        <f>IFERROR(GZ132/'McDonough &amp; Sun 1995 values'!K$2,)</f>
        <v>0</v>
      </c>
      <c r="IC132" s="4">
        <f>IFERROR(HA132/'McDonough &amp; Sun 1995 values'!L$2,)</f>
        <v>0</v>
      </c>
      <c r="ID132" s="4">
        <f>IFERROR(HB132/'McDonough &amp; Sun 1995 values'!M$2,)</f>
        <v>0</v>
      </c>
      <c r="IE132" s="4">
        <f>IFERROR(HC132/'McDonough &amp; Sun 1995 values'!N$2,)</f>
        <v>0</v>
      </c>
      <c r="IF132" s="4">
        <f>IFERROR(HD132/'McDonough &amp; Sun 1995 values'!O$2,)</f>
        <v>0</v>
      </c>
      <c r="IG132" s="4">
        <f>IFERROR(HE132/'McDonough &amp; Sun 1995 values'!P$2,)</f>
        <v>0</v>
      </c>
      <c r="IH132" s="4">
        <f>IFERROR(HF132/'McDonough &amp; Sun 1995 values'!Q$2,)</f>
        <v>0</v>
      </c>
      <c r="II132" s="4">
        <f>IFERROR(HG132/'McDonough &amp; Sun 1995 values'!R$2,)</f>
        <v>0</v>
      </c>
      <c r="IJ132" s="4">
        <f>IFERROR(HH132/'McDonough &amp; Sun 1995 values'!S$2,)</f>
        <v>0</v>
      </c>
      <c r="IK132" s="4">
        <f>IFERROR(HI132/'McDonough &amp; Sun 1995 values'!T$2,)</f>
        <v>0</v>
      </c>
      <c r="IL132" s="4">
        <f>IFERROR(HJ132/'McDonough &amp; Sun 1995 values'!U$2,)</f>
        <v>0</v>
      </c>
      <c r="IM132" s="4">
        <f>IFERROR(HK132/'McDonough &amp; Sun 1995 values'!V$2,)</f>
        <v>0</v>
      </c>
      <c r="IN132" s="4">
        <f>IFERROR(HL132/'McDonough &amp; Sun 1995 values'!W$2,)</f>
        <v>0</v>
      </c>
      <c r="IO132" s="4">
        <f>IFERROR(HM132/'McDonough &amp; Sun 1995 values'!X$2,)</f>
        <v>0</v>
      </c>
      <c r="IP132" s="4">
        <f>IFERROR(HN132/'McDonough &amp; Sun 1995 values'!Y$2,)</f>
        <v>0</v>
      </c>
      <c r="IQ132" s="4">
        <f>IFERROR(HO132/'McDonough &amp; Sun 1995 values'!Z$2,)</f>
        <v>0</v>
      </c>
      <c r="IR132" s="4">
        <f>IFERROR(HP132/'McDonough &amp; Sun 1995 values'!AA$2,)</f>
        <v>0</v>
      </c>
      <c r="IS132" s="4">
        <f>IFERROR(HQ132/'McDonough &amp; Sun 1995 values'!AB$2,)</f>
        <v>0</v>
      </c>
      <c r="IT132" s="4">
        <f>IFERROR(HR132/'McDonough &amp; Sun 1995 values'!AC$2,)</f>
        <v>0</v>
      </c>
    </row>
    <row r="133" spans="1:254">
      <c r="A133" s="16" t="s">
        <v>1655</v>
      </c>
      <c r="B133" s="16" t="s">
        <v>24</v>
      </c>
      <c r="C133" s="16" t="str">
        <f t="shared" si="304"/>
        <v>saline</v>
      </c>
      <c r="D133" s="16" t="s">
        <v>119</v>
      </c>
      <c r="E133" s="16" t="s">
        <v>237</v>
      </c>
      <c r="F133" s="16" t="s">
        <v>163</v>
      </c>
      <c r="G133" s="16" t="s">
        <v>595</v>
      </c>
      <c r="H133" s="27">
        <v>355</v>
      </c>
      <c r="I133" s="16" t="s">
        <v>712</v>
      </c>
      <c r="J133" s="16">
        <v>0</v>
      </c>
      <c r="K133" s="16" t="s">
        <v>654</v>
      </c>
      <c r="L133" s="16">
        <v>0</v>
      </c>
      <c r="M133" s="16" t="s">
        <v>644</v>
      </c>
      <c r="N133" s="16" t="s">
        <v>1467</v>
      </c>
      <c r="O133" s="26">
        <v>3.96</v>
      </c>
      <c r="P133" s="26">
        <v>4.76</v>
      </c>
      <c r="Q133" s="26">
        <v>0.15</v>
      </c>
      <c r="R133" s="26">
        <v>1.21</v>
      </c>
      <c r="S133" s="26">
        <v>13.2</v>
      </c>
      <c r="T133" s="26">
        <v>2.63</v>
      </c>
      <c r="U133" s="26">
        <v>0.27</v>
      </c>
      <c r="V133" s="26">
        <v>8.0500000000000007</v>
      </c>
      <c r="W133" s="26">
        <v>4.53</v>
      </c>
      <c r="X133" s="26">
        <v>18.3</v>
      </c>
      <c r="Y133" s="26">
        <v>1.1499999999999999</v>
      </c>
      <c r="Z133" s="26">
        <v>1.1499999999999999</v>
      </c>
      <c r="AA133" s="26"/>
      <c r="AB133" s="26">
        <v>12.2</v>
      </c>
      <c r="AC133" s="26"/>
      <c r="AD133" s="26">
        <v>21.9</v>
      </c>
      <c r="AE133" s="26"/>
      <c r="AF133" s="26">
        <v>3.33</v>
      </c>
      <c r="AG133" s="26">
        <v>1.26</v>
      </c>
      <c r="AH133" s="26">
        <v>2</v>
      </c>
      <c r="AI133" s="26"/>
      <c r="AJ133" s="26">
        <f t="shared" si="305"/>
        <v>91.889999999999986</v>
      </c>
      <c r="AK133" s="26">
        <f t="shared" si="288"/>
        <v>4.5544553491783173</v>
      </c>
      <c r="AL133" s="26">
        <f t="shared" si="289"/>
        <v>5.4745473389113108</v>
      </c>
      <c r="AM133" s="26">
        <f t="shared" si="290"/>
        <v>1.3916391344711523</v>
      </c>
      <c r="AN133" s="26">
        <f t="shared" si="291"/>
        <v>15.181517830594391</v>
      </c>
      <c r="AO133" s="26">
        <f t="shared" si="292"/>
        <v>3.0248024162472156</v>
      </c>
      <c r="AP133" s="26">
        <f t="shared" si="293"/>
        <v>9.2584256466882469</v>
      </c>
      <c r="AQ133" s="26">
        <f t="shared" si="294"/>
        <v>14.031402843428149</v>
      </c>
      <c r="AR133" s="26">
        <f t="shared" si="295"/>
        <v>5.210020891863075</v>
      </c>
      <c r="AS133" s="26">
        <f t="shared" si="296"/>
        <v>21.047104265142224</v>
      </c>
      <c r="AT133" s="26">
        <f t="shared" si="297"/>
        <v>1.3226322352411779</v>
      </c>
      <c r="AU133" s="26">
        <f t="shared" si="298"/>
        <v>25.187518218940692</v>
      </c>
      <c r="AV133" s="26">
        <f t="shared" si="306"/>
        <v>105.68406617070595</v>
      </c>
      <c r="AW133" s="16"/>
      <c r="AX133" s="16"/>
      <c r="AY133" s="16"/>
      <c r="AZ133" s="16"/>
      <c r="BA133" s="26"/>
      <c r="BB133" s="26">
        <v>0.14000000000000001</v>
      </c>
      <c r="BC133" s="26">
        <f t="shared" si="307"/>
        <v>0.14000000000000001</v>
      </c>
      <c r="BD133" s="26">
        <f t="shared" si="308"/>
        <v>0.86</v>
      </c>
      <c r="BE133" s="16"/>
      <c r="BF133" s="16"/>
      <c r="BG133" s="16"/>
      <c r="BH133" s="16"/>
      <c r="BI133" s="16"/>
      <c r="BJ133" s="16"/>
      <c r="BK133" s="18"/>
      <c r="BL133" s="18"/>
      <c r="BM133" s="18"/>
      <c r="BN133" s="18"/>
      <c r="BO133" s="18"/>
      <c r="BP133" s="18"/>
      <c r="BQ133" s="18"/>
      <c r="BR133" s="18">
        <v>0</v>
      </c>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28"/>
      <c r="DW133" s="28"/>
      <c r="DX133" s="28"/>
      <c r="DY133" s="28"/>
      <c r="DZ133" s="28"/>
      <c r="EA133" s="28"/>
      <c r="EB133" s="28"/>
      <c r="EC133" s="28"/>
      <c r="ED133" s="28"/>
      <c r="EE133" s="28"/>
      <c r="EF133" s="28"/>
      <c r="EG133" s="28"/>
      <c r="EH133" s="28"/>
      <c r="EI133" s="28"/>
      <c r="EJ133" s="18"/>
      <c r="EK133" s="18"/>
      <c r="EL133" s="18">
        <f>IFERROR(CR133/'McDonough &amp; Sun 1995 values'!C$2,)</f>
        <v>0</v>
      </c>
      <c r="EM133" s="18">
        <f>IFERROR(CH133/'McDonough &amp; Sun 1995 values'!D$2,)</f>
        <v>0</v>
      </c>
      <c r="EN133" s="18">
        <f>IFERROR(CS133/'McDonough &amp; Sun 1995 values'!E$2,)</f>
        <v>0</v>
      </c>
      <c r="EO133" s="18">
        <f>IFERROR(DL133/'McDonough &amp; Sun 1995 values'!F$2,)</f>
        <v>0</v>
      </c>
      <c r="EP133" s="18">
        <f>IFERROR(DM133/'McDonough &amp; Sun 1995 values'!G$2,)</f>
        <v>0</v>
      </c>
      <c r="EQ133" s="18">
        <f>IFERROR(BR133/'McDonough &amp; Sun 1995 values'!H$2,)</f>
        <v>0</v>
      </c>
      <c r="ER133" s="18">
        <f>IFERROR(DI133/'McDonough &amp; Sun 1995 values'!I$2,)</f>
        <v>0</v>
      </c>
      <c r="ES133" s="18">
        <f>IFERROR(CM133/'McDonough &amp; Sun 1995 values'!J$2,)</f>
        <v>0</v>
      </c>
      <c r="ET133" s="18">
        <f>IFERROR(CU133/'McDonough &amp; Sun 1995 values'!K$2,)</f>
        <v>0</v>
      </c>
      <c r="EU133" s="18">
        <f>IFERROR(CV133/'McDonough &amp; Sun 1995 values'!L$2,)</f>
        <v>0</v>
      </c>
      <c r="EV133" s="18">
        <f>IFERROR(CW133/'McDonough &amp; Sun 1995 values'!M$2,)</f>
        <v>0</v>
      </c>
      <c r="EW133" s="18">
        <f>IFERROR(CI133/'McDonough &amp; Sun 1995 values'!N$2,)</f>
        <v>0</v>
      </c>
      <c r="EX133" s="18">
        <f>IFERROR(CX133/'McDonough &amp; Sun 1995 values'!O$2,)</f>
        <v>0</v>
      </c>
      <c r="EY133" s="18">
        <f>IFERROR(CY133/'McDonough &amp; Sun 1995 values'!P$2,)</f>
        <v>0</v>
      </c>
      <c r="EZ133" s="18">
        <f>IFERROR(DH133/'McDonough &amp; Sun 1995 values'!Q$2,)</f>
        <v>0</v>
      </c>
      <c r="FA133" s="18">
        <f>IFERROR(CK133/'McDonough &amp; Sun 1995 values'!R$2,)</f>
        <v>0</v>
      </c>
      <c r="FB133" s="18">
        <f>IFERROR(CZ133/'McDonough &amp; Sun 1995 values'!S$2,)</f>
        <v>0</v>
      </c>
      <c r="FC133" s="18">
        <f>IFERROR(BT133/'McDonough &amp; Sun 1995 values'!T$2,)</f>
        <v>0</v>
      </c>
      <c r="FD133" s="18">
        <f>IFERROR(DA133/'McDonough &amp; Sun 1995 values'!U$2,)</f>
        <v>0</v>
      </c>
      <c r="FE133" s="18">
        <f>IFERROR(DN133/'McDonough &amp; Sun 1995 values'!V$2,)</f>
        <v>0</v>
      </c>
      <c r="FF133" s="18">
        <f>IFERROR(DB133/'McDonough &amp; Sun 1995 values'!W$2,)</f>
        <v>0</v>
      </c>
      <c r="FG133" s="18">
        <f>IFERROR(CJ133/'McDonough &amp; Sun 1995 values'!X$2,)</f>
        <v>0</v>
      </c>
      <c r="FH133" s="18">
        <f>IFERROR(DC133/'McDonough &amp; Sun 1995 values'!Y$2,)</f>
        <v>0</v>
      </c>
      <c r="FI133" s="18">
        <f>IFERROR(DD133/'McDonough &amp; Sun 1995 values'!Z$2,)</f>
        <v>0</v>
      </c>
      <c r="FJ133" s="18">
        <f>IFERROR(DE133/'McDonough &amp; Sun 1995 values'!AA$2,)</f>
        <v>0</v>
      </c>
      <c r="FK133" s="18">
        <f>IFERROR(DF133/'McDonough &amp; Sun 1995 values'!AB$2,)</f>
        <v>0</v>
      </c>
      <c r="FL133" s="18">
        <f>IFERROR(DG133/'McDonough &amp; Sun 1995 values'!AC$2,)</f>
        <v>0</v>
      </c>
      <c r="FN133" s="28">
        <f t="shared" si="299"/>
        <v>0</v>
      </c>
      <c r="FO133" s="4">
        <f t="shared" ref="FO133:FO169" si="309">IFERROR(EN133/EP133,)</f>
        <v>0</v>
      </c>
      <c r="FP133" s="4">
        <f t="shared" ref="FP133:FP169" si="310">IFERROR(EO133/ES133,)</f>
        <v>0</v>
      </c>
      <c r="FQ133" s="4">
        <f t="shared" ref="FQ133:FQ169" si="311">IFERROR(EO133/EP133,)</f>
        <v>0</v>
      </c>
      <c r="FR133" s="4">
        <f t="shared" ref="FR133:FR169" si="312">IFERROR(ET133/ES133,)</f>
        <v>0</v>
      </c>
      <c r="FS133" s="4">
        <f t="shared" ref="FS133:FS169" si="313">IFERROR(ET133/ER133,)</f>
        <v>0</v>
      </c>
      <c r="FT133" s="4">
        <f t="shared" ref="FT133:FT169" si="314">IFERROR(EM133/EL133,)</f>
        <v>0</v>
      </c>
      <c r="FU133" s="4">
        <f t="shared" ref="FU133:FU169" si="315">IFERROR(ER133/ES133,)</f>
        <v>0</v>
      </c>
      <c r="FV133" s="4">
        <f t="shared" ref="FV133:FV169" si="316">IFERROR(FA133/EY133,)</f>
        <v>0</v>
      </c>
      <c r="FW133" s="4">
        <f t="shared" ref="FW133:FW169" si="317">IFERROR(FA133/EZ133,)</f>
        <v>0</v>
      </c>
      <c r="FX133" s="4">
        <f t="shared" ref="FX133:FX169" si="318">IFERROR(FB133/(0.5*FD133+0.5*EY133),)</f>
        <v>0</v>
      </c>
      <c r="FY133" s="4">
        <f t="shared" ref="FY133:FY169" si="319">IFERROR(EW133/SQRT(EV133*EX133),)</f>
        <v>0</v>
      </c>
      <c r="FZ133" s="4">
        <f t="shared" ref="FZ133:FZ169" si="320">IFERROR(FB133/SQRT(EY133*FD133),)</f>
        <v>0</v>
      </c>
      <c r="GA133" s="4">
        <f t="shared" ref="GA133:GA169" si="321">IFERROR(EW133/EV133,)</f>
        <v>0</v>
      </c>
      <c r="GB133" s="4">
        <f t="shared" ref="GB133:GB169" si="322">IFERROR(FB133/EY133,)</f>
        <v>0</v>
      </c>
      <c r="GC133" s="4">
        <f t="shared" ref="GC133:GC169" si="323">IFERROR(EL133/EM133,)</f>
        <v>0</v>
      </c>
      <c r="GD133" s="4">
        <f t="shared" ref="GD133:GD169" si="324">IFERROR(EN133/EO133,)</f>
        <v>0</v>
      </c>
      <c r="GE133" s="4">
        <f t="shared" ref="GE133:GE169" si="325">IFERROR(EN133/EM133,)</f>
        <v>0</v>
      </c>
      <c r="GF133" s="4">
        <f t="shared" ref="GF133:GF169" si="326">IFERROR(EN133/EQ133,)</f>
        <v>0</v>
      </c>
      <c r="GG133" s="4">
        <f t="shared" ref="GG133:GG169" si="327">IFERROR(EN133/ES133,)</f>
        <v>0</v>
      </c>
      <c r="GH133" s="4">
        <f t="shared" ref="GH133:GH169" si="328">IFERROR(ET133/EV133,)</f>
        <v>0</v>
      </c>
      <c r="GI133" s="4">
        <f t="shared" ref="GI133:GI169" si="329">IFERROR(ET133/EY133,)</f>
        <v>0</v>
      </c>
      <c r="GJ133" s="4">
        <f t="shared" ref="GJ133:GJ169" si="330">IFERROR(ET133/FF133,)</f>
        <v>0</v>
      </c>
      <c r="GK133" s="4">
        <f t="shared" ref="GK133:GK169" si="331">IFERROR(ET133/FK133,)</f>
        <v>0</v>
      </c>
      <c r="GL133" s="4">
        <f t="shared" ref="GL133:GL169" si="332">IFERROR(FA133/FC133,)</f>
        <v>0</v>
      </c>
      <c r="GM133" s="4">
        <f t="shared" ref="GM133:GM169" si="333">IFERROR(EO133/EM133,)</f>
        <v>0</v>
      </c>
      <c r="GN133" s="4">
        <f t="shared" ref="GN133:GN169" si="334">IFERROR(ES133/ET133,)</f>
        <v>0</v>
      </c>
      <c r="GO133" s="4">
        <f t="shared" ref="GO133:GO169" si="335">IFERROR(ES133/EP133,)</f>
        <v>0</v>
      </c>
      <c r="GP133" s="4">
        <f t="shared" ref="GP133:GP169" si="336">IFERROR(EQ133/EP133,)</f>
        <v>0</v>
      </c>
      <c r="GQ133" s="27">
        <f t="shared" ref="GQ133:GQ169" si="337">AS133*10000/1.20462</f>
        <v>174719.86406619701</v>
      </c>
      <c r="GR133" s="28" t="str">
        <f t="shared" ref="GR133:GR169" si="338">IFERROR(CR133/$BR133*$GQ133,"")</f>
        <v/>
      </c>
      <c r="GS133" s="28" t="str">
        <f t="shared" ref="GS133:GS169" si="339">IFERROR(CH133/$BR133*$GQ133,"")</f>
        <v/>
      </c>
      <c r="GT133" s="28" t="str">
        <f t="shared" ref="GT133:GT169" si="340">IFERROR(CS133/$BR133*$GQ133,"")</f>
        <v/>
      </c>
      <c r="GU133" s="28" t="str">
        <f t="shared" ref="GU133:GU169" si="341">IFERROR(DL133/$BR133*$GQ133,"")</f>
        <v/>
      </c>
      <c r="GV133" s="28" t="str">
        <f t="shared" ref="GV133:GV169" si="342">IFERROR(DM133/$BR133*$GQ133,"")</f>
        <v/>
      </c>
      <c r="GW133" s="28" t="str">
        <f t="shared" ref="GW133:GW169" si="343">IFERROR(BR133/$BR133*$GQ133,"")</f>
        <v/>
      </c>
      <c r="GX133" s="28" t="str">
        <f t="shared" ref="GX133:GX169" si="344">IFERROR(DI133/$BR133*$GQ133,"")</f>
        <v/>
      </c>
      <c r="GY133" s="28" t="str">
        <f t="shared" ref="GY133:GY169" si="345">IFERROR(CM133/$BR133*$GQ133,"")</f>
        <v/>
      </c>
      <c r="GZ133" s="28" t="str">
        <f t="shared" ref="GZ133:GZ169" si="346">IFERROR(CU133/$BR133*$GQ133,"")</f>
        <v/>
      </c>
      <c r="HA133" s="28" t="str">
        <f t="shared" ref="HA133:HA169" si="347">IFERROR(CV133/$BR133*$GQ133,"")</f>
        <v/>
      </c>
      <c r="HB133" s="28" t="str">
        <f t="shared" ref="HB133:HB169" si="348">IFERROR(CW133/$BR133*$GQ133,"")</f>
        <v/>
      </c>
      <c r="HC133" s="28" t="str">
        <f t="shared" ref="HC133:HC169" si="349">IFERROR(CI133/$BR133*$GQ133,"")</f>
        <v/>
      </c>
      <c r="HD133" s="28" t="str">
        <f t="shared" ref="HD133:HD169" si="350">IFERROR(CX133/$BR133*$GQ133,"")</f>
        <v/>
      </c>
      <c r="HE133" s="28" t="str">
        <f t="shared" ref="HE133:HE169" si="351">IFERROR(CY133/$BR133*$GQ133,"")</f>
        <v/>
      </c>
      <c r="HF133" s="28" t="str">
        <f t="shared" ref="HF133:HF169" si="352">IFERROR(DH133/$BR133*$GQ133,"")</f>
        <v/>
      </c>
      <c r="HG133" s="28" t="str">
        <f t="shared" ref="HG133:HG169" si="353">IFERROR(CK133/$BR133*$GQ133,"")</f>
        <v/>
      </c>
      <c r="HH133" s="28" t="str">
        <f t="shared" ref="HH133:HH169" si="354">IFERROR(CZ133/$BR133*$GQ133,"")</f>
        <v/>
      </c>
      <c r="HI133" s="28" t="str">
        <f t="shared" ref="HI133:HI169" si="355">IFERROR(BT133/$BR133*$GQ133,"")</f>
        <v/>
      </c>
      <c r="HJ133" s="28" t="str">
        <f t="shared" ref="HJ133:HJ169" si="356">IFERROR(DA133/$BR133*$GQ133,"")</f>
        <v/>
      </c>
      <c r="HK133" s="28" t="str">
        <f t="shared" ref="HK133:HK169" si="357">IFERROR(DN133/$BR133*$GQ133,"")</f>
        <v/>
      </c>
      <c r="HL133" s="28" t="str">
        <f t="shared" ref="HL133:HL169" si="358">IFERROR(DB133/$BR133*$GQ133,"")</f>
        <v/>
      </c>
      <c r="HM133" s="28" t="str">
        <f t="shared" ref="HM133:HM169" si="359">IFERROR(CJ133/$BR133*$GQ133,"")</f>
        <v/>
      </c>
      <c r="HN133" s="28" t="str">
        <f t="shared" ref="HN133:HN169" si="360">IFERROR(DC133/$BR133*$GQ133,"")</f>
        <v/>
      </c>
      <c r="HO133" s="28" t="str">
        <f t="shared" ref="HO133:HO169" si="361">IFERROR(DD133/$BR133*$GQ133,"")</f>
        <v/>
      </c>
      <c r="HP133" s="28" t="str">
        <f t="shared" ref="HP133:HP169" si="362">IFERROR(DE133/$BR133*$GQ133,"")</f>
        <v/>
      </c>
      <c r="HQ133" s="28" t="str">
        <f t="shared" ref="HQ133:HQ169" si="363">IFERROR(DF133/$BR133*$GQ133,"")</f>
        <v/>
      </c>
      <c r="HR133" s="28" t="str">
        <f t="shared" ref="HR133:HR169" si="364">IFERROR(DG133/$BR133*$GQ133,"")</f>
        <v/>
      </c>
      <c r="HT133" s="4">
        <f>IFERROR(GR133/'McDonough &amp; Sun 1995 values'!C$2,)</f>
        <v>0</v>
      </c>
      <c r="HU133" s="4">
        <f>IFERROR(GS133/'McDonough &amp; Sun 1995 values'!D$2,)</f>
        <v>0</v>
      </c>
      <c r="HV133" s="4">
        <f>IFERROR(GT133/'McDonough &amp; Sun 1995 values'!E$2,)</f>
        <v>0</v>
      </c>
      <c r="HW133" s="4">
        <f>IFERROR(GU133/'McDonough &amp; Sun 1995 values'!F$2,)</f>
        <v>0</v>
      </c>
      <c r="HX133" s="4">
        <f>IFERROR(GV133/'McDonough &amp; Sun 1995 values'!G$2,)</f>
        <v>0</v>
      </c>
      <c r="HY133" s="4">
        <f>IFERROR(GW133/'McDonough &amp; Sun 1995 values'!H$2,)</f>
        <v>0</v>
      </c>
      <c r="HZ133" s="4">
        <f>IFERROR(GX133/'McDonough &amp; Sun 1995 values'!I$2,)</f>
        <v>0</v>
      </c>
      <c r="IA133" s="4">
        <f>IFERROR(GY133/'McDonough &amp; Sun 1995 values'!J$2,)</f>
        <v>0</v>
      </c>
      <c r="IB133" s="4">
        <f>IFERROR(GZ133/'McDonough &amp; Sun 1995 values'!K$2,)</f>
        <v>0</v>
      </c>
      <c r="IC133" s="4">
        <f>IFERROR(HA133/'McDonough &amp; Sun 1995 values'!L$2,)</f>
        <v>0</v>
      </c>
      <c r="ID133" s="4">
        <f>IFERROR(HB133/'McDonough &amp; Sun 1995 values'!M$2,)</f>
        <v>0</v>
      </c>
      <c r="IE133" s="4">
        <f>IFERROR(HC133/'McDonough &amp; Sun 1995 values'!N$2,)</f>
        <v>0</v>
      </c>
      <c r="IF133" s="4">
        <f>IFERROR(HD133/'McDonough &amp; Sun 1995 values'!O$2,)</f>
        <v>0</v>
      </c>
      <c r="IG133" s="4">
        <f>IFERROR(HE133/'McDonough &amp; Sun 1995 values'!P$2,)</f>
        <v>0</v>
      </c>
      <c r="IH133" s="4">
        <f>IFERROR(HF133/'McDonough &amp; Sun 1995 values'!Q$2,)</f>
        <v>0</v>
      </c>
      <c r="II133" s="4">
        <f>IFERROR(HG133/'McDonough &amp; Sun 1995 values'!R$2,)</f>
        <v>0</v>
      </c>
      <c r="IJ133" s="4">
        <f>IFERROR(HH133/'McDonough &amp; Sun 1995 values'!S$2,)</f>
        <v>0</v>
      </c>
      <c r="IK133" s="4">
        <f>IFERROR(HI133/'McDonough &amp; Sun 1995 values'!T$2,)</f>
        <v>0</v>
      </c>
      <c r="IL133" s="4">
        <f>IFERROR(HJ133/'McDonough &amp; Sun 1995 values'!U$2,)</f>
        <v>0</v>
      </c>
      <c r="IM133" s="4">
        <f>IFERROR(HK133/'McDonough &amp; Sun 1995 values'!V$2,)</f>
        <v>0</v>
      </c>
      <c r="IN133" s="4">
        <f>IFERROR(HL133/'McDonough &amp; Sun 1995 values'!W$2,)</f>
        <v>0</v>
      </c>
      <c r="IO133" s="4">
        <f>IFERROR(HM133/'McDonough &amp; Sun 1995 values'!X$2,)</f>
        <v>0</v>
      </c>
      <c r="IP133" s="4">
        <f>IFERROR(HN133/'McDonough &amp; Sun 1995 values'!Y$2,)</f>
        <v>0</v>
      </c>
      <c r="IQ133" s="4">
        <f>IFERROR(HO133/'McDonough &amp; Sun 1995 values'!Z$2,)</f>
        <v>0</v>
      </c>
      <c r="IR133" s="4">
        <f>IFERROR(HP133/'McDonough &amp; Sun 1995 values'!AA$2,)</f>
        <v>0</v>
      </c>
      <c r="IS133" s="4">
        <f>IFERROR(HQ133/'McDonough &amp; Sun 1995 values'!AB$2,)</f>
        <v>0</v>
      </c>
      <c r="IT133" s="4">
        <f>IFERROR(HR133/'McDonough &amp; Sun 1995 values'!AC$2,)</f>
        <v>0</v>
      </c>
    </row>
    <row r="134" spans="1:254">
      <c r="A134" s="16" t="s">
        <v>1655</v>
      </c>
      <c r="B134" s="16" t="s">
        <v>24</v>
      </c>
      <c r="C134" s="16" t="str">
        <f t="shared" si="304"/>
        <v>saline</v>
      </c>
      <c r="D134" s="16" t="s">
        <v>119</v>
      </c>
      <c r="E134" s="16" t="s">
        <v>237</v>
      </c>
      <c r="F134" s="16" t="s">
        <v>163</v>
      </c>
      <c r="G134" s="16" t="s">
        <v>595</v>
      </c>
      <c r="H134" s="27">
        <v>355</v>
      </c>
      <c r="I134" s="16" t="s">
        <v>712</v>
      </c>
      <c r="J134" s="16">
        <v>0</v>
      </c>
      <c r="K134" s="16" t="s">
        <v>654</v>
      </c>
      <c r="L134" s="16">
        <v>0</v>
      </c>
      <c r="M134" s="16" t="s">
        <v>645</v>
      </c>
      <c r="N134" s="16" t="s">
        <v>1467</v>
      </c>
      <c r="O134" s="26">
        <v>4.1100000000000003</v>
      </c>
      <c r="P134" s="26">
        <v>4.1500000000000004</v>
      </c>
      <c r="Q134" s="26">
        <v>0.37</v>
      </c>
      <c r="R134" s="26">
        <v>1.51</v>
      </c>
      <c r="S134" s="26">
        <v>13.1</v>
      </c>
      <c r="T134" s="26">
        <v>2.5299999999999998</v>
      </c>
      <c r="U134" s="26">
        <v>0.87</v>
      </c>
      <c r="V134" s="26">
        <v>8.14</v>
      </c>
      <c r="W134" s="26">
        <v>4.54</v>
      </c>
      <c r="X134" s="26">
        <v>17.8</v>
      </c>
      <c r="Y134" s="26">
        <v>1.35</v>
      </c>
      <c r="Z134" s="26">
        <v>1.78</v>
      </c>
      <c r="AA134" s="26"/>
      <c r="AB134" s="26">
        <v>12.7</v>
      </c>
      <c r="AC134" s="26"/>
      <c r="AD134" s="26">
        <v>21.4</v>
      </c>
      <c r="AE134" s="26"/>
      <c r="AF134" s="26">
        <v>2.67</v>
      </c>
      <c r="AG134" s="26">
        <v>0.89</v>
      </c>
      <c r="AH134" s="26">
        <v>2.12</v>
      </c>
      <c r="AI134" s="26"/>
      <c r="AJ134" s="26">
        <f t="shared" si="305"/>
        <v>91.760000000000019</v>
      </c>
      <c r="AK134" s="26">
        <f t="shared" si="288"/>
        <v>4.7279059685393605</v>
      </c>
      <c r="AL134" s="26">
        <f t="shared" si="289"/>
        <v>4.7739196519314708</v>
      </c>
      <c r="AM134" s="26">
        <f t="shared" si="290"/>
        <v>1.7370165480521738</v>
      </c>
      <c r="AN134" s="26">
        <f t="shared" si="291"/>
        <v>15.069481310916208</v>
      </c>
      <c r="AO134" s="26">
        <f t="shared" si="292"/>
        <v>2.9103654745509924</v>
      </c>
      <c r="AP134" s="26">
        <f t="shared" si="293"/>
        <v>9.3637845702944986</v>
      </c>
      <c r="AQ134" s="26">
        <f t="shared" si="294"/>
        <v>14.609344476995101</v>
      </c>
      <c r="AR134" s="26">
        <f t="shared" si="295"/>
        <v>5.222553065004548</v>
      </c>
      <c r="AS134" s="26">
        <f t="shared" si="296"/>
        <v>20.476089109489198</v>
      </c>
      <c r="AT134" s="26">
        <f t="shared" si="297"/>
        <v>2.0476089109489197</v>
      </c>
      <c r="AU134" s="26">
        <f t="shared" si="298"/>
        <v>24.617320614779146</v>
      </c>
      <c r="AV134" s="26">
        <f t="shared" si="306"/>
        <v>105.55538970150162</v>
      </c>
      <c r="AW134" s="16"/>
      <c r="AX134" s="16"/>
      <c r="AY134" s="16"/>
      <c r="AZ134" s="16"/>
      <c r="BA134" s="26"/>
      <c r="BB134" s="26">
        <v>0.13</v>
      </c>
      <c r="BC134" s="26">
        <f t="shared" si="307"/>
        <v>0.13</v>
      </c>
      <c r="BD134" s="26">
        <f t="shared" si="308"/>
        <v>0.87</v>
      </c>
      <c r="BE134" s="16"/>
      <c r="BF134" s="16"/>
      <c r="BG134" s="16"/>
      <c r="BH134" s="16"/>
      <c r="BI134" s="16"/>
      <c r="BJ134" s="16"/>
      <c r="BK134" s="18"/>
      <c r="BL134" s="18"/>
      <c r="BM134" s="18"/>
      <c r="BN134" s="18"/>
      <c r="BO134" s="18"/>
      <c r="BP134" s="18"/>
      <c r="BQ134" s="18"/>
      <c r="BR134" s="18">
        <v>0</v>
      </c>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28"/>
      <c r="DW134" s="28"/>
      <c r="DX134" s="28"/>
      <c r="DY134" s="28"/>
      <c r="DZ134" s="28"/>
      <c r="EA134" s="28"/>
      <c r="EB134" s="28"/>
      <c r="EC134" s="28"/>
      <c r="ED134" s="28"/>
      <c r="EE134" s="28"/>
      <c r="EF134" s="28"/>
      <c r="EG134" s="28"/>
      <c r="EH134" s="28"/>
      <c r="EI134" s="28"/>
      <c r="EJ134" s="18"/>
      <c r="EK134" s="18"/>
      <c r="EL134" s="18">
        <f>IFERROR(CR134/'McDonough &amp; Sun 1995 values'!C$2,)</f>
        <v>0</v>
      </c>
      <c r="EM134" s="18">
        <f>IFERROR(CH134/'McDonough &amp; Sun 1995 values'!D$2,)</f>
        <v>0</v>
      </c>
      <c r="EN134" s="18">
        <f>IFERROR(CS134/'McDonough &amp; Sun 1995 values'!E$2,)</f>
        <v>0</v>
      </c>
      <c r="EO134" s="18">
        <f>IFERROR(DL134/'McDonough &amp; Sun 1995 values'!F$2,)</f>
        <v>0</v>
      </c>
      <c r="EP134" s="18">
        <f>IFERROR(DM134/'McDonough &amp; Sun 1995 values'!G$2,)</f>
        <v>0</v>
      </c>
      <c r="EQ134" s="18">
        <f>IFERROR(BR134/'McDonough &amp; Sun 1995 values'!H$2,)</f>
        <v>0</v>
      </c>
      <c r="ER134" s="18">
        <f>IFERROR(DI134/'McDonough &amp; Sun 1995 values'!I$2,)</f>
        <v>0</v>
      </c>
      <c r="ES134" s="18">
        <f>IFERROR(CM134/'McDonough &amp; Sun 1995 values'!J$2,)</f>
        <v>0</v>
      </c>
      <c r="ET134" s="18">
        <f>IFERROR(CU134/'McDonough &amp; Sun 1995 values'!K$2,)</f>
        <v>0</v>
      </c>
      <c r="EU134" s="18">
        <f>IFERROR(CV134/'McDonough &amp; Sun 1995 values'!L$2,)</f>
        <v>0</v>
      </c>
      <c r="EV134" s="18">
        <f>IFERROR(CW134/'McDonough &amp; Sun 1995 values'!M$2,)</f>
        <v>0</v>
      </c>
      <c r="EW134" s="18">
        <f>IFERROR(CI134/'McDonough &amp; Sun 1995 values'!N$2,)</f>
        <v>0</v>
      </c>
      <c r="EX134" s="18">
        <f>IFERROR(CX134/'McDonough &amp; Sun 1995 values'!O$2,)</f>
        <v>0</v>
      </c>
      <c r="EY134" s="18">
        <f>IFERROR(CY134/'McDonough &amp; Sun 1995 values'!P$2,)</f>
        <v>0</v>
      </c>
      <c r="EZ134" s="18">
        <f>IFERROR(DH134/'McDonough &amp; Sun 1995 values'!Q$2,)</f>
        <v>0</v>
      </c>
      <c r="FA134" s="18">
        <f>IFERROR(CK134/'McDonough &amp; Sun 1995 values'!R$2,)</f>
        <v>0</v>
      </c>
      <c r="FB134" s="18">
        <f>IFERROR(CZ134/'McDonough &amp; Sun 1995 values'!S$2,)</f>
        <v>0</v>
      </c>
      <c r="FC134" s="18">
        <f>IFERROR(BT134/'McDonough &amp; Sun 1995 values'!T$2,)</f>
        <v>0</v>
      </c>
      <c r="FD134" s="18">
        <f>IFERROR(DA134/'McDonough &amp; Sun 1995 values'!U$2,)</f>
        <v>0</v>
      </c>
      <c r="FE134" s="18">
        <f>IFERROR(DN134/'McDonough &amp; Sun 1995 values'!V$2,)</f>
        <v>0</v>
      </c>
      <c r="FF134" s="18">
        <f>IFERROR(DB134/'McDonough &amp; Sun 1995 values'!W$2,)</f>
        <v>0</v>
      </c>
      <c r="FG134" s="18">
        <f>IFERROR(CJ134/'McDonough &amp; Sun 1995 values'!X$2,)</f>
        <v>0</v>
      </c>
      <c r="FH134" s="18">
        <f>IFERROR(DC134/'McDonough &amp; Sun 1995 values'!Y$2,)</f>
        <v>0</v>
      </c>
      <c r="FI134" s="18">
        <f>IFERROR(DD134/'McDonough &amp; Sun 1995 values'!Z$2,)</f>
        <v>0</v>
      </c>
      <c r="FJ134" s="18">
        <f>IFERROR(DE134/'McDonough &amp; Sun 1995 values'!AA$2,)</f>
        <v>0</v>
      </c>
      <c r="FK134" s="18">
        <f>IFERROR(DF134/'McDonough &amp; Sun 1995 values'!AB$2,)</f>
        <v>0</v>
      </c>
      <c r="FL134" s="18">
        <f>IFERROR(DG134/'McDonough &amp; Sun 1995 values'!AC$2,)</f>
        <v>0</v>
      </c>
      <c r="FN134" s="28">
        <f t="shared" si="299"/>
        <v>0</v>
      </c>
      <c r="FO134" s="4">
        <f t="shared" si="309"/>
        <v>0</v>
      </c>
      <c r="FP134" s="4">
        <f t="shared" si="310"/>
        <v>0</v>
      </c>
      <c r="FQ134" s="4">
        <f t="shared" si="311"/>
        <v>0</v>
      </c>
      <c r="FR134" s="4">
        <f t="shared" si="312"/>
        <v>0</v>
      </c>
      <c r="FS134" s="4">
        <f t="shared" si="313"/>
        <v>0</v>
      </c>
      <c r="FT134" s="4">
        <f t="shared" si="314"/>
        <v>0</v>
      </c>
      <c r="FU134" s="4">
        <f t="shared" si="315"/>
        <v>0</v>
      </c>
      <c r="FV134" s="4">
        <f t="shared" si="316"/>
        <v>0</v>
      </c>
      <c r="FW134" s="4">
        <f t="shared" si="317"/>
        <v>0</v>
      </c>
      <c r="FX134" s="4">
        <f t="shared" si="318"/>
        <v>0</v>
      </c>
      <c r="FY134" s="4">
        <f t="shared" si="319"/>
        <v>0</v>
      </c>
      <c r="FZ134" s="4">
        <f t="shared" si="320"/>
        <v>0</v>
      </c>
      <c r="GA134" s="4">
        <f t="shared" si="321"/>
        <v>0</v>
      </c>
      <c r="GB134" s="4">
        <f t="shared" si="322"/>
        <v>0</v>
      </c>
      <c r="GC134" s="4">
        <f t="shared" si="323"/>
        <v>0</v>
      </c>
      <c r="GD134" s="4">
        <f t="shared" si="324"/>
        <v>0</v>
      </c>
      <c r="GE134" s="4">
        <f t="shared" si="325"/>
        <v>0</v>
      </c>
      <c r="GF134" s="4">
        <f t="shared" si="326"/>
        <v>0</v>
      </c>
      <c r="GG134" s="4">
        <f t="shared" si="327"/>
        <v>0</v>
      </c>
      <c r="GH134" s="4">
        <f t="shared" si="328"/>
        <v>0</v>
      </c>
      <c r="GI134" s="4">
        <f t="shared" si="329"/>
        <v>0</v>
      </c>
      <c r="GJ134" s="4">
        <f t="shared" si="330"/>
        <v>0</v>
      </c>
      <c r="GK134" s="4">
        <f t="shared" si="331"/>
        <v>0</v>
      </c>
      <c r="GL134" s="4">
        <f t="shared" si="332"/>
        <v>0</v>
      </c>
      <c r="GM134" s="4">
        <f t="shared" si="333"/>
        <v>0</v>
      </c>
      <c r="GN134" s="4">
        <f t="shared" si="334"/>
        <v>0</v>
      </c>
      <c r="GO134" s="4">
        <f t="shared" si="335"/>
        <v>0</v>
      </c>
      <c r="GP134" s="4">
        <f t="shared" si="336"/>
        <v>0</v>
      </c>
      <c r="GQ134" s="27">
        <f t="shared" si="337"/>
        <v>169979.65424357224</v>
      </c>
      <c r="GR134" s="28" t="str">
        <f t="shared" si="338"/>
        <v/>
      </c>
      <c r="GS134" s="28" t="str">
        <f t="shared" si="339"/>
        <v/>
      </c>
      <c r="GT134" s="28" t="str">
        <f t="shared" si="340"/>
        <v/>
      </c>
      <c r="GU134" s="28" t="str">
        <f t="shared" si="341"/>
        <v/>
      </c>
      <c r="GV134" s="28" t="str">
        <f t="shared" si="342"/>
        <v/>
      </c>
      <c r="GW134" s="28" t="str">
        <f t="shared" si="343"/>
        <v/>
      </c>
      <c r="GX134" s="28" t="str">
        <f t="shared" si="344"/>
        <v/>
      </c>
      <c r="GY134" s="28" t="str">
        <f t="shared" si="345"/>
        <v/>
      </c>
      <c r="GZ134" s="28" t="str">
        <f t="shared" si="346"/>
        <v/>
      </c>
      <c r="HA134" s="28" t="str">
        <f t="shared" si="347"/>
        <v/>
      </c>
      <c r="HB134" s="28" t="str">
        <f t="shared" si="348"/>
        <v/>
      </c>
      <c r="HC134" s="28" t="str">
        <f t="shared" si="349"/>
        <v/>
      </c>
      <c r="HD134" s="28" t="str">
        <f t="shared" si="350"/>
        <v/>
      </c>
      <c r="HE134" s="28" t="str">
        <f t="shared" si="351"/>
        <v/>
      </c>
      <c r="HF134" s="28" t="str">
        <f t="shared" si="352"/>
        <v/>
      </c>
      <c r="HG134" s="28" t="str">
        <f t="shared" si="353"/>
        <v/>
      </c>
      <c r="HH134" s="28" t="str">
        <f t="shared" si="354"/>
        <v/>
      </c>
      <c r="HI134" s="28" t="str">
        <f t="shared" si="355"/>
        <v/>
      </c>
      <c r="HJ134" s="28" t="str">
        <f t="shared" si="356"/>
        <v/>
      </c>
      <c r="HK134" s="28" t="str">
        <f t="shared" si="357"/>
        <v/>
      </c>
      <c r="HL134" s="28" t="str">
        <f t="shared" si="358"/>
        <v/>
      </c>
      <c r="HM134" s="28" t="str">
        <f t="shared" si="359"/>
        <v/>
      </c>
      <c r="HN134" s="28" t="str">
        <f t="shared" si="360"/>
        <v/>
      </c>
      <c r="HO134" s="28" t="str">
        <f t="shared" si="361"/>
        <v/>
      </c>
      <c r="HP134" s="28" t="str">
        <f t="shared" si="362"/>
        <v/>
      </c>
      <c r="HQ134" s="28" t="str">
        <f t="shared" si="363"/>
        <v/>
      </c>
      <c r="HR134" s="28" t="str">
        <f t="shared" si="364"/>
        <v/>
      </c>
      <c r="HT134" s="4">
        <f>IFERROR(GR134/'McDonough &amp; Sun 1995 values'!C$2,)</f>
        <v>0</v>
      </c>
      <c r="HU134" s="4">
        <f>IFERROR(GS134/'McDonough &amp; Sun 1995 values'!D$2,)</f>
        <v>0</v>
      </c>
      <c r="HV134" s="4">
        <f>IFERROR(GT134/'McDonough &amp; Sun 1995 values'!E$2,)</f>
        <v>0</v>
      </c>
      <c r="HW134" s="4">
        <f>IFERROR(GU134/'McDonough &amp; Sun 1995 values'!F$2,)</f>
        <v>0</v>
      </c>
      <c r="HX134" s="4">
        <f>IFERROR(GV134/'McDonough &amp; Sun 1995 values'!G$2,)</f>
        <v>0</v>
      </c>
      <c r="HY134" s="4">
        <f>IFERROR(GW134/'McDonough &amp; Sun 1995 values'!H$2,)</f>
        <v>0</v>
      </c>
      <c r="HZ134" s="4">
        <f>IFERROR(GX134/'McDonough &amp; Sun 1995 values'!I$2,)</f>
        <v>0</v>
      </c>
      <c r="IA134" s="4">
        <f>IFERROR(GY134/'McDonough &amp; Sun 1995 values'!J$2,)</f>
        <v>0</v>
      </c>
      <c r="IB134" s="4">
        <f>IFERROR(GZ134/'McDonough &amp; Sun 1995 values'!K$2,)</f>
        <v>0</v>
      </c>
      <c r="IC134" s="4">
        <f>IFERROR(HA134/'McDonough &amp; Sun 1995 values'!L$2,)</f>
        <v>0</v>
      </c>
      <c r="ID134" s="4">
        <f>IFERROR(HB134/'McDonough &amp; Sun 1995 values'!M$2,)</f>
        <v>0</v>
      </c>
      <c r="IE134" s="4">
        <f>IFERROR(HC134/'McDonough &amp; Sun 1995 values'!N$2,)</f>
        <v>0</v>
      </c>
      <c r="IF134" s="4">
        <f>IFERROR(HD134/'McDonough &amp; Sun 1995 values'!O$2,)</f>
        <v>0</v>
      </c>
      <c r="IG134" s="4">
        <f>IFERROR(HE134/'McDonough &amp; Sun 1995 values'!P$2,)</f>
        <v>0</v>
      </c>
      <c r="IH134" s="4">
        <f>IFERROR(HF134/'McDonough &amp; Sun 1995 values'!Q$2,)</f>
        <v>0</v>
      </c>
      <c r="II134" s="4">
        <f>IFERROR(HG134/'McDonough &amp; Sun 1995 values'!R$2,)</f>
        <v>0</v>
      </c>
      <c r="IJ134" s="4">
        <f>IFERROR(HH134/'McDonough &amp; Sun 1995 values'!S$2,)</f>
        <v>0</v>
      </c>
      <c r="IK134" s="4">
        <f>IFERROR(HI134/'McDonough &amp; Sun 1995 values'!T$2,)</f>
        <v>0</v>
      </c>
      <c r="IL134" s="4">
        <f>IFERROR(HJ134/'McDonough &amp; Sun 1995 values'!U$2,)</f>
        <v>0</v>
      </c>
      <c r="IM134" s="4">
        <f>IFERROR(HK134/'McDonough &amp; Sun 1995 values'!V$2,)</f>
        <v>0</v>
      </c>
      <c r="IN134" s="4">
        <f>IFERROR(HL134/'McDonough &amp; Sun 1995 values'!W$2,)</f>
        <v>0</v>
      </c>
      <c r="IO134" s="4">
        <f>IFERROR(HM134/'McDonough &amp; Sun 1995 values'!X$2,)</f>
        <v>0</v>
      </c>
      <c r="IP134" s="4">
        <f>IFERROR(HN134/'McDonough &amp; Sun 1995 values'!Y$2,)</f>
        <v>0</v>
      </c>
      <c r="IQ134" s="4">
        <f>IFERROR(HO134/'McDonough &amp; Sun 1995 values'!Z$2,)</f>
        <v>0</v>
      </c>
      <c r="IR134" s="4">
        <f>IFERROR(HP134/'McDonough &amp; Sun 1995 values'!AA$2,)</f>
        <v>0</v>
      </c>
      <c r="IS134" s="4">
        <f>IFERROR(HQ134/'McDonough &amp; Sun 1995 values'!AB$2,)</f>
        <v>0</v>
      </c>
      <c r="IT134" s="4">
        <f>IFERROR(HR134/'McDonough &amp; Sun 1995 values'!AC$2,)</f>
        <v>0</v>
      </c>
    </row>
    <row r="135" spans="1:254">
      <c r="A135" s="16" t="s">
        <v>1655</v>
      </c>
      <c r="B135" s="16" t="s">
        <v>24</v>
      </c>
      <c r="C135" s="16" t="str">
        <f t="shared" si="304"/>
        <v>saline</v>
      </c>
      <c r="D135" s="16" t="s">
        <v>119</v>
      </c>
      <c r="E135" s="16" t="s">
        <v>237</v>
      </c>
      <c r="F135" s="16" t="s">
        <v>163</v>
      </c>
      <c r="G135" s="16" t="s">
        <v>595</v>
      </c>
      <c r="H135" s="27">
        <v>355</v>
      </c>
      <c r="I135" s="16" t="s">
        <v>712</v>
      </c>
      <c r="J135" s="16" t="s">
        <v>712</v>
      </c>
      <c r="K135" s="16" t="s">
        <v>654</v>
      </c>
      <c r="L135" s="16" t="s">
        <v>653</v>
      </c>
      <c r="M135" s="16" t="s">
        <v>646</v>
      </c>
      <c r="N135" s="16" t="s">
        <v>1467</v>
      </c>
      <c r="O135" s="26">
        <v>3.65</v>
      </c>
      <c r="P135" s="26">
        <v>4.2</v>
      </c>
      <c r="Q135" s="26">
        <v>0.23</v>
      </c>
      <c r="R135" s="26">
        <v>1.25</v>
      </c>
      <c r="S135" s="26">
        <v>12</v>
      </c>
      <c r="T135" s="26">
        <v>2.65</v>
      </c>
      <c r="U135" s="26">
        <v>0.43</v>
      </c>
      <c r="V135" s="26">
        <v>7.75</v>
      </c>
      <c r="W135" s="26">
        <v>4.99</v>
      </c>
      <c r="X135" s="26">
        <v>17.600000000000001</v>
      </c>
      <c r="Y135" s="26">
        <v>1.64</v>
      </c>
      <c r="Z135" s="26">
        <v>2.08</v>
      </c>
      <c r="AA135" s="26"/>
      <c r="AB135" s="26">
        <v>13.4</v>
      </c>
      <c r="AC135" s="26"/>
      <c r="AD135" s="26">
        <v>21.5</v>
      </c>
      <c r="AE135" s="26"/>
      <c r="AF135" s="26">
        <v>3.79</v>
      </c>
      <c r="AG135" s="26">
        <v>1.32</v>
      </c>
      <c r="AH135" s="26">
        <v>1.52</v>
      </c>
      <c r="AI135" s="26"/>
      <c r="AJ135" s="26">
        <f t="shared" si="305"/>
        <v>91.070000000000007</v>
      </c>
      <c r="AK135" s="26">
        <f t="shared" si="288"/>
        <v>4.2334500217001425</v>
      </c>
      <c r="AL135" s="26">
        <f t="shared" si="289"/>
        <v>4.8713671482576979</v>
      </c>
      <c r="AM135" s="26">
        <f t="shared" si="290"/>
        <v>1.4498116512671719</v>
      </c>
      <c r="AN135" s="26">
        <f t="shared" si="291"/>
        <v>13.918191852164853</v>
      </c>
      <c r="AO135" s="26">
        <f t="shared" si="292"/>
        <v>3.0736007006864048</v>
      </c>
      <c r="AP135" s="26">
        <f t="shared" si="293"/>
        <v>8.9888322378564656</v>
      </c>
      <c r="AQ135" s="26">
        <f t="shared" si="294"/>
        <v>15.541980901584084</v>
      </c>
      <c r="AR135" s="26">
        <f t="shared" si="295"/>
        <v>5.7876481118585508</v>
      </c>
      <c r="AS135" s="26">
        <f t="shared" si="296"/>
        <v>20.413348049841783</v>
      </c>
      <c r="AT135" s="26">
        <f t="shared" si="297"/>
        <v>2.4124865877085742</v>
      </c>
      <c r="AU135" s="26">
        <f t="shared" si="298"/>
        <v>24.936760401795357</v>
      </c>
      <c r="AV135" s="26">
        <f t="shared" si="306"/>
        <v>105.62747766472108</v>
      </c>
      <c r="AW135" s="16"/>
      <c r="AX135" s="16"/>
      <c r="AY135" s="16"/>
      <c r="AZ135" s="16"/>
      <c r="BA135" s="26"/>
      <c r="BB135" s="26">
        <v>0.13</v>
      </c>
      <c r="BC135" s="26">
        <f t="shared" si="307"/>
        <v>0.13</v>
      </c>
      <c r="BD135" s="26">
        <f t="shared" si="308"/>
        <v>0.87</v>
      </c>
      <c r="BE135" s="16"/>
      <c r="BF135" s="16"/>
      <c r="BG135" s="16"/>
      <c r="BH135" s="16"/>
      <c r="BI135" s="16"/>
      <c r="BJ135" s="16"/>
      <c r="BK135" s="18"/>
      <c r="BL135" s="18"/>
      <c r="BM135" s="18"/>
      <c r="BN135" s="18"/>
      <c r="BO135" s="18"/>
      <c r="BP135" s="18"/>
      <c r="BQ135" s="18"/>
      <c r="BR135" s="18">
        <v>0</v>
      </c>
      <c r="BS135" s="18"/>
      <c r="BT135" s="18"/>
      <c r="BU135" s="18"/>
      <c r="BV135" s="18"/>
      <c r="BW135" s="18"/>
      <c r="BX135" s="18"/>
      <c r="BY135" s="18"/>
      <c r="BZ135" s="18"/>
      <c r="CA135" s="18"/>
      <c r="CB135" s="18"/>
      <c r="CC135" s="18"/>
      <c r="CD135" s="18"/>
      <c r="CE135" s="18"/>
      <c r="CF135" s="18"/>
      <c r="CG135" s="18"/>
      <c r="CH135" s="18">
        <v>10350</v>
      </c>
      <c r="CI135" s="18">
        <v>4160</v>
      </c>
      <c r="CJ135" s="18">
        <v>28</v>
      </c>
      <c r="CK135" s="18">
        <v>217</v>
      </c>
      <c r="CL135" s="18"/>
      <c r="CM135" s="18">
        <v>108</v>
      </c>
      <c r="CN135" s="18"/>
      <c r="CO135" s="18"/>
      <c r="CP135" s="18"/>
      <c r="CQ135" s="18"/>
      <c r="CR135" s="18"/>
      <c r="CS135" s="18"/>
      <c r="CT135" s="18"/>
      <c r="CU135" s="18">
        <v>67</v>
      </c>
      <c r="CV135" s="18">
        <v>79</v>
      </c>
      <c r="CW135" s="18">
        <v>13.3</v>
      </c>
      <c r="CX135" s="18">
        <v>27.9</v>
      </c>
      <c r="CY135" s="18">
        <v>16.3</v>
      </c>
      <c r="CZ135" s="18">
        <v>3</v>
      </c>
      <c r="DA135" s="18"/>
      <c r="DB135" s="18"/>
      <c r="DC135" s="18">
        <v>3.8</v>
      </c>
      <c r="DD135" s="18"/>
      <c r="DE135" s="18"/>
      <c r="DF135" s="18">
        <v>3.2</v>
      </c>
      <c r="DG135" s="18">
        <v>1.1000000000000001</v>
      </c>
      <c r="DH135" s="18">
        <v>22.7</v>
      </c>
      <c r="DI135" s="18">
        <v>7.8</v>
      </c>
      <c r="DJ135" s="18"/>
      <c r="DK135" s="18">
        <v>0</v>
      </c>
      <c r="DL135" s="18">
        <v>5</v>
      </c>
      <c r="DM135" s="18">
        <v>4.3</v>
      </c>
      <c r="DN135" s="18"/>
      <c r="DO135" s="18"/>
      <c r="DP135" s="18"/>
      <c r="DQ135" s="18"/>
      <c r="DR135" s="18"/>
      <c r="DS135" s="18"/>
      <c r="DT135" s="18"/>
      <c r="DU135" s="18"/>
      <c r="DV135" s="28"/>
      <c r="DW135" s="28"/>
      <c r="DX135" s="28"/>
      <c r="DY135" s="28"/>
      <c r="DZ135" s="28"/>
      <c r="EA135" s="28"/>
      <c r="EB135" s="28"/>
      <c r="EC135" s="28"/>
      <c r="ED135" s="28"/>
      <c r="EE135" s="28"/>
      <c r="EF135" s="28"/>
      <c r="EG135" s="28"/>
      <c r="EH135" s="28"/>
      <c r="EI135" s="28"/>
      <c r="EJ135" s="18"/>
      <c r="EK135" s="18"/>
      <c r="EL135" s="18">
        <f>IFERROR(CR135/'McDonough &amp; Sun 1995 values'!C$2,)</f>
        <v>0</v>
      </c>
      <c r="EM135" s="18">
        <f>IFERROR(CH135/'McDonough &amp; Sun 1995 values'!D$2,)</f>
        <v>17250</v>
      </c>
      <c r="EN135" s="18">
        <f>IFERROR(CS135/'McDonough &amp; Sun 1995 values'!E$2,)</f>
        <v>0</v>
      </c>
      <c r="EO135" s="18">
        <f>IFERROR(DL135/'McDonough &amp; Sun 1995 values'!F$2,)</f>
        <v>62.893081761006286</v>
      </c>
      <c r="EP135" s="18">
        <f>IFERROR(DM135/'McDonough &amp; Sun 1995 values'!G$2,)</f>
        <v>211.82266009852216</v>
      </c>
      <c r="EQ135" s="18">
        <f>IFERROR(BR135/'McDonough &amp; Sun 1995 values'!H$2,)</f>
        <v>0</v>
      </c>
      <c r="ER135" s="18">
        <f>IFERROR(DI135/'McDonough &amp; Sun 1995 values'!I$2,)</f>
        <v>210.81081081081081</v>
      </c>
      <c r="ES135" s="18">
        <f>IFERROR(CM135/'McDonough &amp; Sun 1995 values'!J$2,)</f>
        <v>164.13373860182369</v>
      </c>
      <c r="ET135" s="18">
        <f>IFERROR(CU135/'McDonough &amp; Sun 1995 values'!K$2,)</f>
        <v>103.39506172839506</v>
      </c>
      <c r="EU135" s="18">
        <f>IFERROR(CV135/'McDonough &amp; Sun 1995 values'!L$2,)</f>
        <v>47.164179104477611</v>
      </c>
      <c r="EV135" s="18">
        <f>IFERROR(CW135/'McDonough &amp; Sun 1995 values'!M$2,)</f>
        <v>52.362204724409452</v>
      </c>
      <c r="EW135" s="18">
        <f>IFERROR(CI135/'McDonough &amp; Sun 1995 values'!N$2,)</f>
        <v>209.04522613065328</v>
      </c>
      <c r="EX135" s="18">
        <f>IFERROR(CX135/'McDonough &amp; Sun 1995 values'!O$2,)</f>
        <v>22.32</v>
      </c>
      <c r="EY135" s="18">
        <f>IFERROR(CY135/'McDonough &amp; Sun 1995 values'!P$2,)</f>
        <v>40.147783251231523</v>
      </c>
      <c r="EZ135" s="18">
        <f>IFERROR(DH135/'McDonough &amp; Sun 1995 values'!Q$2,)</f>
        <v>80.21201413427562</v>
      </c>
      <c r="FA135" s="18">
        <f>IFERROR(CK135/'McDonough &amp; Sun 1995 values'!R$2,)</f>
        <v>20.666666666666668</v>
      </c>
      <c r="FB135" s="18">
        <f>IFERROR(CZ135/'McDonough &amp; Sun 1995 values'!S$2,)</f>
        <v>19.480519480519479</v>
      </c>
      <c r="FC135" s="18">
        <f>IFERROR(BT135/'McDonough &amp; Sun 1995 values'!T$2,)</f>
        <v>0</v>
      </c>
      <c r="FD135" s="18">
        <f>IFERROR(DA135/'McDonough &amp; Sun 1995 values'!U$2,)</f>
        <v>0</v>
      </c>
      <c r="FE135" s="18">
        <f>IFERROR(DN135/'McDonough &amp; Sun 1995 values'!V$2,)</f>
        <v>0</v>
      </c>
      <c r="FF135" s="18">
        <f>IFERROR(DB135/'McDonough &amp; Sun 1995 values'!W$2,)</f>
        <v>0</v>
      </c>
      <c r="FG135" s="18">
        <f>IFERROR(CJ135/'McDonough &amp; Sun 1995 values'!X$2,)</f>
        <v>6.5116279069767442</v>
      </c>
      <c r="FH135" s="18">
        <f>IFERROR(DC135/'McDonough &amp; Sun 1995 values'!Y$2,)</f>
        <v>25.503355704697988</v>
      </c>
      <c r="FI135" s="18">
        <f>IFERROR(DD135/'McDonough &amp; Sun 1995 values'!Z$2,)</f>
        <v>0</v>
      </c>
      <c r="FJ135" s="18">
        <f>IFERROR(DE135/'McDonough &amp; Sun 1995 values'!AA$2,)</f>
        <v>0</v>
      </c>
      <c r="FK135" s="18">
        <f>IFERROR(DF135/'McDonough &amp; Sun 1995 values'!AB$2,)</f>
        <v>7.2562358276643995</v>
      </c>
      <c r="FL135" s="18">
        <f>IFERROR(DG135/'McDonough &amp; Sun 1995 values'!AC$2,)</f>
        <v>16.296296296296298</v>
      </c>
      <c r="FN135" s="28">
        <f t="shared" si="299"/>
        <v>0</v>
      </c>
      <c r="FO135" s="4">
        <f t="shared" si="309"/>
        <v>0</v>
      </c>
      <c r="FP135" s="4">
        <f t="shared" si="310"/>
        <v>0.38318192406242724</v>
      </c>
      <c r="FQ135" s="4">
        <f t="shared" si="311"/>
        <v>0.29691385110428548</v>
      </c>
      <c r="FR135" s="4">
        <f t="shared" si="312"/>
        <v>0.62994398719707367</v>
      </c>
      <c r="FS135" s="4">
        <f t="shared" si="313"/>
        <v>0.49046375435264328</v>
      </c>
      <c r="FT135" s="4">
        <f t="shared" si="314"/>
        <v>0</v>
      </c>
      <c r="FU135" s="4">
        <f t="shared" si="315"/>
        <v>1.2843843843843845</v>
      </c>
      <c r="FV135" s="4">
        <f t="shared" si="316"/>
        <v>0.51476482617586916</v>
      </c>
      <c r="FW135" s="4">
        <f t="shared" si="317"/>
        <v>0.25765051395007343</v>
      </c>
      <c r="FX135" s="4">
        <f t="shared" si="318"/>
        <v>0.97044060234244289</v>
      </c>
      <c r="FY135" s="4">
        <f t="shared" si="319"/>
        <v>6.1148273150432786</v>
      </c>
      <c r="FZ135" s="4">
        <f t="shared" si="320"/>
        <v>0</v>
      </c>
      <c r="GA135" s="4">
        <f t="shared" si="321"/>
        <v>3.9922922885102201</v>
      </c>
      <c r="GB135" s="4">
        <f t="shared" si="322"/>
        <v>0.48522030117122145</v>
      </c>
      <c r="GC135" s="4">
        <f t="shared" si="323"/>
        <v>0</v>
      </c>
      <c r="GD135" s="4">
        <f t="shared" si="324"/>
        <v>0</v>
      </c>
      <c r="GE135" s="4">
        <f t="shared" si="325"/>
        <v>0</v>
      </c>
      <c r="GF135" s="4">
        <f t="shared" si="326"/>
        <v>0</v>
      </c>
      <c r="GG135" s="4">
        <f t="shared" si="327"/>
        <v>0</v>
      </c>
      <c r="GH135" s="4">
        <f t="shared" si="328"/>
        <v>1.9746124570685974</v>
      </c>
      <c r="GI135" s="4">
        <f t="shared" si="329"/>
        <v>2.5753616602287361</v>
      </c>
      <c r="GJ135" s="4">
        <f t="shared" si="330"/>
        <v>0</v>
      </c>
      <c r="GK135" s="4">
        <f t="shared" si="331"/>
        <v>14.249131944444445</v>
      </c>
      <c r="GL135" s="4">
        <f t="shared" si="332"/>
        <v>0</v>
      </c>
      <c r="GM135" s="4">
        <f t="shared" si="333"/>
        <v>3.6459757542612338E-3</v>
      </c>
      <c r="GN135" s="4">
        <f t="shared" si="334"/>
        <v>1.5874427255818171</v>
      </c>
      <c r="GO135" s="4">
        <f t="shared" si="335"/>
        <v>0.77486392874814447</v>
      </c>
      <c r="GP135" s="4">
        <f t="shared" si="336"/>
        <v>0</v>
      </c>
      <c r="GQ135" s="27">
        <f t="shared" si="337"/>
        <v>169458.81730206855</v>
      </c>
      <c r="GR135" s="28" t="str">
        <f t="shared" si="338"/>
        <v/>
      </c>
      <c r="GS135" s="28" t="str">
        <f t="shared" si="339"/>
        <v/>
      </c>
      <c r="GT135" s="28" t="str">
        <f t="shared" si="340"/>
        <v/>
      </c>
      <c r="GU135" s="28" t="str">
        <f t="shared" si="341"/>
        <v/>
      </c>
      <c r="GV135" s="28" t="str">
        <f t="shared" si="342"/>
        <v/>
      </c>
      <c r="GW135" s="28" t="str">
        <f t="shared" si="343"/>
        <v/>
      </c>
      <c r="GX135" s="28" t="str">
        <f t="shared" si="344"/>
        <v/>
      </c>
      <c r="GY135" s="28" t="str">
        <f t="shared" si="345"/>
        <v/>
      </c>
      <c r="GZ135" s="28" t="str">
        <f t="shared" si="346"/>
        <v/>
      </c>
      <c r="HA135" s="28" t="str">
        <f t="shared" si="347"/>
        <v/>
      </c>
      <c r="HB135" s="28" t="str">
        <f t="shared" si="348"/>
        <v/>
      </c>
      <c r="HC135" s="28" t="str">
        <f t="shared" si="349"/>
        <v/>
      </c>
      <c r="HD135" s="28" t="str">
        <f t="shared" si="350"/>
        <v/>
      </c>
      <c r="HE135" s="28" t="str">
        <f t="shared" si="351"/>
        <v/>
      </c>
      <c r="HF135" s="28" t="str">
        <f t="shared" si="352"/>
        <v/>
      </c>
      <c r="HG135" s="28" t="str">
        <f t="shared" si="353"/>
        <v/>
      </c>
      <c r="HH135" s="28" t="str">
        <f t="shared" si="354"/>
        <v/>
      </c>
      <c r="HI135" s="28" t="str">
        <f t="shared" si="355"/>
        <v/>
      </c>
      <c r="HJ135" s="28" t="str">
        <f t="shared" si="356"/>
        <v/>
      </c>
      <c r="HK135" s="28" t="str">
        <f t="shared" si="357"/>
        <v/>
      </c>
      <c r="HL135" s="28" t="str">
        <f t="shared" si="358"/>
        <v/>
      </c>
      <c r="HM135" s="28" t="str">
        <f t="shared" si="359"/>
        <v/>
      </c>
      <c r="HN135" s="28" t="str">
        <f t="shared" si="360"/>
        <v/>
      </c>
      <c r="HO135" s="28" t="str">
        <f t="shared" si="361"/>
        <v/>
      </c>
      <c r="HP135" s="28" t="str">
        <f t="shared" si="362"/>
        <v/>
      </c>
      <c r="HQ135" s="28" t="str">
        <f t="shared" si="363"/>
        <v/>
      </c>
      <c r="HR135" s="28" t="str">
        <f t="shared" si="364"/>
        <v/>
      </c>
      <c r="HT135" s="4">
        <f>IFERROR(GR135/'McDonough &amp; Sun 1995 values'!C$2,)</f>
        <v>0</v>
      </c>
      <c r="HU135" s="4">
        <f>IFERROR(GS135/'McDonough &amp; Sun 1995 values'!D$2,)</f>
        <v>0</v>
      </c>
      <c r="HV135" s="4">
        <f>IFERROR(GT135/'McDonough &amp; Sun 1995 values'!E$2,)</f>
        <v>0</v>
      </c>
      <c r="HW135" s="4">
        <f>IFERROR(GU135/'McDonough &amp; Sun 1995 values'!F$2,)</f>
        <v>0</v>
      </c>
      <c r="HX135" s="4">
        <f>IFERROR(GV135/'McDonough &amp; Sun 1995 values'!G$2,)</f>
        <v>0</v>
      </c>
      <c r="HY135" s="4">
        <f>IFERROR(GW135/'McDonough &amp; Sun 1995 values'!H$2,)</f>
        <v>0</v>
      </c>
      <c r="HZ135" s="4">
        <f>IFERROR(GX135/'McDonough &amp; Sun 1995 values'!I$2,)</f>
        <v>0</v>
      </c>
      <c r="IA135" s="4">
        <f>IFERROR(GY135/'McDonough &amp; Sun 1995 values'!J$2,)</f>
        <v>0</v>
      </c>
      <c r="IB135" s="4">
        <f>IFERROR(GZ135/'McDonough &amp; Sun 1995 values'!K$2,)</f>
        <v>0</v>
      </c>
      <c r="IC135" s="4">
        <f>IFERROR(HA135/'McDonough &amp; Sun 1995 values'!L$2,)</f>
        <v>0</v>
      </c>
      <c r="ID135" s="4">
        <f>IFERROR(HB135/'McDonough &amp; Sun 1995 values'!M$2,)</f>
        <v>0</v>
      </c>
      <c r="IE135" s="4">
        <f>IFERROR(HC135/'McDonough &amp; Sun 1995 values'!N$2,)</f>
        <v>0</v>
      </c>
      <c r="IF135" s="4">
        <f>IFERROR(HD135/'McDonough &amp; Sun 1995 values'!O$2,)</f>
        <v>0</v>
      </c>
      <c r="IG135" s="4">
        <f>IFERROR(HE135/'McDonough &amp; Sun 1995 values'!P$2,)</f>
        <v>0</v>
      </c>
      <c r="IH135" s="4">
        <f>IFERROR(HF135/'McDonough &amp; Sun 1995 values'!Q$2,)</f>
        <v>0</v>
      </c>
      <c r="II135" s="4">
        <f>IFERROR(HG135/'McDonough &amp; Sun 1995 values'!R$2,)</f>
        <v>0</v>
      </c>
      <c r="IJ135" s="4">
        <f>IFERROR(HH135/'McDonough &amp; Sun 1995 values'!S$2,)</f>
        <v>0</v>
      </c>
      <c r="IK135" s="4">
        <f>IFERROR(HI135/'McDonough &amp; Sun 1995 values'!T$2,)</f>
        <v>0</v>
      </c>
      <c r="IL135" s="4">
        <f>IFERROR(HJ135/'McDonough &amp; Sun 1995 values'!U$2,)</f>
        <v>0</v>
      </c>
      <c r="IM135" s="4">
        <f>IFERROR(HK135/'McDonough &amp; Sun 1995 values'!V$2,)</f>
        <v>0</v>
      </c>
      <c r="IN135" s="4">
        <f>IFERROR(HL135/'McDonough &amp; Sun 1995 values'!W$2,)</f>
        <v>0</v>
      </c>
      <c r="IO135" s="4">
        <f>IFERROR(HM135/'McDonough &amp; Sun 1995 values'!X$2,)</f>
        <v>0</v>
      </c>
      <c r="IP135" s="4">
        <f>IFERROR(HN135/'McDonough &amp; Sun 1995 values'!Y$2,)</f>
        <v>0</v>
      </c>
      <c r="IQ135" s="4">
        <f>IFERROR(HO135/'McDonough &amp; Sun 1995 values'!Z$2,)</f>
        <v>0</v>
      </c>
      <c r="IR135" s="4">
        <f>IFERROR(HP135/'McDonough &amp; Sun 1995 values'!AA$2,)</f>
        <v>0</v>
      </c>
      <c r="IS135" s="4">
        <f>IFERROR(HQ135/'McDonough &amp; Sun 1995 values'!AB$2,)</f>
        <v>0</v>
      </c>
      <c r="IT135" s="4">
        <f>IFERROR(HR135/'McDonough &amp; Sun 1995 values'!AC$2,)</f>
        <v>0</v>
      </c>
    </row>
    <row r="136" spans="1:254">
      <c r="A136" s="16" t="s">
        <v>1655</v>
      </c>
      <c r="B136" s="16" t="s">
        <v>24</v>
      </c>
      <c r="C136" s="16" t="str">
        <f t="shared" si="304"/>
        <v>saline</v>
      </c>
      <c r="D136" s="16" t="s">
        <v>119</v>
      </c>
      <c r="E136" s="16" t="s">
        <v>237</v>
      </c>
      <c r="F136" s="16" t="s">
        <v>163</v>
      </c>
      <c r="G136" s="16" t="s">
        <v>595</v>
      </c>
      <c r="H136" s="27">
        <v>355</v>
      </c>
      <c r="I136" s="16" t="s">
        <v>712</v>
      </c>
      <c r="J136" s="16">
        <v>0</v>
      </c>
      <c r="K136" s="16" t="s">
        <v>654</v>
      </c>
      <c r="L136" s="16">
        <v>0</v>
      </c>
      <c r="M136" s="16" t="s">
        <v>647</v>
      </c>
      <c r="N136" s="16" t="s">
        <v>1467</v>
      </c>
      <c r="O136" s="26">
        <v>3.96</v>
      </c>
      <c r="P136" s="26">
        <v>3.85</v>
      </c>
      <c r="Q136" s="26">
        <v>0.17</v>
      </c>
      <c r="R136" s="26">
        <v>1.31</v>
      </c>
      <c r="S136" s="26">
        <v>12.7</v>
      </c>
      <c r="T136" s="26">
        <v>2.2999999999999998</v>
      </c>
      <c r="U136" s="26">
        <v>0.74</v>
      </c>
      <c r="V136" s="26">
        <v>7.51</v>
      </c>
      <c r="W136" s="26">
        <v>4.7</v>
      </c>
      <c r="X136" s="26">
        <v>18.2</v>
      </c>
      <c r="Y136" s="26">
        <v>0.77</v>
      </c>
      <c r="Z136" s="26">
        <v>2.3199999999999998</v>
      </c>
      <c r="AA136" s="26"/>
      <c r="AB136" s="26">
        <v>11.8</v>
      </c>
      <c r="AC136" s="26"/>
      <c r="AD136" s="26">
        <v>22.8</v>
      </c>
      <c r="AE136" s="26"/>
      <c r="AF136" s="26">
        <v>3.94</v>
      </c>
      <c r="AG136" s="26">
        <v>1.63</v>
      </c>
      <c r="AH136" s="26">
        <v>1.33</v>
      </c>
      <c r="AI136" s="26"/>
      <c r="AJ136" s="26">
        <f t="shared" si="305"/>
        <v>91.45</v>
      </c>
      <c r="AK136" s="26">
        <f t="shared" si="288"/>
        <v>4.5883930475624712</v>
      </c>
      <c r="AL136" s="26">
        <f t="shared" si="289"/>
        <v>4.4609376851301805</v>
      </c>
      <c r="AM136" s="26">
        <f t="shared" si="290"/>
        <v>1.5178774980572824</v>
      </c>
      <c r="AN136" s="26">
        <f t="shared" si="291"/>
        <v>14.715300935364493</v>
      </c>
      <c r="AO136" s="26">
        <f t="shared" si="292"/>
        <v>2.6649757599479003</v>
      </c>
      <c r="AP136" s="26">
        <f t="shared" si="293"/>
        <v>8.7017251987864039</v>
      </c>
      <c r="AQ136" s="26">
        <f t="shared" si="294"/>
        <v>13.672484333645748</v>
      </c>
      <c r="AR136" s="26">
        <f t="shared" si="295"/>
        <v>5.4458200311978828</v>
      </c>
      <c r="AS136" s="26">
        <f t="shared" si="296"/>
        <v>21.088069056979037</v>
      </c>
      <c r="AT136" s="26">
        <f t="shared" si="297"/>
        <v>2.6881494622083166</v>
      </c>
      <c r="AU136" s="26">
        <f t="shared" si="298"/>
        <v>26.418020576874834</v>
      </c>
      <c r="AV136" s="26">
        <f t="shared" si="306"/>
        <v>105.96175358575455</v>
      </c>
      <c r="AW136" s="16"/>
      <c r="AX136" s="16"/>
      <c r="AY136" s="16"/>
      <c r="AZ136" s="16"/>
      <c r="BA136" s="26"/>
      <c r="BB136" s="26">
        <v>0.14000000000000001</v>
      </c>
      <c r="BC136" s="26">
        <f t="shared" si="307"/>
        <v>0.14000000000000001</v>
      </c>
      <c r="BD136" s="26">
        <f t="shared" si="308"/>
        <v>0.86</v>
      </c>
      <c r="BE136" s="16"/>
      <c r="BF136" s="16"/>
      <c r="BG136" s="16"/>
      <c r="BH136" s="16"/>
      <c r="BI136" s="16"/>
      <c r="BJ136" s="16"/>
      <c r="BK136" s="18"/>
      <c r="BL136" s="18"/>
      <c r="BM136" s="18"/>
      <c r="BN136" s="18"/>
      <c r="BO136" s="18"/>
      <c r="BP136" s="18"/>
      <c r="BQ136" s="18"/>
      <c r="BR136" s="18">
        <v>0</v>
      </c>
      <c r="BS136" s="18"/>
      <c r="BT136" s="18"/>
      <c r="BU136" s="18"/>
      <c r="BV136" s="18"/>
      <c r="BW136" s="18"/>
      <c r="BX136" s="18"/>
      <c r="BY136" s="18"/>
      <c r="BZ136" s="18"/>
      <c r="CA136" s="18"/>
      <c r="CB136" s="18"/>
      <c r="CC136" s="18"/>
      <c r="CD136" s="18"/>
      <c r="CE136" s="18"/>
      <c r="CF136" s="18"/>
      <c r="CG136" s="18"/>
      <c r="CH136" s="18"/>
      <c r="CI136" s="18">
        <v>0</v>
      </c>
      <c r="CJ136" s="18">
        <v>0</v>
      </c>
      <c r="CK136" s="18">
        <v>0</v>
      </c>
      <c r="CL136" s="18"/>
      <c r="CM136" s="18">
        <v>0</v>
      </c>
      <c r="CN136" s="18"/>
      <c r="CO136" s="18"/>
      <c r="CP136" s="18"/>
      <c r="CQ136" s="18"/>
      <c r="CR136" s="18"/>
      <c r="CS136" s="18"/>
      <c r="CT136" s="18"/>
      <c r="CU136" s="18">
        <v>0</v>
      </c>
      <c r="CV136" s="18">
        <v>0</v>
      </c>
      <c r="CW136" s="18">
        <v>0</v>
      </c>
      <c r="CX136" s="18">
        <v>0</v>
      </c>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28"/>
      <c r="DW136" s="28"/>
      <c r="DX136" s="28"/>
      <c r="DY136" s="28"/>
      <c r="DZ136" s="28"/>
      <c r="EA136" s="28"/>
      <c r="EB136" s="28"/>
      <c r="EC136" s="28"/>
      <c r="ED136" s="28"/>
      <c r="EE136" s="28"/>
      <c r="EF136" s="28"/>
      <c r="EG136" s="28"/>
      <c r="EH136" s="28"/>
      <c r="EI136" s="28"/>
      <c r="EJ136" s="18"/>
      <c r="EK136" s="18"/>
      <c r="EL136" s="18">
        <f>IFERROR(CR136/'McDonough &amp; Sun 1995 values'!C$2,)</f>
        <v>0</v>
      </c>
      <c r="EM136" s="18">
        <f>IFERROR(CH136/'McDonough &amp; Sun 1995 values'!D$2,)</f>
        <v>0</v>
      </c>
      <c r="EN136" s="18">
        <f>IFERROR(CS136/'McDonough &amp; Sun 1995 values'!E$2,)</f>
        <v>0</v>
      </c>
      <c r="EO136" s="18">
        <f>IFERROR(DL136/'McDonough &amp; Sun 1995 values'!F$2,)</f>
        <v>0</v>
      </c>
      <c r="EP136" s="18">
        <f>IFERROR(DM136/'McDonough &amp; Sun 1995 values'!G$2,)</f>
        <v>0</v>
      </c>
      <c r="EQ136" s="18">
        <f>IFERROR(BR136/'McDonough &amp; Sun 1995 values'!H$2,)</f>
        <v>0</v>
      </c>
      <c r="ER136" s="18">
        <f>IFERROR(DI136/'McDonough &amp; Sun 1995 values'!I$2,)</f>
        <v>0</v>
      </c>
      <c r="ES136" s="18">
        <f>IFERROR(CM136/'McDonough &amp; Sun 1995 values'!J$2,)</f>
        <v>0</v>
      </c>
      <c r="ET136" s="18">
        <f>IFERROR(CU136/'McDonough &amp; Sun 1995 values'!K$2,)</f>
        <v>0</v>
      </c>
      <c r="EU136" s="18">
        <f>IFERROR(CV136/'McDonough &amp; Sun 1995 values'!L$2,)</f>
        <v>0</v>
      </c>
      <c r="EV136" s="18">
        <f>IFERROR(CW136/'McDonough &amp; Sun 1995 values'!M$2,)</f>
        <v>0</v>
      </c>
      <c r="EW136" s="18">
        <f>IFERROR(CI136/'McDonough &amp; Sun 1995 values'!N$2,)</f>
        <v>0</v>
      </c>
      <c r="EX136" s="18">
        <f>IFERROR(CX136/'McDonough &amp; Sun 1995 values'!O$2,)</f>
        <v>0</v>
      </c>
      <c r="EY136" s="18">
        <f>IFERROR(CY136/'McDonough &amp; Sun 1995 values'!P$2,)</f>
        <v>0</v>
      </c>
      <c r="EZ136" s="18">
        <f>IFERROR(DH136/'McDonough &amp; Sun 1995 values'!Q$2,)</f>
        <v>0</v>
      </c>
      <c r="FA136" s="18">
        <f>IFERROR(CK136/'McDonough &amp; Sun 1995 values'!R$2,)</f>
        <v>0</v>
      </c>
      <c r="FB136" s="18">
        <f>IFERROR(CZ136/'McDonough &amp; Sun 1995 values'!S$2,)</f>
        <v>0</v>
      </c>
      <c r="FC136" s="18">
        <f>IFERROR(BT136/'McDonough &amp; Sun 1995 values'!T$2,)</f>
        <v>0</v>
      </c>
      <c r="FD136" s="18">
        <f>IFERROR(DA136/'McDonough &amp; Sun 1995 values'!U$2,)</f>
        <v>0</v>
      </c>
      <c r="FE136" s="18">
        <f>IFERROR(DN136/'McDonough &amp; Sun 1995 values'!V$2,)</f>
        <v>0</v>
      </c>
      <c r="FF136" s="18">
        <f>IFERROR(DB136/'McDonough &amp; Sun 1995 values'!W$2,)</f>
        <v>0</v>
      </c>
      <c r="FG136" s="18">
        <f>IFERROR(CJ136/'McDonough &amp; Sun 1995 values'!X$2,)</f>
        <v>0</v>
      </c>
      <c r="FH136" s="18">
        <f>IFERROR(DC136/'McDonough &amp; Sun 1995 values'!Y$2,)</f>
        <v>0</v>
      </c>
      <c r="FI136" s="18">
        <f>IFERROR(DD136/'McDonough &amp; Sun 1995 values'!Z$2,)</f>
        <v>0</v>
      </c>
      <c r="FJ136" s="18">
        <f>IFERROR(DE136/'McDonough &amp; Sun 1995 values'!AA$2,)</f>
        <v>0</v>
      </c>
      <c r="FK136" s="18">
        <f>IFERROR(DF136/'McDonough &amp; Sun 1995 values'!AB$2,)</f>
        <v>0</v>
      </c>
      <c r="FL136" s="18">
        <f>IFERROR(DG136/'McDonough &amp; Sun 1995 values'!AC$2,)</f>
        <v>0</v>
      </c>
      <c r="FN136" s="28">
        <f t="shared" si="299"/>
        <v>0</v>
      </c>
      <c r="FO136" s="4">
        <f t="shared" si="309"/>
        <v>0</v>
      </c>
      <c r="FP136" s="4">
        <f t="shared" si="310"/>
        <v>0</v>
      </c>
      <c r="FQ136" s="4">
        <f t="shared" si="311"/>
        <v>0</v>
      </c>
      <c r="FR136" s="4">
        <f t="shared" si="312"/>
        <v>0</v>
      </c>
      <c r="FS136" s="4">
        <f t="shared" si="313"/>
        <v>0</v>
      </c>
      <c r="FT136" s="4">
        <f t="shared" si="314"/>
        <v>0</v>
      </c>
      <c r="FU136" s="4">
        <f t="shared" si="315"/>
        <v>0</v>
      </c>
      <c r="FV136" s="4">
        <f t="shared" si="316"/>
        <v>0</v>
      </c>
      <c r="FW136" s="4">
        <f t="shared" si="317"/>
        <v>0</v>
      </c>
      <c r="FX136" s="4">
        <f t="shared" si="318"/>
        <v>0</v>
      </c>
      <c r="FY136" s="4">
        <f t="shared" si="319"/>
        <v>0</v>
      </c>
      <c r="FZ136" s="4">
        <f t="shared" si="320"/>
        <v>0</v>
      </c>
      <c r="GA136" s="4">
        <f t="shared" si="321"/>
        <v>0</v>
      </c>
      <c r="GB136" s="4">
        <f t="shared" si="322"/>
        <v>0</v>
      </c>
      <c r="GC136" s="4">
        <f t="shared" si="323"/>
        <v>0</v>
      </c>
      <c r="GD136" s="4">
        <f t="shared" si="324"/>
        <v>0</v>
      </c>
      <c r="GE136" s="4">
        <f t="shared" si="325"/>
        <v>0</v>
      </c>
      <c r="GF136" s="4">
        <f t="shared" si="326"/>
        <v>0</v>
      </c>
      <c r="GG136" s="4">
        <f t="shared" si="327"/>
        <v>0</v>
      </c>
      <c r="GH136" s="4">
        <f t="shared" si="328"/>
        <v>0</v>
      </c>
      <c r="GI136" s="4">
        <f t="shared" si="329"/>
        <v>0</v>
      </c>
      <c r="GJ136" s="4">
        <f t="shared" si="330"/>
        <v>0</v>
      </c>
      <c r="GK136" s="4">
        <f t="shared" si="331"/>
        <v>0</v>
      </c>
      <c r="GL136" s="4">
        <f t="shared" si="332"/>
        <v>0</v>
      </c>
      <c r="GM136" s="4">
        <f t="shared" si="333"/>
        <v>0</v>
      </c>
      <c r="GN136" s="4">
        <f t="shared" si="334"/>
        <v>0</v>
      </c>
      <c r="GO136" s="4">
        <f t="shared" si="335"/>
        <v>0</v>
      </c>
      <c r="GP136" s="4">
        <f t="shared" si="336"/>
        <v>0</v>
      </c>
      <c r="GQ136" s="27">
        <f t="shared" si="337"/>
        <v>175059.92808503128</v>
      </c>
      <c r="GR136" s="28" t="str">
        <f t="shared" si="338"/>
        <v/>
      </c>
      <c r="GS136" s="28" t="str">
        <f t="shared" si="339"/>
        <v/>
      </c>
      <c r="GT136" s="28" t="str">
        <f t="shared" si="340"/>
        <v/>
      </c>
      <c r="GU136" s="28" t="str">
        <f t="shared" si="341"/>
        <v/>
      </c>
      <c r="GV136" s="28" t="str">
        <f t="shared" si="342"/>
        <v/>
      </c>
      <c r="GW136" s="28" t="str">
        <f t="shared" si="343"/>
        <v/>
      </c>
      <c r="GX136" s="28" t="str">
        <f t="shared" si="344"/>
        <v/>
      </c>
      <c r="GY136" s="28" t="str">
        <f t="shared" si="345"/>
        <v/>
      </c>
      <c r="GZ136" s="28" t="str">
        <f t="shared" si="346"/>
        <v/>
      </c>
      <c r="HA136" s="28" t="str">
        <f t="shared" si="347"/>
        <v/>
      </c>
      <c r="HB136" s="28" t="str">
        <f t="shared" si="348"/>
        <v/>
      </c>
      <c r="HC136" s="28" t="str">
        <f t="shared" si="349"/>
        <v/>
      </c>
      <c r="HD136" s="28" t="str">
        <f t="shared" si="350"/>
        <v/>
      </c>
      <c r="HE136" s="28" t="str">
        <f t="shared" si="351"/>
        <v/>
      </c>
      <c r="HF136" s="28" t="str">
        <f t="shared" si="352"/>
        <v/>
      </c>
      <c r="HG136" s="28" t="str">
        <f t="shared" si="353"/>
        <v/>
      </c>
      <c r="HH136" s="28" t="str">
        <f t="shared" si="354"/>
        <v/>
      </c>
      <c r="HI136" s="28" t="str">
        <f t="shared" si="355"/>
        <v/>
      </c>
      <c r="HJ136" s="28" t="str">
        <f t="shared" si="356"/>
        <v/>
      </c>
      <c r="HK136" s="28" t="str">
        <f t="shared" si="357"/>
        <v/>
      </c>
      <c r="HL136" s="28" t="str">
        <f t="shared" si="358"/>
        <v/>
      </c>
      <c r="HM136" s="28" t="str">
        <f t="shared" si="359"/>
        <v/>
      </c>
      <c r="HN136" s="28" t="str">
        <f t="shared" si="360"/>
        <v/>
      </c>
      <c r="HO136" s="28" t="str">
        <f t="shared" si="361"/>
        <v/>
      </c>
      <c r="HP136" s="28" t="str">
        <f t="shared" si="362"/>
        <v/>
      </c>
      <c r="HQ136" s="28" t="str">
        <f t="shared" si="363"/>
        <v/>
      </c>
      <c r="HR136" s="28" t="str">
        <f t="shared" si="364"/>
        <v/>
      </c>
      <c r="HT136" s="4">
        <f>IFERROR(GR136/'McDonough &amp; Sun 1995 values'!C$2,)</f>
        <v>0</v>
      </c>
      <c r="HU136" s="4">
        <f>IFERROR(GS136/'McDonough &amp; Sun 1995 values'!D$2,)</f>
        <v>0</v>
      </c>
      <c r="HV136" s="4">
        <f>IFERROR(GT136/'McDonough &amp; Sun 1995 values'!E$2,)</f>
        <v>0</v>
      </c>
      <c r="HW136" s="4">
        <f>IFERROR(GU136/'McDonough &amp; Sun 1995 values'!F$2,)</f>
        <v>0</v>
      </c>
      <c r="HX136" s="4">
        <f>IFERROR(GV136/'McDonough &amp; Sun 1995 values'!G$2,)</f>
        <v>0</v>
      </c>
      <c r="HY136" s="4">
        <f>IFERROR(GW136/'McDonough &amp; Sun 1995 values'!H$2,)</f>
        <v>0</v>
      </c>
      <c r="HZ136" s="4">
        <f>IFERROR(GX136/'McDonough &amp; Sun 1995 values'!I$2,)</f>
        <v>0</v>
      </c>
      <c r="IA136" s="4">
        <f>IFERROR(GY136/'McDonough &amp; Sun 1995 values'!J$2,)</f>
        <v>0</v>
      </c>
      <c r="IB136" s="4">
        <f>IFERROR(GZ136/'McDonough &amp; Sun 1995 values'!K$2,)</f>
        <v>0</v>
      </c>
      <c r="IC136" s="4">
        <f>IFERROR(HA136/'McDonough &amp; Sun 1995 values'!L$2,)</f>
        <v>0</v>
      </c>
      <c r="ID136" s="4">
        <f>IFERROR(HB136/'McDonough &amp; Sun 1995 values'!M$2,)</f>
        <v>0</v>
      </c>
      <c r="IE136" s="4">
        <f>IFERROR(HC136/'McDonough &amp; Sun 1995 values'!N$2,)</f>
        <v>0</v>
      </c>
      <c r="IF136" s="4">
        <f>IFERROR(HD136/'McDonough &amp; Sun 1995 values'!O$2,)</f>
        <v>0</v>
      </c>
      <c r="IG136" s="4">
        <f>IFERROR(HE136/'McDonough &amp; Sun 1995 values'!P$2,)</f>
        <v>0</v>
      </c>
      <c r="IH136" s="4">
        <f>IFERROR(HF136/'McDonough &amp; Sun 1995 values'!Q$2,)</f>
        <v>0</v>
      </c>
      <c r="II136" s="4">
        <f>IFERROR(HG136/'McDonough &amp; Sun 1995 values'!R$2,)</f>
        <v>0</v>
      </c>
      <c r="IJ136" s="4">
        <f>IFERROR(HH136/'McDonough &amp; Sun 1995 values'!S$2,)</f>
        <v>0</v>
      </c>
      <c r="IK136" s="4">
        <f>IFERROR(HI136/'McDonough &amp; Sun 1995 values'!T$2,)</f>
        <v>0</v>
      </c>
      <c r="IL136" s="4">
        <f>IFERROR(HJ136/'McDonough &amp; Sun 1995 values'!U$2,)</f>
        <v>0</v>
      </c>
      <c r="IM136" s="4">
        <f>IFERROR(HK136/'McDonough &amp; Sun 1995 values'!V$2,)</f>
        <v>0</v>
      </c>
      <c r="IN136" s="4">
        <f>IFERROR(HL136/'McDonough &amp; Sun 1995 values'!W$2,)</f>
        <v>0</v>
      </c>
      <c r="IO136" s="4">
        <f>IFERROR(HM136/'McDonough &amp; Sun 1995 values'!X$2,)</f>
        <v>0</v>
      </c>
      <c r="IP136" s="4">
        <f>IFERROR(HN136/'McDonough &amp; Sun 1995 values'!Y$2,)</f>
        <v>0</v>
      </c>
      <c r="IQ136" s="4">
        <f>IFERROR(HO136/'McDonough &amp; Sun 1995 values'!Z$2,)</f>
        <v>0</v>
      </c>
      <c r="IR136" s="4">
        <f>IFERROR(HP136/'McDonough &amp; Sun 1995 values'!AA$2,)</f>
        <v>0</v>
      </c>
      <c r="IS136" s="4">
        <f>IFERROR(HQ136/'McDonough &amp; Sun 1995 values'!AB$2,)</f>
        <v>0</v>
      </c>
      <c r="IT136" s="4">
        <f>IFERROR(HR136/'McDonough &amp; Sun 1995 values'!AC$2,)</f>
        <v>0</v>
      </c>
    </row>
    <row r="137" spans="1:254">
      <c r="A137" s="16" t="s">
        <v>1655</v>
      </c>
      <c r="B137" s="16" t="s">
        <v>24</v>
      </c>
      <c r="C137" s="16" t="str">
        <f t="shared" si="304"/>
        <v>saline</v>
      </c>
      <c r="D137" s="16" t="s">
        <v>119</v>
      </c>
      <c r="E137" s="16" t="s">
        <v>237</v>
      </c>
      <c r="F137" s="16" t="s">
        <v>163</v>
      </c>
      <c r="G137" s="16" t="s">
        <v>595</v>
      </c>
      <c r="H137" s="27">
        <v>355</v>
      </c>
      <c r="I137" s="16" t="s">
        <v>712</v>
      </c>
      <c r="J137" s="16">
        <v>0</v>
      </c>
      <c r="K137" s="16" t="s">
        <v>654</v>
      </c>
      <c r="L137" s="16" t="s">
        <v>649</v>
      </c>
      <c r="M137" s="16" t="s">
        <v>648</v>
      </c>
      <c r="N137" s="16" t="s">
        <v>1467</v>
      </c>
      <c r="O137" s="26">
        <v>3.95</v>
      </c>
      <c r="P137" s="26">
        <v>4.7</v>
      </c>
      <c r="Q137" s="26">
        <v>0.28000000000000003</v>
      </c>
      <c r="R137" s="26">
        <v>1.35</v>
      </c>
      <c r="S137" s="26">
        <v>12.3</v>
      </c>
      <c r="T137" s="26">
        <v>2.59</v>
      </c>
      <c r="U137" s="26">
        <v>0.56999999999999995</v>
      </c>
      <c r="V137" s="26">
        <v>7.94</v>
      </c>
      <c r="W137" s="26">
        <v>4.3899999999999997</v>
      </c>
      <c r="X137" s="26">
        <v>18.2</v>
      </c>
      <c r="Y137" s="26">
        <v>1.33</v>
      </c>
      <c r="Z137" s="26">
        <v>2.0099999999999998</v>
      </c>
      <c r="AA137" s="26"/>
      <c r="AB137" s="26">
        <v>12.4</v>
      </c>
      <c r="AC137" s="26"/>
      <c r="AD137" s="26">
        <v>21.3</v>
      </c>
      <c r="AE137" s="26"/>
      <c r="AF137" s="26">
        <v>3.56</v>
      </c>
      <c r="AG137" s="26">
        <v>1.42</v>
      </c>
      <c r="AH137" s="26">
        <v>1.75</v>
      </c>
      <c r="AI137" s="26"/>
      <c r="AJ137" s="26">
        <f t="shared" si="305"/>
        <v>91.13</v>
      </c>
      <c r="AK137" s="26">
        <f t="shared" si="288"/>
        <v>4.5758250757272867</v>
      </c>
      <c r="AL137" s="26">
        <f t="shared" si="289"/>
        <v>5.4446526217514553</v>
      </c>
      <c r="AM137" s="26">
        <f t="shared" si="290"/>
        <v>1.5638895828435033</v>
      </c>
      <c r="AN137" s="26">
        <f t="shared" si="291"/>
        <v>14.248771754796364</v>
      </c>
      <c r="AO137" s="26">
        <f t="shared" si="292"/>
        <v>3.0003511256034612</v>
      </c>
      <c r="AP137" s="26">
        <f t="shared" si="293"/>
        <v>9.1979876205758639</v>
      </c>
      <c r="AQ137" s="26">
        <f t="shared" si="294"/>
        <v>14.364615427599587</v>
      </c>
      <c r="AR137" s="26">
        <f t="shared" si="295"/>
        <v>5.085537236061465</v>
      </c>
      <c r="AS137" s="26">
        <f t="shared" si="296"/>
        <v>21.083548450186488</v>
      </c>
      <c r="AT137" s="26">
        <f t="shared" si="297"/>
        <v>2.3284578233447712</v>
      </c>
      <c r="AU137" s="26">
        <f t="shared" si="298"/>
        <v>24.674702307086385</v>
      </c>
      <c r="AV137" s="26">
        <f t="shared" si="306"/>
        <v>105.56833902557665</v>
      </c>
      <c r="AW137" s="16"/>
      <c r="AX137" s="16"/>
      <c r="AY137" s="16"/>
      <c r="AZ137" s="16"/>
      <c r="BA137" s="26"/>
      <c r="BB137" s="26">
        <v>0.15</v>
      </c>
      <c r="BC137" s="26">
        <f t="shared" si="307"/>
        <v>0.15000000000000002</v>
      </c>
      <c r="BD137" s="26">
        <f t="shared" si="308"/>
        <v>0.85</v>
      </c>
      <c r="BE137" s="16"/>
      <c r="BF137" s="16"/>
      <c r="BG137" s="16"/>
      <c r="BH137" s="16"/>
      <c r="BI137" s="16"/>
      <c r="BJ137" s="16"/>
      <c r="BK137" s="18"/>
      <c r="BL137" s="18"/>
      <c r="BM137" s="18"/>
      <c r="BN137" s="18"/>
      <c r="BO137" s="18"/>
      <c r="BP137" s="18"/>
      <c r="BQ137" s="18"/>
      <c r="BR137" s="18">
        <v>0</v>
      </c>
      <c r="BS137" s="18"/>
      <c r="BT137" s="18"/>
      <c r="BU137" s="18"/>
      <c r="BV137" s="18"/>
      <c r="BW137" s="18"/>
      <c r="BX137" s="18"/>
      <c r="BY137" s="18"/>
      <c r="BZ137" s="18"/>
      <c r="CA137" s="18"/>
      <c r="CB137" s="18"/>
      <c r="CC137" s="18"/>
      <c r="CD137" s="18"/>
      <c r="CE137" s="18"/>
      <c r="CF137" s="18"/>
      <c r="CG137" s="18"/>
      <c r="CH137" s="18"/>
      <c r="CI137" s="18">
        <v>0</v>
      </c>
      <c r="CJ137" s="18">
        <v>0</v>
      </c>
      <c r="CK137" s="18">
        <v>0</v>
      </c>
      <c r="CL137" s="18"/>
      <c r="CM137" s="18">
        <v>0</v>
      </c>
      <c r="CN137" s="18"/>
      <c r="CO137" s="18"/>
      <c r="CP137" s="18"/>
      <c r="CQ137" s="18"/>
      <c r="CR137" s="18"/>
      <c r="CS137" s="18"/>
      <c r="CT137" s="18"/>
      <c r="CU137" s="18">
        <v>0</v>
      </c>
      <c r="CV137" s="18">
        <v>0</v>
      </c>
      <c r="CW137" s="18">
        <v>0</v>
      </c>
      <c r="CX137" s="18">
        <v>0</v>
      </c>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28"/>
      <c r="DW137" s="28"/>
      <c r="DX137" s="28"/>
      <c r="DY137" s="28"/>
      <c r="DZ137" s="28"/>
      <c r="EA137" s="28"/>
      <c r="EB137" s="28"/>
      <c r="EC137" s="28"/>
      <c r="ED137" s="28"/>
      <c r="EE137" s="28"/>
      <c r="EF137" s="28"/>
      <c r="EG137" s="28"/>
      <c r="EH137" s="28"/>
      <c r="EI137" s="28"/>
      <c r="EJ137" s="18"/>
      <c r="EK137" s="18"/>
      <c r="EL137" s="18">
        <f>IFERROR(CR137/'McDonough &amp; Sun 1995 values'!C$2,)</f>
        <v>0</v>
      </c>
      <c r="EM137" s="18">
        <f>IFERROR(CH137/'McDonough &amp; Sun 1995 values'!D$2,)</f>
        <v>0</v>
      </c>
      <c r="EN137" s="18">
        <f>IFERROR(CS137/'McDonough &amp; Sun 1995 values'!E$2,)</f>
        <v>0</v>
      </c>
      <c r="EO137" s="18">
        <f>IFERROR(DL137/'McDonough &amp; Sun 1995 values'!F$2,)</f>
        <v>0</v>
      </c>
      <c r="EP137" s="18">
        <f>IFERROR(DM137/'McDonough &amp; Sun 1995 values'!G$2,)</f>
        <v>0</v>
      </c>
      <c r="EQ137" s="18">
        <f>IFERROR(BR137/'McDonough &amp; Sun 1995 values'!H$2,)</f>
        <v>0</v>
      </c>
      <c r="ER137" s="18">
        <f>IFERROR(DI137/'McDonough &amp; Sun 1995 values'!I$2,)</f>
        <v>0</v>
      </c>
      <c r="ES137" s="18">
        <f>IFERROR(CM137/'McDonough &amp; Sun 1995 values'!J$2,)</f>
        <v>0</v>
      </c>
      <c r="ET137" s="18">
        <f>IFERROR(CU137/'McDonough &amp; Sun 1995 values'!K$2,)</f>
        <v>0</v>
      </c>
      <c r="EU137" s="18">
        <f>IFERROR(CV137/'McDonough &amp; Sun 1995 values'!L$2,)</f>
        <v>0</v>
      </c>
      <c r="EV137" s="18">
        <f>IFERROR(CW137/'McDonough &amp; Sun 1995 values'!M$2,)</f>
        <v>0</v>
      </c>
      <c r="EW137" s="18">
        <f>IFERROR(CI137/'McDonough &amp; Sun 1995 values'!N$2,)</f>
        <v>0</v>
      </c>
      <c r="EX137" s="18">
        <f>IFERROR(CX137/'McDonough &amp; Sun 1995 values'!O$2,)</f>
        <v>0</v>
      </c>
      <c r="EY137" s="18">
        <f>IFERROR(CY137/'McDonough &amp; Sun 1995 values'!P$2,)</f>
        <v>0</v>
      </c>
      <c r="EZ137" s="18">
        <f>IFERROR(DH137/'McDonough &amp; Sun 1995 values'!Q$2,)</f>
        <v>0</v>
      </c>
      <c r="FA137" s="18">
        <f>IFERROR(CK137/'McDonough &amp; Sun 1995 values'!R$2,)</f>
        <v>0</v>
      </c>
      <c r="FB137" s="18">
        <f>IFERROR(CZ137/'McDonough &amp; Sun 1995 values'!S$2,)</f>
        <v>0</v>
      </c>
      <c r="FC137" s="18">
        <f>IFERROR(BT137/'McDonough &amp; Sun 1995 values'!T$2,)</f>
        <v>0</v>
      </c>
      <c r="FD137" s="18">
        <f>IFERROR(DA137/'McDonough &amp; Sun 1995 values'!U$2,)</f>
        <v>0</v>
      </c>
      <c r="FE137" s="18">
        <f>IFERROR(DN137/'McDonough &amp; Sun 1995 values'!V$2,)</f>
        <v>0</v>
      </c>
      <c r="FF137" s="18">
        <f>IFERROR(DB137/'McDonough &amp; Sun 1995 values'!W$2,)</f>
        <v>0</v>
      </c>
      <c r="FG137" s="18">
        <f>IFERROR(CJ137/'McDonough &amp; Sun 1995 values'!X$2,)</f>
        <v>0</v>
      </c>
      <c r="FH137" s="18">
        <f>IFERROR(DC137/'McDonough &amp; Sun 1995 values'!Y$2,)</f>
        <v>0</v>
      </c>
      <c r="FI137" s="18">
        <f>IFERROR(DD137/'McDonough &amp; Sun 1995 values'!Z$2,)</f>
        <v>0</v>
      </c>
      <c r="FJ137" s="18">
        <f>IFERROR(DE137/'McDonough &amp; Sun 1995 values'!AA$2,)</f>
        <v>0</v>
      </c>
      <c r="FK137" s="18">
        <f>IFERROR(DF137/'McDonough &amp; Sun 1995 values'!AB$2,)</f>
        <v>0</v>
      </c>
      <c r="FL137" s="18">
        <f>IFERROR(DG137/'McDonough &amp; Sun 1995 values'!AC$2,)</f>
        <v>0</v>
      </c>
      <c r="FN137" s="28">
        <f t="shared" si="299"/>
        <v>0</v>
      </c>
      <c r="FO137" s="4">
        <f t="shared" si="309"/>
        <v>0</v>
      </c>
      <c r="FP137" s="4">
        <f t="shared" si="310"/>
        <v>0</v>
      </c>
      <c r="FQ137" s="4">
        <f t="shared" si="311"/>
        <v>0</v>
      </c>
      <c r="FR137" s="4">
        <f t="shared" si="312"/>
        <v>0</v>
      </c>
      <c r="FS137" s="4">
        <f t="shared" si="313"/>
        <v>0</v>
      </c>
      <c r="FT137" s="4">
        <f t="shared" si="314"/>
        <v>0</v>
      </c>
      <c r="FU137" s="4">
        <f t="shared" si="315"/>
        <v>0</v>
      </c>
      <c r="FV137" s="4">
        <f t="shared" si="316"/>
        <v>0</v>
      </c>
      <c r="FW137" s="4">
        <f t="shared" si="317"/>
        <v>0</v>
      </c>
      <c r="FX137" s="4">
        <f t="shared" si="318"/>
        <v>0</v>
      </c>
      <c r="FY137" s="4">
        <f t="shared" si="319"/>
        <v>0</v>
      </c>
      <c r="FZ137" s="4">
        <f t="shared" si="320"/>
        <v>0</v>
      </c>
      <c r="GA137" s="4">
        <f t="shared" si="321"/>
        <v>0</v>
      </c>
      <c r="GB137" s="4">
        <f t="shared" si="322"/>
        <v>0</v>
      </c>
      <c r="GC137" s="4">
        <f t="shared" si="323"/>
        <v>0</v>
      </c>
      <c r="GD137" s="4">
        <f t="shared" si="324"/>
        <v>0</v>
      </c>
      <c r="GE137" s="4">
        <f t="shared" si="325"/>
        <v>0</v>
      </c>
      <c r="GF137" s="4">
        <f t="shared" si="326"/>
        <v>0</v>
      </c>
      <c r="GG137" s="4">
        <f t="shared" si="327"/>
        <v>0</v>
      </c>
      <c r="GH137" s="4">
        <f t="shared" si="328"/>
        <v>0</v>
      </c>
      <c r="GI137" s="4">
        <f t="shared" si="329"/>
        <v>0</v>
      </c>
      <c r="GJ137" s="4">
        <f t="shared" si="330"/>
        <v>0</v>
      </c>
      <c r="GK137" s="4">
        <f t="shared" si="331"/>
        <v>0</v>
      </c>
      <c r="GL137" s="4">
        <f t="shared" si="332"/>
        <v>0</v>
      </c>
      <c r="GM137" s="4">
        <f t="shared" si="333"/>
        <v>0</v>
      </c>
      <c r="GN137" s="4">
        <f t="shared" si="334"/>
        <v>0</v>
      </c>
      <c r="GO137" s="4">
        <f t="shared" si="335"/>
        <v>0</v>
      </c>
      <c r="GP137" s="4">
        <f t="shared" si="336"/>
        <v>0</v>
      </c>
      <c r="GQ137" s="27">
        <f t="shared" si="337"/>
        <v>175022.40084164706</v>
      </c>
      <c r="GR137" s="28" t="str">
        <f t="shared" si="338"/>
        <v/>
      </c>
      <c r="GS137" s="28" t="str">
        <f t="shared" si="339"/>
        <v/>
      </c>
      <c r="GT137" s="28" t="str">
        <f t="shared" si="340"/>
        <v/>
      </c>
      <c r="GU137" s="28" t="str">
        <f t="shared" si="341"/>
        <v/>
      </c>
      <c r="GV137" s="28" t="str">
        <f t="shared" si="342"/>
        <v/>
      </c>
      <c r="GW137" s="28" t="str">
        <f t="shared" si="343"/>
        <v/>
      </c>
      <c r="GX137" s="28" t="str">
        <f t="shared" si="344"/>
        <v/>
      </c>
      <c r="GY137" s="28" t="str">
        <f t="shared" si="345"/>
        <v/>
      </c>
      <c r="GZ137" s="28" t="str">
        <f t="shared" si="346"/>
        <v/>
      </c>
      <c r="HA137" s="28" t="str">
        <f t="shared" si="347"/>
        <v/>
      </c>
      <c r="HB137" s="28" t="str">
        <f t="shared" si="348"/>
        <v/>
      </c>
      <c r="HC137" s="28" t="str">
        <f t="shared" si="349"/>
        <v/>
      </c>
      <c r="HD137" s="28" t="str">
        <f t="shared" si="350"/>
        <v/>
      </c>
      <c r="HE137" s="28" t="str">
        <f t="shared" si="351"/>
        <v/>
      </c>
      <c r="HF137" s="28" t="str">
        <f t="shared" si="352"/>
        <v/>
      </c>
      <c r="HG137" s="28" t="str">
        <f t="shared" si="353"/>
        <v/>
      </c>
      <c r="HH137" s="28" t="str">
        <f t="shared" si="354"/>
        <v/>
      </c>
      <c r="HI137" s="28" t="str">
        <f t="shared" si="355"/>
        <v/>
      </c>
      <c r="HJ137" s="28" t="str">
        <f t="shared" si="356"/>
        <v/>
      </c>
      <c r="HK137" s="28" t="str">
        <f t="shared" si="357"/>
        <v/>
      </c>
      <c r="HL137" s="28" t="str">
        <f t="shared" si="358"/>
        <v/>
      </c>
      <c r="HM137" s="28" t="str">
        <f t="shared" si="359"/>
        <v/>
      </c>
      <c r="HN137" s="28" t="str">
        <f t="shared" si="360"/>
        <v/>
      </c>
      <c r="HO137" s="28" t="str">
        <f t="shared" si="361"/>
        <v/>
      </c>
      <c r="HP137" s="28" t="str">
        <f t="shared" si="362"/>
        <v/>
      </c>
      <c r="HQ137" s="28" t="str">
        <f t="shared" si="363"/>
        <v/>
      </c>
      <c r="HR137" s="28" t="str">
        <f t="shared" si="364"/>
        <v/>
      </c>
      <c r="HT137" s="4">
        <f>IFERROR(GR137/'McDonough &amp; Sun 1995 values'!C$2,)</f>
        <v>0</v>
      </c>
      <c r="HU137" s="4">
        <f>IFERROR(GS137/'McDonough &amp; Sun 1995 values'!D$2,)</f>
        <v>0</v>
      </c>
      <c r="HV137" s="4">
        <f>IFERROR(GT137/'McDonough &amp; Sun 1995 values'!E$2,)</f>
        <v>0</v>
      </c>
      <c r="HW137" s="4">
        <f>IFERROR(GU137/'McDonough &amp; Sun 1995 values'!F$2,)</f>
        <v>0</v>
      </c>
      <c r="HX137" s="4">
        <f>IFERROR(GV137/'McDonough &amp; Sun 1995 values'!G$2,)</f>
        <v>0</v>
      </c>
      <c r="HY137" s="4">
        <f>IFERROR(GW137/'McDonough &amp; Sun 1995 values'!H$2,)</f>
        <v>0</v>
      </c>
      <c r="HZ137" s="4">
        <f>IFERROR(GX137/'McDonough &amp; Sun 1995 values'!I$2,)</f>
        <v>0</v>
      </c>
      <c r="IA137" s="4">
        <f>IFERROR(GY137/'McDonough &amp; Sun 1995 values'!J$2,)</f>
        <v>0</v>
      </c>
      <c r="IB137" s="4">
        <f>IFERROR(GZ137/'McDonough &amp; Sun 1995 values'!K$2,)</f>
        <v>0</v>
      </c>
      <c r="IC137" s="4">
        <f>IFERROR(HA137/'McDonough &amp; Sun 1995 values'!L$2,)</f>
        <v>0</v>
      </c>
      <c r="ID137" s="4">
        <f>IFERROR(HB137/'McDonough &amp; Sun 1995 values'!M$2,)</f>
        <v>0</v>
      </c>
      <c r="IE137" s="4">
        <f>IFERROR(HC137/'McDonough &amp; Sun 1995 values'!N$2,)</f>
        <v>0</v>
      </c>
      <c r="IF137" s="4">
        <f>IFERROR(HD137/'McDonough &amp; Sun 1995 values'!O$2,)</f>
        <v>0</v>
      </c>
      <c r="IG137" s="4">
        <f>IFERROR(HE137/'McDonough &amp; Sun 1995 values'!P$2,)</f>
        <v>0</v>
      </c>
      <c r="IH137" s="4">
        <f>IFERROR(HF137/'McDonough &amp; Sun 1995 values'!Q$2,)</f>
        <v>0</v>
      </c>
      <c r="II137" s="4">
        <f>IFERROR(HG137/'McDonough &amp; Sun 1995 values'!R$2,)</f>
        <v>0</v>
      </c>
      <c r="IJ137" s="4">
        <f>IFERROR(HH137/'McDonough &amp; Sun 1995 values'!S$2,)</f>
        <v>0</v>
      </c>
      <c r="IK137" s="4">
        <f>IFERROR(HI137/'McDonough &amp; Sun 1995 values'!T$2,)</f>
        <v>0</v>
      </c>
      <c r="IL137" s="4">
        <f>IFERROR(HJ137/'McDonough &amp; Sun 1995 values'!U$2,)</f>
        <v>0</v>
      </c>
      <c r="IM137" s="4">
        <f>IFERROR(HK137/'McDonough &amp; Sun 1995 values'!V$2,)</f>
        <v>0</v>
      </c>
      <c r="IN137" s="4">
        <f>IFERROR(HL137/'McDonough &amp; Sun 1995 values'!W$2,)</f>
        <v>0</v>
      </c>
      <c r="IO137" s="4">
        <f>IFERROR(HM137/'McDonough &amp; Sun 1995 values'!X$2,)</f>
        <v>0</v>
      </c>
      <c r="IP137" s="4">
        <f>IFERROR(HN137/'McDonough &amp; Sun 1995 values'!Y$2,)</f>
        <v>0</v>
      </c>
      <c r="IQ137" s="4">
        <f>IFERROR(HO137/'McDonough &amp; Sun 1995 values'!Z$2,)</f>
        <v>0</v>
      </c>
      <c r="IR137" s="4">
        <f>IFERROR(HP137/'McDonough &amp; Sun 1995 values'!AA$2,)</f>
        <v>0</v>
      </c>
      <c r="IS137" s="4">
        <f>IFERROR(HQ137/'McDonough &amp; Sun 1995 values'!AB$2,)</f>
        <v>0</v>
      </c>
      <c r="IT137" s="4">
        <f>IFERROR(HR137/'McDonough &amp; Sun 1995 values'!AC$2,)</f>
        <v>0</v>
      </c>
    </row>
    <row r="138" spans="1:254">
      <c r="A138" s="16" t="s">
        <v>1655</v>
      </c>
      <c r="B138" s="16" t="s">
        <v>24</v>
      </c>
      <c r="C138" s="16" t="str">
        <f t="shared" si="304"/>
        <v>saline</v>
      </c>
      <c r="D138" s="16" t="s">
        <v>119</v>
      </c>
      <c r="E138" s="16" t="s">
        <v>237</v>
      </c>
      <c r="F138" s="16" t="s">
        <v>163</v>
      </c>
      <c r="G138" s="16" t="s">
        <v>595</v>
      </c>
      <c r="H138" s="27">
        <v>355</v>
      </c>
      <c r="I138" s="16" t="s">
        <v>712</v>
      </c>
      <c r="J138" s="16">
        <v>0</v>
      </c>
      <c r="K138" s="16" t="s">
        <v>654</v>
      </c>
      <c r="L138" s="16" t="s">
        <v>650</v>
      </c>
      <c r="M138" s="16" t="s">
        <v>648</v>
      </c>
      <c r="N138" s="16" t="s">
        <v>1467</v>
      </c>
      <c r="O138" s="26">
        <v>4.0599999999999996</v>
      </c>
      <c r="P138" s="26">
        <v>4.53</v>
      </c>
      <c r="Q138" s="26">
        <v>0.3</v>
      </c>
      <c r="R138" s="26">
        <v>1.35</v>
      </c>
      <c r="S138" s="26">
        <v>12.2</v>
      </c>
      <c r="T138" s="26">
        <v>2.58</v>
      </c>
      <c r="U138" s="26">
        <v>0.61</v>
      </c>
      <c r="V138" s="26">
        <v>8.15</v>
      </c>
      <c r="W138" s="26">
        <v>4.55</v>
      </c>
      <c r="X138" s="26">
        <v>18</v>
      </c>
      <c r="Y138" s="26">
        <v>1.42</v>
      </c>
      <c r="Z138" s="26">
        <v>2.0499999999999998</v>
      </c>
      <c r="AA138" s="26"/>
      <c r="AB138" s="26">
        <v>12.3</v>
      </c>
      <c r="AC138" s="26"/>
      <c r="AD138" s="26">
        <v>21.1</v>
      </c>
      <c r="AE138" s="26"/>
      <c r="AF138" s="26">
        <v>3.55</v>
      </c>
      <c r="AG138" s="26">
        <v>1.51</v>
      </c>
      <c r="AH138" s="26">
        <v>1.87</v>
      </c>
      <c r="AI138" s="26"/>
      <c r="AJ138" s="26">
        <f t="shared" si="305"/>
        <v>90.87</v>
      </c>
      <c r="AK138" s="26">
        <f t="shared" si="288"/>
        <v>4.7149891328258757</v>
      </c>
      <c r="AL138" s="26">
        <f t="shared" si="289"/>
        <v>5.2608129979559655</v>
      </c>
      <c r="AM138" s="26">
        <f t="shared" si="290"/>
        <v>1.5677919530332347</v>
      </c>
      <c r="AN138" s="26">
        <f t="shared" si="291"/>
        <v>14.168193945929971</v>
      </c>
      <c r="AO138" s="26">
        <f t="shared" si="292"/>
        <v>2.996224621352404</v>
      </c>
      <c r="AP138" s="26">
        <f t="shared" si="293"/>
        <v>9.4648180868302685</v>
      </c>
      <c r="AQ138" s="26">
        <f t="shared" si="294"/>
        <v>14.284326683191695</v>
      </c>
      <c r="AR138" s="26">
        <f t="shared" si="295"/>
        <v>5.2840395454083087</v>
      </c>
      <c r="AS138" s="26">
        <f t="shared" si="296"/>
        <v>20.903892707109794</v>
      </c>
      <c r="AT138" s="26">
        <f t="shared" si="297"/>
        <v>2.380721113865282</v>
      </c>
      <c r="AU138" s="26">
        <f t="shared" si="298"/>
        <v>24.504007562223151</v>
      </c>
      <c r="AV138" s="26">
        <f t="shared" si="306"/>
        <v>105.52981834972594</v>
      </c>
      <c r="AW138" s="16"/>
      <c r="AX138" s="16"/>
      <c r="AY138" s="16"/>
      <c r="AZ138" s="16"/>
      <c r="BA138" s="26"/>
      <c r="BB138" s="26">
        <v>0.15</v>
      </c>
      <c r="BC138" s="26">
        <f t="shared" si="307"/>
        <v>0.15000000000000002</v>
      </c>
      <c r="BD138" s="26">
        <f t="shared" si="308"/>
        <v>0.85</v>
      </c>
      <c r="BE138" s="16"/>
      <c r="BF138" s="16"/>
      <c r="BG138" s="16"/>
      <c r="BH138" s="16"/>
      <c r="BI138" s="16"/>
      <c r="BJ138" s="16"/>
      <c r="BK138" s="18"/>
      <c r="BL138" s="18"/>
      <c r="BM138" s="18"/>
      <c r="BN138" s="18"/>
      <c r="BO138" s="18"/>
      <c r="BP138" s="18"/>
      <c r="BQ138" s="18"/>
      <c r="BR138" s="18">
        <v>0</v>
      </c>
      <c r="BS138" s="18"/>
      <c r="BT138" s="18"/>
      <c r="BU138" s="18"/>
      <c r="BV138" s="18"/>
      <c r="BW138" s="18"/>
      <c r="BX138" s="18"/>
      <c r="BY138" s="18"/>
      <c r="BZ138" s="18"/>
      <c r="CA138" s="18"/>
      <c r="CB138" s="18"/>
      <c r="CC138" s="18"/>
      <c r="CD138" s="18"/>
      <c r="CE138" s="18"/>
      <c r="CF138" s="18"/>
      <c r="CG138" s="18"/>
      <c r="CH138" s="18"/>
      <c r="CI138" s="18">
        <v>0</v>
      </c>
      <c r="CJ138" s="18">
        <v>0</v>
      </c>
      <c r="CK138" s="18">
        <v>0</v>
      </c>
      <c r="CL138" s="18"/>
      <c r="CM138" s="18">
        <v>0</v>
      </c>
      <c r="CN138" s="18"/>
      <c r="CO138" s="18"/>
      <c r="CP138" s="18"/>
      <c r="CQ138" s="18"/>
      <c r="CR138" s="18"/>
      <c r="CS138" s="18"/>
      <c r="CT138" s="18"/>
      <c r="CU138" s="18">
        <v>0</v>
      </c>
      <c r="CV138" s="18">
        <v>0</v>
      </c>
      <c r="CW138" s="18">
        <v>0</v>
      </c>
      <c r="CX138" s="18">
        <v>0</v>
      </c>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28"/>
      <c r="DW138" s="28"/>
      <c r="DX138" s="28"/>
      <c r="DY138" s="28"/>
      <c r="DZ138" s="28"/>
      <c r="EA138" s="28"/>
      <c r="EB138" s="28"/>
      <c r="EC138" s="28"/>
      <c r="ED138" s="28"/>
      <c r="EE138" s="28"/>
      <c r="EF138" s="28"/>
      <c r="EG138" s="28"/>
      <c r="EH138" s="28"/>
      <c r="EI138" s="28"/>
      <c r="EJ138" s="18"/>
      <c r="EK138" s="18"/>
      <c r="EL138" s="18">
        <f>IFERROR(CR138/'McDonough &amp; Sun 1995 values'!C$2,)</f>
        <v>0</v>
      </c>
      <c r="EM138" s="18">
        <f>IFERROR(CH138/'McDonough &amp; Sun 1995 values'!D$2,)</f>
        <v>0</v>
      </c>
      <c r="EN138" s="18">
        <f>IFERROR(CS138/'McDonough &amp; Sun 1995 values'!E$2,)</f>
        <v>0</v>
      </c>
      <c r="EO138" s="18">
        <f>IFERROR(DL138/'McDonough &amp; Sun 1995 values'!F$2,)</f>
        <v>0</v>
      </c>
      <c r="EP138" s="18">
        <f>IFERROR(DM138/'McDonough &amp; Sun 1995 values'!G$2,)</f>
        <v>0</v>
      </c>
      <c r="EQ138" s="18">
        <f>IFERROR(BR138/'McDonough &amp; Sun 1995 values'!H$2,)</f>
        <v>0</v>
      </c>
      <c r="ER138" s="18">
        <f>IFERROR(DI138/'McDonough &amp; Sun 1995 values'!I$2,)</f>
        <v>0</v>
      </c>
      <c r="ES138" s="18">
        <f>IFERROR(CM138/'McDonough &amp; Sun 1995 values'!J$2,)</f>
        <v>0</v>
      </c>
      <c r="ET138" s="18">
        <f>IFERROR(CU138/'McDonough &amp; Sun 1995 values'!K$2,)</f>
        <v>0</v>
      </c>
      <c r="EU138" s="18">
        <f>IFERROR(CV138/'McDonough &amp; Sun 1995 values'!L$2,)</f>
        <v>0</v>
      </c>
      <c r="EV138" s="18">
        <f>IFERROR(CW138/'McDonough &amp; Sun 1995 values'!M$2,)</f>
        <v>0</v>
      </c>
      <c r="EW138" s="18">
        <f>IFERROR(CI138/'McDonough &amp; Sun 1995 values'!N$2,)</f>
        <v>0</v>
      </c>
      <c r="EX138" s="18">
        <f>IFERROR(CX138/'McDonough &amp; Sun 1995 values'!O$2,)</f>
        <v>0</v>
      </c>
      <c r="EY138" s="18">
        <f>IFERROR(CY138/'McDonough &amp; Sun 1995 values'!P$2,)</f>
        <v>0</v>
      </c>
      <c r="EZ138" s="18">
        <f>IFERROR(DH138/'McDonough &amp; Sun 1995 values'!Q$2,)</f>
        <v>0</v>
      </c>
      <c r="FA138" s="18">
        <f>IFERROR(CK138/'McDonough &amp; Sun 1995 values'!R$2,)</f>
        <v>0</v>
      </c>
      <c r="FB138" s="18">
        <f>IFERROR(CZ138/'McDonough &amp; Sun 1995 values'!S$2,)</f>
        <v>0</v>
      </c>
      <c r="FC138" s="18">
        <f>IFERROR(BT138/'McDonough &amp; Sun 1995 values'!T$2,)</f>
        <v>0</v>
      </c>
      <c r="FD138" s="18">
        <f>IFERROR(DA138/'McDonough &amp; Sun 1995 values'!U$2,)</f>
        <v>0</v>
      </c>
      <c r="FE138" s="18">
        <f>IFERROR(DN138/'McDonough &amp; Sun 1995 values'!V$2,)</f>
        <v>0</v>
      </c>
      <c r="FF138" s="18">
        <f>IFERROR(DB138/'McDonough &amp; Sun 1995 values'!W$2,)</f>
        <v>0</v>
      </c>
      <c r="FG138" s="18">
        <f>IFERROR(CJ138/'McDonough &amp; Sun 1995 values'!X$2,)</f>
        <v>0</v>
      </c>
      <c r="FH138" s="18">
        <f>IFERROR(DC138/'McDonough &amp; Sun 1995 values'!Y$2,)</f>
        <v>0</v>
      </c>
      <c r="FI138" s="18">
        <f>IFERROR(DD138/'McDonough &amp; Sun 1995 values'!Z$2,)</f>
        <v>0</v>
      </c>
      <c r="FJ138" s="18">
        <f>IFERROR(DE138/'McDonough &amp; Sun 1995 values'!AA$2,)</f>
        <v>0</v>
      </c>
      <c r="FK138" s="18">
        <f>IFERROR(DF138/'McDonough &amp; Sun 1995 values'!AB$2,)</f>
        <v>0</v>
      </c>
      <c r="FL138" s="18">
        <f>IFERROR(DG138/'McDonough &amp; Sun 1995 values'!AC$2,)</f>
        <v>0</v>
      </c>
      <c r="FN138" s="28">
        <f t="shared" si="299"/>
        <v>0</v>
      </c>
      <c r="FO138" s="4">
        <f t="shared" si="309"/>
        <v>0</v>
      </c>
      <c r="FP138" s="4">
        <f t="shared" si="310"/>
        <v>0</v>
      </c>
      <c r="FQ138" s="4">
        <f t="shared" si="311"/>
        <v>0</v>
      </c>
      <c r="FR138" s="4">
        <f t="shared" si="312"/>
        <v>0</v>
      </c>
      <c r="FS138" s="4">
        <f t="shared" si="313"/>
        <v>0</v>
      </c>
      <c r="FT138" s="4">
        <f t="shared" si="314"/>
        <v>0</v>
      </c>
      <c r="FU138" s="4">
        <f t="shared" si="315"/>
        <v>0</v>
      </c>
      <c r="FV138" s="4">
        <f t="shared" si="316"/>
        <v>0</v>
      </c>
      <c r="FW138" s="4">
        <f t="shared" si="317"/>
        <v>0</v>
      </c>
      <c r="FX138" s="4">
        <f t="shared" si="318"/>
        <v>0</v>
      </c>
      <c r="FY138" s="4">
        <f t="shared" si="319"/>
        <v>0</v>
      </c>
      <c r="FZ138" s="4">
        <f t="shared" si="320"/>
        <v>0</v>
      </c>
      <c r="GA138" s="4">
        <f t="shared" si="321"/>
        <v>0</v>
      </c>
      <c r="GB138" s="4">
        <f t="shared" si="322"/>
        <v>0</v>
      </c>
      <c r="GC138" s="4">
        <f t="shared" si="323"/>
        <v>0</v>
      </c>
      <c r="GD138" s="4">
        <f t="shared" si="324"/>
        <v>0</v>
      </c>
      <c r="GE138" s="4">
        <f t="shared" si="325"/>
        <v>0</v>
      </c>
      <c r="GF138" s="4">
        <f t="shared" si="326"/>
        <v>0</v>
      </c>
      <c r="GG138" s="4">
        <f t="shared" si="327"/>
        <v>0</v>
      </c>
      <c r="GH138" s="4">
        <f t="shared" si="328"/>
        <v>0</v>
      </c>
      <c r="GI138" s="4">
        <f t="shared" si="329"/>
        <v>0</v>
      </c>
      <c r="GJ138" s="4">
        <f t="shared" si="330"/>
        <v>0</v>
      </c>
      <c r="GK138" s="4">
        <f t="shared" si="331"/>
        <v>0</v>
      </c>
      <c r="GL138" s="4">
        <f t="shared" si="332"/>
        <v>0</v>
      </c>
      <c r="GM138" s="4">
        <f t="shared" si="333"/>
        <v>0</v>
      </c>
      <c r="GN138" s="4">
        <f t="shared" si="334"/>
        <v>0</v>
      </c>
      <c r="GO138" s="4">
        <f t="shared" si="335"/>
        <v>0</v>
      </c>
      <c r="GP138" s="4">
        <f t="shared" si="336"/>
        <v>0</v>
      </c>
      <c r="GQ138" s="27">
        <f t="shared" si="337"/>
        <v>173531.01149831311</v>
      </c>
      <c r="GR138" s="28" t="str">
        <f t="shared" si="338"/>
        <v/>
      </c>
      <c r="GS138" s="28" t="str">
        <f t="shared" si="339"/>
        <v/>
      </c>
      <c r="GT138" s="28" t="str">
        <f t="shared" si="340"/>
        <v/>
      </c>
      <c r="GU138" s="28" t="str">
        <f t="shared" si="341"/>
        <v/>
      </c>
      <c r="GV138" s="28" t="str">
        <f t="shared" si="342"/>
        <v/>
      </c>
      <c r="GW138" s="28" t="str">
        <f t="shared" si="343"/>
        <v/>
      </c>
      <c r="GX138" s="28" t="str">
        <f t="shared" si="344"/>
        <v/>
      </c>
      <c r="GY138" s="28" t="str">
        <f t="shared" si="345"/>
        <v/>
      </c>
      <c r="GZ138" s="28" t="str">
        <f t="shared" si="346"/>
        <v/>
      </c>
      <c r="HA138" s="28" t="str">
        <f t="shared" si="347"/>
        <v/>
      </c>
      <c r="HB138" s="28" t="str">
        <f t="shared" si="348"/>
        <v/>
      </c>
      <c r="HC138" s="28" t="str">
        <f t="shared" si="349"/>
        <v/>
      </c>
      <c r="HD138" s="28" t="str">
        <f t="shared" si="350"/>
        <v/>
      </c>
      <c r="HE138" s="28" t="str">
        <f t="shared" si="351"/>
        <v/>
      </c>
      <c r="HF138" s="28" t="str">
        <f t="shared" si="352"/>
        <v/>
      </c>
      <c r="HG138" s="28" t="str">
        <f t="shared" si="353"/>
        <v/>
      </c>
      <c r="HH138" s="28" t="str">
        <f t="shared" si="354"/>
        <v/>
      </c>
      <c r="HI138" s="28" t="str">
        <f t="shared" si="355"/>
        <v/>
      </c>
      <c r="HJ138" s="28" t="str">
        <f t="shared" si="356"/>
        <v/>
      </c>
      <c r="HK138" s="28" t="str">
        <f t="shared" si="357"/>
        <v/>
      </c>
      <c r="HL138" s="28" t="str">
        <f t="shared" si="358"/>
        <v/>
      </c>
      <c r="HM138" s="28" t="str">
        <f t="shared" si="359"/>
        <v/>
      </c>
      <c r="HN138" s="28" t="str">
        <f t="shared" si="360"/>
        <v/>
      </c>
      <c r="HO138" s="28" t="str">
        <f t="shared" si="361"/>
        <v/>
      </c>
      <c r="HP138" s="28" t="str">
        <f t="shared" si="362"/>
        <v/>
      </c>
      <c r="HQ138" s="28" t="str">
        <f t="shared" si="363"/>
        <v/>
      </c>
      <c r="HR138" s="28" t="str">
        <f t="shared" si="364"/>
        <v/>
      </c>
      <c r="HT138" s="4">
        <f>IFERROR(GR138/'McDonough &amp; Sun 1995 values'!C$2,)</f>
        <v>0</v>
      </c>
      <c r="HU138" s="4">
        <f>IFERROR(GS138/'McDonough &amp; Sun 1995 values'!D$2,)</f>
        <v>0</v>
      </c>
      <c r="HV138" s="4">
        <f>IFERROR(GT138/'McDonough &amp; Sun 1995 values'!E$2,)</f>
        <v>0</v>
      </c>
      <c r="HW138" s="4">
        <f>IFERROR(GU138/'McDonough &amp; Sun 1995 values'!F$2,)</f>
        <v>0</v>
      </c>
      <c r="HX138" s="4">
        <f>IFERROR(GV138/'McDonough &amp; Sun 1995 values'!G$2,)</f>
        <v>0</v>
      </c>
      <c r="HY138" s="4">
        <f>IFERROR(GW138/'McDonough &amp; Sun 1995 values'!H$2,)</f>
        <v>0</v>
      </c>
      <c r="HZ138" s="4">
        <f>IFERROR(GX138/'McDonough &amp; Sun 1995 values'!I$2,)</f>
        <v>0</v>
      </c>
      <c r="IA138" s="4">
        <f>IFERROR(GY138/'McDonough &amp; Sun 1995 values'!J$2,)</f>
        <v>0</v>
      </c>
      <c r="IB138" s="4">
        <f>IFERROR(GZ138/'McDonough &amp; Sun 1995 values'!K$2,)</f>
        <v>0</v>
      </c>
      <c r="IC138" s="4">
        <f>IFERROR(HA138/'McDonough &amp; Sun 1995 values'!L$2,)</f>
        <v>0</v>
      </c>
      <c r="ID138" s="4">
        <f>IFERROR(HB138/'McDonough &amp; Sun 1995 values'!M$2,)</f>
        <v>0</v>
      </c>
      <c r="IE138" s="4">
        <f>IFERROR(HC138/'McDonough &amp; Sun 1995 values'!N$2,)</f>
        <v>0</v>
      </c>
      <c r="IF138" s="4">
        <f>IFERROR(HD138/'McDonough &amp; Sun 1995 values'!O$2,)</f>
        <v>0</v>
      </c>
      <c r="IG138" s="4">
        <f>IFERROR(HE138/'McDonough &amp; Sun 1995 values'!P$2,)</f>
        <v>0</v>
      </c>
      <c r="IH138" s="4">
        <f>IFERROR(HF138/'McDonough &amp; Sun 1995 values'!Q$2,)</f>
        <v>0</v>
      </c>
      <c r="II138" s="4">
        <f>IFERROR(HG138/'McDonough &amp; Sun 1995 values'!R$2,)</f>
        <v>0</v>
      </c>
      <c r="IJ138" s="4">
        <f>IFERROR(HH138/'McDonough &amp; Sun 1995 values'!S$2,)</f>
        <v>0</v>
      </c>
      <c r="IK138" s="4">
        <f>IFERROR(HI138/'McDonough &amp; Sun 1995 values'!T$2,)</f>
        <v>0</v>
      </c>
      <c r="IL138" s="4">
        <f>IFERROR(HJ138/'McDonough &amp; Sun 1995 values'!U$2,)</f>
        <v>0</v>
      </c>
      <c r="IM138" s="4">
        <f>IFERROR(HK138/'McDonough &amp; Sun 1995 values'!V$2,)</f>
        <v>0</v>
      </c>
      <c r="IN138" s="4">
        <f>IFERROR(HL138/'McDonough &amp; Sun 1995 values'!W$2,)</f>
        <v>0</v>
      </c>
      <c r="IO138" s="4">
        <f>IFERROR(HM138/'McDonough &amp; Sun 1995 values'!X$2,)</f>
        <v>0</v>
      </c>
      <c r="IP138" s="4">
        <f>IFERROR(HN138/'McDonough &amp; Sun 1995 values'!Y$2,)</f>
        <v>0</v>
      </c>
      <c r="IQ138" s="4">
        <f>IFERROR(HO138/'McDonough &amp; Sun 1995 values'!Z$2,)</f>
        <v>0</v>
      </c>
      <c r="IR138" s="4">
        <f>IFERROR(HP138/'McDonough &amp; Sun 1995 values'!AA$2,)</f>
        <v>0</v>
      </c>
      <c r="IS138" s="4">
        <f>IFERROR(HQ138/'McDonough &amp; Sun 1995 values'!AB$2,)</f>
        <v>0</v>
      </c>
      <c r="IT138" s="4">
        <f>IFERROR(HR138/'McDonough &amp; Sun 1995 values'!AC$2,)</f>
        <v>0</v>
      </c>
    </row>
    <row r="139" spans="1:254">
      <c r="A139" s="16" t="s">
        <v>752</v>
      </c>
      <c r="B139" s="16" t="s">
        <v>24</v>
      </c>
      <c r="C139" s="16" t="str">
        <f t="shared" si="304"/>
        <v>saline</v>
      </c>
      <c r="D139" s="16" t="s">
        <v>119</v>
      </c>
      <c r="E139" s="16" t="s">
        <v>171</v>
      </c>
      <c r="F139" s="16" t="s">
        <v>45</v>
      </c>
      <c r="G139" s="16" t="s">
        <v>595</v>
      </c>
      <c r="H139" s="27">
        <v>55</v>
      </c>
      <c r="I139" s="16" t="s">
        <v>712</v>
      </c>
      <c r="J139" s="16">
        <v>0</v>
      </c>
      <c r="K139" s="16">
        <v>0</v>
      </c>
      <c r="L139" s="16">
        <v>0</v>
      </c>
      <c r="M139" s="16" t="s">
        <v>126</v>
      </c>
      <c r="N139" s="16">
        <v>20</v>
      </c>
      <c r="O139" s="26">
        <v>3.5</v>
      </c>
      <c r="P139" s="26">
        <v>1.3</v>
      </c>
      <c r="Q139" s="26"/>
      <c r="R139" s="26">
        <v>0.5</v>
      </c>
      <c r="S139" s="26">
        <v>5.3</v>
      </c>
      <c r="T139" s="26">
        <v>5.9</v>
      </c>
      <c r="U139" s="26"/>
      <c r="V139" s="26">
        <v>7.3</v>
      </c>
      <c r="W139" s="26">
        <v>13.9</v>
      </c>
      <c r="X139" s="26">
        <v>25.4</v>
      </c>
      <c r="Y139" s="26"/>
      <c r="Z139" s="26"/>
      <c r="AA139" s="26">
        <v>1.8</v>
      </c>
      <c r="AB139" s="26">
        <v>11.9</v>
      </c>
      <c r="AC139" s="26"/>
      <c r="AD139" s="26">
        <v>28.9</v>
      </c>
      <c r="AE139" s="26"/>
      <c r="AF139" s="26"/>
      <c r="AG139" s="26"/>
      <c r="AH139" s="26"/>
      <c r="AI139" s="26"/>
      <c r="AJ139" s="26">
        <f t="shared" si="305"/>
        <v>103.9</v>
      </c>
      <c r="AK139" s="26">
        <f t="shared" ref="AK139:AK170" si="365">100*(O139/($AJ139-$AD139*8/35.45))</f>
        <v>3.5942358971684985</v>
      </c>
      <c r="AL139" s="26">
        <f t="shared" ref="AL139:AL170" si="366">100*(P139/($AJ139-$AD139*8/35.45))</f>
        <v>1.3350019046625849</v>
      </c>
      <c r="AM139" s="26">
        <f t="shared" ref="AM139:AM170" si="367">100*(R139/($AJ139-$AD139*8/35.45))</f>
        <v>0.51346227102407105</v>
      </c>
      <c r="AN139" s="26">
        <f t="shared" ref="AN139:AN170" si="368">100*(S139/($AJ139-$AD139*8/35.45))</f>
        <v>5.4427000728551542</v>
      </c>
      <c r="AO139" s="26">
        <f t="shared" ref="AO139:AO170" si="369">100*(T139/($AJ139-$AD139*8/35.45))</f>
        <v>6.0588547980840399</v>
      </c>
      <c r="AP139" s="26">
        <f t="shared" ref="AP139:AP170" si="370">100*(V139/($AJ139-$AD139*8/35.45))</f>
        <v>7.4965491569514393</v>
      </c>
      <c r="AQ139" s="26">
        <f t="shared" ref="AQ139:AQ170" si="371">100*(AB139/($AJ139-$AD139*8/35.45))</f>
        <v>12.220402050372893</v>
      </c>
      <c r="AR139" s="26">
        <f t="shared" ref="AR139:AR170" si="372">100*(W139/($AJ139-$AD139*8/35.45))</f>
        <v>14.274251134469178</v>
      </c>
      <c r="AS139" s="26">
        <f t="shared" ref="AS139:AS170" si="373">100*(X139/($AJ139-$AD139*8/35.45))</f>
        <v>26.083883368022814</v>
      </c>
      <c r="AT139" s="26">
        <f t="shared" ref="AT139:AT170" si="374">100*(Z139/($AJ139-$AD139*8/35.45))</f>
        <v>0</v>
      </c>
      <c r="AU139" s="26">
        <f t="shared" ref="AU139:AU170" si="375">100*(AD139/($AJ139-$AD139*8/35.45))</f>
        <v>29.678119265191309</v>
      </c>
      <c r="AV139" s="26">
        <f t="shared" si="306"/>
        <v>106.69745991880198</v>
      </c>
      <c r="AW139" s="26">
        <v>20.8</v>
      </c>
      <c r="AX139" s="26">
        <v>36.799999999999997</v>
      </c>
      <c r="AY139" s="97"/>
      <c r="AZ139" s="97"/>
      <c r="BA139" s="26">
        <v>0.36</v>
      </c>
      <c r="BC139" s="26">
        <f t="shared" ref="BC139:BC148" si="376">1-BA139</f>
        <v>0.64</v>
      </c>
      <c r="BD139" s="26">
        <f t="shared" ref="BD139:BD148" si="377">BA139</f>
        <v>0.36</v>
      </c>
      <c r="BE139" s="25"/>
      <c r="BF139" s="25"/>
      <c r="BG139" s="16"/>
      <c r="BH139" s="16"/>
      <c r="BI139" s="16"/>
      <c r="BJ139" s="16"/>
      <c r="BK139" s="18"/>
      <c r="BL139" s="18"/>
      <c r="BM139" s="18"/>
      <c r="BN139" s="18"/>
      <c r="BO139" s="18"/>
      <c r="BP139" s="18"/>
      <c r="BQ139" s="18"/>
      <c r="BR139" s="18">
        <v>0</v>
      </c>
      <c r="BS139" s="18"/>
      <c r="BT139" s="18"/>
      <c r="BU139" s="18"/>
      <c r="BV139" s="18"/>
      <c r="BW139" s="18"/>
      <c r="BX139" s="18"/>
      <c r="BY139" s="18"/>
      <c r="BZ139" s="18"/>
      <c r="CA139" s="18"/>
      <c r="CB139" s="18"/>
      <c r="CC139" s="18"/>
      <c r="CD139" s="18"/>
      <c r="CE139" s="18"/>
      <c r="CF139" s="18"/>
      <c r="CG139" s="18"/>
      <c r="CH139" s="18"/>
      <c r="CI139" s="18">
        <v>0</v>
      </c>
      <c r="CJ139" s="18">
        <v>0</v>
      </c>
      <c r="CK139" s="18">
        <v>0</v>
      </c>
      <c r="CL139" s="18"/>
      <c r="CM139" s="18">
        <v>0</v>
      </c>
      <c r="CN139" s="18"/>
      <c r="CO139" s="18"/>
      <c r="CP139" s="18"/>
      <c r="CQ139" s="18"/>
      <c r="CR139" s="18"/>
      <c r="CS139" s="18"/>
      <c r="CT139" s="18"/>
      <c r="CU139" s="18">
        <v>0</v>
      </c>
      <c r="CV139" s="18">
        <v>0</v>
      </c>
      <c r="CW139" s="18">
        <v>0</v>
      </c>
      <c r="CX139" s="18">
        <v>0</v>
      </c>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28"/>
      <c r="DW139" s="28"/>
      <c r="DX139" s="28"/>
      <c r="DY139" s="28"/>
      <c r="DZ139" s="28"/>
      <c r="EA139" s="28"/>
      <c r="EB139" s="28"/>
      <c r="EC139" s="28"/>
      <c r="ED139" s="28"/>
      <c r="EE139" s="28"/>
      <c r="EF139" s="28"/>
      <c r="EG139" s="28"/>
      <c r="EH139" s="28"/>
      <c r="EI139" s="28"/>
      <c r="EJ139" s="18"/>
      <c r="EK139" s="18"/>
      <c r="EL139" s="18">
        <f>IFERROR(CR139/'McDonough &amp; Sun 1995 values'!C$2,)</f>
        <v>0</v>
      </c>
      <c r="EM139" s="18">
        <f>IFERROR(CH139/'McDonough &amp; Sun 1995 values'!D$2,)</f>
        <v>0</v>
      </c>
      <c r="EN139" s="18">
        <f>IFERROR(CS139/'McDonough &amp; Sun 1995 values'!E$2,)</f>
        <v>0</v>
      </c>
      <c r="EO139" s="18">
        <f>IFERROR(DL139/'McDonough &amp; Sun 1995 values'!F$2,)</f>
        <v>0</v>
      </c>
      <c r="EP139" s="18">
        <f>IFERROR(DM139/'McDonough &amp; Sun 1995 values'!G$2,)</f>
        <v>0</v>
      </c>
      <c r="EQ139" s="18">
        <f>IFERROR(BR139/'McDonough &amp; Sun 1995 values'!H$2,)</f>
        <v>0</v>
      </c>
      <c r="ER139" s="18">
        <f>IFERROR(DI139/'McDonough &amp; Sun 1995 values'!I$2,)</f>
        <v>0</v>
      </c>
      <c r="ES139" s="18">
        <f>IFERROR(CM139/'McDonough &amp; Sun 1995 values'!J$2,)</f>
        <v>0</v>
      </c>
      <c r="ET139" s="18">
        <f>IFERROR(CU139/'McDonough &amp; Sun 1995 values'!K$2,)</f>
        <v>0</v>
      </c>
      <c r="EU139" s="18">
        <f>IFERROR(CV139/'McDonough &amp; Sun 1995 values'!L$2,)</f>
        <v>0</v>
      </c>
      <c r="EV139" s="18">
        <f>IFERROR(CW139/'McDonough &amp; Sun 1995 values'!M$2,)</f>
        <v>0</v>
      </c>
      <c r="EW139" s="18">
        <f>IFERROR(CI139/'McDonough &amp; Sun 1995 values'!N$2,)</f>
        <v>0</v>
      </c>
      <c r="EX139" s="18">
        <f>IFERROR(CX139/'McDonough &amp; Sun 1995 values'!O$2,)</f>
        <v>0</v>
      </c>
      <c r="EY139" s="18">
        <f>IFERROR(CY139/'McDonough &amp; Sun 1995 values'!P$2,)</f>
        <v>0</v>
      </c>
      <c r="EZ139" s="18">
        <f>IFERROR(DH139/'McDonough &amp; Sun 1995 values'!Q$2,)</f>
        <v>0</v>
      </c>
      <c r="FA139" s="18">
        <f>IFERROR(CK139/'McDonough &amp; Sun 1995 values'!R$2,)</f>
        <v>0</v>
      </c>
      <c r="FB139" s="18">
        <f>IFERROR(CZ139/'McDonough &amp; Sun 1995 values'!S$2,)</f>
        <v>0</v>
      </c>
      <c r="FC139" s="18">
        <f>IFERROR(BT139/'McDonough &amp; Sun 1995 values'!T$2,)</f>
        <v>0</v>
      </c>
      <c r="FD139" s="18">
        <f>IFERROR(DA139/'McDonough &amp; Sun 1995 values'!U$2,)</f>
        <v>0</v>
      </c>
      <c r="FE139" s="18">
        <f>IFERROR(DN139/'McDonough &amp; Sun 1995 values'!V$2,)</f>
        <v>0</v>
      </c>
      <c r="FF139" s="18">
        <f>IFERROR(DB139/'McDonough &amp; Sun 1995 values'!W$2,)</f>
        <v>0</v>
      </c>
      <c r="FG139" s="18">
        <f>IFERROR(CJ139/'McDonough &amp; Sun 1995 values'!X$2,)</f>
        <v>0</v>
      </c>
      <c r="FH139" s="18">
        <f>IFERROR(DC139/'McDonough &amp; Sun 1995 values'!Y$2,)</f>
        <v>0</v>
      </c>
      <c r="FI139" s="18">
        <f>IFERROR(DD139/'McDonough &amp; Sun 1995 values'!Z$2,)</f>
        <v>0</v>
      </c>
      <c r="FJ139" s="18">
        <f>IFERROR(DE139/'McDonough &amp; Sun 1995 values'!AA$2,)</f>
        <v>0</v>
      </c>
      <c r="FK139" s="18">
        <f>IFERROR(DF139/'McDonough &amp; Sun 1995 values'!AB$2,)</f>
        <v>0</v>
      </c>
      <c r="FL139" s="18">
        <f>IFERROR(DG139/'McDonough &amp; Sun 1995 values'!AC$2,)</f>
        <v>0</v>
      </c>
      <c r="FN139" s="28">
        <f t="shared" si="299"/>
        <v>0</v>
      </c>
      <c r="FO139" s="4">
        <f t="shared" si="309"/>
        <v>0</v>
      </c>
      <c r="FP139" s="4">
        <f t="shared" si="310"/>
        <v>0</v>
      </c>
      <c r="FQ139" s="4">
        <f t="shared" si="311"/>
        <v>0</v>
      </c>
      <c r="FR139" s="4">
        <f t="shared" si="312"/>
        <v>0</v>
      </c>
      <c r="FS139" s="4">
        <f t="shared" si="313"/>
        <v>0</v>
      </c>
      <c r="FT139" s="4">
        <f t="shared" si="314"/>
        <v>0</v>
      </c>
      <c r="FU139" s="4">
        <f t="shared" si="315"/>
        <v>0</v>
      </c>
      <c r="FV139" s="4">
        <f t="shared" si="316"/>
        <v>0</v>
      </c>
      <c r="FW139" s="4">
        <f t="shared" si="317"/>
        <v>0</v>
      </c>
      <c r="FX139" s="4">
        <f t="shared" si="318"/>
        <v>0</v>
      </c>
      <c r="FY139" s="4">
        <f t="shared" si="319"/>
        <v>0</v>
      </c>
      <c r="FZ139" s="4">
        <f t="shared" si="320"/>
        <v>0</v>
      </c>
      <c r="GA139" s="4">
        <f t="shared" si="321"/>
        <v>0</v>
      </c>
      <c r="GB139" s="4">
        <f t="shared" si="322"/>
        <v>0</v>
      </c>
      <c r="GC139" s="4">
        <f t="shared" si="323"/>
        <v>0</v>
      </c>
      <c r="GD139" s="4">
        <f t="shared" si="324"/>
        <v>0</v>
      </c>
      <c r="GE139" s="4">
        <f t="shared" si="325"/>
        <v>0</v>
      </c>
      <c r="GF139" s="4">
        <f t="shared" si="326"/>
        <v>0</v>
      </c>
      <c r="GG139" s="4">
        <f t="shared" si="327"/>
        <v>0</v>
      </c>
      <c r="GH139" s="4">
        <f t="shared" si="328"/>
        <v>0</v>
      </c>
      <c r="GI139" s="4">
        <f t="shared" si="329"/>
        <v>0</v>
      </c>
      <c r="GJ139" s="4">
        <f t="shared" si="330"/>
        <v>0</v>
      </c>
      <c r="GK139" s="4">
        <f t="shared" si="331"/>
        <v>0</v>
      </c>
      <c r="GL139" s="4">
        <f t="shared" si="332"/>
        <v>0</v>
      </c>
      <c r="GM139" s="4">
        <f t="shared" si="333"/>
        <v>0</v>
      </c>
      <c r="GN139" s="4">
        <f t="shared" si="334"/>
        <v>0</v>
      </c>
      <c r="GO139" s="4">
        <f t="shared" si="335"/>
        <v>0</v>
      </c>
      <c r="GP139" s="4">
        <f t="shared" si="336"/>
        <v>0</v>
      </c>
      <c r="GQ139" s="27">
        <f t="shared" si="337"/>
        <v>216532.04635505649</v>
      </c>
      <c r="GR139" s="28" t="str">
        <f t="shared" si="338"/>
        <v/>
      </c>
      <c r="GS139" s="28" t="str">
        <f t="shared" si="339"/>
        <v/>
      </c>
      <c r="GT139" s="28" t="str">
        <f t="shared" si="340"/>
        <v/>
      </c>
      <c r="GU139" s="28" t="str">
        <f t="shared" si="341"/>
        <v/>
      </c>
      <c r="GV139" s="28" t="str">
        <f t="shared" si="342"/>
        <v/>
      </c>
      <c r="GW139" s="28" t="str">
        <f t="shared" si="343"/>
        <v/>
      </c>
      <c r="GX139" s="28" t="str">
        <f t="shared" si="344"/>
        <v/>
      </c>
      <c r="GY139" s="28" t="str">
        <f t="shared" si="345"/>
        <v/>
      </c>
      <c r="GZ139" s="28" t="str">
        <f t="shared" si="346"/>
        <v/>
      </c>
      <c r="HA139" s="28" t="str">
        <f t="shared" si="347"/>
        <v/>
      </c>
      <c r="HB139" s="28" t="str">
        <f t="shared" si="348"/>
        <v/>
      </c>
      <c r="HC139" s="28" t="str">
        <f t="shared" si="349"/>
        <v/>
      </c>
      <c r="HD139" s="28" t="str">
        <f t="shared" si="350"/>
        <v/>
      </c>
      <c r="HE139" s="28" t="str">
        <f t="shared" si="351"/>
        <v/>
      </c>
      <c r="HF139" s="28" t="str">
        <f t="shared" si="352"/>
        <v/>
      </c>
      <c r="HG139" s="28" t="str">
        <f t="shared" si="353"/>
        <v/>
      </c>
      <c r="HH139" s="28" t="str">
        <f t="shared" si="354"/>
        <v/>
      </c>
      <c r="HI139" s="28" t="str">
        <f t="shared" si="355"/>
        <v/>
      </c>
      <c r="HJ139" s="28" t="str">
        <f t="shared" si="356"/>
        <v/>
      </c>
      <c r="HK139" s="28" t="str">
        <f t="shared" si="357"/>
        <v/>
      </c>
      <c r="HL139" s="28" t="str">
        <f t="shared" si="358"/>
        <v/>
      </c>
      <c r="HM139" s="28" t="str">
        <f t="shared" si="359"/>
        <v/>
      </c>
      <c r="HN139" s="28" t="str">
        <f t="shared" si="360"/>
        <v/>
      </c>
      <c r="HO139" s="28" t="str">
        <f t="shared" si="361"/>
        <v/>
      </c>
      <c r="HP139" s="28" t="str">
        <f t="shared" si="362"/>
        <v/>
      </c>
      <c r="HQ139" s="28" t="str">
        <f t="shared" si="363"/>
        <v/>
      </c>
      <c r="HR139" s="28" t="str">
        <f t="shared" si="364"/>
        <v/>
      </c>
      <c r="HT139" s="4">
        <f>IFERROR(GR139/'McDonough &amp; Sun 1995 values'!C$2,)</f>
        <v>0</v>
      </c>
      <c r="HU139" s="4">
        <f>IFERROR(GS139/'McDonough &amp; Sun 1995 values'!D$2,)</f>
        <v>0</v>
      </c>
      <c r="HV139" s="4">
        <f>IFERROR(GT139/'McDonough &amp; Sun 1995 values'!E$2,)</f>
        <v>0</v>
      </c>
      <c r="HW139" s="4">
        <f>IFERROR(GU139/'McDonough &amp; Sun 1995 values'!F$2,)</f>
        <v>0</v>
      </c>
      <c r="HX139" s="4">
        <f>IFERROR(GV139/'McDonough &amp; Sun 1995 values'!G$2,)</f>
        <v>0</v>
      </c>
      <c r="HY139" s="4">
        <f>IFERROR(GW139/'McDonough &amp; Sun 1995 values'!H$2,)</f>
        <v>0</v>
      </c>
      <c r="HZ139" s="4">
        <f>IFERROR(GX139/'McDonough &amp; Sun 1995 values'!I$2,)</f>
        <v>0</v>
      </c>
      <c r="IA139" s="4">
        <f>IFERROR(GY139/'McDonough &amp; Sun 1995 values'!J$2,)</f>
        <v>0</v>
      </c>
      <c r="IB139" s="4">
        <f>IFERROR(GZ139/'McDonough &amp; Sun 1995 values'!K$2,)</f>
        <v>0</v>
      </c>
      <c r="IC139" s="4">
        <f>IFERROR(HA139/'McDonough &amp; Sun 1995 values'!L$2,)</f>
        <v>0</v>
      </c>
      <c r="ID139" s="4">
        <f>IFERROR(HB139/'McDonough &amp; Sun 1995 values'!M$2,)</f>
        <v>0</v>
      </c>
      <c r="IE139" s="4">
        <f>IFERROR(HC139/'McDonough &amp; Sun 1995 values'!N$2,)</f>
        <v>0</v>
      </c>
      <c r="IF139" s="4">
        <f>IFERROR(HD139/'McDonough &amp; Sun 1995 values'!O$2,)</f>
        <v>0</v>
      </c>
      <c r="IG139" s="4">
        <f>IFERROR(HE139/'McDonough &amp; Sun 1995 values'!P$2,)</f>
        <v>0</v>
      </c>
      <c r="IH139" s="4">
        <f>IFERROR(HF139/'McDonough &amp; Sun 1995 values'!Q$2,)</f>
        <v>0</v>
      </c>
      <c r="II139" s="4">
        <f>IFERROR(HG139/'McDonough &amp; Sun 1995 values'!R$2,)</f>
        <v>0</v>
      </c>
      <c r="IJ139" s="4">
        <f>IFERROR(HH139/'McDonough &amp; Sun 1995 values'!S$2,)</f>
        <v>0</v>
      </c>
      <c r="IK139" s="4">
        <f>IFERROR(HI139/'McDonough &amp; Sun 1995 values'!T$2,)</f>
        <v>0</v>
      </c>
      <c r="IL139" s="4">
        <f>IFERROR(HJ139/'McDonough &amp; Sun 1995 values'!U$2,)</f>
        <v>0</v>
      </c>
      <c r="IM139" s="4">
        <f>IFERROR(HK139/'McDonough &amp; Sun 1995 values'!V$2,)</f>
        <v>0</v>
      </c>
      <c r="IN139" s="4">
        <f>IFERROR(HL139/'McDonough &amp; Sun 1995 values'!W$2,)</f>
        <v>0</v>
      </c>
      <c r="IO139" s="4">
        <f>IFERROR(HM139/'McDonough &amp; Sun 1995 values'!X$2,)</f>
        <v>0</v>
      </c>
      <c r="IP139" s="4">
        <f>IFERROR(HN139/'McDonough &amp; Sun 1995 values'!Y$2,)</f>
        <v>0</v>
      </c>
      <c r="IQ139" s="4">
        <f>IFERROR(HO139/'McDonough &amp; Sun 1995 values'!Z$2,)</f>
        <v>0</v>
      </c>
      <c r="IR139" s="4">
        <f>IFERROR(HP139/'McDonough &amp; Sun 1995 values'!AA$2,)</f>
        <v>0</v>
      </c>
      <c r="IS139" s="4">
        <f>IFERROR(HQ139/'McDonough &amp; Sun 1995 values'!AB$2,)</f>
        <v>0</v>
      </c>
      <c r="IT139" s="4">
        <f>IFERROR(HR139/'McDonough &amp; Sun 1995 values'!AC$2,)</f>
        <v>0</v>
      </c>
    </row>
    <row r="140" spans="1:254">
      <c r="A140" s="16" t="s">
        <v>1424</v>
      </c>
      <c r="B140" s="16" t="s">
        <v>24</v>
      </c>
      <c r="C140" s="16" t="str">
        <f t="shared" si="304"/>
        <v>saline</v>
      </c>
      <c r="D140" s="16" t="s">
        <v>119</v>
      </c>
      <c r="E140" s="16" t="s">
        <v>171</v>
      </c>
      <c r="F140" s="16" t="s">
        <v>45</v>
      </c>
      <c r="G140" s="16" t="s">
        <v>595</v>
      </c>
      <c r="H140" s="27">
        <v>55</v>
      </c>
      <c r="I140" s="16" t="s">
        <v>712</v>
      </c>
      <c r="J140" s="16" t="s">
        <v>1311</v>
      </c>
      <c r="K140" s="16" t="s">
        <v>1276</v>
      </c>
      <c r="L140" s="16" t="s">
        <v>1725</v>
      </c>
      <c r="M140" s="16" t="s">
        <v>1403</v>
      </c>
      <c r="N140" s="16">
        <v>11</v>
      </c>
      <c r="O140" s="26">
        <v>2.8</v>
      </c>
      <c r="P140" s="26">
        <v>0.8</v>
      </c>
      <c r="Q140" s="26"/>
      <c r="R140" s="26">
        <v>0.5</v>
      </c>
      <c r="S140" s="26">
        <v>7.1</v>
      </c>
      <c r="T140" s="26">
        <v>3.83</v>
      </c>
      <c r="U140" s="26"/>
      <c r="V140" s="26">
        <v>2.5</v>
      </c>
      <c r="W140" s="26">
        <v>11.1</v>
      </c>
      <c r="X140" s="26">
        <v>27.1</v>
      </c>
      <c r="Y140" s="26"/>
      <c r="Z140" s="26"/>
      <c r="AA140" s="26">
        <v>0.2</v>
      </c>
      <c r="AB140" s="26">
        <v>19</v>
      </c>
      <c r="AC140" s="26"/>
      <c r="AD140" s="26">
        <v>32.4</v>
      </c>
      <c r="AE140" s="26"/>
      <c r="AF140" s="26"/>
      <c r="AG140" s="26"/>
      <c r="AH140" s="26"/>
      <c r="AI140" s="26"/>
      <c r="AJ140" s="26">
        <f t="shared" si="305"/>
        <v>107.13</v>
      </c>
      <c r="AK140" s="26">
        <f t="shared" si="365"/>
        <v>2.8050970472863455</v>
      </c>
      <c r="AL140" s="26">
        <f t="shared" si="366"/>
        <v>0.80145629922467021</v>
      </c>
      <c r="AM140" s="26">
        <f t="shared" si="367"/>
        <v>0.5009101870154189</v>
      </c>
      <c r="AN140" s="26">
        <f t="shared" si="368"/>
        <v>7.112924655618948</v>
      </c>
      <c r="AO140" s="26">
        <f t="shared" si="369"/>
        <v>3.8369720325381085</v>
      </c>
      <c r="AP140" s="26">
        <f t="shared" si="370"/>
        <v>2.5045509350770945</v>
      </c>
      <c r="AQ140" s="26">
        <f t="shared" si="371"/>
        <v>19.034587106585917</v>
      </c>
      <c r="AR140" s="26">
        <f t="shared" si="372"/>
        <v>11.120206151742298</v>
      </c>
      <c r="AS140" s="26">
        <f t="shared" si="373"/>
        <v>27.149332136235703</v>
      </c>
      <c r="AT140" s="26">
        <f t="shared" si="374"/>
        <v>0</v>
      </c>
      <c r="AU140" s="26">
        <f t="shared" si="375"/>
        <v>32.458980118599143</v>
      </c>
      <c r="AV140" s="26">
        <f t="shared" si="306"/>
        <v>107.32501666992364</v>
      </c>
      <c r="AW140" s="26">
        <v>14.4</v>
      </c>
      <c r="AX140" s="26">
        <v>38</v>
      </c>
      <c r="AY140" s="97"/>
      <c r="AZ140" s="97"/>
      <c r="BA140" s="26">
        <v>0.27</v>
      </c>
      <c r="BC140" s="26">
        <f t="shared" si="376"/>
        <v>0.73</v>
      </c>
      <c r="BD140" s="26">
        <f t="shared" si="377"/>
        <v>0.27</v>
      </c>
      <c r="BE140" s="25">
        <v>-5.45</v>
      </c>
      <c r="BF140" s="25">
        <v>-7.5</v>
      </c>
      <c r="BG140" s="16">
        <v>1294.25</v>
      </c>
      <c r="BH140" s="16"/>
      <c r="BI140" s="16"/>
      <c r="BJ140" s="16"/>
      <c r="BK140" s="16"/>
      <c r="BL140" s="16"/>
      <c r="BM140" s="16"/>
      <c r="BN140" s="16"/>
      <c r="BO140" s="16"/>
      <c r="BP140" s="16"/>
      <c r="BQ140" s="16"/>
      <c r="BR140" s="16" t="e">
        <v>#DIV/0!</v>
      </c>
      <c r="BS140" s="16"/>
      <c r="BT140" s="16"/>
      <c r="BU140" s="16"/>
      <c r="BV140" s="16"/>
      <c r="BW140" s="16"/>
      <c r="BX140" s="16"/>
      <c r="BY140" s="16"/>
      <c r="BZ140" s="16"/>
      <c r="CA140" s="16"/>
      <c r="CB140" s="16"/>
      <c r="CC140" s="16"/>
      <c r="CD140" s="16"/>
      <c r="CE140" s="16"/>
      <c r="CF140" s="16"/>
      <c r="CG140" s="16"/>
      <c r="CH140" s="16">
        <v>0.30099999999999999</v>
      </c>
      <c r="CI140" s="16">
        <v>3.5</v>
      </c>
      <c r="CJ140" s="16">
        <v>1.0999999999999999E-2</v>
      </c>
      <c r="CK140" s="16">
        <v>6.8000000000000005E-2</v>
      </c>
      <c r="CL140" s="16"/>
      <c r="CM140" s="16">
        <v>0.39300000000000002</v>
      </c>
      <c r="CN140" s="16"/>
      <c r="CO140" s="16"/>
      <c r="CP140" s="16"/>
      <c r="CQ140" s="16"/>
      <c r="CR140" s="16"/>
      <c r="CS140" s="16">
        <v>59.245000000000005</v>
      </c>
      <c r="CT140" s="16"/>
      <c r="CU140" s="16">
        <v>0.71799999999999997</v>
      </c>
      <c r="CV140" s="16">
        <v>0.95799999999999996</v>
      </c>
      <c r="CW140" s="16">
        <v>6.5500000000000003E-2</v>
      </c>
      <c r="CX140" s="16">
        <v>0.1835</v>
      </c>
      <c r="CY140" s="16">
        <v>2.5999999999999999E-2</v>
      </c>
      <c r="CZ140" s="16">
        <v>5.0000000000000001E-3</v>
      </c>
      <c r="DA140" s="16"/>
      <c r="DB140" s="16"/>
      <c r="DC140" s="16"/>
      <c r="DD140" s="16"/>
      <c r="DE140" s="16"/>
      <c r="DF140" s="16"/>
      <c r="DG140" s="16"/>
      <c r="DH140" s="16"/>
      <c r="DI140" s="16"/>
      <c r="DJ140" s="16"/>
      <c r="DK140" s="16">
        <v>0.90749999999999997</v>
      </c>
      <c r="DL140" s="16">
        <v>0.26200000000000001</v>
      </c>
      <c r="DM140" s="16">
        <v>2.0500000000000001E-2</v>
      </c>
      <c r="DN140" s="16"/>
      <c r="DO140" s="16"/>
      <c r="DP140" s="16"/>
      <c r="DQ140" s="16"/>
      <c r="DR140" s="16"/>
      <c r="DS140" s="16"/>
      <c r="DT140" s="16"/>
      <c r="DU140" s="16"/>
      <c r="DV140" s="51">
        <v>0.70809</v>
      </c>
      <c r="DW140" s="51">
        <v>1.3999999999999999E-4</v>
      </c>
      <c r="DX140" s="51">
        <v>0.70786000000000004</v>
      </c>
      <c r="DY140" s="45">
        <v>0</v>
      </c>
      <c r="DZ140" s="52">
        <v>48.63</v>
      </c>
      <c r="EA140" s="27"/>
      <c r="EB140" s="27"/>
      <c r="EC140" s="27"/>
      <c r="ED140" s="27"/>
      <c r="EE140" s="27"/>
      <c r="EF140" s="27"/>
      <c r="EG140" s="27"/>
      <c r="EH140" s="27"/>
      <c r="EI140" s="27"/>
      <c r="EJ140" s="16"/>
      <c r="EK140" s="18"/>
      <c r="EL140" s="18">
        <f>IFERROR(CR140/'McDonough &amp; Sun 1995 values'!C$2,)</f>
        <v>0</v>
      </c>
      <c r="EM140" s="18">
        <f>IFERROR(CH140/'McDonough &amp; Sun 1995 values'!D$2,)</f>
        <v>0.50166666666666671</v>
      </c>
      <c r="EN140" s="18">
        <f>IFERROR(CS140/'McDonough &amp; Sun 1995 values'!E$2,)</f>
        <v>8.9765151515151533</v>
      </c>
      <c r="EO140" s="18">
        <f>IFERROR(DL140/'McDonough &amp; Sun 1995 values'!F$2,)</f>
        <v>3.2955974842767297</v>
      </c>
      <c r="EP140" s="18">
        <f>IFERROR(DM140/'McDonough &amp; Sun 1995 values'!G$2,)</f>
        <v>1.0098522167487687</v>
      </c>
      <c r="EQ140" s="18">
        <f>IFERROR(BR140/'McDonough &amp; Sun 1995 values'!H$2,)</f>
        <v>0</v>
      </c>
      <c r="ER140" s="18">
        <f>IFERROR(DI140/'McDonough &amp; Sun 1995 values'!I$2,)</f>
        <v>0</v>
      </c>
      <c r="ES140" s="18">
        <f>IFERROR(CM140/'McDonough &amp; Sun 1995 values'!J$2,)</f>
        <v>0.59726443768996962</v>
      </c>
      <c r="ET140" s="18">
        <f>IFERROR(CU140/'McDonough &amp; Sun 1995 values'!K$2,)</f>
        <v>1.1080246913580245</v>
      </c>
      <c r="EU140" s="18">
        <f>IFERROR(CV140/'McDonough &amp; Sun 1995 values'!L$2,)</f>
        <v>0.57194029850746264</v>
      </c>
      <c r="EV140" s="18">
        <f>IFERROR(CW140/'McDonough &amp; Sun 1995 values'!M$2,)</f>
        <v>0.25787401574803148</v>
      </c>
      <c r="EW140" s="18">
        <f>IFERROR(CI140/'McDonough &amp; Sun 1995 values'!N$2,)</f>
        <v>0.17587939698492464</v>
      </c>
      <c r="EX140" s="18">
        <f>IFERROR(CX140/'McDonough &amp; Sun 1995 values'!O$2,)</f>
        <v>0.14679999999999999</v>
      </c>
      <c r="EY140" s="18">
        <f>IFERROR(CY140/'McDonough &amp; Sun 1995 values'!P$2,)</f>
        <v>6.4039408866995065E-2</v>
      </c>
      <c r="EZ140" s="18">
        <f>IFERROR(DH140/'McDonough &amp; Sun 1995 values'!Q$2,)</f>
        <v>0</v>
      </c>
      <c r="FA140" s="18">
        <f>IFERROR(CK140/'McDonough &amp; Sun 1995 values'!R$2,)</f>
        <v>6.4761904761904765E-3</v>
      </c>
      <c r="FB140" s="18">
        <f>IFERROR(CZ140/'McDonough &amp; Sun 1995 values'!S$2,)</f>
        <v>3.2467532467532471E-2</v>
      </c>
      <c r="FC140" s="18">
        <f>IFERROR(BT140/'McDonough &amp; Sun 1995 values'!T$2,)</f>
        <v>0</v>
      </c>
      <c r="FD140" s="18">
        <f>IFERROR(DA140/'McDonough &amp; Sun 1995 values'!U$2,)</f>
        <v>0</v>
      </c>
      <c r="FE140" s="18">
        <f>IFERROR(DN140/'McDonough &amp; Sun 1995 values'!V$2,)</f>
        <v>0</v>
      </c>
      <c r="FF140" s="18">
        <f>IFERROR(DB140/'McDonough &amp; Sun 1995 values'!W$2,)</f>
        <v>0</v>
      </c>
      <c r="FG140" s="18">
        <f>IFERROR(CJ140/'McDonough &amp; Sun 1995 values'!X$2,)</f>
        <v>2.5581395348837207E-3</v>
      </c>
      <c r="FH140" s="18">
        <f>IFERROR(DC140/'McDonough &amp; Sun 1995 values'!Y$2,)</f>
        <v>0</v>
      </c>
      <c r="FI140" s="18">
        <f>IFERROR(DD140/'McDonough &amp; Sun 1995 values'!Z$2,)</f>
        <v>0</v>
      </c>
      <c r="FJ140" s="18">
        <f>IFERROR(DE140/'McDonough &amp; Sun 1995 values'!AA$2,)</f>
        <v>0</v>
      </c>
      <c r="FK140" s="18">
        <f>IFERROR(DF140/'McDonough &amp; Sun 1995 values'!AB$2,)</f>
        <v>0</v>
      </c>
      <c r="FL140" s="18">
        <f>IFERROR(DG140/'McDonough &amp; Sun 1995 values'!AC$2,)</f>
        <v>0</v>
      </c>
      <c r="FM140" s="16"/>
      <c r="FN140" s="28">
        <f t="shared" si="299"/>
        <v>0</v>
      </c>
      <c r="FO140" s="4">
        <f t="shared" si="309"/>
        <v>8.8889393939393937</v>
      </c>
      <c r="FP140" s="4">
        <f t="shared" si="310"/>
        <v>5.517819706498952</v>
      </c>
      <c r="FQ140" s="4">
        <f t="shared" si="311"/>
        <v>3.2634453136984196</v>
      </c>
      <c r="FR140" s="4">
        <f t="shared" si="312"/>
        <v>1.8551660226808655</v>
      </c>
      <c r="FS140" s="4">
        <f t="shared" si="313"/>
        <v>0</v>
      </c>
      <c r="FT140" s="4">
        <f t="shared" si="314"/>
        <v>0</v>
      </c>
      <c r="FU140" s="4">
        <f t="shared" si="315"/>
        <v>0</v>
      </c>
      <c r="FV140" s="4">
        <f t="shared" si="316"/>
        <v>0.10112820512820515</v>
      </c>
      <c r="FW140" s="4">
        <f t="shared" si="317"/>
        <v>0</v>
      </c>
      <c r="FX140" s="4">
        <f t="shared" si="318"/>
        <v>1.0139860139860142</v>
      </c>
      <c r="FY140" s="4">
        <f t="shared" si="319"/>
        <v>0.90395778323153642</v>
      </c>
      <c r="FZ140" s="4">
        <f t="shared" si="320"/>
        <v>0</v>
      </c>
      <c r="GA140" s="4">
        <f t="shared" si="321"/>
        <v>0.68203613487283754</v>
      </c>
      <c r="GB140" s="4">
        <f t="shared" si="322"/>
        <v>0.50699300699300709</v>
      </c>
      <c r="GC140" s="4">
        <f t="shared" si="323"/>
        <v>0</v>
      </c>
      <c r="GD140" s="4">
        <f t="shared" si="324"/>
        <v>2.7237899028452466</v>
      </c>
      <c r="GE140" s="4">
        <f t="shared" si="325"/>
        <v>17.893385684083359</v>
      </c>
      <c r="GF140" s="4">
        <f t="shared" si="326"/>
        <v>0</v>
      </c>
      <c r="GG140" s="4">
        <f t="shared" si="327"/>
        <v>15.029381602282369</v>
      </c>
      <c r="GH140" s="4">
        <f t="shared" si="328"/>
        <v>4.2967675054189041</v>
      </c>
      <c r="GI140" s="4">
        <f t="shared" si="329"/>
        <v>17.302231718898383</v>
      </c>
      <c r="GJ140" s="4">
        <f t="shared" si="330"/>
        <v>0</v>
      </c>
      <c r="GK140" s="4">
        <f t="shared" si="331"/>
        <v>0</v>
      </c>
      <c r="GL140" s="4">
        <f t="shared" si="332"/>
        <v>0</v>
      </c>
      <c r="GM140" s="4">
        <f t="shared" si="333"/>
        <v>6.5692973108506232</v>
      </c>
      <c r="GN140" s="4">
        <f t="shared" si="334"/>
        <v>0.53903531423830131</v>
      </c>
      <c r="GO140" s="4">
        <f t="shared" si="335"/>
        <v>0.59143746756616489</v>
      </c>
      <c r="GP140" s="4">
        <f t="shared" si="336"/>
        <v>0</v>
      </c>
      <c r="GQ140" s="27">
        <f t="shared" si="337"/>
        <v>225376.73404256694</v>
      </c>
      <c r="GR140" s="28" t="str">
        <f t="shared" si="338"/>
        <v/>
      </c>
      <c r="GS140" s="28" t="str">
        <f t="shared" si="339"/>
        <v/>
      </c>
      <c r="GT140" s="28" t="str">
        <f t="shared" si="340"/>
        <v/>
      </c>
      <c r="GU140" s="28" t="str">
        <f t="shared" si="341"/>
        <v/>
      </c>
      <c r="GV140" s="28" t="str">
        <f t="shared" si="342"/>
        <v/>
      </c>
      <c r="GW140" s="28" t="str">
        <f t="shared" si="343"/>
        <v/>
      </c>
      <c r="GX140" s="28" t="str">
        <f t="shared" si="344"/>
        <v/>
      </c>
      <c r="GY140" s="28" t="str">
        <f t="shared" si="345"/>
        <v/>
      </c>
      <c r="GZ140" s="28" t="str">
        <f t="shared" si="346"/>
        <v/>
      </c>
      <c r="HA140" s="28" t="str">
        <f t="shared" si="347"/>
        <v/>
      </c>
      <c r="HB140" s="28" t="str">
        <f t="shared" si="348"/>
        <v/>
      </c>
      <c r="HC140" s="28" t="str">
        <f t="shared" si="349"/>
        <v/>
      </c>
      <c r="HD140" s="28" t="str">
        <f t="shared" si="350"/>
        <v/>
      </c>
      <c r="HE140" s="28" t="str">
        <f t="shared" si="351"/>
        <v/>
      </c>
      <c r="HF140" s="28" t="str">
        <f t="shared" si="352"/>
        <v/>
      </c>
      <c r="HG140" s="28" t="str">
        <f t="shared" si="353"/>
        <v/>
      </c>
      <c r="HH140" s="28" t="str">
        <f t="shared" si="354"/>
        <v/>
      </c>
      <c r="HI140" s="28" t="str">
        <f t="shared" si="355"/>
        <v/>
      </c>
      <c r="HJ140" s="28" t="str">
        <f t="shared" si="356"/>
        <v/>
      </c>
      <c r="HK140" s="28" t="str">
        <f t="shared" si="357"/>
        <v/>
      </c>
      <c r="HL140" s="28" t="str">
        <f t="shared" si="358"/>
        <v/>
      </c>
      <c r="HM140" s="28" t="str">
        <f t="shared" si="359"/>
        <v/>
      </c>
      <c r="HN140" s="28" t="str">
        <f t="shared" si="360"/>
        <v/>
      </c>
      <c r="HO140" s="28" t="str">
        <f t="shared" si="361"/>
        <v/>
      </c>
      <c r="HP140" s="28" t="str">
        <f t="shared" si="362"/>
        <v/>
      </c>
      <c r="HQ140" s="28" t="str">
        <f t="shared" si="363"/>
        <v/>
      </c>
      <c r="HR140" s="28" t="str">
        <f t="shared" si="364"/>
        <v/>
      </c>
      <c r="HT140" s="4">
        <f>IFERROR(GR140/'McDonough &amp; Sun 1995 values'!C$2,)</f>
        <v>0</v>
      </c>
      <c r="HU140" s="4">
        <f>IFERROR(GS140/'McDonough &amp; Sun 1995 values'!D$2,)</f>
        <v>0</v>
      </c>
      <c r="HV140" s="4">
        <f>IFERROR(GT140/'McDonough &amp; Sun 1995 values'!E$2,)</f>
        <v>0</v>
      </c>
      <c r="HW140" s="4">
        <f>IFERROR(GU140/'McDonough &amp; Sun 1995 values'!F$2,)</f>
        <v>0</v>
      </c>
      <c r="HX140" s="4">
        <f>IFERROR(GV140/'McDonough &amp; Sun 1995 values'!G$2,)</f>
        <v>0</v>
      </c>
      <c r="HY140" s="4">
        <f>IFERROR(GW140/'McDonough &amp; Sun 1995 values'!H$2,)</f>
        <v>0</v>
      </c>
      <c r="HZ140" s="4">
        <f>IFERROR(GX140/'McDonough &amp; Sun 1995 values'!I$2,)</f>
        <v>0</v>
      </c>
      <c r="IA140" s="4">
        <f>IFERROR(GY140/'McDonough &amp; Sun 1995 values'!J$2,)</f>
        <v>0</v>
      </c>
      <c r="IB140" s="4">
        <f>IFERROR(GZ140/'McDonough &amp; Sun 1995 values'!K$2,)</f>
        <v>0</v>
      </c>
      <c r="IC140" s="4">
        <f>IFERROR(HA140/'McDonough &amp; Sun 1995 values'!L$2,)</f>
        <v>0</v>
      </c>
      <c r="ID140" s="4">
        <f>IFERROR(HB140/'McDonough &amp; Sun 1995 values'!M$2,)</f>
        <v>0</v>
      </c>
      <c r="IE140" s="4">
        <f>IFERROR(HC140/'McDonough &amp; Sun 1995 values'!N$2,)</f>
        <v>0</v>
      </c>
      <c r="IF140" s="4">
        <f>IFERROR(HD140/'McDonough &amp; Sun 1995 values'!O$2,)</f>
        <v>0</v>
      </c>
      <c r="IG140" s="4">
        <f>IFERROR(HE140/'McDonough &amp; Sun 1995 values'!P$2,)</f>
        <v>0</v>
      </c>
      <c r="IH140" s="4">
        <f>IFERROR(HF140/'McDonough &amp; Sun 1995 values'!Q$2,)</f>
        <v>0</v>
      </c>
      <c r="II140" s="4">
        <f>IFERROR(HG140/'McDonough &amp; Sun 1995 values'!R$2,)</f>
        <v>0</v>
      </c>
      <c r="IJ140" s="4">
        <f>IFERROR(HH140/'McDonough &amp; Sun 1995 values'!S$2,)</f>
        <v>0</v>
      </c>
      <c r="IK140" s="4">
        <f>IFERROR(HI140/'McDonough &amp; Sun 1995 values'!T$2,)</f>
        <v>0</v>
      </c>
      <c r="IL140" s="4">
        <f>IFERROR(HJ140/'McDonough &amp; Sun 1995 values'!U$2,)</f>
        <v>0</v>
      </c>
      <c r="IM140" s="4">
        <f>IFERROR(HK140/'McDonough &amp; Sun 1995 values'!V$2,)</f>
        <v>0</v>
      </c>
      <c r="IN140" s="4">
        <f>IFERROR(HL140/'McDonough &amp; Sun 1995 values'!W$2,)</f>
        <v>0</v>
      </c>
      <c r="IO140" s="4">
        <f>IFERROR(HM140/'McDonough &amp; Sun 1995 values'!X$2,)</f>
        <v>0</v>
      </c>
      <c r="IP140" s="4">
        <f>IFERROR(HN140/'McDonough &amp; Sun 1995 values'!Y$2,)</f>
        <v>0</v>
      </c>
      <c r="IQ140" s="4">
        <f>IFERROR(HO140/'McDonough &amp; Sun 1995 values'!Z$2,)</f>
        <v>0</v>
      </c>
      <c r="IR140" s="4">
        <f>IFERROR(HP140/'McDonough &amp; Sun 1995 values'!AA$2,)</f>
        <v>0</v>
      </c>
      <c r="IS140" s="4">
        <f>IFERROR(HQ140/'McDonough &amp; Sun 1995 values'!AB$2,)</f>
        <v>0</v>
      </c>
      <c r="IT140" s="4">
        <f>IFERROR(HR140/'McDonough &amp; Sun 1995 values'!AC$2,)</f>
        <v>0</v>
      </c>
    </row>
    <row r="141" spans="1:254">
      <c r="A141" s="16" t="s">
        <v>1424</v>
      </c>
      <c r="B141" s="16" t="s">
        <v>24</v>
      </c>
      <c r="C141" s="16" t="str">
        <f t="shared" si="304"/>
        <v>saline</v>
      </c>
      <c r="D141" s="16" t="s">
        <v>119</v>
      </c>
      <c r="E141" s="16" t="s">
        <v>171</v>
      </c>
      <c r="F141" s="16" t="s">
        <v>45</v>
      </c>
      <c r="G141" s="16" t="s">
        <v>595</v>
      </c>
      <c r="H141" s="27">
        <v>55</v>
      </c>
      <c r="I141" s="16" t="s">
        <v>712</v>
      </c>
      <c r="J141" s="16" t="s">
        <v>1311</v>
      </c>
      <c r="K141" s="16" t="s">
        <v>1276</v>
      </c>
      <c r="L141" s="16" t="s">
        <v>1725</v>
      </c>
      <c r="M141" s="16" t="s">
        <v>1407</v>
      </c>
      <c r="N141" s="16">
        <v>13</v>
      </c>
      <c r="O141" s="26">
        <v>2.9</v>
      </c>
      <c r="P141" s="26">
        <v>2</v>
      </c>
      <c r="Q141" s="26"/>
      <c r="R141" s="26">
        <v>0.69999999999999984</v>
      </c>
      <c r="S141" s="26">
        <v>6.5999999999999988</v>
      </c>
      <c r="T141" s="26">
        <v>3</v>
      </c>
      <c r="U141" s="26"/>
      <c r="V141" s="26">
        <v>4.8</v>
      </c>
      <c r="W141" s="26">
        <v>8.8000000000000007</v>
      </c>
      <c r="X141" s="26">
        <v>29.899999999999995</v>
      </c>
      <c r="Y141" s="26"/>
      <c r="Z141" s="26"/>
      <c r="AA141" s="26">
        <v>2.2000000000000002</v>
      </c>
      <c r="AB141" s="26">
        <v>12.199999999999998</v>
      </c>
      <c r="AC141" s="26"/>
      <c r="AD141" s="26">
        <v>32.799999999999997</v>
      </c>
      <c r="AE141" s="26"/>
      <c r="AF141" s="26"/>
      <c r="AG141" s="26"/>
      <c r="AH141" s="26"/>
      <c r="AI141" s="26"/>
      <c r="AJ141" s="26">
        <f t="shared" si="305"/>
        <v>103.69999999999999</v>
      </c>
      <c r="AK141" s="26">
        <f t="shared" si="365"/>
        <v>3.0114843874724828</v>
      </c>
      <c r="AL141" s="26">
        <f t="shared" si="366"/>
        <v>2.0768857844637818</v>
      </c>
      <c r="AM141" s="26">
        <f t="shared" si="367"/>
        <v>0.72691002456232334</v>
      </c>
      <c r="AN141" s="26">
        <f t="shared" si="368"/>
        <v>6.8537230887304776</v>
      </c>
      <c r="AO141" s="26">
        <f t="shared" si="369"/>
        <v>3.1153286766956723</v>
      </c>
      <c r="AP141" s="26">
        <f t="shared" si="370"/>
        <v>4.9845258827130756</v>
      </c>
      <c r="AQ141" s="26">
        <f t="shared" si="371"/>
        <v>12.669003285229063</v>
      </c>
      <c r="AR141" s="26">
        <f t="shared" si="372"/>
        <v>9.1382974516406392</v>
      </c>
      <c r="AS141" s="26">
        <f t="shared" si="373"/>
        <v>31.049442477733528</v>
      </c>
      <c r="AT141" s="26">
        <f t="shared" si="374"/>
        <v>0</v>
      </c>
      <c r="AU141" s="26">
        <f t="shared" si="375"/>
        <v>34.060926865206014</v>
      </c>
      <c r="AV141" s="26">
        <f t="shared" si="306"/>
        <v>107.68652792444705</v>
      </c>
      <c r="AW141" s="26">
        <v>14.1</v>
      </c>
      <c r="AX141" s="26">
        <v>32.200000000000003</v>
      </c>
      <c r="AY141" s="97"/>
      <c r="AZ141" s="97"/>
      <c r="BA141" s="26">
        <v>0.3</v>
      </c>
      <c r="BC141" s="26">
        <f t="shared" si="376"/>
        <v>0.7</v>
      </c>
      <c r="BD141" s="26">
        <f t="shared" si="377"/>
        <v>0.3</v>
      </c>
      <c r="BE141" s="25"/>
      <c r="BF141" s="25"/>
      <c r="BG141" s="16"/>
      <c r="BH141" s="16"/>
      <c r="BI141" s="16"/>
      <c r="BJ141" s="16"/>
      <c r="BK141" s="16"/>
      <c r="BL141" s="16"/>
      <c r="BM141" s="16"/>
      <c r="BN141" s="16"/>
      <c r="BO141" s="16"/>
      <c r="BP141" s="16"/>
      <c r="BQ141" s="16"/>
      <c r="BR141" s="16" t="e">
        <v>#DIV/0!</v>
      </c>
      <c r="BS141" s="16"/>
      <c r="BT141" s="16"/>
      <c r="BU141" s="16"/>
      <c r="BV141" s="16"/>
      <c r="BW141" s="16"/>
      <c r="BX141" s="16"/>
      <c r="BY141" s="16"/>
      <c r="BZ141" s="16"/>
      <c r="CA141" s="16"/>
      <c r="CB141" s="16"/>
      <c r="CC141" s="16"/>
      <c r="CD141" s="16"/>
      <c r="CE141" s="16"/>
      <c r="CF141" s="16"/>
      <c r="CG141" s="16"/>
      <c r="CH141" s="16">
        <v>0.34233333333333332</v>
      </c>
      <c r="CI141" s="16">
        <v>6.8456666666666663</v>
      </c>
      <c r="CJ141" s="16"/>
      <c r="CK141" s="16">
        <v>1.2999999999999999E-2</v>
      </c>
      <c r="CL141" s="16"/>
      <c r="CM141" s="16">
        <v>7.2666666666666671E-2</v>
      </c>
      <c r="CN141" s="16"/>
      <c r="CO141" s="16"/>
      <c r="CP141" s="16"/>
      <c r="CQ141" s="16"/>
      <c r="CR141" s="16"/>
      <c r="CS141" s="16">
        <v>113.04666666666668</v>
      </c>
      <c r="CT141" s="16"/>
      <c r="CU141" s="16">
        <v>1.5046666666666668</v>
      </c>
      <c r="CV141" s="16">
        <v>1.2163333333333333</v>
      </c>
      <c r="CW141" s="16">
        <v>7.7499999999999999E-2</v>
      </c>
      <c r="CX141" s="16">
        <v>0.13633333333333333</v>
      </c>
      <c r="CY141" s="16"/>
      <c r="CZ141" s="16">
        <v>4.0000000000000001E-3</v>
      </c>
      <c r="DA141" s="16">
        <v>1E-3</v>
      </c>
      <c r="DB141" s="16"/>
      <c r="DC141" s="16"/>
      <c r="DD141" s="16"/>
      <c r="DE141" s="16"/>
      <c r="DF141" s="16"/>
      <c r="DG141" s="16"/>
      <c r="DH141" s="16"/>
      <c r="DI141" s="16"/>
      <c r="DJ141" s="16"/>
      <c r="DK141" s="16">
        <v>0.76300000000000001</v>
      </c>
      <c r="DL141" s="16">
        <v>0.57166666666666666</v>
      </c>
      <c r="DM141" s="16">
        <v>3.7499999999999999E-2</v>
      </c>
      <c r="DN141" s="16"/>
      <c r="DO141" s="16"/>
      <c r="DP141" s="16"/>
      <c r="DQ141" s="16"/>
      <c r="DR141" s="16"/>
      <c r="DS141" s="16"/>
      <c r="DT141" s="16"/>
      <c r="DU141" s="16"/>
      <c r="DV141" s="51">
        <v>0.70648999999999995</v>
      </c>
      <c r="DW141" s="51">
        <v>9.0000000000000006E-5</v>
      </c>
      <c r="DX141" s="51">
        <v>0.70635999999999999</v>
      </c>
      <c r="DY141" s="45">
        <v>0</v>
      </c>
      <c r="DZ141" s="52">
        <v>27.3</v>
      </c>
      <c r="EA141" s="27"/>
      <c r="EB141" s="27"/>
      <c r="EC141" s="27"/>
      <c r="ED141" s="27"/>
      <c r="EE141" s="27"/>
      <c r="EF141" s="27"/>
      <c r="EG141" s="27"/>
      <c r="EH141" s="27"/>
      <c r="EI141" s="27"/>
      <c r="EJ141" s="16"/>
      <c r="EK141" s="18"/>
      <c r="EL141" s="18">
        <f>IFERROR(CR141/'McDonough &amp; Sun 1995 values'!C$2,)</f>
        <v>0</v>
      </c>
      <c r="EM141" s="18">
        <f>IFERROR(CH141/'McDonough &amp; Sun 1995 values'!D$2,)</f>
        <v>0.57055555555555559</v>
      </c>
      <c r="EN141" s="18">
        <f>IFERROR(CS141/'McDonough &amp; Sun 1995 values'!E$2,)</f>
        <v>17.128282828282831</v>
      </c>
      <c r="EO141" s="18">
        <f>IFERROR(DL141/'McDonough &amp; Sun 1995 values'!F$2,)</f>
        <v>7.1907756813417185</v>
      </c>
      <c r="EP141" s="18">
        <f>IFERROR(DM141/'McDonough &amp; Sun 1995 values'!G$2,)</f>
        <v>1.8472906403940887</v>
      </c>
      <c r="EQ141" s="18">
        <f>IFERROR(BR141/'McDonough &amp; Sun 1995 values'!H$2,)</f>
        <v>0</v>
      </c>
      <c r="ER141" s="18">
        <f>IFERROR(DI141/'McDonough &amp; Sun 1995 values'!I$2,)</f>
        <v>0</v>
      </c>
      <c r="ES141" s="18">
        <f>IFERROR(CM141/'McDonough &amp; Sun 1995 values'!J$2,)</f>
        <v>0.11043566362715299</v>
      </c>
      <c r="ET141" s="18">
        <f>IFERROR(CU141/'McDonough &amp; Sun 1995 values'!K$2,)</f>
        <v>2.32201646090535</v>
      </c>
      <c r="EU141" s="18">
        <f>IFERROR(CV141/'McDonough &amp; Sun 1995 values'!L$2,)</f>
        <v>0.72616915422885564</v>
      </c>
      <c r="EV141" s="18">
        <f>IFERROR(CW141/'McDonough &amp; Sun 1995 values'!M$2,)</f>
        <v>0.30511811023622049</v>
      </c>
      <c r="EW141" s="18">
        <f>IFERROR(CI141/'McDonough &amp; Sun 1995 values'!N$2,)</f>
        <v>0.3440033500837521</v>
      </c>
      <c r="EX141" s="18">
        <f>IFERROR(CX141/'McDonough &amp; Sun 1995 values'!O$2,)</f>
        <v>0.10906666666666667</v>
      </c>
      <c r="EY141" s="18">
        <f>IFERROR(CY141/'McDonough &amp; Sun 1995 values'!P$2,)</f>
        <v>0</v>
      </c>
      <c r="EZ141" s="18">
        <f>IFERROR(DH141/'McDonough &amp; Sun 1995 values'!Q$2,)</f>
        <v>0</v>
      </c>
      <c r="FA141" s="18">
        <f>IFERROR(CK141/'McDonough &amp; Sun 1995 values'!R$2,)</f>
        <v>1.238095238095238E-3</v>
      </c>
      <c r="FB141" s="18">
        <f>IFERROR(CZ141/'McDonough &amp; Sun 1995 values'!S$2,)</f>
        <v>2.5974025974025976E-2</v>
      </c>
      <c r="FC141" s="18">
        <f>IFERROR(BT141/'McDonough &amp; Sun 1995 values'!T$2,)</f>
        <v>0</v>
      </c>
      <c r="FD141" s="18">
        <f>IFERROR(DA141/'McDonough &amp; Sun 1995 values'!U$2,)</f>
        <v>1.838235294117647E-3</v>
      </c>
      <c r="FE141" s="18">
        <f>IFERROR(DN141/'McDonough &amp; Sun 1995 values'!V$2,)</f>
        <v>0</v>
      </c>
      <c r="FF141" s="18">
        <f>IFERROR(DB141/'McDonough &amp; Sun 1995 values'!W$2,)</f>
        <v>0</v>
      </c>
      <c r="FG141" s="18">
        <f>IFERROR(CJ141/'McDonough &amp; Sun 1995 values'!X$2,)</f>
        <v>0</v>
      </c>
      <c r="FH141" s="18">
        <f>IFERROR(DC141/'McDonough &amp; Sun 1995 values'!Y$2,)</f>
        <v>0</v>
      </c>
      <c r="FI141" s="18">
        <f>IFERROR(DD141/'McDonough &amp; Sun 1995 values'!Z$2,)</f>
        <v>0</v>
      </c>
      <c r="FJ141" s="18">
        <f>IFERROR(DE141/'McDonough &amp; Sun 1995 values'!AA$2,)</f>
        <v>0</v>
      </c>
      <c r="FK141" s="18">
        <f>IFERROR(DF141/'McDonough &amp; Sun 1995 values'!AB$2,)</f>
        <v>0</v>
      </c>
      <c r="FL141" s="18">
        <f>IFERROR(DG141/'McDonough &amp; Sun 1995 values'!AC$2,)</f>
        <v>0</v>
      </c>
      <c r="FM141" s="16"/>
      <c r="FN141" s="28">
        <f t="shared" si="299"/>
        <v>0</v>
      </c>
      <c r="FO141" s="4">
        <f t="shared" si="309"/>
        <v>9.2721104377104382</v>
      </c>
      <c r="FP141" s="4">
        <f t="shared" si="310"/>
        <v>65.112803646644736</v>
      </c>
      <c r="FQ141" s="4">
        <f t="shared" si="311"/>
        <v>3.8926065688329836</v>
      </c>
      <c r="FR141" s="4">
        <f t="shared" si="312"/>
        <v>21.025965568014499</v>
      </c>
      <c r="FS141" s="4">
        <f t="shared" si="313"/>
        <v>0</v>
      </c>
      <c r="FT141" s="4">
        <f t="shared" si="314"/>
        <v>0</v>
      </c>
      <c r="FU141" s="4">
        <f t="shared" si="315"/>
        <v>0</v>
      </c>
      <c r="FV141" s="4">
        <f t="shared" si="316"/>
        <v>0</v>
      </c>
      <c r="FW141" s="4">
        <f t="shared" si="317"/>
        <v>0</v>
      </c>
      <c r="FX141" s="4">
        <f t="shared" si="318"/>
        <v>28.259740259740262</v>
      </c>
      <c r="FY141" s="4">
        <f t="shared" si="319"/>
        <v>1.8857436714303031</v>
      </c>
      <c r="FZ141" s="4">
        <f t="shared" si="320"/>
        <v>0</v>
      </c>
      <c r="GA141" s="4">
        <f t="shared" si="321"/>
        <v>1.1274432376938455</v>
      </c>
      <c r="GB141" s="4">
        <f t="shared" si="322"/>
        <v>0</v>
      </c>
      <c r="GC141" s="4">
        <f t="shared" si="323"/>
        <v>0</v>
      </c>
      <c r="GD141" s="4">
        <f t="shared" si="324"/>
        <v>2.3819798568778165</v>
      </c>
      <c r="GE141" s="4">
        <f t="shared" si="325"/>
        <v>30.020359387448</v>
      </c>
      <c r="GF141" s="4">
        <f t="shared" si="326"/>
        <v>0</v>
      </c>
      <c r="GG141" s="4">
        <f t="shared" si="327"/>
        <v>155.0973867111482</v>
      </c>
      <c r="GH141" s="4">
        <f t="shared" si="328"/>
        <v>7.6102216912252754</v>
      </c>
      <c r="GI141" s="4">
        <f t="shared" si="329"/>
        <v>0</v>
      </c>
      <c r="GJ141" s="4">
        <f t="shared" si="330"/>
        <v>0</v>
      </c>
      <c r="GK141" s="4">
        <f t="shared" si="331"/>
        <v>0</v>
      </c>
      <c r="GL141" s="4">
        <f t="shared" si="332"/>
        <v>0</v>
      </c>
      <c r="GM141" s="4">
        <f t="shared" si="333"/>
        <v>12.603112197093566</v>
      </c>
      <c r="GN141" s="4">
        <f t="shared" si="334"/>
        <v>4.7560241491179753E-2</v>
      </c>
      <c r="GO141" s="4">
        <f t="shared" si="335"/>
        <v>5.9782505910165477E-2</v>
      </c>
      <c r="GP141" s="4">
        <f t="shared" si="336"/>
        <v>0</v>
      </c>
      <c r="GQ141" s="27">
        <f t="shared" si="337"/>
        <v>257753.00491220073</v>
      </c>
      <c r="GR141" s="28" t="str">
        <f t="shared" si="338"/>
        <v/>
      </c>
      <c r="GS141" s="28" t="str">
        <f t="shared" si="339"/>
        <v/>
      </c>
      <c r="GT141" s="28" t="str">
        <f t="shared" si="340"/>
        <v/>
      </c>
      <c r="GU141" s="28" t="str">
        <f t="shared" si="341"/>
        <v/>
      </c>
      <c r="GV141" s="28" t="str">
        <f t="shared" si="342"/>
        <v/>
      </c>
      <c r="GW141" s="28" t="str">
        <f t="shared" si="343"/>
        <v/>
      </c>
      <c r="GX141" s="28" t="str">
        <f t="shared" si="344"/>
        <v/>
      </c>
      <c r="GY141" s="28" t="str">
        <f t="shared" si="345"/>
        <v/>
      </c>
      <c r="GZ141" s="28" t="str">
        <f t="shared" si="346"/>
        <v/>
      </c>
      <c r="HA141" s="28" t="str">
        <f t="shared" si="347"/>
        <v/>
      </c>
      <c r="HB141" s="28" t="str">
        <f t="shared" si="348"/>
        <v/>
      </c>
      <c r="HC141" s="28" t="str">
        <f t="shared" si="349"/>
        <v/>
      </c>
      <c r="HD141" s="28" t="str">
        <f t="shared" si="350"/>
        <v/>
      </c>
      <c r="HE141" s="28" t="str">
        <f t="shared" si="351"/>
        <v/>
      </c>
      <c r="HF141" s="28" t="str">
        <f t="shared" si="352"/>
        <v/>
      </c>
      <c r="HG141" s="28" t="str">
        <f t="shared" si="353"/>
        <v/>
      </c>
      <c r="HH141" s="28" t="str">
        <f t="shared" si="354"/>
        <v/>
      </c>
      <c r="HI141" s="28" t="str">
        <f t="shared" si="355"/>
        <v/>
      </c>
      <c r="HJ141" s="28" t="str">
        <f t="shared" si="356"/>
        <v/>
      </c>
      <c r="HK141" s="28" t="str">
        <f t="shared" si="357"/>
        <v/>
      </c>
      <c r="HL141" s="28" t="str">
        <f t="shared" si="358"/>
        <v/>
      </c>
      <c r="HM141" s="28" t="str">
        <f t="shared" si="359"/>
        <v/>
      </c>
      <c r="HN141" s="28" t="str">
        <f t="shared" si="360"/>
        <v/>
      </c>
      <c r="HO141" s="28" t="str">
        <f t="shared" si="361"/>
        <v/>
      </c>
      <c r="HP141" s="28" t="str">
        <f t="shared" si="362"/>
        <v/>
      </c>
      <c r="HQ141" s="28" t="str">
        <f t="shared" si="363"/>
        <v/>
      </c>
      <c r="HR141" s="28" t="str">
        <f t="shared" si="364"/>
        <v/>
      </c>
      <c r="HT141" s="4">
        <f>IFERROR(GR141/'McDonough &amp; Sun 1995 values'!C$2,)</f>
        <v>0</v>
      </c>
      <c r="HU141" s="4">
        <f>IFERROR(GS141/'McDonough &amp; Sun 1995 values'!D$2,)</f>
        <v>0</v>
      </c>
      <c r="HV141" s="4">
        <f>IFERROR(GT141/'McDonough &amp; Sun 1995 values'!E$2,)</f>
        <v>0</v>
      </c>
      <c r="HW141" s="4">
        <f>IFERROR(GU141/'McDonough &amp; Sun 1995 values'!F$2,)</f>
        <v>0</v>
      </c>
      <c r="HX141" s="4">
        <f>IFERROR(GV141/'McDonough &amp; Sun 1995 values'!G$2,)</f>
        <v>0</v>
      </c>
      <c r="HY141" s="4">
        <f>IFERROR(GW141/'McDonough &amp; Sun 1995 values'!H$2,)</f>
        <v>0</v>
      </c>
      <c r="HZ141" s="4">
        <f>IFERROR(GX141/'McDonough &amp; Sun 1995 values'!I$2,)</f>
        <v>0</v>
      </c>
      <c r="IA141" s="4">
        <f>IFERROR(GY141/'McDonough &amp; Sun 1995 values'!J$2,)</f>
        <v>0</v>
      </c>
      <c r="IB141" s="4">
        <f>IFERROR(GZ141/'McDonough &amp; Sun 1995 values'!K$2,)</f>
        <v>0</v>
      </c>
      <c r="IC141" s="4">
        <f>IFERROR(HA141/'McDonough &amp; Sun 1995 values'!L$2,)</f>
        <v>0</v>
      </c>
      <c r="ID141" s="4">
        <f>IFERROR(HB141/'McDonough &amp; Sun 1995 values'!M$2,)</f>
        <v>0</v>
      </c>
      <c r="IE141" s="4">
        <f>IFERROR(HC141/'McDonough &amp; Sun 1995 values'!N$2,)</f>
        <v>0</v>
      </c>
      <c r="IF141" s="4">
        <f>IFERROR(HD141/'McDonough &amp; Sun 1995 values'!O$2,)</f>
        <v>0</v>
      </c>
      <c r="IG141" s="4">
        <f>IFERROR(HE141/'McDonough &amp; Sun 1995 values'!P$2,)</f>
        <v>0</v>
      </c>
      <c r="IH141" s="4">
        <f>IFERROR(HF141/'McDonough &amp; Sun 1995 values'!Q$2,)</f>
        <v>0</v>
      </c>
      <c r="II141" s="4">
        <f>IFERROR(HG141/'McDonough &amp; Sun 1995 values'!R$2,)</f>
        <v>0</v>
      </c>
      <c r="IJ141" s="4">
        <f>IFERROR(HH141/'McDonough &amp; Sun 1995 values'!S$2,)</f>
        <v>0</v>
      </c>
      <c r="IK141" s="4">
        <f>IFERROR(HI141/'McDonough &amp; Sun 1995 values'!T$2,)</f>
        <v>0</v>
      </c>
      <c r="IL141" s="4">
        <f>IFERROR(HJ141/'McDonough &amp; Sun 1995 values'!U$2,)</f>
        <v>0</v>
      </c>
      <c r="IM141" s="4">
        <f>IFERROR(HK141/'McDonough &amp; Sun 1995 values'!V$2,)</f>
        <v>0</v>
      </c>
      <c r="IN141" s="4">
        <f>IFERROR(HL141/'McDonough &amp; Sun 1995 values'!W$2,)</f>
        <v>0</v>
      </c>
      <c r="IO141" s="4">
        <f>IFERROR(HM141/'McDonough &amp; Sun 1995 values'!X$2,)</f>
        <v>0</v>
      </c>
      <c r="IP141" s="4">
        <f>IFERROR(HN141/'McDonough &amp; Sun 1995 values'!Y$2,)</f>
        <v>0</v>
      </c>
      <c r="IQ141" s="4">
        <f>IFERROR(HO141/'McDonough &amp; Sun 1995 values'!Z$2,)</f>
        <v>0</v>
      </c>
      <c r="IR141" s="4">
        <f>IFERROR(HP141/'McDonough &amp; Sun 1995 values'!AA$2,)</f>
        <v>0</v>
      </c>
      <c r="IS141" s="4">
        <f>IFERROR(HQ141/'McDonough &amp; Sun 1995 values'!AB$2,)</f>
        <v>0</v>
      </c>
      <c r="IT141" s="4">
        <f>IFERROR(HR141/'McDonough &amp; Sun 1995 values'!AC$2,)</f>
        <v>0</v>
      </c>
    </row>
    <row r="142" spans="1:254">
      <c r="A142" s="16" t="s">
        <v>1424</v>
      </c>
      <c r="B142" s="16" t="s">
        <v>24</v>
      </c>
      <c r="C142" s="16" t="str">
        <f t="shared" si="304"/>
        <v>saline</v>
      </c>
      <c r="D142" s="16" t="s">
        <v>119</v>
      </c>
      <c r="E142" s="16" t="s">
        <v>171</v>
      </c>
      <c r="F142" s="16" t="s">
        <v>45</v>
      </c>
      <c r="G142" s="16" t="s">
        <v>595</v>
      </c>
      <c r="H142" s="27">
        <v>55</v>
      </c>
      <c r="I142" s="16" t="s">
        <v>712</v>
      </c>
      <c r="J142" s="16" t="s">
        <v>1311</v>
      </c>
      <c r="K142" s="16" t="s">
        <v>1276</v>
      </c>
      <c r="L142" s="16" t="s">
        <v>1725</v>
      </c>
      <c r="M142" s="16" t="s">
        <v>1410</v>
      </c>
      <c r="N142" s="16">
        <v>20</v>
      </c>
      <c r="O142" s="26">
        <v>4.2</v>
      </c>
      <c r="P142" s="26">
        <v>0.3</v>
      </c>
      <c r="Q142" s="26"/>
      <c r="R142" s="26">
        <v>0.5</v>
      </c>
      <c r="S142" s="26">
        <v>5.9</v>
      </c>
      <c r="T142" s="26">
        <v>4</v>
      </c>
      <c r="U142" s="26"/>
      <c r="V142" s="26">
        <v>5.6</v>
      </c>
      <c r="W142" s="26">
        <v>11.5</v>
      </c>
      <c r="X142" s="26">
        <v>27.5</v>
      </c>
      <c r="Y142" s="26"/>
      <c r="Z142" s="26"/>
      <c r="AA142" s="26">
        <v>1.4</v>
      </c>
      <c r="AB142" s="26">
        <v>14.6</v>
      </c>
      <c r="AC142" s="26"/>
      <c r="AD142" s="26">
        <v>30</v>
      </c>
      <c r="AE142" s="26"/>
      <c r="AF142" s="26"/>
      <c r="AG142" s="26"/>
      <c r="AH142" s="26"/>
      <c r="AI142" s="26"/>
      <c r="AJ142" s="26">
        <f t="shared" si="305"/>
        <v>104.1</v>
      </c>
      <c r="AK142" s="26">
        <f t="shared" si="365"/>
        <v>4.3152206518478593</v>
      </c>
      <c r="AL142" s="26">
        <f t="shared" si="366"/>
        <v>0.30823004656056135</v>
      </c>
      <c r="AM142" s="26">
        <f t="shared" si="367"/>
        <v>0.51371674426760228</v>
      </c>
      <c r="AN142" s="26">
        <f t="shared" si="368"/>
        <v>6.0618575823577077</v>
      </c>
      <c r="AO142" s="26">
        <f t="shared" si="369"/>
        <v>4.1097339541408182</v>
      </c>
      <c r="AP142" s="26">
        <f t="shared" si="370"/>
        <v>5.7536275357971451</v>
      </c>
      <c r="AQ142" s="26">
        <f t="shared" si="371"/>
        <v>15.000528932613985</v>
      </c>
      <c r="AR142" s="26">
        <f t="shared" si="372"/>
        <v>11.815485118154852</v>
      </c>
      <c r="AS142" s="26">
        <f t="shared" si="373"/>
        <v>28.254420934718127</v>
      </c>
      <c r="AT142" s="26">
        <f t="shared" si="374"/>
        <v>0</v>
      </c>
      <c r="AU142" s="26">
        <f t="shared" si="375"/>
        <v>30.823004656056135</v>
      </c>
      <c r="AV142" s="26">
        <f t="shared" si="306"/>
        <v>106.9558261565148</v>
      </c>
      <c r="AW142" s="26">
        <v>15.7</v>
      </c>
      <c r="AX142" s="26">
        <v>24.9</v>
      </c>
      <c r="AY142" s="97"/>
      <c r="AZ142" s="97"/>
      <c r="BA142" s="26">
        <v>0.39</v>
      </c>
      <c r="BC142" s="26">
        <f t="shared" si="376"/>
        <v>0.61</v>
      </c>
      <c r="BD142" s="26">
        <f t="shared" si="377"/>
        <v>0.39</v>
      </c>
      <c r="BE142" s="25"/>
      <c r="BF142" s="25"/>
      <c r="BG142" s="16"/>
      <c r="BH142" s="16"/>
      <c r="BI142" s="16"/>
      <c r="BJ142" s="16"/>
      <c r="BK142" s="16"/>
      <c r="BL142" s="16"/>
      <c r="BM142" s="16"/>
      <c r="BN142" s="16"/>
      <c r="BO142" s="16"/>
      <c r="BP142" s="16"/>
      <c r="BQ142" s="16"/>
      <c r="BR142" s="16" t="e">
        <v>#DIV/0!</v>
      </c>
      <c r="BS142" s="16"/>
      <c r="BT142" s="16"/>
      <c r="BU142" s="16"/>
      <c r="BV142" s="16"/>
      <c r="BW142" s="16"/>
      <c r="BX142" s="16"/>
      <c r="BY142" s="16"/>
      <c r="BZ142" s="16"/>
      <c r="CA142" s="16"/>
      <c r="CB142" s="16"/>
      <c r="CC142" s="16"/>
      <c r="CD142" s="16"/>
      <c r="CE142" s="16"/>
      <c r="CF142" s="16"/>
      <c r="CG142" s="16"/>
      <c r="CH142" s="16">
        <v>0.31</v>
      </c>
      <c r="CI142" s="16">
        <v>5.9615</v>
      </c>
      <c r="CJ142" s="16"/>
      <c r="CK142" s="16"/>
      <c r="CL142" s="16"/>
      <c r="CM142" s="16">
        <v>0.14550000000000002</v>
      </c>
      <c r="CN142" s="16"/>
      <c r="CO142" s="16"/>
      <c r="CP142" s="16"/>
      <c r="CQ142" s="16"/>
      <c r="CR142" s="16"/>
      <c r="CS142" s="16">
        <v>103.955</v>
      </c>
      <c r="CT142" s="16"/>
      <c r="CU142" s="16">
        <v>1.595</v>
      </c>
      <c r="CV142" s="16">
        <v>1.597</v>
      </c>
      <c r="CW142" s="16">
        <v>0.114</v>
      </c>
      <c r="CX142" s="16">
        <v>0.22700000000000001</v>
      </c>
      <c r="CY142" s="16">
        <v>8.0000000000000002E-3</v>
      </c>
      <c r="CZ142" s="16"/>
      <c r="DA142" s="16"/>
      <c r="DB142" s="16"/>
      <c r="DC142" s="16"/>
      <c r="DD142" s="16"/>
      <c r="DE142" s="16"/>
      <c r="DF142" s="16"/>
      <c r="DG142" s="16"/>
      <c r="DH142" s="16"/>
      <c r="DI142" s="16"/>
      <c r="DJ142" s="16"/>
      <c r="DK142" s="16">
        <v>0.95599999999999996</v>
      </c>
      <c r="DL142" s="16">
        <v>0.41299999999999998</v>
      </c>
      <c r="DM142" s="16">
        <v>4.0499999999999994E-2</v>
      </c>
      <c r="DN142" s="16"/>
      <c r="DO142" s="16"/>
      <c r="DP142" s="16"/>
      <c r="DQ142" s="16"/>
      <c r="DR142" s="16"/>
      <c r="DS142" s="16"/>
      <c r="DT142" s="16"/>
      <c r="DU142" s="16"/>
      <c r="DV142" s="51">
        <v>0.70660999999999996</v>
      </c>
      <c r="DW142" s="51">
        <v>1.4999999999999999E-4</v>
      </c>
      <c r="DX142" s="51">
        <v>0.70648</v>
      </c>
      <c r="DY142" s="45">
        <v>0</v>
      </c>
      <c r="DZ142" s="52">
        <v>29</v>
      </c>
      <c r="EA142" s="27"/>
      <c r="EB142" s="27"/>
      <c r="EC142" s="27"/>
      <c r="ED142" s="27"/>
      <c r="EE142" s="27"/>
      <c r="EF142" s="27"/>
      <c r="EG142" s="27"/>
      <c r="EH142" s="27"/>
      <c r="EI142" s="27"/>
      <c r="EJ142" s="16"/>
      <c r="EK142" s="18"/>
      <c r="EL142" s="18">
        <f>IFERROR(CR142/'McDonough &amp; Sun 1995 values'!C$2,)</f>
        <v>0</v>
      </c>
      <c r="EM142" s="18">
        <f>IFERROR(CH142/'McDonough &amp; Sun 1995 values'!D$2,)</f>
        <v>0.51666666666666672</v>
      </c>
      <c r="EN142" s="18">
        <f>IFERROR(CS142/'McDonough &amp; Sun 1995 values'!E$2,)</f>
        <v>15.750757575757577</v>
      </c>
      <c r="EO142" s="18">
        <f>IFERROR(DL142/'McDonough &amp; Sun 1995 values'!F$2,)</f>
        <v>5.1949685534591188</v>
      </c>
      <c r="EP142" s="18">
        <f>IFERROR(DM142/'McDonough &amp; Sun 1995 values'!G$2,)</f>
        <v>1.9950738916256157</v>
      </c>
      <c r="EQ142" s="18">
        <f>IFERROR(BR142/'McDonough &amp; Sun 1995 values'!H$2,)</f>
        <v>0</v>
      </c>
      <c r="ER142" s="18">
        <f>IFERROR(DI142/'McDonough &amp; Sun 1995 values'!I$2,)</f>
        <v>0</v>
      </c>
      <c r="ES142" s="18">
        <f>IFERROR(CM142/'McDonough &amp; Sun 1995 values'!J$2,)</f>
        <v>0.22112462006079028</v>
      </c>
      <c r="ET142" s="18">
        <f>IFERROR(CU142/'McDonough &amp; Sun 1995 values'!K$2,)</f>
        <v>2.4614197530864197</v>
      </c>
      <c r="EU142" s="18">
        <f>IFERROR(CV142/'McDonough &amp; Sun 1995 values'!L$2,)</f>
        <v>0.95343283582089544</v>
      </c>
      <c r="EV142" s="18">
        <f>IFERROR(CW142/'McDonough &amp; Sun 1995 values'!M$2,)</f>
        <v>0.44881889763779531</v>
      </c>
      <c r="EW142" s="18">
        <f>IFERROR(CI142/'McDonough &amp; Sun 1995 values'!N$2,)</f>
        <v>0.29957286432160807</v>
      </c>
      <c r="EX142" s="18">
        <f>IFERROR(CX142/'McDonough &amp; Sun 1995 values'!O$2,)</f>
        <v>0.18160000000000001</v>
      </c>
      <c r="EY142" s="18">
        <f>IFERROR(CY142/'McDonough &amp; Sun 1995 values'!P$2,)</f>
        <v>1.9704433497536946E-2</v>
      </c>
      <c r="EZ142" s="18">
        <f>IFERROR(DH142/'McDonough &amp; Sun 1995 values'!Q$2,)</f>
        <v>0</v>
      </c>
      <c r="FA142" s="18">
        <f>IFERROR(CK142/'McDonough &amp; Sun 1995 values'!R$2,)</f>
        <v>0</v>
      </c>
      <c r="FB142" s="18">
        <f>IFERROR(CZ142/'McDonough &amp; Sun 1995 values'!S$2,)</f>
        <v>0</v>
      </c>
      <c r="FC142" s="18">
        <f>IFERROR(BT142/'McDonough &amp; Sun 1995 values'!T$2,)</f>
        <v>0</v>
      </c>
      <c r="FD142" s="18">
        <f>IFERROR(DA142/'McDonough &amp; Sun 1995 values'!U$2,)</f>
        <v>0</v>
      </c>
      <c r="FE142" s="18">
        <f>IFERROR(DN142/'McDonough &amp; Sun 1995 values'!V$2,)</f>
        <v>0</v>
      </c>
      <c r="FF142" s="18">
        <f>IFERROR(DB142/'McDonough &amp; Sun 1995 values'!W$2,)</f>
        <v>0</v>
      </c>
      <c r="FG142" s="18">
        <f>IFERROR(CJ142/'McDonough &amp; Sun 1995 values'!X$2,)</f>
        <v>0</v>
      </c>
      <c r="FH142" s="18">
        <f>IFERROR(DC142/'McDonough &amp; Sun 1995 values'!Y$2,)</f>
        <v>0</v>
      </c>
      <c r="FI142" s="18">
        <f>IFERROR(DD142/'McDonough &amp; Sun 1995 values'!Z$2,)</f>
        <v>0</v>
      </c>
      <c r="FJ142" s="18">
        <f>IFERROR(DE142/'McDonough &amp; Sun 1995 values'!AA$2,)</f>
        <v>0</v>
      </c>
      <c r="FK142" s="18">
        <f>IFERROR(DF142/'McDonough &amp; Sun 1995 values'!AB$2,)</f>
        <v>0</v>
      </c>
      <c r="FL142" s="18">
        <f>IFERROR(DG142/'McDonough &amp; Sun 1995 values'!AC$2,)</f>
        <v>0</v>
      </c>
      <c r="FM142" s="16"/>
      <c r="FN142" s="28">
        <f t="shared" si="299"/>
        <v>0</v>
      </c>
      <c r="FO142" s="4">
        <f t="shared" si="309"/>
        <v>7.8948241676019464</v>
      </c>
      <c r="FP142" s="4">
        <f t="shared" si="310"/>
        <v>23.493397307052234</v>
      </c>
      <c r="FQ142" s="4">
        <f t="shared" si="311"/>
        <v>2.603897818153583</v>
      </c>
      <c r="FR142" s="4">
        <f t="shared" si="312"/>
        <v>11.131369055194941</v>
      </c>
      <c r="FS142" s="4">
        <f t="shared" si="313"/>
        <v>0</v>
      </c>
      <c r="FT142" s="4">
        <f t="shared" si="314"/>
        <v>0</v>
      </c>
      <c r="FU142" s="4">
        <f t="shared" si="315"/>
        <v>0</v>
      </c>
      <c r="FV142" s="4">
        <f t="shared" si="316"/>
        <v>0</v>
      </c>
      <c r="FW142" s="4">
        <f t="shared" si="317"/>
        <v>0</v>
      </c>
      <c r="FX142" s="4">
        <f t="shared" si="318"/>
        <v>0</v>
      </c>
      <c r="FY142" s="4">
        <f t="shared" si="319"/>
        <v>1.0493224931107668</v>
      </c>
      <c r="FZ142" s="4">
        <f t="shared" si="320"/>
        <v>0</v>
      </c>
      <c r="GA142" s="4">
        <f t="shared" si="321"/>
        <v>0.66746936436568804</v>
      </c>
      <c r="GB142" s="4">
        <f t="shared" si="322"/>
        <v>0</v>
      </c>
      <c r="GC142" s="4">
        <f t="shared" si="323"/>
        <v>0</v>
      </c>
      <c r="GD142" s="4">
        <f t="shared" si="324"/>
        <v>3.0319254897644736</v>
      </c>
      <c r="GE142" s="4">
        <f t="shared" si="325"/>
        <v>30.485337243401759</v>
      </c>
      <c r="GF142" s="4">
        <f t="shared" si="326"/>
        <v>0</v>
      </c>
      <c r="GG142" s="4">
        <f t="shared" si="327"/>
        <v>71.230230136415699</v>
      </c>
      <c r="GH142" s="4">
        <f t="shared" si="328"/>
        <v>5.4842159410872853</v>
      </c>
      <c r="GI142" s="4">
        <f t="shared" si="329"/>
        <v>124.9170524691358</v>
      </c>
      <c r="GJ142" s="4">
        <f t="shared" si="330"/>
        <v>0</v>
      </c>
      <c r="GK142" s="4">
        <f t="shared" si="331"/>
        <v>0</v>
      </c>
      <c r="GL142" s="4">
        <f t="shared" si="332"/>
        <v>0</v>
      </c>
      <c r="GM142" s="4">
        <f t="shared" si="333"/>
        <v>10.054777845404745</v>
      </c>
      <c r="GN142" s="4">
        <f t="shared" si="334"/>
        <v>8.9836209278615742E-2</v>
      </c>
      <c r="GO142" s="4">
        <f t="shared" si="335"/>
        <v>0.11083530338849489</v>
      </c>
      <c r="GP142" s="4">
        <f t="shared" si="336"/>
        <v>0</v>
      </c>
      <c r="GQ142" s="27">
        <f t="shared" si="337"/>
        <v>234550.48840894329</v>
      </c>
      <c r="GR142" s="28" t="str">
        <f t="shared" si="338"/>
        <v/>
      </c>
      <c r="GS142" s="28" t="str">
        <f t="shared" si="339"/>
        <v/>
      </c>
      <c r="GT142" s="28" t="str">
        <f t="shared" si="340"/>
        <v/>
      </c>
      <c r="GU142" s="28" t="str">
        <f t="shared" si="341"/>
        <v/>
      </c>
      <c r="GV142" s="28" t="str">
        <f t="shared" si="342"/>
        <v/>
      </c>
      <c r="GW142" s="28" t="str">
        <f t="shared" si="343"/>
        <v/>
      </c>
      <c r="GX142" s="28" t="str">
        <f t="shared" si="344"/>
        <v/>
      </c>
      <c r="GY142" s="28" t="str">
        <f t="shared" si="345"/>
        <v/>
      </c>
      <c r="GZ142" s="28" t="str">
        <f t="shared" si="346"/>
        <v/>
      </c>
      <c r="HA142" s="28" t="str">
        <f t="shared" si="347"/>
        <v/>
      </c>
      <c r="HB142" s="28" t="str">
        <f t="shared" si="348"/>
        <v/>
      </c>
      <c r="HC142" s="28" t="str">
        <f t="shared" si="349"/>
        <v/>
      </c>
      <c r="HD142" s="28" t="str">
        <f t="shared" si="350"/>
        <v/>
      </c>
      <c r="HE142" s="28" t="str">
        <f t="shared" si="351"/>
        <v/>
      </c>
      <c r="HF142" s="28" t="str">
        <f t="shared" si="352"/>
        <v/>
      </c>
      <c r="HG142" s="28" t="str">
        <f t="shared" si="353"/>
        <v/>
      </c>
      <c r="HH142" s="28" t="str">
        <f t="shared" si="354"/>
        <v/>
      </c>
      <c r="HI142" s="28" t="str">
        <f t="shared" si="355"/>
        <v/>
      </c>
      <c r="HJ142" s="28" t="str">
        <f t="shared" si="356"/>
        <v/>
      </c>
      <c r="HK142" s="28" t="str">
        <f t="shared" si="357"/>
        <v/>
      </c>
      <c r="HL142" s="28" t="str">
        <f t="shared" si="358"/>
        <v/>
      </c>
      <c r="HM142" s="28" t="str">
        <f t="shared" si="359"/>
        <v/>
      </c>
      <c r="HN142" s="28" t="str">
        <f t="shared" si="360"/>
        <v/>
      </c>
      <c r="HO142" s="28" t="str">
        <f t="shared" si="361"/>
        <v/>
      </c>
      <c r="HP142" s="28" t="str">
        <f t="shared" si="362"/>
        <v/>
      </c>
      <c r="HQ142" s="28" t="str">
        <f t="shared" si="363"/>
        <v/>
      </c>
      <c r="HR142" s="28" t="str">
        <f t="shared" si="364"/>
        <v/>
      </c>
      <c r="HT142" s="4">
        <f>IFERROR(GR142/'McDonough &amp; Sun 1995 values'!C$2,)</f>
        <v>0</v>
      </c>
      <c r="HU142" s="4">
        <f>IFERROR(GS142/'McDonough &amp; Sun 1995 values'!D$2,)</f>
        <v>0</v>
      </c>
      <c r="HV142" s="4">
        <f>IFERROR(GT142/'McDonough &amp; Sun 1995 values'!E$2,)</f>
        <v>0</v>
      </c>
      <c r="HW142" s="4">
        <f>IFERROR(GU142/'McDonough &amp; Sun 1995 values'!F$2,)</f>
        <v>0</v>
      </c>
      <c r="HX142" s="4">
        <f>IFERROR(GV142/'McDonough &amp; Sun 1995 values'!G$2,)</f>
        <v>0</v>
      </c>
      <c r="HY142" s="4">
        <f>IFERROR(GW142/'McDonough &amp; Sun 1995 values'!H$2,)</f>
        <v>0</v>
      </c>
      <c r="HZ142" s="4">
        <f>IFERROR(GX142/'McDonough &amp; Sun 1995 values'!I$2,)</f>
        <v>0</v>
      </c>
      <c r="IA142" s="4">
        <f>IFERROR(GY142/'McDonough &amp; Sun 1995 values'!J$2,)</f>
        <v>0</v>
      </c>
      <c r="IB142" s="4">
        <f>IFERROR(GZ142/'McDonough &amp; Sun 1995 values'!K$2,)</f>
        <v>0</v>
      </c>
      <c r="IC142" s="4">
        <f>IFERROR(HA142/'McDonough &amp; Sun 1995 values'!L$2,)</f>
        <v>0</v>
      </c>
      <c r="ID142" s="4">
        <f>IFERROR(HB142/'McDonough &amp; Sun 1995 values'!M$2,)</f>
        <v>0</v>
      </c>
      <c r="IE142" s="4">
        <f>IFERROR(HC142/'McDonough &amp; Sun 1995 values'!N$2,)</f>
        <v>0</v>
      </c>
      <c r="IF142" s="4">
        <f>IFERROR(HD142/'McDonough &amp; Sun 1995 values'!O$2,)</f>
        <v>0</v>
      </c>
      <c r="IG142" s="4">
        <f>IFERROR(HE142/'McDonough &amp; Sun 1995 values'!P$2,)</f>
        <v>0</v>
      </c>
      <c r="IH142" s="4">
        <f>IFERROR(HF142/'McDonough &amp; Sun 1995 values'!Q$2,)</f>
        <v>0</v>
      </c>
      <c r="II142" s="4">
        <f>IFERROR(HG142/'McDonough &amp; Sun 1995 values'!R$2,)</f>
        <v>0</v>
      </c>
      <c r="IJ142" s="4">
        <f>IFERROR(HH142/'McDonough &amp; Sun 1995 values'!S$2,)</f>
        <v>0</v>
      </c>
      <c r="IK142" s="4">
        <f>IFERROR(HI142/'McDonough &amp; Sun 1995 values'!T$2,)</f>
        <v>0</v>
      </c>
      <c r="IL142" s="4">
        <f>IFERROR(HJ142/'McDonough &amp; Sun 1995 values'!U$2,)</f>
        <v>0</v>
      </c>
      <c r="IM142" s="4">
        <f>IFERROR(HK142/'McDonough &amp; Sun 1995 values'!V$2,)</f>
        <v>0</v>
      </c>
      <c r="IN142" s="4">
        <f>IFERROR(HL142/'McDonough &amp; Sun 1995 values'!W$2,)</f>
        <v>0</v>
      </c>
      <c r="IO142" s="4">
        <f>IFERROR(HM142/'McDonough &amp; Sun 1995 values'!X$2,)</f>
        <v>0</v>
      </c>
      <c r="IP142" s="4">
        <f>IFERROR(HN142/'McDonough &amp; Sun 1995 values'!Y$2,)</f>
        <v>0</v>
      </c>
      <c r="IQ142" s="4">
        <f>IFERROR(HO142/'McDonough &amp; Sun 1995 values'!Z$2,)</f>
        <v>0</v>
      </c>
      <c r="IR142" s="4">
        <f>IFERROR(HP142/'McDonough &amp; Sun 1995 values'!AA$2,)</f>
        <v>0</v>
      </c>
      <c r="IS142" s="4">
        <f>IFERROR(HQ142/'McDonough &amp; Sun 1995 values'!AB$2,)</f>
        <v>0</v>
      </c>
      <c r="IT142" s="4">
        <f>IFERROR(HR142/'McDonough &amp; Sun 1995 values'!AC$2,)</f>
        <v>0</v>
      </c>
    </row>
    <row r="143" spans="1:254">
      <c r="A143" s="16" t="s">
        <v>1424</v>
      </c>
      <c r="B143" s="16" t="s">
        <v>24</v>
      </c>
      <c r="C143" s="16" t="str">
        <f t="shared" si="304"/>
        <v>saline</v>
      </c>
      <c r="D143" s="16" t="s">
        <v>119</v>
      </c>
      <c r="E143" s="16" t="s">
        <v>171</v>
      </c>
      <c r="F143" s="16" t="s">
        <v>45</v>
      </c>
      <c r="G143" s="16" t="s">
        <v>595</v>
      </c>
      <c r="H143" s="27">
        <v>55</v>
      </c>
      <c r="I143" s="16" t="s">
        <v>712</v>
      </c>
      <c r="J143" s="16" t="s">
        <v>1311</v>
      </c>
      <c r="K143" s="16" t="s">
        <v>1276</v>
      </c>
      <c r="L143" s="16" t="s">
        <v>1725</v>
      </c>
      <c r="M143" s="16" t="s">
        <v>1412</v>
      </c>
      <c r="N143" s="16">
        <v>23</v>
      </c>
      <c r="O143" s="26">
        <v>3.4</v>
      </c>
      <c r="P143" s="26">
        <v>1.1000000000000001</v>
      </c>
      <c r="Q143" s="26"/>
      <c r="R143" s="26">
        <v>0.80000000000000016</v>
      </c>
      <c r="S143" s="26">
        <v>6.8</v>
      </c>
      <c r="T143" s="26">
        <v>3.7999999999999994</v>
      </c>
      <c r="U143" s="26"/>
      <c r="V143" s="26">
        <v>5.8</v>
      </c>
      <c r="W143" s="26">
        <v>12.800000000000002</v>
      </c>
      <c r="X143" s="26">
        <v>24.7</v>
      </c>
      <c r="Y143" s="26"/>
      <c r="Z143" s="26"/>
      <c r="AA143" s="26">
        <v>1.6000000000000003</v>
      </c>
      <c r="AB143" s="26">
        <v>13.9</v>
      </c>
      <c r="AC143" s="26"/>
      <c r="AD143" s="26">
        <v>31.8</v>
      </c>
      <c r="AE143" s="26"/>
      <c r="AF143" s="26"/>
      <c r="AG143" s="26"/>
      <c r="AH143" s="26"/>
      <c r="AI143" s="26"/>
      <c r="AJ143" s="26">
        <f t="shared" si="305"/>
        <v>104.9</v>
      </c>
      <c r="AK143" s="26">
        <f t="shared" si="365"/>
        <v>3.4791971261190913</v>
      </c>
      <c r="AL143" s="26">
        <f t="shared" si="366"/>
        <v>1.125622599626765</v>
      </c>
      <c r="AM143" s="26">
        <f t="shared" si="367"/>
        <v>0.81863461791037462</v>
      </c>
      <c r="AN143" s="26">
        <f t="shared" si="368"/>
        <v>6.9583942522381825</v>
      </c>
      <c r="AO143" s="26">
        <f t="shared" si="369"/>
        <v>3.8885144350742777</v>
      </c>
      <c r="AP143" s="26">
        <f t="shared" si="370"/>
        <v>5.9351009798502146</v>
      </c>
      <c r="AQ143" s="26">
        <f t="shared" si="371"/>
        <v>14.223776486192758</v>
      </c>
      <c r="AR143" s="26">
        <f t="shared" si="372"/>
        <v>13.098153886565994</v>
      </c>
      <c r="AS143" s="26">
        <f t="shared" si="373"/>
        <v>25.275343827982809</v>
      </c>
      <c r="AT143" s="26">
        <f t="shared" si="374"/>
        <v>0</v>
      </c>
      <c r="AU143" s="26">
        <f t="shared" si="375"/>
        <v>32.540726061937384</v>
      </c>
      <c r="AV143" s="26">
        <f t="shared" si="306"/>
        <v>107.34346427349786</v>
      </c>
      <c r="AW143" s="26">
        <v>15.699999999999998</v>
      </c>
      <c r="AX143" s="26">
        <v>54.29999999999999</v>
      </c>
      <c r="AY143" s="97"/>
      <c r="AZ143" s="97"/>
      <c r="BA143" s="26">
        <v>0.22</v>
      </c>
      <c r="BC143" s="26">
        <f t="shared" si="376"/>
        <v>0.78</v>
      </c>
      <c r="BD143" s="26">
        <f t="shared" si="377"/>
        <v>0.22</v>
      </c>
      <c r="BE143" s="25"/>
      <c r="BF143" s="25"/>
      <c r="BG143" s="16"/>
      <c r="BH143" s="16"/>
      <c r="BI143" s="16"/>
      <c r="BJ143" s="16"/>
      <c r="BK143" s="16"/>
      <c r="BL143" s="16"/>
      <c r="BM143" s="16"/>
      <c r="BN143" s="16"/>
      <c r="BO143" s="16"/>
      <c r="BP143" s="16"/>
      <c r="BQ143" s="16"/>
      <c r="BR143" s="16" t="e">
        <v>#DIV/0!</v>
      </c>
      <c r="BS143" s="16"/>
      <c r="BT143" s="16"/>
      <c r="BU143" s="16"/>
      <c r="BV143" s="16"/>
      <c r="BW143" s="16"/>
      <c r="BX143" s="16"/>
      <c r="BY143" s="16"/>
      <c r="BZ143" s="16"/>
      <c r="CA143" s="16"/>
      <c r="CB143" s="16"/>
      <c r="CC143" s="16"/>
      <c r="CD143" s="16"/>
      <c r="CE143" s="16"/>
      <c r="CF143" s="16"/>
      <c r="CG143" s="16"/>
      <c r="CH143" s="16">
        <v>0.20799999999999999</v>
      </c>
      <c r="CI143" s="16">
        <v>6.3646666666666674</v>
      </c>
      <c r="CJ143" s="16">
        <v>4.7500000000000001E-2</v>
      </c>
      <c r="CK143" s="16">
        <v>0.27200000000000002</v>
      </c>
      <c r="CL143" s="16"/>
      <c r="CM143" s="16">
        <v>1.0536666666666668</v>
      </c>
      <c r="CN143" s="16"/>
      <c r="CO143" s="16"/>
      <c r="CP143" s="16"/>
      <c r="CQ143" s="16"/>
      <c r="CR143" s="16"/>
      <c r="CS143" s="16">
        <v>82.2</v>
      </c>
      <c r="CT143" s="16"/>
      <c r="CU143" s="16">
        <v>1.3946666666666667</v>
      </c>
      <c r="CV143" s="16">
        <v>1.1656666666666666</v>
      </c>
      <c r="CW143" s="16">
        <v>0.158</v>
      </c>
      <c r="CX143" s="16">
        <v>0.24733333333333332</v>
      </c>
      <c r="CY143" s="16">
        <v>2.8999999999999998E-2</v>
      </c>
      <c r="CZ143" s="16">
        <v>5.4999999999999997E-3</v>
      </c>
      <c r="DA143" s="16">
        <v>8.0000000000000002E-3</v>
      </c>
      <c r="DB143" s="16">
        <v>1.2999999999999999E-2</v>
      </c>
      <c r="DC143" s="16"/>
      <c r="DD143" s="16"/>
      <c r="DE143" s="16"/>
      <c r="DF143" s="16"/>
      <c r="DG143" s="16"/>
      <c r="DH143" s="16"/>
      <c r="DI143" s="16"/>
      <c r="DJ143" s="16"/>
      <c r="DK143" s="16">
        <v>1.9669999999999999</v>
      </c>
      <c r="DL143" s="16">
        <v>0.66266666666666674</v>
      </c>
      <c r="DM143" s="16">
        <v>3.4333333333333334E-2</v>
      </c>
      <c r="DN143" s="16"/>
      <c r="DO143" s="16"/>
      <c r="DP143" s="16"/>
      <c r="DQ143" s="16"/>
      <c r="DR143" s="16"/>
      <c r="DS143" s="16"/>
      <c r="DT143" s="16"/>
      <c r="DU143" s="16"/>
      <c r="DV143" s="51">
        <v>0.70499000000000001</v>
      </c>
      <c r="DW143" s="51">
        <v>1.7000000000000001E-4</v>
      </c>
      <c r="DX143" s="51">
        <v>0.70487999999999995</v>
      </c>
      <c r="DY143" s="45">
        <v>0</v>
      </c>
      <c r="DZ143" s="52">
        <v>6.3330000000000002</v>
      </c>
      <c r="EA143" s="27"/>
      <c r="EB143" s="27"/>
      <c r="EC143" s="27"/>
      <c r="ED143" s="27"/>
      <c r="EE143" s="27"/>
      <c r="EF143" s="27"/>
      <c r="EG143" s="27"/>
      <c r="EH143" s="27"/>
      <c r="EI143" s="27"/>
      <c r="EJ143" s="16"/>
      <c r="EK143" s="18"/>
      <c r="EL143" s="18">
        <f>IFERROR(CR143/'McDonough &amp; Sun 1995 values'!C$2,)</f>
        <v>0</v>
      </c>
      <c r="EM143" s="18">
        <f>IFERROR(CH143/'McDonough &amp; Sun 1995 values'!D$2,)</f>
        <v>0.34666666666666668</v>
      </c>
      <c r="EN143" s="18">
        <f>IFERROR(CS143/'McDonough &amp; Sun 1995 values'!E$2,)</f>
        <v>12.454545454545455</v>
      </c>
      <c r="EO143" s="18">
        <f>IFERROR(DL143/'McDonough &amp; Sun 1995 values'!F$2,)</f>
        <v>8.3354297693920341</v>
      </c>
      <c r="EP143" s="18">
        <f>IFERROR(DM143/'McDonough &amp; Sun 1995 values'!G$2,)</f>
        <v>1.691297208538588</v>
      </c>
      <c r="EQ143" s="18">
        <f>IFERROR(BR143/'McDonough &amp; Sun 1995 values'!H$2,)</f>
        <v>0</v>
      </c>
      <c r="ER143" s="18">
        <f>IFERROR(DI143/'McDonough &amp; Sun 1995 values'!I$2,)</f>
        <v>0</v>
      </c>
      <c r="ES143" s="18">
        <f>IFERROR(CM143/'McDonough &amp; Sun 1995 values'!J$2,)</f>
        <v>1.6013171225937184</v>
      </c>
      <c r="ET143" s="18">
        <f>IFERROR(CU143/'McDonough &amp; Sun 1995 values'!K$2,)</f>
        <v>2.1522633744855968</v>
      </c>
      <c r="EU143" s="18">
        <f>IFERROR(CV143/'McDonough &amp; Sun 1995 values'!L$2,)</f>
        <v>0.6959203980099502</v>
      </c>
      <c r="EV143" s="18">
        <f>IFERROR(CW143/'McDonough &amp; Sun 1995 values'!M$2,)</f>
        <v>0.62204724409448819</v>
      </c>
      <c r="EW143" s="18">
        <f>IFERROR(CI143/'McDonough &amp; Sun 1995 values'!N$2,)</f>
        <v>0.31983249581239537</v>
      </c>
      <c r="EX143" s="18">
        <f>IFERROR(CX143/'McDonough &amp; Sun 1995 values'!O$2,)</f>
        <v>0.19786666666666666</v>
      </c>
      <c r="EY143" s="18">
        <f>IFERROR(CY143/'McDonough &amp; Sun 1995 values'!P$2,)</f>
        <v>7.1428571428571425E-2</v>
      </c>
      <c r="EZ143" s="18">
        <f>IFERROR(DH143/'McDonough &amp; Sun 1995 values'!Q$2,)</f>
        <v>0</v>
      </c>
      <c r="FA143" s="18">
        <f>IFERROR(CK143/'McDonough &amp; Sun 1995 values'!R$2,)</f>
        <v>2.5904761904761906E-2</v>
      </c>
      <c r="FB143" s="18">
        <f>IFERROR(CZ143/'McDonough &amp; Sun 1995 values'!S$2,)</f>
        <v>3.5714285714285712E-2</v>
      </c>
      <c r="FC143" s="18">
        <f>IFERROR(BT143/'McDonough &amp; Sun 1995 values'!T$2,)</f>
        <v>0</v>
      </c>
      <c r="FD143" s="18">
        <f>IFERROR(DA143/'McDonough &amp; Sun 1995 values'!U$2,)</f>
        <v>1.4705882352941176E-2</v>
      </c>
      <c r="FE143" s="18">
        <f>IFERROR(DN143/'McDonough &amp; Sun 1995 values'!V$2,)</f>
        <v>0</v>
      </c>
      <c r="FF143" s="18">
        <f>IFERROR(DB143/'McDonough &amp; Sun 1995 values'!W$2,)</f>
        <v>1.9287833827893171E-2</v>
      </c>
      <c r="FG143" s="18">
        <f>IFERROR(CJ143/'McDonough &amp; Sun 1995 values'!X$2,)</f>
        <v>1.1046511627906977E-2</v>
      </c>
      <c r="FH143" s="18">
        <f>IFERROR(DC143/'McDonough &amp; Sun 1995 values'!Y$2,)</f>
        <v>0</v>
      </c>
      <c r="FI143" s="18">
        <f>IFERROR(DD143/'McDonough &amp; Sun 1995 values'!Z$2,)</f>
        <v>0</v>
      </c>
      <c r="FJ143" s="18">
        <f>IFERROR(DE143/'McDonough &amp; Sun 1995 values'!AA$2,)</f>
        <v>0</v>
      </c>
      <c r="FK143" s="18">
        <f>IFERROR(DF143/'McDonough &amp; Sun 1995 values'!AB$2,)</f>
        <v>0</v>
      </c>
      <c r="FL143" s="18">
        <f>IFERROR(DG143/'McDonough &amp; Sun 1995 values'!AC$2,)</f>
        <v>0</v>
      </c>
      <c r="FM143" s="16"/>
      <c r="FN143" s="28">
        <f t="shared" si="299"/>
        <v>0</v>
      </c>
      <c r="FO143" s="4">
        <f t="shared" si="309"/>
        <v>7.3639011473962928</v>
      </c>
      <c r="FP143" s="4">
        <f t="shared" si="310"/>
        <v>5.2053585462764556</v>
      </c>
      <c r="FQ143" s="4">
        <f t="shared" si="311"/>
        <v>4.9284240092813087</v>
      </c>
      <c r="FR143" s="4">
        <f t="shared" si="312"/>
        <v>1.3440581781824006</v>
      </c>
      <c r="FS143" s="4">
        <f t="shared" si="313"/>
        <v>0</v>
      </c>
      <c r="FT143" s="4">
        <f t="shared" si="314"/>
        <v>0</v>
      </c>
      <c r="FU143" s="4">
        <f t="shared" si="315"/>
        <v>0</v>
      </c>
      <c r="FV143" s="4">
        <f t="shared" si="316"/>
        <v>0.36266666666666669</v>
      </c>
      <c r="FW143" s="4">
        <f t="shared" si="317"/>
        <v>0</v>
      </c>
      <c r="FX143" s="4">
        <f t="shared" si="318"/>
        <v>0.82926829268292679</v>
      </c>
      <c r="FY143" s="4">
        <f t="shared" si="319"/>
        <v>0.91164254142851275</v>
      </c>
      <c r="FZ143" s="4">
        <f t="shared" si="320"/>
        <v>1.1019463300386794</v>
      </c>
      <c r="GA143" s="4">
        <f t="shared" si="321"/>
        <v>0.51416110086296474</v>
      </c>
      <c r="GB143" s="4">
        <f t="shared" si="322"/>
        <v>0.5</v>
      </c>
      <c r="GC143" s="4">
        <f t="shared" si="323"/>
        <v>0</v>
      </c>
      <c r="GD143" s="4">
        <f t="shared" si="324"/>
        <v>1.4941695628315346</v>
      </c>
      <c r="GE143" s="4">
        <f t="shared" si="325"/>
        <v>35.926573426573427</v>
      </c>
      <c r="GF143" s="4">
        <f t="shared" si="326"/>
        <v>0</v>
      </c>
      <c r="GG143" s="4">
        <f t="shared" si="327"/>
        <v>7.777688303471284</v>
      </c>
      <c r="GH143" s="4">
        <f t="shared" si="328"/>
        <v>3.459967703286972</v>
      </c>
      <c r="GI143" s="4">
        <f t="shared" si="329"/>
        <v>30.131687242798357</v>
      </c>
      <c r="GJ143" s="4">
        <f t="shared" si="330"/>
        <v>111.5865780310225</v>
      </c>
      <c r="GK143" s="4">
        <f t="shared" si="331"/>
        <v>0</v>
      </c>
      <c r="GL143" s="4">
        <f t="shared" si="332"/>
        <v>0</v>
      </c>
      <c r="GM143" s="4">
        <f t="shared" si="333"/>
        <v>24.044508950169327</v>
      </c>
      <c r="GN143" s="4">
        <f t="shared" si="334"/>
        <v>0.74401541260090542</v>
      </c>
      <c r="GO143" s="4">
        <f t="shared" si="335"/>
        <v>0.94679818219376155</v>
      </c>
      <c r="GP143" s="4">
        <f t="shared" si="336"/>
        <v>0</v>
      </c>
      <c r="GQ143" s="27">
        <f t="shared" si="337"/>
        <v>209820.05800985213</v>
      </c>
      <c r="GR143" s="28" t="str">
        <f t="shared" si="338"/>
        <v/>
      </c>
      <c r="GS143" s="28" t="str">
        <f t="shared" si="339"/>
        <v/>
      </c>
      <c r="GT143" s="28" t="str">
        <f t="shared" si="340"/>
        <v/>
      </c>
      <c r="GU143" s="28" t="str">
        <f t="shared" si="341"/>
        <v/>
      </c>
      <c r="GV143" s="28" t="str">
        <f t="shared" si="342"/>
        <v/>
      </c>
      <c r="GW143" s="28" t="str">
        <f t="shared" si="343"/>
        <v/>
      </c>
      <c r="GX143" s="28" t="str">
        <f t="shared" si="344"/>
        <v/>
      </c>
      <c r="GY143" s="28" t="str">
        <f t="shared" si="345"/>
        <v/>
      </c>
      <c r="GZ143" s="28" t="str">
        <f t="shared" si="346"/>
        <v/>
      </c>
      <c r="HA143" s="28" t="str">
        <f t="shared" si="347"/>
        <v/>
      </c>
      <c r="HB143" s="28" t="str">
        <f t="shared" si="348"/>
        <v/>
      </c>
      <c r="HC143" s="28" t="str">
        <f t="shared" si="349"/>
        <v/>
      </c>
      <c r="HD143" s="28" t="str">
        <f t="shared" si="350"/>
        <v/>
      </c>
      <c r="HE143" s="28" t="str">
        <f t="shared" si="351"/>
        <v/>
      </c>
      <c r="HF143" s="28" t="str">
        <f t="shared" si="352"/>
        <v/>
      </c>
      <c r="HG143" s="28" t="str">
        <f t="shared" si="353"/>
        <v/>
      </c>
      <c r="HH143" s="28" t="str">
        <f t="shared" si="354"/>
        <v/>
      </c>
      <c r="HI143" s="28" t="str">
        <f t="shared" si="355"/>
        <v/>
      </c>
      <c r="HJ143" s="28" t="str">
        <f t="shared" si="356"/>
        <v/>
      </c>
      <c r="HK143" s="28" t="str">
        <f t="shared" si="357"/>
        <v/>
      </c>
      <c r="HL143" s="28" t="str">
        <f t="shared" si="358"/>
        <v/>
      </c>
      <c r="HM143" s="28" t="str">
        <f t="shared" si="359"/>
        <v/>
      </c>
      <c r="HN143" s="28" t="str">
        <f t="shared" si="360"/>
        <v/>
      </c>
      <c r="HO143" s="28" t="str">
        <f t="shared" si="361"/>
        <v/>
      </c>
      <c r="HP143" s="28" t="str">
        <f t="shared" si="362"/>
        <v/>
      </c>
      <c r="HQ143" s="28" t="str">
        <f t="shared" si="363"/>
        <v/>
      </c>
      <c r="HR143" s="28" t="str">
        <f t="shared" si="364"/>
        <v/>
      </c>
      <c r="HT143" s="4">
        <f>IFERROR(GR143/'McDonough &amp; Sun 1995 values'!C$2,)</f>
        <v>0</v>
      </c>
      <c r="HU143" s="4">
        <f>IFERROR(GS143/'McDonough &amp; Sun 1995 values'!D$2,)</f>
        <v>0</v>
      </c>
      <c r="HV143" s="4">
        <f>IFERROR(GT143/'McDonough &amp; Sun 1995 values'!E$2,)</f>
        <v>0</v>
      </c>
      <c r="HW143" s="4">
        <f>IFERROR(GU143/'McDonough &amp; Sun 1995 values'!F$2,)</f>
        <v>0</v>
      </c>
      <c r="HX143" s="4">
        <f>IFERROR(GV143/'McDonough &amp; Sun 1995 values'!G$2,)</f>
        <v>0</v>
      </c>
      <c r="HY143" s="4">
        <f>IFERROR(GW143/'McDonough &amp; Sun 1995 values'!H$2,)</f>
        <v>0</v>
      </c>
      <c r="HZ143" s="4">
        <f>IFERROR(GX143/'McDonough &amp; Sun 1995 values'!I$2,)</f>
        <v>0</v>
      </c>
      <c r="IA143" s="4">
        <f>IFERROR(GY143/'McDonough &amp; Sun 1995 values'!J$2,)</f>
        <v>0</v>
      </c>
      <c r="IB143" s="4">
        <f>IFERROR(GZ143/'McDonough &amp; Sun 1995 values'!K$2,)</f>
        <v>0</v>
      </c>
      <c r="IC143" s="4">
        <f>IFERROR(HA143/'McDonough &amp; Sun 1995 values'!L$2,)</f>
        <v>0</v>
      </c>
      <c r="ID143" s="4">
        <f>IFERROR(HB143/'McDonough &amp; Sun 1995 values'!M$2,)</f>
        <v>0</v>
      </c>
      <c r="IE143" s="4">
        <f>IFERROR(HC143/'McDonough &amp; Sun 1995 values'!N$2,)</f>
        <v>0</v>
      </c>
      <c r="IF143" s="4">
        <f>IFERROR(HD143/'McDonough &amp; Sun 1995 values'!O$2,)</f>
        <v>0</v>
      </c>
      <c r="IG143" s="4">
        <f>IFERROR(HE143/'McDonough &amp; Sun 1995 values'!P$2,)</f>
        <v>0</v>
      </c>
      <c r="IH143" s="4">
        <f>IFERROR(HF143/'McDonough &amp; Sun 1995 values'!Q$2,)</f>
        <v>0</v>
      </c>
      <c r="II143" s="4">
        <f>IFERROR(HG143/'McDonough &amp; Sun 1995 values'!R$2,)</f>
        <v>0</v>
      </c>
      <c r="IJ143" s="4">
        <f>IFERROR(HH143/'McDonough &amp; Sun 1995 values'!S$2,)</f>
        <v>0</v>
      </c>
      <c r="IK143" s="4">
        <f>IFERROR(HI143/'McDonough &amp; Sun 1995 values'!T$2,)</f>
        <v>0</v>
      </c>
      <c r="IL143" s="4">
        <f>IFERROR(HJ143/'McDonough &amp; Sun 1995 values'!U$2,)</f>
        <v>0</v>
      </c>
      <c r="IM143" s="4">
        <f>IFERROR(HK143/'McDonough &amp; Sun 1995 values'!V$2,)</f>
        <v>0</v>
      </c>
      <c r="IN143" s="4">
        <f>IFERROR(HL143/'McDonough &amp; Sun 1995 values'!W$2,)</f>
        <v>0</v>
      </c>
      <c r="IO143" s="4">
        <f>IFERROR(HM143/'McDonough &amp; Sun 1995 values'!X$2,)</f>
        <v>0</v>
      </c>
      <c r="IP143" s="4">
        <f>IFERROR(HN143/'McDonough &amp; Sun 1995 values'!Y$2,)</f>
        <v>0</v>
      </c>
      <c r="IQ143" s="4">
        <f>IFERROR(HO143/'McDonough &amp; Sun 1995 values'!Z$2,)</f>
        <v>0</v>
      </c>
      <c r="IR143" s="4">
        <f>IFERROR(HP143/'McDonough &amp; Sun 1995 values'!AA$2,)</f>
        <v>0</v>
      </c>
      <c r="IS143" s="4">
        <f>IFERROR(HQ143/'McDonough &amp; Sun 1995 values'!AB$2,)</f>
        <v>0</v>
      </c>
      <c r="IT143" s="4">
        <f>IFERROR(HR143/'McDonough &amp; Sun 1995 values'!AC$2,)</f>
        <v>0</v>
      </c>
    </row>
    <row r="144" spans="1:254">
      <c r="A144" s="16" t="s">
        <v>1424</v>
      </c>
      <c r="B144" s="16" t="s">
        <v>24</v>
      </c>
      <c r="C144" s="16" t="str">
        <f t="shared" si="304"/>
        <v>saline</v>
      </c>
      <c r="D144" s="16" t="s">
        <v>119</v>
      </c>
      <c r="E144" s="16" t="s">
        <v>171</v>
      </c>
      <c r="F144" s="16" t="s">
        <v>45</v>
      </c>
      <c r="G144" s="16" t="s">
        <v>595</v>
      </c>
      <c r="H144" s="27">
        <v>55</v>
      </c>
      <c r="I144" s="16" t="s">
        <v>712</v>
      </c>
      <c r="J144" s="16" t="s">
        <v>1311</v>
      </c>
      <c r="K144" s="16" t="s">
        <v>1276</v>
      </c>
      <c r="L144" s="16" t="s">
        <v>1725</v>
      </c>
      <c r="M144" s="16" t="s">
        <v>1415</v>
      </c>
      <c r="N144" s="16">
        <v>20</v>
      </c>
      <c r="O144" s="26">
        <v>5</v>
      </c>
      <c r="P144" s="26">
        <v>0.7</v>
      </c>
      <c r="Q144" s="26"/>
      <c r="R144" s="26">
        <v>0.6</v>
      </c>
      <c r="S144" s="26">
        <v>5.2</v>
      </c>
      <c r="T144" s="26">
        <v>5.2</v>
      </c>
      <c r="U144" s="26"/>
      <c r="V144" s="26">
        <v>6.7</v>
      </c>
      <c r="W144" s="26">
        <v>10.199999999999999</v>
      </c>
      <c r="X144" s="26">
        <v>26.8</v>
      </c>
      <c r="Y144" s="26"/>
      <c r="Z144" s="26"/>
      <c r="AA144" s="26">
        <v>2</v>
      </c>
      <c r="AB144" s="26">
        <v>13.1</v>
      </c>
      <c r="AC144" s="26"/>
      <c r="AD144" s="26">
        <v>30.3</v>
      </c>
      <c r="AE144" s="26"/>
      <c r="AF144" s="26"/>
      <c r="AG144" s="26"/>
      <c r="AH144" s="26"/>
      <c r="AI144" s="26"/>
      <c r="AJ144" s="26">
        <f t="shared" si="305"/>
        <v>103.79999999999998</v>
      </c>
      <c r="AK144" s="26">
        <f t="shared" si="365"/>
        <v>5.1566486583985744</v>
      </c>
      <c r="AL144" s="26">
        <f t="shared" si="366"/>
        <v>0.72193081217580035</v>
      </c>
      <c r="AM144" s="26">
        <f t="shared" si="367"/>
        <v>0.61879783900782892</v>
      </c>
      <c r="AN144" s="26">
        <f t="shared" si="368"/>
        <v>5.3629146047345175</v>
      </c>
      <c r="AO144" s="26">
        <f t="shared" si="369"/>
        <v>5.3629146047345175</v>
      </c>
      <c r="AP144" s="26">
        <f t="shared" si="370"/>
        <v>6.9099092022540898</v>
      </c>
      <c r="AQ144" s="26">
        <f t="shared" si="371"/>
        <v>13.510419485004267</v>
      </c>
      <c r="AR144" s="26">
        <f t="shared" si="372"/>
        <v>10.519563263133092</v>
      </c>
      <c r="AS144" s="26">
        <f t="shared" si="373"/>
        <v>27.639636809016359</v>
      </c>
      <c r="AT144" s="26">
        <f t="shared" si="374"/>
        <v>0</v>
      </c>
      <c r="AU144" s="26">
        <f t="shared" si="375"/>
        <v>31.249290869895361</v>
      </c>
      <c r="AV144" s="26">
        <f t="shared" si="306"/>
        <v>107.0520261483544</v>
      </c>
      <c r="AW144" s="26">
        <v>20.8</v>
      </c>
      <c r="AX144" s="26">
        <v>36.799999999999997</v>
      </c>
      <c r="AY144" s="97"/>
      <c r="AZ144" s="97"/>
      <c r="BA144" s="26">
        <v>0.36</v>
      </c>
      <c r="BC144" s="26">
        <f t="shared" si="376"/>
        <v>0.64</v>
      </c>
      <c r="BD144" s="26">
        <f t="shared" si="377"/>
        <v>0.36</v>
      </c>
      <c r="BE144" s="25"/>
      <c r="BF144" s="25"/>
      <c r="BG144" s="16"/>
      <c r="BH144" s="16"/>
      <c r="BI144" s="16"/>
      <c r="BJ144" s="16"/>
      <c r="BK144" s="16"/>
      <c r="BL144" s="16"/>
      <c r="BM144" s="16"/>
      <c r="BN144" s="16"/>
      <c r="BO144" s="16"/>
      <c r="BP144" s="16"/>
      <c r="BQ144" s="16"/>
      <c r="BR144" s="16" t="e">
        <v>#DIV/0!</v>
      </c>
      <c r="BS144" s="16"/>
      <c r="BT144" s="16">
        <v>15.52</v>
      </c>
      <c r="BU144" s="16"/>
      <c r="BV144" s="16"/>
      <c r="BW144" s="16"/>
      <c r="BX144" s="16"/>
      <c r="BY144" s="16"/>
      <c r="BZ144" s="16"/>
      <c r="CA144" s="16"/>
      <c r="CB144" s="16"/>
      <c r="CC144" s="16"/>
      <c r="CD144" s="16"/>
      <c r="CE144" s="16"/>
      <c r="CF144" s="16"/>
      <c r="CG144" s="16"/>
      <c r="CH144" s="16">
        <v>0.57550000000000001</v>
      </c>
      <c r="CI144" s="16">
        <v>9.5790000000000006</v>
      </c>
      <c r="CJ144" s="16">
        <v>8.0000000000000002E-3</v>
      </c>
      <c r="CK144" s="16">
        <v>4.8000000000000001E-2</v>
      </c>
      <c r="CL144" s="16"/>
      <c r="CM144" s="16">
        <v>0.1545</v>
      </c>
      <c r="CN144" s="16"/>
      <c r="CO144" s="16"/>
      <c r="CP144" s="16"/>
      <c r="CQ144" s="16"/>
      <c r="CR144" s="16"/>
      <c r="CS144" s="16">
        <v>185.1</v>
      </c>
      <c r="CT144" s="16"/>
      <c r="CU144" s="16">
        <v>2.5140000000000002</v>
      </c>
      <c r="CV144" s="16">
        <v>1.9864999999999999</v>
      </c>
      <c r="CW144" s="16">
        <v>0.114</v>
      </c>
      <c r="CX144" s="16">
        <v>0.19700000000000001</v>
      </c>
      <c r="CY144" s="16">
        <v>8.5000000000000006E-3</v>
      </c>
      <c r="CZ144" s="16"/>
      <c r="DA144" s="16">
        <v>3.0000000000000001E-3</v>
      </c>
      <c r="DB144" s="16"/>
      <c r="DC144" s="16"/>
      <c r="DD144" s="16"/>
      <c r="DE144" s="16"/>
      <c r="DF144" s="16"/>
      <c r="DG144" s="16"/>
      <c r="DH144" s="16"/>
      <c r="DI144" s="16"/>
      <c r="DJ144" s="16"/>
      <c r="DK144" s="16">
        <v>1.2530000000000001</v>
      </c>
      <c r="DL144" s="16">
        <v>0.68799999999999994</v>
      </c>
      <c r="DM144" s="16">
        <v>6.7500000000000004E-2</v>
      </c>
      <c r="DN144" s="16">
        <v>1E-3</v>
      </c>
      <c r="DO144" s="16"/>
      <c r="DP144" s="16"/>
      <c r="DQ144" s="16"/>
      <c r="DR144" s="16"/>
      <c r="DS144" s="16"/>
      <c r="DT144" s="16"/>
      <c r="DU144" s="16"/>
      <c r="DV144" s="51">
        <v>0.70582999999999996</v>
      </c>
      <c r="DW144" s="51">
        <v>5.0000000000000002E-5</v>
      </c>
      <c r="DX144" s="51">
        <v>0.70567999999999997</v>
      </c>
      <c r="DY144" s="45">
        <v>0</v>
      </c>
      <c r="DZ144" s="52">
        <v>17.600000000000001</v>
      </c>
      <c r="EA144" s="27"/>
      <c r="EB144" s="27"/>
      <c r="EC144" s="27"/>
      <c r="ED144" s="27"/>
      <c r="EE144" s="27"/>
      <c r="EF144" s="27"/>
      <c r="EG144" s="27"/>
      <c r="EH144" s="27"/>
      <c r="EI144" s="27"/>
      <c r="EJ144" s="16"/>
      <c r="EK144" s="18"/>
      <c r="EL144" s="18">
        <f>IFERROR(CR144/'McDonough &amp; Sun 1995 values'!C$2,)</f>
        <v>0</v>
      </c>
      <c r="EM144" s="18">
        <f>IFERROR(CH144/'McDonough &amp; Sun 1995 values'!D$2,)</f>
        <v>0.95916666666666672</v>
      </c>
      <c r="EN144" s="18">
        <f>IFERROR(CS144/'McDonough &amp; Sun 1995 values'!E$2,)</f>
        <v>28.045454545454547</v>
      </c>
      <c r="EO144" s="18">
        <f>IFERROR(DL144/'McDonough &amp; Sun 1995 values'!F$2,)</f>
        <v>8.6540880503144653</v>
      </c>
      <c r="EP144" s="18">
        <f>IFERROR(DM144/'McDonough &amp; Sun 1995 values'!G$2,)</f>
        <v>3.3251231527093599</v>
      </c>
      <c r="EQ144" s="18">
        <f>IFERROR(BR144/'McDonough &amp; Sun 1995 values'!H$2,)</f>
        <v>0</v>
      </c>
      <c r="ER144" s="18">
        <f>IFERROR(DI144/'McDonough &amp; Sun 1995 values'!I$2,)</f>
        <v>0</v>
      </c>
      <c r="ES144" s="18">
        <f>IFERROR(CM144/'McDonough &amp; Sun 1995 values'!J$2,)</f>
        <v>0.23480243161094225</v>
      </c>
      <c r="ET144" s="18">
        <f>IFERROR(CU144/'McDonough &amp; Sun 1995 values'!K$2,)</f>
        <v>3.8796296296296298</v>
      </c>
      <c r="EU144" s="18">
        <f>IFERROR(CV144/'McDonough &amp; Sun 1995 values'!L$2,)</f>
        <v>1.1859701492537313</v>
      </c>
      <c r="EV144" s="18">
        <f>IFERROR(CW144/'McDonough &amp; Sun 1995 values'!M$2,)</f>
        <v>0.44881889763779531</v>
      </c>
      <c r="EW144" s="18">
        <f>IFERROR(CI144/'McDonough &amp; Sun 1995 values'!N$2,)</f>
        <v>0.48135678391959807</v>
      </c>
      <c r="EX144" s="18">
        <f>IFERROR(CX144/'McDonough &amp; Sun 1995 values'!O$2,)</f>
        <v>0.15760000000000002</v>
      </c>
      <c r="EY144" s="18">
        <f>IFERROR(CY144/'McDonough &amp; Sun 1995 values'!P$2,)</f>
        <v>2.0935960591133004E-2</v>
      </c>
      <c r="EZ144" s="18">
        <f>IFERROR(DH144/'McDonough &amp; Sun 1995 values'!Q$2,)</f>
        <v>0</v>
      </c>
      <c r="FA144" s="18">
        <f>IFERROR(CK144/'McDonough &amp; Sun 1995 values'!R$2,)</f>
        <v>4.5714285714285718E-3</v>
      </c>
      <c r="FB144" s="18">
        <f>IFERROR(CZ144/'McDonough &amp; Sun 1995 values'!S$2,)</f>
        <v>0</v>
      </c>
      <c r="FC144" s="18">
        <f>IFERROR(BT144/'McDonough &amp; Sun 1995 values'!T$2,)</f>
        <v>1.2879668049792532E-2</v>
      </c>
      <c r="FD144" s="18">
        <f>IFERROR(DA144/'McDonough &amp; Sun 1995 values'!U$2,)</f>
        <v>5.5147058823529407E-3</v>
      </c>
      <c r="FE144" s="18">
        <f>IFERROR(DN144/'McDonough &amp; Sun 1995 values'!V$2,)</f>
        <v>1.01010101010101E-2</v>
      </c>
      <c r="FF144" s="18">
        <f>IFERROR(DB144/'McDonough &amp; Sun 1995 values'!W$2,)</f>
        <v>0</v>
      </c>
      <c r="FG144" s="18">
        <f>IFERROR(CJ144/'McDonough &amp; Sun 1995 values'!X$2,)</f>
        <v>1.8604651162790699E-3</v>
      </c>
      <c r="FH144" s="18">
        <f>IFERROR(DC144/'McDonough &amp; Sun 1995 values'!Y$2,)</f>
        <v>0</v>
      </c>
      <c r="FI144" s="18">
        <f>IFERROR(DD144/'McDonough &amp; Sun 1995 values'!Z$2,)</f>
        <v>0</v>
      </c>
      <c r="FJ144" s="18">
        <f>IFERROR(DE144/'McDonough &amp; Sun 1995 values'!AA$2,)</f>
        <v>0</v>
      </c>
      <c r="FK144" s="18">
        <f>IFERROR(DF144/'McDonough &amp; Sun 1995 values'!AB$2,)</f>
        <v>0</v>
      </c>
      <c r="FL144" s="18">
        <f>IFERROR(DG144/'McDonough &amp; Sun 1995 values'!AC$2,)</f>
        <v>0</v>
      </c>
      <c r="FM144" s="16"/>
      <c r="FN144" s="28">
        <f t="shared" si="299"/>
        <v>0</v>
      </c>
      <c r="FO144" s="4">
        <f t="shared" si="309"/>
        <v>8.4344107744107735</v>
      </c>
      <c r="FP144" s="4">
        <f t="shared" si="310"/>
        <v>36.85689279680853</v>
      </c>
      <c r="FQ144" s="4">
        <f t="shared" si="311"/>
        <v>2.6026368506871651</v>
      </c>
      <c r="FR144" s="4">
        <f t="shared" si="312"/>
        <v>16.522953374086061</v>
      </c>
      <c r="FS144" s="4">
        <f t="shared" si="313"/>
        <v>0</v>
      </c>
      <c r="FT144" s="4">
        <f t="shared" si="314"/>
        <v>0</v>
      </c>
      <c r="FU144" s="4">
        <f t="shared" si="315"/>
        <v>0</v>
      </c>
      <c r="FV144" s="4">
        <f t="shared" si="316"/>
        <v>0.21835294117647061</v>
      </c>
      <c r="FW144" s="4">
        <f t="shared" si="317"/>
        <v>0</v>
      </c>
      <c r="FX144" s="4">
        <f t="shared" si="318"/>
        <v>0</v>
      </c>
      <c r="FY144" s="4">
        <f t="shared" si="319"/>
        <v>1.8098951777610237</v>
      </c>
      <c r="FZ144" s="4">
        <f t="shared" si="320"/>
        <v>0</v>
      </c>
      <c r="GA144" s="4">
        <f t="shared" si="321"/>
        <v>1.0724966939962974</v>
      </c>
      <c r="GB144" s="4">
        <f t="shared" si="322"/>
        <v>0</v>
      </c>
      <c r="GC144" s="4">
        <f t="shared" si="323"/>
        <v>0</v>
      </c>
      <c r="GD144" s="4">
        <f t="shared" si="324"/>
        <v>3.240717494714588</v>
      </c>
      <c r="GE144" s="4">
        <f t="shared" si="325"/>
        <v>29.239396572150699</v>
      </c>
      <c r="GF144" s="4">
        <f t="shared" si="326"/>
        <v>0</v>
      </c>
      <c r="GG144" s="4">
        <f t="shared" si="327"/>
        <v>119.44277728743749</v>
      </c>
      <c r="GH144" s="4">
        <f t="shared" si="328"/>
        <v>8.644087069525666</v>
      </c>
      <c r="GI144" s="4">
        <f t="shared" si="329"/>
        <v>185.30936819172115</v>
      </c>
      <c r="GJ144" s="4">
        <f t="shared" si="330"/>
        <v>0</v>
      </c>
      <c r="GK144" s="4">
        <f t="shared" si="331"/>
        <v>0</v>
      </c>
      <c r="GL144" s="4">
        <f t="shared" si="332"/>
        <v>0.3549337260677467</v>
      </c>
      <c r="GM144" s="4">
        <f t="shared" si="333"/>
        <v>9.0225070898152548</v>
      </c>
      <c r="GN144" s="4">
        <f t="shared" si="334"/>
        <v>6.0521867813798952E-2</v>
      </c>
      <c r="GO144" s="4">
        <f t="shared" si="335"/>
        <v>7.0614657210401888E-2</v>
      </c>
      <c r="GP144" s="4">
        <f t="shared" si="336"/>
        <v>0</v>
      </c>
      <c r="GQ144" s="27">
        <f t="shared" si="337"/>
        <v>229446.93603805645</v>
      </c>
      <c r="GR144" s="28" t="str">
        <f t="shared" si="338"/>
        <v/>
      </c>
      <c r="GS144" s="28" t="str">
        <f t="shared" si="339"/>
        <v/>
      </c>
      <c r="GT144" s="28" t="str">
        <f t="shared" si="340"/>
        <v/>
      </c>
      <c r="GU144" s="28" t="str">
        <f t="shared" si="341"/>
        <v/>
      </c>
      <c r="GV144" s="28" t="str">
        <f t="shared" si="342"/>
        <v/>
      </c>
      <c r="GW144" s="28" t="str">
        <f t="shared" si="343"/>
        <v/>
      </c>
      <c r="GX144" s="28" t="str">
        <f t="shared" si="344"/>
        <v/>
      </c>
      <c r="GY144" s="28" t="str">
        <f t="shared" si="345"/>
        <v/>
      </c>
      <c r="GZ144" s="28" t="str">
        <f t="shared" si="346"/>
        <v/>
      </c>
      <c r="HA144" s="28" t="str">
        <f t="shared" si="347"/>
        <v/>
      </c>
      <c r="HB144" s="28" t="str">
        <f t="shared" si="348"/>
        <v/>
      </c>
      <c r="HC144" s="28" t="str">
        <f t="shared" si="349"/>
        <v/>
      </c>
      <c r="HD144" s="28" t="str">
        <f t="shared" si="350"/>
        <v/>
      </c>
      <c r="HE144" s="28" t="str">
        <f t="shared" si="351"/>
        <v/>
      </c>
      <c r="HF144" s="28" t="str">
        <f t="shared" si="352"/>
        <v/>
      </c>
      <c r="HG144" s="28" t="str">
        <f t="shared" si="353"/>
        <v/>
      </c>
      <c r="HH144" s="28" t="str">
        <f t="shared" si="354"/>
        <v/>
      </c>
      <c r="HI144" s="28" t="str">
        <f t="shared" si="355"/>
        <v/>
      </c>
      <c r="HJ144" s="28" t="str">
        <f t="shared" si="356"/>
        <v/>
      </c>
      <c r="HK144" s="28" t="str">
        <f t="shared" si="357"/>
        <v/>
      </c>
      <c r="HL144" s="28" t="str">
        <f t="shared" si="358"/>
        <v/>
      </c>
      <c r="HM144" s="28" t="str">
        <f t="shared" si="359"/>
        <v/>
      </c>
      <c r="HN144" s="28" t="str">
        <f t="shared" si="360"/>
        <v/>
      </c>
      <c r="HO144" s="28" t="str">
        <f t="shared" si="361"/>
        <v/>
      </c>
      <c r="HP144" s="28" t="str">
        <f t="shared" si="362"/>
        <v/>
      </c>
      <c r="HQ144" s="28" t="str">
        <f t="shared" si="363"/>
        <v/>
      </c>
      <c r="HR144" s="28" t="str">
        <f t="shared" si="364"/>
        <v/>
      </c>
      <c r="HT144" s="4">
        <f>IFERROR(GR144/'McDonough &amp; Sun 1995 values'!C$2,)</f>
        <v>0</v>
      </c>
      <c r="HU144" s="4">
        <f>IFERROR(GS144/'McDonough &amp; Sun 1995 values'!D$2,)</f>
        <v>0</v>
      </c>
      <c r="HV144" s="4">
        <f>IFERROR(GT144/'McDonough &amp; Sun 1995 values'!E$2,)</f>
        <v>0</v>
      </c>
      <c r="HW144" s="4">
        <f>IFERROR(GU144/'McDonough &amp; Sun 1995 values'!F$2,)</f>
        <v>0</v>
      </c>
      <c r="HX144" s="4">
        <f>IFERROR(GV144/'McDonough &amp; Sun 1995 values'!G$2,)</f>
        <v>0</v>
      </c>
      <c r="HY144" s="4">
        <f>IFERROR(GW144/'McDonough &amp; Sun 1995 values'!H$2,)</f>
        <v>0</v>
      </c>
      <c r="HZ144" s="4">
        <f>IFERROR(GX144/'McDonough &amp; Sun 1995 values'!I$2,)</f>
        <v>0</v>
      </c>
      <c r="IA144" s="4">
        <f>IFERROR(GY144/'McDonough &amp; Sun 1995 values'!J$2,)</f>
        <v>0</v>
      </c>
      <c r="IB144" s="4">
        <f>IFERROR(GZ144/'McDonough &amp; Sun 1995 values'!K$2,)</f>
        <v>0</v>
      </c>
      <c r="IC144" s="4">
        <f>IFERROR(HA144/'McDonough &amp; Sun 1995 values'!L$2,)</f>
        <v>0</v>
      </c>
      <c r="ID144" s="4">
        <f>IFERROR(HB144/'McDonough &amp; Sun 1995 values'!M$2,)</f>
        <v>0</v>
      </c>
      <c r="IE144" s="4">
        <f>IFERROR(HC144/'McDonough &amp; Sun 1995 values'!N$2,)</f>
        <v>0</v>
      </c>
      <c r="IF144" s="4">
        <f>IFERROR(HD144/'McDonough &amp; Sun 1995 values'!O$2,)</f>
        <v>0</v>
      </c>
      <c r="IG144" s="4">
        <f>IFERROR(HE144/'McDonough &amp; Sun 1995 values'!P$2,)</f>
        <v>0</v>
      </c>
      <c r="IH144" s="4">
        <f>IFERROR(HF144/'McDonough &amp; Sun 1995 values'!Q$2,)</f>
        <v>0</v>
      </c>
      <c r="II144" s="4">
        <f>IFERROR(HG144/'McDonough &amp; Sun 1995 values'!R$2,)</f>
        <v>0</v>
      </c>
      <c r="IJ144" s="4">
        <f>IFERROR(HH144/'McDonough &amp; Sun 1995 values'!S$2,)</f>
        <v>0</v>
      </c>
      <c r="IK144" s="4">
        <f>IFERROR(HI144/'McDonough &amp; Sun 1995 values'!T$2,)</f>
        <v>0</v>
      </c>
      <c r="IL144" s="4">
        <f>IFERROR(HJ144/'McDonough &amp; Sun 1995 values'!U$2,)</f>
        <v>0</v>
      </c>
      <c r="IM144" s="4">
        <f>IFERROR(HK144/'McDonough &amp; Sun 1995 values'!V$2,)</f>
        <v>0</v>
      </c>
      <c r="IN144" s="4">
        <f>IFERROR(HL144/'McDonough &amp; Sun 1995 values'!W$2,)</f>
        <v>0</v>
      </c>
      <c r="IO144" s="4">
        <f>IFERROR(HM144/'McDonough &amp; Sun 1995 values'!X$2,)</f>
        <v>0</v>
      </c>
      <c r="IP144" s="4">
        <f>IFERROR(HN144/'McDonough &amp; Sun 1995 values'!Y$2,)</f>
        <v>0</v>
      </c>
      <c r="IQ144" s="4">
        <f>IFERROR(HO144/'McDonough &amp; Sun 1995 values'!Z$2,)</f>
        <v>0</v>
      </c>
      <c r="IR144" s="4">
        <f>IFERROR(HP144/'McDonough &amp; Sun 1995 values'!AA$2,)</f>
        <v>0</v>
      </c>
      <c r="IS144" s="4">
        <f>IFERROR(HQ144/'McDonough &amp; Sun 1995 values'!AB$2,)</f>
        <v>0</v>
      </c>
      <c r="IT144" s="4">
        <f>IFERROR(HR144/'McDonough &amp; Sun 1995 values'!AC$2,)</f>
        <v>0</v>
      </c>
    </row>
    <row r="145" spans="1:254">
      <c r="A145" s="16" t="s">
        <v>1176</v>
      </c>
      <c r="B145" s="16" t="s">
        <v>24</v>
      </c>
      <c r="C145" s="16" t="str">
        <f t="shared" si="304"/>
        <v>saline</v>
      </c>
      <c r="D145" s="16" t="s">
        <v>119</v>
      </c>
      <c r="E145" s="16" t="s">
        <v>171</v>
      </c>
      <c r="F145" s="16" t="s">
        <v>45</v>
      </c>
      <c r="G145" s="16" t="s">
        <v>595</v>
      </c>
      <c r="H145" s="27">
        <v>55</v>
      </c>
      <c r="I145" s="16" t="s">
        <v>712</v>
      </c>
      <c r="J145" s="16" t="s">
        <v>635</v>
      </c>
      <c r="K145" s="16" t="s">
        <v>802</v>
      </c>
      <c r="L145" s="16" t="s">
        <v>1725</v>
      </c>
      <c r="M145" s="16" t="s">
        <v>124</v>
      </c>
      <c r="N145" s="16">
        <v>19</v>
      </c>
      <c r="O145" s="26">
        <v>5.2</v>
      </c>
      <c r="P145" s="26">
        <v>0.6</v>
      </c>
      <c r="Q145" s="26"/>
      <c r="R145" s="26">
        <v>0.7</v>
      </c>
      <c r="S145" s="26">
        <v>5.9</v>
      </c>
      <c r="T145" s="26">
        <v>4.5</v>
      </c>
      <c r="U145" s="26"/>
      <c r="V145" s="26">
        <v>6.4</v>
      </c>
      <c r="W145" s="26">
        <v>11.8</v>
      </c>
      <c r="X145" s="26">
        <v>24.7</v>
      </c>
      <c r="Y145" s="26"/>
      <c r="Z145" s="26">
        <v>1</v>
      </c>
      <c r="AA145" s="26">
        <v>1.7</v>
      </c>
      <c r="AB145" s="26">
        <v>13.4</v>
      </c>
      <c r="AC145" s="26"/>
      <c r="AD145" s="26">
        <v>30.7</v>
      </c>
      <c r="AE145" s="26"/>
      <c r="AF145" s="26"/>
      <c r="AG145" s="26"/>
      <c r="AH145" s="26"/>
      <c r="AI145" s="26"/>
      <c r="AJ145" s="26">
        <f t="shared" si="305"/>
        <v>104.9</v>
      </c>
      <c r="AK145" s="26">
        <f t="shared" si="365"/>
        <v>5.3076425849492024</v>
      </c>
      <c r="AL145" s="26">
        <f t="shared" si="366"/>
        <v>0.61242029826336941</v>
      </c>
      <c r="AM145" s="26">
        <f t="shared" si="367"/>
        <v>0.71449034797393096</v>
      </c>
      <c r="AN145" s="26">
        <f t="shared" si="368"/>
        <v>6.0221329329231335</v>
      </c>
      <c r="AO145" s="26">
        <f t="shared" si="369"/>
        <v>4.5931522369752713</v>
      </c>
      <c r="AP145" s="26">
        <f t="shared" si="370"/>
        <v>6.532483181475941</v>
      </c>
      <c r="AQ145" s="26">
        <f t="shared" si="371"/>
        <v>13.677386661215252</v>
      </c>
      <c r="AR145" s="26">
        <f t="shared" si="372"/>
        <v>12.044265865846267</v>
      </c>
      <c r="AS145" s="26">
        <f t="shared" si="373"/>
        <v>25.211302278508708</v>
      </c>
      <c r="AT145" s="26">
        <f t="shared" si="374"/>
        <v>1.0207004971056157</v>
      </c>
      <c r="AU145" s="26">
        <f t="shared" si="375"/>
        <v>31.335505261142405</v>
      </c>
      <c r="AV145" s="26">
        <f t="shared" si="306"/>
        <v>107.0714821463791</v>
      </c>
      <c r="AW145" s="26">
        <v>13.9</v>
      </c>
      <c r="AX145" s="26">
        <v>92.3</v>
      </c>
      <c r="AY145" s="97"/>
      <c r="AZ145" s="97"/>
      <c r="BA145" s="26">
        <v>0.13</v>
      </c>
      <c r="BC145" s="26">
        <f t="shared" si="376"/>
        <v>0.87</v>
      </c>
      <c r="BD145" s="26">
        <f t="shared" si="377"/>
        <v>0.13</v>
      </c>
      <c r="BE145" s="25"/>
      <c r="BF145" s="25"/>
      <c r="BG145" s="16"/>
      <c r="BH145" s="16"/>
      <c r="BI145" s="16"/>
      <c r="BJ145" s="16"/>
      <c r="BK145" s="18"/>
      <c r="BL145" s="18"/>
      <c r="BM145" s="18"/>
      <c r="BN145" s="18"/>
      <c r="BO145" s="18"/>
      <c r="BP145" s="18"/>
      <c r="BQ145" s="18"/>
      <c r="BR145" s="18">
        <v>502</v>
      </c>
      <c r="BS145" s="18"/>
      <c r="BT145" s="18"/>
      <c r="BU145" s="18"/>
      <c r="BV145" s="18"/>
      <c r="BW145" s="18"/>
      <c r="BX145" s="18"/>
      <c r="BY145" s="18"/>
      <c r="BZ145" s="18"/>
      <c r="CA145" s="18"/>
      <c r="CB145" s="18"/>
      <c r="CC145" s="18"/>
      <c r="CD145" s="18"/>
      <c r="CE145" s="18"/>
      <c r="CF145" s="18"/>
      <c r="CG145" s="18"/>
      <c r="CH145" s="18">
        <v>0.69</v>
      </c>
      <c r="CI145" s="18">
        <v>7.7</v>
      </c>
      <c r="CJ145" s="18">
        <v>3.0000000000000001E-3</v>
      </c>
      <c r="CK145" s="18">
        <v>4.4999999999999998E-2</v>
      </c>
      <c r="CL145" s="18"/>
      <c r="CM145" s="18">
        <v>0.33</v>
      </c>
      <c r="CN145" s="18"/>
      <c r="CO145" s="18"/>
      <c r="CP145" s="18"/>
      <c r="CQ145" s="18"/>
      <c r="CR145" s="18">
        <v>5.3999999999999999E-2</v>
      </c>
      <c r="CS145" s="18">
        <v>299</v>
      </c>
      <c r="CT145" s="18"/>
      <c r="CU145" s="18">
        <v>3.1</v>
      </c>
      <c r="CV145" s="18">
        <v>2.1</v>
      </c>
      <c r="CW145" s="18">
        <v>0.13</v>
      </c>
      <c r="CX145" s="18">
        <v>0.33</v>
      </c>
      <c r="CY145" s="18"/>
      <c r="CZ145" s="18"/>
      <c r="DA145" s="18"/>
      <c r="DB145" s="18"/>
      <c r="DC145" s="18"/>
      <c r="DD145" s="18"/>
      <c r="DE145" s="18"/>
      <c r="DF145" s="18"/>
      <c r="DG145" s="18"/>
      <c r="DH145" s="18"/>
      <c r="DI145" s="18">
        <v>3.2000000000000001E-2</v>
      </c>
      <c r="DJ145" s="18"/>
      <c r="DK145" s="18"/>
      <c r="DL145" s="18">
        <v>1.36</v>
      </c>
      <c r="DM145" s="18">
        <v>0.104</v>
      </c>
      <c r="DN145" s="18"/>
      <c r="DO145" s="18"/>
      <c r="DP145" s="18"/>
      <c r="DQ145" s="18"/>
      <c r="DR145" s="18"/>
      <c r="DS145" s="18"/>
      <c r="DT145" s="18"/>
      <c r="DU145" s="18"/>
      <c r="DV145" s="28"/>
      <c r="DW145" s="28"/>
      <c r="DX145" s="28"/>
      <c r="DY145" s="28"/>
      <c r="DZ145" s="28"/>
      <c r="EA145" s="28"/>
      <c r="EB145" s="28"/>
      <c r="EC145" s="28"/>
      <c r="ED145" s="28"/>
      <c r="EE145" s="28"/>
      <c r="EF145" s="28"/>
      <c r="EG145" s="28"/>
      <c r="EH145" s="28"/>
      <c r="EI145" s="28"/>
      <c r="EJ145" s="18"/>
      <c r="EK145" s="18"/>
      <c r="EL145" s="18">
        <f>IFERROR(CR145/'McDonough &amp; Sun 1995 values'!C$2,)</f>
        <v>2.5714285714285712</v>
      </c>
      <c r="EM145" s="18">
        <f>IFERROR(CH145/'McDonough &amp; Sun 1995 values'!D$2,)</f>
        <v>1.1499999999999999</v>
      </c>
      <c r="EN145" s="18">
        <f>IFERROR(CS145/'McDonough &amp; Sun 1995 values'!E$2,)</f>
        <v>45.303030303030305</v>
      </c>
      <c r="EO145" s="18">
        <f>IFERROR(DL145/'McDonough &amp; Sun 1995 values'!F$2,)</f>
        <v>17.10691823899371</v>
      </c>
      <c r="EP145" s="18">
        <f>IFERROR(DM145/'McDonough &amp; Sun 1995 values'!G$2,)</f>
        <v>5.1231527093596059</v>
      </c>
      <c r="EQ145" s="18">
        <f>IFERROR(BR145/'McDonough &amp; Sun 1995 values'!H$2,)</f>
        <v>2.0916666666666668</v>
      </c>
      <c r="ER145" s="18">
        <f>IFERROR(DI145/'McDonough &amp; Sun 1995 values'!I$2,)</f>
        <v>0.86486486486486491</v>
      </c>
      <c r="ES145" s="18">
        <f>IFERROR(CM145/'McDonough &amp; Sun 1995 values'!J$2,)</f>
        <v>0.50151975683890582</v>
      </c>
      <c r="ET145" s="18">
        <f>IFERROR(CU145/'McDonough &amp; Sun 1995 values'!K$2,)</f>
        <v>4.783950617283951</v>
      </c>
      <c r="EU145" s="18">
        <f>IFERROR(CV145/'McDonough &amp; Sun 1995 values'!L$2,)</f>
        <v>1.2537313432835822</v>
      </c>
      <c r="EV145" s="18">
        <f>IFERROR(CW145/'McDonough &amp; Sun 1995 values'!M$2,)</f>
        <v>0.51181102362204722</v>
      </c>
      <c r="EW145" s="18">
        <f>IFERROR(CI145/'McDonough &amp; Sun 1995 values'!N$2,)</f>
        <v>0.38693467336683418</v>
      </c>
      <c r="EX145" s="18">
        <f>IFERROR(CX145/'McDonough &amp; Sun 1995 values'!O$2,)</f>
        <v>0.26400000000000001</v>
      </c>
      <c r="EY145" s="18">
        <f>IFERROR(CY145/'McDonough &amp; Sun 1995 values'!P$2,)</f>
        <v>0</v>
      </c>
      <c r="EZ145" s="18">
        <f>IFERROR(DH145/'McDonough &amp; Sun 1995 values'!Q$2,)</f>
        <v>0</v>
      </c>
      <c r="FA145" s="18">
        <f>IFERROR(CK145/'McDonough &amp; Sun 1995 values'!R$2,)</f>
        <v>4.2857142857142859E-3</v>
      </c>
      <c r="FB145" s="18">
        <f>IFERROR(CZ145/'McDonough &amp; Sun 1995 values'!S$2,)</f>
        <v>0</v>
      </c>
      <c r="FC145" s="18">
        <f>IFERROR(BT145/'McDonough &amp; Sun 1995 values'!T$2,)</f>
        <v>0</v>
      </c>
      <c r="FD145" s="18">
        <f>IFERROR(DA145/'McDonough &amp; Sun 1995 values'!U$2,)</f>
        <v>0</v>
      </c>
      <c r="FE145" s="18">
        <f>IFERROR(DN145/'McDonough &amp; Sun 1995 values'!V$2,)</f>
        <v>0</v>
      </c>
      <c r="FF145" s="18">
        <f>IFERROR(DB145/'McDonough &amp; Sun 1995 values'!W$2,)</f>
        <v>0</v>
      </c>
      <c r="FG145" s="18">
        <f>IFERROR(CJ145/'McDonough &amp; Sun 1995 values'!X$2,)</f>
        <v>6.9767441860465117E-4</v>
      </c>
      <c r="FH145" s="18">
        <f>IFERROR(DC145/'McDonough &amp; Sun 1995 values'!Y$2,)</f>
        <v>0</v>
      </c>
      <c r="FI145" s="18">
        <f>IFERROR(DD145/'McDonough &amp; Sun 1995 values'!Z$2,)</f>
        <v>0</v>
      </c>
      <c r="FJ145" s="18">
        <f>IFERROR(DE145/'McDonough &amp; Sun 1995 values'!AA$2,)</f>
        <v>0</v>
      </c>
      <c r="FK145" s="18">
        <f>IFERROR(DF145/'McDonough &amp; Sun 1995 values'!AB$2,)</f>
        <v>0</v>
      </c>
      <c r="FL145" s="18">
        <f>IFERROR(DG145/'McDonough &amp; Sun 1995 values'!AC$2,)</f>
        <v>0</v>
      </c>
      <c r="FN145" s="28">
        <f t="shared" si="299"/>
        <v>2.4493160363472217</v>
      </c>
      <c r="FO145" s="4">
        <f t="shared" si="309"/>
        <v>8.8428030303030312</v>
      </c>
      <c r="FP145" s="4">
        <f t="shared" si="310"/>
        <v>34.110158185629878</v>
      </c>
      <c r="FQ145" s="4">
        <f t="shared" si="311"/>
        <v>3.3391388485728108</v>
      </c>
      <c r="FR145" s="4">
        <f t="shared" si="312"/>
        <v>9.5389075944631507</v>
      </c>
      <c r="FS145" s="4">
        <f t="shared" si="313"/>
        <v>5.5314429012345681</v>
      </c>
      <c r="FT145" s="4">
        <f t="shared" si="314"/>
        <v>0.44722222222222224</v>
      </c>
      <c r="FU145" s="4">
        <f t="shared" si="315"/>
        <v>1.7244881244881245</v>
      </c>
      <c r="FV145" s="4">
        <f t="shared" si="316"/>
        <v>0</v>
      </c>
      <c r="FW145" s="4">
        <f t="shared" si="317"/>
        <v>0</v>
      </c>
      <c r="FX145" s="4">
        <f t="shared" si="318"/>
        <v>0</v>
      </c>
      <c r="FY145" s="4">
        <f t="shared" si="319"/>
        <v>1.0526424199937503</v>
      </c>
      <c r="FZ145" s="4">
        <f t="shared" si="320"/>
        <v>0</v>
      </c>
      <c r="GA145" s="4">
        <f t="shared" si="321"/>
        <v>0.7560108233475068</v>
      </c>
      <c r="GB145" s="4">
        <f t="shared" si="322"/>
        <v>0</v>
      </c>
      <c r="GC145" s="4">
        <f t="shared" si="323"/>
        <v>2.2360248447204967</v>
      </c>
      <c r="GD145" s="4">
        <f t="shared" si="324"/>
        <v>2.6482286096256686</v>
      </c>
      <c r="GE145" s="4">
        <f t="shared" si="325"/>
        <v>39.393939393939398</v>
      </c>
      <c r="GF145" s="4">
        <f t="shared" si="326"/>
        <v>21.65881926838102</v>
      </c>
      <c r="GG145" s="4">
        <f t="shared" si="327"/>
        <v>90.331496786042237</v>
      </c>
      <c r="GH145" s="4">
        <f t="shared" si="328"/>
        <v>9.3471035137701808</v>
      </c>
      <c r="GI145" s="4">
        <f t="shared" si="329"/>
        <v>0</v>
      </c>
      <c r="GJ145" s="4">
        <f t="shared" si="330"/>
        <v>0</v>
      </c>
      <c r="GK145" s="4">
        <f t="shared" si="331"/>
        <v>0</v>
      </c>
      <c r="GL145" s="4">
        <f t="shared" si="332"/>
        <v>0</v>
      </c>
      <c r="GM145" s="4">
        <f t="shared" si="333"/>
        <v>14.875581077385837</v>
      </c>
      <c r="GN145" s="4">
        <f t="shared" si="334"/>
        <v>0.10483380723600354</v>
      </c>
      <c r="GO145" s="4">
        <f t="shared" si="335"/>
        <v>9.7892798690671037E-2</v>
      </c>
      <c r="GP145" s="4">
        <f t="shared" si="336"/>
        <v>0.4082772435897436</v>
      </c>
      <c r="GQ145" s="27">
        <f t="shared" si="337"/>
        <v>209288.42521715318</v>
      </c>
      <c r="GR145" s="28">
        <f t="shared" si="338"/>
        <v>22.513097533319268</v>
      </c>
      <c r="GS145" s="28">
        <f t="shared" si="339"/>
        <v>287.66735737019059</v>
      </c>
      <c r="GT145" s="28">
        <f t="shared" si="340"/>
        <v>124655.85486041594</v>
      </c>
      <c r="GU145" s="28">
        <f t="shared" si="341"/>
        <v>566.99653046878166</v>
      </c>
      <c r="GV145" s="28">
        <f t="shared" si="342"/>
        <v>43.358558212318592</v>
      </c>
      <c r="GW145" s="28">
        <f t="shared" si="343"/>
        <v>209288.42521715318</v>
      </c>
      <c r="GX145" s="28">
        <f t="shared" si="344"/>
        <v>13.341094834559566</v>
      </c>
      <c r="GY145" s="28">
        <f t="shared" si="345"/>
        <v>137.58004048139551</v>
      </c>
      <c r="GZ145" s="28">
        <f t="shared" si="346"/>
        <v>1292.4185620979579</v>
      </c>
      <c r="HA145" s="28">
        <f t="shared" si="347"/>
        <v>875.50934851797149</v>
      </c>
      <c r="HB145" s="28">
        <f t="shared" si="348"/>
        <v>54.198197765398234</v>
      </c>
      <c r="HC145" s="28">
        <f t="shared" si="349"/>
        <v>3210.2009445658955</v>
      </c>
      <c r="HD145" s="28">
        <f t="shared" si="350"/>
        <v>137.58004048139551</v>
      </c>
      <c r="HE145" s="28">
        <f t="shared" si="351"/>
        <v>0</v>
      </c>
      <c r="HF145" s="28">
        <f t="shared" si="352"/>
        <v>0</v>
      </c>
      <c r="HG145" s="28">
        <f t="shared" si="353"/>
        <v>18.760914611099391</v>
      </c>
      <c r="HH145" s="28">
        <f t="shared" si="354"/>
        <v>0</v>
      </c>
      <c r="HI145" s="28">
        <f t="shared" si="355"/>
        <v>0</v>
      </c>
      <c r="HJ145" s="28">
        <f t="shared" si="356"/>
        <v>0</v>
      </c>
      <c r="HK145" s="28">
        <f t="shared" si="357"/>
        <v>0</v>
      </c>
      <c r="HL145" s="28">
        <f t="shared" si="358"/>
        <v>0</v>
      </c>
      <c r="HM145" s="28">
        <f t="shared" si="359"/>
        <v>1.2507276407399595</v>
      </c>
      <c r="HN145" s="28">
        <f t="shared" si="360"/>
        <v>0</v>
      </c>
      <c r="HO145" s="28">
        <f t="shared" si="361"/>
        <v>0</v>
      </c>
      <c r="HP145" s="28">
        <f t="shared" si="362"/>
        <v>0</v>
      </c>
      <c r="HQ145" s="28">
        <f t="shared" si="363"/>
        <v>0</v>
      </c>
      <c r="HR145" s="28">
        <f t="shared" si="364"/>
        <v>0</v>
      </c>
      <c r="HT145" s="4">
        <f>IFERROR(GR145/'McDonough &amp; Sun 1995 values'!C$2,)</f>
        <v>1072.0522634913937</v>
      </c>
      <c r="HU145" s="4">
        <f>IFERROR(GS145/'McDonough &amp; Sun 1995 values'!D$2,)</f>
        <v>479.44559561698435</v>
      </c>
      <c r="HV145" s="4">
        <f>IFERROR(GT145/'McDonough &amp; Sun 1995 values'!E$2,)</f>
        <v>18887.25073642666</v>
      </c>
      <c r="HW145" s="4">
        <f>IFERROR(GU145/'McDonough &amp; Sun 1995 values'!F$2,)</f>
        <v>7132.0318297959957</v>
      </c>
      <c r="HX145" s="4">
        <f>IFERROR(GV145/'McDonough &amp; Sun 1995 values'!G$2,)</f>
        <v>2135.8895671092905</v>
      </c>
      <c r="HY145" s="4">
        <f>IFERROR(GW145/'McDonough &amp; Sun 1995 values'!H$2,)</f>
        <v>872.03510507147155</v>
      </c>
      <c r="HZ145" s="4">
        <f>IFERROR(GX145/'McDonough &amp; Sun 1995 values'!I$2,)</f>
        <v>360.57013066377209</v>
      </c>
      <c r="IA145" s="4">
        <f>IFERROR(GY145/'McDonough &amp; Sun 1995 values'!J$2,)</f>
        <v>209.08820741853421</v>
      </c>
      <c r="IB145" s="4">
        <f>IFERROR(GZ145/'McDonough &amp; Sun 1995 values'!K$2,)</f>
        <v>1994.4730896573424</v>
      </c>
      <c r="IC145" s="4">
        <f>IFERROR(HA145/'McDonough &amp; Sun 1995 values'!L$2,)</f>
        <v>522.69214836893821</v>
      </c>
      <c r="ID145" s="4">
        <f>IFERROR(HB145/'McDonough &amp; Sun 1995 values'!M$2,)</f>
        <v>213.37873135983557</v>
      </c>
      <c r="IE145" s="4">
        <f>IFERROR(HC145/'McDonough &amp; Sun 1995 values'!N$2,)</f>
        <v>161.31663038019576</v>
      </c>
      <c r="IF145" s="4">
        <f>IFERROR(HD145/'McDonough &amp; Sun 1995 values'!O$2,)</f>
        <v>110.06403238511641</v>
      </c>
      <c r="IG145" s="4">
        <f>IFERROR(HE145/'McDonough &amp; Sun 1995 values'!P$2,)</f>
        <v>0</v>
      </c>
      <c r="IH145" s="4">
        <f>IFERROR(HF145/'McDonough &amp; Sun 1995 values'!Q$2,)</f>
        <v>0</v>
      </c>
      <c r="II145" s="4">
        <f>IFERROR(HG145/'McDonough &amp; Sun 1995 values'!R$2,)</f>
        <v>1.7867537724856564</v>
      </c>
      <c r="IJ145" s="4">
        <f>IFERROR(HH145/'McDonough &amp; Sun 1995 values'!S$2,)</f>
        <v>0</v>
      </c>
      <c r="IK145" s="4">
        <f>IFERROR(HI145/'McDonough &amp; Sun 1995 values'!T$2,)</f>
        <v>0</v>
      </c>
      <c r="IL145" s="4">
        <f>IFERROR(HJ145/'McDonough &amp; Sun 1995 values'!U$2,)</f>
        <v>0</v>
      </c>
      <c r="IM145" s="4">
        <f>IFERROR(HK145/'McDonough &amp; Sun 1995 values'!V$2,)</f>
        <v>0</v>
      </c>
      <c r="IN145" s="4">
        <f>IFERROR(HL145/'McDonough &amp; Sun 1995 values'!W$2,)</f>
        <v>0</v>
      </c>
      <c r="IO145" s="4">
        <f>IFERROR(HM145/'McDonough &amp; Sun 1995 values'!X$2,)</f>
        <v>0.29086689319533943</v>
      </c>
      <c r="IP145" s="4">
        <f>IFERROR(HN145/'McDonough &amp; Sun 1995 values'!Y$2,)</f>
        <v>0</v>
      </c>
      <c r="IQ145" s="4">
        <f>IFERROR(HO145/'McDonough &amp; Sun 1995 values'!Z$2,)</f>
        <v>0</v>
      </c>
      <c r="IR145" s="4">
        <f>IFERROR(HP145/'McDonough &amp; Sun 1995 values'!AA$2,)</f>
        <v>0</v>
      </c>
      <c r="IS145" s="4">
        <f>IFERROR(HQ145/'McDonough &amp; Sun 1995 values'!AB$2,)</f>
        <v>0</v>
      </c>
      <c r="IT145" s="4">
        <f>IFERROR(HR145/'McDonough &amp; Sun 1995 values'!AC$2,)</f>
        <v>0</v>
      </c>
    </row>
    <row r="146" spans="1:254">
      <c r="A146" s="16" t="s">
        <v>1176</v>
      </c>
      <c r="B146" s="16" t="s">
        <v>24</v>
      </c>
      <c r="C146" s="16" t="str">
        <f t="shared" si="304"/>
        <v>saline</v>
      </c>
      <c r="D146" s="16" t="s">
        <v>119</v>
      </c>
      <c r="E146" s="16" t="s">
        <v>171</v>
      </c>
      <c r="F146" s="16" t="s">
        <v>45</v>
      </c>
      <c r="G146" s="16" t="s">
        <v>595</v>
      </c>
      <c r="H146" s="27">
        <v>55</v>
      </c>
      <c r="I146" s="16" t="s">
        <v>712</v>
      </c>
      <c r="J146" s="16" t="s">
        <v>635</v>
      </c>
      <c r="K146" s="16" t="s">
        <v>802</v>
      </c>
      <c r="L146" s="16" t="s">
        <v>1725</v>
      </c>
      <c r="M146" s="16" t="s">
        <v>125</v>
      </c>
      <c r="N146" s="16">
        <v>33</v>
      </c>
      <c r="O146" s="26">
        <v>3.8</v>
      </c>
      <c r="P146" s="26">
        <v>1.6</v>
      </c>
      <c r="Q146" s="26"/>
      <c r="R146" s="26">
        <v>3</v>
      </c>
      <c r="S146" s="26">
        <v>5.5</v>
      </c>
      <c r="T146" s="26">
        <v>2.2000000000000002</v>
      </c>
      <c r="U146" s="26"/>
      <c r="V146" s="26">
        <v>4</v>
      </c>
      <c r="W146" s="26">
        <v>13</v>
      </c>
      <c r="X146" s="26">
        <v>23.7</v>
      </c>
      <c r="Y146" s="26"/>
      <c r="Z146" s="26">
        <v>1</v>
      </c>
      <c r="AA146" s="26">
        <v>2</v>
      </c>
      <c r="AB146" s="26">
        <v>13.3</v>
      </c>
      <c r="AC146" s="26"/>
      <c r="AD146" s="26">
        <v>32.1</v>
      </c>
      <c r="AE146" s="26"/>
      <c r="AF146" s="26"/>
      <c r="AG146" s="26"/>
      <c r="AH146" s="26"/>
      <c r="AI146" s="26"/>
      <c r="AJ146" s="26">
        <f t="shared" si="305"/>
        <v>103.19999999999999</v>
      </c>
      <c r="AK146" s="26">
        <f t="shared" si="365"/>
        <v>3.9601486341882151</v>
      </c>
      <c r="AL146" s="26">
        <f t="shared" si="366"/>
        <v>1.6674310038687226</v>
      </c>
      <c r="AM146" s="26">
        <f t="shared" si="367"/>
        <v>3.1264331322538546</v>
      </c>
      <c r="AN146" s="26">
        <f t="shared" si="368"/>
        <v>5.7317940757987333</v>
      </c>
      <c r="AO146" s="26">
        <f t="shared" si="369"/>
        <v>2.2927176303194936</v>
      </c>
      <c r="AP146" s="26">
        <f t="shared" si="370"/>
        <v>4.1685775096718061</v>
      </c>
      <c r="AQ146" s="26">
        <f t="shared" si="371"/>
        <v>13.860520219658756</v>
      </c>
      <c r="AR146" s="26">
        <f t="shared" si="372"/>
        <v>13.547876906433368</v>
      </c>
      <c r="AS146" s="26">
        <f t="shared" si="373"/>
        <v>24.69882174480545</v>
      </c>
      <c r="AT146" s="26">
        <f t="shared" si="374"/>
        <v>1.0421443774179515</v>
      </c>
      <c r="AU146" s="26">
        <f t="shared" si="375"/>
        <v>33.452834515116244</v>
      </c>
      <c r="AV146" s="26">
        <f t="shared" si="306"/>
        <v>107.54929974953259</v>
      </c>
      <c r="AW146" s="26">
        <v>12</v>
      </c>
      <c r="AX146" s="26">
        <v>24.5</v>
      </c>
      <c r="AY146" s="97"/>
      <c r="AZ146" s="97"/>
      <c r="BA146" s="26">
        <v>0.33</v>
      </c>
      <c r="BC146" s="26">
        <f t="shared" si="376"/>
        <v>0.66999999999999993</v>
      </c>
      <c r="BD146" s="26">
        <f t="shared" si="377"/>
        <v>0.33</v>
      </c>
      <c r="BE146" s="25"/>
      <c r="BF146" s="25"/>
      <c r="BG146" s="16"/>
      <c r="BH146" s="16"/>
      <c r="BI146" s="16"/>
      <c r="BJ146" s="16"/>
      <c r="BK146" s="18"/>
      <c r="BL146" s="18"/>
      <c r="BM146" s="18"/>
      <c r="BN146" s="18"/>
      <c r="BO146" s="18"/>
      <c r="BP146" s="18"/>
      <c r="BQ146" s="18"/>
      <c r="BR146" s="18">
        <v>319</v>
      </c>
      <c r="BS146" s="18"/>
      <c r="BT146" s="18">
        <v>0.23</v>
      </c>
      <c r="BU146" s="18"/>
      <c r="BV146" s="18"/>
      <c r="BW146" s="18"/>
      <c r="BX146" s="18"/>
      <c r="BY146" s="18"/>
      <c r="BZ146" s="18"/>
      <c r="CA146" s="18"/>
      <c r="CB146" s="18"/>
      <c r="CC146" s="18"/>
      <c r="CD146" s="18"/>
      <c r="CE146" s="18"/>
      <c r="CF146" s="18"/>
      <c r="CG146" s="18"/>
      <c r="CH146" s="18">
        <v>0.53</v>
      </c>
      <c r="CI146" s="18">
        <v>6.1</v>
      </c>
      <c r="CJ146" s="18">
        <v>4.0000000000000001E-3</v>
      </c>
      <c r="CK146" s="18">
        <v>1.7000000000000001E-2</v>
      </c>
      <c r="CL146" s="18"/>
      <c r="CM146" s="18">
        <v>0.25</v>
      </c>
      <c r="CN146" s="18"/>
      <c r="CO146" s="18"/>
      <c r="CP146" s="18"/>
      <c r="CQ146" s="18"/>
      <c r="CR146" s="18">
        <v>4.3999999999999997E-2</v>
      </c>
      <c r="CS146" s="18">
        <v>183</v>
      </c>
      <c r="CT146" s="18"/>
      <c r="CU146" s="18">
        <v>2.9</v>
      </c>
      <c r="CV146" s="18">
        <v>1.6</v>
      </c>
      <c r="CW146" s="18">
        <v>8.6999999999999994E-2</v>
      </c>
      <c r="CX146" s="18">
        <v>0.25</v>
      </c>
      <c r="CY146" s="18"/>
      <c r="CZ146" s="18"/>
      <c r="DA146" s="18"/>
      <c r="DB146" s="18"/>
      <c r="DC146" s="18"/>
      <c r="DD146" s="18"/>
      <c r="DE146" s="18"/>
      <c r="DF146" s="18"/>
      <c r="DG146" s="18"/>
      <c r="DH146" s="18"/>
      <c r="DI146" s="18">
        <v>1.0999999999999999E-2</v>
      </c>
      <c r="DJ146" s="18"/>
      <c r="DK146" s="18"/>
      <c r="DL146" s="18">
        <v>1.8</v>
      </c>
      <c r="DM146" s="18">
        <v>5.7000000000000002E-2</v>
      </c>
      <c r="DN146" s="18"/>
      <c r="DO146" s="18"/>
      <c r="DP146" s="18"/>
      <c r="DQ146" s="18"/>
      <c r="DR146" s="18"/>
      <c r="DS146" s="18"/>
      <c r="DT146" s="18"/>
      <c r="DU146" s="18"/>
      <c r="DV146" s="28"/>
      <c r="DW146" s="28"/>
      <c r="DX146" s="28"/>
      <c r="DY146" s="28"/>
      <c r="DZ146" s="28"/>
      <c r="EA146" s="28"/>
      <c r="EB146" s="28"/>
      <c r="EC146" s="28"/>
      <c r="ED146" s="28"/>
      <c r="EE146" s="28"/>
      <c r="EF146" s="28"/>
      <c r="EG146" s="28"/>
      <c r="EH146" s="28"/>
      <c r="EI146" s="28"/>
      <c r="EJ146" s="18"/>
      <c r="EK146" s="18"/>
      <c r="EL146" s="18">
        <f>IFERROR(CR146/'McDonough &amp; Sun 1995 values'!C$2,)</f>
        <v>2.0952380952380949</v>
      </c>
      <c r="EM146" s="18">
        <f>IFERROR(CH146/'McDonough &amp; Sun 1995 values'!D$2,)</f>
        <v>0.88333333333333341</v>
      </c>
      <c r="EN146" s="18">
        <f>IFERROR(CS146/'McDonough &amp; Sun 1995 values'!E$2,)</f>
        <v>27.72727272727273</v>
      </c>
      <c r="EO146" s="18">
        <f>IFERROR(DL146/'McDonough &amp; Sun 1995 values'!F$2,)</f>
        <v>22.641509433962263</v>
      </c>
      <c r="EP146" s="18">
        <f>IFERROR(DM146/'McDonough &amp; Sun 1995 values'!G$2,)</f>
        <v>2.8078817733990151</v>
      </c>
      <c r="EQ146" s="18">
        <f>IFERROR(BR146/'McDonough &amp; Sun 1995 values'!H$2,)</f>
        <v>1.3291666666666666</v>
      </c>
      <c r="ER146" s="18">
        <f>IFERROR(DI146/'McDonough &amp; Sun 1995 values'!I$2,)</f>
        <v>0.29729729729729731</v>
      </c>
      <c r="ES146" s="18">
        <f>IFERROR(CM146/'McDonough &amp; Sun 1995 values'!J$2,)</f>
        <v>0.37993920972644374</v>
      </c>
      <c r="ET146" s="18">
        <f>IFERROR(CU146/'McDonough &amp; Sun 1995 values'!K$2,)</f>
        <v>4.4753086419753085</v>
      </c>
      <c r="EU146" s="18">
        <f>IFERROR(CV146/'McDonough &amp; Sun 1995 values'!L$2,)</f>
        <v>0.95522388059701491</v>
      </c>
      <c r="EV146" s="18">
        <f>IFERROR(CW146/'McDonough &amp; Sun 1995 values'!M$2,)</f>
        <v>0.34251968503937003</v>
      </c>
      <c r="EW146" s="18">
        <f>IFERROR(CI146/'McDonough &amp; Sun 1995 values'!N$2,)</f>
        <v>0.30653266331658291</v>
      </c>
      <c r="EX146" s="18">
        <f>IFERROR(CX146/'McDonough &amp; Sun 1995 values'!O$2,)</f>
        <v>0.2</v>
      </c>
      <c r="EY146" s="18">
        <f>IFERROR(CY146/'McDonough &amp; Sun 1995 values'!P$2,)</f>
        <v>0</v>
      </c>
      <c r="EZ146" s="18">
        <f>IFERROR(DH146/'McDonough &amp; Sun 1995 values'!Q$2,)</f>
        <v>0</v>
      </c>
      <c r="FA146" s="18">
        <f>IFERROR(CK146/'McDonough &amp; Sun 1995 values'!R$2,)</f>
        <v>1.6190476190476191E-3</v>
      </c>
      <c r="FB146" s="18">
        <f>IFERROR(CZ146/'McDonough &amp; Sun 1995 values'!S$2,)</f>
        <v>0</v>
      </c>
      <c r="FC146" s="18">
        <f>IFERROR(BT146/'McDonough &amp; Sun 1995 values'!T$2,)</f>
        <v>1.9087136929460581E-4</v>
      </c>
      <c r="FD146" s="18">
        <f>IFERROR(DA146/'McDonough &amp; Sun 1995 values'!U$2,)</f>
        <v>0</v>
      </c>
      <c r="FE146" s="18">
        <f>IFERROR(DN146/'McDonough &amp; Sun 1995 values'!V$2,)</f>
        <v>0</v>
      </c>
      <c r="FF146" s="18">
        <f>IFERROR(DB146/'McDonough &amp; Sun 1995 values'!W$2,)</f>
        <v>0</v>
      </c>
      <c r="FG146" s="18">
        <f>IFERROR(CJ146/'McDonough &amp; Sun 1995 values'!X$2,)</f>
        <v>9.3023255813953494E-4</v>
      </c>
      <c r="FH146" s="18">
        <f>IFERROR(DC146/'McDonough &amp; Sun 1995 values'!Y$2,)</f>
        <v>0</v>
      </c>
      <c r="FI146" s="18">
        <f>IFERROR(DD146/'McDonough &amp; Sun 1995 values'!Z$2,)</f>
        <v>0</v>
      </c>
      <c r="FJ146" s="18">
        <f>IFERROR(DE146/'McDonough &amp; Sun 1995 values'!AA$2,)</f>
        <v>0</v>
      </c>
      <c r="FK146" s="18">
        <f>IFERROR(DF146/'McDonough &amp; Sun 1995 values'!AB$2,)</f>
        <v>0</v>
      </c>
      <c r="FL146" s="18">
        <f>IFERROR(DG146/'McDonough &amp; Sun 1995 values'!AC$2,)</f>
        <v>0</v>
      </c>
      <c r="FN146" s="28">
        <f t="shared" si="299"/>
        <v>2.1125129329647763</v>
      </c>
      <c r="FO146" s="4">
        <f t="shared" si="309"/>
        <v>9.8748006379585327</v>
      </c>
      <c r="FP146" s="4">
        <f t="shared" si="310"/>
        <v>59.592452830188677</v>
      </c>
      <c r="FQ146" s="4">
        <f t="shared" si="311"/>
        <v>8.0635551142005948</v>
      </c>
      <c r="FR146" s="4">
        <f t="shared" si="312"/>
        <v>11.779012345679012</v>
      </c>
      <c r="FS146" s="4">
        <f t="shared" si="313"/>
        <v>15.053310886644219</v>
      </c>
      <c r="FT146" s="4">
        <f t="shared" si="314"/>
        <v>0.42159090909090918</v>
      </c>
      <c r="FU146" s="4">
        <f t="shared" si="315"/>
        <v>0.78248648648648655</v>
      </c>
      <c r="FV146" s="4">
        <f t="shared" si="316"/>
        <v>0</v>
      </c>
      <c r="FW146" s="4">
        <f t="shared" si="317"/>
        <v>0</v>
      </c>
      <c r="FX146" s="4">
        <f t="shared" si="318"/>
        <v>0</v>
      </c>
      <c r="FY146" s="4">
        <f t="shared" si="319"/>
        <v>1.1711674476779699</v>
      </c>
      <c r="FZ146" s="4">
        <f t="shared" si="320"/>
        <v>0</v>
      </c>
      <c r="GA146" s="4">
        <f t="shared" si="321"/>
        <v>0.89493444232657549</v>
      </c>
      <c r="GB146" s="4">
        <f t="shared" si="322"/>
        <v>0</v>
      </c>
      <c r="GC146" s="4">
        <f t="shared" si="323"/>
        <v>2.3719676549865225</v>
      </c>
      <c r="GD146" s="4">
        <f t="shared" si="324"/>
        <v>1.2246212121212123</v>
      </c>
      <c r="GE146" s="4">
        <f t="shared" si="325"/>
        <v>31.389365351629504</v>
      </c>
      <c r="GF146" s="4">
        <f t="shared" si="326"/>
        <v>20.860644058136224</v>
      </c>
      <c r="GG146" s="4">
        <f t="shared" si="327"/>
        <v>72.978181818181838</v>
      </c>
      <c r="GH146" s="4">
        <f t="shared" si="328"/>
        <v>13.065843621399178</v>
      </c>
      <c r="GI146" s="4">
        <f t="shared" si="329"/>
        <v>0</v>
      </c>
      <c r="GJ146" s="4">
        <f t="shared" si="330"/>
        <v>0</v>
      </c>
      <c r="GK146" s="4">
        <f t="shared" si="331"/>
        <v>0</v>
      </c>
      <c r="GL146" s="4">
        <f t="shared" si="332"/>
        <v>8.4824016563146998</v>
      </c>
      <c r="GM146" s="4">
        <f t="shared" si="333"/>
        <v>25.631897472410106</v>
      </c>
      <c r="GN146" s="4">
        <f t="shared" si="334"/>
        <v>8.4896761345770885E-2</v>
      </c>
      <c r="GO146" s="4">
        <f t="shared" si="335"/>
        <v>0.13531168346397907</v>
      </c>
      <c r="GP146" s="4">
        <f t="shared" si="336"/>
        <v>0.47336988304093558</v>
      </c>
      <c r="GQ146" s="27">
        <f t="shared" si="337"/>
        <v>205034.13312750452</v>
      </c>
      <c r="GR146" s="28">
        <f t="shared" si="338"/>
        <v>28.280570086552345</v>
      </c>
      <c r="GS146" s="28">
        <f t="shared" si="339"/>
        <v>340.65232149710789</v>
      </c>
      <c r="GT146" s="28">
        <f t="shared" si="340"/>
        <v>117621.46195088817</v>
      </c>
      <c r="GU146" s="28">
        <f t="shared" si="341"/>
        <v>1156.9324126316872</v>
      </c>
      <c r="GV146" s="28">
        <f t="shared" si="342"/>
        <v>36.636193066670089</v>
      </c>
      <c r="GW146" s="28">
        <f t="shared" si="343"/>
        <v>205034.13312750452</v>
      </c>
      <c r="GX146" s="28">
        <f t="shared" si="344"/>
        <v>7.0701425216380862</v>
      </c>
      <c r="GY146" s="28">
        <f t="shared" si="345"/>
        <v>160.68505730995651</v>
      </c>
      <c r="GZ146" s="28">
        <f t="shared" si="346"/>
        <v>1863.9466647954955</v>
      </c>
      <c r="HA146" s="28">
        <f t="shared" si="347"/>
        <v>1028.3843667837218</v>
      </c>
      <c r="HB146" s="28">
        <f t="shared" si="348"/>
        <v>55.918399943864863</v>
      </c>
      <c r="HC146" s="28">
        <f t="shared" si="349"/>
        <v>3920.7153983629387</v>
      </c>
      <c r="HD146" s="28">
        <f t="shared" si="350"/>
        <v>160.68505730995651</v>
      </c>
      <c r="HE146" s="28">
        <f t="shared" si="351"/>
        <v>0</v>
      </c>
      <c r="HF146" s="28">
        <f t="shared" si="352"/>
        <v>0</v>
      </c>
      <c r="HG146" s="28">
        <f t="shared" si="353"/>
        <v>10.926583897077045</v>
      </c>
      <c r="HH146" s="28">
        <f t="shared" si="354"/>
        <v>0</v>
      </c>
      <c r="HI146" s="28">
        <f t="shared" si="355"/>
        <v>147.83025272516002</v>
      </c>
      <c r="HJ146" s="28">
        <f t="shared" si="356"/>
        <v>0</v>
      </c>
      <c r="HK146" s="28">
        <f t="shared" si="357"/>
        <v>0</v>
      </c>
      <c r="HL146" s="28">
        <f t="shared" si="358"/>
        <v>0</v>
      </c>
      <c r="HM146" s="28">
        <f t="shared" si="359"/>
        <v>2.5709609169593044</v>
      </c>
      <c r="HN146" s="28">
        <f t="shared" si="360"/>
        <v>0</v>
      </c>
      <c r="HO146" s="28">
        <f t="shared" si="361"/>
        <v>0</v>
      </c>
      <c r="HP146" s="28">
        <f t="shared" si="362"/>
        <v>0</v>
      </c>
      <c r="HQ146" s="28">
        <f t="shared" si="363"/>
        <v>0</v>
      </c>
      <c r="HR146" s="28">
        <f t="shared" si="364"/>
        <v>0</v>
      </c>
      <c r="HT146" s="4">
        <f>IFERROR(GR146/'McDonough &amp; Sun 1995 values'!C$2,)</f>
        <v>1346.6938136453496</v>
      </c>
      <c r="HU146" s="4">
        <f>IFERROR(GS146/'McDonough &amp; Sun 1995 values'!D$2,)</f>
        <v>567.75386916184652</v>
      </c>
      <c r="HV146" s="4">
        <f>IFERROR(GT146/'McDonough &amp; Sun 1995 values'!E$2,)</f>
        <v>17821.433628922452</v>
      </c>
      <c r="HW146" s="4">
        <f>IFERROR(GU146/'McDonough &amp; Sun 1995 values'!F$2,)</f>
        <v>14552.608963920593</v>
      </c>
      <c r="HX146" s="4">
        <f>IFERROR(GV146/'McDonough &amp; Sun 1995 values'!G$2,)</f>
        <v>1804.7385747128124</v>
      </c>
      <c r="HY146" s="4">
        <f>IFERROR(GW146/'McDonough &amp; Sun 1995 values'!H$2,)</f>
        <v>854.30888803126879</v>
      </c>
      <c r="HZ146" s="4">
        <f>IFERROR(GX146/'McDonough &amp; Sun 1995 values'!I$2,)</f>
        <v>191.08493301724559</v>
      </c>
      <c r="IA146" s="4">
        <f>IFERROR(GY146/'McDonough &amp; Sun 1995 values'!J$2,)</f>
        <v>244.2022147567728</v>
      </c>
      <c r="IB146" s="4">
        <f>IFERROR(GZ146/'McDonough &amp; Sun 1995 values'!K$2,)</f>
        <v>2876.4609024621845</v>
      </c>
      <c r="IC146" s="4">
        <f>IFERROR(HA146/'McDonough &amp; Sun 1995 values'!L$2,)</f>
        <v>613.96081599028162</v>
      </c>
      <c r="ID146" s="4">
        <f>IFERROR(HB146/'McDonough &amp; Sun 1995 values'!M$2,)</f>
        <v>220.15118088135773</v>
      </c>
      <c r="IE146" s="4">
        <f>IFERROR(HC146/'McDonough &amp; Sun 1995 values'!N$2,)</f>
        <v>197.02087428959493</v>
      </c>
      <c r="IF146" s="4">
        <f>IFERROR(HD146/'McDonough &amp; Sun 1995 values'!O$2,)</f>
        <v>128.5480458479652</v>
      </c>
      <c r="IG146" s="4">
        <f>IFERROR(HE146/'McDonough &amp; Sun 1995 values'!P$2,)</f>
        <v>0</v>
      </c>
      <c r="IH146" s="4">
        <f>IFERROR(HF146/'McDonough &amp; Sun 1995 values'!Q$2,)</f>
        <v>0</v>
      </c>
      <c r="II146" s="4">
        <f>IFERROR(HG146/'McDonough &amp; Sun 1995 values'!R$2,)</f>
        <v>1.0406270378168614</v>
      </c>
      <c r="IJ146" s="4">
        <f>IFERROR(HH146/'McDonough &amp; Sun 1995 values'!S$2,)</f>
        <v>0</v>
      </c>
      <c r="IK146" s="4">
        <f>IFERROR(HI146/'McDonough &amp; Sun 1995 values'!T$2,)</f>
        <v>0.12268070765573445</v>
      </c>
      <c r="IL146" s="4">
        <f>IFERROR(HJ146/'McDonough &amp; Sun 1995 values'!U$2,)</f>
        <v>0</v>
      </c>
      <c r="IM146" s="4">
        <f>IFERROR(HK146/'McDonough &amp; Sun 1995 values'!V$2,)</f>
        <v>0</v>
      </c>
      <c r="IN146" s="4">
        <f>IFERROR(HL146/'McDonough &amp; Sun 1995 values'!W$2,)</f>
        <v>0</v>
      </c>
      <c r="IO146" s="4">
        <f>IFERROR(HM146/'McDonough &amp; Sun 1995 values'!X$2,)</f>
        <v>0.59789788766495455</v>
      </c>
      <c r="IP146" s="4">
        <f>IFERROR(HN146/'McDonough &amp; Sun 1995 values'!Y$2,)</f>
        <v>0</v>
      </c>
      <c r="IQ146" s="4">
        <f>IFERROR(HO146/'McDonough &amp; Sun 1995 values'!Z$2,)</f>
        <v>0</v>
      </c>
      <c r="IR146" s="4">
        <f>IFERROR(HP146/'McDonough &amp; Sun 1995 values'!AA$2,)</f>
        <v>0</v>
      </c>
      <c r="IS146" s="4">
        <f>IFERROR(HQ146/'McDonough &amp; Sun 1995 values'!AB$2,)</f>
        <v>0</v>
      </c>
      <c r="IT146" s="4">
        <f>IFERROR(HR146/'McDonough &amp; Sun 1995 values'!AC$2,)</f>
        <v>0</v>
      </c>
    </row>
    <row r="147" spans="1:254">
      <c r="A147" s="16" t="s">
        <v>1319</v>
      </c>
      <c r="B147" s="16" t="s">
        <v>24</v>
      </c>
      <c r="C147" s="16" t="str">
        <f t="shared" si="304"/>
        <v>saline</v>
      </c>
      <c r="D147" s="16" t="s">
        <v>119</v>
      </c>
      <c r="E147" s="16" t="s">
        <v>171</v>
      </c>
      <c r="F147" s="16" t="s">
        <v>45</v>
      </c>
      <c r="G147" s="16" t="s">
        <v>595</v>
      </c>
      <c r="H147" s="27">
        <v>55</v>
      </c>
      <c r="I147" s="16" t="s">
        <v>712</v>
      </c>
      <c r="J147" s="16" t="s">
        <v>1426</v>
      </c>
      <c r="K147" s="16">
        <v>0</v>
      </c>
      <c r="L147" s="16" t="s">
        <v>1725</v>
      </c>
      <c r="M147" s="16" t="s">
        <v>122</v>
      </c>
      <c r="N147" s="16">
        <v>12</v>
      </c>
      <c r="O147" s="26">
        <v>4.0999999999999996</v>
      </c>
      <c r="P147" s="26">
        <v>0.3</v>
      </c>
      <c r="Q147" s="26"/>
      <c r="R147" s="26">
        <v>0.7</v>
      </c>
      <c r="S147" s="26">
        <v>6.1</v>
      </c>
      <c r="T147" s="26">
        <v>2.2999999999999998</v>
      </c>
      <c r="U147" s="26"/>
      <c r="V147" s="26">
        <v>4.8</v>
      </c>
      <c r="W147" s="26">
        <v>9.5</v>
      </c>
      <c r="X147" s="26">
        <v>31.9</v>
      </c>
      <c r="Y147" s="26"/>
      <c r="Z147" s="26"/>
      <c r="AA147" s="26">
        <v>1.5</v>
      </c>
      <c r="AB147" s="26">
        <v>11.8</v>
      </c>
      <c r="AC147" s="26"/>
      <c r="AD147" s="26">
        <v>34.200000000000003</v>
      </c>
      <c r="AE147" s="26"/>
      <c r="AF147" s="26"/>
      <c r="AG147" s="26"/>
      <c r="AH147" s="26"/>
      <c r="AI147" s="26"/>
      <c r="AJ147" s="26">
        <f t="shared" si="305"/>
        <v>105.7</v>
      </c>
      <c r="AK147" s="26">
        <f t="shared" si="365"/>
        <v>4.1844383058415726</v>
      </c>
      <c r="AL147" s="26">
        <f t="shared" si="366"/>
        <v>0.30617841262255407</v>
      </c>
      <c r="AM147" s="26">
        <f t="shared" si="367"/>
        <v>0.71441629611929292</v>
      </c>
      <c r="AN147" s="26">
        <f t="shared" si="368"/>
        <v>6.2256277233252666</v>
      </c>
      <c r="AO147" s="26">
        <f t="shared" si="369"/>
        <v>2.3473678301062479</v>
      </c>
      <c r="AP147" s="26">
        <f t="shared" si="370"/>
        <v>4.8988546019608652</v>
      </c>
      <c r="AQ147" s="26">
        <f t="shared" si="371"/>
        <v>12.043017563153796</v>
      </c>
      <c r="AR147" s="26">
        <f t="shared" si="372"/>
        <v>9.6956497330475475</v>
      </c>
      <c r="AS147" s="26">
        <f t="shared" si="373"/>
        <v>32.556971208864923</v>
      </c>
      <c r="AT147" s="26">
        <f t="shared" si="374"/>
        <v>0</v>
      </c>
      <c r="AU147" s="26">
        <f t="shared" si="375"/>
        <v>34.904339038971173</v>
      </c>
      <c r="AV147" s="26">
        <f t="shared" si="306"/>
        <v>107.87686071401323</v>
      </c>
      <c r="AW147" s="26">
        <v>10.4</v>
      </c>
      <c r="AX147" s="26">
        <v>58.2</v>
      </c>
      <c r="AY147" s="97"/>
      <c r="AZ147" s="97"/>
      <c r="BA147" s="26">
        <v>0.15</v>
      </c>
      <c r="BC147" s="26">
        <f t="shared" si="376"/>
        <v>0.85</v>
      </c>
      <c r="BD147" s="26">
        <f t="shared" si="377"/>
        <v>0.15</v>
      </c>
      <c r="BE147" s="25"/>
      <c r="BF147" s="25"/>
      <c r="BG147" s="16"/>
      <c r="BH147" s="16"/>
      <c r="BI147" s="16"/>
      <c r="BJ147" s="16"/>
      <c r="BK147" s="18"/>
      <c r="BL147" s="18"/>
      <c r="BM147" s="18"/>
      <c r="BN147" s="18"/>
      <c r="BO147" s="18"/>
      <c r="BP147" s="18"/>
      <c r="BQ147" s="18"/>
      <c r="BR147" s="18">
        <v>365</v>
      </c>
      <c r="BS147" s="18"/>
      <c r="BT147" s="18">
        <v>1.62</v>
      </c>
      <c r="BU147" s="18"/>
      <c r="BV147" s="18"/>
      <c r="BW147" s="18"/>
      <c r="BX147" s="18"/>
      <c r="BY147" s="18"/>
      <c r="BZ147" s="18"/>
      <c r="CA147" s="18"/>
      <c r="CB147" s="18"/>
      <c r="CC147" s="18"/>
      <c r="CD147" s="18"/>
      <c r="CE147" s="18"/>
      <c r="CF147" s="18"/>
      <c r="CG147" s="18"/>
      <c r="CH147" s="18">
        <v>0.7</v>
      </c>
      <c r="CI147" s="18">
        <v>11.6</v>
      </c>
      <c r="CJ147" s="18"/>
      <c r="CK147" s="18">
        <v>3.6999999999999998E-2</v>
      </c>
      <c r="CL147" s="18"/>
      <c r="CM147" s="18">
        <v>0.5</v>
      </c>
      <c r="CN147" s="18"/>
      <c r="CO147" s="18"/>
      <c r="CP147" s="18"/>
      <c r="CQ147" s="18"/>
      <c r="CR147" s="18">
        <v>3.6999999999999998E-2</v>
      </c>
      <c r="CS147" s="18">
        <v>216</v>
      </c>
      <c r="CT147" s="18"/>
      <c r="CU147" s="18">
        <v>3.6</v>
      </c>
      <c r="CV147" s="18">
        <v>2.8</v>
      </c>
      <c r="CW147" s="18">
        <v>0.2</v>
      </c>
      <c r="CX147" s="18">
        <v>0.51</v>
      </c>
      <c r="CY147" s="18"/>
      <c r="CZ147" s="18"/>
      <c r="DA147" s="18"/>
      <c r="DB147" s="18"/>
      <c r="DC147" s="18"/>
      <c r="DD147" s="18"/>
      <c r="DE147" s="18"/>
      <c r="DF147" s="18"/>
      <c r="DG147" s="18"/>
      <c r="DH147" s="18"/>
      <c r="DI147" s="18">
        <v>1.7999999999999999E-2</v>
      </c>
      <c r="DJ147" s="18"/>
      <c r="DK147" s="18"/>
      <c r="DL147" s="18">
        <v>1.4</v>
      </c>
      <c r="DM147" s="18">
        <v>8.2000000000000003E-2</v>
      </c>
      <c r="DN147" s="18"/>
      <c r="DO147" s="18"/>
      <c r="DP147" s="18"/>
      <c r="DQ147" s="18"/>
      <c r="DR147" s="18"/>
      <c r="DS147" s="18"/>
      <c r="DT147" s="18"/>
      <c r="DU147" s="18"/>
      <c r="DV147" s="51">
        <v>0.70616999999999996</v>
      </c>
      <c r="DW147" s="51">
        <v>6.0000000000000002E-5</v>
      </c>
      <c r="DX147" s="51">
        <v>0.70606999999999998</v>
      </c>
      <c r="DY147" s="45">
        <v>0</v>
      </c>
      <c r="DZ147" s="52">
        <v>23.23</v>
      </c>
      <c r="EA147" s="28"/>
      <c r="EB147" s="28"/>
      <c r="EC147" s="28"/>
      <c r="ED147" s="28"/>
      <c r="EE147" s="28"/>
      <c r="EF147" s="28"/>
      <c r="EG147" s="28"/>
      <c r="EH147" s="28"/>
      <c r="EI147" s="28"/>
      <c r="EJ147" s="18"/>
      <c r="EK147" s="18"/>
      <c r="EL147" s="18">
        <f>IFERROR(CR147/'McDonough &amp; Sun 1995 values'!C$2,)</f>
        <v>1.7619047619047616</v>
      </c>
      <c r="EM147" s="18">
        <f>IFERROR(CH147/'McDonough &amp; Sun 1995 values'!D$2,)</f>
        <v>1.1666666666666667</v>
      </c>
      <c r="EN147" s="18">
        <f>IFERROR(CS147/'McDonough &amp; Sun 1995 values'!E$2,)</f>
        <v>32.727272727272727</v>
      </c>
      <c r="EO147" s="18">
        <f>IFERROR(DL147/'McDonough &amp; Sun 1995 values'!F$2,)</f>
        <v>17.610062893081761</v>
      </c>
      <c r="EP147" s="18">
        <f>IFERROR(DM147/'McDonough &amp; Sun 1995 values'!G$2,)</f>
        <v>4.0394088669950747</v>
      </c>
      <c r="EQ147" s="18">
        <f>IFERROR(BR147/'McDonough &amp; Sun 1995 values'!H$2,)</f>
        <v>1.5208333333333333</v>
      </c>
      <c r="ER147" s="18">
        <f>IFERROR(DI147/'McDonough &amp; Sun 1995 values'!I$2,)</f>
        <v>0.48648648648648646</v>
      </c>
      <c r="ES147" s="18">
        <f>IFERROR(CM147/'McDonough &amp; Sun 1995 values'!J$2,)</f>
        <v>0.75987841945288748</v>
      </c>
      <c r="ET147" s="18">
        <f>IFERROR(CU147/'McDonough &amp; Sun 1995 values'!K$2,)</f>
        <v>5.5555555555555554</v>
      </c>
      <c r="EU147" s="18">
        <f>IFERROR(CV147/'McDonough &amp; Sun 1995 values'!L$2,)</f>
        <v>1.6716417910447761</v>
      </c>
      <c r="EV147" s="18">
        <f>IFERROR(CW147/'McDonough &amp; Sun 1995 values'!M$2,)</f>
        <v>0.78740157480314965</v>
      </c>
      <c r="EW147" s="18">
        <f>IFERROR(CI147/'McDonough &amp; Sun 1995 values'!N$2,)</f>
        <v>0.58291457286432158</v>
      </c>
      <c r="EX147" s="18">
        <f>IFERROR(CX147/'McDonough &amp; Sun 1995 values'!O$2,)</f>
        <v>0.40800000000000003</v>
      </c>
      <c r="EY147" s="18">
        <f>IFERROR(CY147/'McDonough &amp; Sun 1995 values'!P$2,)</f>
        <v>0</v>
      </c>
      <c r="EZ147" s="18">
        <f>IFERROR(DH147/'McDonough &amp; Sun 1995 values'!Q$2,)</f>
        <v>0</v>
      </c>
      <c r="FA147" s="18">
        <f>IFERROR(CK147/'McDonough &amp; Sun 1995 values'!R$2,)</f>
        <v>3.5238095238095237E-3</v>
      </c>
      <c r="FB147" s="18">
        <f>IFERROR(CZ147/'McDonough &amp; Sun 1995 values'!S$2,)</f>
        <v>0</v>
      </c>
      <c r="FC147" s="18">
        <f>IFERROR(BT147/'McDonough &amp; Sun 1995 values'!T$2,)</f>
        <v>1.3443983402489628E-3</v>
      </c>
      <c r="FD147" s="18">
        <f>IFERROR(DA147/'McDonough &amp; Sun 1995 values'!U$2,)</f>
        <v>0</v>
      </c>
      <c r="FE147" s="18">
        <f>IFERROR(DN147/'McDonough &amp; Sun 1995 values'!V$2,)</f>
        <v>0</v>
      </c>
      <c r="FF147" s="18">
        <f>IFERROR(DB147/'McDonough &amp; Sun 1995 values'!W$2,)</f>
        <v>0</v>
      </c>
      <c r="FG147" s="18">
        <f>IFERROR(CJ147/'McDonough &amp; Sun 1995 values'!X$2,)</f>
        <v>0</v>
      </c>
      <c r="FH147" s="18">
        <f>IFERROR(DC147/'McDonough &amp; Sun 1995 values'!Y$2,)</f>
        <v>0</v>
      </c>
      <c r="FI147" s="18">
        <f>IFERROR(DD147/'McDonough &amp; Sun 1995 values'!Z$2,)</f>
        <v>0</v>
      </c>
      <c r="FJ147" s="18">
        <f>IFERROR(DE147/'McDonough &amp; Sun 1995 values'!AA$2,)</f>
        <v>0</v>
      </c>
      <c r="FK147" s="18">
        <f>IFERROR(DF147/'McDonough &amp; Sun 1995 values'!AB$2,)</f>
        <v>0</v>
      </c>
      <c r="FL147" s="18">
        <f>IFERROR(DG147/'McDonough &amp; Sun 1995 values'!AC$2,)</f>
        <v>0</v>
      </c>
      <c r="FN147" s="28">
        <f t="shared" si="299"/>
        <v>2.6560496659693644</v>
      </c>
      <c r="FO147" s="4">
        <f t="shared" si="309"/>
        <v>8.1019955654101974</v>
      </c>
      <c r="FP147" s="4">
        <f t="shared" si="310"/>
        <v>23.174842767295598</v>
      </c>
      <c r="FQ147" s="4">
        <f t="shared" si="311"/>
        <v>4.3595643503604835</v>
      </c>
      <c r="FR147" s="4">
        <f t="shared" si="312"/>
        <v>7.3111111111111118</v>
      </c>
      <c r="FS147" s="4">
        <f t="shared" si="313"/>
        <v>11.419753086419753</v>
      </c>
      <c r="FT147" s="4">
        <f t="shared" si="314"/>
        <v>0.66216216216216228</v>
      </c>
      <c r="FU147" s="4">
        <f t="shared" si="315"/>
        <v>0.64021621621621627</v>
      </c>
      <c r="FV147" s="4">
        <f t="shared" si="316"/>
        <v>0</v>
      </c>
      <c r="FW147" s="4">
        <f t="shared" si="317"/>
        <v>0</v>
      </c>
      <c r="FX147" s="4">
        <f t="shared" si="318"/>
        <v>0</v>
      </c>
      <c r="FY147" s="4">
        <f t="shared" si="319"/>
        <v>1.028434629378439</v>
      </c>
      <c r="FZ147" s="4">
        <f t="shared" si="320"/>
        <v>0</v>
      </c>
      <c r="GA147" s="4">
        <f t="shared" si="321"/>
        <v>0.74030150753768831</v>
      </c>
      <c r="GB147" s="4">
        <f t="shared" si="322"/>
        <v>0</v>
      </c>
      <c r="GC147" s="4">
        <f t="shared" si="323"/>
        <v>1.5102040816326527</v>
      </c>
      <c r="GD147" s="4">
        <f t="shared" si="324"/>
        <v>1.8584415584415583</v>
      </c>
      <c r="GE147" s="4">
        <f t="shared" si="325"/>
        <v>28.051948051948049</v>
      </c>
      <c r="GF147" s="4">
        <f t="shared" si="326"/>
        <v>21.519302615193027</v>
      </c>
      <c r="GG147" s="4">
        <f t="shared" si="327"/>
        <v>43.06909090909091</v>
      </c>
      <c r="GH147" s="4">
        <f t="shared" si="328"/>
        <v>7.0555555555555545</v>
      </c>
      <c r="GI147" s="4">
        <f t="shared" si="329"/>
        <v>0</v>
      </c>
      <c r="GJ147" s="4">
        <f t="shared" si="330"/>
        <v>0</v>
      </c>
      <c r="GK147" s="4">
        <f t="shared" si="331"/>
        <v>0</v>
      </c>
      <c r="GL147" s="4">
        <f t="shared" si="332"/>
        <v>2.6211052322163431</v>
      </c>
      <c r="GM147" s="4">
        <f t="shared" si="333"/>
        <v>15.094339622641508</v>
      </c>
      <c r="GN147" s="4">
        <f t="shared" si="334"/>
        <v>0.13677811550151975</v>
      </c>
      <c r="GO147" s="4">
        <f t="shared" si="335"/>
        <v>0.18811624286455625</v>
      </c>
      <c r="GP147" s="4">
        <f t="shared" si="336"/>
        <v>0.37649898373983731</v>
      </c>
      <c r="GQ147" s="27">
        <f t="shared" si="337"/>
        <v>270267.56328854675</v>
      </c>
      <c r="GR147" s="28">
        <f t="shared" si="338"/>
        <v>27.396985867606109</v>
      </c>
      <c r="GS147" s="28">
        <f t="shared" si="339"/>
        <v>518.3213542520075</v>
      </c>
      <c r="GT147" s="28">
        <f t="shared" si="340"/>
        <v>159939.16074061944</v>
      </c>
      <c r="GU147" s="28">
        <f t="shared" si="341"/>
        <v>1036.642708504015</v>
      </c>
      <c r="GV147" s="28">
        <f t="shared" si="342"/>
        <v>60.717644355235166</v>
      </c>
      <c r="GW147" s="28">
        <f t="shared" si="343"/>
        <v>270267.56328854675</v>
      </c>
      <c r="GX147" s="28">
        <f t="shared" si="344"/>
        <v>13.32826339505162</v>
      </c>
      <c r="GY147" s="28">
        <f t="shared" si="345"/>
        <v>370.22953875143389</v>
      </c>
      <c r="GZ147" s="28">
        <f t="shared" si="346"/>
        <v>2665.6526790103239</v>
      </c>
      <c r="HA147" s="28">
        <f t="shared" si="347"/>
        <v>2073.28541700803</v>
      </c>
      <c r="HB147" s="28">
        <f t="shared" si="348"/>
        <v>148.09181550057357</v>
      </c>
      <c r="HC147" s="28">
        <f t="shared" si="349"/>
        <v>8589.3252990332658</v>
      </c>
      <c r="HD147" s="28">
        <f t="shared" si="350"/>
        <v>377.63412952646263</v>
      </c>
      <c r="HE147" s="28">
        <f t="shared" si="351"/>
        <v>0</v>
      </c>
      <c r="HF147" s="28">
        <f t="shared" si="352"/>
        <v>0</v>
      </c>
      <c r="HG147" s="28">
        <f t="shared" si="353"/>
        <v>27.396985867606109</v>
      </c>
      <c r="HH147" s="28">
        <f t="shared" si="354"/>
        <v>0</v>
      </c>
      <c r="HI147" s="28">
        <f t="shared" si="355"/>
        <v>1199.5437055546458</v>
      </c>
      <c r="HJ147" s="28">
        <f t="shared" si="356"/>
        <v>0</v>
      </c>
      <c r="HK147" s="28">
        <f t="shared" si="357"/>
        <v>0</v>
      </c>
      <c r="HL147" s="28">
        <f t="shared" si="358"/>
        <v>0</v>
      </c>
      <c r="HM147" s="28">
        <f t="shared" si="359"/>
        <v>0</v>
      </c>
      <c r="HN147" s="28">
        <f t="shared" si="360"/>
        <v>0</v>
      </c>
      <c r="HO147" s="28">
        <f t="shared" si="361"/>
        <v>0</v>
      </c>
      <c r="HP147" s="28">
        <f t="shared" si="362"/>
        <v>0</v>
      </c>
      <c r="HQ147" s="28">
        <f t="shared" si="363"/>
        <v>0</v>
      </c>
      <c r="HR147" s="28">
        <f t="shared" si="364"/>
        <v>0</v>
      </c>
      <c r="HT147" s="4">
        <f>IFERROR(GR147/'McDonough &amp; Sun 1995 values'!C$2,)</f>
        <v>1304.6183746479098</v>
      </c>
      <c r="HU147" s="4">
        <f>IFERROR(GS147/'McDonough &amp; Sun 1995 values'!D$2,)</f>
        <v>863.86892375334583</v>
      </c>
      <c r="HV147" s="4">
        <f>IFERROR(GT147/'McDonough &amp; Sun 1995 values'!E$2,)</f>
        <v>24233.206172821127</v>
      </c>
      <c r="HW147" s="4">
        <f>IFERROR(GU147/'McDonough &amp; Sun 1995 values'!F$2,)</f>
        <v>13039.530924578805</v>
      </c>
      <c r="HX147" s="4">
        <f>IFERROR(GV147/'McDonough &amp; Sun 1995 values'!G$2,)</f>
        <v>2991.0169633120772</v>
      </c>
      <c r="HY147" s="4">
        <f>IFERROR(GW147/'McDonough &amp; Sun 1995 values'!H$2,)</f>
        <v>1126.1148470356115</v>
      </c>
      <c r="HZ147" s="4">
        <f>IFERROR(GX147/'McDonough &amp; Sun 1995 values'!I$2,)</f>
        <v>360.22333500139513</v>
      </c>
      <c r="IA147" s="4">
        <f>IFERROR(GY147/'McDonough &amp; Sun 1995 values'!J$2,)</f>
        <v>562.65887348242234</v>
      </c>
      <c r="IB147" s="4">
        <f>IFERROR(GZ147/'McDonough &amp; Sun 1995 values'!K$2,)</f>
        <v>4113.6615416825989</v>
      </c>
      <c r="IC147" s="4">
        <f>IFERROR(HA147/'McDonough &amp; Sun 1995 values'!L$2,)</f>
        <v>1237.7823385122567</v>
      </c>
      <c r="ID147" s="4">
        <f>IFERROR(HB147/'McDonough &amp; Sun 1995 values'!M$2,)</f>
        <v>583.03864370304552</v>
      </c>
      <c r="IE147" s="4">
        <f>IFERROR(HC147/'McDonough &amp; Sun 1995 values'!N$2,)</f>
        <v>431.62438688609376</v>
      </c>
      <c r="IF147" s="4">
        <f>IFERROR(HD147/'McDonough &amp; Sun 1995 values'!O$2,)</f>
        <v>302.1073036211701</v>
      </c>
      <c r="IG147" s="4">
        <f>IFERROR(HE147/'McDonough &amp; Sun 1995 values'!P$2,)</f>
        <v>0</v>
      </c>
      <c r="IH147" s="4">
        <f>IFERROR(HF147/'McDonough &amp; Sun 1995 values'!Q$2,)</f>
        <v>0</v>
      </c>
      <c r="II147" s="4">
        <f>IFERROR(HG147/'McDonough &amp; Sun 1995 values'!R$2,)</f>
        <v>2.6092367492958197</v>
      </c>
      <c r="IJ147" s="4">
        <f>IFERROR(HH147/'McDonough &amp; Sun 1995 values'!S$2,)</f>
        <v>0</v>
      </c>
      <c r="IK147" s="4">
        <f>IFERROR(HI147/'McDonough &amp; Sun 1995 values'!T$2,)</f>
        <v>0.99547195481713346</v>
      </c>
      <c r="IL147" s="4">
        <f>IFERROR(HJ147/'McDonough &amp; Sun 1995 values'!U$2,)</f>
        <v>0</v>
      </c>
      <c r="IM147" s="4">
        <f>IFERROR(HK147/'McDonough &amp; Sun 1995 values'!V$2,)</f>
        <v>0</v>
      </c>
      <c r="IN147" s="4">
        <f>IFERROR(HL147/'McDonough &amp; Sun 1995 values'!W$2,)</f>
        <v>0</v>
      </c>
      <c r="IO147" s="4">
        <f>IFERROR(HM147/'McDonough &amp; Sun 1995 values'!X$2,)</f>
        <v>0</v>
      </c>
      <c r="IP147" s="4">
        <f>IFERROR(HN147/'McDonough &amp; Sun 1995 values'!Y$2,)</f>
        <v>0</v>
      </c>
      <c r="IQ147" s="4">
        <f>IFERROR(HO147/'McDonough &amp; Sun 1995 values'!Z$2,)</f>
        <v>0</v>
      </c>
      <c r="IR147" s="4">
        <f>IFERROR(HP147/'McDonough &amp; Sun 1995 values'!AA$2,)</f>
        <v>0</v>
      </c>
      <c r="IS147" s="4">
        <f>IFERROR(HQ147/'McDonough &amp; Sun 1995 values'!AB$2,)</f>
        <v>0</v>
      </c>
      <c r="IT147" s="4">
        <f>IFERROR(HR147/'McDonough &amp; Sun 1995 values'!AC$2,)</f>
        <v>0</v>
      </c>
    </row>
    <row r="148" spans="1:254">
      <c r="A148" s="16" t="s">
        <v>1319</v>
      </c>
      <c r="B148" s="16" t="s">
        <v>24</v>
      </c>
      <c r="C148" s="16" t="str">
        <f t="shared" si="304"/>
        <v>saline</v>
      </c>
      <c r="D148" s="16" t="s">
        <v>119</v>
      </c>
      <c r="E148" s="16" t="s">
        <v>171</v>
      </c>
      <c r="F148" s="16" t="s">
        <v>45</v>
      </c>
      <c r="G148" s="16" t="s">
        <v>595</v>
      </c>
      <c r="H148" s="27">
        <v>55</v>
      </c>
      <c r="I148" s="16" t="s">
        <v>712</v>
      </c>
      <c r="J148" s="16" t="s">
        <v>1426</v>
      </c>
      <c r="K148" s="16" t="s">
        <v>802</v>
      </c>
      <c r="L148" s="16" t="s">
        <v>1725</v>
      </c>
      <c r="M148" s="16" t="s">
        <v>123</v>
      </c>
      <c r="N148" s="16">
        <v>18</v>
      </c>
      <c r="O148" s="26">
        <v>3.8</v>
      </c>
      <c r="P148" s="26">
        <v>0.3</v>
      </c>
      <c r="Q148" s="26"/>
      <c r="R148" s="26">
        <v>0.9</v>
      </c>
      <c r="S148" s="26">
        <v>7.5</v>
      </c>
      <c r="T148" s="26">
        <v>3.9</v>
      </c>
      <c r="U148" s="26"/>
      <c r="V148" s="26">
        <v>7.5</v>
      </c>
      <c r="W148" s="26">
        <v>8.3000000000000007</v>
      </c>
      <c r="X148" s="26">
        <v>29.1</v>
      </c>
      <c r="Y148" s="26"/>
      <c r="Z148" s="26"/>
      <c r="AA148" s="26">
        <v>1.9</v>
      </c>
      <c r="AB148" s="26">
        <v>11.7</v>
      </c>
      <c r="AC148" s="26"/>
      <c r="AD148" s="26">
        <v>31.78</v>
      </c>
      <c r="AE148" s="26"/>
      <c r="AF148" s="26"/>
      <c r="AG148" s="26"/>
      <c r="AH148" s="26"/>
      <c r="AI148" s="26"/>
      <c r="AJ148" s="26">
        <f t="shared" si="305"/>
        <v>104.78</v>
      </c>
      <c r="AK148" s="26">
        <f t="shared" si="365"/>
        <v>3.8931151886402304</v>
      </c>
      <c r="AL148" s="26">
        <f t="shared" si="366"/>
        <v>0.30735119910317604</v>
      </c>
      <c r="AM148" s="26">
        <f t="shared" si="367"/>
        <v>0.92205359730952818</v>
      </c>
      <c r="AN148" s="26">
        <f t="shared" si="368"/>
        <v>7.6837799775794009</v>
      </c>
      <c r="AO148" s="26">
        <f t="shared" si="369"/>
        <v>3.9955655883412886</v>
      </c>
      <c r="AP148" s="26">
        <f t="shared" si="370"/>
        <v>7.6837799775794009</v>
      </c>
      <c r="AQ148" s="26">
        <f t="shared" si="371"/>
        <v>11.986696765023867</v>
      </c>
      <c r="AR148" s="26">
        <f t="shared" si="372"/>
        <v>8.5033831751878708</v>
      </c>
      <c r="AS148" s="26">
        <f t="shared" si="373"/>
        <v>29.813066313008079</v>
      </c>
      <c r="AT148" s="26">
        <f t="shared" si="374"/>
        <v>0</v>
      </c>
      <c r="AU148" s="26">
        <f t="shared" si="375"/>
        <v>32.558737024996454</v>
      </c>
      <c r="AV148" s="26">
        <f t="shared" si="306"/>
        <v>107.3475288067693</v>
      </c>
      <c r="AW148" s="26">
        <v>14.9</v>
      </c>
      <c r="AX148" s="26">
        <v>55.5</v>
      </c>
      <c r="AY148" s="97"/>
      <c r="AZ148" s="97"/>
      <c r="BA148" s="26">
        <v>0.21</v>
      </c>
      <c r="BC148" s="26">
        <f t="shared" si="376"/>
        <v>0.79</v>
      </c>
      <c r="BD148" s="26">
        <f t="shared" si="377"/>
        <v>0.21</v>
      </c>
      <c r="BE148" s="25"/>
      <c r="BF148" s="25"/>
      <c r="BG148" s="16"/>
      <c r="BH148" s="16"/>
      <c r="BI148" s="16"/>
      <c r="BJ148" s="16"/>
      <c r="BK148" s="18"/>
      <c r="BL148" s="18"/>
      <c r="BM148" s="18"/>
      <c r="BN148" s="18"/>
      <c r="BO148" s="18"/>
      <c r="BP148" s="18"/>
      <c r="BQ148" s="18"/>
      <c r="BR148" s="18">
        <v>475</v>
      </c>
      <c r="BS148" s="18"/>
      <c r="BT148" s="18">
        <v>0.23</v>
      </c>
      <c r="BU148" s="18"/>
      <c r="BV148" s="18"/>
      <c r="BW148" s="18"/>
      <c r="BX148" s="18"/>
      <c r="BY148" s="18"/>
      <c r="BZ148" s="18"/>
      <c r="CA148" s="18"/>
      <c r="CB148" s="18"/>
      <c r="CC148" s="18"/>
      <c r="CD148" s="18"/>
      <c r="CE148" s="18"/>
      <c r="CF148" s="18"/>
      <c r="CG148" s="18"/>
      <c r="CH148" s="18">
        <v>0.99</v>
      </c>
      <c r="CI148" s="18">
        <v>9</v>
      </c>
      <c r="CJ148" s="18">
        <v>4.0000000000000001E-3</v>
      </c>
      <c r="CK148" s="18">
        <v>2.1000000000000001E-2</v>
      </c>
      <c r="CL148" s="18"/>
      <c r="CM148" s="18">
        <v>0.44</v>
      </c>
      <c r="CN148" s="18"/>
      <c r="CO148" s="18"/>
      <c r="CP148" s="18"/>
      <c r="CQ148" s="18"/>
      <c r="CR148" s="18">
        <v>5.6000000000000001E-2</v>
      </c>
      <c r="CS148" s="18">
        <v>251</v>
      </c>
      <c r="CT148" s="18"/>
      <c r="CU148" s="18">
        <v>2.9</v>
      </c>
      <c r="CV148" s="18">
        <v>2.2599999999999998</v>
      </c>
      <c r="CW148" s="18">
        <v>0.13100000000000001</v>
      </c>
      <c r="CX148" s="18">
        <v>0.44</v>
      </c>
      <c r="CY148" s="18"/>
      <c r="CZ148" s="18"/>
      <c r="DA148" s="18"/>
      <c r="DB148" s="18"/>
      <c r="DC148" s="18"/>
      <c r="DD148" s="18"/>
      <c r="DE148" s="18"/>
      <c r="DF148" s="18"/>
      <c r="DG148" s="18"/>
      <c r="DH148" s="18"/>
      <c r="DI148" s="18">
        <v>1.7999999999999999E-2</v>
      </c>
      <c r="DJ148" s="18"/>
      <c r="DK148" s="18"/>
      <c r="DL148" s="18">
        <v>1.86</v>
      </c>
      <c r="DM148" s="18">
        <v>9.4E-2</v>
      </c>
      <c r="DN148" s="18"/>
      <c r="DO148" s="18"/>
      <c r="DP148" s="18"/>
      <c r="DQ148" s="18"/>
      <c r="DR148" s="18"/>
      <c r="DS148" s="18"/>
      <c r="DT148" s="18"/>
      <c r="DU148" s="18"/>
      <c r="DV148" s="51">
        <v>0.70687999999999995</v>
      </c>
      <c r="DW148" s="51">
        <v>6.9999999999999994E-5</v>
      </c>
      <c r="DX148" s="51">
        <v>0.70672000000000001</v>
      </c>
      <c r="DY148" s="45">
        <v>0</v>
      </c>
      <c r="DZ148" s="52">
        <v>32.42</v>
      </c>
      <c r="EA148" s="28"/>
      <c r="EB148" s="28"/>
      <c r="EC148" s="28"/>
      <c r="ED148" s="28"/>
      <c r="EE148" s="28"/>
      <c r="EF148" s="28"/>
      <c r="EG148" s="28"/>
      <c r="EH148" s="28"/>
      <c r="EI148" s="28"/>
      <c r="EJ148" s="18"/>
      <c r="EK148" s="18"/>
      <c r="EL148" s="18">
        <f>IFERROR(CR148/'McDonough &amp; Sun 1995 values'!C$2,)</f>
        <v>2.6666666666666665</v>
      </c>
      <c r="EM148" s="18">
        <f>IFERROR(CH148/'McDonough &amp; Sun 1995 values'!D$2,)</f>
        <v>1.6500000000000001</v>
      </c>
      <c r="EN148" s="18">
        <f>IFERROR(CS148/'McDonough &amp; Sun 1995 values'!E$2,)</f>
        <v>38.030303030303031</v>
      </c>
      <c r="EO148" s="18">
        <f>IFERROR(DL148/'McDonough &amp; Sun 1995 values'!F$2,)</f>
        <v>23.39622641509434</v>
      </c>
      <c r="EP148" s="18">
        <f>IFERROR(DM148/'McDonough &amp; Sun 1995 values'!G$2,)</f>
        <v>4.6305418719211824</v>
      </c>
      <c r="EQ148" s="18">
        <f>IFERROR(BR148/'McDonough &amp; Sun 1995 values'!H$2,)</f>
        <v>1.9791666666666667</v>
      </c>
      <c r="ER148" s="18">
        <f>IFERROR(DI148/'McDonough &amp; Sun 1995 values'!I$2,)</f>
        <v>0.48648648648648646</v>
      </c>
      <c r="ES148" s="18">
        <f>IFERROR(CM148/'McDonough &amp; Sun 1995 values'!J$2,)</f>
        <v>0.66869300911854102</v>
      </c>
      <c r="ET148" s="18">
        <f>IFERROR(CU148/'McDonough &amp; Sun 1995 values'!K$2,)</f>
        <v>4.4753086419753085</v>
      </c>
      <c r="EU148" s="18">
        <f>IFERROR(CV148/'McDonough &amp; Sun 1995 values'!L$2,)</f>
        <v>1.3492537313432835</v>
      </c>
      <c r="EV148" s="18">
        <f>IFERROR(CW148/'McDonough &amp; Sun 1995 values'!M$2,)</f>
        <v>0.51574803149606296</v>
      </c>
      <c r="EW148" s="18">
        <f>IFERROR(CI148/'McDonough &amp; Sun 1995 values'!N$2,)</f>
        <v>0.45226130653266333</v>
      </c>
      <c r="EX148" s="18">
        <f>IFERROR(CX148/'McDonough &amp; Sun 1995 values'!O$2,)</f>
        <v>0.35199999999999998</v>
      </c>
      <c r="EY148" s="18">
        <f>IFERROR(CY148/'McDonough &amp; Sun 1995 values'!P$2,)</f>
        <v>0</v>
      </c>
      <c r="EZ148" s="18">
        <f>IFERROR(DH148/'McDonough &amp; Sun 1995 values'!Q$2,)</f>
        <v>0</v>
      </c>
      <c r="FA148" s="18">
        <f>IFERROR(CK148/'McDonough &amp; Sun 1995 values'!R$2,)</f>
        <v>2E-3</v>
      </c>
      <c r="FB148" s="18">
        <f>IFERROR(CZ148/'McDonough &amp; Sun 1995 values'!S$2,)</f>
        <v>0</v>
      </c>
      <c r="FC148" s="18">
        <f>IFERROR(BT148/'McDonough &amp; Sun 1995 values'!T$2,)</f>
        <v>1.9087136929460581E-4</v>
      </c>
      <c r="FD148" s="18">
        <f>IFERROR(DA148/'McDonough &amp; Sun 1995 values'!U$2,)</f>
        <v>0</v>
      </c>
      <c r="FE148" s="18">
        <f>IFERROR(DN148/'McDonough &amp; Sun 1995 values'!V$2,)</f>
        <v>0</v>
      </c>
      <c r="FF148" s="18">
        <f>IFERROR(DB148/'McDonough &amp; Sun 1995 values'!W$2,)</f>
        <v>0</v>
      </c>
      <c r="FG148" s="18">
        <f>IFERROR(CJ148/'McDonough &amp; Sun 1995 values'!X$2,)</f>
        <v>9.3023255813953494E-4</v>
      </c>
      <c r="FH148" s="18">
        <f>IFERROR(DC148/'McDonough &amp; Sun 1995 values'!Y$2,)</f>
        <v>0</v>
      </c>
      <c r="FI148" s="18">
        <f>IFERROR(DD148/'McDonough &amp; Sun 1995 values'!Z$2,)</f>
        <v>0</v>
      </c>
      <c r="FJ148" s="18">
        <f>IFERROR(DE148/'McDonough &amp; Sun 1995 values'!AA$2,)</f>
        <v>0</v>
      </c>
      <c r="FK148" s="18">
        <f>IFERROR(DF148/'McDonough &amp; Sun 1995 values'!AB$2,)</f>
        <v>0</v>
      </c>
      <c r="FL148" s="18">
        <f>IFERROR(DG148/'McDonough &amp; Sun 1995 values'!AC$2,)</f>
        <v>0</v>
      </c>
      <c r="FN148" s="28">
        <f t="shared" si="299"/>
        <v>2.3396422089707025</v>
      </c>
      <c r="FO148" s="4">
        <f t="shared" si="309"/>
        <v>8.2129271437782077</v>
      </c>
      <c r="FP148" s="4">
        <f t="shared" si="310"/>
        <v>34.987993138936538</v>
      </c>
      <c r="FQ148" s="4">
        <f t="shared" si="311"/>
        <v>5.0525893215576074</v>
      </c>
      <c r="FR148" s="4">
        <f t="shared" si="312"/>
        <v>6.6926206509539847</v>
      </c>
      <c r="FS148" s="4">
        <f t="shared" si="313"/>
        <v>9.1992455418381347</v>
      </c>
      <c r="FT148" s="4">
        <f t="shared" si="314"/>
        <v>0.61875000000000013</v>
      </c>
      <c r="FU148" s="4">
        <f t="shared" si="315"/>
        <v>0.72751842751842755</v>
      </c>
      <c r="FV148" s="4">
        <f t="shared" si="316"/>
        <v>0</v>
      </c>
      <c r="FW148" s="4">
        <f t="shared" si="317"/>
        <v>0</v>
      </c>
      <c r="FX148" s="4">
        <f t="shared" si="318"/>
        <v>0</v>
      </c>
      <c r="FY148" s="4">
        <f t="shared" si="319"/>
        <v>1.0614494388227969</v>
      </c>
      <c r="FZ148" s="4">
        <f t="shared" si="320"/>
        <v>0</v>
      </c>
      <c r="GA148" s="4">
        <f t="shared" si="321"/>
        <v>0.87690360197936257</v>
      </c>
      <c r="GB148" s="4">
        <f t="shared" si="322"/>
        <v>0</v>
      </c>
      <c r="GC148" s="4">
        <f t="shared" si="323"/>
        <v>1.6161616161616159</v>
      </c>
      <c r="GD148" s="4">
        <f t="shared" si="324"/>
        <v>1.6254887585532747</v>
      </c>
      <c r="GE148" s="4">
        <f t="shared" si="325"/>
        <v>23.048668503213957</v>
      </c>
      <c r="GF148" s="4">
        <f t="shared" si="326"/>
        <v>19.215311004784688</v>
      </c>
      <c r="GG148" s="4">
        <f t="shared" si="327"/>
        <v>56.872589531680447</v>
      </c>
      <c r="GH148" s="4">
        <f t="shared" si="328"/>
        <v>8.677315992837622</v>
      </c>
      <c r="GI148" s="4">
        <f t="shared" si="329"/>
        <v>0</v>
      </c>
      <c r="GJ148" s="4">
        <f t="shared" si="330"/>
        <v>0</v>
      </c>
      <c r="GK148" s="4">
        <f t="shared" si="331"/>
        <v>0</v>
      </c>
      <c r="GL148" s="4">
        <f t="shared" si="332"/>
        <v>10.478260869565217</v>
      </c>
      <c r="GM148" s="4">
        <f t="shared" si="333"/>
        <v>14.179531160663235</v>
      </c>
      <c r="GN148" s="4">
        <f t="shared" si="334"/>
        <v>0.14941829996855677</v>
      </c>
      <c r="GO148" s="4">
        <f t="shared" si="335"/>
        <v>0.14440923494794022</v>
      </c>
      <c r="GP148" s="4">
        <f t="shared" si="336"/>
        <v>0.427415780141844</v>
      </c>
      <c r="GQ148" s="27">
        <f t="shared" si="337"/>
        <v>247489.38514226957</v>
      </c>
      <c r="GR148" s="28">
        <f t="shared" si="338"/>
        <v>29.177695932562308</v>
      </c>
      <c r="GS148" s="28">
        <f t="shared" si="339"/>
        <v>515.81998166494077</v>
      </c>
      <c r="GT148" s="28">
        <f t="shared" si="340"/>
        <v>130778.60141202033</v>
      </c>
      <c r="GU148" s="28">
        <f t="shared" si="341"/>
        <v>969.11632918867679</v>
      </c>
      <c r="GV148" s="28">
        <f t="shared" si="342"/>
        <v>48.976846743943874</v>
      </c>
      <c r="GW148" s="28">
        <f t="shared" si="343"/>
        <v>247489.38514226957</v>
      </c>
      <c r="GX148" s="28">
        <f t="shared" si="344"/>
        <v>9.3785451211807409</v>
      </c>
      <c r="GY148" s="28">
        <f t="shared" si="345"/>
        <v>229.25332518441812</v>
      </c>
      <c r="GZ148" s="28">
        <f t="shared" si="346"/>
        <v>1510.9878250791196</v>
      </c>
      <c r="HA148" s="28">
        <f t="shared" si="347"/>
        <v>1177.528442992693</v>
      </c>
      <c r="HB148" s="28">
        <f t="shared" si="348"/>
        <v>68.254967270815399</v>
      </c>
      <c r="HC148" s="28">
        <f t="shared" si="349"/>
        <v>4689.2725605903715</v>
      </c>
      <c r="HD148" s="28">
        <f t="shared" si="350"/>
        <v>229.25332518441812</v>
      </c>
      <c r="HE148" s="28">
        <f t="shared" si="351"/>
        <v>0</v>
      </c>
      <c r="HF148" s="28">
        <f t="shared" si="352"/>
        <v>0</v>
      </c>
      <c r="HG148" s="28">
        <f t="shared" si="353"/>
        <v>10.941635974710866</v>
      </c>
      <c r="HH148" s="28">
        <f t="shared" si="354"/>
        <v>0</v>
      </c>
      <c r="HI148" s="28">
        <f t="shared" si="355"/>
        <v>119.83696543730949</v>
      </c>
      <c r="HJ148" s="28">
        <f t="shared" si="356"/>
        <v>0</v>
      </c>
      <c r="HK148" s="28">
        <f t="shared" si="357"/>
        <v>0</v>
      </c>
      <c r="HL148" s="28">
        <f t="shared" si="358"/>
        <v>0</v>
      </c>
      <c r="HM148" s="28">
        <f t="shared" si="359"/>
        <v>2.0841211380401652</v>
      </c>
      <c r="HN148" s="28">
        <f t="shared" si="360"/>
        <v>0</v>
      </c>
      <c r="HO148" s="28">
        <f t="shared" si="361"/>
        <v>0</v>
      </c>
      <c r="HP148" s="28">
        <f t="shared" si="362"/>
        <v>0</v>
      </c>
      <c r="HQ148" s="28">
        <f t="shared" si="363"/>
        <v>0</v>
      </c>
      <c r="HR148" s="28">
        <f t="shared" si="364"/>
        <v>0</v>
      </c>
      <c r="HT148" s="4">
        <f>IFERROR(GR148/'McDonough &amp; Sun 1995 values'!C$2,)</f>
        <v>1389.4140920267764</v>
      </c>
      <c r="HU148" s="4">
        <f>IFERROR(GS148/'McDonough &amp; Sun 1995 values'!D$2,)</f>
        <v>859.69996944156799</v>
      </c>
      <c r="HV148" s="4">
        <f>IFERROR(GT148/'McDonough &amp; Sun 1995 values'!E$2,)</f>
        <v>19814.939607881868</v>
      </c>
      <c r="HW148" s="4">
        <f>IFERROR(GU148/'McDonough &amp; Sun 1995 values'!F$2,)</f>
        <v>12190.142505517946</v>
      </c>
      <c r="HX148" s="4">
        <f>IFERROR(GV148/'McDonough &amp; Sun 1995 values'!G$2,)</f>
        <v>2412.6525489627525</v>
      </c>
      <c r="HY148" s="4">
        <f>IFERROR(GW148/'McDonough &amp; Sun 1995 values'!H$2,)</f>
        <v>1031.2057714261232</v>
      </c>
      <c r="HZ148" s="4">
        <f>IFERROR(GX148/'McDonough &amp; Sun 1995 values'!I$2,)</f>
        <v>253.47419246434436</v>
      </c>
      <c r="IA148" s="4">
        <f>IFERROR(GY148/'McDonough &amp; Sun 1995 values'!J$2,)</f>
        <v>348.40930879090899</v>
      </c>
      <c r="IB148" s="4">
        <f>IFERROR(GZ148/'McDonough &amp; Sun 1995 values'!K$2,)</f>
        <v>2331.7713349986411</v>
      </c>
      <c r="IC148" s="4">
        <f>IFERROR(HA148/'McDonough &amp; Sun 1995 values'!L$2,)</f>
        <v>703.00205551802571</v>
      </c>
      <c r="ID148" s="4">
        <f>IFERROR(HB148/'McDonough &amp; Sun 1995 values'!M$2,)</f>
        <v>268.72034358588741</v>
      </c>
      <c r="IE148" s="4">
        <f>IFERROR(HC148/'McDonough &amp; Sun 1995 values'!N$2,)</f>
        <v>235.64183721559658</v>
      </c>
      <c r="IF148" s="4">
        <f>IFERROR(HD148/'McDonough &amp; Sun 1995 values'!O$2,)</f>
        <v>183.4026601475345</v>
      </c>
      <c r="IG148" s="4">
        <f>IFERROR(HE148/'McDonough &amp; Sun 1995 values'!P$2,)</f>
        <v>0</v>
      </c>
      <c r="IH148" s="4">
        <f>IFERROR(HF148/'McDonough &amp; Sun 1995 values'!Q$2,)</f>
        <v>0</v>
      </c>
      <c r="II148" s="4">
        <f>IFERROR(HG148/'McDonough &amp; Sun 1995 values'!R$2,)</f>
        <v>1.0420605690200826</v>
      </c>
      <c r="IJ148" s="4">
        <f>IFERROR(HH148/'McDonough &amp; Sun 1995 values'!S$2,)</f>
        <v>0</v>
      </c>
      <c r="IK148" s="4">
        <f>IFERROR(HI148/'McDonough &amp; Sun 1995 values'!T$2,)</f>
        <v>9.9449763848389619E-2</v>
      </c>
      <c r="IL148" s="4">
        <f>IFERROR(HJ148/'McDonough &amp; Sun 1995 values'!U$2,)</f>
        <v>0</v>
      </c>
      <c r="IM148" s="4">
        <f>IFERROR(HK148/'McDonough &amp; Sun 1995 values'!V$2,)</f>
        <v>0</v>
      </c>
      <c r="IN148" s="4">
        <f>IFERROR(HL148/'McDonough &amp; Sun 1995 values'!W$2,)</f>
        <v>0</v>
      </c>
      <c r="IO148" s="4">
        <f>IFERROR(HM148/'McDonough &amp; Sun 1995 values'!X$2,)</f>
        <v>0.48467933442794542</v>
      </c>
      <c r="IP148" s="4">
        <f>IFERROR(HN148/'McDonough &amp; Sun 1995 values'!Y$2,)</f>
        <v>0</v>
      </c>
      <c r="IQ148" s="4">
        <f>IFERROR(HO148/'McDonough &amp; Sun 1995 values'!Z$2,)</f>
        <v>0</v>
      </c>
      <c r="IR148" s="4">
        <f>IFERROR(HP148/'McDonough &amp; Sun 1995 values'!AA$2,)</f>
        <v>0</v>
      </c>
      <c r="IS148" s="4">
        <f>IFERROR(HQ148/'McDonough &amp; Sun 1995 values'!AB$2,)</f>
        <v>0</v>
      </c>
      <c r="IT148" s="4">
        <f>IFERROR(HR148/'McDonough &amp; Sun 1995 values'!AC$2,)</f>
        <v>0</v>
      </c>
    </row>
    <row r="149" spans="1:254">
      <c r="A149" s="16" t="s">
        <v>1175</v>
      </c>
      <c r="B149" s="16" t="s">
        <v>24</v>
      </c>
      <c r="C149" s="16" t="str">
        <f t="shared" si="304"/>
        <v>saline</v>
      </c>
      <c r="D149" s="16" t="s">
        <v>119</v>
      </c>
      <c r="E149" s="16" t="s">
        <v>171</v>
      </c>
      <c r="F149" s="16" t="s">
        <v>45</v>
      </c>
      <c r="G149" s="16" t="s">
        <v>595</v>
      </c>
      <c r="H149" s="27">
        <v>55</v>
      </c>
      <c r="I149" s="16" t="s">
        <v>712</v>
      </c>
      <c r="J149" s="16">
        <v>0</v>
      </c>
      <c r="K149" s="16">
        <v>0</v>
      </c>
      <c r="L149" s="16" t="s">
        <v>99</v>
      </c>
      <c r="M149" s="16" t="s">
        <v>46</v>
      </c>
      <c r="N149" s="16">
        <v>71</v>
      </c>
      <c r="O149" s="26">
        <v>6.4</v>
      </c>
      <c r="P149" s="26">
        <v>0.8</v>
      </c>
      <c r="Q149" s="26"/>
      <c r="R149" s="26">
        <v>0.9</v>
      </c>
      <c r="S149" s="26">
        <v>6.3</v>
      </c>
      <c r="T149" s="26">
        <v>9.1</v>
      </c>
      <c r="U149" s="26"/>
      <c r="V149" s="26">
        <v>8.1</v>
      </c>
      <c r="W149" s="26">
        <v>17.600000000000001</v>
      </c>
      <c r="X149" s="26">
        <v>20</v>
      </c>
      <c r="Y149" s="26"/>
      <c r="Z149" s="26">
        <v>2</v>
      </c>
      <c r="AA149" s="26">
        <v>1.7</v>
      </c>
      <c r="AB149" s="26">
        <v>10.199999999999999</v>
      </c>
      <c r="AC149" s="26"/>
      <c r="AD149" s="26">
        <v>21.6</v>
      </c>
      <c r="AE149" s="26"/>
      <c r="AF149" s="26"/>
      <c r="AG149" s="26"/>
      <c r="AH149" s="26"/>
      <c r="AI149" s="26"/>
      <c r="AJ149" s="26">
        <f t="shared" si="305"/>
        <v>103</v>
      </c>
      <c r="AK149" s="26">
        <f t="shared" si="365"/>
        <v>6.522257837317273</v>
      </c>
      <c r="AL149" s="26">
        <f t="shared" si="366"/>
        <v>0.81528222966465913</v>
      </c>
      <c r="AM149" s="26">
        <f t="shared" si="367"/>
        <v>0.91719250837274147</v>
      </c>
      <c r="AN149" s="26">
        <f t="shared" si="368"/>
        <v>6.4203475586091896</v>
      </c>
      <c r="AO149" s="26">
        <f t="shared" si="369"/>
        <v>9.2738353624354968</v>
      </c>
      <c r="AP149" s="26">
        <f t="shared" si="370"/>
        <v>8.254732575354673</v>
      </c>
      <c r="AQ149" s="26">
        <f t="shared" si="371"/>
        <v>10.394848428224403</v>
      </c>
      <c r="AR149" s="26">
        <f t="shared" si="372"/>
        <v>17.936209052622502</v>
      </c>
      <c r="AS149" s="26">
        <f t="shared" si="373"/>
        <v>20.382055741616476</v>
      </c>
      <c r="AT149" s="26">
        <f t="shared" si="374"/>
        <v>2.0382055741616476</v>
      </c>
      <c r="AU149" s="26">
        <f t="shared" si="375"/>
        <v>22.012620200945797</v>
      </c>
      <c r="AV149" s="26">
        <f t="shared" si="306"/>
        <v>104.96758706932488</v>
      </c>
      <c r="AW149" s="16"/>
      <c r="AX149" s="16"/>
      <c r="AY149" s="16"/>
      <c r="AZ149" s="16"/>
      <c r="BA149" s="26"/>
      <c r="BB149" s="26"/>
      <c r="BC149" s="26"/>
      <c r="BD149" s="26"/>
      <c r="BE149" s="25"/>
      <c r="BF149" s="25"/>
      <c r="BG149" s="16"/>
      <c r="BH149" s="16"/>
      <c r="BI149" s="16"/>
      <c r="BJ149" s="16"/>
      <c r="BK149" s="18"/>
      <c r="BL149" s="18"/>
      <c r="BM149" s="18"/>
      <c r="BN149" s="18"/>
      <c r="BO149" s="18"/>
      <c r="BP149" s="18"/>
      <c r="BQ149" s="18"/>
      <c r="BR149" s="18">
        <v>641</v>
      </c>
      <c r="BS149" s="18"/>
      <c r="BT149" s="18">
        <v>1</v>
      </c>
      <c r="BU149" s="18"/>
      <c r="BV149" s="18"/>
      <c r="BW149" s="18"/>
      <c r="BX149" s="18"/>
      <c r="BY149" s="18"/>
      <c r="BZ149" s="18"/>
      <c r="CA149" s="18"/>
      <c r="CB149" s="18"/>
      <c r="CC149" s="18"/>
      <c r="CD149" s="18"/>
      <c r="CE149" s="18"/>
      <c r="CF149" s="18"/>
      <c r="CG149" s="18"/>
      <c r="CH149" s="18">
        <v>0.56999999999999995</v>
      </c>
      <c r="CI149" s="18">
        <v>23</v>
      </c>
      <c r="CJ149" s="18">
        <v>6.1999999999999998E-3</v>
      </c>
      <c r="CK149" s="18">
        <v>0.47</v>
      </c>
      <c r="CL149" s="18"/>
      <c r="CM149" s="18">
        <v>2.7389999999999999</v>
      </c>
      <c r="CN149" s="18"/>
      <c r="CO149" s="18"/>
      <c r="CP149" s="18"/>
      <c r="CQ149" s="18"/>
      <c r="CR149" s="18">
        <v>3.5000000000000003E-2</v>
      </c>
      <c r="CS149" s="18">
        <v>415</v>
      </c>
      <c r="CT149" s="18"/>
      <c r="CU149" s="18">
        <v>8.75</v>
      </c>
      <c r="CV149" s="18">
        <v>6.4</v>
      </c>
      <c r="CW149" s="18">
        <v>0.46</v>
      </c>
      <c r="CX149" s="18">
        <v>1.4</v>
      </c>
      <c r="CY149" s="18">
        <v>4.5999999999999999E-2</v>
      </c>
      <c r="CZ149" s="18">
        <v>1.2999999999999999E-2</v>
      </c>
      <c r="DA149" s="18">
        <v>0.02</v>
      </c>
      <c r="DB149" s="18"/>
      <c r="DC149" s="18"/>
      <c r="DD149" s="18">
        <v>5.3E-3</v>
      </c>
      <c r="DE149" s="18"/>
      <c r="DF149" s="18"/>
      <c r="DG149" s="18"/>
      <c r="DH149" s="18">
        <v>0.01</v>
      </c>
      <c r="DI149" s="18">
        <v>0.05</v>
      </c>
      <c r="DJ149" s="18"/>
      <c r="DK149" s="18"/>
      <c r="DL149" s="18">
        <v>3.7</v>
      </c>
      <c r="DM149" s="18">
        <v>0.39</v>
      </c>
      <c r="DN149" s="18"/>
      <c r="DO149" s="18"/>
      <c r="DP149" s="18"/>
      <c r="DQ149" s="18"/>
      <c r="DR149" s="18"/>
      <c r="DS149" s="18"/>
      <c r="DT149" s="18"/>
      <c r="DU149" s="18"/>
      <c r="DV149" s="28"/>
      <c r="DW149" s="28"/>
      <c r="DX149" s="28"/>
      <c r="DY149" s="28"/>
      <c r="DZ149" s="28"/>
      <c r="EA149" s="28"/>
      <c r="EB149" s="28"/>
      <c r="EC149" s="28"/>
      <c r="ED149" s="28"/>
      <c r="EE149" s="28"/>
      <c r="EF149" s="28"/>
      <c r="EG149" s="28"/>
      <c r="EH149" s="28"/>
      <c r="EI149" s="28"/>
      <c r="EJ149" s="18"/>
      <c r="EK149" s="18"/>
      <c r="EL149" s="18">
        <f>IFERROR(CR149/'McDonough &amp; Sun 1995 values'!C$2,)</f>
        <v>1.6666666666666667</v>
      </c>
      <c r="EM149" s="18">
        <f>IFERROR(CH149/'McDonough &amp; Sun 1995 values'!D$2,)</f>
        <v>0.95</v>
      </c>
      <c r="EN149" s="18">
        <f>IFERROR(CS149/'McDonough &amp; Sun 1995 values'!E$2,)</f>
        <v>62.878787878787882</v>
      </c>
      <c r="EO149" s="18">
        <f>IFERROR(DL149/'McDonough &amp; Sun 1995 values'!F$2,)</f>
        <v>46.540880503144656</v>
      </c>
      <c r="EP149" s="18">
        <f>IFERROR(DM149/'McDonough &amp; Sun 1995 values'!G$2,)</f>
        <v>19.211822660098523</v>
      </c>
      <c r="EQ149" s="18">
        <f>IFERROR(BR149/'McDonough &amp; Sun 1995 values'!H$2,)</f>
        <v>2.6708333333333334</v>
      </c>
      <c r="ER149" s="18">
        <f>IFERROR(DI149/'McDonough &amp; Sun 1995 values'!I$2,)</f>
        <v>1.3513513513513515</v>
      </c>
      <c r="ES149" s="18">
        <f>IFERROR(CM149/'McDonough &amp; Sun 1995 values'!J$2,)</f>
        <v>4.1626139817629175</v>
      </c>
      <c r="ET149" s="18">
        <f>IFERROR(CU149/'McDonough &amp; Sun 1995 values'!K$2,)</f>
        <v>13.503086419753085</v>
      </c>
      <c r="EU149" s="18">
        <f>IFERROR(CV149/'McDonough &amp; Sun 1995 values'!L$2,)</f>
        <v>3.8208955223880596</v>
      </c>
      <c r="EV149" s="18">
        <f>IFERROR(CW149/'McDonough &amp; Sun 1995 values'!M$2,)</f>
        <v>1.8110236220472442</v>
      </c>
      <c r="EW149" s="18">
        <f>IFERROR(CI149/'McDonough &amp; Sun 1995 values'!N$2,)</f>
        <v>1.1557788944723619</v>
      </c>
      <c r="EX149" s="18">
        <f>IFERROR(CX149/'McDonough &amp; Sun 1995 values'!O$2,)</f>
        <v>1.1199999999999999</v>
      </c>
      <c r="EY149" s="18">
        <f>IFERROR(CY149/'McDonough &amp; Sun 1995 values'!P$2,)</f>
        <v>0.11330049261083742</v>
      </c>
      <c r="EZ149" s="18">
        <f>IFERROR(DH149/'McDonough &amp; Sun 1995 values'!Q$2,)</f>
        <v>3.5335689045936397E-2</v>
      </c>
      <c r="FA149" s="18">
        <f>IFERROR(CK149/'McDonough &amp; Sun 1995 values'!R$2,)</f>
        <v>4.476190476190476E-2</v>
      </c>
      <c r="FB149" s="18">
        <f>IFERROR(CZ149/'McDonough &amp; Sun 1995 values'!S$2,)</f>
        <v>8.4415584415584416E-2</v>
      </c>
      <c r="FC149" s="18">
        <f>IFERROR(BT149/'McDonough &amp; Sun 1995 values'!T$2,)</f>
        <v>8.2987551867219915E-4</v>
      </c>
      <c r="FD149" s="18">
        <f>IFERROR(DA149/'McDonough &amp; Sun 1995 values'!U$2,)</f>
        <v>3.6764705882352942E-2</v>
      </c>
      <c r="FE149" s="18">
        <f>IFERROR(DN149/'McDonough &amp; Sun 1995 values'!V$2,)</f>
        <v>0</v>
      </c>
      <c r="FF149" s="18">
        <f>IFERROR(DB149/'McDonough &amp; Sun 1995 values'!W$2,)</f>
        <v>0</v>
      </c>
      <c r="FG149" s="18">
        <f>IFERROR(CJ149/'McDonough &amp; Sun 1995 values'!X$2,)</f>
        <v>1.4418604651162791E-3</v>
      </c>
      <c r="FH149" s="18">
        <f>IFERROR(DC149/'McDonough &amp; Sun 1995 values'!Y$2,)</f>
        <v>0</v>
      </c>
      <c r="FI149" s="18">
        <f>IFERROR(DD149/'McDonough &amp; Sun 1995 values'!Z$2,)</f>
        <v>1.2100456621004566E-2</v>
      </c>
      <c r="FJ149" s="18">
        <f>IFERROR(DE149/'McDonough &amp; Sun 1995 values'!AA$2,)</f>
        <v>0</v>
      </c>
      <c r="FK149" s="18">
        <f>IFERROR(DF149/'McDonough &amp; Sun 1995 values'!AB$2,)</f>
        <v>0</v>
      </c>
      <c r="FL149" s="18">
        <f>IFERROR(DG149/'McDonough &amp; Sun 1995 values'!AC$2,)</f>
        <v>0</v>
      </c>
      <c r="FN149" s="28">
        <f t="shared" si="299"/>
        <v>7.1931941317061554</v>
      </c>
      <c r="FO149" s="4">
        <f t="shared" si="309"/>
        <v>3.2729215229215232</v>
      </c>
      <c r="FP149" s="4">
        <f t="shared" si="310"/>
        <v>11.180686152270605</v>
      </c>
      <c r="FQ149" s="4">
        <f t="shared" si="311"/>
        <v>2.4225124979841959</v>
      </c>
      <c r="FR149" s="4">
        <f t="shared" si="312"/>
        <v>3.2438958978450279</v>
      </c>
      <c r="FS149" s="4">
        <f t="shared" si="313"/>
        <v>9.9922839506172814</v>
      </c>
      <c r="FT149" s="4">
        <f t="shared" si="314"/>
        <v>0.56999999999999995</v>
      </c>
      <c r="FU149" s="4">
        <f t="shared" si="315"/>
        <v>0.32464008367622832</v>
      </c>
      <c r="FV149" s="4">
        <f t="shared" si="316"/>
        <v>0.39507246376811594</v>
      </c>
      <c r="FW149" s="4">
        <f t="shared" si="317"/>
        <v>1.2667619047619048</v>
      </c>
      <c r="FX149" s="4">
        <f t="shared" si="318"/>
        <v>1.1250521141904199</v>
      </c>
      <c r="FY149" s="4">
        <f t="shared" si="319"/>
        <v>0.81152833997407325</v>
      </c>
      <c r="FZ149" s="4">
        <f t="shared" si="320"/>
        <v>1.307950127198841</v>
      </c>
      <c r="GA149" s="4">
        <f t="shared" si="321"/>
        <v>0.63819095477386933</v>
      </c>
      <c r="GB149" s="4">
        <f t="shared" si="322"/>
        <v>0.74505928853754955</v>
      </c>
      <c r="GC149" s="4">
        <f t="shared" si="323"/>
        <v>1.7543859649122808</v>
      </c>
      <c r="GD149" s="4">
        <f t="shared" si="324"/>
        <v>1.3510442260442261</v>
      </c>
      <c r="GE149" s="4">
        <f t="shared" si="325"/>
        <v>66.188197767145141</v>
      </c>
      <c r="GF149" s="4">
        <f t="shared" si="326"/>
        <v>23.542759892213873</v>
      </c>
      <c r="GG149" s="4">
        <f t="shared" si="327"/>
        <v>15.105601469237834</v>
      </c>
      <c r="GH149" s="4">
        <f t="shared" si="328"/>
        <v>7.4560520665593115</v>
      </c>
      <c r="GI149" s="4">
        <f t="shared" si="329"/>
        <v>119.17941492216855</v>
      </c>
      <c r="GJ149" s="4">
        <f t="shared" si="330"/>
        <v>0</v>
      </c>
      <c r="GK149" s="4">
        <f t="shared" si="331"/>
        <v>0</v>
      </c>
      <c r="GL149" s="4">
        <f t="shared" si="332"/>
        <v>53.938095238095237</v>
      </c>
      <c r="GM149" s="4">
        <f t="shared" si="333"/>
        <v>48.990400529625958</v>
      </c>
      <c r="GN149" s="4">
        <f t="shared" si="334"/>
        <v>0.30827129830655664</v>
      </c>
      <c r="GO149" s="4">
        <f t="shared" si="335"/>
        <v>0.21666939443535185</v>
      </c>
      <c r="GP149" s="4">
        <f t="shared" si="336"/>
        <v>0.13902029914529915</v>
      </c>
      <c r="GQ149" s="27">
        <f t="shared" si="337"/>
        <v>169199.04817798539</v>
      </c>
      <c r="GR149" s="28">
        <f t="shared" si="338"/>
        <v>9.2386375760210431</v>
      </c>
      <c r="GS149" s="28">
        <f t="shared" si="339"/>
        <v>150.45781195234269</v>
      </c>
      <c r="GT149" s="28">
        <f t="shared" si="340"/>
        <v>109543.8455442495</v>
      </c>
      <c r="GU149" s="28">
        <f t="shared" si="341"/>
        <v>976.65597232222456</v>
      </c>
      <c r="GV149" s="28">
        <f t="shared" si="342"/>
        <v>102.94481870423448</v>
      </c>
      <c r="GW149" s="28">
        <f t="shared" si="343"/>
        <v>169199.04817798539</v>
      </c>
      <c r="GX149" s="28">
        <f t="shared" si="344"/>
        <v>13.198053680030061</v>
      </c>
      <c r="GY149" s="28">
        <f t="shared" si="345"/>
        <v>722.9893805920467</v>
      </c>
      <c r="GZ149" s="28">
        <f t="shared" si="346"/>
        <v>2309.6593940052608</v>
      </c>
      <c r="HA149" s="28">
        <f t="shared" si="347"/>
        <v>1689.3508710438477</v>
      </c>
      <c r="HB149" s="28">
        <f t="shared" si="348"/>
        <v>121.42209385627658</v>
      </c>
      <c r="HC149" s="28">
        <f t="shared" si="349"/>
        <v>6071.1046928138285</v>
      </c>
      <c r="HD149" s="28">
        <f t="shared" si="350"/>
        <v>369.54550304084165</v>
      </c>
      <c r="HE149" s="28">
        <f t="shared" si="351"/>
        <v>12.142209385627657</v>
      </c>
      <c r="HF149" s="28">
        <f t="shared" si="352"/>
        <v>2.6396107360060119</v>
      </c>
      <c r="HG149" s="28">
        <f t="shared" si="353"/>
        <v>124.06170459228257</v>
      </c>
      <c r="HH149" s="28">
        <f t="shared" si="354"/>
        <v>3.4314939568078158</v>
      </c>
      <c r="HI149" s="28">
        <f t="shared" si="355"/>
        <v>263.96107360060125</v>
      </c>
      <c r="HJ149" s="28">
        <f t="shared" si="356"/>
        <v>5.2792214720120239</v>
      </c>
      <c r="HK149" s="28">
        <f t="shared" si="357"/>
        <v>0</v>
      </c>
      <c r="HL149" s="28">
        <f t="shared" si="358"/>
        <v>0</v>
      </c>
      <c r="HM149" s="28">
        <f t="shared" si="359"/>
        <v>1.6365586563237278</v>
      </c>
      <c r="HN149" s="28">
        <f t="shared" si="360"/>
        <v>0</v>
      </c>
      <c r="HO149" s="28">
        <f t="shared" si="361"/>
        <v>1.3989936900831865</v>
      </c>
      <c r="HP149" s="28">
        <f t="shared" si="362"/>
        <v>0</v>
      </c>
      <c r="HQ149" s="28">
        <f t="shared" si="363"/>
        <v>0</v>
      </c>
      <c r="HR149" s="28">
        <f t="shared" si="364"/>
        <v>0</v>
      </c>
      <c r="HT149" s="4">
        <f>IFERROR(GR149/'McDonough &amp; Sun 1995 values'!C$2,)</f>
        <v>439.93512266766868</v>
      </c>
      <c r="HU149" s="4">
        <f>IFERROR(GS149/'McDonough &amp; Sun 1995 values'!D$2,)</f>
        <v>250.76301992057117</v>
      </c>
      <c r="HV149" s="4">
        <f>IFERROR(GT149/'McDonough &amp; Sun 1995 values'!E$2,)</f>
        <v>16597.55235518932</v>
      </c>
      <c r="HW149" s="4">
        <f>IFERROR(GU149/'McDonough &amp; Sun 1995 values'!F$2,)</f>
        <v>12284.980783927353</v>
      </c>
      <c r="HX149" s="4">
        <f>IFERROR(GV149/'McDonough &amp; Sun 1995 values'!G$2,)</f>
        <v>5071.1733351839648</v>
      </c>
      <c r="HY149" s="4">
        <f>IFERROR(GW149/'McDonough &amp; Sun 1995 values'!H$2,)</f>
        <v>704.99603407493908</v>
      </c>
      <c r="HZ149" s="4">
        <f>IFERROR(GX149/'McDonough &amp; Sun 1995 values'!I$2,)</f>
        <v>356.70415351432598</v>
      </c>
      <c r="IA149" s="4">
        <f>IFERROR(GY149/'McDonough &amp; Sun 1995 values'!J$2,)</f>
        <v>1098.7680556110131</v>
      </c>
      <c r="IB149" s="4">
        <f>IFERROR(GZ149/'McDonough &amp; Sun 1995 values'!K$2,)</f>
        <v>3564.2891882797235</v>
      </c>
      <c r="IC149" s="4">
        <f>IFERROR(HA149/'McDonough &amp; Sun 1995 values'!L$2,)</f>
        <v>1008.5676842052823</v>
      </c>
      <c r="ID149" s="4">
        <f>IFERROR(HB149/'McDonough &amp; Sun 1995 values'!M$2,)</f>
        <v>478.03973959164006</v>
      </c>
      <c r="IE149" s="4">
        <f>IFERROR(HC149/'McDonough &amp; Sun 1995 values'!N$2,)</f>
        <v>305.08063782984067</v>
      </c>
      <c r="IF149" s="4">
        <f>IFERROR(HD149/'McDonough &amp; Sun 1995 values'!O$2,)</f>
        <v>295.63640243267332</v>
      </c>
      <c r="IG149" s="4">
        <f>IFERROR(HE149/'McDonough &amp; Sun 1995 values'!P$2,)</f>
        <v>29.906919669033638</v>
      </c>
      <c r="IH149" s="4">
        <f>IFERROR(HF149/'McDonough &amp; Sun 1995 values'!Q$2,)</f>
        <v>9.3272464169823746</v>
      </c>
      <c r="II149" s="4">
        <f>IFERROR(HG149/'McDonough &amp; Sun 1995 values'!R$2,)</f>
        <v>11.815400437360244</v>
      </c>
      <c r="IJ149" s="4">
        <f>IFERROR(HH149/'McDonough &amp; Sun 1995 values'!S$2,)</f>
        <v>22.282428290959842</v>
      </c>
      <c r="IK149" s="4">
        <f>IFERROR(HI149/'McDonough &amp; Sun 1995 values'!T$2,)</f>
        <v>0.2190548328635695</v>
      </c>
      <c r="IL149" s="4">
        <f>IFERROR(HJ149/'McDonough &amp; Sun 1995 values'!U$2,)</f>
        <v>9.7044512353162204</v>
      </c>
      <c r="IM149" s="4">
        <f>IFERROR(HK149/'McDonough &amp; Sun 1995 values'!V$2,)</f>
        <v>0</v>
      </c>
      <c r="IN149" s="4">
        <f>IFERROR(HL149/'McDonough &amp; Sun 1995 values'!W$2,)</f>
        <v>0</v>
      </c>
      <c r="IO149" s="4">
        <f>IFERROR(HM149/'McDonough &amp; Sun 1995 values'!X$2,)</f>
        <v>0.38059503635435532</v>
      </c>
      <c r="IP149" s="4">
        <f>IFERROR(HN149/'McDonough &amp; Sun 1995 values'!Y$2,)</f>
        <v>0</v>
      </c>
      <c r="IQ149" s="4">
        <f>IFERROR(HO149/'McDonough &amp; Sun 1995 values'!Z$2,)</f>
        <v>3.194049520737869</v>
      </c>
      <c r="IR149" s="4">
        <f>IFERROR(HP149/'McDonough &amp; Sun 1995 values'!AA$2,)</f>
        <v>0</v>
      </c>
      <c r="IS149" s="4">
        <f>IFERROR(HQ149/'McDonough &amp; Sun 1995 values'!AB$2,)</f>
        <v>0</v>
      </c>
      <c r="IT149" s="4">
        <f>IFERROR(HR149/'McDonough &amp; Sun 1995 values'!AC$2,)</f>
        <v>0</v>
      </c>
    </row>
    <row r="150" spans="1:254">
      <c r="A150" s="16" t="s">
        <v>1164</v>
      </c>
      <c r="B150" s="16" t="s">
        <v>24</v>
      </c>
      <c r="C150" s="16" t="str">
        <f t="shared" si="304"/>
        <v>saline</v>
      </c>
      <c r="D150" s="16" t="s">
        <v>119</v>
      </c>
      <c r="E150" s="16" t="s">
        <v>171</v>
      </c>
      <c r="F150" s="16" t="s">
        <v>113</v>
      </c>
      <c r="G150" s="16" t="s">
        <v>595</v>
      </c>
      <c r="H150" s="27" t="s">
        <v>805</v>
      </c>
      <c r="I150" s="16" t="s">
        <v>735</v>
      </c>
      <c r="J150" s="16" t="s">
        <v>1311</v>
      </c>
      <c r="K150" s="16" t="s">
        <v>128</v>
      </c>
      <c r="L150" s="16" t="s">
        <v>114</v>
      </c>
      <c r="M150" s="16" t="s">
        <v>129</v>
      </c>
      <c r="N150" s="16">
        <v>28</v>
      </c>
      <c r="O150" s="26">
        <v>7.4</v>
      </c>
      <c r="P150" s="26">
        <v>1.3</v>
      </c>
      <c r="Q150" s="26"/>
      <c r="R150" s="26">
        <v>1.2</v>
      </c>
      <c r="S150" s="26">
        <v>5.5</v>
      </c>
      <c r="T150" s="26">
        <v>5.9</v>
      </c>
      <c r="U150" s="26"/>
      <c r="V150" s="26">
        <v>8.3000000000000007</v>
      </c>
      <c r="W150" s="26">
        <v>10.8</v>
      </c>
      <c r="X150" s="26">
        <v>26.8</v>
      </c>
      <c r="Y150" s="26"/>
      <c r="Z150" s="26">
        <v>1.1000000000000001</v>
      </c>
      <c r="AA150" s="26"/>
      <c r="AB150" s="26">
        <v>12.1</v>
      </c>
      <c r="AC150" s="26"/>
      <c r="AD150" s="26">
        <v>25.1</v>
      </c>
      <c r="AE150" s="26"/>
      <c r="AF150" s="26"/>
      <c r="AG150" s="26"/>
      <c r="AH150" s="26"/>
      <c r="AI150" s="26">
        <v>3</v>
      </c>
      <c r="AJ150" s="26">
        <f t="shared" si="305"/>
        <v>105.5</v>
      </c>
      <c r="AK150" s="26">
        <f t="shared" si="365"/>
        <v>7.4121793920899641</v>
      </c>
      <c r="AL150" s="26">
        <f t="shared" si="366"/>
        <v>1.3021396229347235</v>
      </c>
      <c r="AM150" s="26">
        <f t="shared" si="367"/>
        <v>1.2019750365551294</v>
      </c>
      <c r="AN150" s="26">
        <f t="shared" si="368"/>
        <v>5.5090522508776756</v>
      </c>
      <c r="AO150" s="26">
        <f t="shared" si="369"/>
        <v>5.909710596396053</v>
      </c>
      <c r="AP150" s="26">
        <f t="shared" si="370"/>
        <v>8.3136606695063122</v>
      </c>
      <c r="AQ150" s="26">
        <f t="shared" si="371"/>
        <v>12.119914951930886</v>
      </c>
      <c r="AR150" s="26">
        <f t="shared" si="372"/>
        <v>10.817775328996165</v>
      </c>
      <c r="AS150" s="26">
        <f t="shared" si="373"/>
        <v>26.844109149731221</v>
      </c>
      <c r="AT150" s="26">
        <f t="shared" si="374"/>
        <v>1.1018104501755352</v>
      </c>
      <c r="AU150" s="26">
        <f t="shared" si="375"/>
        <v>25.141311181278127</v>
      </c>
      <c r="AV150" s="26">
        <f t="shared" si="306"/>
        <v>105.67363863047179</v>
      </c>
      <c r="AW150" s="26">
        <v>17.899999999999999</v>
      </c>
      <c r="AX150" s="26">
        <v>59.2</v>
      </c>
      <c r="AY150" s="26"/>
      <c r="AZ150" s="94"/>
      <c r="BA150" s="26">
        <v>0.11</v>
      </c>
      <c r="BB150" s="26"/>
      <c r="BC150" s="26">
        <f t="shared" ref="BC150:BC155" si="378">(AX150/18.02)/((AX150/18.02)+(AW150/44.01))</f>
        <v>0.88983486739869189</v>
      </c>
      <c r="BD150" s="26">
        <f t="shared" ref="BD150:BD155" si="379">(AW150/44.01)/((AX150/18.02)+(AW150/44.01))</f>
        <v>0.11016513260130807</v>
      </c>
      <c r="BE150" s="16"/>
      <c r="BF150" s="16"/>
      <c r="BG150" s="16"/>
      <c r="BH150" s="16"/>
      <c r="BI150" s="16"/>
      <c r="BJ150" s="16">
        <v>0.32</v>
      </c>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v>0.99</v>
      </c>
      <c r="CI150" s="18">
        <v>3.7</v>
      </c>
      <c r="CJ150" s="18"/>
      <c r="CK150" s="18"/>
      <c r="CL150" s="18"/>
      <c r="CM150" s="18">
        <v>0.15</v>
      </c>
      <c r="CN150" s="18"/>
      <c r="CO150" s="18"/>
      <c r="CP150" s="18"/>
      <c r="CQ150" s="18"/>
      <c r="CR150" s="18">
        <v>1.7000000000000001E-2</v>
      </c>
      <c r="CS150" s="18">
        <v>81</v>
      </c>
      <c r="CT150" s="18"/>
      <c r="CU150" s="18">
        <v>1.9</v>
      </c>
      <c r="CV150" s="18">
        <v>1.3</v>
      </c>
      <c r="CW150" s="18">
        <v>0.06</v>
      </c>
      <c r="CX150" s="18">
        <v>0.15</v>
      </c>
      <c r="CY150" s="18">
        <v>6.1999999999999998E-3</v>
      </c>
      <c r="CZ150" s="18">
        <v>6.4000000000000003E-3</v>
      </c>
      <c r="DA150" s="18">
        <v>4.7999999999999996E-3</v>
      </c>
      <c r="DB150" s="18"/>
      <c r="DC150" s="18"/>
      <c r="DD150" s="18"/>
      <c r="DE150" s="18"/>
      <c r="DF150" s="18"/>
      <c r="DG150" s="18"/>
      <c r="DH150" s="18"/>
      <c r="DI150" s="18"/>
      <c r="DJ150" s="18"/>
      <c r="DK150" s="18">
        <v>0.89</v>
      </c>
      <c r="DL150" s="18">
        <v>0.87</v>
      </c>
      <c r="DM150" s="18">
        <v>9.4E-2</v>
      </c>
      <c r="DN150" s="18"/>
      <c r="DO150" s="18"/>
      <c r="DP150" s="18"/>
      <c r="DQ150" s="18"/>
      <c r="DR150" s="18"/>
      <c r="DS150" s="18"/>
      <c r="DT150" s="18">
        <v>0.76880000000000004</v>
      </c>
      <c r="DU150" s="18">
        <v>0</v>
      </c>
      <c r="DV150" s="28">
        <v>0.70609500000000003</v>
      </c>
      <c r="DW150" s="28">
        <v>1.3999999999999999E-4</v>
      </c>
      <c r="DX150" s="28">
        <v>0.70548299999999997</v>
      </c>
      <c r="DY150" s="28">
        <v>1.9000000000000001E-4</v>
      </c>
      <c r="DZ150" s="28"/>
      <c r="EA150" s="28"/>
      <c r="EB150" s="28"/>
      <c r="EC150" s="28"/>
      <c r="ED150" s="28"/>
      <c r="EE150" s="28"/>
      <c r="EF150" s="28"/>
      <c r="EG150" s="28"/>
      <c r="EH150" s="28"/>
      <c r="EI150" s="28"/>
      <c r="EJ150" s="18"/>
      <c r="EK150" s="18"/>
      <c r="EL150" s="18">
        <f>IFERROR(CR150/'McDonough &amp; Sun 1995 values'!C$2,)</f>
        <v>0.80952380952380953</v>
      </c>
      <c r="EM150" s="18">
        <f>IFERROR(CH150/'McDonough &amp; Sun 1995 values'!D$2,)</f>
        <v>1.6500000000000001</v>
      </c>
      <c r="EN150" s="18">
        <f>IFERROR(CS150/'McDonough &amp; Sun 1995 values'!E$2,)</f>
        <v>12.272727272727273</v>
      </c>
      <c r="EO150" s="18">
        <f>IFERROR(DL150/'McDonough &amp; Sun 1995 values'!F$2,)</f>
        <v>10.943396226415095</v>
      </c>
      <c r="EP150" s="18">
        <f>IFERROR(DM150/'McDonough &amp; Sun 1995 values'!G$2,)</f>
        <v>4.6305418719211824</v>
      </c>
      <c r="EQ150" s="18">
        <f>IFERROR(BR150/'McDonough &amp; Sun 1995 values'!H$2,)</f>
        <v>0</v>
      </c>
      <c r="ER150" s="18">
        <f>IFERROR(DI150/'McDonough &amp; Sun 1995 values'!I$2,)</f>
        <v>0</v>
      </c>
      <c r="ES150" s="18">
        <f>IFERROR(CM150/'McDonough &amp; Sun 1995 values'!J$2,)</f>
        <v>0.22796352583586624</v>
      </c>
      <c r="ET150" s="18">
        <f>IFERROR(CU150/'McDonough &amp; Sun 1995 values'!K$2,)</f>
        <v>2.9320987654320985</v>
      </c>
      <c r="EU150" s="18">
        <f>IFERROR(CV150/'McDonough &amp; Sun 1995 values'!L$2,)</f>
        <v>0.77611940298507465</v>
      </c>
      <c r="EV150" s="18">
        <f>IFERROR(CW150/'McDonough &amp; Sun 1995 values'!M$2,)</f>
        <v>0.23622047244094488</v>
      </c>
      <c r="EW150" s="18">
        <f>IFERROR(CI150/'McDonough &amp; Sun 1995 values'!N$2,)</f>
        <v>0.18592964824120606</v>
      </c>
      <c r="EX150" s="18">
        <f>IFERROR(CX150/'McDonough &amp; Sun 1995 values'!O$2,)</f>
        <v>0.12</v>
      </c>
      <c r="EY150" s="18">
        <f>IFERROR(CY150/'McDonough &amp; Sun 1995 values'!P$2,)</f>
        <v>1.5270935960591132E-2</v>
      </c>
      <c r="EZ150" s="18">
        <f>IFERROR(DH150/'McDonough &amp; Sun 1995 values'!Q$2,)</f>
        <v>0</v>
      </c>
      <c r="FA150" s="18">
        <f>IFERROR(CK150/'McDonough &amp; Sun 1995 values'!R$2,)</f>
        <v>0</v>
      </c>
      <c r="FB150" s="18">
        <f>IFERROR(CZ150/'McDonough &amp; Sun 1995 values'!S$2,)</f>
        <v>4.1558441558441558E-2</v>
      </c>
      <c r="FC150" s="18">
        <f>IFERROR(BT150/'McDonough &amp; Sun 1995 values'!T$2,)</f>
        <v>0</v>
      </c>
      <c r="FD150" s="18">
        <f>IFERROR(DA150/'McDonough &amp; Sun 1995 values'!U$2,)</f>
        <v>8.823529411764704E-3</v>
      </c>
      <c r="FE150" s="18">
        <f>IFERROR(DN150/'McDonough &amp; Sun 1995 values'!V$2,)</f>
        <v>0</v>
      </c>
      <c r="FF150" s="18">
        <f>IFERROR(DB150/'McDonough &amp; Sun 1995 values'!W$2,)</f>
        <v>0</v>
      </c>
      <c r="FG150" s="18">
        <f>IFERROR(CJ150/'McDonough &amp; Sun 1995 values'!X$2,)</f>
        <v>0</v>
      </c>
      <c r="FH150" s="18">
        <f>IFERROR(DC150/'McDonough &amp; Sun 1995 values'!Y$2,)</f>
        <v>0</v>
      </c>
      <c r="FI150" s="18">
        <f>IFERROR(DD150/'McDonough &amp; Sun 1995 values'!Z$2,)</f>
        <v>0</v>
      </c>
      <c r="FJ150" s="18">
        <f>IFERROR(DE150/'McDonough &amp; Sun 1995 values'!AA$2,)</f>
        <v>0</v>
      </c>
      <c r="FK150" s="18">
        <f>IFERROR(DF150/'McDonough &amp; Sun 1995 values'!AB$2,)</f>
        <v>0</v>
      </c>
      <c r="FL150" s="18">
        <f>IFERROR(DG150/'McDonough &amp; Sun 1995 values'!AC$2,)</f>
        <v>0</v>
      </c>
      <c r="FN150" s="28">
        <f t="shared" si="299"/>
        <v>0</v>
      </c>
      <c r="FO150" s="4">
        <f t="shared" si="309"/>
        <v>2.650386847195358</v>
      </c>
      <c r="FP150" s="4">
        <f t="shared" si="310"/>
        <v>48.005031446540883</v>
      </c>
      <c r="FQ150" s="4">
        <f t="shared" si="311"/>
        <v>2.3633079084704938</v>
      </c>
      <c r="FR150" s="4">
        <f t="shared" si="312"/>
        <v>12.862139917695472</v>
      </c>
      <c r="FS150" s="4">
        <f t="shared" si="313"/>
        <v>0</v>
      </c>
      <c r="FT150" s="4">
        <f t="shared" si="314"/>
        <v>2.0382352941176474</v>
      </c>
      <c r="FU150" s="4">
        <f t="shared" si="315"/>
        <v>0</v>
      </c>
      <c r="FV150" s="4">
        <f t="shared" si="316"/>
        <v>0</v>
      </c>
      <c r="FW150" s="4">
        <f t="shared" si="317"/>
        <v>0</v>
      </c>
      <c r="FX150" s="4">
        <f t="shared" si="318"/>
        <v>3.4496255398239768</v>
      </c>
      <c r="FY150" s="4">
        <f t="shared" si="319"/>
        <v>1.1043309852673404</v>
      </c>
      <c r="FZ150" s="4">
        <f t="shared" si="320"/>
        <v>3.5801832498029458</v>
      </c>
      <c r="GA150" s="4">
        <f t="shared" si="321"/>
        <v>0.78710217755443901</v>
      </c>
      <c r="GB150" s="4">
        <f t="shared" si="322"/>
        <v>2.7214076246334313</v>
      </c>
      <c r="GC150" s="4">
        <f t="shared" si="323"/>
        <v>0.49062049062049057</v>
      </c>
      <c r="GD150" s="4">
        <f t="shared" si="324"/>
        <v>1.121473354231975</v>
      </c>
      <c r="GE150" s="4">
        <f t="shared" si="325"/>
        <v>7.4380165289256199</v>
      </c>
      <c r="GF150" s="4">
        <f t="shared" si="326"/>
        <v>0</v>
      </c>
      <c r="GG150" s="4">
        <f t="shared" si="327"/>
        <v>53.836363636363643</v>
      </c>
      <c r="GH150" s="4">
        <f t="shared" si="328"/>
        <v>12.412551440329217</v>
      </c>
      <c r="GI150" s="4">
        <f t="shared" si="329"/>
        <v>192.00517722023096</v>
      </c>
      <c r="GJ150" s="4">
        <f t="shared" si="330"/>
        <v>0</v>
      </c>
      <c r="GK150" s="4">
        <f t="shared" si="331"/>
        <v>0</v>
      </c>
      <c r="GL150" s="4">
        <f t="shared" si="332"/>
        <v>0</v>
      </c>
      <c r="GM150" s="4">
        <f t="shared" si="333"/>
        <v>6.6323613493424807</v>
      </c>
      <c r="GN150" s="4">
        <f t="shared" si="334"/>
        <v>7.7747560390337547E-2</v>
      </c>
      <c r="GO150" s="4">
        <f t="shared" si="335"/>
        <v>4.9230421004979624E-2</v>
      </c>
      <c r="GP150" s="4">
        <f t="shared" si="336"/>
        <v>0</v>
      </c>
      <c r="GQ150" s="27">
        <f t="shared" si="337"/>
        <v>222842.96416904268</v>
      </c>
      <c r="GR150" s="28" t="str">
        <f t="shared" si="338"/>
        <v/>
      </c>
      <c r="GS150" s="28" t="str">
        <f t="shared" si="339"/>
        <v/>
      </c>
      <c r="GT150" s="28" t="str">
        <f t="shared" si="340"/>
        <v/>
      </c>
      <c r="GU150" s="28" t="str">
        <f t="shared" si="341"/>
        <v/>
      </c>
      <c r="GV150" s="28" t="str">
        <f t="shared" si="342"/>
        <v/>
      </c>
      <c r="GW150" s="28" t="str">
        <f t="shared" si="343"/>
        <v/>
      </c>
      <c r="GX150" s="28" t="str">
        <f t="shared" si="344"/>
        <v/>
      </c>
      <c r="GY150" s="28" t="str">
        <f t="shared" si="345"/>
        <v/>
      </c>
      <c r="GZ150" s="28" t="str">
        <f t="shared" si="346"/>
        <v/>
      </c>
      <c r="HA150" s="28" t="str">
        <f t="shared" si="347"/>
        <v/>
      </c>
      <c r="HB150" s="28" t="str">
        <f t="shared" si="348"/>
        <v/>
      </c>
      <c r="HC150" s="28" t="str">
        <f t="shared" si="349"/>
        <v/>
      </c>
      <c r="HD150" s="28" t="str">
        <f t="shared" si="350"/>
        <v/>
      </c>
      <c r="HE150" s="28" t="str">
        <f t="shared" si="351"/>
        <v/>
      </c>
      <c r="HF150" s="28" t="str">
        <f t="shared" si="352"/>
        <v/>
      </c>
      <c r="HG150" s="28" t="str">
        <f t="shared" si="353"/>
        <v/>
      </c>
      <c r="HH150" s="28" t="str">
        <f t="shared" si="354"/>
        <v/>
      </c>
      <c r="HI150" s="28" t="str">
        <f t="shared" si="355"/>
        <v/>
      </c>
      <c r="HJ150" s="28" t="str">
        <f t="shared" si="356"/>
        <v/>
      </c>
      <c r="HK150" s="28" t="str">
        <f t="shared" si="357"/>
        <v/>
      </c>
      <c r="HL150" s="28" t="str">
        <f t="shared" si="358"/>
        <v/>
      </c>
      <c r="HM150" s="28" t="str">
        <f t="shared" si="359"/>
        <v/>
      </c>
      <c r="HN150" s="28" t="str">
        <f t="shared" si="360"/>
        <v/>
      </c>
      <c r="HO150" s="28" t="str">
        <f t="shared" si="361"/>
        <v/>
      </c>
      <c r="HP150" s="28" t="str">
        <f t="shared" si="362"/>
        <v/>
      </c>
      <c r="HQ150" s="28" t="str">
        <f t="shared" si="363"/>
        <v/>
      </c>
      <c r="HR150" s="28" t="str">
        <f t="shared" si="364"/>
        <v/>
      </c>
      <c r="HT150" s="4">
        <f>IFERROR(GR150/'McDonough &amp; Sun 1995 values'!C$2,)</f>
        <v>0</v>
      </c>
      <c r="HU150" s="4">
        <f>IFERROR(GS150/'McDonough &amp; Sun 1995 values'!D$2,)</f>
        <v>0</v>
      </c>
      <c r="HV150" s="4">
        <f>IFERROR(GT150/'McDonough &amp; Sun 1995 values'!E$2,)</f>
        <v>0</v>
      </c>
      <c r="HW150" s="4">
        <f>IFERROR(GU150/'McDonough &amp; Sun 1995 values'!F$2,)</f>
        <v>0</v>
      </c>
      <c r="HX150" s="4">
        <f>IFERROR(GV150/'McDonough &amp; Sun 1995 values'!G$2,)</f>
        <v>0</v>
      </c>
      <c r="HY150" s="4">
        <f>IFERROR(GW150/'McDonough &amp; Sun 1995 values'!H$2,)</f>
        <v>0</v>
      </c>
      <c r="HZ150" s="4">
        <f>IFERROR(GX150/'McDonough &amp; Sun 1995 values'!I$2,)</f>
        <v>0</v>
      </c>
      <c r="IA150" s="4">
        <f>IFERROR(GY150/'McDonough &amp; Sun 1995 values'!J$2,)</f>
        <v>0</v>
      </c>
      <c r="IB150" s="4">
        <f>IFERROR(GZ150/'McDonough &amp; Sun 1995 values'!K$2,)</f>
        <v>0</v>
      </c>
      <c r="IC150" s="4">
        <f>IFERROR(HA150/'McDonough &amp; Sun 1995 values'!L$2,)</f>
        <v>0</v>
      </c>
      <c r="ID150" s="4">
        <f>IFERROR(HB150/'McDonough &amp; Sun 1995 values'!M$2,)</f>
        <v>0</v>
      </c>
      <c r="IE150" s="4">
        <f>IFERROR(HC150/'McDonough &amp; Sun 1995 values'!N$2,)</f>
        <v>0</v>
      </c>
      <c r="IF150" s="4">
        <f>IFERROR(HD150/'McDonough &amp; Sun 1995 values'!O$2,)</f>
        <v>0</v>
      </c>
      <c r="IG150" s="4">
        <f>IFERROR(HE150/'McDonough &amp; Sun 1995 values'!P$2,)</f>
        <v>0</v>
      </c>
      <c r="IH150" s="4">
        <f>IFERROR(HF150/'McDonough &amp; Sun 1995 values'!Q$2,)</f>
        <v>0</v>
      </c>
      <c r="II150" s="4">
        <f>IFERROR(HG150/'McDonough &amp; Sun 1995 values'!R$2,)</f>
        <v>0</v>
      </c>
      <c r="IJ150" s="4">
        <f>IFERROR(HH150/'McDonough &amp; Sun 1995 values'!S$2,)</f>
        <v>0</v>
      </c>
      <c r="IK150" s="4">
        <f>IFERROR(HI150/'McDonough &amp; Sun 1995 values'!T$2,)</f>
        <v>0</v>
      </c>
      <c r="IL150" s="4">
        <f>IFERROR(HJ150/'McDonough &amp; Sun 1995 values'!U$2,)</f>
        <v>0</v>
      </c>
      <c r="IM150" s="4">
        <f>IFERROR(HK150/'McDonough &amp; Sun 1995 values'!V$2,)</f>
        <v>0</v>
      </c>
      <c r="IN150" s="4">
        <f>IFERROR(HL150/'McDonough &amp; Sun 1995 values'!W$2,)</f>
        <v>0</v>
      </c>
      <c r="IO150" s="4">
        <f>IFERROR(HM150/'McDonough &amp; Sun 1995 values'!X$2,)</f>
        <v>0</v>
      </c>
      <c r="IP150" s="4">
        <f>IFERROR(HN150/'McDonough &amp; Sun 1995 values'!Y$2,)</f>
        <v>0</v>
      </c>
      <c r="IQ150" s="4">
        <f>IFERROR(HO150/'McDonough &amp; Sun 1995 values'!Z$2,)</f>
        <v>0</v>
      </c>
      <c r="IR150" s="4">
        <f>IFERROR(HP150/'McDonough &amp; Sun 1995 values'!AA$2,)</f>
        <v>0</v>
      </c>
      <c r="IS150" s="4">
        <f>IFERROR(HQ150/'McDonough &amp; Sun 1995 values'!AB$2,)</f>
        <v>0</v>
      </c>
      <c r="IT150" s="4">
        <f>IFERROR(HR150/'McDonough &amp; Sun 1995 values'!AC$2,)</f>
        <v>0</v>
      </c>
    </row>
    <row r="151" spans="1:254">
      <c r="A151" s="16" t="s">
        <v>1164</v>
      </c>
      <c r="B151" s="16" t="s">
        <v>24</v>
      </c>
      <c r="C151" s="16" t="str">
        <f t="shared" si="304"/>
        <v>saline</v>
      </c>
      <c r="D151" s="16" t="s">
        <v>119</v>
      </c>
      <c r="E151" s="16" t="s">
        <v>171</v>
      </c>
      <c r="F151" s="16" t="s">
        <v>113</v>
      </c>
      <c r="G151" s="16" t="s">
        <v>595</v>
      </c>
      <c r="H151" s="27" t="s">
        <v>805</v>
      </c>
      <c r="I151" s="16" t="s">
        <v>735</v>
      </c>
      <c r="J151" s="16" t="s">
        <v>1311</v>
      </c>
      <c r="K151" s="16" t="s">
        <v>115</v>
      </c>
      <c r="L151" s="16" t="s">
        <v>114</v>
      </c>
      <c r="M151" s="16" t="s">
        <v>130</v>
      </c>
      <c r="N151" s="16">
        <v>43</v>
      </c>
      <c r="O151" s="26">
        <v>7.5</v>
      </c>
      <c r="P151" s="26">
        <v>1.2</v>
      </c>
      <c r="Q151" s="26"/>
      <c r="R151" s="26">
        <v>1.1000000000000001</v>
      </c>
      <c r="S151" s="26">
        <v>5.0999999999999996</v>
      </c>
      <c r="T151" s="26">
        <v>5.0999999999999996</v>
      </c>
      <c r="U151" s="26"/>
      <c r="V151" s="26">
        <v>8.5</v>
      </c>
      <c r="W151" s="26">
        <v>6.7</v>
      </c>
      <c r="X151" s="26">
        <v>27.7</v>
      </c>
      <c r="Y151" s="26"/>
      <c r="Z151" s="26">
        <v>1.3</v>
      </c>
      <c r="AA151" s="26"/>
      <c r="AB151" s="26">
        <v>12.4</v>
      </c>
      <c r="AC151" s="26"/>
      <c r="AD151" s="26">
        <v>30.1</v>
      </c>
      <c r="AE151" s="26"/>
      <c r="AF151" s="26"/>
      <c r="AG151" s="26"/>
      <c r="AH151" s="26"/>
      <c r="AI151" s="26">
        <v>3.4</v>
      </c>
      <c r="AJ151" s="26">
        <f t="shared" si="305"/>
        <v>106.70000000000002</v>
      </c>
      <c r="AK151" s="26">
        <f t="shared" si="365"/>
        <v>7.5069563756541671</v>
      </c>
      <c r="AL151" s="26">
        <f t="shared" si="366"/>
        <v>1.2011130201046665</v>
      </c>
      <c r="AM151" s="26">
        <f t="shared" si="367"/>
        <v>1.1010202684292778</v>
      </c>
      <c r="AN151" s="26">
        <f t="shared" si="368"/>
        <v>5.1047303354448328</v>
      </c>
      <c r="AO151" s="26">
        <f t="shared" si="369"/>
        <v>5.1047303354448328</v>
      </c>
      <c r="AP151" s="26">
        <f t="shared" si="370"/>
        <v>8.5078838924080546</v>
      </c>
      <c r="AQ151" s="26">
        <f t="shared" si="371"/>
        <v>12.411501207748223</v>
      </c>
      <c r="AR151" s="26">
        <f t="shared" si="372"/>
        <v>6.7062143622510551</v>
      </c>
      <c r="AS151" s="26">
        <f t="shared" si="373"/>
        <v>27.72569221408272</v>
      </c>
      <c r="AT151" s="26">
        <f t="shared" si="374"/>
        <v>1.3012057717800556</v>
      </c>
      <c r="AU151" s="26">
        <f t="shared" si="375"/>
        <v>30.127918254292059</v>
      </c>
      <c r="AV151" s="26">
        <f t="shared" si="306"/>
        <v>106.79896603763994</v>
      </c>
      <c r="AW151" s="26">
        <v>11.8</v>
      </c>
      <c r="AX151" s="26">
        <v>39.299999999999997</v>
      </c>
      <c r="AY151" s="26"/>
      <c r="AZ151" s="94"/>
      <c r="BA151" s="26">
        <v>0.11</v>
      </c>
      <c r="BB151" s="26"/>
      <c r="BC151" s="26">
        <f t="shared" si="378"/>
        <v>0.89051960402197683</v>
      </c>
      <c r="BD151" s="26">
        <f t="shared" si="379"/>
        <v>0.10948039597802321</v>
      </c>
      <c r="BE151" s="16"/>
      <c r="BF151" s="16"/>
      <c r="BG151" s="16"/>
      <c r="BH151" s="16"/>
      <c r="BI151" s="16"/>
      <c r="BJ151" s="16">
        <v>0.39</v>
      </c>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v>0.75</v>
      </c>
      <c r="CI151" s="18">
        <v>12.3</v>
      </c>
      <c r="CJ151" s="18"/>
      <c r="CK151" s="18"/>
      <c r="CL151" s="18"/>
      <c r="CM151" s="18">
        <v>0.35</v>
      </c>
      <c r="CN151" s="18"/>
      <c r="CO151" s="18"/>
      <c r="CP151" s="18"/>
      <c r="CQ151" s="18"/>
      <c r="CR151" s="18">
        <v>2.3E-2</v>
      </c>
      <c r="CS151" s="18">
        <v>181</v>
      </c>
      <c r="CT151" s="18"/>
      <c r="CU151" s="18">
        <v>3.6</v>
      </c>
      <c r="CV151" s="18">
        <v>3.2</v>
      </c>
      <c r="CW151" s="18">
        <v>0.122</v>
      </c>
      <c r="CX151" s="18">
        <v>0.24</v>
      </c>
      <c r="CY151" s="18">
        <v>1.2999999999999999E-2</v>
      </c>
      <c r="CZ151" s="18">
        <v>6.4999999999999997E-3</v>
      </c>
      <c r="DA151" s="18">
        <v>6.7000000000000002E-3</v>
      </c>
      <c r="DB151" s="18"/>
      <c r="DC151" s="18"/>
      <c r="DD151" s="18"/>
      <c r="DE151" s="18"/>
      <c r="DF151" s="18"/>
      <c r="DG151" s="18"/>
      <c r="DH151" s="18"/>
      <c r="DI151" s="18"/>
      <c r="DJ151" s="18"/>
      <c r="DK151" s="18">
        <v>1.6</v>
      </c>
      <c r="DL151" s="18">
        <v>1.64</v>
      </c>
      <c r="DM151" s="18">
        <v>6.9000000000000006E-2</v>
      </c>
      <c r="DN151" s="18"/>
      <c r="DO151" s="18"/>
      <c r="DP151" s="18"/>
      <c r="DQ151" s="18"/>
      <c r="DR151" s="18"/>
      <c r="DS151" s="18"/>
      <c r="DT151" s="18">
        <v>0.1757</v>
      </c>
      <c r="DU151" s="18">
        <v>0</v>
      </c>
      <c r="DV151" s="28">
        <v>0.70486000000000004</v>
      </c>
      <c r="DW151" s="28">
        <v>2.0000000000000002E-5</v>
      </c>
      <c r="DX151" s="28">
        <v>0.70472599999999996</v>
      </c>
      <c r="DY151" s="28">
        <v>8.2000000000000001E-5</v>
      </c>
      <c r="DZ151" s="28"/>
      <c r="EA151" s="28"/>
      <c r="EB151" s="28"/>
      <c r="EC151" s="28"/>
      <c r="ED151" s="28"/>
      <c r="EE151" s="28"/>
      <c r="EF151" s="28"/>
      <c r="EG151" s="28"/>
      <c r="EH151" s="28"/>
      <c r="EI151" s="28"/>
      <c r="EJ151" s="18"/>
      <c r="EK151" s="18"/>
      <c r="EL151" s="18">
        <f>IFERROR(CR151/'McDonough &amp; Sun 1995 values'!C$2,)</f>
        <v>1.0952380952380951</v>
      </c>
      <c r="EM151" s="18">
        <f>IFERROR(CH151/'McDonough &amp; Sun 1995 values'!D$2,)</f>
        <v>1.25</v>
      </c>
      <c r="EN151" s="18">
        <f>IFERROR(CS151/'McDonough &amp; Sun 1995 values'!E$2,)</f>
        <v>27.424242424242426</v>
      </c>
      <c r="EO151" s="18">
        <f>IFERROR(DL151/'McDonough &amp; Sun 1995 values'!F$2,)</f>
        <v>20.628930817610062</v>
      </c>
      <c r="EP151" s="18">
        <f>IFERROR(DM151/'McDonough &amp; Sun 1995 values'!G$2,)</f>
        <v>3.3990147783251237</v>
      </c>
      <c r="EQ151" s="18">
        <f>IFERROR(BR151/'McDonough &amp; Sun 1995 values'!H$2,)</f>
        <v>0</v>
      </c>
      <c r="ER151" s="18">
        <f>IFERROR(DI151/'McDonough &amp; Sun 1995 values'!I$2,)</f>
        <v>0</v>
      </c>
      <c r="ES151" s="18">
        <f>IFERROR(CM151/'McDonough &amp; Sun 1995 values'!J$2,)</f>
        <v>0.53191489361702127</v>
      </c>
      <c r="ET151" s="18">
        <f>IFERROR(CU151/'McDonough &amp; Sun 1995 values'!K$2,)</f>
        <v>5.5555555555555554</v>
      </c>
      <c r="EU151" s="18">
        <f>IFERROR(CV151/'McDonough &amp; Sun 1995 values'!L$2,)</f>
        <v>1.9104477611940298</v>
      </c>
      <c r="EV151" s="18">
        <f>IFERROR(CW151/'McDonough &amp; Sun 1995 values'!M$2,)</f>
        <v>0.48031496062992124</v>
      </c>
      <c r="EW151" s="18">
        <f>IFERROR(CI151/'McDonough &amp; Sun 1995 values'!N$2,)</f>
        <v>0.61809045226130666</v>
      </c>
      <c r="EX151" s="18">
        <f>IFERROR(CX151/'McDonough &amp; Sun 1995 values'!O$2,)</f>
        <v>0.192</v>
      </c>
      <c r="EY151" s="18">
        <f>IFERROR(CY151/'McDonough &amp; Sun 1995 values'!P$2,)</f>
        <v>3.2019704433497533E-2</v>
      </c>
      <c r="EZ151" s="18">
        <f>IFERROR(DH151/'McDonough &amp; Sun 1995 values'!Q$2,)</f>
        <v>0</v>
      </c>
      <c r="FA151" s="18">
        <f>IFERROR(CK151/'McDonough &amp; Sun 1995 values'!R$2,)</f>
        <v>0</v>
      </c>
      <c r="FB151" s="18">
        <f>IFERROR(CZ151/'McDonough &amp; Sun 1995 values'!S$2,)</f>
        <v>4.2207792207792208E-2</v>
      </c>
      <c r="FC151" s="18">
        <f>IFERROR(BT151/'McDonough &amp; Sun 1995 values'!T$2,)</f>
        <v>0</v>
      </c>
      <c r="FD151" s="18">
        <f>IFERROR(DA151/'McDonough &amp; Sun 1995 values'!U$2,)</f>
        <v>1.2316176470588235E-2</v>
      </c>
      <c r="FE151" s="18">
        <f>IFERROR(DN151/'McDonough &amp; Sun 1995 values'!V$2,)</f>
        <v>0</v>
      </c>
      <c r="FF151" s="18">
        <f>IFERROR(DB151/'McDonough &amp; Sun 1995 values'!W$2,)</f>
        <v>0</v>
      </c>
      <c r="FG151" s="18">
        <f>IFERROR(CJ151/'McDonough &amp; Sun 1995 values'!X$2,)</f>
        <v>0</v>
      </c>
      <c r="FH151" s="18">
        <f>IFERROR(DC151/'McDonough &amp; Sun 1995 values'!Y$2,)</f>
        <v>0</v>
      </c>
      <c r="FI151" s="18">
        <f>IFERROR(DD151/'McDonough &amp; Sun 1995 values'!Z$2,)</f>
        <v>0</v>
      </c>
      <c r="FJ151" s="18">
        <f>IFERROR(DE151/'McDonough &amp; Sun 1995 values'!AA$2,)</f>
        <v>0</v>
      </c>
      <c r="FK151" s="18">
        <f>IFERROR(DF151/'McDonough &amp; Sun 1995 values'!AB$2,)</f>
        <v>0</v>
      </c>
      <c r="FL151" s="18">
        <f>IFERROR(DG151/'McDonough &amp; Sun 1995 values'!AC$2,)</f>
        <v>0</v>
      </c>
      <c r="FN151" s="28">
        <f t="shared" si="299"/>
        <v>0</v>
      </c>
      <c r="FO151" s="4">
        <f t="shared" si="309"/>
        <v>8.0682916117698724</v>
      </c>
      <c r="FP151" s="4">
        <f t="shared" si="310"/>
        <v>38.78238993710692</v>
      </c>
      <c r="FQ151" s="4">
        <f t="shared" si="311"/>
        <v>6.0690912405432496</v>
      </c>
      <c r="FR151" s="4">
        <f t="shared" si="312"/>
        <v>10.444444444444445</v>
      </c>
      <c r="FS151" s="4">
        <f t="shared" si="313"/>
        <v>0</v>
      </c>
      <c r="FT151" s="4">
        <f t="shared" si="314"/>
        <v>1.1413043478260871</v>
      </c>
      <c r="FU151" s="4">
        <f t="shared" si="315"/>
        <v>0</v>
      </c>
      <c r="FV151" s="4">
        <f t="shared" si="316"/>
        <v>0</v>
      </c>
      <c r="FW151" s="4">
        <f t="shared" si="317"/>
        <v>0</v>
      </c>
      <c r="FX151" s="4">
        <f t="shared" si="318"/>
        <v>1.9040015151205694</v>
      </c>
      <c r="FY151" s="4">
        <f t="shared" si="319"/>
        <v>2.0353465419225447</v>
      </c>
      <c r="FZ151" s="4">
        <f t="shared" si="320"/>
        <v>2.1254261762286402</v>
      </c>
      <c r="GA151" s="4">
        <f t="shared" si="321"/>
        <v>1.2868440563473107</v>
      </c>
      <c r="GB151" s="4">
        <f t="shared" si="322"/>
        <v>1.3181818181818183</v>
      </c>
      <c r="GC151" s="4">
        <f t="shared" si="323"/>
        <v>0.87619047619047608</v>
      </c>
      <c r="GD151" s="4">
        <f t="shared" si="324"/>
        <v>1.3294068736141909</v>
      </c>
      <c r="GE151" s="4">
        <f t="shared" si="325"/>
        <v>21.939393939393941</v>
      </c>
      <c r="GF151" s="4">
        <f t="shared" si="326"/>
        <v>0</v>
      </c>
      <c r="GG151" s="4">
        <f t="shared" si="327"/>
        <v>51.557575757575762</v>
      </c>
      <c r="GH151" s="4">
        <f t="shared" si="328"/>
        <v>11.56648451730419</v>
      </c>
      <c r="GI151" s="4">
        <f t="shared" si="329"/>
        <v>173.50427350427353</v>
      </c>
      <c r="GJ151" s="4">
        <f t="shared" si="330"/>
        <v>0</v>
      </c>
      <c r="GK151" s="4">
        <f t="shared" si="331"/>
        <v>0</v>
      </c>
      <c r="GL151" s="4">
        <f t="shared" si="332"/>
        <v>0</v>
      </c>
      <c r="GM151" s="4">
        <f t="shared" si="333"/>
        <v>16.50314465408805</v>
      </c>
      <c r="GN151" s="4">
        <f t="shared" si="334"/>
        <v>9.5744680851063829E-2</v>
      </c>
      <c r="GO151" s="4">
        <f t="shared" si="335"/>
        <v>0.15649090348442798</v>
      </c>
      <c r="GP151" s="4">
        <f t="shared" si="336"/>
        <v>0</v>
      </c>
      <c r="GQ151" s="27">
        <f t="shared" si="337"/>
        <v>230161.31405823183</v>
      </c>
      <c r="GR151" s="28" t="str">
        <f t="shared" si="338"/>
        <v/>
      </c>
      <c r="GS151" s="28" t="str">
        <f t="shared" si="339"/>
        <v/>
      </c>
      <c r="GT151" s="28" t="str">
        <f t="shared" si="340"/>
        <v/>
      </c>
      <c r="GU151" s="28" t="str">
        <f t="shared" si="341"/>
        <v/>
      </c>
      <c r="GV151" s="28" t="str">
        <f t="shared" si="342"/>
        <v/>
      </c>
      <c r="GW151" s="28" t="str">
        <f t="shared" si="343"/>
        <v/>
      </c>
      <c r="GX151" s="28" t="str">
        <f t="shared" si="344"/>
        <v/>
      </c>
      <c r="GY151" s="28" t="str">
        <f t="shared" si="345"/>
        <v/>
      </c>
      <c r="GZ151" s="28" t="str">
        <f t="shared" si="346"/>
        <v/>
      </c>
      <c r="HA151" s="28" t="str">
        <f t="shared" si="347"/>
        <v/>
      </c>
      <c r="HB151" s="28" t="str">
        <f t="shared" si="348"/>
        <v/>
      </c>
      <c r="HC151" s="28" t="str">
        <f t="shared" si="349"/>
        <v/>
      </c>
      <c r="HD151" s="28" t="str">
        <f t="shared" si="350"/>
        <v/>
      </c>
      <c r="HE151" s="28" t="str">
        <f t="shared" si="351"/>
        <v/>
      </c>
      <c r="HF151" s="28" t="str">
        <f t="shared" si="352"/>
        <v/>
      </c>
      <c r="HG151" s="28" t="str">
        <f t="shared" si="353"/>
        <v/>
      </c>
      <c r="HH151" s="28" t="str">
        <f t="shared" si="354"/>
        <v/>
      </c>
      <c r="HI151" s="28" t="str">
        <f t="shared" si="355"/>
        <v/>
      </c>
      <c r="HJ151" s="28" t="str">
        <f t="shared" si="356"/>
        <v/>
      </c>
      <c r="HK151" s="28" t="str">
        <f t="shared" si="357"/>
        <v/>
      </c>
      <c r="HL151" s="28" t="str">
        <f t="shared" si="358"/>
        <v/>
      </c>
      <c r="HM151" s="28" t="str">
        <f t="shared" si="359"/>
        <v/>
      </c>
      <c r="HN151" s="28" t="str">
        <f t="shared" si="360"/>
        <v/>
      </c>
      <c r="HO151" s="28" t="str">
        <f t="shared" si="361"/>
        <v/>
      </c>
      <c r="HP151" s="28" t="str">
        <f t="shared" si="362"/>
        <v/>
      </c>
      <c r="HQ151" s="28" t="str">
        <f t="shared" si="363"/>
        <v/>
      </c>
      <c r="HR151" s="28" t="str">
        <f t="shared" si="364"/>
        <v/>
      </c>
      <c r="HT151" s="4">
        <f>IFERROR(GR151/'McDonough &amp; Sun 1995 values'!C$2,)</f>
        <v>0</v>
      </c>
      <c r="HU151" s="4">
        <f>IFERROR(GS151/'McDonough &amp; Sun 1995 values'!D$2,)</f>
        <v>0</v>
      </c>
      <c r="HV151" s="4">
        <f>IFERROR(GT151/'McDonough &amp; Sun 1995 values'!E$2,)</f>
        <v>0</v>
      </c>
      <c r="HW151" s="4">
        <f>IFERROR(GU151/'McDonough &amp; Sun 1995 values'!F$2,)</f>
        <v>0</v>
      </c>
      <c r="HX151" s="4">
        <f>IFERROR(GV151/'McDonough &amp; Sun 1995 values'!G$2,)</f>
        <v>0</v>
      </c>
      <c r="HY151" s="4">
        <f>IFERROR(GW151/'McDonough &amp; Sun 1995 values'!H$2,)</f>
        <v>0</v>
      </c>
      <c r="HZ151" s="4">
        <f>IFERROR(GX151/'McDonough &amp; Sun 1995 values'!I$2,)</f>
        <v>0</v>
      </c>
      <c r="IA151" s="4">
        <f>IFERROR(GY151/'McDonough &amp; Sun 1995 values'!J$2,)</f>
        <v>0</v>
      </c>
      <c r="IB151" s="4">
        <f>IFERROR(GZ151/'McDonough &amp; Sun 1995 values'!K$2,)</f>
        <v>0</v>
      </c>
      <c r="IC151" s="4">
        <f>IFERROR(HA151/'McDonough &amp; Sun 1995 values'!L$2,)</f>
        <v>0</v>
      </c>
      <c r="ID151" s="4">
        <f>IFERROR(HB151/'McDonough &amp; Sun 1995 values'!M$2,)</f>
        <v>0</v>
      </c>
      <c r="IE151" s="4">
        <f>IFERROR(HC151/'McDonough &amp; Sun 1995 values'!N$2,)</f>
        <v>0</v>
      </c>
      <c r="IF151" s="4">
        <f>IFERROR(HD151/'McDonough &amp; Sun 1995 values'!O$2,)</f>
        <v>0</v>
      </c>
      <c r="IG151" s="4">
        <f>IFERROR(HE151/'McDonough &amp; Sun 1995 values'!P$2,)</f>
        <v>0</v>
      </c>
      <c r="IH151" s="4">
        <f>IFERROR(HF151/'McDonough &amp; Sun 1995 values'!Q$2,)</f>
        <v>0</v>
      </c>
      <c r="II151" s="4">
        <f>IFERROR(HG151/'McDonough &amp; Sun 1995 values'!R$2,)</f>
        <v>0</v>
      </c>
      <c r="IJ151" s="4">
        <f>IFERROR(HH151/'McDonough &amp; Sun 1995 values'!S$2,)</f>
        <v>0</v>
      </c>
      <c r="IK151" s="4">
        <f>IFERROR(HI151/'McDonough &amp; Sun 1995 values'!T$2,)</f>
        <v>0</v>
      </c>
      <c r="IL151" s="4">
        <f>IFERROR(HJ151/'McDonough &amp; Sun 1995 values'!U$2,)</f>
        <v>0</v>
      </c>
      <c r="IM151" s="4">
        <f>IFERROR(HK151/'McDonough &amp; Sun 1995 values'!V$2,)</f>
        <v>0</v>
      </c>
      <c r="IN151" s="4">
        <f>IFERROR(HL151/'McDonough &amp; Sun 1995 values'!W$2,)</f>
        <v>0</v>
      </c>
      <c r="IO151" s="4">
        <f>IFERROR(HM151/'McDonough &amp; Sun 1995 values'!X$2,)</f>
        <v>0</v>
      </c>
      <c r="IP151" s="4">
        <f>IFERROR(HN151/'McDonough &amp; Sun 1995 values'!Y$2,)</f>
        <v>0</v>
      </c>
      <c r="IQ151" s="4">
        <f>IFERROR(HO151/'McDonough &amp; Sun 1995 values'!Z$2,)</f>
        <v>0</v>
      </c>
      <c r="IR151" s="4">
        <f>IFERROR(HP151/'McDonough &amp; Sun 1995 values'!AA$2,)</f>
        <v>0</v>
      </c>
      <c r="IS151" s="4">
        <f>IFERROR(HQ151/'McDonough &amp; Sun 1995 values'!AB$2,)</f>
        <v>0</v>
      </c>
      <c r="IT151" s="4">
        <f>IFERROR(HR151/'McDonough &amp; Sun 1995 values'!AC$2,)</f>
        <v>0</v>
      </c>
    </row>
    <row r="152" spans="1:254">
      <c r="A152" s="16" t="s">
        <v>1164</v>
      </c>
      <c r="B152" s="16" t="s">
        <v>24</v>
      </c>
      <c r="C152" s="16" t="str">
        <f t="shared" si="304"/>
        <v>saline</v>
      </c>
      <c r="D152" s="16" t="s">
        <v>119</v>
      </c>
      <c r="E152" s="16" t="s">
        <v>171</v>
      </c>
      <c r="F152" s="16" t="s">
        <v>113</v>
      </c>
      <c r="G152" s="16" t="s">
        <v>595</v>
      </c>
      <c r="H152" s="27" t="s">
        <v>805</v>
      </c>
      <c r="I152" s="16" t="s">
        <v>735</v>
      </c>
      <c r="J152" s="16" t="s">
        <v>1311</v>
      </c>
      <c r="K152" s="16" t="s">
        <v>128</v>
      </c>
      <c r="L152" s="16" t="s">
        <v>114</v>
      </c>
      <c r="M152" s="16" t="s">
        <v>131</v>
      </c>
      <c r="N152" s="16">
        <v>24</v>
      </c>
      <c r="O152" s="26">
        <v>5.2</v>
      </c>
      <c r="P152" s="26">
        <v>1.2</v>
      </c>
      <c r="Q152" s="26"/>
      <c r="R152" s="26">
        <v>1</v>
      </c>
      <c r="S152" s="26">
        <v>8.5</v>
      </c>
      <c r="T152" s="26">
        <v>4.2</v>
      </c>
      <c r="U152" s="26"/>
      <c r="V152" s="26">
        <v>6.1</v>
      </c>
      <c r="W152" s="26">
        <v>6.4</v>
      </c>
      <c r="X152" s="26">
        <v>27.8</v>
      </c>
      <c r="Y152" s="26"/>
      <c r="Z152" s="26">
        <v>0.9</v>
      </c>
      <c r="AA152" s="26"/>
      <c r="AB152" s="26">
        <v>14.3</v>
      </c>
      <c r="AC152" s="26"/>
      <c r="AD152" s="26">
        <v>31.4</v>
      </c>
      <c r="AE152" s="26"/>
      <c r="AF152" s="26"/>
      <c r="AG152" s="26"/>
      <c r="AH152" s="26"/>
      <c r="AI152" s="26">
        <v>3.1</v>
      </c>
      <c r="AJ152" s="26">
        <f t="shared" si="305"/>
        <v>107</v>
      </c>
      <c r="AK152" s="26">
        <f t="shared" si="365"/>
        <v>5.2044777594263048</v>
      </c>
      <c r="AL152" s="26">
        <f t="shared" si="366"/>
        <v>1.2010333290983779</v>
      </c>
      <c r="AM152" s="26">
        <f t="shared" si="367"/>
        <v>1.0008611075819815</v>
      </c>
      <c r="AN152" s="26">
        <f t="shared" si="368"/>
        <v>8.5073194144468438</v>
      </c>
      <c r="AO152" s="26">
        <f t="shared" si="369"/>
        <v>4.2036166518443236</v>
      </c>
      <c r="AP152" s="26">
        <f t="shared" si="370"/>
        <v>6.1052527562500876</v>
      </c>
      <c r="AQ152" s="26">
        <f t="shared" si="371"/>
        <v>14.312313838422339</v>
      </c>
      <c r="AR152" s="26">
        <f t="shared" si="372"/>
        <v>6.4055110885246833</v>
      </c>
      <c r="AS152" s="26">
        <f t="shared" si="373"/>
        <v>27.823938790779088</v>
      </c>
      <c r="AT152" s="26">
        <f t="shared" si="374"/>
        <v>0.90077499682378348</v>
      </c>
      <c r="AU152" s="26">
        <f t="shared" si="375"/>
        <v>31.427038778074223</v>
      </c>
      <c r="AV152" s="26">
        <f t="shared" si="306"/>
        <v>107.09213851127203</v>
      </c>
      <c r="AW152" s="26">
        <v>10.5</v>
      </c>
      <c r="AX152" s="26">
        <v>79.8</v>
      </c>
      <c r="AY152" s="26"/>
      <c r="AZ152" s="94"/>
      <c r="BA152" s="26">
        <v>5.0999999999999997E-2</v>
      </c>
      <c r="BB152" s="26"/>
      <c r="BC152" s="26">
        <f t="shared" si="378"/>
        <v>0.94887885252598614</v>
      </c>
      <c r="BD152" s="26">
        <f t="shared" si="379"/>
        <v>5.1121147474013903E-2</v>
      </c>
      <c r="BE152" s="16"/>
      <c r="BF152" s="16"/>
      <c r="BG152" s="16"/>
      <c r="BH152" s="16"/>
      <c r="BI152" s="16"/>
      <c r="BJ152" s="16">
        <v>0.41</v>
      </c>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v>0.28999999999999998</v>
      </c>
      <c r="CI152" s="18">
        <v>4.5999999999999996</v>
      </c>
      <c r="CJ152" s="18"/>
      <c r="CK152" s="18"/>
      <c r="CL152" s="18"/>
      <c r="CM152" s="18">
        <v>0</v>
      </c>
      <c r="CN152" s="18"/>
      <c r="CO152" s="18"/>
      <c r="CP152" s="18"/>
      <c r="CQ152" s="18"/>
      <c r="CR152" s="18">
        <v>1.9E-2</v>
      </c>
      <c r="CS152" s="18">
        <v>103</v>
      </c>
      <c r="CT152" s="18"/>
      <c r="CU152" s="18">
        <v>1.6</v>
      </c>
      <c r="CV152" s="18">
        <v>1.1000000000000001</v>
      </c>
      <c r="CW152" s="18">
        <v>5.3999999999999999E-2</v>
      </c>
      <c r="CX152" s="18">
        <v>0.12</v>
      </c>
      <c r="CY152" s="18">
        <v>0</v>
      </c>
      <c r="CZ152" s="18">
        <v>8.8000000000000005E-3</v>
      </c>
      <c r="DA152" s="18">
        <v>6.0000000000000001E-3</v>
      </c>
      <c r="DB152" s="18"/>
      <c r="DC152" s="18"/>
      <c r="DD152" s="18"/>
      <c r="DE152" s="18"/>
      <c r="DF152" s="18"/>
      <c r="DG152" s="18"/>
      <c r="DH152" s="18"/>
      <c r="DI152" s="18"/>
      <c r="DJ152" s="18"/>
      <c r="DK152" s="18">
        <v>0.72</v>
      </c>
      <c r="DL152" s="18">
        <v>0.87</v>
      </c>
      <c r="DM152" s="18">
        <v>5.0999999999999997E-2</v>
      </c>
      <c r="DN152" s="18"/>
      <c r="DO152" s="18"/>
      <c r="DP152" s="18"/>
      <c r="DQ152" s="18"/>
      <c r="DR152" s="18"/>
      <c r="DS152" s="18"/>
      <c r="DT152" s="18">
        <v>0.18090000000000001</v>
      </c>
      <c r="DU152" s="18">
        <v>0</v>
      </c>
      <c r="DV152" s="28">
        <v>0.70597799999999999</v>
      </c>
      <c r="DW152" s="28">
        <v>7.7000000000000001E-5</v>
      </c>
      <c r="DX152" s="28">
        <v>0.70583399999999996</v>
      </c>
      <c r="DY152" s="28">
        <v>8.2000000000000001E-5</v>
      </c>
      <c r="DZ152" s="28"/>
      <c r="EA152" s="28"/>
      <c r="EB152" s="28"/>
      <c r="EC152" s="28"/>
      <c r="ED152" s="28"/>
      <c r="EE152" s="28"/>
      <c r="EF152" s="28"/>
      <c r="EG152" s="28"/>
      <c r="EH152" s="28"/>
      <c r="EI152" s="28"/>
      <c r="EJ152" s="18"/>
      <c r="EK152" s="18"/>
      <c r="EL152" s="18">
        <f>IFERROR(CR152/'McDonough &amp; Sun 1995 values'!C$2,)</f>
        <v>0.90476190476190466</v>
      </c>
      <c r="EM152" s="18">
        <f>IFERROR(CH152/'McDonough &amp; Sun 1995 values'!D$2,)</f>
        <v>0.48333333333333334</v>
      </c>
      <c r="EN152" s="18">
        <f>IFERROR(CS152/'McDonough &amp; Sun 1995 values'!E$2,)</f>
        <v>15.606060606060607</v>
      </c>
      <c r="EO152" s="18">
        <f>IFERROR(DL152/'McDonough &amp; Sun 1995 values'!F$2,)</f>
        <v>10.943396226415095</v>
      </c>
      <c r="EP152" s="18">
        <f>IFERROR(DM152/'McDonough &amp; Sun 1995 values'!G$2,)</f>
        <v>2.5123152709359604</v>
      </c>
      <c r="EQ152" s="18">
        <f>IFERROR(BR152/'McDonough &amp; Sun 1995 values'!H$2,)</f>
        <v>0</v>
      </c>
      <c r="ER152" s="18">
        <f>IFERROR(DI152/'McDonough &amp; Sun 1995 values'!I$2,)</f>
        <v>0</v>
      </c>
      <c r="ES152" s="18">
        <f>IFERROR(CM152/'McDonough &amp; Sun 1995 values'!J$2,)</f>
        <v>0</v>
      </c>
      <c r="ET152" s="18">
        <f>IFERROR(CU152/'McDonough &amp; Sun 1995 values'!K$2,)</f>
        <v>2.4691358024691357</v>
      </c>
      <c r="EU152" s="18">
        <f>IFERROR(CV152/'McDonough &amp; Sun 1995 values'!L$2,)</f>
        <v>0.65671641791044777</v>
      </c>
      <c r="EV152" s="18">
        <f>IFERROR(CW152/'McDonough &amp; Sun 1995 values'!M$2,)</f>
        <v>0.21259842519685038</v>
      </c>
      <c r="EW152" s="18">
        <f>IFERROR(CI152/'McDonough &amp; Sun 1995 values'!N$2,)</f>
        <v>0.23115577889447236</v>
      </c>
      <c r="EX152" s="18">
        <f>IFERROR(CX152/'McDonough &amp; Sun 1995 values'!O$2,)</f>
        <v>9.6000000000000002E-2</v>
      </c>
      <c r="EY152" s="18">
        <f>IFERROR(CY152/'McDonough &amp; Sun 1995 values'!P$2,)</f>
        <v>0</v>
      </c>
      <c r="EZ152" s="18">
        <f>IFERROR(DH152/'McDonough &amp; Sun 1995 values'!Q$2,)</f>
        <v>0</v>
      </c>
      <c r="FA152" s="18">
        <f>IFERROR(CK152/'McDonough &amp; Sun 1995 values'!R$2,)</f>
        <v>0</v>
      </c>
      <c r="FB152" s="18">
        <f>IFERROR(CZ152/'McDonough &amp; Sun 1995 values'!S$2,)</f>
        <v>5.7142857142857148E-2</v>
      </c>
      <c r="FC152" s="18">
        <f>IFERROR(BT152/'McDonough &amp; Sun 1995 values'!T$2,)</f>
        <v>0</v>
      </c>
      <c r="FD152" s="18">
        <f>IFERROR(DA152/'McDonough &amp; Sun 1995 values'!U$2,)</f>
        <v>1.1029411764705881E-2</v>
      </c>
      <c r="FE152" s="18">
        <f>IFERROR(DN152/'McDonough &amp; Sun 1995 values'!V$2,)</f>
        <v>0</v>
      </c>
      <c r="FF152" s="18">
        <f>IFERROR(DB152/'McDonough &amp; Sun 1995 values'!W$2,)</f>
        <v>0</v>
      </c>
      <c r="FG152" s="18">
        <f>IFERROR(CJ152/'McDonough &amp; Sun 1995 values'!X$2,)</f>
        <v>0</v>
      </c>
      <c r="FH152" s="18">
        <f>IFERROR(DC152/'McDonough &amp; Sun 1995 values'!Y$2,)</f>
        <v>0</v>
      </c>
      <c r="FI152" s="18">
        <f>IFERROR(DD152/'McDonough &amp; Sun 1995 values'!Z$2,)</f>
        <v>0</v>
      </c>
      <c r="FJ152" s="18">
        <f>IFERROR(DE152/'McDonough &amp; Sun 1995 values'!AA$2,)</f>
        <v>0</v>
      </c>
      <c r="FK152" s="18">
        <f>IFERROR(DF152/'McDonough &amp; Sun 1995 values'!AB$2,)</f>
        <v>0</v>
      </c>
      <c r="FL152" s="18">
        <f>IFERROR(DG152/'McDonough &amp; Sun 1995 values'!AC$2,)</f>
        <v>0</v>
      </c>
      <c r="FN152" s="28">
        <f t="shared" si="299"/>
        <v>0</v>
      </c>
      <c r="FO152" s="4">
        <f t="shared" si="309"/>
        <v>6.2118241235888307</v>
      </c>
      <c r="FP152" s="4">
        <f t="shared" si="310"/>
        <v>0</v>
      </c>
      <c r="FQ152" s="4">
        <f t="shared" si="311"/>
        <v>4.3559008509064006</v>
      </c>
      <c r="FR152" s="4">
        <f t="shared" si="312"/>
        <v>0</v>
      </c>
      <c r="FS152" s="4">
        <f t="shared" si="313"/>
        <v>0</v>
      </c>
      <c r="FT152" s="4">
        <f t="shared" si="314"/>
        <v>0.53421052631578958</v>
      </c>
      <c r="FU152" s="4">
        <f t="shared" si="315"/>
        <v>0</v>
      </c>
      <c r="FV152" s="4">
        <f t="shared" si="316"/>
        <v>0</v>
      </c>
      <c r="FW152" s="4">
        <f t="shared" si="317"/>
        <v>0</v>
      </c>
      <c r="FX152" s="4">
        <f t="shared" si="318"/>
        <v>10.361904761904764</v>
      </c>
      <c r="FY152" s="4">
        <f t="shared" si="319"/>
        <v>1.6180394911900922</v>
      </c>
      <c r="FZ152" s="4">
        <f t="shared" si="320"/>
        <v>0</v>
      </c>
      <c r="GA152" s="4">
        <f t="shared" si="321"/>
        <v>1.0872882933184442</v>
      </c>
      <c r="GB152" s="4">
        <f t="shared" si="322"/>
        <v>0</v>
      </c>
      <c r="GC152" s="4">
        <f t="shared" si="323"/>
        <v>1.8719211822660096</v>
      </c>
      <c r="GD152" s="4">
        <f t="shared" si="324"/>
        <v>1.4260710553814002</v>
      </c>
      <c r="GE152" s="4">
        <f t="shared" si="325"/>
        <v>32.288401253918501</v>
      </c>
      <c r="GF152" s="4">
        <f t="shared" si="326"/>
        <v>0</v>
      </c>
      <c r="GG152" s="4">
        <f t="shared" si="327"/>
        <v>0</v>
      </c>
      <c r="GH152" s="4">
        <f t="shared" si="328"/>
        <v>11.614083219021492</v>
      </c>
      <c r="GI152" s="4">
        <f t="shared" si="329"/>
        <v>0</v>
      </c>
      <c r="GJ152" s="4">
        <f t="shared" si="330"/>
        <v>0</v>
      </c>
      <c r="GK152" s="4">
        <f t="shared" si="331"/>
        <v>0</v>
      </c>
      <c r="GL152" s="4">
        <f t="shared" si="332"/>
        <v>0</v>
      </c>
      <c r="GM152" s="4">
        <f t="shared" si="333"/>
        <v>22.641509433962266</v>
      </c>
      <c r="GN152" s="4">
        <f t="shared" si="334"/>
        <v>0</v>
      </c>
      <c r="GO152" s="4">
        <f t="shared" si="335"/>
        <v>0</v>
      </c>
      <c r="GP152" s="4">
        <f t="shared" si="336"/>
        <v>0</v>
      </c>
      <c r="GQ152" s="27">
        <f t="shared" si="337"/>
        <v>230976.89554198907</v>
      </c>
      <c r="GR152" s="28" t="str">
        <f t="shared" si="338"/>
        <v/>
      </c>
      <c r="GS152" s="28" t="str">
        <f t="shared" si="339"/>
        <v/>
      </c>
      <c r="GT152" s="28" t="str">
        <f t="shared" si="340"/>
        <v/>
      </c>
      <c r="GU152" s="28" t="str">
        <f t="shared" si="341"/>
        <v/>
      </c>
      <c r="GV152" s="28" t="str">
        <f t="shared" si="342"/>
        <v/>
      </c>
      <c r="GW152" s="28" t="str">
        <f t="shared" si="343"/>
        <v/>
      </c>
      <c r="GX152" s="28" t="str">
        <f t="shared" si="344"/>
        <v/>
      </c>
      <c r="GY152" s="28" t="str">
        <f t="shared" si="345"/>
        <v/>
      </c>
      <c r="GZ152" s="28" t="str">
        <f t="shared" si="346"/>
        <v/>
      </c>
      <c r="HA152" s="28" t="str">
        <f t="shared" si="347"/>
        <v/>
      </c>
      <c r="HB152" s="28" t="str">
        <f t="shared" si="348"/>
        <v/>
      </c>
      <c r="HC152" s="28" t="str">
        <f t="shared" si="349"/>
        <v/>
      </c>
      <c r="HD152" s="28" t="str">
        <f t="shared" si="350"/>
        <v/>
      </c>
      <c r="HE152" s="28" t="str">
        <f t="shared" si="351"/>
        <v/>
      </c>
      <c r="HF152" s="28" t="str">
        <f t="shared" si="352"/>
        <v/>
      </c>
      <c r="HG152" s="28" t="str">
        <f t="shared" si="353"/>
        <v/>
      </c>
      <c r="HH152" s="28" t="str">
        <f t="shared" si="354"/>
        <v/>
      </c>
      <c r="HI152" s="28" t="str">
        <f t="shared" si="355"/>
        <v/>
      </c>
      <c r="HJ152" s="28" t="str">
        <f t="shared" si="356"/>
        <v/>
      </c>
      <c r="HK152" s="28" t="str">
        <f t="shared" si="357"/>
        <v/>
      </c>
      <c r="HL152" s="28" t="str">
        <f t="shared" si="358"/>
        <v/>
      </c>
      <c r="HM152" s="28" t="str">
        <f t="shared" si="359"/>
        <v/>
      </c>
      <c r="HN152" s="28" t="str">
        <f t="shared" si="360"/>
        <v/>
      </c>
      <c r="HO152" s="28" t="str">
        <f t="shared" si="361"/>
        <v/>
      </c>
      <c r="HP152" s="28" t="str">
        <f t="shared" si="362"/>
        <v/>
      </c>
      <c r="HQ152" s="28" t="str">
        <f t="shared" si="363"/>
        <v/>
      </c>
      <c r="HR152" s="28" t="str">
        <f t="shared" si="364"/>
        <v/>
      </c>
      <c r="HT152" s="4">
        <f>IFERROR(GR152/'McDonough &amp; Sun 1995 values'!C$2,)</f>
        <v>0</v>
      </c>
      <c r="HU152" s="4">
        <f>IFERROR(GS152/'McDonough &amp; Sun 1995 values'!D$2,)</f>
        <v>0</v>
      </c>
      <c r="HV152" s="4">
        <f>IFERROR(GT152/'McDonough &amp; Sun 1995 values'!E$2,)</f>
        <v>0</v>
      </c>
      <c r="HW152" s="4">
        <f>IFERROR(GU152/'McDonough &amp; Sun 1995 values'!F$2,)</f>
        <v>0</v>
      </c>
      <c r="HX152" s="4">
        <f>IFERROR(GV152/'McDonough &amp; Sun 1995 values'!G$2,)</f>
        <v>0</v>
      </c>
      <c r="HY152" s="4">
        <f>IFERROR(GW152/'McDonough &amp; Sun 1995 values'!H$2,)</f>
        <v>0</v>
      </c>
      <c r="HZ152" s="4">
        <f>IFERROR(GX152/'McDonough &amp; Sun 1995 values'!I$2,)</f>
        <v>0</v>
      </c>
      <c r="IA152" s="4">
        <f>IFERROR(GY152/'McDonough &amp; Sun 1995 values'!J$2,)</f>
        <v>0</v>
      </c>
      <c r="IB152" s="4">
        <f>IFERROR(GZ152/'McDonough &amp; Sun 1995 values'!K$2,)</f>
        <v>0</v>
      </c>
      <c r="IC152" s="4">
        <f>IFERROR(HA152/'McDonough &amp; Sun 1995 values'!L$2,)</f>
        <v>0</v>
      </c>
      <c r="ID152" s="4">
        <f>IFERROR(HB152/'McDonough &amp; Sun 1995 values'!M$2,)</f>
        <v>0</v>
      </c>
      <c r="IE152" s="4">
        <f>IFERROR(HC152/'McDonough &amp; Sun 1995 values'!N$2,)</f>
        <v>0</v>
      </c>
      <c r="IF152" s="4">
        <f>IFERROR(HD152/'McDonough &amp; Sun 1995 values'!O$2,)</f>
        <v>0</v>
      </c>
      <c r="IG152" s="4">
        <f>IFERROR(HE152/'McDonough &amp; Sun 1995 values'!P$2,)</f>
        <v>0</v>
      </c>
      <c r="IH152" s="4">
        <f>IFERROR(HF152/'McDonough &amp; Sun 1995 values'!Q$2,)</f>
        <v>0</v>
      </c>
      <c r="II152" s="4">
        <f>IFERROR(HG152/'McDonough &amp; Sun 1995 values'!R$2,)</f>
        <v>0</v>
      </c>
      <c r="IJ152" s="4">
        <f>IFERROR(HH152/'McDonough &amp; Sun 1995 values'!S$2,)</f>
        <v>0</v>
      </c>
      <c r="IK152" s="4">
        <f>IFERROR(HI152/'McDonough &amp; Sun 1995 values'!T$2,)</f>
        <v>0</v>
      </c>
      <c r="IL152" s="4">
        <f>IFERROR(HJ152/'McDonough &amp; Sun 1995 values'!U$2,)</f>
        <v>0</v>
      </c>
      <c r="IM152" s="4">
        <f>IFERROR(HK152/'McDonough &amp; Sun 1995 values'!V$2,)</f>
        <v>0</v>
      </c>
      <c r="IN152" s="4">
        <f>IFERROR(HL152/'McDonough &amp; Sun 1995 values'!W$2,)</f>
        <v>0</v>
      </c>
      <c r="IO152" s="4">
        <f>IFERROR(HM152/'McDonough &amp; Sun 1995 values'!X$2,)</f>
        <v>0</v>
      </c>
      <c r="IP152" s="4">
        <f>IFERROR(HN152/'McDonough &amp; Sun 1995 values'!Y$2,)</f>
        <v>0</v>
      </c>
      <c r="IQ152" s="4">
        <f>IFERROR(HO152/'McDonough &amp; Sun 1995 values'!Z$2,)</f>
        <v>0</v>
      </c>
      <c r="IR152" s="4">
        <f>IFERROR(HP152/'McDonough &amp; Sun 1995 values'!AA$2,)</f>
        <v>0</v>
      </c>
      <c r="IS152" s="4">
        <f>IFERROR(HQ152/'McDonough &amp; Sun 1995 values'!AB$2,)</f>
        <v>0</v>
      </c>
      <c r="IT152" s="4">
        <f>IFERROR(HR152/'McDonough &amp; Sun 1995 values'!AC$2,)</f>
        <v>0</v>
      </c>
    </row>
    <row r="153" spans="1:254">
      <c r="A153" s="16" t="s">
        <v>1164</v>
      </c>
      <c r="B153" s="16" t="s">
        <v>24</v>
      </c>
      <c r="C153" s="16" t="str">
        <f t="shared" si="304"/>
        <v>saline</v>
      </c>
      <c r="D153" s="16" t="s">
        <v>119</v>
      </c>
      <c r="E153" s="16" t="s">
        <v>171</v>
      </c>
      <c r="F153" s="16" t="s">
        <v>113</v>
      </c>
      <c r="G153" s="16" t="s">
        <v>595</v>
      </c>
      <c r="H153" s="27" t="s">
        <v>805</v>
      </c>
      <c r="I153" s="16" t="s">
        <v>735</v>
      </c>
      <c r="J153" s="16" t="s">
        <v>1311</v>
      </c>
      <c r="K153" s="16" t="s">
        <v>128</v>
      </c>
      <c r="L153" s="16" t="s">
        <v>114</v>
      </c>
      <c r="M153" s="16" t="s">
        <v>132</v>
      </c>
      <c r="N153" s="16">
        <v>35</v>
      </c>
      <c r="O153" s="26">
        <v>7.3</v>
      </c>
      <c r="P153" s="26">
        <v>1.6</v>
      </c>
      <c r="Q153" s="26"/>
      <c r="R153" s="26">
        <v>1.2</v>
      </c>
      <c r="S153" s="26">
        <v>7.7</v>
      </c>
      <c r="T153" s="26">
        <v>4</v>
      </c>
      <c r="U153" s="26"/>
      <c r="V153" s="26">
        <v>7.3</v>
      </c>
      <c r="W153" s="26">
        <v>5.8</v>
      </c>
      <c r="X153" s="26">
        <v>28.2</v>
      </c>
      <c r="Y153" s="26"/>
      <c r="Z153" s="26">
        <v>0.6</v>
      </c>
      <c r="AA153" s="26"/>
      <c r="AB153" s="26">
        <v>14</v>
      </c>
      <c r="AC153" s="26"/>
      <c r="AD153" s="26">
        <v>28.8</v>
      </c>
      <c r="AE153" s="26"/>
      <c r="AF153" s="26"/>
      <c r="AG153" s="26"/>
      <c r="AH153" s="26"/>
      <c r="AI153" s="26">
        <v>2.5</v>
      </c>
      <c r="AJ153" s="26">
        <f t="shared" si="305"/>
        <v>106.49999999999999</v>
      </c>
      <c r="AK153" s="26">
        <f t="shared" si="365"/>
        <v>7.2999485194039551</v>
      </c>
      <c r="AL153" s="26">
        <f t="shared" si="366"/>
        <v>1.5999887165816888</v>
      </c>
      <c r="AM153" s="26">
        <f t="shared" si="367"/>
        <v>1.1999915374362666</v>
      </c>
      <c r="AN153" s="26">
        <f t="shared" si="368"/>
        <v>7.6999456985493779</v>
      </c>
      <c r="AO153" s="26">
        <f t="shared" si="369"/>
        <v>3.9999717914542217</v>
      </c>
      <c r="AP153" s="26">
        <f t="shared" si="370"/>
        <v>7.2999485194039551</v>
      </c>
      <c r="AQ153" s="26">
        <f t="shared" si="371"/>
        <v>13.999901270089776</v>
      </c>
      <c r="AR153" s="26">
        <f t="shared" si="372"/>
        <v>5.7999590976086219</v>
      </c>
      <c r="AS153" s="26">
        <f t="shared" si="373"/>
        <v>28.199801129752259</v>
      </c>
      <c r="AT153" s="26">
        <f t="shared" si="374"/>
        <v>0.59999576871813332</v>
      </c>
      <c r="AU153" s="26">
        <f t="shared" si="375"/>
        <v>28.799796898470397</v>
      </c>
      <c r="AV153" s="26">
        <f t="shared" si="306"/>
        <v>106.49924894746866</v>
      </c>
      <c r="AW153" s="26">
        <v>12.8</v>
      </c>
      <c r="AX153" s="26">
        <v>38.4</v>
      </c>
      <c r="AY153" s="26"/>
      <c r="AZ153" s="94"/>
      <c r="BA153" s="26">
        <v>0.12</v>
      </c>
      <c r="BB153" s="26"/>
      <c r="BC153" s="26">
        <f t="shared" si="378"/>
        <v>0.87990669776741093</v>
      </c>
      <c r="BD153" s="26">
        <f t="shared" si="379"/>
        <v>0.12009330223258916</v>
      </c>
      <c r="BE153" s="16"/>
      <c r="BF153" s="16"/>
      <c r="BG153" s="16"/>
      <c r="BH153" s="16"/>
      <c r="BI153" s="16"/>
      <c r="BJ153" s="16">
        <v>0.36</v>
      </c>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v>0.86</v>
      </c>
      <c r="CI153" s="18">
        <v>23.6</v>
      </c>
      <c r="CJ153" s="18"/>
      <c r="CK153" s="18"/>
      <c r="CL153" s="18"/>
      <c r="CM153" s="18">
        <v>0</v>
      </c>
      <c r="CN153" s="18"/>
      <c r="CO153" s="18"/>
      <c r="CP153" s="18"/>
      <c r="CQ153" s="18"/>
      <c r="CR153" s="18">
        <v>3.4000000000000002E-2</v>
      </c>
      <c r="CS153" s="18">
        <v>164</v>
      </c>
      <c r="CT153" s="18"/>
      <c r="CU153" s="18">
        <v>9.4</v>
      </c>
      <c r="CV153" s="18">
        <v>7.4</v>
      </c>
      <c r="CW153" s="18">
        <v>0.18</v>
      </c>
      <c r="CX153" s="18">
        <v>0.2</v>
      </c>
      <c r="CY153" s="18">
        <v>0.01</v>
      </c>
      <c r="CZ153" s="18">
        <v>1.2999999999999999E-2</v>
      </c>
      <c r="DA153" s="18">
        <v>1.0999999999999999E-2</v>
      </c>
      <c r="DB153" s="18">
        <v>1.6999999999999999E-3</v>
      </c>
      <c r="DC153" s="18">
        <v>0</v>
      </c>
      <c r="DD153" s="18"/>
      <c r="DE153" s="18"/>
      <c r="DF153" s="18"/>
      <c r="DG153" s="18"/>
      <c r="DH153" s="18"/>
      <c r="DI153" s="18"/>
      <c r="DJ153" s="18"/>
      <c r="DK153" s="18">
        <v>1.9</v>
      </c>
      <c r="DL153" s="18">
        <v>2.15</v>
      </c>
      <c r="DM153" s="18">
        <v>0.09</v>
      </c>
      <c r="DN153" s="18"/>
      <c r="DO153" s="18"/>
      <c r="DP153" s="18"/>
      <c r="DQ153" s="18"/>
      <c r="DR153" s="18"/>
      <c r="DS153" s="18"/>
      <c r="DT153" s="18">
        <v>0.10489999999999999</v>
      </c>
      <c r="DU153" s="18">
        <v>0</v>
      </c>
      <c r="DV153" s="28">
        <v>0.70779999999999998</v>
      </c>
      <c r="DW153" s="28">
        <v>5.8999999999999998E-5</v>
      </c>
      <c r="DX153" s="28">
        <v>0.70771700000000004</v>
      </c>
      <c r="DY153" s="28">
        <v>6.0999999999999999E-5</v>
      </c>
      <c r="DZ153" s="28"/>
      <c r="EA153" s="28"/>
      <c r="EB153" s="28"/>
      <c r="EC153" s="28"/>
      <c r="ED153" s="28"/>
      <c r="EE153" s="28"/>
      <c r="EF153" s="28"/>
      <c r="EG153" s="28"/>
      <c r="EH153" s="28"/>
      <c r="EI153" s="28"/>
      <c r="EJ153" s="18"/>
      <c r="EK153" s="18"/>
      <c r="EL153" s="18">
        <f>IFERROR(CR153/'McDonough &amp; Sun 1995 values'!C$2,)</f>
        <v>1.6190476190476191</v>
      </c>
      <c r="EM153" s="18">
        <f>IFERROR(CH153/'McDonough &amp; Sun 1995 values'!D$2,)</f>
        <v>1.4333333333333333</v>
      </c>
      <c r="EN153" s="18">
        <f>IFERROR(CS153/'McDonough &amp; Sun 1995 values'!E$2,)</f>
        <v>24.848484848484851</v>
      </c>
      <c r="EO153" s="18">
        <f>IFERROR(DL153/'McDonough &amp; Sun 1995 values'!F$2,)</f>
        <v>27.044025157232703</v>
      </c>
      <c r="EP153" s="18">
        <f>IFERROR(DM153/'McDonough &amp; Sun 1995 values'!G$2,)</f>
        <v>4.4334975369458132</v>
      </c>
      <c r="EQ153" s="18">
        <f>IFERROR(BR153/'McDonough &amp; Sun 1995 values'!H$2,)</f>
        <v>0</v>
      </c>
      <c r="ER153" s="18">
        <f>IFERROR(DI153/'McDonough &amp; Sun 1995 values'!I$2,)</f>
        <v>0</v>
      </c>
      <c r="ES153" s="18">
        <f>IFERROR(CM153/'McDonough &amp; Sun 1995 values'!J$2,)</f>
        <v>0</v>
      </c>
      <c r="ET153" s="18">
        <f>IFERROR(CU153/'McDonough &amp; Sun 1995 values'!K$2,)</f>
        <v>14.506172839506172</v>
      </c>
      <c r="EU153" s="18">
        <f>IFERROR(CV153/'McDonough &amp; Sun 1995 values'!L$2,)</f>
        <v>4.4179104477611943</v>
      </c>
      <c r="EV153" s="18">
        <f>IFERROR(CW153/'McDonough &amp; Sun 1995 values'!M$2,)</f>
        <v>0.70866141732283461</v>
      </c>
      <c r="EW153" s="18">
        <f>IFERROR(CI153/'McDonough &amp; Sun 1995 values'!N$2,)</f>
        <v>1.1859296482412063</v>
      </c>
      <c r="EX153" s="18">
        <f>IFERROR(CX153/'McDonough &amp; Sun 1995 values'!O$2,)</f>
        <v>0.16</v>
      </c>
      <c r="EY153" s="18">
        <f>IFERROR(CY153/'McDonough &amp; Sun 1995 values'!P$2,)</f>
        <v>2.463054187192118E-2</v>
      </c>
      <c r="EZ153" s="18">
        <f>IFERROR(DH153/'McDonough &amp; Sun 1995 values'!Q$2,)</f>
        <v>0</v>
      </c>
      <c r="FA153" s="18">
        <f>IFERROR(CK153/'McDonough &amp; Sun 1995 values'!R$2,)</f>
        <v>0</v>
      </c>
      <c r="FB153" s="18">
        <f>IFERROR(CZ153/'McDonough &amp; Sun 1995 values'!S$2,)</f>
        <v>8.4415584415584416E-2</v>
      </c>
      <c r="FC153" s="18">
        <f>IFERROR(BT153/'McDonough &amp; Sun 1995 values'!T$2,)</f>
        <v>0</v>
      </c>
      <c r="FD153" s="18">
        <f>IFERROR(DA153/'McDonough &amp; Sun 1995 values'!U$2,)</f>
        <v>2.0220588235294115E-2</v>
      </c>
      <c r="FE153" s="18">
        <f>IFERROR(DN153/'McDonough &amp; Sun 1995 values'!V$2,)</f>
        <v>0</v>
      </c>
      <c r="FF153" s="18">
        <f>IFERROR(DB153/'McDonough &amp; Sun 1995 values'!W$2,)</f>
        <v>2.522255192878338E-3</v>
      </c>
      <c r="FG153" s="18">
        <f>IFERROR(CJ153/'McDonough &amp; Sun 1995 values'!X$2,)</f>
        <v>0</v>
      </c>
      <c r="FH153" s="18">
        <f>IFERROR(DC153/'McDonough &amp; Sun 1995 values'!Y$2,)</f>
        <v>0</v>
      </c>
      <c r="FI153" s="18">
        <f>IFERROR(DD153/'McDonough &amp; Sun 1995 values'!Z$2,)</f>
        <v>0</v>
      </c>
      <c r="FJ153" s="18">
        <f>IFERROR(DE153/'McDonough &amp; Sun 1995 values'!AA$2,)</f>
        <v>0</v>
      </c>
      <c r="FK153" s="18">
        <f>IFERROR(DF153/'McDonough &amp; Sun 1995 values'!AB$2,)</f>
        <v>0</v>
      </c>
      <c r="FL153" s="18">
        <f>IFERROR(DG153/'McDonough &amp; Sun 1995 values'!AC$2,)</f>
        <v>0</v>
      </c>
      <c r="FN153" s="28">
        <f t="shared" si="299"/>
        <v>0</v>
      </c>
      <c r="FO153" s="4">
        <f t="shared" si="309"/>
        <v>5.6047138047138052</v>
      </c>
      <c r="FP153" s="4">
        <f t="shared" si="310"/>
        <v>0</v>
      </c>
      <c r="FQ153" s="4">
        <f t="shared" si="311"/>
        <v>6.0999301187980421</v>
      </c>
      <c r="FR153" s="4">
        <f t="shared" si="312"/>
        <v>0</v>
      </c>
      <c r="FS153" s="4">
        <f t="shared" si="313"/>
        <v>0</v>
      </c>
      <c r="FT153" s="4">
        <f t="shared" si="314"/>
        <v>0.88529411764705879</v>
      </c>
      <c r="FU153" s="4">
        <f t="shared" si="315"/>
        <v>0</v>
      </c>
      <c r="FV153" s="4">
        <f t="shared" si="316"/>
        <v>0</v>
      </c>
      <c r="FW153" s="4">
        <f t="shared" si="317"/>
        <v>0</v>
      </c>
      <c r="FX153" s="4">
        <f t="shared" si="318"/>
        <v>3.7642567406346936</v>
      </c>
      <c r="FY153" s="4">
        <f t="shared" si="319"/>
        <v>3.5219204395012476</v>
      </c>
      <c r="FZ153" s="4">
        <f t="shared" si="320"/>
        <v>3.7825855183750932</v>
      </c>
      <c r="GA153" s="4">
        <f t="shared" si="321"/>
        <v>1.6734785036292579</v>
      </c>
      <c r="GB153" s="4">
        <f t="shared" si="322"/>
        <v>3.4272727272727277</v>
      </c>
      <c r="GC153" s="4">
        <f t="shared" si="323"/>
        <v>1.1295681063122924</v>
      </c>
      <c r="GD153" s="4">
        <f t="shared" si="324"/>
        <v>0.91881606765327706</v>
      </c>
      <c r="GE153" s="4">
        <f t="shared" si="325"/>
        <v>17.336152219873153</v>
      </c>
      <c r="GF153" s="4">
        <f t="shared" si="326"/>
        <v>0</v>
      </c>
      <c r="GG153" s="4">
        <f t="shared" si="327"/>
        <v>0</v>
      </c>
      <c r="GH153" s="4">
        <f t="shared" si="328"/>
        <v>20.469821673525377</v>
      </c>
      <c r="GI153" s="4">
        <f t="shared" si="329"/>
        <v>588.95061728395069</v>
      </c>
      <c r="GJ153" s="4">
        <f t="shared" si="330"/>
        <v>5751.2708787218598</v>
      </c>
      <c r="GK153" s="4">
        <f t="shared" si="331"/>
        <v>0</v>
      </c>
      <c r="GL153" s="4">
        <f t="shared" si="332"/>
        <v>0</v>
      </c>
      <c r="GM153" s="4">
        <f t="shared" si="333"/>
        <v>18.867924528301884</v>
      </c>
      <c r="GN153" s="4">
        <f t="shared" si="334"/>
        <v>0</v>
      </c>
      <c r="GO153" s="4">
        <f t="shared" si="335"/>
        <v>0</v>
      </c>
      <c r="GP153" s="4">
        <f t="shared" si="336"/>
        <v>0</v>
      </c>
      <c r="GQ153" s="27">
        <f t="shared" si="337"/>
        <v>234097.06903216164</v>
      </c>
      <c r="GR153" s="28" t="str">
        <f t="shared" si="338"/>
        <v/>
      </c>
      <c r="GS153" s="28" t="str">
        <f t="shared" si="339"/>
        <v/>
      </c>
      <c r="GT153" s="28" t="str">
        <f t="shared" si="340"/>
        <v/>
      </c>
      <c r="GU153" s="28" t="str">
        <f t="shared" si="341"/>
        <v/>
      </c>
      <c r="GV153" s="28" t="str">
        <f t="shared" si="342"/>
        <v/>
      </c>
      <c r="GW153" s="28" t="str">
        <f t="shared" si="343"/>
        <v/>
      </c>
      <c r="GX153" s="28" t="str">
        <f t="shared" si="344"/>
        <v/>
      </c>
      <c r="GY153" s="28" t="str">
        <f t="shared" si="345"/>
        <v/>
      </c>
      <c r="GZ153" s="28" t="str">
        <f t="shared" si="346"/>
        <v/>
      </c>
      <c r="HA153" s="28" t="str">
        <f t="shared" si="347"/>
        <v/>
      </c>
      <c r="HB153" s="28" t="str">
        <f t="shared" si="348"/>
        <v/>
      </c>
      <c r="HC153" s="28" t="str">
        <f t="shared" si="349"/>
        <v/>
      </c>
      <c r="HD153" s="28" t="str">
        <f t="shared" si="350"/>
        <v/>
      </c>
      <c r="HE153" s="28" t="str">
        <f t="shared" si="351"/>
        <v/>
      </c>
      <c r="HF153" s="28" t="str">
        <f t="shared" si="352"/>
        <v/>
      </c>
      <c r="HG153" s="28" t="str">
        <f t="shared" si="353"/>
        <v/>
      </c>
      <c r="HH153" s="28" t="str">
        <f t="shared" si="354"/>
        <v/>
      </c>
      <c r="HI153" s="28" t="str">
        <f t="shared" si="355"/>
        <v/>
      </c>
      <c r="HJ153" s="28" t="str">
        <f t="shared" si="356"/>
        <v/>
      </c>
      <c r="HK153" s="28" t="str">
        <f t="shared" si="357"/>
        <v/>
      </c>
      <c r="HL153" s="28" t="str">
        <f t="shared" si="358"/>
        <v/>
      </c>
      <c r="HM153" s="28" t="str">
        <f t="shared" si="359"/>
        <v/>
      </c>
      <c r="HN153" s="28" t="str">
        <f t="shared" si="360"/>
        <v/>
      </c>
      <c r="HO153" s="28" t="str">
        <f t="shared" si="361"/>
        <v/>
      </c>
      <c r="HP153" s="28" t="str">
        <f t="shared" si="362"/>
        <v/>
      </c>
      <c r="HQ153" s="28" t="str">
        <f t="shared" si="363"/>
        <v/>
      </c>
      <c r="HR153" s="28" t="str">
        <f t="shared" si="364"/>
        <v/>
      </c>
      <c r="HT153" s="4">
        <f>IFERROR(GR153/'McDonough &amp; Sun 1995 values'!C$2,)</f>
        <v>0</v>
      </c>
      <c r="HU153" s="4">
        <f>IFERROR(GS153/'McDonough &amp; Sun 1995 values'!D$2,)</f>
        <v>0</v>
      </c>
      <c r="HV153" s="4">
        <f>IFERROR(GT153/'McDonough &amp; Sun 1995 values'!E$2,)</f>
        <v>0</v>
      </c>
      <c r="HW153" s="4">
        <f>IFERROR(GU153/'McDonough &amp; Sun 1995 values'!F$2,)</f>
        <v>0</v>
      </c>
      <c r="HX153" s="4">
        <f>IFERROR(GV153/'McDonough &amp; Sun 1995 values'!G$2,)</f>
        <v>0</v>
      </c>
      <c r="HY153" s="4">
        <f>IFERROR(GW153/'McDonough &amp; Sun 1995 values'!H$2,)</f>
        <v>0</v>
      </c>
      <c r="HZ153" s="4">
        <f>IFERROR(GX153/'McDonough &amp; Sun 1995 values'!I$2,)</f>
        <v>0</v>
      </c>
      <c r="IA153" s="4">
        <f>IFERROR(GY153/'McDonough &amp; Sun 1995 values'!J$2,)</f>
        <v>0</v>
      </c>
      <c r="IB153" s="4">
        <f>IFERROR(GZ153/'McDonough &amp; Sun 1995 values'!K$2,)</f>
        <v>0</v>
      </c>
      <c r="IC153" s="4">
        <f>IFERROR(HA153/'McDonough &amp; Sun 1995 values'!L$2,)</f>
        <v>0</v>
      </c>
      <c r="ID153" s="4">
        <f>IFERROR(HB153/'McDonough &amp; Sun 1995 values'!M$2,)</f>
        <v>0</v>
      </c>
      <c r="IE153" s="4">
        <f>IFERROR(HC153/'McDonough &amp; Sun 1995 values'!N$2,)</f>
        <v>0</v>
      </c>
      <c r="IF153" s="4">
        <f>IFERROR(HD153/'McDonough &amp; Sun 1995 values'!O$2,)</f>
        <v>0</v>
      </c>
      <c r="IG153" s="4">
        <f>IFERROR(HE153/'McDonough &amp; Sun 1995 values'!P$2,)</f>
        <v>0</v>
      </c>
      <c r="IH153" s="4">
        <f>IFERROR(HF153/'McDonough &amp; Sun 1995 values'!Q$2,)</f>
        <v>0</v>
      </c>
      <c r="II153" s="4">
        <f>IFERROR(HG153/'McDonough &amp; Sun 1995 values'!R$2,)</f>
        <v>0</v>
      </c>
      <c r="IJ153" s="4">
        <f>IFERROR(HH153/'McDonough &amp; Sun 1995 values'!S$2,)</f>
        <v>0</v>
      </c>
      <c r="IK153" s="4">
        <f>IFERROR(HI153/'McDonough &amp; Sun 1995 values'!T$2,)</f>
        <v>0</v>
      </c>
      <c r="IL153" s="4">
        <f>IFERROR(HJ153/'McDonough &amp; Sun 1995 values'!U$2,)</f>
        <v>0</v>
      </c>
      <c r="IM153" s="4">
        <f>IFERROR(HK153/'McDonough &amp; Sun 1995 values'!V$2,)</f>
        <v>0</v>
      </c>
      <c r="IN153" s="4">
        <f>IFERROR(HL153/'McDonough &amp; Sun 1995 values'!W$2,)</f>
        <v>0</v>
      </c>
      <c r="IO153" s="4">
        <f>IFERROR(HM153/'McDonough &amp; Sun 1995 values'!X$2,)</f>
        <v>0</v>
      </c>
      <c r="IP153" s="4">
        <f>IFERROR(HN153/'McDonough &amp; Sun 1995 values'!Y$2,)</f>
        <v>0</v>
      </c>
      <c r="IQ153" s="4">
        <f>IFERROR(HO153/'McDonough &amp; Sun 1995 values'!Z$2,)</f>
        <v>0</v>
      </c>
      <c r="IR153" s="4">
        <f>IFERROR(HP153/'McDonough &amp; Sun 1995 values'!AA$2,)</f>
        <v>0</v>
      </c>
      <c r="IS153" s="4">
        <f>IFERROR(HQ153/'McDonough &amp; Sun 1995 values'!AB$2,)</f>
        <v>0</v>
      </c>
      <c r="IT153" s="4">
        <f>IFERROR(HR153/'McDonough &amp; Sun 1995 values'!AC$2,)</f>
        <v>0</v>
      </c>
    </row>
    <row r="154" spans="1:254">
      <c r="A154" s="16" t="s">
        <v>1164</v>
      </c>
      <c r="B154" s="16" t="s">
        <v>24</v>
      </c>
      <c r="C154" s="16" t="str">
        <f t="shared" si="304"/>
        <v>saline</v>
      </c>
      <c r="D154" s="16" t="s">
        <v>119</v>
      </c>
      <c r="E154" s="16" t="s">
        <v>171</v>
      </c>
      <c r="F154" s="16" t="s">
        <v>113</v>
      </c>
      <c r="G154" s="16" t="s">
        <v>595</v>
      </c>
      <c r="H154" s="27" t="s">
        <v>805</v>
      </c>
      <c r="I154" s="16" t="s">
        <v>735</v>
      </c>
      <c r="J154" s="16" t="s">
        <v>1311</v>
      </c>
      <c r="K154" s="16" t="s">
        <v>128</v>
      </c>
      <c r="L154" s="16" t="s">
        <v>114</v>
      </c>
      <c r="M154" s="16" t="s">
        <v>133</v>
      </c>
      <c r="N154" s="16">
        <v>34</v>
      </c>
      <c r="O154" s="26">
        <v>4</v>
      </c>
      <c r="P154" s="26">
        <v>1.6</v>
      </c>
      <c r="Q154" s="26"/>
      <c r="R154" s="26">
        <v>1.3</v>
      </c>
      <c r="S154" s="26">
        <v>5.2</v>
      </c>
      <c r="T154" s="26">
        <v>4.7</v>
      </c>
      <c r="U154" s="26"/>
      <c r="V154" s="26">
        <v>7.3</v>
      </c>
      <c r="W154" s="26">
        <v>6.8</v>
      </c>
      <c r="X154" s="26">
        <v>30</v>
      </c>
      <c r="Y154" s="26"/>
      <c r="Z154" s="26">
        <v>0.9</v>
      </c>
      <c r="AA154" s="26"/>
      <c r="AB154" s="26">
        <v>13.9</v>
      </c>
      <c r="AC154" s="26"/>
      <c r="AD154" s="26">
        <v>31.3</v>
      </c>
      <c r="AE154" s="26"/>
      <c r="AF154" s="26"/>
      <c r="AG154" s="26"/>
      <c r="AH154" s="26"/>
      <c r="AI154" s="26">
        <v>3.3</v>
      </c>
      <c r="AJ154" s="26">
        <f t="shared" si="305"/>
        <v>107</v>
      </c>
      <c r="AK154" s="26">
        <f t="shared" si="365"/>
        <v>4.0025403994072404</v>
      </c>
      <c r="AL154" s="26">
        <f t="shared" si="366"/>
        <v>1.6010161597628962</v>
      </c>
      <c r="AM154" s="26">
        <f t="shared" si="367"/>
        <v>1.3008256298073531</v>
      </c>
      <c r="AN154" s="26">
        <f t="shared" si="368"/>
        <v>5.2033025192294122</v>
      </c>
      <c r="AO154" s="26">
        <f t="shared" si="369"/>
        <v>4.7029849693035075</v>
      </c>
      <c r="AP154" s="26">
        <f t="shared" si="370"/>
        <v>7.3046362289182127</v>
      </c>
      <c r="AQ154" s="26">
        <f t="shared" si="371"/>
        <v>13.908827887940159</v>
      </c>
      <c r="AR154" s="26">
        <f t="shared" si="372"/>
        <v>6.804318678992308</v>
      </c>
      <c r="AS154" s="26">
        <f t="shared" si="373"/>
        <v>30.019052995554301</v>
      </c>
      <c r="AT154" s="26">
        <f t="shared" si="374"/>
        <v>0.900571589866629</v>
      </c>
      <c r="AU154" s="26">
        <f t="shared" si="375"/>
        <v>31.319878625361653</v>
      </c>
      <c r="AV154" s="26">
        <f t="shared" si="306"/>
        <v>107.06795568414367</v>
      </c>
      <c r="AW154" s="26">
        <v>12.2</v>
      </c>
      <c r="AX154" s="26">
        <v>54.6</v>
      </c>
      <c r="AY154" s="26"/>
      <c r="AZ154" s="94"/>
      <c r="BA154" s="26">
        <v>8.4000000000000005E-2</v>
      </c>
      <c r="BB154" s="26"/>
      <c r="BC154" s="26">
        <f t="shared" si="378"/>
        <v>0.9161793357455229</v>
      </c>
      <c r="BD154" s="26">
        <f t="shared" si="379"/>
        <v>8.3820664254477095E-2</v>
      </c>
      <c r="BE154" s="16"/>
      <c r="BF154" s="16"/>
      <c r="BG154" s="16"/>
      <c r="BH154" s="16"/>
      <c r="BI154" s="16"/>
      <c r="BJ154" s="16">
        <v>0.71</v>
      </c>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v>0.3</v>
      </c>
      <c r="CI154" s="18">
        <v>9.5</v>
      </c>
      <c r="CJ154" s="18">
        <v>4.7000000000000002E-3</v>
      </c>
      <c r="CK154" s="18"/>
      <c r="CL154" s="18"/>
      <c r="CM154" s="18">
        <v>0</v>
      </c>
      <c r="CN154" s="18"/>
      <c r="CO154" s="18"/>
      <c r="CP154" s="18"/>
      <c r="CQ154" s="18"/>
      <c r="CR154" s="18">
        <v>1.2E-2</v>
      </c>
      <c r="CS154" s="18">
        <v>55</v>
      </c>
      <c r="CT154" s="18"/>
      <c r="CU154" s="18">
        <v>3.2</v>
      </c>
      <c r="CV154" s="18">
        <v>2.7</v>
      </c>
      <c r="CW154" s="18">
        <v>8.3000000000000004E-2</v>
      </c>
      <c r="CX154" s="18">
        <v>0.13</v>
      </c>
      <c r="CY154" s="18">
        <v>5.8999999999999999E-3</v>
      </c>
      <c r="CZ154" s="18">
        <v>6.3E-3</v>
      </c>
      <c r="DA154" s="18">
        <v>1.09E-2</v>
      </c>
      <c r="DB154" s="18">
        <v>1.1000000000000001E-3</v>
      </c>
      <c r="DC154" s="18">
        <v>0</v>
      </c>
      <c r="DD154" s="18"/>
      <c r="DE154" s="18"/>
      <c r="DF154" s="18"/>
      <c r="DG154" s="18"/>
      <c r="DH154" s="18"/>
      <c r="DI154" s="18"/>
      <c r="DJ154" s="18"/>
      <c r="DK154" s="18">
        <v>0.6</v>
      </c>
      <c r="DL154" s="18">
        <v>0.81</v>
      </c>
      <c r="DM154" s="18">
        <v>3.4000000000000002E-2</v>
      </c>
      <c r="DN154" s="18"/>
      <c r="DO154" s="18"/>
      <c r="DP154" s="18"/>
      <c r="DQ154" s="18"/>
      <c r="DR154" s="18"/>
      <c r="DS154" s="18"/>
      <c r="DT154" s="18">
        <v>9.1600000000000001E-2</v>
      </c>
      <c r="DU154" s="18">
        <v>0</v>
      </c>
      <c r="DV154" s="28">
        <v>0.70777999999999996</v>
      </c>
      <c r="DW154" s="28">
        <v>4.1E-5</v>
      </c>
      <c r="DX154" s="28">
        <v>0.70770699999999997</v>
      </c>
      <c r="DY154" s="28">
        <v>4.3000000000000002E-5</v>
      </c>
      <c r="DZ154" s="28"/>
      <c r="EA154" s="28"/>
      <c r="EB154" s="28"/>
      <c r="EC154" s="28"/>
      <c r="ED154" s="28"/>
      <c r="EE154" s="28"/>
      <c r="EF154" s="28"/>
      <c r="EG154" s="28"/>
      <c r="EH154" s="28"/>
      <c r="EI154" s="28"/>
      <c r="EJ154" s="18"/>
      <c r="EK154" s="18"/>
      <c r="EL154" s="18">
        <f>IFERROR(CR154/'McDonough &amp; Sun 1995 values'!C$2,)</f>
        <v>0.5714285714285714</v>
      </c>
      <c r="EM154" s="18">
        <f>IFERROR(CH154/'McDonough &amp; Sun 1995 values'!D$2,)</f>
        <v>0.5</v>
      </c>
      <c r="EN154" s="18">
        <f>IFERROR(CS154/'McDonough &amp; Sun 1995 values'!E$2,)</f>
        <v>8.3333333333333339</v>
      </c>
      <c r="EO154" s="18">
        <f>IFERROR(DL154/'McDonough &amp; Sun 1995 values'!F$2,)</f>
        <v>10.188679245283019</v>
      </c>
      <c r="EP154" s="18">
        <f>IFERROR(DM154/'McDonough &amp; Sun 1995 values'!G$2,)</f>
        <v>1.6748768472906406</v>
      </c>
      <c r="EQ154" s="18">
        <f>IFERROR(BR154/'McDonough &amp; Sun 1995 values'!H$2,)</f>
        <v>0</v>
      </c>
      <c r="ER154" s="18">
        <f>IFERROR(DI154/'McDonough &amp; Sun 1995 values'!I$2,)</f>
        <v>0</v>
      </c>
      <c r="ES154" s="18">
        <f>IFERROR(CM154/'McDonough &amp; Sun 1995 values'!J$2,)</f>
        <v>0</v>
      </c>
      <c r="ET154" s="18">
        <f>IFERROR(CU154/'McDonough &amp; Sun 1995 values'!K$2,)</f>
        <v>4.9382716049382713</v>
      </c>
      <c r="EU154" s="18">
        <f>IFERROR(CV154/'McDonough &amp; Sun 1995 values'!L$2,)</f>
        <v>1.6119402985074627</v>
      </c>
      <c r="EV154" s="18">
        <f>IFERROR(CW154/'McDonough &amp; Sun 1995 values'!M$2,)</f>
        <v>0.32677165354330712</v>
      </c>
      <c r="EW154" s="18">
        <f>IFERROR(CI154/'McDonough &amp; Sun 1995 values'!N$2,)</f>
        <v>0.47738693467336685</v>
      </c>
      <c r="EX154" s="18">
        <f>IFERROR(CX154/'McDonough &amp; Sun 1995 values'!O$2,)</f>
        <v>0.10400000000000001</v>
      </c>
      <c r="EY154" s="18">
        <f>IFERROR(CY154/'McDonough &amp; Sun 1995 values'!P$2,)</f>
        <v>1.4532019704433496E-2</v>
      </c>
      <c r="EZ154" s="18">
        <f>IFERROR(DH154/'McDonough &amp; Sun 1995 values'!Q$2,)</f>
        <v>0</v>
      </c>
      <c r="FA154" s="18">
        <f>IFERROR(CK154/'McDonough &amp; Sun 1995 values'!R$2,)</f>
        <v>0</v>
      </c>
      <c r="FB154" s="18">
        <f>IFERROR(CZ154/'McDonough &amp; Sun 1995 values'!S$2,)</f>
        <v>4.0909090909090909E-2</v>
      </c>
      <c r="FC154" s="18">
        <f>IFERROR(BT154/'McDonough &amp; Sun 1995 values'!T$2,)</f>
        <v>0</v>
      </c>
      <c r="FD154" s="18">
        <f>IFERROR(DA154/'McDonough &amp; Sun 1995 values'!U$2,)</f>
        <v>2.0036764705882351E-2</v>
      </c>
      <c r="FE154" s="18">
        <f>IFERROR(DN154/'McDonough &amp; Sun 1995 values'!V$2,)</f>
        <v>0</v>
      </c>
      <c r="FF154" s="18">
        <f>IFERROR(DB154/'McDonough &amp; Sun 1995 values'!W$2,)</f>
        <v>1.632047477744807E-3</v>
      </c>
      <c r="FG154" s="18">
        <f>IFERROR(CJ154/'McDonough &amp; Sun 1995 values'!X$2,)</f>
        <v>1.0930232558139536E-3</v>
      </c>
      <c r="FH154" s="18">
        <f>IFERROR(DC154/'McDonough &amp; Sun 1995 values'!Y$2,)</f>
        <v>0</v>
      </c>
      <c r="FI154" s="18">
        <f>IFERROR(DD154/'McDonough &amp; Sun 1995 values'!Z$2,)</f>
        <v>0</v>
      </c>
      <c r="FJ154" s="18">
        <f>IFERROR(DE154/'McDonough &amp; Sun 1995 values'!AA$2,)</f>
        <v>0</v>
      </c>
      <c r="FK154" s="18">
        <f>IFERROR(DF154/'McDonough &amp; Sun 1995 values'!AB$2,)</f>
        <v>0</v>
      </c>
      <c r="FL154" s="18">
        <f>IFERROR(DG154/'McDonough &amp; Sun 1995 values'!AC$2,)</f>
        <v>0</v>
      </c>
      <c r="FN154" s="28">
        <f t="shared" si="299"/>
        <v>0</v>
      </c>
      <c r="FO154" s="4">
        <f t="shared" si="309"/>
        <v>4.9754901960784315</v>
      </c>
      <c r="FP154" s="4">
        <f t="shared" si="310"/>
        <v>0</v>
      </c>
      <c r="FQ154" s="4">
        <f t="shared" si="311"/>
        <v>6.0832408435072134</v>
      </c>
      <c r="FR154" s="4">
        <f t="shared" si="312"/>
        <v>0</v>
      </c>
      <c r="FS154" s="4">
        <f t="shared" si="313"/>
        <v>0</v>
      </c>
      <c r="FT154" s="4">
        <f t="shared" si="314"/>
        <v>0.875</v>
      </c>
      <c r="FU154" s="4">
        <f t="shared" si="315"/>
        <v>0</v>
      </c>
      <c r="FV154" s="4">
        <f t="shared" si="316"/>
        <v>0</v>
      </c>
      <c r="FW154" s="4">
        <f t="shared" si="317"/>
        <v>0</v>
      </c>
      <c r="FX154" s="4">
        <f t="shared" si="318"/>
        <v>2.3668226469012326</v>
      </c>
      <c r="FY154" s="4">
        <f t="shared" si="319"/>
        <v>2.5895939475356933</v>
      </c>
      <c r="FZ154" s="4">
        <f t="shared" si="320"/>
        <v>2.3974140184741528</v>
      </c>
      <c r="GA154" s="4">
        <f t="shared" si="321"/>
        <v>1.4609190530968093</v>
      </c>
      <c r="GB154" s="4">
        <f t="shared" si="322"/>
        <v>2.815100154083205</v>
      </c>
      <c r="GC154" s="4">
        <f t="shared" si="323"/>
        <v>1.1428571428571428</v>
      </c>
      <c r="GD154" s="4">
        <f t="shared" si="324"/>
        <v>0.81790123456790131</v>
      </c>
      <c r="GE154" s="4">
        <f t="shared" si="325"/>
        <v>16.666666666666668</v>
      </c>
      <c r="GF154" s="4">
        <f t="shared" si="326"/>
        <v>0</v>
      </c>
      <c r="GG154" s="4">
        <f t="shared" si="327"/>
        <v>0</v>
      </c>
      <c r="GH154" s="4">
        <f t="shared" si="328"/>
        <v>15.112301056076154</v>
      </c>
      <c r="GI154" s="4">
        <f t="shared" si="329"/>
        <v>339.8200460347353</v>
      </c>
      <c r="GJ154" s="4">
        <f t="shared" si="330"/>
        <v>3025.8136924803594</v>
      </c>
      <c r="GK154" s="4">
        <f t="shared" si="331"/>
        <v>0</v>
      </c>
      <c r="GL154" s="4">
        <f t="shared" si="332"/>
        <v>0</v>
      </c>
      <c r="GM154" s="4">
        <f t="shared" si="333"/>
        <v>20.377358490566039</v>
      </c>
      <c r="GN154" s="4">
        <f t="shared" si="334"/>
        <v>0</v>
      </c>
      <c r="GO154" s="4">
        <f t="shared" si="335"/>
        <v>0</v>
      </c>
      <c r="GP154" s="4">
        <f t="shared" si="336"/>
        <v>0</v>
      </c>
      <c r="GQ154" s="27">
        <f t="shared" si="337"/>
        <v>249199.35743682072</v>
      </c>
      <c r="GR154" s="28" t="str">
        <f t="shared" si="338"/>
        <v/>
      </c>
      <c r="GS154" s="28" t="str">
        <f t="shared" si="339"/>
        <v/>
      </c>
      <c r="GT154" s="28" t="str">
        <f t="shared" si="340"/>
        <v/>
      </c>
      <c r="GU154" s="28" t="str">
        <f t="shared" si="341"/>
        <v/>
      </c>
      <c r="GV154" s="28" t="str">
        <f t="shared" si="342"/>
        <v/>
      </c>
      <c r="GW154" s="28" t="str">
        <f t="shared" si="343"/>
        <v/>
      </c>
      <c r="GX154" s="28" t="str">
        <f t="shared" si="344"/>
        <v/>
      </c>
      <c r="GY154" s="28" t="str">
        <f t="shared" si="345"/>
        <v/>
      </c>
      <c r="GZ154" s="28" t="str">
        <f t="shared" si="346"/>
        <v/>
      </c>
      <c r="HA154" s="28" t="str">
        <f t="shared" si="347"/>
        <v/>
      </c>
      <c r="HB154" s="28" t="str">
        <f t="shared" si="348"/>
        <v/>
      </c>
      <c r="HC154" s="28" t="str">
        <f t="shared" si="349"/>
        <v/>
      </c>
      <c r="HD154" s="28" t="str">
        <f t="shared" si="350"/>
        <v/>
      </c>
      <c r="HE154" s="28" t="str">
        <f t="shared" si="351"/>
        <v/>
      </c>
      <c r="HF154" s="28" t="str">
        <f t="shared" si="352"/>
        <v/>
      </c>
      <c r="HG154" s="28" t="str">
        <f t="shared" si="353"/>
        <v/>
      </c>
      <c r="HH154" s="28" t="str">
        <f t="shared" si="354"/>
        <v/>
      </c>
      <c r="HI154" s="28" t="str">
        <f t="shared" si="355"/>
        <v/>
      </c>
      <c r="HJ154" s="28" t="str">
        <f t="shared" si="356"/>
        <v/>
      </c>
      <c r="HK154" s="28" t="str">
        <f t="shared" si="357"/>
        <v/>
      </c>
      <c r="HL154" s="28" t="str">
        <f t="shared" si="358"/>
        <v/>
      </c>
      <c r="HM154" s="28" t="str">
        <f t="shared" si="359"/>
        <v/>
      </c>
      <c r="HN154" s="28" t="str">
        <f t="shared" si="360"/>
        <v/>
      </c>
      <c r="HO154" s="28" t="str">
        <f t="shared" si="361"/>
        <v/>
      </c>
      <c r="HP154" s="28" t="str">
        <f t="shared" si="362"/>
        <v/>
      </c>
      <c r="HQ154" s="28" t="str">
        <f t="shared" si="363"/>
        <v/>
      </c>
      <c r="HR154" s="28" t="str">
        <f t="shared" si="364"/>
        <v/>
      </c>
      <c r="HT154" s="4">
        <f>IFERROR(GR154/'McDonough &amp; Sun 1995 values'!C$2,)</f>
        <v>0</v>
      </c>
      <c r="HU154" s="4">
        <f>IFERROR(GS154/'McDonough &amp; Sun 1995 values'!D$2,)</f>
        <v>0</v>
      </c>
      <c r="HV154" s="4">
        <f>IFERROR(GT154/'McDonough &amp; Sun 1995 values'!E$2,)</f>
        <v>0</v>
      </c>
      <c r="HW154" s="4">
        <f>IFERROR(GU154/'McDonough &amp; Sun 1995 values'!F$2,)</f>
        <v>0</v>
      </c>
      <c r="HX154" s="4">
        <f>IFERROR(GV154/'McDonough &amp; Sun 1995 values'!G$2,)</f>
        <v>0</v>
      </c>
      <c r="HY154" s="4">
        <f>IFERROR(GW154/'McDonough &amp; Sun 1995 values'!H$2,)</f>
        <v>0</v>
      </c>
      <c r="HZ154" s="4">
        <f>IFERROR(GX154/'McDonough &amp; Sun 1995 values'!I$2,)</f>
        <v>0</v>
      </c>
      <c r="IA154" s="4">
        <f>IFERROR(GY154/'McDonough &amp; Sun 1995 values'!J$2,)</f>
        <v>0</v>
      </c>
      <c r="IB154" s="4">
        <f>IFERROR(GZ154/'McDonough &amp; Sun 1995 values'!K$2,)</f>
        <v>0</v>
      </c>
      <c r="IC154" s="4">
        <f>IFERROR(HA154/'McDonough &amp; Sun 1995 values'!L$2,)</f>
        <v>0</v>
      </c>
      <c r="ID154" s="4">
        <f>IFERROR(HB154/'McDonough &amp; Sun 1995 values'!M$2,)</f>
        <v>0</v>
      </c>
      <c r="IE154" s="4">
        <f>IFERROR(HC154/'McDonough &amp; Sun 1995 values'!N$2,)</f>
        <v>0</v>
      </c>
      <c r="IF154" s="4">
        <f>IFERROR(HD154/'McDonough &amp; Sun 1995 values'!O$2,)</f>
        <v>0</v>
      </c>
      <c r="IG154" s="4">
        <f>IFERROR(HE154/'McDonough &amp; Sun 1995 values'!P$2,)</f>
        <v>0</v>
      </c>
      <c r="IH154" s="4">
        <f>IFERROR(HF154/'McDonough &amp; Sun 1995 values'!Q$2,)</f>
        <v>0</v>
      </c>
      <c r="II154" s="4">
        <f>IFERROR(HG154/'McDonough &amp; Sun 1995 values'!R$2,)</f>
        <v>0</v>
      </c>
      <c r="IJ154" s="4">
        <f>IFERROR(HH154/'McDonough &amp; Sun 1995 values'!S$2,)</f>
        <v>0</v>
      </c>
      <c r="IK154" s="4">
        <f>IFERROR(HI154/'McDonough &amp; Sun 1995 values'!T$2,)</f>
        <v>0</v>
      </c>
      <c r="IL154" s="4">
        <f>IFERROR(HJ154/'McDonough &amp; Sun 1995 values'!U$2,)</f>
        <v>0</v>
      </c>
      <c r="IM154" s="4">
        <f>IFERROR(HK154/'McDonough &amp; Sun 1995 values'!V$2,)</f>
        <v>0</v>
      </c>
      <c r="IN154" s="4">
        <f>IFERROR(HL154/'McDonough &amp; Sun 1995 values'!W$2,)</f>
        <v>0</v>
      </c>
      <c r="IO154" s="4">
        <f>IFERROR(HM154/'McDonough &amp; Sun 1995 values'!X$2,)</f>
        <v>0</v>
      </c>
      <c r="IP154" s="4">
        <f>IFERROR(HN154/'McDonough &amp; Sun 1995 values'!Y$2,)</f>
        <v>0</v>
      </c>
      <c r="IQ154" s="4">
        <f>IFERROR(HO154/'McDonough &amp; Sun 1995 values'!Z$2,)</f>
        <v>0</v>
      </c>
      <c r="IR154" s="4">
        <f>IFERROR(HP154/'McDonough &amp; Sun 1995 values'!AA$2,)</f>
        <v>0</v>
      </c>
      <c r="IS154" s="4">
        <f>IFERROR(HQ154/'McDonough &amp; Sun 1995 values'!AB$2,)</f>
        <v>0</v>
      </c>
      <c r="IT154" s="4">
        <f>IFERROR(HR154/'McDonough &amp; Sun 1995 values'!AC$2,)</f>
        <v>0</v>
      </c>
    </row>
    <row r="155" spans="1:254">
      <c r="A155" s="16" t="s">
        <v>1164</v>
      </c>
      <c r="B155" s="16" t="s">
        <v>24</v>
      </c>
      <c r="C155" s="16" t="str">
        <f t="shared" si="304"/>
        <v>saline</v>
      </c>
      <c r="D155" s="16" t="s">
        <v>119</v>
      </c>
      <c r="E155" s="16" t="s">
        <v>171</v>
      </c>
      <c r="F155" s="16" t="s">
        <v>113</v>
      </c>
      <c r="G155" s="16" t="s">
        <v>595</v>
      </c>
      <c r="H155" s="27" t="s">
        <v>805</v>
      </c>
      <c r="I155" s="16" t="s">
        <v>735</v>
      </c>
      <c r="J155" s="16" t="s">
        <v>1311</v>
      </c>
      <c r="K155" s="16" t="s">
        <v>128</v>
      </c>
      <c r="L155" s="16" t="s">
        <v>114</v>
      </c>
      <c r="M155" s="16" t="s">
        <v>134</v>
      </c>
      <c r="N155" s="16">
        <v>27</v>
      </c>
      <c r="O155" s="26">
        <v>3.3</v>
      </c>
      <c r="P155" s="26">
        <v>2.1</v>
      </c>
      <c r="Q155" s="26"/>
      <c r="R155" s="26">
        <v>1</v>
      </c>
      <c r="S155" s="26">
        <v>5</v>
      </c>
      <c r="T155" s="26">
        <v>1.1000000000000001</v>
      </c>
      <c r="U155" s="26"/>
      <c r="V155" s="26">
        <v>2.2999999999999998</v>
      </c>
      <c r="W155" s="26">
        <v>10.199999999999999</v>
      </c>
      <c r="X155" s="26">
        <v>29.6</v>
      </c>
      <c r="Y155" s="26"/>
      <c r="Z155" s="26">
        <v>0.6</v>
      </c>
      <c r="AA155" s="26"/>
      <c r="AB155" s="26">
        <v>15.6</v>
      </c>
      <c r="AC155" s="26"/>
      <c r="AD155" s="26">
        <v>37.799999999999997</v>
      </c>
      <c r="AE155" s="26"/>
      <c r="AF155" s="26"/>
      <c r="AG155" s="26"/>
      <c r="AH155" s="26"/>
      <c r="AI155" s="26">
        <v>4</v>
      </c>
      <c r="AJ155" s="26">
        <f t="shared" si="305"/>
        <v>108.6</v>
      </c>
      <c r="AK155" s="26">
        <f t="shared" si="365"/>
        <v>3.2977023061505801</v>
      </c>
      <c r="AL155" s="26">
        <f t="shared" si="366"/>
        <v>2.0985378311867331</v>
      </c>
      <c r="AM155" s="26">
        <f t="shared" si="367"/>
        <v>0.99930372913653953</v>
      </c>
      <c r="AN155" s="26">
        <f t="shared" si="368"/>
        <v>4.9965186456826984</v>
      </c>
      <c r="AO155" s="26">
        <f t="shared" si="369"/>
        <v>1.0992341020501937</v>
      </c>
      <c r="AP155" s="26">
        <f t="shared" si="370"/>
        <v>2.2983985770140407</v>
      </c>
      <c r="AQ155" s="26">
        <f t="shared" si="371"/>
        <v>15.589138174530017</v>
      </c>
      <c r="AR155" s="26">
        <f t="shared" si="372"/>
        <v>10.192898037192704</v>
      </c>
      <c r="AS155" s="26">
        <f t="shared" si="373"/>
        <v>29.579390382441574</v>
      </c>
      <c r="AT155" s="26">
        <f t="shared" si="374"/>
        <v>0.59958223748192374</v>
      </c>
      <c r="AU155" s="26">
        <f t="shared" si="375"/>
        <v>37.773680961361194</v>
      </c>
      <c r="AV155" s="26">
        <f t="shared" si="306"/>
        <v>108.52438498422819</v>
      </c>
      <c r="AW155" s="26">
        <v>5.22</v>
      </c>
      <c r="AX155" s="26">
        <v>24.2</v>
      </c>
      <c r="AY155" s="26"/>
      <c r="AZ155" s="94"/>
      <c r="BA155" s="26">
        <v>8.1000000000000003E-2</v>
      </c>
      <c r="BB155" s="26"/>
      <c r="BC155" s="26">
        <f t="shared" si="378"/>
        <v>0.91884748457950016</v>
      </c>
      <c r="BD155" s="26">
        <f t="shared" si="379"/>
        <v>8.1152515420499796E-2</v>
      </c>
      <c r="BE155" s="16"/>
      <c r="BF155" s="16"/>
      <c r="BG155" s="16"/>
      <c r="BH155" s="16"/>
      <c r="BI155" s="16"/>
      <c r="BJ155" s="16">
        <v>0.31</v>
      </c>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v>0.22</v>
      </c>
      <c r="CI155" s="18">
        <v>1.7</v>
      </c>
      <c r="CJ155" s="18"/>
      <c r="CK155" s="18"/>
      <c r="CL155" s="18"/>
      <c r="CM155" s="18">
        <v>0</v>
      </c>
      <c r="CN155" s="18"/>
      <c r="CO155" s="18"/>
      <c r="CP155" s="18"/>
      <c r="CQ155" s="18"/>
      <c r="CR155" s="18">
        <v>7.4999999999999997E-3</v>
      </c>
      <c r="CS155" s="18">
        <v>50</v>
      </c>
      <c r="CT155" s="18"/>
      <c r="CU155" s="18">
        <v>0.4</v>
      </c>
      <c r="CV155" s="18">
        <v>0.68</v>
      </c>
      <c r="CW155" s="18">
        <v>2.1999999999999999E-2</v>
      </c>
      <c r="CX155" s="18">
        <v>5.8999999999999997E-2</v>
      </c>
      <c r="CY155" s="18">
        <v>0</v>
      </c>
      <c r="CZ155" s="18">
        <v>0</v>
      </c>
      <c r="DA155" s="18">
        <v>0</v>
      </c>
      <c r="DB155" s="18">
        <v>0</v>
      </c>
      <c r="DC155" s="18">
        <v>0</v>
      </c>
      <c r="DD155" s="18"/>
      <c r="DE155" s="18"/>
      <c r="DF155" s="18"/>
      <c r="DG155" s="18"/>
      <c r="DH155" s="18"/>
      <c r="DI155" s="18"/>
      <c r="DJ155" s="18"/>
      <c r="DK155" s="18">
        <v>0</v>
      </c>
      <c r="DL155" s="18">
        <v>0.14000000000000001</v>
      </c>
      <c r="DM155" s="18">
        <v>7.4999999999999997E-3</v>
      </c>
      <c r="DN155" s="18"/>
      <c r="DO155" s="18"/>
      <c r="DP155" s="18"/>
      <c r="DQ155" s="18"/>
      <c r="DR155" s="18"/>
      <c r="DS155" s="18"/>
      <c r="DT155" s="18">
        <v>0.38219999999999998</v>
      </c>
      <c r="DU155" s="18">
        <v>0</v>
      </c>
      <c r="DV155" s="28">
        <v>0.70927499999999999</v>
      </c>
      <c r="DW155" s="28">
        <v>2.4000000000000001E-4</v>
      </c>
      <c r="DX155" s="28">
        <v>0.70897100000000002</v>
      </c>
      <c r="DY155" s="28">
        <v>2.5000000000000001E-4</v>
      </c>
      <c r="DZ155" s="28"/>
      <c r="EA155" s="28"/>
      <c r="EB155" s="28"/>
      <c r="EC155" s="28"/>
      <c r="ED155" s="28"/>
      <c r="EE155" s="28"/>
      <c r="EF155" s="28"/>
      <c r="EG155" s="28"/>
      <c r="EH155" s="28"/>
      <c r="EI155" s="28"/>
      <c r="EJ155" s="18"/>
      <c r="EK155" s="18"/>
      <c r="EL155" s="18">
        <f>IFERROR(CR155/'McDonough &amp; Sun 1995 values'!C$2,)</f>
        <v>0.3571428571428571</v>
      </c>
      <c r="EM155" s="18">
        <f>IFERROR(CH155/'McDonough &amp; Sun 1995 values'!D$2,)</f>
        <v>0.3666666666666667</v>
      </c>
      <c r="EN155" s="18">
        <f>IFERROR(CS155/'McDonough &amp; Sun 1995 values'!E$2,)</f>
        <v>7.5757575757575761</v>
      </c>
      <c r="EO155" s="18">
        <f>IFERROR(DL155/'McDonough &amp; Sun 1995 values'!F$2,)</f>
        <v>1.7610062893081762</v>
      </c>
      <c r="EP155" s="18">
        <f>IFERROR(DM155/'McDonough &amp; Sun 1995 values'!G$2,)</f>
        <v>0.36945812807881773</v>
      </c>
      <c r="EQ155" s="18">
        <f>IFERROR(BR155/'McDonough &amp; Sun 1995 values'!H$2,)</f>
        <v>0</v>
      </c>
      <c r="ER155" s="18">
        <f>IFERROR(DI155/'McDonough &amp; Sun 1995 values'!I$2,)</f>
        <v>0</v>
      </c>
      <c r="ES155" s="18">
        <f>IFERROR(CM155/'McDonough &amp; Sun 1995 values'!J$2,)</f>
        <v>0</v>
      </c>
      <c r="ET155" s="18">
        <f>IFERROR(CU155/'McDonough &amp; Sun 1995 values'!K$2,)</f>
        <v>0.61728395061728392</v>
      </c>
      <c r="EU155" s="18">
        <f>IFERROR(CV155/'McDonough &amp; Sun 1995 values'!L$2,)</f>
        <v>0.40597014925373137</v>
      </c>
      <c r="EV155" s="18">
        <f>IFERROR(CW155/'McDonough &amp; Sun 1995 values'!M$2,)</f>
        <v>8.6614173228346455E-2</v>
      </c>
      <c r="EW155" s="18">
        <f>IFERROR(CI155/'McDonough &amp; Sun 1995 values'!N$2,)</f>
        <v>8.5427135678391969E-2</v>
      </c>
      <c r="EX155" s="18">
        <f>IFERROR(CX155/'McDonough &amp; Sun 1995 values'!O$2,)</f>
        <v>4.7199999999999999E-2</v>
      </c>
      <c r="EY155" s="18">
        <f>IFERROR(CY155/'McDonough &amp; Sun 1995 values'!P$2,)</f>
        <v>0</v>
      </c>
      <c r="EZ155" s="18">
        <f>IFERROR(DH155/'McDonough &amp; Sun 1995 values'!Q$2,)</f>
        <v>0</v>
      </c>
      <c r="FA155" s="18">
        <f>IFERROR(CK155/'McDonough &amp; Sun 1995 values'!R$2,)</f>
        <v>0</v>
      </c>
      <c r="FB155" s="18">
        <f>IFERROR(CZ155/'McDonough &amp; Sun 1995 values'!S$2,)</f>
        <v>0</v>
      </c>
      <c r="FC155" s="18">
        <f>IFERROR(BT155/'McDonough &amp; Sun 1995 values'!T$2,)</f>
        <v>0</v>
      </c>
      <c r="FD155" s="18">
        <f>IFERROR(DA155/'McDonough &amp; Sun 1995 values'!U$2,)</f>
        <v>0</v>
      </c>
      <c r="FE155" s="18">
        <f>IFERROR(DN155/'McDonough &amp; Sun 1995 values'!V$2,)</f>
        <v>0</v>
      </c>
      <c r="FF155" s="18">
        <f>IFERROR(DB155/'McDonough &amp; Sun 1995 values'!W$2,)</f>
        <v>0</v>
      </c>
      <c r="FG155" s="18">
        <f>IFERROR(CJ155/'McDonough &amp; Sun 1995 values'!X$2,)</f>
        <v>0</v>
      </c>
      <c r="FH155" s="18">
        <f>IFERROR(DC155/'McDonough &amp; Sun 1995 values'!Y$2,)</f>
        <v>0</v>
      </c>
      <c r="FI155" s="18">
        <f>IFERROR(DD155/'McDonough &amp; Sun 1995 values'!Z$2,)</f>
        <v>0</v>
      </c>
      <c r="FJ155" s="18">
        <f>IFERROR(DE155/'McDonough &amp; Sun 1995 values'!AA$2,)</f>
        <v>0</v>
      </c>
      <c r="FK155" s="18">
        <f>IFERROR(DF155/'McDonough &amp; Sun 1995 values'!AB$2,)</f>
        <v>0</v>
      </c>
      <c r="FL155" s="18">
        <f>IFERROR(DG155/'McDonough &amp; Sun 1995 values'!AC$2,)</f>
        <v>0</v>
      </c>
      <c r="FN155" s="28">
        <f t="shared" si="299"/>
        <v>0</v>
      </c>
      <c r="FO155" s="4">
        <f t="shared" si="309"/>
        <v>20.505050505050505</v>
      </c>
      <c r="FP155" s="4">
        <f t="shared" si="310"/>
        <v>0</v>
      </c>
      <c r="FQ155" s="4">
        <f t="shared" si="311"/>
        <v>4.7664570230607968</v>
      </c>
      <c r="FR155" s="4">
        <f t="shared" si="312"/>
        <v>0</v>
      </c>
      <c r="FS155" s="4">
        <f t="shared" si="313"/>
        <v>0</v>
      </c>
      <c r="FT155" s="4">
        <f t="shared" si="314"/>
        <v>1.0266666666666668</v>
      </c>
      <c r="FU155" s="4">
        <f t="shared" si="315"/>
        <v>0</v>
      </c>
      <c r="FV155" s="4">
        <f t="shared" si="316"/>
        <v>0</v>
      </c>
      <c r="FW155" s="4">
        <f t="shared" si="317"/>
        <v>0</v>
      </c>
      <c r="FX155" s="4">
        <f t="shared" si="318"/>
        <v>0</v>
      </c>
      <c r="FY155" s="4">
        <f t="shared" si="319"/>
        <v>1.3360735411322284</v>
      </c>
      <c r="FZ155" s="4">
        <f t="shared" si="320"/>
        <v>0</v>
      </c>
      <c r="GA155" s="4">
        <f t="shared" si="321"/>
        <v>0.9862951119232527</v>
      </c>
      <c r="GB155" s="4">
        <f t="shared" si="322"/>
        <v>0</v>
      </c>
      <c r="GC155" s="4">
        <f t="shared" si="323"/>
        <v>0.9740259740259738</v>
      </c>
      <c r="GD155" s="4">
        <f t="shared" si="324"/>
        <v>4.3019480519480524</v>
      </c>
      <c r="GE155" s="4">
        <f t="shared" si="325"/>
        <v>20.661157024793386</v>
      </c>
      <c r="GF155" s="4">
        <f t="shared" si="326"/>
        <v>0</v>
      </c>
      <c r="GG155" s="4">
        <f t="shared" si="327"/>
        <v>0</v>
      </c>
      <c r="GH155" s="4">
        <f t="shared" si="328"/>
        <v>7.1268237934904599</v>
      </c>
      <c r="GI155" s="4">
        <f t="shared" si="329"/>
        <v>0</v>
      </c>
      <c r="GJ155" s="4">
        <f t="shared" si="330"/>
        <v>0</v>
      </c>
      <c r="GK155" s="4">
        <f t="shared" si="331"/>
        <v>0</v>
      </c>
      <c r="GL155" s="4">
        <f t="shared" si="332"/>
        <v>0</v>
      </c>
      <c r="GM155" s="4">
        <f t="shared" si="333"/>
        <v>4.8027444253859342</v>
      </c>
      <c r="GN155" s="4">
        <f t="shared" si="334"/>
        <v>0</v>
      </c>
      <c r="GO155" s="4">
        <f t="shared" si="335"/>
        <v>0</v>
      </c>
      <c r="GP155" s="4">
        <f t="shared" si="336"/>
        <v>0</v>
      </c>
      <c r="GQ155" s="27">
        <f t="shared" si="337"/>
        <v>245549.55407050834</v>
      </c>
      <c r="GR155" s="28" t="str">
        <f t="shared" si="338"/>
        <v/>
      </c>
      <c r="GS155" s="28" t="str">
        <f t="shared" si="339"/>
        <v/>
      </c>
      <c r="GT155" s="28" t="str">
        <f t="shared" si="340"/>
        <v/>
      </c>
      <c r="GU155" s="28" t="str">
        <f t="shared" si="341"/>
        <v/>
      </c>
      <c r="GV155" s="28" t="str">
        <f t="shared" si="342"/>
        <v/>
      </c>
      <c r="GW155" s="28" t="str">
        <f t="shared" si="343"/>
        <v/>
      </c>
      <c r="GX155" s="28" t="str">
        <f t="shared" si="344"/>
        <v/>
      </c>
      <c r="GY155" s="28" t="str">
        <f t="shared" si="345"/>
        <v/>
      </c>
      <c r="GZ155" s="28" t="str">
        <f t="shared" si="346"/>
        <v/>
      </c>
      <c r="HA155" s="28" t="str">
        <f t="shared" si="347"/>
        <v/>
      </c>
      <c r="HB155" s="28" t="str">
        <f t="shared" si="348"/>
        <v/>
      </c>
      <c r="HC155" s="28" t="str">
        <f t="shared" si="349"/>
        <v/>
      </c>
      <c r="HD155" s="28" t="str">
        <f t="shared" si="350"/>
        <v/>
      </c>
      <c r="HE155" s="28" t="str">
        <f t="shared" si="351"/>
        <v/>
      </c>
      <c r="HF155" s="28" t="str">
        <f t="shared" si="352"/>
        <v/>
      </c>
      <c r="HG155" s="28" t="str">
        <f t="shared" si="353"/>
        <v/>
      </c>
      <c r="HH155" s="28" t="str">
        <f t="shared" si="354"/>
        <v/>
      </c>
      <c r="HI155" s="28" t="str">
        <f t="shared" si="355"/>
        <v/>
      </c>
      <c r="HJ155" s="28" t="str">
        <f t="shared" si="356"/>
        <v/>
      </c>
      <c r="HK155" s="28" t="str">
        <f t="shared" si="357"/>
        <v/>
      </c>
      <c r="HL155" s="28" t="str">
        <f t="shared" si="358"/>
        <v/>
      </c>
      <c r="HM155" s="28" t="str">
        <f t="shared" si="359"/>
        <v/>
      </c>
      <c r="HN155" s="28" t="str">
        <f t="shared" si="360"/>
        <v/>
      </c>
      <c r="HO155" s="28" t="str">
        <f t="shared" si="361"/>
        <v/>
      </c>
      <c r="HP155" s="28" t="str">
        <f t="shared" si="362"/>
        <v/>
      </c>
      <c r="HQ155" s="28" t="str">
        <f t="shared" si="363"/>
        <v/>
      </c>
      <c r="HR155" s="28" t="str">
        <f t="shared" si="364"/>
        <v/>
      </c>
      <c r="HT155" s="4">
        <f>IFERROR(GR155/'McDonough &amp; Sun 1995 values'!C$2,)</f>
        <v>0</v>
      </c>
      <c r="HU155" s="4">
        <f>IFERROR(GS155/'McDonough &amp; Sun 1995 values'!D$2,)</f>
        <v>0</v>
      </c>
      <c r="HV155" s="4">
        <f>IFERROR(GT155/'McDonough &amp; Sun 1995 values'!E$2,)</f>
        <v>0</v>
      </c>
      <c r="HW155" s="4">
        <f>IFERROR(GU155/'McDonough &amp; Sun 1995 values'!F$2,)</f>
        <v>0</v>
      </c>
      <c r="HX155" s="4">
        <f>IFERROR(GV155/'McDonough &amp; Sun 1995 values'!G$2,)</f>
        <v>0</v>
      </c>
      <c r="HY155" s="4">
        <f>IFERROR(GW155/'McDonough &amp; Sun 1995 values'!H$2,)</f>
        <v>0</v>
      </c>
      <c r="HZ155" s="4">
        <f>IFERROR(GX155/'McDonough &amp; Sun 1995 values'!I$2,)</f>
        <v>0</v>
      </c>
      <c r="IA155" s="4">
        <f>IFERROR(GY155/'McDonough &amp; Sun 1995 values'!J$2,)</f>
        <v>0</v>
      </c>
      <c r="IB155" s="4">
        <f>IFERROR(GZ155/'McDonough &amp; Sun 1995 values'!K$2,)</f>
        <v>0</v>
      </c>
      <c r="IC155" s="4">
        <f>IFERROR(HA155/'McDonough &amp; Sun 1995 values'!L$2,)</f>
        <v>0</v>
      </c>
      <c r="ID155" s="4">
        <f>IFERROR(HB155/'McDonough &amp; Sun 1995 values'!M$2,)</f>
        <v>0</v>
      </c>
      <c r="IE155" s="4">
        <f>IFERROR(HC155/'McDonough &amp; Sun 1995 values'!N$2,)</f>
        <v>0</v>
      </c>
      <c r="IF155" s="4">
        <f>IFERROR(HD155/'McDonough &amp; Sun 1995 values'!O$2,)</f>
        <v>0</v>
      </c>
      <c r="IG155" s="4">
        <f>IFERROR(HE155/'McDonough &amp; Sun 1995 values'!P$2,)</f>
        <v>0</v>
      </c>
      <c r="IH155" s="4">
        <f>IFERROR(HF155/'McDonough &amp; Sun 1995 values'!Q$2,)</f>
        <v>0</v>
      </c>
      <c r="II155" s="4">
        <f>IFERROR(HG155/'McDonough &amp; Sun 1995 values'!R$2,)</f>
        <v>0</v>
      </c>
      <c r="IJ155" s="4">
        <f>IFERROR(HH155/'McDonough &amp; Sun 1995 values'!S$2,)</f>
        <v>0</v>
      </c>
      <c r="IK155" s="4">
        <f>IFERROR(HI155/'McDonough &amp; Sun 1995 values'!T$2,)</f>
        <v>0</v>
      </c>
      <c r="IL155" s="4">
        <f>IFERROR(HJ155/'McDonough &amp; Sun 1995 values'!U$2,)</f>
        <v>0</v>
      </c>
      <c r="IM155" s="4">
        <f>IFERROR(HK155/'McDonough &amp; Sun 1995 values'!V$2,)</f>
        <v>0</v>
      </c>
      <c r="IN155" s="4">
        <f>IFERROR(HL155/'McDonough &amp; Sun 1995 values'!W$2,)</f>
        <v>0</v>
      </c>
      <c r="IO155" s="4">
        <f>IFERROR(HM155/'McDonough &amp; Sun 1995 values'!X$2,)</f>
        <v>0</v>
      </c>
      <c r="IP155" s="4">
        <f>IFERROR(HN155/'McDonough &amp; Sun 1995 values'!Y$2,)</f>
        <v>0</v>
      </c>
      <c r="IQ155" s="4">
        <f>IFERROR(HO155/'McDonough &amp; Sun 1995 values'!Z$2,)</f>
        <v>0</v>
      </c>
      <c r="IR155" s="4">
        <f>IFERROR(HP155/'McDonough &amp; Sun 1995 values'!AA$2,)</f>
        <v>0</v>
      </c>
      <c r="IS155" s="4">
        <f>IFERROR(HQ155/'McDonough &amp; Sun 1995 values'!AB$2,)</f>
        <v>0</v>
      </c>
      <c r="IT155" s="4">
        <f>IFERROR(HR155/'McDonough &amp; Sun 1995 values'!AC$2,)</f>
        <v>0</v>
      </c>
    </row>
    <row r="156" spans="1:254">
      <c r="A156" s="16" t="s">
        <v>1164</v>
      </c>
      <c r="B156" s="16" t="s">
        <v>24</v>
      </c>
      <c r="C156" s="16" t="str">
        <f t="shared" si="304"/>
        <v>saline</v>
      </c>
      <c r="D156" s="16" t="s">
        <v>119</v>
      </c>
      <c r="E156" s="16" t="s">
        <v>171</v>
      </c>
      <c r="F156" s="16" t="s">
        <v>113</v>
      </c>
      <c r="G156" s="16" t="s">
        <v>595</v>
      </c>
      <c r="H156" s="27" t="s">
        <v>805</v>
      </c>
      <c r="I156" s="16" t="s">
        <v>735</v>
      </c>
      <c r="J156" s="16" t="s">
        <v>1311</v>
      </c>
      <c r="K156" s="16" t="s">
        <v>117</v>
      </c>
      <c r="L156" s="16" t="s">
        <v>114</v>
      </c>
      <c r="M156" s="16" t="s">
        <v>135</v>
      </c>
      <c r="N156" s="16">
        <v>37</v>
      </c>
      <c r="O156" s="26">
        <v>4.5</v>
      </c>
      <c r="P156" s="26">
        <v>1.9</v>
      </c>
      <c r="Q156" s="26"/>
      <c r="R156" s="26">
        <v>1.1000000000000001</v>
      </c>
      <c r="S156" s="26">
        <v>5.4</v>
      </c>
      <c r="T156" s="26">
        <v>1.8</v>
      </c>
      <c r="U156" s="26"/>
      <c r="V156" s="26">
        <v>2.7</v>
      </c>
      <c r="W156" s="26">
        <v>4.9000000000000004</v>
      </c>
      <c r="X156" s="26">
        <v>28.9</v>
      </c>
      <c r="Y156" s="26"/>
      <c r="Z156" s="26">
        <v>1.7</v>
      </c>
      <c r="AA156" s="26"/>
      <c r="AB156" s="26">
        <v>14.9</v>
      </c>
      <c r="AC156" s="26"/>
      <c r="AD156" s="26">
        <v>41.7</v>
      </c>
      <c r="AE156" s="26"/>
      <c r="AF156" s="26"/>
      <c r="AG156" s="26"/>
      <c r="AH156" s="26"/>
      <c r="AI156" s="26">
        <v>2.5</v>
      </c>
      <c r="AJ156" s="26">
        <f t="shared" si="305"/>
        <v>109.50000000000001</v>
      </c>
      <c r="AK156" s="26">
        <f t="shared" si="365"/>
        <v>4.4959732820393574</v>
      </c>
      <c r="AL156" s="26">
        <f t="shared" si="366"/>
        <v>1.8982998301943954</v>
      </c>
      <c r="AM156" s="26">
        <f t="shared" si="367"/>
        <v>1.0990156911651763</v>
      </c>
      <c r="AN156" s="26">
        <f t="shared" si="368"/>
        <v>5.3951679384472291</v>
      </c>
      <c r="AO156" s="26">
        <f t="shared" si="369"/>
        <v>1.7983893128157429</v>
      </c>
      <c r="AP156" s="26">
        <f t="shared" si="370"/>
        <v>2.6975839692236145</v>
      </c>
      <c r="AQ156" s="26">
        <f t="shared" si="371"/>
        <v>14.886667089419205</v>
      </c>
      <c r="AR156" s="26">
        <f t="shared" si="372"/>
        <v>4.8956153515539675</v>
      </c>
      <c r="AS156" s="26">
        <f t="shared" si="373"/>
        <v>28.874139522430536</v>
      </c>
      <c r="AT156" s="26">
        <f t="shared" si="374"/>
        <v>1.6984787954370906</v>
      </c>
      <c r="AU156" s="26">
        <f t="shared" si="375"/>
        <v>41.662685746898049</v>
      </c>
      <c r="AV156" s="26">
        <f t="shared" si="306"/>
        <v>109.40201652962438</v>
      </c>
      <c r="AW156" s="26"/>
      <c r="AX156" s="26"/>
      <c r="AY156" s="26"/>
      <c r="AZ156" s="94"/>
      <c r="BA156" s="26">
        <v>8.5999999999999993E-2</v>
      </c>
      <c r="BB156" s="26"/>
      <c r="BC156" s="26">
        <f>1-BA156</f>
        <v>0.91400000000000003</v>
      </c>
      <c r="BD156" s="26">
        <f>BA156</f>
        <v>8.5999999999999993E-2</v>
      </c>
      <c r="BE156" s="16"/>
      <c r="BF156" s="16"/>
      <c r="BG156" s="16"/>
      <c r="BH156" s="16"/>
      <c r="BI156" s="16"/>
      <c r="BJ156" s="16">
        <v>0.4</v>
      </c>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v>0.32</v>
      </c>
      <c r="CI156" s="18">
        <v>71</v>
      </c>
      <c r="CJ156" s="18"/>
      <c r="CK156" s="18">
        <v>0.46</v>
      </c>
      <c r="CL156" s="18"/>
      <c r="CM156" s="18">
        <v>0</v>
      </c>
      <c r="CN156" s="18"/>
      <c r="CO156" s="18"/>
      <c r="CP156" s="18"/>
      <c r="CQ156" s="18"/>
      <c r="CR156" s="18">
        <v>8.9999999999999993E-3</v>
      </c>
      <c r="CS156" s="18">
        <v>61</v>
      </c>
      <c r="CT156" s="18"/>
      <c r="CU156" s="18">
        <v>5.6</v>
      </c>
      <c r="CV156" s="18">
        <v>3.7</v>
      </c>
      <c r="CW156" s="18">
        <v>0.10100000000000001</v>
      </c>
      <c r="CX156" s="18">
        <v>0.1</v>
      </c>
      <c r="CY156" s="18">
        <v>0</v>
      </c>
      <c r="CZ156" s="18">
        <v>5.1999999999999998E-3</v>
      </c>
      <c r="DA156" s="18">
        <v>1.0999999999999999E-2</v>
      </c>
      <c r="DB156" s="18"/>
      <c r="DC156" s="18">
        <v>0</v>
      </c>
      <c r="DD156" s="18"/>
      <c r="DE156" s="18"/>
      <c r="DF156" s="18"/>
      <c r="DG156" s="18"/>
      <c r="DH156" s="18"/>
      <c r="DI156" s="18"/>
      <c r="DJ156" s="18"/>
      <c r="DK156" s="18">
        <v>2.5499999999999998</v>
      </c>
      <c r="DL156" s="18">
        <v>0.11</v>
      </c>
      <c r="DM156" s="18">
        <v>1.9E-2</v>
      </c>
      <c r="DN156" s="18"/>
      <c r="DO156" s="18"/>
      <c r="DP156" s="18"/>
      <c r="DQ156" s="18"/>
      <c r="DR156" s="18"/>
      <c r="DS156" s="18"/>
      <c r="DT156" s="18">
        <v>1.2800000000000001E-2</v>
      </c>
      <c r="DU156" s="18">
        <v>0</v>
      </c>
      <c r="DV156" s="28">
        <v>0.70560900000000004</v>
      </c>
      <c r="DW156" s="28">
        <v>1E-4</v>
      </c>
      <c r="DX156" s="28">
        <v>0.70559799999999995</v>
      </c>
      <c r="DY156" s="28">
        <v>1E-4</v>
      </c>
      <c r="DZ156" s="28"/>
      <c r="EA156" s="28"/>
      <c r="EB156" s="28"/>
      <c r="EC156" s="28"/>
      <c r="ED156" s="28"/>
      <c r="EE156" s="28"/>
      <c r="EF156" s="28"/>
      <c r="EG156" s="28"/>
      <c r="EH156" s="28"/>
      <c r="EI156" s="28"/>
      <c r="EJ156" s="18"/>
      <c r="EK156" s="18"/>
      <c r="EL156" s="18">
        <f>IFERROR(CR156/'McDonough &amp; Sun 1995 values'!C$2,)</f>
        <v>0.42857142857142849</v>
      </c>
      <c r="EM156" s="18">
        <f>IFERROR(CH156/'McDonough &amp; Sun 1995 values'!D$2,)</f>
        <v>0.53333333333333333</v>
      </c>
      <c r="EN156" s="18">
        <f>IFERROR(CS156/'McDonough &amp; Sun 1995 values'!E$2,)</f>
        <v>9.2424242424242422</v>
      </c>
      <c r="EO156" s="18">
        <f>IFERROR(DL156/'McDonough &amp; Sun 1995 values'!F$2,)</f>
        <v>1.3836477987421383</v>
      </c>
      <c r="EP156" s="18">
        <f>IFERROR(DM156/'McDonough &amp; Sun 1995 values'!G$2,)</f>
        <v>0.935960591133005</v>
      </c>
      <c r="EQ156" s="18">
        <f>IFERROR(BR156/'McDonough &amp; Sun 1995 values'!H$2,)</f>
        <v>0</v>
      </c>
      <c r="ER156" s="18">
        <f>IFERROR(DI156/'McDonough &amp; Sun 1995 values'!I$2,)</f>
        <v>0</v>
      </c>
      <c r="ES156" s="18">
        <f>IFERROR(CM156/'McDonough &amp; Sun 1995 values'!J$2,)</f>
        <v>0</v>
      </c>
      <c r="ET156" s="18">
        <f>IFERROR(CU156/'McDonough &amp; Sun 1995 values'!K$2,)</f>
        <v>8.6419753086419746</v>
      </c>
      <c r="EU156" s="18">
        <f>IFERROR(CV156/'McDonough &amp; Sun 1995 values'!L$2,)</f>
        <v>2.2089552238805972</v>
      </c>
      <c r="EV156" s="18">
        <f>IFERROR(CW156/'McDonough &amp; Sun 1995 values'!M$2,)</f>
        <v>0.39763779527559057</v>
      </c>
      <c r="EW156" s="18">
        <f>IFERROR(CI156/'McDonough &amp; Sun 1995 values'!N$2,)</f>
        <v>3.5678391959798996</v>
      </c>
      <c r="EX156" s="18">
        <f>IFERROR(CX156/'McDonough &amp; Sun 1995 values'!O$2,)</f>
        <v>0.08</v>
      </c>
      <c r="EY156" s="18">
        <f>IFERROR(CY156/'McDonough &amp; Sun 1995 values'!P$2,)</f>
        <v>0</v>
      </c>
      <c r="EZ156" s="18">
        <f>IFERROR(DH156/'McDonough &amp; Sun 1995 values'!Q$2,)</f>
        <v>0</v>
      </c>
      <c r="FA156" s="18">
        <f>IFERROR(CK156/'McDonough &amp; Sun 1995 values'!R$2,)</f>
        <v>4.3809523809523812E-2</v>
      </c>
      <c r="FB156" s="18">
        <f>IFERROR(CZ156/'McDonough &amp; Sun 1995 values'!S$2,)</f>
        <v>3.3766233766233764E-2</v>
      </c>
      <c r="FC156" s="18">
        <f>IFERROR(BT156/'McDonough &amp; Sun 1995 values'!T$2,)</f>
        <v>0</v>
      </c>
      <c r="FD156" s="18">
        <f>IFERROR(DA156/'McDonough &amp; Sun 1995 values'!U$2,)</f>
        <v>2.0220588235294115E-2</v>
      </c>
      <c r="FE156" s="18">
        <f>IFERROR(DN156/'McDonough &amp; Sun 1995 values'!V$2,)</f>
        <v>0</v>
      </c>
      <c r="FF156" s="18">
        <f>IFERROR(DB156/'McDonough &amp; Sun 1995 values'!W$2,)</f>
        <v>0</v>
      </c>
      <c r="FG156" s="18">
        <f>IFERROR(CJ156/'McDonough &amp; Sun 1995 values'!X$2,)</f>
        <v>0</v>
      </c>
      <c r="FH156" s="18">
        <f>IFERROR(DC156/'McDonough &amp; Sun 1995 values'!Y$2,)</f>
        <v>0</v>
      </c>
      <c r="FI156" s="18">
        <f>IFERROR(DD156/'McDonough &amp; Sun 1995 values'!Z$2,)</f>
        <v>0</v>
      </c>
      <c r="FJ156" s="18">
        <f>IFERROR(DE156/'McDonough &amp; Sun 1995 values'!AA$2,)</f>
        <v>0</v>
      </c>
      <c r="FK156" s="18">
        <f>IFERROR(DF156/'McDonough &amp; Sun 1995 values'!AB$2,)</f>
        <v>0</v>
      </c>
      <c r="FL156" s="18">
        <f>IFERROR(DG156/'McDonough &amp; Sun 1995 values'!AC$2,)</f>
        <v>0</v>
      </c>
      <c r="FN156" s="28">
        <f t="shared" si="299"/>
        <v>0</v>
      </c>
      <c r="FO156" s="4">
        <f t="shared" si="309"/>
        <v>9.8748006379585309</v>
      </c>
      <c r="FP156" s="4">
        <f t="shared" si="310"/>
        <v>0</v>
      </c>
      <c r="FQ156" s="4">
        <f t="shared" si="311"/>
        <v>1.4783184376034424</v>
      </c>
      <c r="FR156" s="4">
        <f t="shared" si="312"/>
        <v>0</v>
      </c>
      <c r="FS156" s="4">
        <f t="shared" si="313"/>
        <v>0</v>
      </c>
      <c r="FT156" s="4">
        <f t="shared" si="314"/>
        <v>1.2444444444444447</v>
      </c>
      <c r="FU156" s="4">
        <f t="shared" si="315"/>
        <v>0</v>
      </c>
      <c r="FV156" s="4">
        <f t="shared" si="316"/>
        <v>0</v>
      </c>
      <c r="FW156" s="4">
        <f t="shared" si="317"/>
        <v>0</v>
      </c>
      <c r="FX156" s="4">
        <f t="shared" si="318"/>
        <v>3.3397874852420308</v>
      </c>
      <c r="FY156" s="4">
        <f t="shared" si="319"/>
        <v>20.003981776303842</v>
      </c>
      <c r="FZ156" s="4">
        <f t="shared" si="320"/>
        <v>0</v>
      </c>
      <c r="GA156" s="4">
        <f t="shared" si="321"/>
        <v>8.9725857007811332</v>
      </c>
      <c r="GB156" s="4">
        <f t="shared" si="322"/>
        <v>0</v>
      </c>
      <c r="GC156" s="4">
        <f t="shared" si="323"/>
        <v>0.80357142857142838</v>
      </c>
      <c r="GD156" s="4">
        <f t="shared" si="324"/>
        <v>6.6797520661157028</v>
      </c>
      <c r="GE156" s="4">
        <f t="shared" si="325"/>
        <v>17.329545454545453</v>
      </c>
      <c r="GF156" s="4">
        <f t="shared" si="326"/>
        <v>0</v>
      </c>
      <c r="GG156" s="4">
        <f t="shared" si="327"/>
        <v>0</v>
      </c>
      <c r="GH156" s="4">
        <f t="shared" si="328"/>
        <v>21.733284439555064</v>
      </c>
      <c r="GI156" s="4">
        <f t="shared" si="329"/>
        <v>0</v>
      </c>
      <c r="GJ156" s="4">
        <f t="shared" si="330"/>
        <v>0</v>
      </c>
      <c r="GK156" s="4">
        <f t="shared" si="331"/>
        <v>0</v>
      </c>
      <c r="GL156" s="4">
        <f t="shared" si="332"/>
        <v>0</v>
      </c>
      <c r="GM156" s="4">
        <f t="shared" si="333"/>
        <v>2.5943396226415092</v>
      </c>
      <c r="GN156" s="4">
        <f t="shared" si="334"/>
        <v>0</v>
      </c>
      <c r="GO156" s="4">
        <f t="shared" si="335"/>
        <v>0</v>
      </c>
      <c r="GP156" s="4">
        <f t="shared" si="336"/>
        <v>0</v>
      </c>
      <c r="GQ156" s="27">
        <f t="shared" si="337"/>
        <v>239695.00358976718</v>
      </c>
      <c r="GR156" s="28" t="str">
        <f t="shared" si="338"/>
        <v/>
      </c>
      <c r="GS156" s="28" t="str">
        <f t="shared" si="339"/>
        <v/>
      </c>
      <c r="GT156" s="28" t="str">
        <f t="shared" si="340"/>
        <v/>
      </c>
      <c r="GU156" s="28" t="str">
        <f t="shared" si="341"/>
        <v/>
      </c>
      <c r="GV156" s="28" t="str">
        <f t="shared" si="342"/>
        <v/>
      </c>
      <c r="GW156" s="28" t="str">
        <f t="shared" si="343"/>
        <v/>
      </c>
      <c r="GX156" s="28" t="str">
        <f t="shared" si="344"/>
        <v/>
      </c>
      <c r="GY156" s="28" t="str">
        <f t="shared" si="345"/>
        <v/>
      </c>
      <c r="GZ156" s="28" t="str">
        <f t="shared" si="346"/>
        <v/>
      </c>
      <c r="HA156" s="28" t="str">
        <f t="shared" si="347"/>
        <v/>
      </c>
      <c r="HB156" s="28" t="str">
        <f t="shared" si="348"/>
        <v/>
      </c>
      <c r="HC156" s="28" t="str">
        <f t="shared" si="349"/>
        <v/>
      </c>
      <c r="HD156" s="28" t="str">
        <f t="shared" si="350"/>
        <v/>
      </c>
      <c r="HE156" s="28" t="str">
        <f t="shared" si="351"/>
        <v/>
      </c>
      <c r="HF156" s="28" t="str">
        <f t="shared" si="352"/>
        <v/>
      </c>
      <c r="HG156" s="28" t="str">
        <f t="shared" si="353"/>
        <v/>
      </c>
      <c r="HH156" s="28" t="str">
        <f t="shared" si="354"/>
        <v/>
      </c>
      <c r="HI156" s="28" t="str">
        <f t="shared" si="355"/>
        <v/>
      </c>
      <c r="HJ156" s="28" t="str">
        <f t="shared" si="356"/>
        <v/>
      </c>
      <c r="HK156" s="28" t="str">
        <f t="shared" si="357"/>
        <v/>
      </c>
      <c r="HL156" s="28" t="str">
        <f t="shared" si="358"/>
        <v/>
      </c>
      <c r="HM156" s="28" t="str">
        <f t="shared" si="359"/>
        <v/>
      </c>
      <c r="HN156" s="28" t="str">
        <f t="shared" si="360"/>
        <v/>
      </c>
      <c r="HO156" s="28" t="str">
        <f t="shared" si="361"/>
        <v/>
      </c>
      <c r="HP156" s="28" t="str">
        <f t="shared" si="362"/>
        <v/>
      </c>
      <c r="HQ156" s="28" t="str">
        <f t="shared" si="363"/>
        <v/>
      </c>
      <c r="HR156" s="28" t="str">
        <f t="shared" si="364"/>
        <v/>
      </c>
      <c r="HT156" s="4">
        <f>IFERROR(GR156/'McDonough &amp; Sun 1995 values'!C$2,)</f>
        <v>0</v>
      </c>
      <c r="HU156" s="4">
        <f>IFERROR(GS156/'McDonough &amp; Sun 1995 values'!D$2,)</f>
        <v>0</v>
      </c>
      <c r="HV156" s="4">
        <f>IFERROR(GT156/'McDonough &amp; Sun 1995 values'!E$2,)</f>
        <v>0</v>
      </c>
      <c r="HW156" s="4">
        <f>IFERROR(GU156/'McDonough &amp; Sun 1995 values'!F$2,)</f>
        <v>0</v>
      </c>
      <c r="HX156" s="4">
        <f>IFERROR(GV156/'McDonough &amp; Sun 1995 values'!G$2,)</f>
        <v>0</v>
      </c>
      <c r="HY156" s="4">
        <f>IFERROR(GW156/'McDonough &amp; Sun 1995 values'!H$2,)</f>
        <v>0</v>
      </c>
      <c r="HZ156" s="4">
        <f>IFERROR(GX156/'McDonough &amp; Sun 1995 values'!I$2,)</f>
        <v>0</v>
      </c>
      <c r="IA156" s="4">
        <f>IFERROR(GY156/'McDonough &amp; Sun 1995 values'!J$2,)</f>
        <v>0</v>
      </c>
      <c r="IB156" s="4">
        <f>IFERROR(GZ156/'McDonough &amp; Sun 1995 values'!K$2,)</f>
        <v>0</v>
      </c>
      <c r="IC156" s="4">
        <f>IFERROR(HA156/'McDonough &amp; Sun 1995 values'!L$2,)</f>
        <v>0</v>
      </c>
      <c r="ID156" s="4">
        <f>IFERROR(HB156/'McDonough &amp; Sun 1995 values'!M$2,)</f>
        <v>0</v>
      </c>
      <c r="IE156" s="4">
        <f>IFERROR(HC156/'McDonough &amp; Sun 1995 values'!N$2,)</f>
        <v>0</v>
      </c>
      <c r="IF156" s="4">
        <f>IFERROR(HD156/'McDonough &amp; Sun 1995 values'!O$2,)</f>
        <v>0</v>
      </c>
      <c r="IG156" s="4">
        <f>IFERROR(HE156/'McDonough &amp; Sun 1995 values'!P$2,)</f>
        <v>0</v>
      </c>
      <c r="IH156" s="4">
        <f>IFERROR(HF156/'McDonough &amp; Sun 1995 values'!Q$2,)</f>
        <v>0</v>
      </c>
      <c r="II156" s="4">
        <f>IFERROR(HG156/'McDonough &amp; Sun 1995 values'!R$2,)</f>
        <v>0</v>
      </c>
      <c r="IJ156" s="4">
        <f>IFERROR(HH156/'McDonough &amp; Sun 1995 values'!S$2,)</f>
        <v>0</v>
      </c>
      <c r="IK156" s="4">
        <f>IFERROR(HI156/'McDonough &amp; Sun 1995 values'!T$2,)</f>
        <v>0</v>
      </c>
      <c r="IL156" s="4">
        <f>IFERROR(HJ156/'McDonough &amp; Sun 1995 values'!U$2,)</f>
        <v>0</v>
      </c>
      <c r="IM156" s="4">
        <f>IFERROR(HK156/'McDonough &amp; Sun 1995 values'!V$2,)</f>
        <v>0</v>
      </c>
      <c r="IN156" s="4">
        <f>IFERROR(HL156/'McDonough &amp; Sun 1995 values'!W$2,)</f>
        <v>0</v>
      </c>
      <c r="IO156" s="4">
        <f>IFERROR(HM156/'McDonough &amp; Sun 1995 values'!X$2,)</f>
        <v>0</v>
      </c>
      <c r="IP156" s="4">
        <f>IFERROR(HN156/'McDonough &amp; Sun 1995 values'!Y$2,)</f>
        <v>0</v>
      </c>
      <c r="IQ156" s="4">
        <f>IFERROR(HO156/'McDonough &amp; Sun 1995 values'!Z$2,)</f>
        <v>0</v>
      </c>
      <c r="IR156" s="4">
        <f>IFERROR(HP156/'McDonough &amp; Sun 1995 values'!AA$2,)</f>
        <v>0</v>
      </c>
      <c r="IS156" s="4">
        <f>IFERROR(HQ156/'McDonough &amp; Sun 1995 values'!AB$2,)</f>
        <v>0</v>
      </c>
      <c r="IT156" s="4">
        <f>IFERROR(HR156/'McDonough &amp; Sun 1995 values'!AC$2,)</f>
        <v>0</v>
      </c>
    </row>
    <row r="157" spans="1:254">
      <c r="A157" s="16" t="s">
        <v>1164</v>
      </c>
      <c r="B157" s="16" t="s">
        <v>24</v>
      </c>
      <c r="C157" s="16" t="str">
        <f t="shared" si="304"/>
        <v>saline</v>
      </c>
      <c r="D157" s="16" t="s">
        <v>119</v>
      </c>
      <c r="E157" s="16" t="s">
        <v>171</v>
      </c>
      <c r="F157" s="16" t="s">
        <v>113</v>
      </c>
      <c r="G157" s="16" t="s">
        <v>595</v>
      </c>
      <c r="H157" s="27" t="s">
        <v>805</v>
      </c>
      <c r="I157" s="16" t="s">
        <v>735</v>
      </c>
      <c r="J157" s="16" t="s">
        <v>1311</v>
      </c>
      <c r="K157" s="16" t="s">
        <v>136</v>
      </c>
      <c r="L157" s="16" t="s">
        <v>114</v>
      </c>
      <c r="M157" s="16" t="s">
        <v>137</v>
      </c>
      <c r="N157" s="16">
        <v>26</v>
      </c>
      <c r="O157" s="26">
        <v>4.7</v>
      </c>
      <c r="P157" s="26">
        <v>1</v>
      </c>
      <c r="Q157" s="26"/>
      <c r="R157" s="26">
        <v>0.8</v>
      </c>
      <c r="S157" s="26">
        <v>5.7</v>
      </c>
      <c r="T157" s="26">
        <v>3.2</v>
      </c>
      <c r="U157" s="26"/>
      <c r="V157" s="26">
        <v>5.6</v>
      </c>
      <c r="W157" s="26">
        <v>6.9</v>
      </c>
      <c r="X157" s="26">
        <v>28.4</v>
      </c>
      <c r="Y157" s="26"/>
      <c r="Z157" s="26">
        <v>0.9</v>
      </c>
      <c r="AA157" s="26"/>
      <c r="AB157" s="26">
        <v>16.100000000000001</v>
      </c>
      <c r="AC157" s="26"/>
      <c r="AD157" s="26">
        <v>34.4</v>
      </c>
      <c r="AE157" s="26"/>
      <c r="AF157" s="26"/>
      <c r="AG157" s="26"/>
      <c r="AH157" s="26"/>
      <c r="AI157" s="26">
        <v>3.5</v>
      </c>
      <c r="AJ157" s="26">
        <f t="shared" si="305"/>
        <v>107.69999999999999</v>
      </c>
      <c r="AK157" s="26">
        <f t="shared" si="365"/>
        <v>4.7029650569541035</v>
      </c>
      <c r="AL157" s="26">
        <f t="shared" si="366"/>
        <v>1.000630863181724</v>
      </c>
      <c r="AM157" s="26">
        <f t="shared" si="367"/>
        <v>0.8005046905453792</v>
      </c>
      <c r="AN157" s="26">
        <f t="shared" si="368"/>
        <v>5.7035959201358271</v>
      </c>
      <c r="AO157" s="26">
        <f t="shared" si="369"/>
        <v>3.2020187621815168</v>
      </c>
      <c r="AP157" s="26">
        <f t="shared" si="370"/>
        <v>5.6035328338176544</v>
      </c>
      <c r="AQ157" s="26">
        <f t="shared" si="371"/>
        <v>16.110156897225757</v>
      </c>
      <c r="AR157" s="26">
        <f t="shared" si="372"/>
        <v>6.9043529559538968</v>
      </c>
      <c r="AS157" s="26">
        <f t="shared" si="373"/>
        <v>28.417916514360957</v>
      </c>
      <c r="AT157" s="26">
        <f t="shared" si="374"/>
        <v>0.90056777686355161</v>
      </c>
      <c r="AU157" s="26">
        <f t="shared" si="375"/>
        <v>34.421701693451304</v>
      </c>
      <c r="AV157" s="26">
        <f t="shared" si="306"/>
        <v>107.76794396467167</v>
      </c>
      <c r="AW157" s="26">
        <v>7.9</v>
      </c>
      <c r="AX157" s="26">
        <v>38.4</v>
      </c>
      <c r="AY157" s="26"/>
      <c r="AZ157" s="94"/>
      <c r="BA157" s="26">
        <v>7.8E-2</v>
      </c>
      <c r="BB157" s="26"/>
      <c r="BC157" s="26">
        <f>(AX157/18.02)/((AX157/18.02)+(AW157/44.01))</f>
        <v>0.92230817172776702</v>
      </c>
      <c r="BD157" s="26">
        <f>(AW157/44.01)/((AX157/18.02)+(AW157/44.01))</f>
        <v>7.7691828272233032E-2</v>
      </c>
      <c r="BE157" s="16"/>
      <c r="BF157" s="16"/>
      <c r="BG157" s="16"/>
      <c r="BH157" s="16"/>
      <c r="BI157" s="16"/>
      <c r="BJ157" s="16">
        <v>0.42</v>
      </c>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v>1.49</v>
      </c>
      <c r="CI157" s="18">
        <v>17</v>
      </c>
      <c r="CJ157" s="18">
        <v>6.6000000000000003E-2</v>
      </c>
      <c r="CK157" s="18">
        <v>0.81</v>
      </c>
      <c r="CL157" s="18"/>
      <c r="CM157" s="18">
        <v>0.89</v>
      </c>
      <c r="CN157" s="18"/>
      <c r="CO157" s="18"/>
      <c r="CP157" s="18"/>
      <c r="CQ157" s="18"/>
      <c r="CR157" s="18">
        <v>1.9E-2</v>
      </c>
      <c r="CS157" s="18">
        <v>84</v>
      </c>
      <c r="CT157" s="18"/>
      <c r="CU157" s="18">
        <v>3.8</v>
      </c>
      <c r="CV157" s="18">
        <v>4.4000000000000004</v>
      </c>
      <c r="CW157" s="18">
        <v>0.26</v>
      </c>
      <c r="CX157" s="18">
        <v>0.79</v>
      </c>
      <c r="CY157" s="18">
        <v>0.09</v>
      </c>
      <c r="CZ157" s="18">
        <v>2.5000000000000001E-2</v>
      </c>
      <c r="DA157" s="18">
        <v>6.5000000000000002E-2</v>
      </c>
      <c r="DB157" s="18">
        <v>1.7999999999999999E-2</v>
      </c>
      <c r="DC157" s="18">
        <v>0</v>
      </c>
      <c r="DD157" s="18">
        <v>5.7999999999999996E-3</v>
      </c>
      <c r="DE157" s="18"/>
      <c r="DF157" s="18"/>
      <c r="DG157" s="18"/>
      <c r="DH157" s="18"/>
      <c r="DI157" s="18"/>
      <c r="DJ157" s="18"/>
      <c r="DK157" s="18">
        <v>1.1399999999999999</v>
      </c>
      <c r="DL157" s="18">
        <v>0.83</v>
      </c>
      <c r="DM157" s="18">
        <v>0.14799999999999999</v>
      </c>
      <c r="DN157" s="18">
        <v>5.3E-3</v>
      </c>
      <c r="DO157" s="18"/>
      <c r="DP157" s="18"/>
      <c r="DQ157" s="18"/>
      <c r="DR157" s="18"/>
      <c r="DS157" s="18"/>
      <c r="DT157" s="18">
        <v>0.252</v>
      </c>
      <c r="DU157" s="18">
        <v>0</v>
      </c>
      <c r="DV157" s="28">
        <v>0.70405499999999999</v>
      </c>
      <c r="DW157" s="28">
        <v>3.0000000000000001E-5</v>
      </c>
      <c r="DX157" s="28">
        <v>0.70385500000000001</v>
      </c>
      <c r="DY157" s="28">
        <v>5.0000000000000002E-5</v>
      </c>
      <c r="DZ157" s="28"/>
      <c r="EA157" s="28"/>
      <c r="EB157" s="28"/>
      <c r="EC157" s="28"/>
      <c r="ED157" s="28"/>
      <c r="EE157" s="28"/>
      <c r="EF157" s="28"/>
      <c r="EG157" s="28"/>
      <c r="EH157" s="28"/>
      <c r="EI157" s="28"/>
      <c r="EJ157" s="18"/>
      <c r="EK157" s="18"/>
      <c r="EL157" s="18">
        <f>IFERROR(CR157/'McDonough &amp; Sun 1995 values'!C$2,)</f>
        <v>0.90476190476190466</v>
      </c>
      <c r="EM157" s="18">
        <f>IFERROR(CH157/'McDonough &amp; Sun 1995 values'!D$2,)</f>
        <v>2.4833333333333334</v>
      </c>
      <c r="EN157" s="18">
        <f>IFERROR(CS157/'McDonough &amp; Sun 1995 values'!E$2,)</f>
        <v>12.727272727272728</v>
      </c>
      <c r="EO157" s="18">
        <f>IFERROR(DL157/'McDonough &amp; Sun 1995 values'!F$2,)</f>
        <v>10.440251572327043</v>
      </c>
      <c r="EP157" s="18">
        <f>IFERROR(DM157/'McDonough &amp; Sun 1995 values'!G$2,)</f>
        <v>7.2906403940886699</v>
      </c>
      <c r="EQ157" s="18">
        <f>IFERROR(BR157/'McDonough &amp; Sun 1995 values'!H$2,)</f>
        <v>0</v>
      </c>
      <c r="ER157" s="18">
        <f>IFERROR(DI157/'McDonough &amp; Sun 1995 values'!I$2,)</f>
        <v>0</v>
      </c>
      <c r="ES157" s="18">
        <f>IFERROR(CM157/'McDonough &amp; Sun 1995 values'!J$2,)</f>
        <v>1.3525835866261398</v>
      </c>
      <c r="ET157" s="18">
        <f>IFERROR(CU157/'McDonough &amp; Sun 1995 values'!K$2,)</f>
        <v>5.8641975308641969</v>
      </c>
      <c r="EU157" s="18">
        <f>IFERROR(CV157/'McDonough &amp; Sun 1995 values'!L$2,)</f>
        <v>2.6268656716417911</v>
      </c>
      <c r="EV157" s="18">
        <f>IFERROR(CW157/'McDonough &amp; Sun 1995 values'!M$2,)</f>
        <v>1.0236220472440944</v>
      </c>
      <c r="EW157" s="18">
        <f>IFERROR(CI157/'McDonough &amp; Sun 1995 values'!N$2,)</f>
        <v>0.85427135678391963</v>
      </c>
      <c r="EX157" s="18">
        <f>IFERROR(CX157/'McDonough &amp; Sun 1995 values'!O$2,)</f>
        <v>0.63200000000000001</v>
      </c>
      <c r="EY157" s="18">
        <f>IFERROR(CY157/'McDonough &amp; Sun 1995 values'!P$2,)</f>
        <v>0.22167487684729062</v>
      </c>
      <c r="EZ157" s="18">
        <f>IFERROR(DH157/'McDonough &amp; Sun 1995 values'!Q$2,)</f>
        <v>0</v>
      </c>
      <c r="FA157" s="18">
        <f>IFERROR(CK157/'McDonough &amp; Sun 1995 values'!R$2,)</f>
        <v>7.7142857142857152E-2</v>
      </c>
      <c r="FB157" s="18">
        <f>IFERROR(CZ157/'McDonough &amp; Sun 1995 values'!S$2,)</f>
        <v>0.16233766233766234</v>
      </c>
      <c r="FC157" s="18">
        <f>IFERROR(BT157/'McDonough &amp; Sun 1995 values'!T$2,)</f>
        <v>0</v>
      </c>
      <c r="FD157" s="18">
        <f>IFERROR(DA157/'McDonough &amp; Sun 1995 values'!U$2,)</f>
        <v>0.11948529411764705</v>
      </c>
      <c r="FE157" s="18">
        <f>IFERROR(DN157/'McDonough &amp; Sun 1995 values'!V$2,)</f>
        <v>5.3535353535353533E-2</v>
      </c>
      <c r="FF157" s="18">
        <f>IFERROR(DB157/'McDonough &amp; Sun 1995 values'!W$2,)</f>
        <v>2.670623145400593E-2</v>
      </c>
      <c r="FG157" s="18">
        <f>IFERROR(CJ157/'McDonough &amp; Sun 1995 values'!X$2,)</f>
        <v>1.5348837209302328E-2</v>
      </c>
      <c r="FH157" s="18">
        <f>IFERROR(DC157/'McDonough &amp; Sun 1995 values'!Y$2,)</f>
        <v>0</v>
      </c>
      <c r="FI157" s="18">
        <f>IFERROR(DD157/'McDonough &amp; Sun 1995 values'!Z$2,)</f>
        <v>1.324200913242009E-2</v>
      </c>
      <c r="FJ157" s="18">
        <f>IFERROR(DE157/'McDonough &amp; Sun 1995 values'!AA$2,)</f>
        <v>0</v>
      </c>
      <c r="FK157" s="18">
        <f>IFERROR(DF157/'McDonough &amp; Sun 1995 values'!AB$2,)</f>
        <v>0</v>
      </c>
      <c r="FL157" s="18">
        <f>IFERROR(DG157/'McDonough &amp; Sun 1995 values'!AC$2,)</f>
        <v>0</v>
      </c>
      <c r="FN157" s="28">
        <f t="shared" si="299"/>
        <v>0</v>
      </c>
      <c r="FO157" s="4">
        <f t="shared" si="309"/>
        <v>1.745700245700246</v>
      </c>
      <c r="FP157" s="4">
        <f t="shared" si="310"/>
        <v>7.718747791675499</v>
      </c>
      <c r="FQ157" s="4">
        <f t="shared" si="311"/>
        <v>1.4320074791772903</v>
      </c>
      <c r="FR157" s="4">
        <f t="shared" si="312"/>
        <v>4.3355527812456645</v>
      </c>
      <c r="FS157" s="4">
        <f t="shared" si="313"/>
        <v>0</v>
      </c>
      <c r="FT157" s="4">
        <f t="shared" si="314"/>
        <v>2.7447368421052634</v>
      </c>
      <c r="FU157" s="4">
        <f t="shared" si="315"/>
        <v>0</v>
      </c>
      <c r="FV157" s="4">
        <f t="shared" si="316"/>
        <v>0.34800000000000009</v>
      </c>
      <c r="FW157" s="4">
        <f t="shared" si="317"/>
        <v>0</v>
      </c>
      <c r="FX157" s="4">
        <f t="shared" si="318"/>
        <v>0.95168003860770956</v>
      </c>
      <c r="FY157" s="4">
        <f t="shared" si="319"/>
        <v>1.0621050900197659</v>
      </c>
      <c r="FZ157" s="4">
        <f t="shared" si="320"/>
        <v>0.99747913829225909</v>
      </c>
      <c r="GA157" s="4">
        <f t="shared" si="321"/>
        <v>0.83455740239659848</v>
      </c>
      <c r="GB157" s="4">
        <f t="shared" si="322"/>
        <v>0.73232323232323238</v>
      </c>
      <c r="GC157" s="4">
        <f t="shared" si="323"/>
        <v>0.3643336529242569</v>
      </c>
      <c r="GD157" s="4">
        <f t="shared" si="324"/>
        <v>1.2190580503833519</v>
      </c>
      <c r="GE157" s="4">
        <f t="shared" si="325"/>
        <v>5.1250762660158635</v>
      </c>
      <c r="GF157" s="4">
        <f t="shared" si="326"/>
        <v>0</v>
      </c>
      <c r="GG157" s="4">
        <f t="shared" si="327"/>
        <v>9.4096016343207367</v>
      </c>
      <c r="GH157" s="4">
        <f t="shared" si="328"/>
        <v>5.7288698955365618</v>
      </c>
      <c r="GI157" s="4">
        <f t="shared" si="329"/>
        <v>26.454046639231823</v>
      </c>
      <c r="GJ157" s="4">
        <f t="shared" si="330"/>
        <v>219.58161865569275</v>
      </c>
      <c r="GK157" s="4">
        <f t="shared" si="331"/>
        <v>0</v>
      </c>
      <c r="GL157" s="4">
        <f t="shared" si="332"/>
        <v>0</v>
      </c>
      <c r="GM157" s="4">
        <f t="shared" si="333"/>
        <v>4.2041281499303524</v>
      </c>
      <c r="GN157" s="4">
        <f t="shared" si="334"/>
        <v>0.23065109582466806</v>
      </c>
      <c r="GO157" s="4">
        <f t="shared" si="335"/>
        <v>0.18552328924669351</v>
      </c>
      <c r="GP157" s="4">
        <f t="shared" si="336"/>
        <v>0</v>
      </c>
      <c r="GQ157" s="27">
        <f t="shared" si="337"/>
        <v>235907.72620711059</v>
      </c>
      <c r="GR157" s="28" t="str">
        <f t="shared" si="338"/>
        <v/>
      </c>
      <c r="GS157" s="28" t="str">
        <f t="shared" si="339"/>
        <v/>
      </c>
      <c r="GT157" s="28" t="str">
        <f t="shared" si="340"/>
        <v/>
      </c>
      <c r="GU157" s="28" t="str">
        <f t="shared" si="341"/>
        <v/>
      </c>
      <c r="GV157" s="28" t="str">
        <f t="shared" si="342"/>
        <v/>
      </c>
      <c r="GW157" s="28" t="str">
        <f t="shared" si="343"/>
        <v/>
      </c>
      <c r="GX157" s="28" t="str">
        <f t="shared" si="344"/>
        <v/>
      </c>
      <c r="GY157" s="28" t="str">
        <f t="shared" si="345"/>
        <v/>
      </c>
      <c r="GZ157" s="28" t="str">
        <f t="shared" si="346"/>
        <v/>
      </c>
      <c r="HA157" s="28" t="str">
        <f t="shared" si="347"/>
        <v/>
      </c>
      <c r="HB157" s="28" t="str">
        <f t="shared" si="348"/>
        <v/>
      </c>
      <c r="HC157" s="28" t="str">
        <f t="shared" si="349"/>
        <v/>
      </c>
      <c r="HD157" s="28" t="str">
        <f t="shared" si="350"/>
        <v/>
      </c>
      <c r="HE157" s="28" t="str">
        <f t="shared" si="351"/>
        <v/>
      </c>
      <c r="HF157" s="28" t="str">
        <f t="shared" si="352"/>
        <v/>
      </c>
      <c r="HG157" s="28" t="str">
        <f t="shared" si="353"/>
        <v/>
      </c>
      <c r="HH157" s="28" t="str">
        <f t="shared" si="354"/>
        <v/>
      </c>
      <c r="HI157" s="28" t="str">
        <f t="shared" si="355"/>
        <v/>
      </c>
      <c r="HJ157" s="28" t="str">
        <f t="shared" si="356"/>
        <v/>
      </c>
      <c r="HK157" s="28" t="str">
        <f t="shared" si="357"/>
        <v/>
      </c>
      <c r="HL157" s="28" t="str">
        <f t="shared" si="358"/>
        <v/>
      </c>
      <c r="HM157" s="28" t="str">
        <f t="shared" si="359"/>
        <v/>
      </c>
      <c r="HN157" s="28" t="str">
        <f t="shared" si="360"/>
        <v/>
      </c>
      <c r="HO157" s="28" t="str">
        <f t="shared" si="361"/>
        <v/>
      </c>
      <c r="HP157" s="28" t="str">
        <f t="shared" si="362"/>
        <v/>
      </c>
      <c r="HQ157" s="28" t="str">
        <f t="shared" si="363"/>
        <v/>
      </c>
      <c r="HR157" s="28" t="str">
        <f t="shared" si="364"/>
        <v/>
      </c>
      <c r="HT157" s="4">
        <f>IFERROR(GR157/'McDonough &amp; Sun 1995 values'!C$2,)</f>
        <v>0</v>
      </c>
      <c r="HU157" s="4">
        <f>IFERROR(GS157/'McDonough &amp; Sun 1995 values'!D$2,)</f>
        <v>0</v>
      </c>
      <c r="HV157" s="4">
        <f>IFERROR(GT157/'McDonough &amp; Sun 1995 values'!E$2,)</f>
        <v>0</v>
      </c>
      <c r="HW157" s="4">
        <f>IFERROR(GU157/'McDonough &amp; Sun 1995 values'!F$2,)</f>
        <v>0</v>
      </c>
      <c r="HX157" s="4">
        <f>IFERROR(GV157/'McDonough &amp; Sun 1995 values'!G$2,)</f>
        <v>0</v>
      </c>
      <c r="HY157" s="4">
        <f>IFERROR(GW157/'McDonough &amp; Sun 1995 values'!H$2,)</f>
        <v>0</v>
      </c>
      <c r="HZ157" s="4">
        <f>IFERROR(GX157/'McDonough &amp; Sun 1995 values'!I$2,)</f>
        <v>0</v>
      </c>
      <c r="IA157" s="4">
        <f>IFERROR(GY157/'McDonough &amp; Sun 1995 values'!J$2,)</f>
        <v>0</v>
      </c>
      <c r="IB157" s="4">
        <f>IFERROR(GZ157/'McDonough &amp; Sun 1995 values'!K$2,)</f>
        <v>0</v>
      </c>
      <c r="IC157" s="4">
        <f>IFERROR(HA157/'McDonough &amp; Sun 1995 values'!L$2,)</f>
        <v>0</v>
      </c>
      <c r="ID157" s="4">
        <f>IFERROR(HB157/'McDonough &amp; Sun 1995 values'!M$2,)</f>
        <v>0</v>
      </c>
      <c r="IE157" s="4">
        <f>IFERROR(HC157/'McDonough &amp; Sun 1995 values'!N$2,)</f>
        <v>0</v>
      </c>
      <c r="IF157" s="4">
        <f>IFERROR(HD157/'McDonough &amp; Sun 1995 values'!O$2,)</f>
        <v>0</v>
      </c>
      <c r="IG157" s="4">
        <f>IFERROR(HE157/'McDonough &amp; Sun 1995 values'!P$2,)</f>
        <v>0</v>
      </c>
      <c r="IH157" s="4">
        <f>IFERROR(HF157/'McDonough &amp; Sun 1995 values'!Q$2,)</f>
        <v>0</v>
      </c>
      <c r="II157" s="4">
        <f>IFERROR(HG157/'McDonough &amp; Sun 1995 values'!R$2,)</f>
        <v>0</v>
      </c>
      <c r="IJ157" s="4">
        <f>IFERROR(HH157/'McDonough &amp; Sun 1995 values'!S$2,)</f>
        <v>0</v>
      </c>
      <c r="IK157" s="4">
        <f>IFERROR(HI157/'McDonough &amp; Sun 1995 values'!T$2,)</f>
        <v>0</v>
      </c>
      <c r="IL157" s="4">
        <f>IFERROR(HJ157/'McDonough &amp; Sun 1995 values'!U$2,)</f>
        <v>0</v>
      </c>
      <c r="IM157" s="4">
        <f>IFERROR(HK157/'McDonough &amp; Sun 1995 values'!V$2,)</f>
        <v>0</v>
      </c>
      <c r="IN157" s="4">
        <f>IFERROR(HL157/'McDonough &amp; Sun 1995 values'!W$2,)</f>
        <v>0</v>
      </c>
      <c r="IO157" s="4">
        <f>IFERROR(HM157/'McDonough &amp; Sun 1995 values'!X$2,)</f>
        <v>0</v>
      </c>
      <c r="IP157" s="4">
        <f>IFERROR(HN157/'McDonough &amp; Sun 1995 values'!Y$2,)</f>
        <v>0</v>
      </c>
      <c r="IQ157" s="4">
        <f>IFERROR(HO157/'McDonough &amp; Sun 1995 values'!Z$2,)</f>
        <v>0</v>
      </c>
      <c r="IR157" s="4">
        <f>IFERROR(HP157/'McDonough &amp; Sun 1995 values'!AA$2,)</f>
        <v>0</v>
      </c>
      <c r="IS157" s="4">
        <f>IFERROR(HQ157/'McDonough &amp; Sun 1995 values'!AB$2,)</f>
        <v>0</v>
      </c>
      <c r="IT157" s="4">
        <f>IFERROR(HR157/'McDonough &amp; Sun 1995 values'!AC$2,)</f>
        <v>0</v>
      </c>
    </row>
    <row r="158" spans="1:254">
      <c r="A158" s="16" t="s">
        <v>1164</v>
      </c>
      <c r="B158" s="16" t="s">
        <v>24</v>
      </c>
      <c r="C158" s="16" t="str">
        <f t="shared" si="304"/>
        <v>saline</v>
      </c>
      <c r="D158" s="16" t="s">
        <v>119</v>
      </c>
      <c r="E158" s="16" t="s">
        <v>171</v>
      </c>
      <c r="F158" s="16" t="s">
        <v>113</v>
      </c>
      <c r="G158" s="16" t="s">
        <v>595</v>
      </c>
      <c r="H158" s="27" t="s">
        <v>805</v>
      </c>
      <c r="I158" s="16" t="s">
        <v>735</v>
      </c>
      <c r="J158" s="16" t="s">
        <v>1311</v>
      </c>
      <c r="K158" s="16" t="s">
        <v>128</v>
      </c>
      <c r="L158" s="16" t="s">
        <v>114</v>
      </c>
      <c r="M158" s="16" t="s">
        <v>138</v>
      </c>
      <c r="N158" s="16">
        <v>33</v>
      </c>
      <c r="O158" s="26">
        <v>5.0999999999999996</v>
      </c>
      <c r="P158" s="26">
        <v>2.2000000000000002</v>
      </c>
      <c r="Q158" s="26"/>
      <c r="R158" s="26">
        <v>1</v>
      </c>
      <c r="S158" s="26">
        <v>6.6</v>
      </c>
      <c r="T158" s="26">
        <v>2.2999999999999998</v>
      </c>
      <c r="U158" s="26"/>
      <c r="V158" s="26">
        <v>5.6</v>
      </c>
      <c r="W158" s="26">
        <v>10.1</v>
      </c>
      <c r="X158" s="26">
        <v>26.4</v>
      </c>
      <c r="Y158" s="26"/>
      <c r="Z158" s="26">
        <v>0.8</v>
      </c>
      <c r="AA158" s="26"/>
      <c r="AB158" s="26">
        <v>13.9</v>
      </c>
      <c r="AC158" s="26"/>
      <c r="AD158" s="26">
        <v>33.4</v>
      </c>
      <c r="AE158" s="26"/>
      <c r="AF158" s="26"/>
      <c r="AG158" s="26"/>
      <c r="AH158" s="26"/>
      <c r="AI158" s="26">
        <v>3</v>
      </c>
      <c r="AJ158" s="26">
        <f t="shared" si="305"/>
        <v>107.4</v>
      </c>
      <c r="AK158" s="26">
        <f t="shared" si="365"/>
        <v>5.1070158440509239</v>
      </c>
      <c r="AL158" s="26">
        <f t="shared" si="366"/>
        <v>2.2030264425317712</v>
      </c>
      <c r="AM158" s="26">
        <f t="shared" si="367"/>
        <v>1.0013756556962596</v>
      </c>
      <c r="AN158" s="26">
        <f t="shared" si="368"/>
        <v>6.609079327595313</v>
      </c>
      <c r="AO158" s="26">
        <f t="shared" si="369"/>
        <v>2.3031640081013971</v>
      </c>
      <c r="AP158" s="26">
        <f t="shared" si="370"/>
        <v>5.6077036718990536</v>
      </c>
      <c r="AQ158" s="26">
        <f t="shared" si="371"/>
        <v>13.91912161417801</v>
      </c>
      <c r="AR158" s="26">
        <f t="shared" si="372"/>
        <v>10.113894122532221</v>
      </c>
      <c r="AS158" s="26">
        <f t="shared" si="373"/>
        <v>26.436317310381252</v>
      </c>
      <c r="AT158" s="26">
        <f t="shared" si="374"/>
        <v>0.80110052455700775</v>
      </c>
      <c r="AU158" s="26">
        <f t="shared" si="375"/>
        <v>33.445946900255066</v>
      </c>
      <c r="AV158" s="26">
        <f t="shared" si="306"/>
        <v>107.54774542177829</v>
      </c>
      <c r="AW158" s="26">
        <v>9.1</v>
      </c>
      <c r="AX158" s="26">
        <v>33.5</v>
      </c>
      <c r="AY158" s="26"/>
      <c r="AZ158" s="94"/>
      <c r="BA158" s="26">
        <v>0.1</v>
      </c>
      <c r="BB158" s="26"/>
      <c r="BC158" s="26">
        <f>(AX158/18.02)/((AX158/18.02)+(AW158/44.01))</f>
        <v>0.89990825951265829</v>
      </c>
      <c r="BD158" s="26">
        <f>(AW158/44.01)/((AX158/18.02)+(AW158/44.01))</f>
        <v>0.10009174048734157</v>
      </c>
      <c r="BE158" s="16"/>
      <c r="BF158" s="16"/>
      <c r="BG158" s="16"/>
      <c r="BH158" s="16"/>
      <c r="BI158" s="16"/>
      <c r="BJ158" s="16">
        <v>0.41</v>
      </c>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v>0.42</v>
      </c>
      <c r="CI158" s="18">
        <v>27</v>
      </c>
      <c r="CJ158" s="18"/>
      <c r="CK158" s="18"/>
      <c r="CL158" s="18"/>
      <c r="CM158" s="18">
        <v>9.0999999999999998E-2</v>
      </c>
      <c r="CN158" s="18"/>
      <c r="CO158" s="18"/>
      <c r="CP158" s="18"/>
      <c r="CQ158" s="18"/>
      <c r="CR158" s="18">
        <v>1.2E-2</v>
      </c>
      <c r="CS158" s="18">
        <v>75</v>
      </c>
      <c r="CT158" s="18"/>
      <c r="CU158" s="18">
        <v>6.7</v>
      </c>
      <c r="CV158" s="18">
        <v>3.4</v>
      </c>
      <c r="CW158" s="18">
        <v>9.2999999999999999E-2</v>
      </c>
      <c r="CX158" s="18">
        <v>0.11</v>
      </c>
      <c r="CY158" s="18">
        <v>1.1000000000000001E-3</v>
      </c>
      <c r="CZ158" s="18">
        <v>2.7000000000000001E-3</v>
      </c>
      <c r="DA158" s="18">
        <v>2.2000000000000001E-3</v>
      </c>
      <c r="DB158" s="18">
        <v>5.0000000000000001E-4</v>
      </c>
      <c r="DC158" s="18"/>
      <c r="DD158" s="18"/>
      <c r="DE158" s="18"/>
      <c r="DF158" s="18">
        <v>1.9E-3</v>
      </c>
      <c r="DG158" s="18">
        <v>5.9999999999999995E-4</v>
      </c>
      <c r="DH158" s="18">
        <v>0</v>
      </c>
      <c r="DI158" s="18"/>
      <c r="DJ158" s="18"/>
      <c r="DK158" s="18">
        <v>5.6</v>
      </c>
      <c r="DL158" s="18">
        <v>0.74</v>
      </c>
      <c r="DM158" s="18">
        <v>2.5999999999999999E-2</v>
      </c>
      <c r="DN158" s="18"/>
      <c r="DO158" s="18"/>
      <c r="DP158" s="18"/>
      <c r="DQ158" s="18"/>
      <c r="DR158" s="18"/>
      <c r="DS158" s="18"/>
      <c r="DT158" s="18"/>
      <c r="DU158" s="18"/>
      <c r="DV158" s="28"/>
      <c r="DW158" s="28"/>
      <c r="DX158" s="28"/>
      <c r="DY158" s="28"/>
      <c r="DZ158" s="28"/>
      <c r="EA158" s="28"/>
      <c r="EB158" s="28"/>
      <c r="EC158" s="28"/>
      <c r="ED158" s="28"/>
      <c r="EE158" s="28"/>
      <c r="EF158" s="28"/>
      <c r="EG158" s="28"/>
      <c r="EH158" s="28"/>
      <c r="EI158" s="28"/>
      <c r="EJ158" s="18"/>
      <c r="EK158" s="18"/>
      <c r="EL158" s="18">
        <f>IFERROR(CR158/'McDonough &amp; Sun 1995 values'!C$2,)</f>
        <v>0.5714285714285714</v>
      </c>
      <c r="EM158" s="18">
        <f>IFERROR(CH158/'McDonough &amp; Sun 1995 values'!D$2,)</f>
        <v>0.7</v>
      </c>
      <c r="EN158" s="18">
        <f>IFERROR(CS158/'McDonough &amp; Sun 1995 values'!E$2,)</f>
        <v>11.363636363636365</v>
      </c>
      <c r="EO158" s="18">
        <f>IFERROR(DL158/'McDonough &amp; Sun 1995 values'!F$2,)</f>
        <v>9.3081761006289305</v>
      </c>
      <c r="EP158" s="18">
        <f>IFERROR(DM158/'McDonough &amp; Sun 1995 values'!G$2,)</f>
        <v>1.2807881773399015</v>
      </c>
      <c r="EQ158" s="18">
        <f>IFERROR(BR158/'McDonough &amp; Sun 1995 values'!H$2,)</f>
        <v>0</v>
      </c>
      <c r="ER158" s="18">
        <f>IFERROR(DI158/'McDonough &amp; Sun 1995 values'!I$2,)</f>
        <v>0</v>
      </c>
      <c r="ES158" s="18">
        <f>IFERROR(CM158/'McDonough &amp; Sun 1995 values'!J$2,)</f>
        <v>0.13829787234042551</v>
      </c>
      <c r="ET158" s="18">
        <f>IFERROR(CU158/'McDonough &amp; Sun 1995 values'!K$2,)</f>
        <v>10.339506172839506</v>
      </c>
      <c r="EU158" s="18">
        <f>IFERROR(CV158/'McDonough &amp; Sun 1995 values'!L$2,)</f>
        <v>2.0298507462686568</v>
      </c>
      <c r="EV158" s="18">
        <f>IFERROR(CW158/'McDonough &amp; Sun 1995 values'!M$2,)</f>
        <v>0.36614173228346458</v>
      </c>
      <c r="EW158" s="18">
        <f>IFERROR(CI158/'McDonough &amp; Sun 1995 values'!N$2,)</f>
        <v>1.3567839195979901</v>
      </c>
      <c r="EX158" s="18">
        <f>IFERROR(CX158/'McDonough &amp; Sun 1995 values'!O$2,)</f>
        <v>8.7999999999999995E-2</v>
      </c>
      <c r="EY158" s="18">
        <f>IFERROR(CY158/'McDonough &amp; Sun 1995 values'!P$2,)</f>
        <v>2.7093596059113299E-3</v>
      </c>
      <c r="EZ158" s="18">
        <f>IFERROR(DH158/'McDonough &amp; Sun 1995 values'!Q$2,)</f>
        <v>0</v>
      </c>
      <c r="FA158" s="18">
        <f>IFERROR(CK158/'McDonough &amp; Sun 1995 values'!R$2,)</f>
        <v>0</v>
      </c>
      <c r="FB158" s="18">
        <f>IFERROR(CZ158/'McDonough &amp; Sun 1995 values'!S$2,)</f>
        <v>1.7532467532467535E-2</v>
      </c>
      <c r="FC158" s="18">
        <f>IFERROR(BT158/'McDonough &amp; Sun 1995 values'!T$2,)</f>
        <v>0</v>
      </c>
      <c r="FD158" s="18">
        <f>IFERROR(DA158/'McDonough &amp; Sun 1995 values'!U$2,)</f>
        <v>4.0441176470588239E-3</v>
      </c>
      <c r="FE158" s="18">
        <f>IFERROR(DN158/'McDonough &amp; Sun 1995 values'!V$2,)</f>
        <v>0</v>
      </c>
      <c r="FF158" s="18">
        <f>IFERROR(DB158/'McDonough &amp; Sun 1995 values'!W$2,)</f>
        <v>7.4183976261127588E-4</v>
      </c>
      <c r="FG158" s="18">
        <f>IFERROR(CJ158/'McDonough &amp; Sun 1995 values'!X$2,)</f>
        <v>0</v>
      </c>
      <c r="FH158" s="18">
        <f>IFERROR(DC158/'McDonough &amp; Sun 1995 values'!Y$2,)</f>
        <v>0</v>
      </c>
      <c r="FI158" s="18">
        <f>IFERROR(DD158/'McDonough &amp; Sun 1995 values'!Z$2,)</f>
        <v>0</v>
      </c>
      <c r="FJ158" s="18">
        <f>IFERROR(DE158/'McDonough &amp; Sun 1995 values'!AA$2,)</f>
        <v>0</v>
      </c>
      <c r="FK158" s="18">
        <f>IFERROR(DF158/'McDonough &amp; Sun 1995 values'!AB$2,)</f>
        <v>4.3083900226757368E-3</v>
      </c>
      <c r="FL158" s="18">
        <f>IFERROR(DG158/'McDonough &amp; Sun 1995 values'!AC$2,)</f>
        <v>8.8888888888888871E-3</v>
      </c>
      <c r="FN158" s="28">
        <f t="shared" si="299"/>
        <v>0</v>
      </c>
      <c r="FO158" s="4">
        <f t="shared" si="309"/>
        <v>8.8723776223776234</v>
      </c>
      <c r="FP158" s="4">
        <f t="shared" si="310"/>
        <v>67.305273343009205</v>
      </c>
      <c r="FQ158" s="4">
        <f t="shared" si="311"/>
        <v>7.2675374939525881</v>
      </c>
      <c r="FR158" s="4">
        <f t="shared" si="312"/>
        <v>74.76258309591644</v>
      </c>
      <c r="FS158" s="4">
        <f t="shared" si="313"/>
        <v>0</v>
      </c>
      <c r="FT158" s="4">
        <f t="shared" si="314"/>
        <v>1.2250000000000001</v>
      </c>
      <c r="FU158" s="4">
        <f t="shared" si="315"/>
        <v>0</v>
      </c>
      <c r="FV158" s="4">
        <f t="shared" si="316"/>
        <v>0</v>
      </c>
      <c r="FW158" s="4">
        <f t="shared" si="317"/>
        <v>0</v>
      </c>
      <c r="FX158" s="4">
        <f t="shared" si="318"/>
        <v>5.1921304761208225</v>
      </c>
      <c r="FY158" s="4">
        <f t="shared" si="319"/>
        <v>7.558658697300574</v>
      </c>
      <c r="FZ158" s="4">
        <f t="shared" si="320"/>
        <v>5.2966079368143353</v>
      </c>
      <c r="GA158" s="4">
        <f t="shared" si="321"/>
        <v>3.7056248986869833</v>
      </c>
      <c r="GB158" s="4">
        <f t="shared" si="322"/>
        <v>6.4710743801652901</v>
      </c>
      <c r="GC158" s="4">
        <f t="shared" si="323"/>
        <v>0.81632653061224492</v>
      </c>
      <c r="GD158" s="4">
        <f t="shared" si="324"/>
        <v>1.2208230958230961</v>
      </c>
      <c r="GE158" s="4">
        <f t="shared" si="325"/>
        <v>16.233766233766236</v>
      </c>
      <c r="GF158" s="4">
        <f t="shared" si="326"/>
        <v>0</v>
      </c>
      <c r="GG158" s="4">
        <f t="shared" si="327"/>
        <v>82.167832167832188</v>
      </c>
      <c r="GH158" s="4">
        <f t="shared" si="328"/>
        <v>28.23908137528209</v>
      </c>
      <c r="GI158" s="4">
        <f t="shared" si="329"/>
        <v>3816.2177328843995</v>
      </c>
      <c r="GJ158" s="4">
        <f t="shared" si="330"/>
        <v>13937.654320987656</v>
      </c>
      <c r="GK158" s="4">
        <f t="shared" si="331"/>
        <v>2399.853801169591</v>
      </c>
      <c r="GL158" s="4">
        <f t="shared" si="332"/>
        <v>0</v>
      </c>
      <c r="GM158" s="4">
        <f t="shared" si="333"/>
        <v>13.297394429469902</v>
      </c>
      <c r="GN158" s="4">
        <f t="shared" si="334"/>
        <v>1.3375674817402348E-2</v>
      </c>
      <c r="GO158" s="4">
        <f t="shared" si="335"/>
        <v>0.10797872340425531</v>
      </c>
      <c r="GP158" s="4">
        <f t="shared" si="336"/>
        <v>0</v>
      </c>
      <c r="GQ158" s="27">
        <f t="shared" si="337"/>
        <v>219457.73198503468</v>
      </c>
      <c r="GR158" s="28" t="str">
        <f t="shared" si="338"/>
        <v/>
      </c>
      <c r="GS158" s="28" t="str">
        <f t="shared" si="339"/>
        <v/>
      </c>
      <c r="GT158" s="28" t="str">
        <f t="shared" si="340"/>
        <v/>
      </c>
      <c r="GU158" s="28" t="str">
        <f t="shared" si="341"/>
        <v/>
      </c>
      <c r="GV158" s="28" t="str">
        <f t="shared" si="342"/>
        <v/>
      </c>
      <c r="GW158" s="28" t="str">
        <f t="shared" si="343"/>
        <v/>
      </c>
      <c r="GX158" s="28" t="str">
        <f t="shared" si="344"/>
        <v/>
      </c>
      <c r="GY158" s="28" t="str">
        <f t="shared" si="345"/>
        <v/>
      </c>
      <c r="GZ158" s="28" t="str">
        <f t="shared" si="346"/>
        <v/>
      </c>
      <c r="HA158" s="28" t="str">
        <f t="shared" si="347"/>
        <v/>
      </c>
      <c r="HB158" s="28" t="str">
        <f t="shared" si="348"/>
        <v/>
      </c>
      <c r="HC158" s="28" t="str">
        <f t="shared" si="349"/>
        <v/>
      </c>
      <c r="HD158" s="28" t="str">
        <f t="shared" si="350"/>
        <v/>
      </c>
      <c r="HE158" s="28" t="str">
        <f t="shared" si="351"/>
        <v/>
      </c>
      <c r="HF158" s="28" t="str">
        <f t="shared" si="352"/>
        <v/>
      </c>
      <c r="HG158" s="28" t="str">
        <f t="shared" si="353"/>
        <v/>
      </c>
      <c r="HH158" s="28" t="str">
        <f t="shared" si="354"/>
        <v/>
      </c>
      <c r="HI158" s="28" t="str">
        <f t="shared" si="355"/>
        <v/>
      </c>
      <c r="HJ158" s="28" t="str">
        <f t="shared" si="356"/>
        <v/>
      </c>
      <c r="HK158" s="28" t="str">
        <f t="shared" si="357"/>
        <v/>
      </c>
      <c r="HL158" s="28" t="str">
        <f t="shared" si="358"/>
        <v/>
      </c>
      <c r="HM158" s="28" t="str">
        <f t="shared" si="359"/>
        <v/>
      </c>
      <c r="HN158" s="28" t="str">
        <f t="shared" si="360"/>
        <v/>
      </c>
      <c r="HO158" s="28" t="str">
        <f t="shared" si="361"/>
        <v/>
      </c>
      <c r="HP158" s="28" t="str">
        <f t="shared" si="362"/>
        <v/>
      </c>
      <c r="HQ158" s="28" t="str">
        <f t="shared" si="363"/>
        <v/>
      </c>
      <c r="HR158" s="28" t="str">
        <f t="shared" si="364"/>
        <v/>
      </c>
      <c r="HT158" s="4">
        <f>IFERROR(GR158/'McDonough &amp; Sun 1995 values'!C$2,)</f>
        <v>0</v>
      </c>
      <c r="HU158" s="4">
        <f>IFERROR(GS158/'McDonough &amp; Sun 1995 values'!D$2,)</f>
        <v>0</v>
      </c>
      <c r="HV158" s="4">
        <f>IFERROR(GT158/'McDonough &amp; Sun 1995 values'!E$2,)</f>
        <v>0</v>
      </c>
      <c r="HW158" s="4">
        <f>IFERROR(GU158/'McDonough &amp; Sun 1995 values'!F$2,)</f>
        <v>0</v>
      </c>
      <c r="HX158" s="4">
        <f>IFERROR(GV158/'McDonough &amp; Sun 1995 values'!G$2,)</f>
        <v>0</v>
      </c>
      <c r="HY158" s="4">
        <f>IFERROR(GW158/'McDonough &amp; Sun 1995 values'!H$2,)</f>
        <v>0</v>
      </c>
      <c r="HZ158" s="4">
        <f>IFERROR(GX158/'McDonough &amp; Sun 1995 values'!I$2,)</f>
        <v>0</v>
      </c>
      <c r="IA158" s="4">
        <f>IFERROR(GY158/'McDonough &amp; Sun 1995 values'!J$2,)</f>
        <v>0</v>
      </c>
      <c r="IB158" s="4">
        <f>IFERROR(GZ158/'McDonough &amp; Sun 1995 values'!K$2,)</f>
        <v>0</v>
      </c>
      <c r="IC158" s="4">
        <f>IFERROR(HA158/'McDonough &amp; Sun 1995 values'!L$2,)</f>
        <v>0</v>
      </c>
      <c r="ID158" s="4">
        <f>IFERROR(HB158/'McDonough &amp; Sun 1995 values'!M$2,)</f>
        <v>0</v>
      </c>
      <c r="IE158" s="4">
        <f>IFERROR(HC158/'McDonough &amp; Sun 1995 values'!N$2,)</f>
        <v>0</v>
      </c>
      <c r="IF158" s="4">
        <f>IFERROR(HD158/'McDonough &amp; Sun 1995 values'!O$2,)</f>
        <v>0</v>
      </c>
      <c r="IG158" s="4">
        <f>IFERROR(HE158/'McDonough &amp; Sun 1995 values'!P$2,)</f>
        <v>0</v>
      </c>
      <c r="IH158" s="4">
        <f>IFERROR(HF158/'McDonough &amp; Sun 1995 values'!Q$2,)</f>
        <v>0</v>
      </c>
      <c r="II158" s="4">
        <f>IFERROR(HG158/'McDonough &amp; Sun 1995 values'!R$2,)</f>
        <v>0</v>
      </c>
      <c r="IJ158" s="4">
        <f>IFERROR(HH158/'McDonough &amp; Sun 1995 values'!S$2,)</f>
        <v>0</v>
      </c>
      <c r="IK158" s="4">
        <f>IFERROR(HI158/'McDonough &amp; Sun 1995 values'!T$2,)</f>
        <v>0</v>
      </c>
      <c r="IL158" s="4">
        <f>IFERROR(HJ158/'McDonough &amp; Sun 1995 values'!U$2,)</f>
        <v>0</v>
      </c>
      <c r="IM158" s="4">
        <f>IFERROR(HK158/'McDonough &amp; Sun 1995 values'!V$2,)</f>
        <v>0</v>
      </c>
      <c r="IN158" s="4">
        <f>IFERROR(HL158/'McDonough &amp; Sun 1995 values'!W$2,)</f>
        <v>0</v>
      </c>
      <c r="IO158" s="4">
        <f>IFERROR(HM158/'McDonough &amp; Sun 1995 values'!X$2,)</f>
        <v>0</v>
      </c>
      <c r="IP158" s="4">
        <f>IFERROR(HN158/'McDonough &amp; Sun 1995 values'!Y$2,)</f>
        <v>0</v>
      </c>
      <c r="IQ158" s="4">
        <f>IFERROR(HO158/'McDonough &amp; Sun 1995 values'!Z$2,)</f>
        <v>0</v>
      </c>
      <c r="IR158" s="4">
        <f>IFERROR(HP158/'McDonough &amp; Sun 1995 values'!AA$2,)</f>
        <v>0</v>
      </c>
      <c r="IS158" s="4">
        <f>IFERROR(HQ158/'McDonough &amp; Sun 1995 values'!AB$2,)</f>
        <v>0</v>
      </c>
      <c r="IT158" s="4">
        <f>IFERROR(HR158/'McDonough &amp; Sun 1995 values'!AC$2,)</f>
        <v>0</v>
      </c>
    </row>
    <row r="159" spans="1:254">
      <c r="A159" s="16" t="s">
        <v>966</v>
      </c>
      <c r="B159" s="16" t="s">
        <v>24</v>
      </c>
      <c r="C159" s="16" t="str">
        <f t="shared" si="304"/>
        <v>saline</v>
      </c>
      <c r="D159" s="16" t="s">
        <v>119</v>
      </c>
      <c r="E159" s="16" t="s">
        <v>171</v>
      </c>
      <c r="F159" s="16" t="s">
        <v>120</v>
      </c>
      <c r="G159" s="16" t="s">
        <v>595</v>
      </c>
      <c r="H159" s="27">
        <v>53</v>
      </c>
      <c r="I159" s="16" t="s">
        <v>712</v>
      </c>
      <c r="J159" s="16">
        <v>0</v>
      </c>
      <c r="K159" s="16" t="s">
        <v>968</v>
      </c>
      <c r="L159" s="16" t="s">
        <v>969</v>
      </c>
      <c r="M159" s="16" t="s">
        <v>967</v>
      </c>
      <c r="N159" s="16">
        <v>20</v>
      </c>
      <c r="O159" s="26">
        <v>4.5</v>
      </c>
      <c r="P159" s="26">
        <v>6.1</v>
      </c>
      <c r="Q159" s="26"/>
      <c r="R159" s="26"/>
      <c r="S159" s="26">
        <v>13.6</v>
      </c>
      <c r="T159" s="26">
        <v>5.5</v>
      </c>
      <c r="U159" s="26"/>
      <c r="V159" s="26">
        <v>7.4</v>
      </c>
      <c r="W159" s="26">
        <v>11.8</v>
      </c>
      <c r="X159" s="26">
        <v>22.4</v>
      </c>
      <c r="Y159" s="26"/>
      <c r="Z159" s="26"/>
      <c r="AA159" s="26"/>
      <c r="AB159" s="26">
        <v>11.9</v>
      </c>
      <c r="AC159" s="26"/>
      <c r="AD159" s="26">
        <v>26.6</v>
      </c>
      <c r="AE159" s="26"/>
      <c r="AF159" s="26"/>
      <c r="AG159" s="26"/>
      <c r="AH159" s="26"/>
      <c r="AI159" s="26">
        <v>5.0999999999999996</v>
      </c>
      <c r="AJ159" s="26">
        <f t="shared" si="305"/>
        <v>109.80000000000001</v>
      </c>
      <c r="AK159" s="26">
        <f t="shared" si="365"/>
        <v>4.3353779340745344</v>
      </c>
      <c r="AL159" s="26">
        <f t="shared" si="366"/>
        <v>5.8768456439677017</v>
      </c>
      <c r="AM159" s="26">
        <f t="shared" si="367"/>
        <v>0</v>
      </c>
      <c r="AN159" s="26">
        <f t="shared" si="368"/>
        <v>13.102475534091926</v>
      </c>
      <c r="AO159" s="26">
        <f t="shared" si="369"/>
        <v>5.2987952527577642</v>
      </c>
      <c r="AP159" s="26">
        <f t="shared" si="370"/>
        <v>7.1292881582559016</v>
      </c>
      <c r="AQ159" s="26">
        <f t="shared" si="371"/>
        <v>11.464666092330436</v>
      </c>
      <c r="AR159" s="26">
        <f t="shared" si="372"/>
        <v>11.368324360462113</v>
      </c>
      <c r="AS159" s="26">
        <f t="shared" si="373"/>
        <v>21.580547938504349</v>
      </c>
      <c r="AT159" s="26">
        <f t="shared" si="374"/>
        <v>0</v>
      </c>
      <c r="AU159" s="26">
        <f t="shared" si="375"/>
        <v>25.626900676973918</v>
      </c>
      <c r="AV159" s="26">
        <f t="shared" si="306"/>
        <v>105.78322159141865</v>
      </c>
      <c r="AW159" s="16"/>
      <c r="AX159" s="16"/>
      <c r="AY159" s="16"/>
      <c r="AZ159" s="16"/>
      <c r="BA159" s="26"/>
      <c r="BB159" s="26"/>
      <c r="BC159" s="26"/>
      <c r="BD159" s="26"/>
      <c r="BE159" s="16"/>
      <c r="BF159" s="16"/>
      <c r="BG159" s="16" t="s">
        <v>974</v>
      </c>
      <c r="BH159" s="16">
        <v>3</v>
      </c>
      <c r="BI159" s="16"/>
      <c r="BJ159" s="16"/>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v>0</v>
      </c>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c r="DS159" s="18"/>
      <c r="DT159" s="18"/>
      <c r="DU159" s="18"/>
      <c r="DV159" s="28"/>
      <c r="DW159" s="28"/>
      <c r="DX159" s="28"/>
      <c r="DY159" s="28"/>
      <c r="DZ159" s="28"/>
      <c r="EA159" s="28"/>
      <c r="EB159" s="28"/>
      <c r="EC159" s="28"/>
      <c r="ED159" s="28"/>
      <c r="EE159" s="28"/>
      <c r="EF159" s="28"/>
      <c r="EG159" s="28"/>
      <c r="EH159" s="28"/>
      <c r="EI159" s="28"/>
      <c r="EJ159" s="18"/>
      <c r="EK159" s="18"/>
      <c r="EL159" s="18">
        <f>IFERROR(CR159/'McDonough &amp; Sun 1995 values'!C$2,)</f>
        <v>0</v>
      </c>
      <c r="EM159" s="18">
        <f>IFERROR(CH159/'McDonough &amp; Sun 1995 values'!D$2,)</f>
        <v>0</v>
      </c>
      <c r="EN159" s="18">
        <f>IFERROR(CS159/'McDonough &amp; Sun 1995 values'!E$2,)</f>
        <v>0</v>
      </c>
      <c r="EO159" s="18">
        <f>IFERROR(DL159/'McDonough &amp; Sun 1995 values'!F$2,)</f>
        <v>0</v>
      </c>
      <c r="EP159" s="18">
        <f>IFERROR(DM159/'McDonough &amp; Sun 1995 values'!G$2,)</f>
        <v>0</v>
      </c>
      <c r="EQ159" s="18">
        <f>IFERROR(BR159/'McDonough &amp; Sun 1995 values'!H$2,)</f>
        <v>0</v>
      </c>
      <c r="ER159" s="18">
        <f>IFERROR(DI159/'McDonough &amp; Sun 1995 values'!I$2,)</f>
        <v>0</v>
      </c>
      <c r="ES159" s="18">
        <f>IFERROR(CM159/'McDonough &amp; Sun 1995 values'!J$2,)</f>
        <v>0</v>
      </c>
      <c r="ET159" s="18">
        <f>IFERROR(CU159/'McDonough &amp; Sun 1995 values'!K$2,)</f>
        <v>0</v>
      </c>
      <c r="EU159" s="18">
        <f>IFERROR(CV159/'McDonough &amp; Sun 1995 values'!L$2,)</f>
        <v>0</v>
      </c>
      <c r="EV159" s="18">
        <f>IFERROR(CW159/'McDonough &amp; Sun 1995 values'!M$2,)</f>
        <v>0</v>
      </c>
      <c r="EW159" s="18">
        <f>IFERROR(CI159/'McDonough &amp; Sun 1995 values'!N$2,)</f>
        <v>0</v>
      </c>
      <c r="EX159" s="18">
        <f>IFERROR(CX159/'McDonough &amp; Sun 1995 values'!O$2,)</f>
        <v>0</v>
      </c>
      <c r="EY159" s="18">
        <f>IFERROR(CY159/'McDonough &amp; Sun 1995 values'!P$2,)</f>
        <v>0</v>
      </c>
      <c r="EZ159" s="18">
        <f>IFERROR(DH159/'McDonough &amp; Sun 1995 values'!Q$2,)</f>
        <v>0</v>
      </c>
      <c r="FA159" s="18">
        <f>IFERROR(CK159/'McDonough &amp; Sun 1995 values'!R$2,)</f>
        <v>0</v>
      </c>
      <c r="FB159" s="18">
        <f>IFERROR(CZ159/'McDonough &amp; Sun 1995 values'!S$2,)</f>
        <v>0</v>
      </c>
      <c r="FC159" s="18">
        <f>IFERROR(BT159/'McDonough &amp; Sun 1995 values'!T$2,)</f>
        <v>0</v>
      </c>
      <c r="FD159" s="18">
        <f>IFERROR(DA159/'McDonough &amp; Sun 1995 values'!U$2,)</f>
        <v>0</v>
      </c>
      <c r="FE159" s="18">
        <f>IFERROR(DN159/'McDonough &amp; Sun 1995 values'!V$2,)</f>
        <v>0</v>
      </c>
      <c r="FF159" s="18">
        <f>IFERROR(DB159/'McDonough &amp; Sun 1995 values'!W$2,)</f>
        <v>0</v>
      </c>
      <c r="FG159" s="18">
        <f>IFERROR(CJ159/'McDonough &amp; Sun 1995 values'!X$2,)</f>
        <v>0</v>
      </c>
      <c r="FH159" s="18">
        <f>IFERROR(DC159/'McDonough &amp; Sun 1995 values'!Y$2,)</f>
        <v>0</v>
      </c>
      <c r="FI159" s="18">
        <f>IFERROR(DD159/'McDonough &amp; Sun 1995 values'!Z$2,)</f>
        <v>0</v>
      </c>
      <c r="FJ159" s="18">
        <f>IFERROR(DE159/'McDonough &amp; Sun 1995 values'!AA$2,)</f>
        <v>0</v>
      </c>
      <c r="FK159" s="18">
        <f>IFERROR(DF159/'McDonough &amp; Sun 1995 values'!AB$2,)</f>
        <v>0</v>
      </c>
      <c r="FL159" s="18">
        <f>IFERROR(DG159/'McDonough &amp; Sun 1995 values'!AC$2,)</f>
        <v>0</v>
      </c>
      <c r="FN159" s="28">
        <f t="shared" si="299"/>
        <v>0</v>
      </c>
      <c r="FO159" s="4">
        <f t="shared" si="309"/>
        <v>0</v>
      </c>
      <c r="FP159" s="4">
        <f t="shared" si="310"/>
        <v>0</v>
      </c>
      <c r="FQ159" s="4">
        <f t="shared" si="311"/>
        <v>0</v>
      </c>
      <c r="FR159" s="4">
        <f t="shared" si="312"/>
        <v>0</v>
      </c>
      <c r="FS159" s="4">
        <f t="shared" si="313"/>
        <v>0</v>
      </c>
      <c r="FT159" s="4">
        <f t="shared" si="314"/>
        <v>0</v>
      </c>
      <c r="FU159" s="4">
        <f t="shared" si="315"/>
        <v>0</v>
      </c>
      <c r="FV159" s="4">
        <f t="shared" si="316"/>
        <v>0</v>
      </c>
      <c r="FW159" s="4">
        <f t="shared" si="317"/>
        <v>0</v>
      </c>
      <c r="FX159" s="4">
        <f t="shared" si="318"/>
        <v>0</v>
      </c>
      <c r="FY159" s="4">
        <f t="shared" si="319"/>
        <v>0</v>
      </c>
      <c r="FZ159" s="4">
        <f t="shared" si="320"/>
        <v>0</v>
      </c>
      <c r="GA159" s="4">
        <f t="shared" si="321"/>
        <v>0</v>
      </c>
      <c r="GB159" s="4">
        <f t="shared" si="322"/>
        <v>0</v>
      </c>
      <c r="GC159" s="4">
        <f t="shared" si="323"/>
        <v>0</v>
      </c>
      <c r="GD159" s="4">
        <f t="shared" si="324"/>
        <v>0</v>
      </c>
      <c r="GE159" s="4">
        <f t="shared" si="325"/>
        <v>0</v>
      </c>
      <c r="GF159" s="4">
        <f t="shared" si="326"/>
        <v>0</v>
      </c>
      <c r="GG159" s="4">
        <f t="shared" si="327"/>
        <v>0</v>
      </c>
      <c r="GH159" s="4">
        <f t="shared" si="328"/>
        <v>0</v>
      </c>
      <c r="GI159" s="4">
        <f t="shared" si="329"/>
        <v>0</v>
      </c>
      <c r="GJ159" s="4">
        <f t="shared" si="330"/>
        <v>0</v>
      </c>
      <c r="GK159" s="4">
        <f t="shared" si="331"/>
        <v>0</v>
      </c>
      <c r="GL159" s="4">
        <f t="shared" si="332"/>
        <v>0</v>
      </c>
      <c r="GM159" s="4">
        <f t="shared" si="333"/>
        <v>0</v>
      </c>
      <c r="GN159" s="4">
        <f t="shared" si="334"/>
        <v>0</v>
      </c>
      <c r="GO159" s="4">
        <f t="shared" si="335"/>
        <v>0</v>
      </c>
      <c r="GP159" s="4">
        <f t="shared" si="336"/>
        <v>0</v>
      </c>
      <c r="GQ159" s="27">
        <f t="shared" si="337"/>
        <v>179148.17899839242</v>
      </c>
      <c r="GR159" s="28" t="str">
        <f t="shared" si="338"/>
        <v/>
      </c>
      <c r="GS159" s="28" t="str">
        <f t="shared" si="339"/>
        <v/>
      </c>
      <c r="GT159" s="28" t="str">
        <f t="shared" si="340"/>
        <v/>
      </c>
      <c r="GU159" s="28" t="str">
        <f t="shared" si="341"/>
        <v/>
      </c>
      <c r="GV159" s="28" t="str">
        <f t="shared" si="342"/>
        <v/>
      </c>
      <c r="GW159" s="28" t="str">
        <f t="shared" si="343"/>
        <v/>
      </c>
      <c r="GX159" s="28" t="str">
        <f t="shared" si="344"/>
        <v/>
      </c>
      <c r="GY159" s="28" t="str">
        <f t="shared" si="345"/>
        <v/>
      </c>
      <c r="GZ159" s="28" t="str">
        <f t="shared" si="346"/>
        <v/>
      </c>
      <c r="HA159" s="28" t="str">
        <f t="shared" si="347"/>
        <v/>
      </c>
      <c r="HB159" s="28" t="str">
        <f t="shared" si="348"/>
        <v/>
      </c>
      <c r="HC159" s="28" t="str">
        <f t="shared" si="349"/>
        <v/>
      </c>
      <c r="HD159" s="28" t="str">
        <f t="shared" si="350"/>
        <v/>
      </c>
      <c r="HE159" s="28" t="str">
        <f t="shared" si="351"/>
        <v/>
      </c>
      <c r="HF159" s="28" t="str">
        <f t="shared" si="352"/>
        <v/>
      </c>
      <c r="HG159" s="28" t="str">
        <f t="shared" si="353"/>
        <v/>
      </c>
      <c r="HH159" s="28" t="str">
        <f t="shared" si="354"/>
        <v/>
      </c>
      <c r="HI159" s="28" t="str">
        <f t="shared" si="355"/>
        <v/>
      </c>
      <c r="HJ159" s="28" t="str">
        <f t="shared" si="356"/>
        <v/>
      </c>
      <c r="HK159" s="28" t="str">
        <f t="shared" si="357"/>
        <v/>
      </c>
      <c r="HL159" s="28" t="str">
        <f t="shared" si="358"/>
        <v/>
      </c>
      <c r="HM159" s="28" t="str">
        <f t="shared" si="359"/>
        <v/>
      </c>
      <c r="HN159" s="28" t="str">
        <f t="shared" si="360"/>
        <v/>
      </c>
      <c r="HO159" s="28" t="str">
        <f t="shared" si="361"/>
        <v/>
      </c>
      <c r="HP159" s="28" t="str">
        <f t="shared" si="362"/>
        <v/>
      </c>
      <c r="HQ159" s="28" t="str">
        <f t="shared" si="363"/>
        <v/>
      </c>
      <c r="HR159" s="28" t="str">
        <f t="shared" si="364"/>
        <v/>
      </c>
      <c r="HT159" s="4">
        <f>IFERROR(GR159/'McDonough &amp; Sun 1995 values'!C$2,)</f>
        <v>0</v>
      </c>
      <c r="HU159" s="4">
        <f>IFERROR(GS159/'McDonough &amp; Sun 1995 values'!D$2,)</f>
        <v>0</v>
      </c>
      <c r="HV159" s="4">
        <f>IFERROR(GT159/'McDonough &amp; Sun 1995 values'!E$2,)</f>
        <v>0</v>
      </c>
      <c r="HW159" s="4">
        <f>IFERROR(GU159/'McDonough &amp; Sun 1995 values'!F$2,)</f>
        <v>0</v>
      </c>
      <c r="HX159" s="4">
        <f>IFERROR(GV159/'McDonough &amp; Sun 1995 values'!G$2,)</f>
        <v>0</v>
      </c>
      <c r="HY159" s="4">
        <f>IFERROR(GW159/'McDonough &amp; Sun 1995 values'!H$2,)</f>
        <v>0</v>
      </c>
      <c r="HZ159" s="4">
        <f>IFERROR(GX159/'McDonough &amp; Sun 1995 values'!I$2,)</f>
        <v>0</v>
      </c>
      <c r="IA159" s="4">
        <f>IFERROR(GY159/'McDonough &amp; Sun 1995 values'!J$2,)</f>
        <v>0</v>
      </c>
      <c r="IB159" s="4">
        <f>IFERROR(GZ159/'McDonough &amp; Sun 1995 values'!K$2,)</f>
        <v>0</v>
      </c>
      <c r="IC159" s="4">
        <f>IFERROR(HA159/'McDonough &amp; Sun 1995 values'!L$2,)</f>
        <v>0</v>
      </c>
      <c r="ID159" s="4">
        <f>IFERROR(HB159/'McDonough &amp; Sun 1995 values'!M$2,)</f>
        <v>0</v>
      </c>
      <c r="IE159" s="4">
        <f>IFERROR(HC159/'McDonough &amp; Sun 1995 values'!N$2,)</f>
        <v>0</v>
      </c>
      <c r="IF159" s="4">
        <f>IFERROR(HD159/'McDonough &amp; Sun 1995 values'!O$2,)</f>
        <v>0</v>
      </c>
      <c r="IG159" s="4">
        <f>IFERROR(HE159/'McDonough &amp; Sun 1995 values'!P$2,)</f>
        <v>0</v>
      </c>
      <c r="IH159" s="4">
        <f>IFERROR(HF159/'McDonough &amp; Sun 1995 values'!Q$2,)</f>
        <v>0</v>
      </c>
      <c r="II159" s="4">
        <f>IFERROR(HG159/'McDonough &amp; Sun 1995 values'!R$2,)</f>
        <v>0</v>
      </c>
      <c r="IJ159" s="4">
        <f>IFERROR(HH159/'McDonough &amp; Sun 1995 values'!S$2,)</f>
        <v>0</v>
      </c>
      <c r="IK159" s="4">
        <f>IFERROR(HI159/'McDonough &amp; Sun 1995 values'!T$2,)</f>
        <v>0</v>
      </c>
      <c r="IL159" s="4">
        <f>IFERROR(HJ159/'McDonough &amp; Sun 1995 values'!U$2,)</f>
        <v>0</v>
      </c>
      <c r="IM159" s="4">
        <f>IFERROR(HK159/'McDonough &amp; Sun 1995 values'!V$2,)</f>
        <v>0</v>
      </c>
      <c r="IN159" s="4">
        <f>IFERROR(HL159/'McDonough &amp; Sun 1995 values'!W$2,)</f>
        <v>0</v>
      </c>
      <c r="IO159" s="4">
        <f>IFERROR(HM159/'McDonough &amp; Sun 1995 values'!X$2,)</f>
        <v>0</v>
      </c>
      <c r="IP159" s="4">
        <f>IFERROR(HN159/'McDonough &amp; Sun 1995 values'!Y$2,)</f>
        <v>0</v>
      </c>
      <c r="IQ159" s="4">
        <f>IFERROR(HO159/'McDonough &amp; Sun 1995 values'!Z$2,)</f>
        <v>0</v>
      </c>
      <c r="IR159" s="4">
        <f>IFERROR(HP159/'McDonough &amp; Sun 1995 values'!AA$2,)</f>
        <v>0</v>
      </c>
      <c r="IS159" s="4">
        <f>IFERROR(HQ159/'McDonough &amp; Sun 1995 values'!AB$2,)</f>
        <v>0</v>
      </c>
      <c r="IT159" s="4">
        <f>IFERROR(HR159/'McDonough &amp; Sun 1995 values'!AC$2,)</f>
        <v>0</v>
      </c>
    </row>
    <row r="160" spans="1:254">
      <c r="A160" s="16" t="s">
        <v>1396</v>
      </c>
      <c r="B160" s="16" t="s">
        <v>24</v>
      </c>
      <c r="C160" s="16" t="str">
        <f t="shared" si="304"/>
        <v>saline</v>
      </c>
      <c r="D160" s="16" t="s">
        <v>119</v>
      </c>
      <c r="E160" s="16" t="s">
        <v>171</v>
      </c>
      <c r="F160" s="16" t="s">
        <v>120</v>
      </c>
      <c r="G160" s="16" t="s">
        <v>595</v>
      </c>
      <c r="H160" s="27">
        <v>53</v>
      </c>
      <c r="I160" s="16" t="s">
        <v>712</v>
      </c>
      <c r="J160" s="16" t="s">
        <v>1318</v>
      </c>
      <c r="K160" s="16" t="s">
        <v>968</v>
      </c>
      <c r="L160" s="16">
        <v>0</v>
      </c>
      <c r="M160" s="16" t="s">
        <v>1485</v>
      </c>
      <c r="N160" s="16">
        <v>50</v>
      </c>
      <c r="O160" s="26">
        <v>4.5999999999999996</v>
      </c>
      <c r="P160" s="26"/>
      <c r="Q160" s="26"/>
      <c r="R160" s="26">
        <v>1.4</v>
      </c>
      <c r="S160" s="26">
        <v>12.2</v>
      </c>
      <c r="T160" s="26">
        <v>5.7</v>
      </c>
      <c r="U160" s="26"/>
      <c r="V160" s="26">
        <v>7.1</v>
      </c>
      <c r="W160" s="26">
        <v>3.9</v>
      </c>
      <c r="X160" s="26">
        <v>22.4</v>
      </c>
      <c r="Y160" s="26"/>
      <c r="Z160" s="26"/>
      <c r="AA160" s="26"/>
      <c r="AB160" s="26">
        <v>12</v>
      </c>
      <c r="AC160" s="26"/>
      <c r="AD160" s="26">
        <v>21.3</v>
      </c>
      <c r="AE160" s="26"/>
      <c r="AF160" s="26"/>
      <c r="AG160" s="26"/>
      <c r="AH160" s="26"/>
      <c r="AI160" s="26">
        <v>8.6</v>
      </c>
      <c r="AJ160" s="26">
        <f t="shared" si="305"/>
        <v>90.6</v>
      </c>
      <c r="AK160" s="26">
        <f t="shared" si="365"/>
        <v>5.3617284315949716</v>
      </c>
      <c r="AL160" s="26">
        <f t="shared" si="366"/>
        <v>0</v>
      </c>
      <c r="AM160" s="26">
        <f t="shared" si="367"/>
        <v>1.6318303922245567</v>
      </c>
      <c r="AN160" s="26">
        <f t="shared" si="368"/>
        <v>14.22023627509971</v>
      </c>
      <c r="AO160" s="26">
        <f t="shared" si="369"/>
        <v>6.6438808826285527</v>
      </c>
      <c r="AP160" s="26">
        <f t="shared" si="370"/>
        <v>8.2757112748531085</v>
      </c>
      <c r="AQ160" s="26">
        <f t="shared" si="371"/>
        <v>13.987117647639058</v>
      </c>
      <c r="AR160" s="26">
        <f t="shared" si="372"/>
        <v>4.5458132354826937</v>
      </c>
      <c r="AS160" s="26">
        <f t="shared" si="373"/>
        <v>26.109286275592908</v>
      </c>
      <c r="AT160" s="26">
        <f t="shared" si="374"/>
        <v>0</v>
      </c>
      <c r="AU160" s="26">
        <f t="shared" si="375"/>
        <v>24.827133824559329</v>
      </c>
      <c r="AV160" s="26">
        <f t="shared" si="306"/>
        <v>105.60273823967489</v>
      </c>
      <c r="AW160" s="101"/>
      <c r="AX160" s="101"/>
      <c r="AY160" s="101"/>
      <c r="AZ160" s="93"/>
      <c r="BA160" s="103"/>
      <c r="BB160" s="107"/>
      <c r="BC160" s="26"/>
      <c r="BD160" s="26"/>
      <c r="BE160" s="16"/>
      <c r="BF160" s="16"/>
      <c r="BG160" s="16"/>
      <c r="BH160" s="16">
        <v>33</v>
      </c>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v>0.22949999999999998</v>
      </c>
      <c r="CI160" s="16">
        <v>8.9280000000000008</v>
      </c>
      <c r="CJ160" s="16"/>
      <c r="CK160" s="16"/>
      <c r="CL160" s="16"/>
      <c r="CM160" s="16">
        <v>9.0499999999999997E-2</v>
      </c>
      <c r="CN160" s="16"/>
      <c r="CO160" s="16"/>
      <c r="CP160" s="16"/>
      <c r="CQ160" s="16"/>
      <c r="CR160" s="16"/>
      <c r="CS160" s="16">
        <v>74.77</v>
      </c>
      <c r="CT160" s="16"/>
      <c r="CU160" s="16">
        <v>2.6890000000000001</v>
      </c>
      <c r="CV160" s="16">
        <v>1.9379999999999999</v>
      </c>
      <c r="CW160" s="16">
        <v>6.0999999999999999E-2</v>
      </c>
      <c r="CX160" s="16">
        <v>5.7000000000000002E-2</v>
      </c>
      <c r="CY160" s="16"/>
      <c r="CZ160" s="16">
        <v>2E-3</v>
      </c>
      <c r="DA160" s="16">
        <v>1E-3</v>
      </c>
      <c r="DB160" s="16"/>
      <c r="DC160" s="16"/>
      <c r="DD160" s="16"/>
      <c r="DE160" s="16"/>
      <c r="DF160" s="16"/>
      <c r="DG160" s="16"/>
      <c r="DH160" s="16">
        <v>2E-3</v>
      </c>
      <c r="DI160" s="16"/>
      <c r="DJ160" s="16"/>
      <c r="DK160" s="16">
        <v>0.78400000000000003</v>
      </c>
      <c r="DL160" s="16">
        <v>0.32899999999999996</v>
      </c>
      <c r="DM160" s="16">
        <v>2.4500000000000001E-2</v>
      </c>
      <c r="DN160" s="16"/>
      <c r="DO160" s="16"/>
      <c r="DP160" s="16"/>
      <c r="DQ160" s="16"/>
      <c r="DR160" s="16"/>
      <c r="DS160" s="16"/>
      <c r="DT160" s="16"/>
      <c r="DU160" s="16"/>
      <c r="DV160" s="31">
        <v>0.70613999999999999</v>
      </c>
      <c r="DW160" s="31">
        <v>1E-4</v>
      </c>
      <c r="DX160" s="31">
        <v>0.70608000000000004</v>
      </c>
      <c r="DY160" s="31">
        <v>0</v>
      </c>
      <c r="DZ160" s="30">
        <v>23.3</v>
      </c>
      <c r="EA160" s="27"/>
      <c r="EB160" s="27"/>
      <c r="EC160" s="27"/>
      <c r="ED160" s="27"/>
      <c r="EE160" s="27"/>
      <c r="EF160" s="27"/>
      <c r="EG160" s="27"/>
      <c r="EH160" s="27"/>
      <c r="EI160" s="27"/>
      <c r="EJ160" s="16"/>
      <c r="EK160" s="18"/>
      <c r="EL160" s="18">
        <f>IFERROR(CR160/'McDonough &amp; Sun 1995 values'!C$2,)</f>
        <v>0</v>
      </c>
      <c r="EM160" s="18">
        <f>IFERROR(CH160/'McDonough &amp; Sun 1995 values'!D$2,)</f>
        <v>0.38250000000000001</v>
      </c>
      <c r="EN160" s="18">
        <f>IFERROR(CS160/'McDonough &amp; Sun 1995 values'!E$2,)</f>
        <v>11.328787878787878</v>
      </c>
      <c r="EO160" s="18">
        <f>IFERROR(DL160/'McDonough &amp; Sun 1995 values'!F$2,)</f>
        <v>4.1383647798742134</v>
      </c>
      <c r="EP160" s="18">
        <f>IFERROR(DM160/'McDonough &amp; Sun 1995 values'!G$2,)</f>
        <v>1.2068965517241381</v>
      </c>
      <c r="EQ160" s="18">
        <f>IFERROR(BR160/'McDonough &amp; Sun 1995 values'!H$2,)</f>
        <v>0</v>
      </c>
      <c r="ER160" s="18">
        <f>IFERROR(DI160/'McDonough &amp; Sun 1995 values'!I$2,)</f>
        <v>0</v>
      </c>
      <c r="ES160" s="18">
        <f>IFERROR(CM160/'McDonough &amp; Sun 1995 values'!J$2,)</f>
        <v>0.13753799392097263</v>
      </c>
      <c r="ET160" s="18">
        <f>IFERROR(CU160/'McDonough &amp; Sun 1995 values'!K$2,)</f>
        <v>4.1496913580246915</v>
      </c>
      <c r="EU160" s="18">
        <f>IFERROR(CV160/'McDonough &amp; Sun 1995 values'!L$2,)</f>
        <v>1.1570149253731343</v>
      </c>
      <c r="EV160" s="18">
        <f>IFERROR(CW160/'McDonough &amp; Sun 1995 values'!M$2,)</f>
        <v>0.24015748031496062</v>
      </c>
      <c r="EW160" s="18">
        <f>IFERROR(CI160/'McDonough &amp; Sun 1995 values'!N$2,)</f>
        <v>0.44864321608040209</v>
      </c>
      <c r="EX160" s="18">
        <f>IFERROR(CX160/'McDonough &amp; Sun 1995 values'!O$2,)</f>
        <v>4.5600000000000002E-2</v>
      </c>
      <c r="EY160" s="18">
        <f>IFERROR(CY160/'McDonough &amp; Sun 1995 values'!P$2,)</f>
        <v>0</v>
      </c>
      <c r="EZ160" s="18">
        <f>IFERROR(DH160/'McDonough &amp; Sun 1995 values'!Q$2,)</f>
        <v>7.0671378091872799E-3</v>
      </c>
      <c r="FA160" s="18">
        <f>IFERROR(CK160/'McDonough &amp; Sun 1995 values'!R$2,)</f>
        <v>0</v>
      </c>
      <c r="FB160" s="18">
        <f>IFERROR(CZ160/'McDonough &amp; Sun 1995 values'!S$2,)</f>
        <v>1.2987012987012988E-2</v>
      </c>
      <c r="FC160" s="18">
        <f>IFERROR(BT160/'McDonough &amp; Sun 1995 values'!T$2,)</f>
        <v>0</v>
      </c>
      <c r="FD160" s="18">
        <f>IFERROR(DA160/'McDonough &amp; Sun 1995 values'!U$2,)</f>
        <v>1.838235294117647E-3</v>
      </c>
      <c r="FE160" s="18">
        <f>IFERROR(DN160/'McDonough &amp; Sun 1995 values'!V$2,)</f>
        <v>0</v>
      </c>
      <c r="FF160" s="18">
        <f>IFERROR(DB160/'McDonough &amp; Sun 1995 values'!W$2,)</f>
        <v>0</v>
      </c>
      <c r="FG160" s="18">
        <f>IFERROR(CJ160/'McDonough &amp; Sun 1995 values'!X$2,)</f>
        <v>0</v>
      </c>
      <c r="FH160" s="18">
        <f>IFERROR(DC160/'McDonough &amp; Sun 1995 values'!Y$2,)</f>
        <v>0</v>
      </c>
      <c r="FI160" s="18">
        <f>IFERROR(DD160/'McDonough &amp; Sun 1995 values'!Z$2,)</f>
        <v>0</v>
      </c>
      <c r="FJ160" s="18">
        <f>IFERROR(DE160/'McDonough &amp; Sun 1995 values'!AA$2,)</f>
        <v>0</v>
      </c>
      <c r="FK160" s="18">
        <f>IFERROR(DF160/'McDonough &amp; Sun 1995 values'!AB$2,)</f>
        <v>0</v>
      </c>
      <c r="FL160" s="18">
        <f>IFERROR(DG160/'McDonough &amp; Sun 1995 values'!AC$2,)</f>
        <v>0</v>
      </c>
      <c r="FM160" s="16"/>
      <c r="FN160" s="28">
        <f t="shared" si="299"/>
        <v>0</v>
      </c>
      <c r="FO160" s="4">
        <f t="shared" si="309"/>
        <v>9.3867099567099554</v>
      </c>
      <c r="FP160" s="4">
        <f t="shared" si="310"/>
        <v>30.088884255881023</v>
      </c>
      <c r="FQ160" s="4">
        <f t="shared" si="311"/>
        <v>3.4289308176100621</v>
      </c>
      <c r="FR160" s="4">
        <f t="shared" si="312"/>
        <v>30.17123661414638</v>
      </c>
      <c r="FS160" s="4">
        <f t="shared" si="313"/>
        <v>0</v>
      </c>
      <c r="FT160" s="4">
        <f t="shared" si="314"/>
        <v>0</v>
      </c>
      <c r="FU160" s="4">
        <f t="shared" si="315"/>
        <v>0</v>
      </c>
      <c r="FV160" s="4">
        <f t="shared" si="316"/>
        <v>0</v>
      </c>
      <c r="FW160" s="4">
        <f t="shared" si="317"/>
        <v>0</v>
      </c>
      <c r="FX160" s="4">
        <f t="shared" si="318"/>
        <v>14.129870129870131</v>
      </c>
      <c r="FY160" s="4">
        <f t="shared" si="319"/>
        <v>4.2871692067114546</v>
      </c>
      <c r="FZ160" s="4">
        <f t="shared" si="320"/>
        <v>0</v>
      </c>
      <c r="GA160" s="4">
        <f t="shared" si="321"/>
        <v>1.8681209325315105</v>
      </c>
      <c r="GB160" s="4">
        <f t="shared" si="322"/>
        <v>0</v>
      </c>
      <c r="GC160" s="4">
        <f t="shared" si="323"/>
        <v>0</v>
      </c>
      <c r="GD160" s="4">
        <f t="shared" si="324"/>
        <v>2.737503453992816</v>
      </c>
      <c r="GE160" s="4">
        <f t="shared" si="325"/>
        <v>29.617746088334322</v>
      </c>
      <c r="GF160" s="4">
        <f t="shared" si="326"/>
        <v>0</v>
      </c>
      <c r="GG160" s="4">
        <f t="shared" si="327"/>
        <v>82.368424577264364</v>
      </c>
      <c r="GH160" s="4">
        <f t="shared" si="328"/>
        <v>17.279042703906093</v>
      </c>
      <c r="GI160" s="4">
        <f t="shared" si="329"/>
        <v>0</v>
      </c>
      <c r="GJ160" s="4">
        <f t="shared" si="330"/>
        <v>0</v>
      </c>
      <c r="GK160" s="4">
        <f t="shared" si="331"/>
        <v>0</v>
      </c>
      <c r="GL160" s="4">
        <f t="shared" si="332"/>
        <v>0</v>
      </c>
      <c r="GM160" s="4">
        <f t="shared" si="333"/>
        <v>10.819254326468531</v>
      </c>
      <c r="GN160" s="4">
        <f t="shared" si="334"/>
        <v>3.314415026433256E-2</v>
      </c>
      <c r="GO160" s="4">
        <f t="shared" si="335"/>
        <v>0.11396005210594873</v>
      </c>
      <c r="GP160" s="4">
        <f t="shared" si="336"/>
        <v>0</v>
      </c>
      <c r="GQ160" s="27">
        <f t="shared" si="337"/>
        <v>216742.92536727685</v>
      </c>
      <c r="GR160" s="28" t="str">
        <f t="shared" si="338"/>
        <v/>
      </c>
      <c r="GS160" s="28" t="str">
        <f t="shared" si="339"/>
        <v/>
      </c>
      <c r="GT160" s="28" t="str">
        <f t="shared" si="340"/>
        <v/>
      </c>
      <c r="GU160" s="28" t="str">
        <f t="shared" si="341"/>
        <v/>
      </c>
      <c r="GV160" s="28" t="str">
        <f t="shared" si="342"/>
        <v/>
      </c>
      <c r="GW160" s="28" t="str">
        <f t="shared" si="343"/>
        <v/>
      </c>
      <c r="GX160" s="28" t="str">
        <f t="shared" si="344"/>
        <v/>
      </c>
      <c r="GY160" s="28" t="str">
        <f t="shared" si="345"/>
        <v/>
      </c>
      <c r="GZ160" s="28" t="str">
        <f t="shared" si="346"/>
        <v/>
      </c>
      <c r="HA160" s="28" t="str">
        <f t="shared" si="347"/>
        <v/>
      </c>
      <c r="HB160" s="28" t="str">
        <f t="shared" si="348"/>
        <v/>
      </c>
      <c r="HC160" s="28" t="str">
        <f t="shared" si="349"/>
        <v/>
      </c>
      <c r="HD160" s="28" t="str">
        <f t="shared" si="350"/>
        <v/>
      </c>
      <c r="HE160" s="28" t="str">
        <f t="shared" si="351"/>
        <v/>
      </c>
      <c r="HF160" s="28" t="str">
        <f t="shared" si="352"/>
        <v/>
      </c>
      <c r="HG160" s="28" t="str">
        <f t="shared" si="353"/>
        <v/>
      </c>
      <c r="HH160" s="28" t="str">
        <f t="shared" si="354"/>
        <v/>
      </c>
      <c r="HI160" s="28" t="str">
        <f t="shared" si="355"/>
        <v/>
      </c>
      <c r="HJ160" s="28" t="str">
        <f t="shared" si="356"/>
        <v/>
      </c>
      <c r="HK160" s="28" t="str">
        <f t="shared" si="357"/>
        <v/>
      </c>
      <c r="HL160" s="28" t="str">
        <f t="shared" si="358"/>
        <v/>
      </c>
      <c r="HM160" s="28" t="str">
        <f t="shared" si="359"/>
        <v/>
      </c>
      <c r="HN160" s="28" t="str">
        <f t="shared" si="360"/>
        <v/>
      </c>
      <c r="HO160" s="28" t="str">
        <f t="shared" si="361"/>
        <v/>
      </c>
      <c r="HP160" s="28" t="str">
        <f t="shared" si="362"/>
        <v/>
      </c>
      <c r="HQ160" s="28" t="str">
        <f t="shared" si="363"/>
        <v/>
      </c>
      <c r="HR160" s="28" t="str">
        <f t="shared" si="364"/>
        <v/>
      </c>
      <c r="HT160" s="4">
        <f>IFERROR(GR160/'McDonough &amp; Sun 1995 values'!C$2,)</f>
        <v>0</v>
      </c>
      <c r="HU160" s="4">
        <f>IFERROR(GS160/'McDonough &amp; Sun 1995 values'!D$2,)</f>
        <v>0</v>
      </c>
      <c r="HV160" s="4">
        <f>IFERROR(GT160/'McDonough &amp; Sun 1995 values'!E$2,)</f>
        <v>0</v>
      </c>
      <c r="HW160" s="4">
        <f>IFERROR(GU160/'McDonough &amp; Sun 1995 values'!F$2,)</f>
        <v>0</v>
      </c>
      <c r="HX160" s="4">
        <f>IFERROR(GV160/'McDonough &amp; Sun 1995 values'!G$2,)</f>
        <v>0</v>
      </c>
      <c r="HY160" s="4">
        <f>IFERROR(GW160/'McDonough &amp; Sun 1995 values'!H$2,)</f>
        <v>0</v>
      </c>
      <c r="HZ160" s="4">
        <f>IFERROR(GX160/'McDonough &amp; Sun 1995 values'!I$2,)</f>
        <v>0</v>
      </c>
      <c r="IA160" s="4">
        <f>IFERROR(GY160/'McDonough &amp; Sun 1995 values'!J$2,)</f>
        <v>0</v>
      </c>
      <c r="IB160" s="4">
        <f>IFERROR(GZ160/'McDonough &amp; Sun 1995 values'!K$2,)</f>
        <v>0</v>
      </c>
      <c r="IC160" s="4">
        <f>IFERROR(HA160/'McDonough &amp; Sun 1995 values'!L$2,)</f>
        <v>0</v>
      </c>
      <c r="ID160" s="4">
        <f>IFERROR(HB160/'McDonough &amp; Sun 1995 values'!M$2,)</f>
        <v>0</v>
      </c>
      <c r="IE160" s="4">
        <f>IFERROR(HC160/'McDonough &amp; Sun 1995 values'!N$2,)</f>
        <v>0</v>
      </c>
      <c r="IF160" s="4">
        <f>IFERROR(HD160/'McDonough &amp; Sun 1995 values'!O$2,)</f>
        <v>0</v>
      </c>
      <c r="IG160" s="4">
        <f>IFERROR(HE160/'McDonough &amp; Sun 1995 values'!P$2,)</f>
        <v>0</v>
      </c>
      <c r="IH160" s="4">
        <f>IFERROR(HF160/'McDonough &amp; Sun 1995 values'!Q$2,)</f>
        <v>0</v>
      </c>
      <c r="II160" s="4">
        <f>IFERROR(HG160/'McDonough &amp; Sun 1995 values'!R$2,)</f>
        <v>0</v>
      </c>
      <c r="IJ160" s="4">
        <f>IFERROR(HH160/'McDonough &amp; Sun 1995 values'!S$2,)</f>
        <v>0</v>
      </c>
      <c r="IK160" s="4">
        <f>IFERROR(HI160/'McDonough &amp; Sun 1995 values'!T$2,)</f>
        <v>0</v>
      </c>
      <c r="IL160" s="4">
        <f>IFERROR(HJ160/'McDonough &amp; Sun 1995 values'!U$2,)</f>
        <v>0</v>
      </c>
      <c r="IM160" s="4">
        <f>IFERROR(HK160/'McDonough &amp; Sun 1995 values'!V$2,)</f>
        <v>0</v>
      </c>
      <c r="IN160" s="4">
        <f>IFERROR(HL160/'McDonough &amp; Sun 1995 values'!W$2,)</f>
        <v>0</v>
      </c>
      <c r="IO160" s="4">
        <f>IFERROR(HM160/'McDonough &amp; Sun 1995 values'!X$2,)</f>
        <v>0</v>
      </c>
      <c r="IP160" s="4">
        <f>IFERROR(HN160/'McDonough &amp; Sun 1995 values'!Y$2,)</f>
        <v>0</v>
      </c>
      <c r="IQ160" s="4">
        <f>IFERROR(HO160/'McDonough &amp; Sun 1995 values'!Z$2,)</f>
        <v>0</v>
      </c>
      <c r="IR160" s="4">
        <f>IFERROR(HP160/'McDonough &amp; Sun 1995 values'!AA$2,)</f>
        <v>0</v>
      </c>
      <c r="IS160" s="4">
        <f>IFERROR(HQ160/'McDonough &amp; Sun 1995 values'!AB$2,)</f>
        <v>0</v>
      </c>
      <c r="IT160" s="4">
        <f>IFERROR(HR160/'McDonough &amp; Sun 1995 values'!AC$2,)</f>
        <v>0</v>
      </c>
    </row>
    <row r="161" spans="1:254">
      <c r="A161" s="16" t="s">
        <v>1396</v>
      </c>
      <c r="B161" s="16" t="s">
        <v>24</v>
      </c>
      <c r="C161" s="16" t="str">
        <f t="shared" si="304"/>
        <v>saline</v>
      </c>
      <c r="D161" s="16" t="s">
        <v>119</v>
      </c>
      <c r="E161" s="16" t="s">
        <v>171</v>
      </c>
      <c r="F161" s="16" t="s">
        <v>120</v>
      </c>
      <c r="G161" s="16" t="s">
        <v>595</v>
      </c>
      <c r="H161" s="27">
        <v>53</v>
      </c>
      <c r="I161" s="16" t="s">
        <v>712</v>
      </c>
      <c r="J161" s="16" t="s">
        <v>1318</v>
      </c>
      <c r="K161" s="16" t="s">
        <v>968</v>
      </c>
      <c r="L161" s="16">
        <v>0</v>
      </c>
      <c r="M161" s="16" t="s">
        <v>1484</v>
      </c>
      <c r="N161" s="16">
        <v>24</v>
      </c>
      <c r="O161" s="26">
        <v>15.1</v>
      </c>
      <c r="P161" s="26">
        <v>0.3</v>
      </c>
      <c r="Q161" s="26"/>
      <c r="R161" s="26">
        <v>1.7</v>
      </c>
      <c r="S161" s="26">
        <v>9.8000000000000007</v>
      </c>
      <c r="T161" s="26">
        <v>1.2</v>
      </c>
      <c r="U161" s="26"/>
      <c r="V161" s="26">
        <v>4.9000000000000004</v>
      </c>
      <c r="W161" s="26">
        <v>4.0999999999999996</v>
      </c>
      <c r="X161" s="26">
        <v>26</v>
      </c>
      <c r="Y161" s="26"/>
      <c r="Z161" s="26">
        <v>2.6</v>
      </c>
      <c r="AA161" s="26"/>
      <c r="AB161" s="26">
        <v>13.2</v>
      </c>
      <c r="AC161" s="26"/>
      <c r="AD161" s="26">
        <v>22.2</v>
      </c>
      <c r="AE161" s="26"/>
      <c r="AF161" s="26"/>
      <c r="AG161" s="26"/>
      <c r="AH161" s="26"/>
      <c r="AI161" s="26">
        <v>10.6</v>
      </c>
      <c r="AJ161" s="26">
        <f t="shared" si="305"/>
        <v>101.10000000000001</v>
      </c>
      <c r="AK161" s="26">
        <f t="shared" si="365"/>
        <v>15.714413624961285</v>
      </c>
      <c r="AL161" s="26">
        <f t="shared" si="366"/>
        <v>0.31220689321115136</v>
      </c>
      <c r="AM161" s="26">
        <f t="shared" si="367"/>
        <v>1.7691723948631908</v>
      </c>
      <c r="AN161" s="26">
        <f t="shared" si="368"/>
        <v>10.198758511564279</v>
      </c>
      <c r="AO161" s="26">
        <f t="shared" si="369"/>
        <v>1.2488275728446054</v>
      </c>
      <c r="AP161" s="26">
        <f t="shared" si="370"/>
        <v>5.0993792557821394</v>
      </c>
      <c r="AQ161" s="26">
        <f t="shared" si="371"/>
        <v>13.737103301290659</v>
      </c>
      <c r="AR161" s="26">
        <f t="shared" si="372"/>
        <v>4.2668275405524012</v>
      </c>
      <c r="AS161" s="26">
        <f t="shared" si="373"/>
        <v>27.057930744966452</v>
      </c>
      <c r="AT161" s="26">
        <f t="shared" si="374"/>
        <v>2.7057930744966452</v>
      </c>
      <c r="AU161" s="26">
        <f t="shared" si="375"/>
        <v>23.103310097625197</v>
      </c>
      <c r="AV161" s="26">
        <f t="shared" si="306"/>
        <v>105.213723012158</v>
      </c>
      <c r="AW161" s="101"/>
      <c r="AX161" s="101"/>
      <c r="AY161" s="101"/>
      <c r="AZ161" s="93"/>
      <c r="BA161" s="103"/>
      <c r="BB161" s="107"/>
      <c r="BC161" s="26"/>
      <c r="BD161" s="26"/>
      <c r="BE161" s="16"/>
      <c r="BF161" s="16"/>
      <c r="BG161" s="16">
        <v>1560</v>
      </c>
      <c r="BH161" s="16"/>
      <c r="BI161" s="16"/>
      <c r="BJ161" s="16"/>
      <c r="BK161" s="16"/>
      <c r="BL161" s="16"/>
      <c r="BM161" s="16"/>
      <c r="BN161" s="16"/>
      <c r="BO161" s="16"/>
      <c r="BP161" s="16"/>
      <c r="BQ161" s="16"/>
      <c r="BR161" s="16"/>
      <c r="BS161" s="16"/>
      <c r="BT161" s="16">
        <v>10.78</v>
      </c>
      <c r="BU161" s="16"/>
      <c r="BV161" s="16"/>
      <c r="BW161" s="16"/>
      <c r="BX161" s="16"/>
      <c r="BY161" s="16"/>
      <c r="BZ161" s="16"/>
      <c r="CA161" s="16"/>
      <c r="CB161" s="16"/>
      <c r="CC161" s="16"/>
      <c r="CD161" s="16"/>
      <c r="CE161" s="16"/>
      <c r="CF161" s="16"/>
      <c r="CG161" s="16"/>
      <c r="CH161" s="16">
        <v>0.82499999999999996</v>
      </c>
      <c r="CI161" s="16">
        <v>1.4104999999999999</v>
      </c>
      <c r="CJ161" s="16">
        <v>0.04</v>
      </c>
      <c r="CK161" s="16">
        <v>0.47850000000000004</v>
      </c>
      <c r="CL161" s="16"/>
      <c r="CM161" s="16">
        <v>2.8999999999999998E-2</v>
      </c>
      <c r="CN161" s="16"/>
      <c r="CO161" s="16"/>
      <c r="CP161" s="16"/>
      <c r="CQ161" s="16"/>
      <c r="CR161" s="16"/>
      <c r="CS161" s="16">
        <v>33.545000000000002</v>
      </c>
      <c r="CT161" s="16"/>
      <c r="CU161" s="16">
        <v>0.72700000000000009</v>
      </c>
      <c r="CV161" s="16">
        <v>0.73849999999999993</v>
      </c>
      <c r="CW161" s="16">
        <v>5.8999999999999997E-2</v>
      </c>
      <c r="CX161" s="16">
        <v>0.20100000000000001</v>
      </c>
      <c r="CY161" s="16">
        <v>3.3000000000000002E-2</v>
      </c>
      <c r="CZ161" s="16">
        <v>6.0000000000000001E-3</v>
      </c>
      <c r="DA161" s="16">
        <v>2.1999999999999999E-2</v>
      </c>
      <c r="DB161" s="16">
        <v>8.0000000000000002E-3</v>
      </c>
      <c r="DC161" s="16"/>
      <c r="DD161" s="16">
        <v>2E-3</v>
      </c>
      <c r="DE161" s="16"/>
      <c r="DF161" s="16"/>
      <c r="DG161" s="16"/>
      <c r="DH161" s="16">
        <v>1.9E-2</v>
      </c>
      <c r="DI161" s="16"/>
      <c r="DJ161" s="16"/>
      <c r="DK161" s="16">
        <v>0.59699999999999998</v>
      </c>
      <c r="DL161" s="16">
        <v>0.40149999999999997</v>
      </c>
      <c r="DM161" s="16">
        <v>2.9000000000000001E-2</v>
      </c>
      <c r="DN161" s="16">
        <v>2E-3</v>
      </c>
      <c r="DO161" s="16"/>
      <c r="DP161" s="16"/>
      <c r="DQ161" s="16"/>
      <c r="DR161" s="16"/>
      <c r="DS161" s="16"/>
      <c r="DT161" s="16"/>
      <c r="DU161" s="16"/>
      <c r="DV161" s="31"/>
      <c r="DW161" s="31"/>
      <c r="DX161" s="31"/>
      <c r="DY161" s="31"/>
      <c r="DZ161" s="30"/>
      <c r="EA161" s="27"/>
      <c r="EB161" s="27"/>
      <c r="EC161" s="27"/>
      <c r="ED161" s="27"/>
      <c r="EE161" s="27"/>
      <c r="EF161" s="27"/>
      <c r="EG161" s="27"/>
      <c r="EH161" s="27"/>
      <c r="EI161" s="27"/>
      <c r="EJ161" s="16"/>
      <c r="EK161" s="18"/>
      <c r="EL161" s="18">
        <f>IFERROR(CR161/'McDonough &amp; Sun 1995 values'!C$2,)</f>
        <v>0</v>
      </c>
      <c r="EM161" s="18">
        <f>IFERROR(CH161/'McDonough &amp; Sun 1995 values'!D$2,)</f>
        <v>1.375</v>
      </c>
      <c r="EN161" s="18">
        <f>IFERROR(CS161/'McDonough &amp; Sun 1995 values'!E$2,)</f>
        <v>5.082575757575758</v>
      </c>
      <c r="EO161" s="18">
        <f>IFERROR(DL161/'McDonough &amp; Sun 1995 values'!F$2,)</f>
        <v>5.0503144654088041</v>
      </c>
      <c r="EP161" s="18">
        <f>IFERROR(DM161/'McDonough &amp; Sun 1995 values'!G$2,)</f>
        <v>1.4285714285714288</v>
      </c>
      <c r="EQ161" s="18">
        <f>IFERROR(BR161/'McDonough &amp; Sun 1995 values'!H$2,)</f>
        <v>0</v>
      </c>
      <c r="ER161" s="18">
        <f>IFERROR(DI161/'McDonough &amp; Sun 1995 values'!I$2,)</f>
        <v>0</v>
      </c>
      <c r="ES161" s="18">
        <f>IFERROR(CM161/'McDonough &amp; Sun 1995 values'!J$2,)</f>
        <v>4.4072948328267469E-2</v>
      </c>
      <c r="ET161" s="18">
        <f>IFERROR(CU161/'McDonough &amp; Sun 1995 values'!K$2,)</f>
        <v>1.1219135802469138</v>
      </c>
      <c r="EU161" s="18">
        <f>IFERROR(CV161/'McDonough &amp; Sun 1995 values'!L$2,)</f>
        <v>0.44089552238805962</v>
      </c>
      <c r="EV161" s="18">
        <f>IFERROR(CW161/'McDonough &amp; Sun 1995 values'!M$2,)</f>
        <v>0.23228346456692911</v>
      </c>
      <c r="EW161" s="18">
        <f>IFERROR(CI161/'McDonough &amp; Sun 1995 values'!N$2,)</f>
        <v>7.0879396984924625E-2</v>
      </c>
      <c r="EX161" s="18">
        <f>IFERROR(CX161/'McDonough &amp; Sun 1995 values'!O$2,)</f>
        <v>0.1608</v>
      </c>
      <c r="EY161" s="18">
        <f>IFERROR(CY161/'McDonough &amp; Sun 1995 values'!P$2,)</f>
        <v>8.1280788177339899E-2</v>
      </c>
      <c r="EZ161" s="18">
        <f>IFERROR(DH161/'McDonough &amp; Sun 1995 values'!Q$2,)</f>
        <v>6.7137809187279157E-2</v>
      </c>
      <c r="FA161" s="18">
        <f>IFERROR(CK161/'McDonough &amp; Sun 1995 values'!R$2,)</f>
        <v>4.5571428571428575E-2</v>
      </c>
      <c r="FB161" s="18">
        <f>IFERROR(CZ161/'McDonough &amp; Sun 1995 values'!S$2,)</f>
        <v>3.896103896103896E-2</v>
      </c>
      <c r="FC161" s="18">
        <f>IFERROR(BT161/'McDonough &amp; Sun 1995 values'!T$2,)</f>
        <v>8.9460580912863064E-3</v>
      </c>
      <c r="FD161" s="18">
        <f>IFERROR(DA161/'McDonough &amp; Sun 1995 values'!U$2,)</f>
        <v>4.044117647058823E-2</v>
      </c>
      <c r="FE161" s="18">
        <f>IFERROR(DN161/'McDonough &amp; Sun 1995 values'!V$2,)</f>
        <v>2.02020202020202E-2</v>
      </c>
      <c r="FF161" s="18">
        <f>IFERROR(DB161/'McDonough &amp; Sun 1995 values'!W$2,)</f>
        <v>1.1869436201780414E-2</v>
      </c>
      <c r="FG161" s="18">
        <f>IFERROR(CJ161/'McDonough &amp; Sun 1995 values'!X$2,)</f>
        <v>9.3023255813953487E-3</v>
      </c>
      <c r="FH161" s="18">
        <f>IFERROR(DC161/'McDonough &amp; Sun 1995 values'!Y$2,)</f>
        <v>0</v>
      </c>
      <c r="FI161" s="18">
        <f>IFERROR(DD161/'McDonough &amp; Sun 1995 values'!Z$2,)</f>
        <v>4.5662100456621002E-3</v>
      </c>
      <c r="FJ161" s="18">
        <f>IFERROR(DE161/'McDonough &amp; Sun 1995 values'!AA$2,)</f>
        <v>0</v>
      </c>
      <c r="FK161" s="18">
        <f>IFERROR(DF161/'McDonough &amp; Sun 1995 values'!AB$2,)</f>
        <v>0</v>
      </c>
      <c r="FL161" s="18">
        <f>IFERROR(DG161/'McDonough &amp; Sun 1995 values'!AC$2,)</f>
        <v>0</v>
      </c>
      <c r="FM161" s="16"/>
      <c r="FN161" s="28">
        <f t="shared" si="299"/>
        <v>0</v>
      </c>
      <c r="FO161" s="4">
        <f t="shared" si="309"/>
        <v>3.5578030303030301</v>
      </c>
      <c r="FP161" s="4">
        <f t="shared" si="310"/>
        <v>114.5898937323791</v>
      </c>
      <c r="FQ161" s="4">
        <f t="shared" si="311"/>
        <v>3.5352201257861622</v>
      </c>
      <c r="FR161" s="4">
        <f t="shared" si="312"/>
        <v>25.455832269050671</v>
      </c>
      <c r="FS161" s="4">
        <f t="shared" si="313"/>
        <v>0</v>
      </c>
      <c r="FT161" s="4">
        <f t="shared" si="314"/>
        <v>0</v>
      </c>
      <c r="FU161" s="4">
        <f t="shared" si="315"/>
        <v>0</v>
      </c>
      <c r="FV161" s="4">
        <f t="shared" si="316"/>
        <v>0.56066666666666676</v>
      </c>
      <c r="FW161" s="4">
        <f t="shared" si="317"/>
        <v>0.67877443609022559</v>
      </c>
      <c r="FX161" s="4">
        <f t="shared" si="318"/>
        <v>0.6401644776886557</v>
      </c>
      <c r="FY161" s="4">
        <f t="shared" si="319"/>
        <v>0.36674807616788052</v>
      </c>
      <c r="FZ161" s="4">
        <f t="shared" si="320"/>
        <v>0.67955511513592548</v>
      </c>
      <c r="GA161" s="4">
        <f t="shared" si="321"/>
        <v>0.30514181074865859</v>
      </c>
      <c r="GB161" s="4">
        <f t="shared" si="322"/>
        <v>0.47933884297520662</v>
      </c>
      <c r="GC161" s="4">
        <f t="shared" si="323"/>
        <v>0</v>
      </c>
      <c r="GD161" s="4">
        <f t="shared" si="324"/>
        <v>1.0063879769047892</v>
      </c>
      <c r="GE161" s="4">
        <f t="shared" si="325"/>
        <v>3.6964187327823694</v>
      </c>
      <c r="GF161" s="4">
        <f t="shared" si="326"/>
        <v>0</v>
      </c>
      <c r="GG161" s="4">
        <f t="shared" si="327"/>
        <v>115.32189132706377</v>
      </c>
      <c r="GH161" s="4">
        <f t="shared" si="328"/>
        <v>4.8299330403850194</v>
      </c>
      <c r="GI161" s="4">
        <f t="shared" si="329"/>
        <v>13.802936775159001</v>
      </c>
      <c r="GJ161" s="4">
        <f t="shared" si="330"/>
        <v>94.521219135802497</v>
      </c>
      <c r="GK161" s="4">
        <f t="shared" si="331"/>
        <v>0</v>
      </c>
      <c r="GL161" s="4">
        <f t="shared" si="332"/>
        <v>5.0940233236151613</v>
      </c>
      <c r="GM161" s="4">
        <f t="shared" si="333"/>
        <v>3.6729559748427665</v>
      </c>
      <c r="GN161" s="4">
        <f t="shared" si="334"/>
        <v>3.928372835862079E-2</v>
      </c>
      <c r="GO161" s="4">
        <f t="shared" si="335"/>
        <v>3.0851063829787223E-2</v>
      </c>
      <c r="GP161" s="4">
        <f t="shared" si="336"/>
        <v>0</v>
      </c>
      <c r="GQ161" s="27">
        <f t="shared" si="337"/>
        <v>224617.97699661678</v>
      </c>
      <c r="GR161" s="28" t="str">
        <f t="shared" si="338"/>
        <v/>
      </c>
      <c r="GS161" s="28" t="str">
        <f t="shared" si="339"/>
        <v/>
      </c>
      <c r="GT161" s="28" t="str">
        <f t="shared" si="340"/>
        <v/>
      </c>
      <c r="GU161" s="28" t="str">
        <f t="shared" si="341"/>
        <v/>
      </c>
      <c r="GV161" s="28" t="str">
        <f t="shared" si="342"/>
        <v/>
      </c>
      <c r="GW161" s="28" t="str">
        <f t="shared" si="343"/>
        <v/>
      </c>
      <c r="GX161" s="28" t="str">
        <f t="shared" si="344"/>
        <v/>
      </c>
      <c r="GY161" s="28" t="str">
        <f t="shared" si="345"/>
        <v/>
      </c>
      <c r="GZ161" s="28" t="str">
        <f t="shared" si="346"/>
        <v/>
      </c>
      <c r="HA161" s="28" t="str">
        <f t="shared" si="347"/>
        <v/>
      </c>
      <c r="HB161" s="28" t="str">
        <f t="shared" si="348"/>
        <v/>
      </c>
      <c r="HC161" s="28" t="str">
        <f t="shared" si="349"/>
        <v/>
      </c>
      <c r="HD161" s="28" t="str">
        <f t="shared" si="350"/>
        <v/>
      </c>
      <c r="HE161" s="28" t="str">
        <f t="shared" si="351"/>
        <v/>
      </c>
      <c r="HF161" s="28" t="str">
        <f t="shared" si="352"/>
        <v/>
      </c>
      <c r="HG161" s="28" t="str">
        <f t="shared" si="353"/>
        <v/>
      </c>
      <c r="HH161" s="28" t="str">
        <f t="shared" si="354"/>
        <v/>
      </c>
      <c r="HI161" s="28" t="str">
        <f t="shared" si="355"/>
        <v/>
      </c>
      <c r="HJ161" s="28" t="str">
        <f t="shared" si="356"/>
        <v/>
      </c>
      <c r="HK161" s="28" t="str">
        <f t="shared" si="357"/>
        <v/>
      </c>
      <c r="HL161" s="28" t="str">
        <f t="shared" si="358"/>
        <v/>
      </c>
      <c r="HM161" s="28" t="str">
        <f t="shared" si="359"/>
        <v/>
      </c>
      <c r="HN161" s="28" t="str">
        <f t="shared" si="360"/>
        <v/>
      </c>
      <c r="HO161" s="28" t="str">
        <f t="shared" si="361"/>
        <v/>
      </c>
      <c r="HP161" s="28" t="str">
        <f t="shared" si="362"/>
        <v/>
      </c>
      <c r="HQ161" s="28" t="str">
        <f t="shared" si="363"/>
        <v/>
      </c>
      <c r="HR161" s="28" t="str">
        <f t="shared" si="364"/>
        <v/>
      </c>
      <c r="HT161" s="4">
        <f>IFERROR(GR161/'McDonough &amp; Sun 1995 values'!C$2,)</f>
        <v>0</v>
      </c>
      <c r="HU161" s="4">
        <f>IFERROR(GS161/'McDonough &amp; Sun 1995 values'!D$2,)</f>
        <v>0</v>
      </c>
      <c r="HV161" s="4">
        <f>IFERROR(GT161/'McDonough &amp; Sun 1995 values'!E$2,)</f>
        <v>0</v>
      </c>
      <c r="HW161" s="4">
        <f>IFERROR(GU161/'McDonough &amp; Sun 1995 values'!F$2,)</f>
        <v>0</v>
      </c>
      <c r="HX161" s="4">
        <f>IFERROR(GV161/'McDonough &amp; Sun 1995 values'!G$2,)</f>
        <v>0</v>
      </c>
      <c r="HY161" s="4">
        <f>IFERROR(GW161/'McDonough &amp; Sun 1995 values'!H$2,)</f>
        <v>0</v>
      </c>
      <c r="HZ161" s="4">
        <f>IFERROR(GX161/'McDonough &amp; Sun 1995 values'!I$2,)</f>
        <v>0</v>
      </c>
      <c r="IA161" s="4">
        <f>IFERROR(GY161/'McDonough &amp; Sun 1995 values'!J$2,)</f>
        <v>0</v>
      </c>
      <c r="IB161" s="4">
        <f>IFERROR(GZ161/'McDonough &amp; Sun 1995 values'!K$2,)</f>
        <v>0</v>
      </c>
      <c r="IC161" s="4">
        <f>IFERROR(HA161/'McDonough &amp; Sun 1995 values'!L$2,)</f>
        <v>0</v>
      </c>
      <c r="ID161" s="4">
        <f>IFERROR(HB161/'McDonough &amp; Sun 1995 values'!M$2,)</f>
        <v>0</v>
      </c>
      <c r="IE161" s="4">
        <f>IFERROR(HC161/'McDonough &amp; Sun 1995 values'!N$2,)</f>
        <v>0</v>
      </c>
      <c r="IF161" s="4">
        <f>IFERROR(HD161/'McDonough &amp; Sun 1995 values'!O$2,)</f>
        <v>0</v>
      </c>
      <c r="IG161" s="4">
        <f>IFERROR(HE161/'McDonough &amp; Sun 1995 values'!P$2,)</f>
        <v>0</v>
      </c>
      <c r="IH161" s="4">
        <f>IFERROR(HF161/'McDonough &amp; Sun 1995 values'!Q$2,)</f>
        <v>0</v>
      </c>
      <c r="II161" s="4">
        <f>IFERROR(HG161/'McDonough &amp; Sun 1995 values'!R$2,)</f>
        <v>0</v>
      </c>
      <c r="IJ161" s="4">
        <f>IFERROR(HH161/'McDonough &amp; Sun 1995 values'!S$2,)</f>
        <v>0</v>
      </c>
      <c r="IK161" s="4">
        <f>IFERROR(HI161/'McDonough &amp; Sun 1995 values'!T$2,)</f>
        <v>0</v>
      </c>
      <c r="IL161" s="4">
        <f>IFERROR(HJ161/'McDonough &amp; Sun 1995 values'!U$2,)</f>
        <v>0</v>
      </c>
      <c r="IM161" s="4">
        <f>IFERROR(HK161/'McDonough &amp; Sun 1995 values'!V$2,)</f>
        <v>0</v>
      </c>
      <c r="IN161" s="4">
        <f>IFERROR(HL161/'McDonough &amp; Sun 1995 values'!W$2,)</f>
        <v>0</v>
      </c>
      <c r="IO161" s="4">
        <f>IFERROR(HM161/'McDonough &amp; Sun 1995 values'!X$2,)</f>
        <v>0</v>
      </c>
      <c r="IP161" s="4">
        <f>IFERROR(HN161/'McDonough &amp; Sun 1995 values'!Y$2,)</f>
        <v>0</v>
      </c>
      <c r="IQ161" s="4">
        <f>IFERROR(HO161/'McDonough &amp; Sun 1995 values'!Z$2,)</f>
        <v>0</v>
      </c>
      <c r="IR161" s="4">
        <f>IFERROR(HP161/'McDonough &amp; Sun 1995 values'!AA$2,)</f>
        <v>0</v>
      </c>
      <c r="IS161" s="4">
        <f>IFERROR(HQ161/'McDonough &amp; Sun 1995 values'!AB$2,)</f>
        <v>0</v>
      </c>
      <c r="IT161" s="4">
        <f>IFERROR(HR161/'McDonough &amp; Sun 1995 values'!AC$2,)</f>
        <v>0</v>
      </c>
    </row>
    <row r="162" spans="1:254">
      <c r="A162" s="16" t="s">
        <v>1396</v>
      </c>
      <c r="B162" s="16" t="s">
        <v>24</v>
      </c>
      <c r="C162" s="16" t="str">
        <f t="shared" si="304"/>
        <v>saline</v>
      </c>
      <c r="D162" s="16" t="s">
        <v>119</v>
      </c>
      <c r="E162" s="16" t="s">
        <v>171</v>
      </c>
      <c r="F162" s="16" t="s">
        <v>120</v>
      </c>
      <c r="G162" s="16" t="s">
        <v>595</v>
      </c>
      <c r="H162" s="27">
        <v>53</v>
      </c>
      <c r="I162" s="16" t="s">
        <v>712</v>
      </c>
      <c r="J162" s="16" t="s">
        <v>1318</v>
      </c>
      <c r="K162" s="16" t="s">
        <v>968</v>
      </c>
      <c r="L162" s="16">
        <v>0</v>
      </c>
      <c r="M162" s="16" t="s">
        <v>1483</v>
      </c>
      <c r="N162" s="16">
        <v>35</v>
      </c>
      <c r="O162" s="26">
        <v>4</v>
      </c>
      <c r="P162" s="26"/>
      <c r="Q162" s="26"/>
      <c r="R162" s="26">
        <v>1.3</v>
      </c>
      <c r="S162" s="26">
        <v>16.899999999999999</v>
      </c>
      <c r="T162" s="26">
        <v>4.5999999999999996</v>
      </c>
      <c r="U162" s="26"/>
      <c r="V162" s="26">
        <v>7.6</v>
      </c>
      <c r="W162" s="26">
        <v>7.6</v>
      </c>
      <c r="X162" s="26">
        <v>21.9</v>
      </c>
      <c r="Y162" s="26"/>
      <c r="Z162" s="26"/>
      <c r="AA162" s="26"/>
      <c r="AB162" s="26">
        <v>15.7</v>
      </c>
      <c r="AC162" s="26"/>
      <c r="AD162" s="26">
        <v>23.4</v>
      </c>
      <c r="AE162" s="26"/>
      <c r="AF162" s="26"/>
      <c r="AG162" s="26"/>
      <c r="AH162" s="26"/>
      <c r="AI162" s="26">
        <v>14.6</v>
      </c>
      <c r="AJ162" s="26">
        <f t="shared" si="305"/>
        <v>103</v>
      </c>
      <c r="AK162" s="26">
        <f t="shared" si="365"/>
        <v>4.0933562345741379</v>
      </c>
      <c r="AL162" s="26">
        <f t="shared" si="366"/>
        <v>0</v>
      </c>
      <c r="AM162" s="26">
        <f t="shared" si="367"/>
        <v>1.3303407762365949</v>
      </c>
      <c r="AN162" s="26">
        <f t="shared" si="368"/>
        <v>17.294430091075732</v>
      </c>
      <c r="AO162" s="26">
        <f t="shared" si="369"/>
        <v>4.7073596697602582</v>
      </c>
      <c r="AP162" s="26">
        <f t="shared" si="370"/>
        <v>7.7773768456908616</v>
      </c>
      <c r="AQ162" s="26">
        <f t="shared" si="371"/>
        <v>16.066423220703491</v>
      </c>
      <c r="AR162" s="26">
        <f t="shared" si="372"/>
        <v>7.7773768456908616</v>
      </c>
      <c r="AS162" s="26">
        <f t="shared" si="373"/>
        <v>22.411125384293403</v>
      </c>
      <c r="AT162" s="26">
        <f t="shared" si="374"/>
        <v>0</v>
      </c>
      <c r="AU162" s="26">
        <f t="shared" si="375"/>
        <v>23.946133972258703</v>
      </c>
      <c r="AV162" s="26">
        <f t="shared" si="306"/>
        <v>105.40392304028404</v>
      </c>
      <c r="AW162" s="101"/>
      <c r="AX162" s="101"/>
      <c r="AY162" s="101"/>
      <c r="AZ162" s="93"/>
      <c r="BA162" s="103"/>
      <c r="BB162" s="107"/>
      <c r="BC162" s="26"/>
      <c r="BD162" s="26"/>
      <c r="BE162" s="16"/>
      <c r="BF162" s="16"/>
      <c r="BG162" s="16"/>
      <c r="BH162" s="16">
        <v>10</v>
      </c>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v>0.11399999999999999</v>
      </c>
      <c r="CI162" s="16">
        <v>0.61350000000000005</v>
      </c>
      <c r="CJ162" s="16">
        <v>2E-3</v>
      </c>
      <c r="CK162" s="16">
        <v>0.13200000000000001</v>
      </c>
      <c r="CL162" s="16"/>
      <c r="CM162" s="16">
        <v>3.5500000000000004E-2</v>
      </c>
      <c r="CN162" s="16"/>
      <c r="CO162" s="16"/>
      <c r="CP162" s="16"/>
      <c r="CQ162" s="16"/>
      <c r="CR162" s="16"/>
      <c r="CS162" s="16">
        <v>47.09</v>
      </c>
      <c r="CT162" s="16"/>
      <c r="CU162" s="16">
        <v>0.1</v>
      </c>
      <c r="CV162" s="16">
        <v>7.85E-2</v>
      </c>
      <c r="CW162" s="16">
        <v>5.0000000000000001E-3</v>
      </c>
      <c r="CX162" s="16">
        <v>1.2E-2</v>
      </c>
      <c r="CY162" s="16"/>
      <c r="CZ162" s="16"/>
      <c r="DA162" s="16"/>
      <c r="DB162" s="16"/>
      <c r="DC162" s="16"/>
      <c r="DD162" s="16"/>
      <c r="DE162" s="16"/>
      <c r="DF162" s="16"/>
      <c r="DG162" s="16"/>
      <c r="DH162" s="16">
        <v>4.0000000000000001E-3</v>
      </c>
      <c r="DI162" s="16"/>
      <c r="DJ162" s="16"/>
      <c r="DK162" s="16">
        <v>0.56599999999999995</v>
      </c>
      <c r="DL162" s="16">
        <v>0.2455</v>
      </c>
      <c r="DM162" s="16">
        <v>6.5000000000000006E-3</v>
      </c>
      <c r="DN162" s="16"/>
      <c r="DO162" s="16"/>
      <c r="DP162" s="16"/>
      <c r="DQ162" s="16"/>
      <c r="DR162" s="16"/>
      <c r="DS162" s="16"/>
      <c r="DT162" s="16"/>
      <c r="DU162" s="16"/>
      <c r="DV162" s="31"/>
      <c r="DW162" s="31"/>
      <c r="DX162" s="31"/>
      <c r="DY162" s="31"/>
      <c r="DZ162" s="30"/>
      <c r="EA162" s="27"/>
      <c r="EB162" s="27"/>
      <c r="EC162" s="27"/>
      <c r="ED162" s="27"/>
      <c r="EE162" s="27"/>
      <c r="EF162" s="27"/>
      <c r="EG162" s="27"/>
      <c r="EH162" s="27"/>
      <c r="EI162" s="27"/>
      <c r="EJ162" s="16"/>
      <c r="EK162" s="18"/>
      <c r="EL162" s="18">
        <f>IFERROR(CR162/'McDonough &amp; Sun 1995 values'!C$2,)</f>
        <v>0</v>
      </c>
      <c r="EM162" s="18">
        <f>IFERROR(CH162/'McDonough &amp; Sun 1995 values'!D$2,)</f>
        <v>0.19</v>
      </c>
      <c r="EN162" s="18">
        <f>IFERROR(CS162/'McDonough &amp; Sun 1995 values'!E$2,)</f>
        <v>7.1348484848484857</v>
      </c>
      <c r="EO162" s="18">
        <f>IFERROR(DL162/'McDonough &amp; Sun 1995 values'!F$2,)</f>
        <v>3.0880503144654088</v>
      </c>
      <c r="EP162" s="18">
        <f>IFERROR(DM162/'McDonough &amp; Sun 1995 values'!G$2,)</f>
        <v>0.32019704433497542</v>
      </c>
      <c r="EQ162" s="18">
        <f>IFERROR(BR162/'McDonough &amp; Sun 1995 values'!H$2,)</f>
        <v>0</v>
      </c>
      <c r="ER162" s="18">
        <f>IFERROR(DI162/'McDonough &amp; Sun 1995 values'!I$2,)</f>
        <v>0</v>
      </c>
      <c r="ES162" s="18">
        <f>IFERROR(CM162/'McDonough &amp; Sun 1995 values'!J$2,)</f>
        <v>5.3951367781155016E-2</v>
      </c>
      <c r="ET162" s="18">
        <f>IFERROR(CU162/'McDonough &amp; Sun 1995 values'!K$2,)</f>
        <v>0.15432098765432098</v>
      </c>
      <c r="EU162" s="18">
        <f>IFERROR(CV162/'McDonough &amp; Sun 1995 values'!L$2,)</f>
        <v>4.6865671641791042E-2</v>
      </c>
      <c r="EV162" s="18">
        <f>IFERROR(CW162/'McDonough &amp; Sun 1995 values'!M$2,)</f>
        <v>1.968503937007874E-2</v>
      </c>
      <c r="EW162" s="18">
        <f>IFERROR(CI162/'McDonough &amp; Sun 1995 values'!N$2,)</f>
        <v>3.0829145728643221E-2</v>
      </c>
      <c r="EX162" s="18">
        <f>IFERROR(CX162/'McDonough &amp; Sun 1995 values'!O$2,)</f>
        <v>9.6000000000000009E-3</v>
      </c>
      <c r="EY162" s="18">
        <f>IFERROR(CY162/'McDonough &amp; Sun 1995 values'!P$2,)</f>
        <v>0</v>
      </c>
      <c r="EZ162" s="18">
        <f>IFERROR(DH162/'McDonough &amp; Sun 1995 values'!Q$2,)</f>
        <v>1.413427561837456E-2</v>
      </c>
      <c r="FA162" s="18">
        <f>IFERROR(CK162/'McDonough &amp; Sun 1995 values'!R$2,)</f>
        <v>1.2571428571428572E-2</v>
      </c>
      <c r="FB162" s="18">
        <f>IFERROR(CZ162/'McDonough &amp; Sun 1995 values'!S$2,)</f>
        <v>0</v>
      </c>
      <c r="FC162" s="18">
        <f>IFERROR(BT162/'McDonough &amp; Sun 1995 values'!T$2,)</f>
        <v>0</v>
      </c>
      <c r="FD162" s="18">
        <f>IFERROR(DA162/'McDonough &amp; Sun 1995 values'!U$2,)</f>
        <v>0</v>
      </c>
      <c r="FE162" s="18">
        <f>IFERROR(DN162/'McDonough &amp; Sun 1995 values'!V$2,)</f>
        <v>0</v>
      </c>
      <c r="FF162" s="18">
        <f>IFERROR(DB162/'McDonough &amp; Sun 1995 values'!W$2,)</f>
        <v>0</v>
      </c>
      <c r="FG162" s="18">
        <f>IFERROR(CJ162/'McDonough &amp; Sun 1995 values'!X$2,)</f>
        <v>4.6511627906976747E-4</v>
      </c>
      <c r="FH162" s="18">
        <f>IFERROR(DC162/'McDonough &amp; Sun 1995 values'!Y$2,)</f>
        <v>0</v>
      </c>
      <c r="FI162" s="18">
        <f>IFERROR(DD162/'McDonough &amp; Sun 1995 values'!Z$2,)</f>
        <v>0</v>
      </c>
      <c r="FJ162" s="18">
        <f>IFERROR(DE162/'McDonough &amp; Sun 1995 values'!AA$2,)</f>
        <v>0</v>
      </c>
      <c r="FK162" s="18">
        <f>IFERROR(DF162/'McDonough &amp; Sun 1995 values'!AB$2,)</f>
        <v>0</v>
      </c>
      <c r="FL162" s="18">
        <f>IFERROR(DG162/'McDonough &amp; Sun 1995 values'!AC$2,)</f>
        <v>0</v>
      </c>
      <c r="FM162" s="16"/>
      <c r="FN162" s="28">
        <f t="shared" si="299"/>
        <v>0</v>
      </c>
      <c r="FO162" s="4">
        <f t="shared" si="309"/>
        <v>22.28268065268065</v>
      </c>
      <c r="FP162" s="4">
        <f t="shared" si="310"/>
        <v>57.237664983612362</v>
      </c>
      <c r="FQ162" s="4">
        <f t="shared" si="311"/>
        <v>9.6442186744073517</v>
      </c>
      <c r="FR162" s="4">
        <f t="shared" si="312"/>
        <v>2.8603721091984</v>
      </c>
      <c r="FS162" s="4">
        <f t="shared" si="313"/>
        <v>0</v>
      </c>
      <c r="FT162" s="4">
        <f t="shared" si="314"/>
        <v>0</v>
      </c>
      <c r="FU162" s="4">
        <f t="shared" si="315"/>
        <v>0</v>
      </c>
      <c r="FV162" s="4">
        <f t="shared" si="316"/>
        <v>0</v>
      </c>
      <c r="FW162" s="4">
        <f t="shared" si="317"/>
        <v>0.88942857142857135</v>
      </c>
      <c r="FX162" s="4">
        <f t="shared" si="318"/>
        <v>0</v>
      </c>
      <c r="FY162" s="4">
        <f t="shared" si="319"/>
        <v>2.2426305308299588</v>
      </c>
      <c r="FZ162" s="4">
        <f t="shared" si="320"/>
        <v>0</v>
      </c>
      <c r="GA162" s="4">
        <f t="shared" si="321"/>
        <v>1.5661206030150756</v>
      </c>
      <c r="GB162" s="4">
        <f t="shared" si="322"/>
        <v>0</v>
      </c>
      <c r="GC162" s="4">
        <f t="shared" si="323"/>
        <v>0</v>
      </c>
      <c r="GD162" s="4">
        <f t="shared" si="324"/>
        <v>2.3104702832808743</v>
      </c>
      <c r="GE162" s="4">
        <f t="shared" si="325"/>
        <v>37.551834130781501</v>
      </c>
      <c r="GF162" s="4">
        <f t="shared" si="326"/>
        <v>0</v>
      </c>
      <c r="GG162" s="4">
        <f t="shared" si="327"/>
        <v>132.24592402902263</v>
      </c>
      <c r="GH162" s="4">
        <f t="shared" si="328"/>
        <v>7.8395061728395055</v>
      </c>
      <c r="GI162" s="4">
        <f t="shared" si="329"/>
        <v>0</v>
      </c>
      <c r="GJ162" s="4">
        <f t="shared" si="330"/>
        <v>0</v>
      </c>
      <c r="GK162" s="4">
        <f t="shared" si="331"/>
        <v>0</v>
      </c>
      <c r="GL162" s="4">
        <f t="shared" si="332"/>
        <v>0</v>
      </c>
      <c r="GM162" s="4">
        <f t="shared" si="333"/>
        <v>16.252896391923205</v>
      </c>
      <c r="GN162" s="4">
        <f t="shared" si="334"/>
        <v>0.3496048632218845</v>
      </c>
      <c r="GO162" s="4">
        <f t="shared" si="335"/>
        <v>0.16849427168576103</v>
      </c>
      <c r="GP162" s="4">
        <f t="shared" si="336"/>
        <v>0</v>
      </c>
      <c r="GQ162" s="27">
        <f t="shared" si="337"/>
        <v>186043.11222039649</v>
      </c>
      <c r="GR162" s="28" t="str">
        <f t="shared" si="338"/>
        <v/>
      </c>
      <c r="GS162" s="28" t="str">
        <f t="shared" si="339"/>
        <v/>
      </c>
      <c r="GT162" s="28" t="str">
        <f t="shared" si="340"/>
        <v/>
      </c>
      <c r="GU162" s="28" t="str">
        <f t="shared" si="341"/>
        <v/>
      </c>
      <c r="GV162" s="28" t="str">
        <f t="shared" si="342"/>
        <v/>
      </c>
      <c r="GW162" s="28" t="str">
        <f t="shared" si="343"/>
        <v/>
      </c>
      <c r="GX162" s="28" t="str">
        <f t="shared" si="344"/>
        <v/>
      </c>
      <c r="GY162" s="28" t="str">
        <f t="shared" si="345"/>
        <v/>
      </c>
      <c r="GZ162" s="28" t="str">
        <f t="shared" si="346"/>
        <v/>
      </c>
      <c r="HA162" s="28" t="str">
        <f t="shared" si="347"/>
        <v/>
      </c>
      <c r="HB162" s="28" t="str">
        <f t="shared" si="348"/>
        <v/>
      </c>
      <c r="HC162" s="28" t="str">
        <f t="shared" si="349"/>
        <v/>
      </c>
      <c r="HD162" s="28" t="str">
        <f t="shared" si="350"/>
        <v/>
      </c>
      <c r="HE162" s="28" t="str">
        <f t="shared" si="351"/>
        <v/>
      </c>
      <c r="HF162" s="28" t="str">
        <f t="shared" si="352"/>
        <v/>
      </c>
      <c r="HG162" s="28" t="str">
        <f t="shared" si="353"/>
        <v/>
      </c>
      <c r="HH162" s="28" t="str">
        <f t="shared" si="354"/>
        <v/>
      </c>
      <c r="HI162" s="28" t="str">
        <f t="shared" si="355"/>
        <v/>
      </c>
      <c r="HJ162" s="28" t="str">
        <f t="shared" si="356"/>
        <v/>
      </c>
      <c r="HK162" s="28" t="str">
        <f t="shared" si="357"/>
        <v/>
      </c>
      <c r="HL162" s="28" t="str">
        <f t="shared" si="358"/>
        <v/>
      </c>
      <c r="HM162" s="28" t="str">
        <f t="shared" si="359"/>
        <v/>
      </c>
      <c r="HN162" s="28" t="str">
        <f t="shared" si="360"/>
        <v/>
      </c>
      <c r="HO162" s="28" t="str">
        <f t="shared" si="361"/>
        <v/>
      </c>
      <c r="HP162" s="28" t="str">
        <f t="shared" si="362"/>
        <v/>
      </c>
      <c r="HQ162" s="28" t="str">
        <f t="shared" si="363"/>
        <v/>
      </c>
      <c r="HR162" s="28" t="str">
        <f t="shared" si="364"/>
        <v/>
      </c>
      <c r="HT162" s="4">
        <f>IFERROR(GR162/'McDonough &amp; Sun 1995 values'!C$2,)</f>
        <v>0</v>
      </c>
      <c r="HU162" s="4">
        <f>IFERROR(GS162/'McDonough &amp; Sun 1995 values'!D$2,)</f>
        <v>0</v>
      </c>
      <c r="HV162" s="4">
        <f>IFERROR(GT162/'McDonough &amp; Sun 1995 values'!E$2,)</f>
        <v>0</v>
      </c>
      <c r="HW162" s="4">
        <f>IFERROR(GU162/'McDonough &amp; Sun 1995 values'!F$2,)</f>
        <v>0</v>
      </c>
      <c r="HX162" s="4">
        <f>IFERROR(GV162/'McDonough &amp; Sun 1995 values'!G$2,)</f>
        <v>0</v>
      </c>
      <c r="HY162" s="4">
        <f>IFERROR(GW162/'McDonough &amp; Sun 1995 values'!H$2,)</f>
        <v>0</v>
      </c>
      <c r="HZ162" s="4">
        <f>IFERROR(GX162/'McDonough &amp; Sun 1995 values'!I$2,)</f>
        <v>0</v>
      </c>
      <c r="IA162" s="4">
        <f>IFERROR(GY162/'McDonough &amp; Sun 1995 values'!J$2,)</f>
        <v>0</v>
      </c>
      <c r="IB162" s="4">
        <f>IFERROR(GZ162/'McDonough &amp; Sun 1995 values'!K$2,)</f>
        <v>0</v>
      </c>
      <c r="IC162" s="4">
        <f>IFERROR(HA162/'McDonough &amp; Sun 1995 values'!L$2,)</f>
        <v>0</v>
      </c>
      <c r="ID162" s="4">
        <f>IFERROR(HB162/'McDonough &amp; Sun 1995 values'!M$2,)</f>
        <v>0</v>
      </c>
      <c r="IE162" s="4">
        <f>IFERROR(HC162/'McDonough &amp; Sun 1995 values'!N$2,)</f>
        <v>0</v>
      </c>
      <c r="IF162" s="4">
        <f>IFERROR(HD162/'McDonough &amp; Sun 1995 values'!O$2,)</f>
        <v>0</v>
      </c>
      <c r="IG162" s="4">
        <f>IFERROR(HE162/'McDonough &amp; Sun 1995 values'!P$2,)</f>
        <v>0</v>
      </c>
      <c r="IH162" s="4">
        <f>IFERROR(HF162/'McDonough &amp; Sun 1995 values'!Q$2,)</f>
        <v>0</v>
      </c>
      <c r="II162" s="4">
        <f>IFERROR(HG162/'McDonough &amp; Sun 1995 values'!R$2,)</f>
        <v>0</v>
      </c>
      <c r="IJ162" s="4">
        <f>IFERROR(HH162/'McDonough &amp; Sun 1995 values'!S$2,)</f>
        <v>0</v>
      </c>
      <c r="IK162" s="4">
        <f>IFERROR(HI162/'McDonough &amp; Sun 1995 values'!T$2,)</f>
        <v>0</v>
      </c>
      <c r="IL162" s="4">
        <f>IFERROR(HJ162/'McDonough &amp; Sun 1995 values'!U$2,)</f>
        <v>0</v>
      </c>
      <c r="IM162" s="4">
        <f>IFERROR(HK162/'McDonough &amp; Sun 1995 values'!V$2,)</f>
        <v>0</v>
      </c>
      <c r="IN162" s="4">
        <f>IFERROR(HL162/'McDonough &amp; Sun 1995 values'!W$2,)</f>
        <v>0</v>
      </c>
      <c r="IO162" s="4">
        <f>IFERROR(HM162/'McDonough &amp; Sun 1995 values'!X$2,)</f>
        <v>0</v>
      </c>
      <c r="IP162" s="4">
        <f>IFERROR(HN162/'McDonough &amp; Sun 1995 values'!Y$2,)</f>
        <v>0</v>
      </c>
      <c r="IQ162" s="4">
        <f>IFERROR(HO162/'McDonough &amp; Sun 1995 values'!Z$2,)</f>
        <v>0</v>
      </c>
      <c r="IR162" s="4">
        <f>IFERROR(HP162/'McDonough &amp; Sun 1995 values'!AA$2,)</f>
        <v>0</v>
      </c>
      <c r="IS162" s="4">
        <f>IFERROR(HQ162/'McDonough &amp; Sun 1995 values'!AB$2,)</f>
        <v>0</v>
      </c>
      <c r="IT162" s="4">
        <f>IFERROR(HR162/'McDonough &amp; Sun 1995 values'!AC$2,)</f>
        <v>0</v>
      </c>
    </row>
    <row r="163" spans="1:254">
      <c r="A163" s="16" t="s">
        <v>1396</v>
      </c>
      <c r="B163" s="16" t="s">
        <v>24</v>
      </c>
      <c r="C163" s="16" t="str">
        <f t="shared" si="304"/>
        <v>saline</v>
      </c>
      <c r="D163" s="16" t="s">
        <v>119</v>
      </c>
      <c r="E163" s="16" t="s">
        <v>171</v>
      </c>
      <c r="F163" s="16" t="s">
        <v>120</v>
      </c>
      <c r="G163" s="16" t="s">
        <v>595</v>
      </c>
      <c r="H163" s="27">
        <v>53</v>
      </c>
      <c r="I163" s="16" t="s">
        <v>712</v>
      </c>
      <c r="J163" s="16" t="s">
        <v>1318</v>
      </c>
      <c r="K163" s="16" t="s">
        <v>968</v>
      </c>
      <c r="L163" s="16">
        <v>0</v>
      </c>
      <c r="M163" s="16" t="s">
        <v>1482</v>
      </c>
      <c r="N163" s="16">
        <v>30</v>
      </c>
      <c r="O163" s="26">
        <v>3.5</v>
      </c>
      <c r="P163" s="26"/>
      <c r="Q163" s="26"/>
      <c r="R163" s="26">
        <v>0.8</v>
      </c>
      <c r="S163" s="26">
        <v>18.899999999999999</v>
      </c>
      <c r="T163" s="26">
        <v>4.9000000000000004</v>
      </c>
      <c r="U163" s="26"/>
      <c r="V163" s="26">
        <v>9</v>
      </c>
      <c r="W163" s="26">
        <v>9</v>
      </c>
      <c r="X163" s="26">
        <v>19.899999999999999</v>
      </c>
      <c r="Y163" s="26"/>
      <c r="Z163" s="26"/>
      <c r="AA163" s="26"/>
      <c r="AB163" s="26">
        <v>12</v>
      </c>
      <c r="AC163" s="26"/>
      <c r="AD163" s="26">
        <v>21.4</v>
      </c>
      <c r="AE163" s="26"/>
      <c r="AF163" s="26"/>
      <c r="AG163" s="26"/>
      <c r="AH163" s="26"/>
      <c r="AI163" s="26">
        <v>16.600000000000001</v>
      </c>
      <c r="AJ163" s="26">
        <f t="shared" si="305"/>
        <v>99.4</v>
      </c>
      <c r="AK163" s="26">
        <f t="shared" si="365"/>
        <v>3.7009363078033606</v>
      </c>
      <c r="AL163" s="26">
        <f t="shared" si="366"/>
        <v>0</v>
      </c>
      <c r="AM163" s="26">
        <f t="shared" si="367"/>
        <v>0.84592829892648236</v>
      </c>
      <c r="AN163" s="26">
        <f t="shared" si="368"/>
        <v>19.985056062138142</v>
      </c>
      <c r="AO163" s="26">
        <f t="shared" si="369"/>
        <v>5.1813108309247049</v>
      </c>
      <c r="AP163" s="26">
        <f t="shared" si="370"/>
        <v>9.5166933629229256</v>
      </c>
      <c r="AQ163" s="26">
        <f t="shared" si="371"/>
        <v>12.688924483897235</v>
      </c>
      <c r="AR163" s="26">
        <f t="shared" si="372"/>
        <v>9.5166933629229256</v>
      </c>
      <c r="AS163" s="26">
        <f t="shared" si="373"/>
        <v>21.042466435796246</v>
      </c>
      <c r="AT163" s="26">
        <f t="shared" si="374"/>
        <v>0</v>
      </c>
      <c r="AU163" s="26">
        <f t="shared" si="375"/>
        <v>22.628581996283401</v>
      </c>
      <c r="AV163" s="26">
        <f t="shared" si="306"/>
        <v>105.10659114161541</v>
      </c>
      <c r="AW163" s="101"/>
      <c r="AX163" s="101"/>
      <c r="AY163" s="101"/>
      <c r="AZ163" s="93"/>
      <c r="BA163" s="103"/>
      <c r="BB163" s="107"/>
      <c r="BC163" s="26"/>
      <c r="BD163" s="26"/>
      <c r="BE163" s="16"/>
      <c r="BF163" s="16"/>
      <c r="BG163" s="16"/>
      <c r="BH163" s="16">
        <v>8</v>
      </c>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v>0.77700000000000002</v>
      </c>
      <c r="CI163" s="16">
        <v>2.6630000000000003</v>
      </c>
      <c r="CJ163" s="16">
        <v>8.0000000000000002E-3</v>
      </c>
      <c r="CK163" s="16">
        <v>0.114</v>
      </c>
      <c r="CL163" s="16"/>
      <c r="CM163" s="16">
        <v>6.3500000000000001E-2</v>
      </c>
      <c r="CN163" s="16"/>
      <c r="CO163" s="16"/>
      <c r="CP163" s="16"/>
      <c r="CQ163" s="16"/>
      <c r="CR163" s="16"/>
      <c r="CS163" s="16">
        <v>166.05</v>
      </c>
      <c r="CT163" s="16"/>
      <c r="CU163" s="16">
        <v>0.4355</v>
      </c>
      <c r="CV163" s="16">
        <v>0.3175</v>
      </c>
      <c r="CW163" s="16">
        <v>2.8500000000000001E-2</v>
      </c>
      <c r="CX163" s="16">
        <v>8.8999999999999996E-2</v>
      </c>
      <c r="CY163" s="16">
        <v>4.0000000000000001E-3</v>
      </c>
      <c r="CZ163" s="16">
        <v>3.0000000000000001E-3</v>
      </c>
      <c r="DA163" s="16">
        <v>4.0000000000000001E-3</v>
      </c>
      <c r="DB163" s="16"/>
      <c r="DC163" s="16"/>
      <c r="DD163" s="16"/>
      <c r="DE163" s="16"/>
      <c r="DF163" s="16"/>
      <c r="DG163" s="16"/>
      <c r="DH163" s="16">
        <v>4.0000000000000001E-3</v>
      </c>
      <c r="DI163" s="16"/>
      <c r="DJ163" s="16"/>
      <c r="DK163" s="16">
        <v>0.8879999999999999</v>
      </c>
      <c r="DL163" s="16">
        <v>0.75600000000000001</v>
      </c>
      <c r="DM163" s="16">
        <v>3.4000000000000002E-2</v>
      </c>
      <c r="DN163" s="16"/>
      <c r="DO163" s="16"/>
      <c r="DP163" s="16"/>
      <c r="DQ163" s="16"/>
      <c r="DR163" s="16"/>
      <c r="DS163" s="16"/>
      <c r="DT163" s="16"/>
      <c r="DU163" s="16"/>
      <c r="DV163" s="31"/>
      <c r="DW163" s="31"/>
      <c r="DX163" s="31"/>
      <c r="DY163" s="31"/>
      <c r="DZ163" s="30"/>
      <c r="EA163" s="27"/>
      <c r="EB163" s="27"/>
      <c r="EC163" s="27"/>
      <c r="ED163" s="27"/>
      <c r="EE163" s="27"/>
      <c r="EF163" s="27"/>
      <c r="EG163" s="27"/>
      <c r="EH163" s="27"/>
      <c r="EI163" s="27"/>
      <c r="EJ163" s="16"/>
      <c r="EK163" s="18"/>
      <c r="EL163" s="18">
        <f>IFERROR(CR163/'McDonough &amp; Sun 1995 values'!C$2,)</f>
        <v>0</v>
      </c>
      <c r="EM163" s="18">
        <f>IFERROR(CH163/'McDonough &amp; Sun 1995 values'!D$2,)</f>
        <v>1.2950000000000002</v>
      </c>
      <c r="EN163" s="18">
        <f>IFERROR(CS163/'McDonough &amp; Sun 1995 values'!E$2,)</f>
        <v>25.159090909090914</v>
      </c>
      <c r="EO163" s="18">
        <f>IFERROR(DL163/'McDonough &amp; Sun 1995 values'!F$2,)</f>
        <v>9.5094339622641506</v>
      </c>
      <c r="EP163" s="18">
        <f>IFERROR(DM163/'McDonough &amp; Sun 1995 values'!G$2,)</f>
        <v>1.6748768472906406</v>
      </c>
      <c r="EQ163" s="18">
        <f>IFERROR(BR163/'McDonough &amp; Sun 1995 values'!H$2,)</f>
        <v>0</v>
      </c>
      <c r="ER163" s="18">
        <f>IFERROR(DI163/'McDonough &amp; Sun 1995 values'!I$2,)</f>
        <v>0</v>
      </c>
      <c r="ES163" s="18">
        <f>IFERROR(CM163/'McDonough &amp; Sun 1995 values'!J$2,)</f>
        <v>9.650455927051671E-2</v>
      </c>
      <c r="ET163" s="18">
        <f>IFERROR(CU163/'McDonough &amp; Sun 1995 values'!K$2,)</f>
        <v>0.67206790123456783</v>
      </c>
      <c r="EU163" s="18">
        <f>IFERROR(CV163/'McDonough &amp; Sun 1995 values'!L$2,)</f>
        <v>0.18955223880597014</v>
      </c>
      <c r="EV163" s="18">
        <f>IFERROR(CW163/'McDonough &amp; Sun 1995 values'!M$2,)</f>
        <v>0.11220472440944883</v>
      </c>
      <c r="EW163" s="18">
        <f>IFERROR(CI163/'McDonough &amp; Sun 1995 values'!N$2,)</f>
        <v>0.13381909547738696</v>
      </c>
      <c r="EX163" s="18">
        <f>IFERROR(CX163/'McDonough &amp; Sun 1995 values'!O$2,)</f>
        <v>7.1199999999999999E-2</v>
      </c>
      <c r="EY163" s="18">
        <f>IFERROR(CY163/'McDonough &amp; Sun 1995 values'!P$2,)</f>
        <v>9.852216748768473E-3</v>
      </c>
      <c r="EZ163" s="18">
        <f>IFERROR(DH163/'McDonough &amp; Sun 1995 values'!Q$2,)</f>
        <v>1.413427561837456E-2</v>
      </c>
      <c r="FA163" s="18">
        <f>IFERROR(CK163/'McDonough &amp; Sun 1995 values'!R$2,)</f>
        <v>1.0857142857142857E-2</v>
      </c>
      <c r="FB163" s="18">
        <f>IFERROR(CZ163/'McDonough &amp; Sun 1995 values'!S$2,)</f>
        <v>1.948051948051948E-2</v>
      </c>
      <c r="FC163" s="18">
        <f>IFERROR(BT163/'McDonough &amp; Sun 1995 values'!T$2,)</f>
        <v>0</v>
      </c>
      <c r="FD163" s="18">
        <f>IFERROR(DA163/'McDonough &amp; Sun 1995 values'!U$2,)</f>
        <v>7.3529411764705881E-3</v>
      </c>
      <c r="FE163" s="18">
        <f>IFERROR(DN163/'McDonough &amp; Sun 1995 values'!V$2,)</f>
        <v>0</v>
      </c>
      <c r="FF163" s="18">
        <f>IFERROR(DB163/'McDonough &amp; Sun 1995 values'!W$2,)</f>
        <v>0</v>
      </c>
      <c r="FG163" s="18">
        <f>IFERROR(CJ163/'McDonough &amp; Sun 1995 values'!X$2,)</f>
        <v>1.8604651162790699E-3</v>
      </c>
      <c r="FH163" s="18">
        <f>IFERROR(DC163/'McDonough &amp; Sun 1995 values'!Y$2,)</f>
        <v>0</v>
      </c>
      <c r="FI163" s="18">
        <f>IFERROR(DD163/'McDonough &amp; Sun 1995 values'!Z$2,)</f>
        <v>0</v>
      </c>
      <c r="FJ163" s="18">
        <f>IFERROR(DE163/'McDonough &amp; Sun 1995 values'!AA$2,)</f>
        <v>0</v>
      </c>
      <c r="FK163" s="18">
        <f>IFERROR(DF163/'McDonough &amp; Sun 1995 values'!AB$2,)</f>
        <v>0</v>
      </c>
      <c r="FL163" s="18">
        <f>IFERROR(DG163/'McDonough &amp; Sun 1995 values'!AC$2,)</f>
        <v>0</v>
      </c>
      <c r="FM163" s="16"/>
      <c r="FN163" s="28">
        <f t="shared" si="299"/>
        <v>0</v>
      </c>
      <c r="FO163" s="4">
        <f t="shared" si="309"/>
        <v>15.021457219251339</v>
      </c>
      <c r="FP163" s="4">
        <f t="shared" si="310"/>
        <v>98.538701530233254</v>
      </c>
      <c r="FQ163" s="4">
        <f t="shared" si="311"/>
        <v>5.6776914539400654</v>
      </c>
      <c r="FR163" s="4">
        <f t="shared" si="312"/>
        <v>6.964105181296782</v>
      </c>
      <c r="FS163" s="4">
        <f t="shared" si="313"/>
        <v>0</v>
      </c>
      <c r="FT163" s="4">
        <f t="shared" si="314"/>
        <v>0</v>
      </c>
      <c r="FU163" s="4">
        <f t="shared" si="315"/>
        <v>0</v>
      </c>
      <c r="FV163" s="4">
        <f t="shared" si="316"/>
        <v>1.1019999999999999</v>
      </c>
      <c r="FW163" s="4">
        <f t="shared" si="317"/>
        <v>0.76814285714285702</v>
      </c>
      <c r="FX163" s="4">
        <f t="shared" si="318"/>
        <v>2.2644976076555023</v>
      </c>
      <c r="FY163" s="4">
        <f t="shared" si="319"/>
        <v>1.4971748445672701</v>
      </c>
      <c r="FZ163" s="4">
        <f t="shared" si="320"/>
        <v>2.2887745157492754</v>
      </c>
      <c r="GA163" s="4">
        <f t="shared" si="321"/>
        <v>1.1926333421493434</v>
      </c>
      <c r="GB163" s="4">
        <f t="shared" si="322"/>
        <v>1.9772727272727273</v>
      </c>
      <c r="GC163" s="4">
        <f t="shared" si="323"/>
        <v>0</v>
      </c>
      <c r="GD163" s="4">
        <f t="shared" si="324"/>
        <v>2.6456980519480524</v>
      </c>
      <c r="GE163" s="4">
        <f t="shared" si="325"/>
        <v>19.427869427869428</v>
      </c>
      <c r="GF163" s="4">
        <f t="shared" si="326"/>
        <v>0</v>
      </c>
      <c r="GG163" s="4">
        <f t="shared" si="327"/>
        <v>260.70365068002872</v>
      </c>
      <c r="GH163" s="4">
        <f t="shared" si="328"/>
        <v>5.9896577864414109</v>
      </c>
      <c r="GI163" s="4">
        <f t="shared" si="329"/>
        <v>68.214891975308632</v>
      </c>
      <c r="GJ163" s="4">
        <f t="shared" si="330"/>
        <v>0</v>
      </c>
      <c r="GK163" s="4">
        <f t="shared" si="331"/>
        <v>0</v>
      </c>
      <c r="GL163" s="4">
        <f t="shared" si="332"/>
        <v>0</v>
      </c>
      <c r="GM163" s="4">
        <f t="shared" si="333"/>
        <v>7.3431922488526249</v>
      </c>
      <c r="GN163" s="4">
        <f t="shared" si="334"/>
        <v>0.14359346591801339</v>
      </c>
      <c r="GO163" s="4">
        <f t="shared" si="335"/>
        <v>5.761889862327909E-2</v>
      </c>
      <c r="GP163" s="4">
        <f t="shared" si="336"/>
        <v>0</v>
      </c>
      <c r="GQ163" s="27">
        <f t="shared" si="337"/>
        <v>174681.36371466724</v>
      </c>
      <c r="GR163" s="28" t="str">
        <f t="shared" si="338"/>
        <v/>
      </c>
      <c r="GS163" s="28" t="str">
        <f t="shared" si="339"/>
        <v/>
      </c>
      <c r="GT163" s="28" t="str">
        <f t="shared" si="340"/>
        <v/>
      </c>
      <c r="GU163" s="28" t="str">
        <f t="shared" si="341"/>
        <v/>
      </c>
      <c r="GV163" s="28" t="str">
        <f t="shared" si="342"/>
        <v/>
      </c>
      <c r="GW163" s="28" t="str">
        <f t="shared" si="343"/>
        <v/>
      </c>
      <c r="GX163" s="28" t="str">
        <f t="shared" si="344"/>
        <v/>
      </c>
      <c r="GY163" s="28" t="str">
        <f t="shared" si="345"/>
        <v/>
      </c>
      <c r="GZ163" s="28" t="str">
        <f t="shared" si="346"/>
        <v/>
      </c>
      <c r="HA163" s="28" t="str">
        <f t="shared" si="347"/>
        <v/>
      </c>
      <c r="HB163" s="28" t="str">
        <f t="shared" si="348"/>
        <v/>
      </c>
      <c r="HC163" s="28" t="str">
        <f t="shared" si="349"/>
        <v/>
      </c>
      <c r="HD163" s="28" t="str">
        <f t="shared" si="350"/>
        <v/>
      </c>
      <c r="HE163" s="28" t="str">
        <f t="shared" si="351"/>
        <v/>
      </c>
      <c r="HF163" s="28" t="str">
        <f t="shared" si="352"/>
        <v/>
      </c>
      <c r="HG163" s="28" t="str">
        <f t="shared" si="353"/>
        <v/>
      </c>
      <c r="HH163" s="28" t="str">
        <f t="shared" si="354"/>
        <v/>
      </c>
      <c r="HI163" s="28" t="str">
        <f t="shared" si="355"/>
        <v/>
      </c>
      <c r="HJ163" s="28" t="str">
        <f t="shared" si="356"/>
        <v/>
      </c>
      <c r="HK163" s="28" t="str">
        <f t="shared" si="357"/>
        <v/>
      </c>
      <c r="HL163" s="28" t="str">
        <f t="shared" si="358"/>
        <v/>
      </c>
      <c r="HM163" s="28" t="str">
        <f t="shared" si="359"/>
        <v/>
      </c>
      <c r="HN163" s="28" t="str">
        <f t="shared" si="360"/>
        <v/>
      </c>
      <c r="HO163" s="28" t="str">
        <f t="shared" si="361"/>
        <v/>
      </c>
      <c r="HP163" s="28" t="str">
        <f t="shared" si="362"/>
        <v/>
      </c>
      <c r="HQ163" s="28" t="str">
        <f t="shared" si="363"/>
        <v/>
      </c>
      <c r="HR163" s="28" t="str">
        <f t="shared" si="364"/>
        <v/>
      </c>
      <c r="HT163" s="4">
        <f>IFERROR(GR163/'McDonough &amp; Sun 1995 values'!C$2,)</f>
        <v>0</v>
      </c>
      <c r="HU163" s="4">
        <f>IFERROR(GS163/'McDonough &amp; Sun 1995 values'!D$2,)</f>
        <v>0</v>
      </c>
      <c r="HV163" s="4">
        <f>IFERROR(GT163/'McDonough &amp; Sun 1995 values'!E$2,)</f>
        <v>0</v>
      </c>
      <c r="HW163" s="4">
        <f>IFERROR(GU163/'McDonough &amp; Sun 1995 values'!F$2,)</f>
        <v>0</v>
      </c>
      <c r="HX163" s="4">
        <f>IFERROR(GV163/'McDonough &amp; Sun 1995 values'!G$2,)</f>
        <v>0</v>
      </c>
      <c r="HY163" s="4">
        <f>IFERROR(GW163/'McDonough &amp; Sun 1995 values'!H$2,)</f>
        <v>0</v>
      </c>
      <c r="HZ163" s="4">
        <f>IFERROR(GX163/'McDonough &amp; Sun 1995 values'!I$2,)</f>
        <v>0</v>
      </c>
      <c r="IA163" s="4">
        <f>IFERROR(GY163/'McDonough &amp; Sun 1995 values'!J$2,)</f>
        <v>0</v>
      </c>
      <c r="IB163" s="4">
        <f>IFERROR(GZ163/'McDonough &amp; Sun 1995 values'!K$2,)</f>
        <v>0</v>
      </c>
      <c r="IC163" s="4">
        <f>IFERROR(HA163/'McDonough &amp; Sun 1995 values'!L$2,)</f>
        <v>0</v>
      </c>
      <c r="ID163" s="4">
        <f>IFERROR(HB163/'McDonough &amp; Sun 1995 values'!M$2,)</f>
        <v>0</v>
      </c>
      <c r="IE163" s="4">
        <f>IFERROR(HC163/'McDonough &amp; Sun 1995 values'!N$2,)</f>
        <v>0</v>
      </c>
      <c r="IF163" s="4">
        <f>IFERROR(HD163/'McDonough &amp; Sun 1995 values'!O$2,)</f>
        <v>0</v>
      </c>
      <c r="IG163" s="4">
        <f>IFERROR(HE163/'McDonough &amp; Sun 1995 values'!P$2,)</f>
        <v>0</v>
      </c>
      <c r="IH163" s="4">
        <f>IFERROR(HF163/'McDonough &amp; Sun 1995 values'!Q$2,)</f>
        <v>0</v>
      </c>
      <c r="II163" s="4">
        <f>IFERROR(HG163/'McDonough &amp; Sun 1995 values'!R$2,)</f>
        <v>0</v>
      </c>
      <c r="IJ163" s="4">
        <f>IFERROR(HH163/'McDonough &amp; Sun 1995 values'!S$2,)</f>
        <v>0</v>
      </c>
      <c r="IK163" s="4">
        <f>IFERROR(HI163/'McDonough &amp; Sun 1995 values'!T$2,)</f>
        <v>0</v>
      </c>
      <c r="IL163" s="4">
        <f>IFERROR(HJ163/'McDonough &amp; Sun 1995 values'!U$2,)</f>
        <v>0</v>
      </c>
      <c r="IM163" s="4">
        <f>IFERROR(HK163/'McDonough &amp; Sun 1995 values'!V$2,)</f>
        <v>0</v>
      </c>
      <c r="IN163" s="4">
        <f>IFERROR(HL163/'McDonough &amp; Sun 1995 values'!W$2,)</f>
        <v>0</v>
      </c>
      <c r="IO163" s="4">
        <f>IFERROR(HM163/'McDonough &amp; Sun 1995 values'!X$2,)</f>
        <v>0</v>
      </c>
      <c r="IP163" s="4">
        <f>IFERROR(HN163/'McDonough &amp; Sun 1995 values'!Y$2,)</f>
        <v>0</v>
      </c>
      <c r="IQ163" s="4">
        <f>IFERROR(HO163/'McDonough &amp; Sun 1995 values'!Z$2,)</f>
        <v>0</v>
      </c>
      <c r="IR163" s="4">
        <f>IFERROR(HP163/'McDonough &amp; Sun 1995 values'!AA$2,)</f>
        <v>0</v>
      </c>
      <c r="IS163" s="4">
        <f>IFERROR(HQ163/'McDonough &amp; Sun 1995 values'!AB$2,)</f>
        <v>0</v>
      </c>
      <c r="IT163" s="4">
        <f>IFERROR(HR163/'McDonough &amp; Sun 1995 values'!AC$2,)</f>
        <v>0</v>
      </c>
    </row>
    <row r="164" spans="1:254">
      <c r="A164" s="16" t="s">
        <v>1396</v>
      </c>
      <c r="B164" s="16" t="s">
        <v>24</v>
      </c>
      <c r="C164" s="16" t="str">
        <f t="shared" si="304"/>
        <v>saline</v>
      </c>
      <c r="D164" s="16" t="s">
        <v>119</v>
      </c>
      <c r="E164" s="16" t="s">
        <v>171</v>
      </c>
      <c r="F164" s="16" t="s">
        <v>120</v>
      </c>
      <c r="G164" s="16" t="s">
        <v>595</v>
      </c>
      <c r="H164" s="27">
        <v>53</v>
      </c>
      <c r="I164" s="16" t="s">
        <v>712</v>
      </c>
      <c r="J164" s="16" t="s">
        <v>1318</v>
      </c>
      <c r="K164" s="16" t="s">
        <v>968</v>
      </c>
      <c r="L164" s="16">
        <v>0</v>
      </c>
      <c r="M164" s="16" t="s">
        <v>1481</v>
      </c>
      <c r="N164" s="16">
        <v>20</v>
      </c>
      <c r="O164" s="26">
        <v>4.5</v>
      </c>
      <c r="P164" s="26">
        <v>6.1</v>
      </c>
      <c r="Q164" s="26"/>
      <c r="R164" s="26"/>
      <c r="S164" s="26">
        <v>13.6</v>
      </c>
      <c r="T164" s="26">
        <v>5.5</v>
      </c>
      <c r="U164" s="26"/>
      <c r="V164" s="26">
        <v>7.4</v>
      </c>
      <c r="W164" s="26">
        <v>11.8</v>
      </c>
      <c r="X164" s="26">
        <v>22.4</v>
      </c>
      <c r="Y164" s="26"/>
      <c r="Z164" s="26"/>
      <c r="AA164" s="26"/>
      <c r="AB164" s="26">
        <v>11.9</v>
      </c>
      <c r="AC164" s="26"/>
      <c r="AD164" s="26">
        <v>26.6</v>
      </c>
      <c r="AE164" s="26"/>
      <c r="AF164" s="26"/>
      <c r="AG164" s="26"/>
      <c r="AH164" s="26"/>
      <c r="AI164" s="26">
        <v>18.600000000000001</v>
      </c>
      <c r="AJ164" s="26">
        <f t="shared" si="305"/>
        <v>109.80000000000001</v>
      </c>
      <c r="AK164" s="26">
        <f t="shared" si="365"/>
        <v>4.3353779340745344</v>
      </c>
      <c r="AL164" s="26">
        <f t="shared" si="366"/>
        <v>5.8768456439677017</v>
      </c>
      <c r="AM164" s="26">
        <f t="shared" si="367"/>
        <v>0</v>
      </c>
      <c r="AN164" s="26">
        <f t="shared" si="368"/>
        <v>13.102475534091926</v>
      </c>
      <c r="AO164" s="26">
        <f t="shared" si="369"/>
        <v>5.2987952527577642</v>
      </c>
      <c r="AP164" s="26">
        <f t="shared" si="370"/>
        <v>7.1292881582559016</v>
      </c>
      <c r="AQ164" s="26">
        <f t="shared" si="371"/>
        <v>11.464666092330436</v>
      </c>
      <c r="AR164" s="26">
        <f t="shared" si="372"/>
        <v>11.368324360462113</v>
      </c>
      <c r="AS164" s="26">
        <f t="shared" si="373"/>
        <v>21.580547938504349</v>
      </c>
      <c r="AT164" s="26">
        <f t="shared" si="374"/>
        <v>0</v>
      </c>
      <c r="AU164" s="26">
        <f t="shared" si="375"/>
        <v>25.626900676973918</v>
      </c>
      <c r="AV164" s="26">
        <f t="shared" si="306"/>
        <v>105.78322159141865</v>
      </c>
      <c r="AW164" s="93"/>
      <c r="AX164" s="93"/>
      <c r="AY164" s="93"/>
      <c r="AZ164" s="93"/>
      <c r="BA164" s="103"/>
      <c r="BB164" s="107"/>
      <c r="BC164" s="26"/>
      <c r="BD164" s="26"/>
      <c r="BE164" s="16"/>
      <c r="BF164" s="16"/>
      <c r="BG164" s="16"/>
      <c r="BH164" s="16">
        <v>3</v>
      </c>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v>0.39500000000000002</v>
      </c>
      <c r="CI164" s="16">
        <v>2.0960000000000001</v>
      </c>
      <c r="CJ164" s="16">
        <v>6.0000000000000001E-3</v>
      </c>
      <c r="CK164" s="16">
        <v>4.2999999999999997E-2</v>
      </c>
      <c r="CL164" s="16"/>
      <c r="CM164" s="16">
        <v>8.1499999999999989E-2</v>
      </c>
      <c r="CN164" s="16"/>
      <c r="CO164" s="16"/>
      <c r="CP164" s="16"/>
      <c r="CQ164" s="16"/>
      <c r="CR164" s="16"/>
      <c r="CS164" s="16">
        <v>86.17</v>
      </c>
      <c r="CT164" s="16"/>
      <c r="CU164" s="16">
        <v>0.39850000000000002</v>
      </c>
      <c r="CV164" s="16">
        <v>0.29500000000000004</v>
      </c>
      <c r="CW164" s="16">
        <v>1.6E-2</v>
      </c>
      <c r="CX164" s="16">
        <v>3.2000000000000001E-2</v>
      </c>
      <c r="CY164" s="16"/>
      <c r="CZ164" s="16">
        <v>1E-3</v>
      </c>
      <c r="DA164" s="16">
        <v>1E-3</v>
      </c>
      <c r="DB164" s="16"/>
      <c r="DC164" s="16"/>
      <c r="DD164" s="16"/>
      <c r="DE164" s="16"/>
      <c r="DF164" s="16"/>
      <c r="DG164" s="16"/>
      <c r="DH164" s="16">
        <v>2E-3</v>
      </c>
      <c r="DI164" s="16"/>
      <c r="DJ164" s="16"/>
      <c r="DK164" s="16">
        <v>0.36750000000000005</v>
      </c>
      <c r="DL164" s="16">
        <v>0.21299999999999997</v>
      </c>
      <c r="DM164" s="16">
        <v>1.2E-2</v>
      </c>
      <c r="DN164" s="16"/>
      <c r="DO164" s="16"/>
      <c r="DP164" s="16"/>
      <c r="DQ164" s="16"/>
      <c r="DR164" s="16"/>
      <c r="DS164" s="16"/>
      <c r="DT164" s="16"/>
      <c r="DU164" s="16"/>
      <c r="DV164" s="31"/>
      <c r="DW164" s="31"/>
      <c r="DX164" s="31"/>
      <c r="DY164" s="31"/>
      <c r="DZ164" s="30"/>
      <c r="EA164" s="27"/>
      <c r="EB164" s="27"/>
      <c r="EC164" s="27"/>
      <c r="ED164" s="27"/>
      <c r="EE164" s="27"/>
      <c r="EF164" s="27"/>
      <c r="EG164" s="27"/>
      <c r="EH164" s="27"/>
      <c r="EI164" s="27"/>
      <c r="EJ164" s="16"/>
      <c r="EK164" s="18"/>
      <c r="EL164" s="18">
        <f>IFERROR(CR164/'McDonough &amp; Sun 1995 values'!C$2,)</f>
        <v>0</v>
      </c>
      <c r="EM164" s="18">
        <f>IFERROR(CH164/'McDonough &amp; Sun 1995 values'!D$2,)</f>
        <v>0.65833333333333344</v>
      </c>
      <c r="EN164" s="18">
        <f>IFERROR(CS164/'McDonough &amp; Sun 1995 values'!E$2,)</f>
        <v>13.056060606060607</v>
      </c>
      <c r="EO164" s="18">
        <f>IFERROR(DL164/'McDonough &amp; Sun 1995 values'!F$2,)</f>
        <v>2.6792452830188673</v>
      </c>
      <c r="EP164" s="18">
        <f>IFERROR(DM164/'McDonough &amp; Sun 1995 values'!G$2,)</f>
        <v>0.59113300492610843</v>
      </c>
      <c r="EQ164" s="18">
        <f>IFERROR(BR164/'McDonough &amp; Sun 1995 values'!H$2,)</f>
        <v>0</v>
      </c>
      <c r="ER164" s="18">
        <f>IFERROR(DI164/'McDonough &amp; Sun 1995 values'!I$2,)</f>
        <v>0</v>
      </c>
      <c r="ES164" s="18">
        <f>IFERROR(CM164/'McDonough &amp; Sun 1995 values'!J$2,)</f>
        <v>0.12386018237082065</v>
      </c>
      <c r="ET164" s="18">
        <f>IFERROR(CU164/'McDonough &amp; Sun 1995 values'!K$2,)</f>
        <v>0.61496913580246915</v>
      </c>
      <c r="EU164" s="18">
        <f>IFERROR(CV164/'McDonough &amp; Sun 1995 values'!L$2,)</f>
        <v>0.17611940298507464</v>
      </c>
      <c r="EV164" s="18">
        <f>IFERROR(CW164/'McDonough &amp; Sun 1995 values'!M$2,)</f>
        <v>6.2992125984251968E-2</v>
      </c>
      <c r="EW164" s="18">
        <f>IFERROR(CI164/'McDonough &amp; Sun 1995 values'!N$2,)</f>
        <v>0.10532663316582916</v>
      </c>
      <c r="EX164" s="18">
        <f>IFERROR(CX164/'McDonough &amp; Sun 1995 values'!O$2,)</f>
        <v>2.5600000000000001E-2</v>
      </c>
      <c r="EY164" s="18">
        <f>IFERROR(CY164/'McDonough &amp; Sun 1995 values'!P$2,)</f>
        <v>0</v>
      </c>
      <c r="EZ164" s="18">
        <f>IFERROR(DH164/'McDonough &amp; Sun 1995 values'!Q$2,)</f>
        <v>7.0671378091872799E-3</v>
      </c>
      <c r="FA164" s="18">
        <f>IFERROR(CK164/'McDonough &amp; Sun 1995 values'!R$2,)</f>
        <v>4.0952380952380945E-3</v>
      </c>
      <c r="FB164" s="18">
        <f>IFERROR(CZ164/'McDonough &amp; Sun 1995 values'!S$2,)</f>
        <v>6.4935064935064939E-3</v>
      </c>
      <c r="FC164" s="18">
        <f>IFERROR(BT164/'McDonough &amp; Sun 1995 values'!T$2,)</f>
        <v>0</v>
      </c>
      <c r="FD164" s="18">
        <f>IFERROR(DA164/'McDonough &amp; Sun 1995 values'!U$2,)</f>
        <v>1.838235294117647E-3</v>
      </c>
      <c r="FE164" s="18">
        <f>IFERROR(DN164/'McDonough &amp; Sun 1995 values'!V$2,)</f>
        <v>0</v>
      </c>
      <c r="FF164" s="18">
        <f>IFERROR(DB164/'McDonough &amp; Sun 1995 values'!W$2,)</f>
        <v>0</v>
      </c>
      <c r="FG164" s="18">
        <f>IFERROR(CJ164/'McDonough &amp; Sun 1995 values'!X$2,)</f>
        <v>1.3953488372093023E-3</v>
      </c>
      <c r="FH164" s="18">
        <f>IFERROR(DC164/'McDonough &amp; Sun 1995 values'!Y$2,)</f>
        <v>0</v>
      </c>
      <c r="FI164" s="18">
        <f>IFERROR(DD164/'McDonough &amp; Sun 1995 values'!Z$2,)</f>
        <v>0</v>
      </c>
      <c r="FJ164" s="18">
        <f>IFERROR(DE164/'McDonough &amp; Sun 1995 values'!AA$2,)</f>
        <v>0</v>
      </c>
      <c r="FK164" s="18">
        <f>IFERROR(DF164/'McDonough &amp; Sun 1995 values'!AB$2,)</f>
        <v>0</v>
      </c>
      <c r="FL164" s="18">
        <f>IFERROR(DG164/'McDonough &amp; Sun 1995 values'!AC$2,)</f>
        <v>0</v>
      </c>
      <c r="FM164" s="16"/>
      <c r="FN164" s="28">
        <f t="shared" si="299"/>
        <v>0</v>
      </c>
      <c r="FO164" s="4">
        <f t="shared" si="309"/>
        <v>22.086502525252524</v>
      </c>
      <c r="FP164" s="4">
        <f t="shared" si="310"/>
        <v>21.631207315661534</v>
      </c>
      <c r="FQ164" s="4">
        <f t="shared" si="311"/>
        <v>4.5323899371069167</v>
      </c>
      <c r="FR164" s="4">
        <f t="shared" si="312"/>
        <v>4.9650268878285244</v>
      </c>
      <c r="FS164" s="4">
        <f t="shared" si="313"/>
        <v>0</v>
      </c>
      <c r="FT164" s="4">
        <f t="shared" si="314"/>
        <v>0</v>
      </c>
      <c r="FU164" s="4">
        <f t="shared" si="315"/>
        <v>0</v>
      </c>
      <c r="FV164" s="4">
        <f t="shared" si="316"/>
        <v>0</v>
      </c>
      <c r="FW164" s="4">
        <f t="shared" si="317"/>
        <v>0.57947619047619026</v>
      </c>
      <c r="FX164" s="4">
        <f t="shared" si="318"/>
        <v>7.0649350649350655</v>
      </c>
      <c r="FY164" s="4">
        <f t="shared" si="319"/>
        <v>2.6228598568049106</v>
      </c>
      <c r="FZ164" s="4">
        <f t="shared" si="320"/>
        <v>0</v>
      </c>
      <c r="GA164" s="4">
        <f t="shared" si="321"/>
        <v>1.6720603015075379</v>
      </c>
      <c r="GB164" s="4">
        <f t="shared" si="322"/>
        <v>0</v>
      </c>
      <c r="GC164" s="4">
        <f t="shared" si="323"/>
        <v>0</v>
      </c>
      <c r="GD164" s="4">
        <f t="shared" si="324"/>
        <v>4.8730367050789596</v>
      </c>
      <c r="GE164" s="4">
        <f t="shared" si="325"/>
        <v>19.831990794016107</v>
      </c>
      <c r="GF164" s="4">
        <f t="shared" si="326"/>
        <v>0</v>
      </c>
      <c r="GG164" s="4">
        <f t="shared" si="327"/>
        <v>105.40966722439117</v>
      </c>
      <c r="GH164" s="4">
        <f t="shared" si="328"/>
        <v>9.7626350308641978</v>
      </c>
      <c r="GI164" s="4">
        <f t="shared" si="329"/>
        <v>0</v>
      </c>
      <c r="GJ164" s="4">
        <f t="shared" si="330"/>
        <v>0</v>
      </c>
      <c r="GK164" s="4">
        <f t="shared" si="331"/>
        <v>0</v>
      </c>
      <c r="GL164" s="4">
        <f t="shared" si="332"/>
        <v>0</v>
      </c>
      <c r="GM164" s="4">
        <f t="shared" si="333"/>
        <v>4.0697396704084055</v>
      </c>
      <c r="GN164" s="4">
        <f t="shared" si="334"/>
        <v>0.20140877835957788</v>
      </c>
      <c r="GO164" s="4">
        <f t="shared" si="335"/>
        <v>0.20953014184397159</v>
      </c>
      <c r="GP164" s="4">
        <f t="shared" si="336"/>
        <v>0</v>
      </c>
      <c r="GQ164" s="27">
        <f t="shared" si="337"/>
        <v>179148.17899839242</v>
      </c>
      <c r="GR164" s="28" t="str">
        <f t="shared" si="338"/>
        <v/>
      </c>
      <c r="GS164" s="28" t="str">
        <f t="shared" si="339"/>
        <v/>
      </c>
      <c r="GT164" s="28" t="str">
        <f t="shared" si="340"/>
        <v/>
      </c>
      <c r="GU164" s="28" t="str">
        <f t="shared" si="341"/>
        <v/>
      </c>
      <c r="GV164" s="28" t="str">
        <f t="shared" si="342"/>
        <v/>
      </c>
      <c r="GW164" s="28" t="str">
        <f t="shared" si="343"/>
        <v/>
      </c>
      <c r="GX164" s="28" t="str">
        <f t="shared" si="344"/>
        <v/>
      </c>
      <c r="GY164" s="28" t="str">
        <f t="shared" si="345"/>
        <v/>
      </c>
      <c r="GZ164" s="28" t="str">
        <f t="shared" si="346"/>
        <v/>
      </c>
      <c r="HA164" s="28" t="str">
        <f t="shared" si="347"/>
        <v/>
      </c>
      <c r="HB164" s="28" t="str">
        <f t="shared" si="348"/>
        <v/>
      </c>
      <c r="HC164" s="28" t="str">
        <f t="shared" si="349"/>
        <v/>
      </c>
      <c r="HD164" s="28" t="str">
        <f t="shared" si="350"/>
        <v/>
      </c>
      <c r="HE164" s="28" t="str">
        <f t="shared" si="351"/>
        <v/>
      </c>
      <c r="HF164" s="28" t="str">
        <f t="shared" si="352"/>
        <v/>
      </c>
      <c r="HG164" s="28" t="str">
        <f t="shared" si="353"/>
        <v/>
      </c>
      <c r="HH164" s="28" t="str">
        <f t="shared" si="354"/>
        <v/>
      </c>
      <c r="HI164" s="28" t="str">
        <f t="shared" si="355"/>
        <v/>
      </c>
      <c r="HJ164" s="28" t="str">
        <f t="shared" si="356"/>
        <v/>
      </c>
      <c r="HK164" s="28" t="str">
        <f t="shared" si="357"/>
        <v/>
      </c>
      <c r="HL164" s="28" t="str">
        <f t="shared" si="358"/>
        <v/>
      </c>
      <c r="HM164" s="28" t="str">
        <f t="shared" si="359"/>
        <v/>
      </c>
      <c r="HN164" s="28" t="str">
        <f t="shared" si="360"/>
        <v/>
      </c>
      <c r="HO164" s="28" t="str">
        <f t="shared" si="361"/>
        <v/>
      </c>
      <c r="HP164" s="28" t="str">
        <f t="shared" si="362"/>
        <v/>
      </c>
      <c r="HQ164" s="28" t="str">
        <f t="shared" si="363"/>
        <v/>
      </c>
      <c r="HR164" s="28" t="str">
        <f t="shared" si="364"/>
        <v/>
      </c>
      <c r="HT164" s="4">
        <f>IFERROR(GR164/'McDonough &amp; Sun 1995 values'!C$2,)</f>
        <v>0</v>
      </c>
      <c r="HU164" s="4">
        <f>IFERROR(GS164/'McDonough &amp; Sun 1995 values'!D$2,)</f>
        <v>0</v>
      </c>
      <c r="HV164" s="4">
        <f>IFERROR(GT164/'McDonough &amp; Sun 1995 values'!E$2,)</f>
        <v>0</v>
      </c>
      <c r="HW164" s="4">
        <f>IFERROR(GU164/'McDonough &amp; Sun 1995 values'!F$2,)</f>
        <v>0</v>
      </c>
      <c r="HX164" s="4">
        <f>IFERROR(GV164/'McDonough &amp; Sun 1995 values'!G$2,)</f>
        <v>0</v>
      </c>
      <c r="HY164" s="4">
        <f>IFERROR(GW164/'McDonough &amp; Sun 1995 values'!H$2,)</f>
        <v>0</v>
      </c>
      <c r="HZ164" s="4">
        <f>IFERROR(GX164/'McDonough &amp; Sun 1995 values'!I$2,)</f>
        <v>0</v>
      </c>
      <c r="IA164" s="4">
        <f>IFERROR(GY164/'McDonough &amp; Sun 1995 values'!J$2,)</f>
        <v>0</v>
      </c>
      <c r="IB164" s="4">
        <f>IFERROR(GZ164/'McDonough &amp; Sun 1995 values'!K$2,)</f>
        <v>0</v>
      </c>
      <c r="IC164" s="4">
        <f>IFERROR(HA164/'McDonough &amp; Sun 1995 values'!L$2,)</f>
        <v>0</v>
      </c>
      <c r="ID164" s="4">
        <f>IFERROR(HB164/'McDonough &amp; Sun 1995 values'!M$2,)</f>
        <v>0</v>
      </c>
      <c r="IE164" s="4">
        <f>IFERROR(HC164/'McDonough &amp; Sun 1995 values'!N$2,)</f>
        <v>0</v>
      </c>
      <c r="IF164" s="4">
        <f>IFERROR(HD164/'McDonough &amp; Sun 1995 values'!O$2,)</f>
        <v>0</v>
      </c>
      <c r="IG164" s="4">
        <f>IFERROR(HE164/'McDonough &amp; Sun 1995 values'!P$2,)</f>
        <v>0</v>
      </c>
      <c r="IH164" s="4">
        <f>IFERROR(HF164/'McDonough &amp; Sun 1995 values'!Q$2,)</f>
        <v>0</v>
      </c>
      <c r="II164" s="4">
        <f>IFERROR(HG164/'McDonough &amp; Sun 1995 values'!R$2,)</f>
        <v>0</v>
      </c>
      <c r="IJ164" s="4">
        <f>IFERROR(HH164/'McDonough &amp; Sun 1995 values'!S$2,)</f>
        <v>0</v>
      </c>
      <c r="IK164" s="4">
        <f>IFERROR(HI164/'McDonough &amp; Sun 1995 values'!T$2,)</f>
        <v>0</v>
      </c>
      <c r="IL164" s="4">
        <f>IFERROR(HJ164/'McDonough &amp; Sun 1995 values'!U$2,)</f>
        <v>0</v>
      </c>
      <c r="IM164" s="4">
        <f>IFERROR(HK164/'McDonough &amp; Sun 1995 values'!V$2,)</f>
        <v>0</v>
      </c>
      <c r="IN164" s="4">
        <f>IFERROR(HL164/'McDonough &amp; Sun 1995 values'!W$2,)</f>
        <v>0</v>
      </c>
      <c r="IO164" s="4">
        <f>IFERROR(HM164/'McDonough &amp; Sun 1995 values'!X$2,)</f>
        <v>0</v>
      </c>
      <c r="IP164" s="4">
        <f>IFERROR(HN164/'McDonough &amp; Sun 1995 values'!Y$2,)</f>
        <v>0</v>
      </c>
      <c r="IQ164" s="4">
        <f>IFERROR(HO164/'McDonough &amp; Sun 1995 values'!Z$2,)</f>
        <v>0</v>
      </c>
      <c r="IR164" s="4">
        <f>IFERROR(HP164/'McDonough &amp; Sun 1995 values'!AA$2,)</f>
        <v>0</v>
      </c>
      <c r="IS164" s="4">
        <f>IFERROR(HQ164/'McDonough &amp; Sun 1995 values'!AB$2,)</f>
        <v>0</v>
      </c>
      <c r="IT164" s="4">
        <f>IFERROR(HR164/'McDonough &amp; Sun 1995 values'!AC$2,)</f>
        <v>0</v>
      </c>
    </row>
    <row r="165" spans="1:254">
      <c r="A165" s="16" t="s">
        <v>1180</v>
      </c>
      <c r="B165" s="16" t="s">
        <v>24</v>
      </c>
      <c r="C165" s="16" t="str">
        <f t="shared" si="304"/>
        <v>saline</v>
      </c>
      <c r="D165" s="16" t="s">
        <v>119</v>
      </c>
      <c r="E165" s="16" t="s">
        <v>171</v>
      </c>
      <c r="F165" s="16" t="s">
        <v>120</v>
      </c>
      <c r="G165" s="16" t="s">
        <v>595</v>
      </c>
      <c r="H165" s="27">
        <v>53</v>
      </c>
      <c r="I165" s="16" t="s">
        <v>712</v>
      </c>
      <c r="J165" s="16" t="s">
        <v>635</v>
      </c>
      <c r="K165" s="16" t="s">
        <v>968</v>
      </c>
      <c r="L165" s="16" t="s">
        <v>969</v>
      </c>
      <c r="M165" s="16" t="s">
        <v>121</v>
      </c>
      <c r="N165" s="16">
        <v>20</v>
      </c>
      <c r="O165" s="26">
        <v>3.1</v>
      </c>
      <c r="P165" s="26"/>
      <c r="Q165" s="26"/>
      <c r="R165" s="26">
        <v>0.8</v>
      </c>
      <c r="S165" s="26">
        <v>6.9</v>
      </c>
      <c r="T165" s="26">
        <v>3.3</v>
      </c>
      <c r="U165" s="26"/>
      <c r="V165" s="26">
        <v>4.9000000000000004</v>
      </c>
      <c r="W165" s="26">
        <v>4.5999999999999996</v>
      </c>
      <c r="X165" s="26">
        <v>27.9</v>
      </c>
      <c r="Y165" s="26"/>
      <c r="Z165" s="26"/>
      <c r="AA165" s="26"/>
      <c r="AB165" s="26">
        <v>17.2</v>
      </c>
      <c r="AC165" s="26"/>
      <c r="AD165" s="26">
        <v>29.2</v>
      </c>
      <c r="AE165" s="26"/>
      <c r="AF165" s="26"/>
      <c r="AG165" s="26"/>
      <c r="AH165" s="26"/>
      <c r="AI165" s="26">
        <v>6.1</v>
      </c>
      <c r="AJ165" s="26">
        <f t="shared" si="305"/>
        <v>97.9</v>
      </c>
      <c r="AK165" s="26">
        <f t="shared" si="365"/>
        <v>3.3950116699181789</v>
      </c>
      <c r="AL165" s="26">
        <f t="shared" si="366"/>
        <v>0</v>
      </c>
      <c r="AM165" s="26">
        <f t="shared" si="367"/>
        <v>0.87613204384985266</v>
      </c>
      <c r="AN165" s="26">
        <f t="shared" si="368"/>
        <v>7.5566388782049803</v>
      </c>
      <c r="AO165" s="26">
        <f t="shared" si="369"/>
        <v>3.6140446808806423</v>
      </c>
      <c r="AP165" s="26">
        <f t="shared" si="370"/>
        <v>5.3663087685803479</v>
      </c>
      <c r="AQ165" s="26">
        <f t="shared" si="371"/>
        <v>18.836838942771834</v>
      </c>
      <c r="AR165" s="26">
        <f t="shared" si="372"/>
        <v>5.0377592521366523</v>
      </c>
      <c r="AS165" s="26">
        <f t="shared" si="373"/>
        <v>30.555105029263611</v>
      </c>
      <c r="AT165" s="26">
        <f t="shared" si="374"/>
        <v>0</v>
      </c>
      <c r="AU165" s="26">
        <f t="shared" si="375"/>
        <v>31.978819600519621</v>
      </c>
      <c r="AV165" s="26">
        <f t="shared" si="306"/>
        <v>107.21665886612573</v>
      </c>
      <c r="AW165" s="16"/>
      <c r="AX165" s="16"/>
      <c r="AY165" s="16"/>
      <c r="AZ165" s="16"/>
      <c r="BA165" s="26"/>
      <c r="BB165" s="26"/>
      <c r="BC165" s="26"/>
      <c r="BD165" s="26"/>
      <c r="BE165" s="16"/>
      <c r="BF165" s="16"/>
      <c r="BG165" s="16">
        <v>1345</v>
      </c>
      <c r="BH165" s="16"/>
      <c r="BI165" s="16"/>
      <c r="BJ165" s="16"/>
      <c r="BK165" s="18"/>
      <c r="BL165" s="18"/>
      <c r="BM165" s="18"/>
      <c r="BN165" s="18"/>
      <c r="BO165" s="18"/>
      <c r="BP165" s="18"/>
      <c r="BQ165" s="18"/>
      <c r="BR165" s="18"/>
      <c r="BS165" s="18"/>
      <c r="BT165" s="18">
        <v>280</v>
      </c>
      <c r="BU165" s="18"/>
      <c r="BV165" s="18"/>
      <c r="BW165" s="18"/>
      <c r="BX165" s="18"/>
      <c r="BY165" s="18"/>
      <c r="BZ165" s="18"/>
      <c r="CA165" s="18"/>
      <c r="CB165" s="18"/>
      <c r="CC165" s="18"/>
      <c r="CD165" s="18"/>
      <c r="CE165" s="18"/>
      <c r="CF165" s="18"/>
      <c r="CG165" s="18"/>
      <c r="CH165" s="18">
        <v>5</v>
      </c>
      <c r="CI165" s="18">
        <v>250</v>
      </c>
      <c r="CJ165" s="18">
        <v>0.7</v>
      </c>
      <c r="CK165" s="18">
        <v>21</v>
      </c>
      <c r="CL165" s="18"/>
      <c r="CM165" s="18">
        <v>48</v>
      </c>
      <c r="CN165" s="18"/>
      <c r="CO165" s="18"/>
      <c r="CP165" s="18"/>
      <c r="CQ165" s="18"/>
      <c r="CR165" s="18"/>
      <c r="CS165" s="18">
        <v>530</v>
      </c>
      <c r="CT165" s="18"/>
      <c r="CU165" s="18">
        <v>124</v>
      </c>
      <c r="CV165" s="18">
        <v>81</v>
      </c>
      <c r="CW165" s="18">
        <v>4</v>
      </c>
      <c r="CX165" s="18">
        <v>10</v>
      </c>
      <c r="CY165" s="18">
        <v>0.9</v>
      </c>
      <c r="CZ165" s="18" t="s">
        <v>1157</v>
      </c>
      <c r="DA165" s="18"/>
      <c r="DB165" s="18" t="s">
        <v>1157</v>
      </c>
      <c r="DC165" s="18" t="s">
        <v>1157</v>
      </c>
      <c r="DD165" s="18" t="s">
        <v>1157</v>
      </c>
      <c r="DE165" s="18" t="s">
        <v>1157</v>
      </c>
      <c r="DF165" s="18" t="s">
        <v>1157</v>
      </c>
      <c r="DG165" s="18" t="s">
        <v>1157</v>
      </c>
      <c r="DH165" s="18"/>
      <c r="DI165" s="18">
        <v>2</v>
      </c>
      <c r="DJ165" s="18"/>
      <c r="DK165" s="18">
        <v>44</v>
      </c>
      <c r="DL165" s="18">
        <v>91</v>
      </c>
      <c r="DM165" s="18">
        <v>4</v>
      </c>
      <c r="DN165" s="18"/>
      <c r="DO165" s="18"/>
      <c r="DP165" s="18"/>
      <c r="DQ165" s="18"/>
      <c r="DR165" s="18"/>
      <c r="DS165" s="18"/>
      <c r="DT165" s="18"/>
      <c r="DU165" s="18"/>
      <c r="DV165" s="28"/>
      <c r="DW165" s="28"/>
      <c r="DX165" s="28"/>
      <c r="DY165" s="28"/>
      <c r="DZ165" s="28"/>
      <c r="EA165" s="28"/>
      <c r="EB165" s="28"/>
      <c r="EC165" s="28"/>
      <c r="ED165" s="28"/>
      <c r="EE165" s="28"/>
      <c r="EF165" s="28"/>
      <c r="EG165" s="28"/>
      <c r="EH165" s="28"/>
      <c r="EI165" s="28"/>
      <c r="EJ165" s="18"/>
      <c r="EK165" s="18"/>
      <c r="EL165" s="18">
        <f>IFERROR(CR165/'McDonough &amp; Sun 1995 values'!C$2,)</f>
        <v>0</v>
      </c>
      <c r="EM165" s="18">
        <f>IFERROR(CH165/'McDonough &amp; Sun 1995 values'!D$2,)</f>
        <v>8.3333333333333339</v>
      </c>
      <c r="EN165" s="18">
        <f>IFERROR(CS165/'McDonough &amp; Sun 1995 values'!E$2,)</f>
        <v>80.303030303030312</v>
      </c>
      <c r="EO165" s="18">
        <f>IFERROR(DL165/'McDonough &amp; Sun 1995 values'!F$2,)</f>
        <v>1144.6540880503144</v>
      </c>
      <c r="EP165" s="18">
        <f>IFERROR(DM165/'McDonough &amp; Sun 1995 values'!G$2,)</f>
        <v>197.04433497536948</v>
      </c>
      <c r="EQ165" s="18">
        <f>IFERROR(BR165/'McDonough &amp; Sun 1995 values'!H$2,)</f>
        <v>0</v>
      </c>
      <c r="ER165" s="18">
        <f>IFERROR(DI165/'McDonough &amp; Sun 1995 values'!I$2,)</f>
        <v>54.054054054054056</v>
      </c>
      <c r="ES165" s="18">
        <f>IFERROR(CM165/'McDonough &amp; Sun 1995 values'!J$2,)</f>
        <v>72.948328267477194</v>
      </c>
      <c r="ET165" s="18">
        <f>IFERROR(CU165/'McDonough &amp; Sun 1995 values'!K$2,)</f>
        <v>191.35802469135803</v>
      </c>
      <c r="EU165" s="18">
        <f>IFERROR(CV165/'McDonough &amp; Sun 1995 values'!L$2,)</f>
        <v>48.35820895522388</v>
      </c>
      <c r="EV165" s="18">
        <f>IFERROR(CW165/'McDonough &amp; Sun 1995 values'!M$2,)</f>
        <v>15.748031496062993</v>
      </c>
      <c r="EW165" s="18">
        <f>IFERROR(CI165/'McDonough &amp; Sun 1995 values'!N$2,)</f>
        <v>12.562814070351759</v>
      </c>
      <c r="EX165" s="18">
        <f>IFERROR(CX165/'McDonough &amp; Sun 1995 values'!O$2,)</f>
        <v>8</v>
      </c>
      <c r="EY165" s="18">
        <f>IFERROR(CY165/'McDonough &amp; Sun 1995 values'!P$2,)</f>
        <v>2.2167487684729061</v>
      </c>
      <c r="EZ165" s="18">
        <f>IFERROR(DH165/'McDonough &amp; Sun 1995 values'!Q$2,)</f>
        <v>0</v>
      </c>
      <c r="FA165" s="18">
        <f>IFERROR(CK165/'McDonough &amp; Sun 1995 values'!R$2,)</f>
        <v>2</v>
      </c>
      <c r="FB165" s="18">
        <f>IFERROR(CZ165/'McDonough &amp; Sun 1995 values'!S$2,)</f>
        <v>0</v>
      </c>
      <c r="FC165" s="18">
        <f>IFERROR(BT165/'McDonough &amp; Sun 1995 values'!T$2,)</f>
        <v>0.23236514522821577</v>
      </c>
      <c r="FD165" s="18">
        <f>IFERROR(DA165/'McDonough &amp; Sun 1995 values'!U$2,)</f>
        <v>0</v>
      </c>
      <c r="FE165" s="18">
        <f>IFERROR(DN165/'McDonough &amp; Sun 1995 values'!V$2,)</f>
        <v>0</v>
      </c>
      <c r="FF165" s="18">
        <f>IFERROR(DB165/'McDonough &amp; Sun 1995 values'!W$2,)</f>
        <v>0</v>
      </c>
      <c r="FG165" s="18">
        <f>IFERROR(CJ165/'McDonough &amp; Sun 1995 values'!X$2,)</f>
        <v>0.16279069767441859</v>
      </c>
      <c r="FH165" s="18">
        <f>IFERROR(DC165/'McDonough &amp; Sun 1995 values'!Y$2,)</f>
        <v>0</v>
      </c>
      <c r="FI165" s="18">
        <f>IFERROR(DD165/'McDonough &amp; Sun 1995 values'!Z$2,)</f>
        <v>0</v>
      </c>
      <c r="FJ165" s="18">
        <f>IFERROR(DE165/'McDonough &amp; Sun 1995 values'!AA$2,)</f>
        <v>0</v>
      </c>
      <c r="FK165" s="18">
        <f>IFERROR(DF165/'McDonough &amp; Sun 1995 values'!AB$2,)</f>
        <v>0</v>
      </c>
      <c r="FL165" s="18">
        <f>IFERROR(DG165/'McDonough &amp; Sun 1995 values'!AC$2,)</f>
        <v>0</v>
      </c>
      <c r="FN165" s="28">
        <f t="shared" si="299"/>
        <v>0</v>
      </c>
      <c r="FO165" s="4">
        <f t="shared" si="309"/>
        <v>0.40753787878787878</v>
      </c>
      <c r="FP165" s="4">
        <f t="shared" si="310"/>
        <v>15.691299790356394</v>
      </c>
      <c r="FQ165" s="4">
        <f t="shared" si="311"/>
        <v>5.8091194968553452</v>
      </c>
      <c r="FR165" s="4">
        <f t="shared" si="312"/>
        <v>2.6231995884773665</v>
      </c>
      <c r="FS165" s="4">
        <f t="shared" si="313"/>
        <v>3.5401234567901234</v>
      </c>
      <c r="FT165" s="4">
        <f t="shared" si="314"/>
        <v>0</v>
      </c>
      <c r="FU165" s="4">
        <f t="shared" si="315"/>
        <v>0.74099099099099108</v>
      </c>
      <c r="FV165" s="4">
        <f t="shared" si="316"/>
        <v>0.90222222222222237</v>
      </c>
      <c r="FW165" s="4">
        <f t="shared" si="317"/>
        <v>0</v>
      </c>
      <c r="FX165" s="4">
        <f t="shared" si="318"/>
        <v>0</v>
      </c>
      <c r="FY165" s="4">
        <f t="shared" si="319"/>
        <v>1.1192543769601422</v>
      </c>
      <c r="FZ165" s="4">
        <f t="shared" si="320"/>
        <v>0</v>
      </c>
      <c r="GA165" s="4">
        <f t="shared" si="321"/>
        <v>0.79773869346733672</v>
      </c>
      <c r="GB165" s="4">
        <f t="shared" si="322"/>
        <v>0</v>
      </c>
      <c r="GC165" s="4">
        <f t="shared" si="323"/>
        <v>0</v>
      </c>
      <c r="GD165" s="4">
        <f t="shared" si="324"/>
        <v>7.0154845154845172E-2</v>
      </c>
      <c r="GE165" s="4">
        <f t="shared" si="325"/>
        <v>9.6363636363636367</v>
      </c>
      <c r="GF165" s="4">
        <f t="shared" si="326"/>
        <v>0</v>
      </c>
      <c r="GG165" s="4">
        <f t="shared" si="327"/>
        <v>1.1008207070707072</v>
      </c>
      <c r="GH165" s="4">
        <f t="shared" si="328"/>
        <v>12.151234567901234</v>
      </c>
      <c r="GI165" s="4">
        <f t="shared" si="329"/>
        <v>86.323731138545966</v>
      </c>
      <c r="GJ165" s="4">
        <f t="shared" si="330"/>
        <v>0</v>
      </c>
      <c r="GK165" s="4">
        <f t="shared" si="331"/>
        <v>0</v>
      </c>
      <c r="GL165" s="4">
        <f t="shared" si="332"/>
        <v>8.6071428571428577</v>
      </c>
      <c r="GM165" s="4">
        <f t="shared" si="333"/>
        <v>137.35849056603772</v>
      </c>
      <c r="GN165" s="4">
        <f t="shared" si="334"/>
        <v>0.38121384449455825</v>
      </c>
      <c r="GO165" s="4">
        <f t="shared" si="335"/>
        <v>0.37021276595744673</v>
      </c>
      <c r="GP165" s="4">
        <f t="shared" si="336"/>
        <v>0</v>
      </c>
      <c r="GQ165" s="27">
        <f t="shared" si="337"/>
        <v>253649.32534129941</v>
      </c>
      <c r="GR165" s="28" t="str">
        <f t="shared" si="338"/>
        <v/>
      </c>
      <c r="GS165" s="28" t="str">
        <f t="shared" si="339"/>
        <v/>
      </c>
      <c r="GT165" s="28" t="str">
        <f t="shared" si="340"/>
        <v/>
      </c>
      <c r="GU165" s="28" t="str">
        <f t="shared" si="341"/>
        <v/>
      </c>
      <c r="GV165" s="28" t="str">
        <f t="shared" si="342"/>
        <v/>
      </c>
      <c r="GW165" s="28" t="str">
        <f t="shared" si="343"/>
        <v/>
      </c>
      <c r="GX165" s="28" t="str">
        <f t="shared" si="344"/>
        <v/>
      </c>
      <c r="GY165" s="28" t="str">
        <f t="shared" si="345"/>
        <v/>
      </c>
      <c r="GZ165" s="28" t="str">
        <f t="shared" si="346"/>
        <v/>
      </c>
      <c r="HA165" s="28" t="str">
        <f t="shared" si="347"/>
        <v/>
      </c>
      <c r="HB165" s="28" t="str">
        <f t="shared" si="348"/>
        <v/>
      </c>
      <c r="HC165" s="28" t="str">
        <f t="shared" si="349"/>
        <v/>
      </c>
      <c r="HD165" s="28" t="str">
        <f t="shared" si="350"/>
        <v/>
      </c>
      <c r="HE165" s="28" t="str">
        <f t="shared" si="351"/>
        <v/>
      </c>
      <c r="HF165" s="28" t="str">
        <f t="shared" si="352"/>
        <v/>
      </c>
      <c r="HG165" s="28" t="str">
        <f t="shared" si="353"/>
        <v/>
      </c>
      <c r="HH165" s="28" t="str">
        <f t="shared" si="354"/>
        <v/>
      </c>
      <c r="HI165" s="28" t="str">
        <f t="shared" si="355"/>
        <v/>
      </c>
      <c r="HJ165" s="28" t="str">
        <f t="shared" si="356"/>
        <v/>
      </c>
      <c r="HK165" s="28" t="str">
        <f t="shared" si="357"/>
        <v/>
      </c>
      <c r="HL165" s="28" t="str">
        <f t="shared" si="358"/>
        <v/>
      </c>
      <c r="HM165" s="28" t="str">
        <f t="shared" si="359"/>
        <v/>
      </c>
      <c r="HN165" s="28" t="str">
        <f t="shared" si="360"/>
        <v/>
      </c>
      <c r="HO165" s="28" t="str">
        <f t="shared" si="361"/>
        <v/>
      </c>
      <c r="HP165" s="28" t="str">
        <f t="shared" si="362"/>
        <v/>
      </c>
      <c r="HQ165" s="28" t="str">
        <f t="shared" si="363"/>
        <v/>
      </c>
      <c r="HR165" s="28" t="str">
        <f t="shared" si="364"/>
        <v/>
      </c>
      <c r="HT165" s="4">
        <f>IFERROR(GR165/'McDonough &amp; Sun 1995 values'!C$2,)</f>
        <v>0</v>
      </c>
      <c r="HU165" s="4">
        <f>IFERROR(GS165/'McDonough &amp; Sun 1995 values'!D$2,)</f>
        <v>0</v>
      </c>
      <c r="HV165" s="4">
        <f>IFERROR(GT165/'McDonough &amp; Sun 1995 values'!E$2,)</f>
        <v>0</v>
      </c>
      <c r="HW165" s="4">
        <f>IFERROR(GU165/'McDonough &amp; Sun 1995 values'!F$2,)</f>
        <v>0</v>
      </c>
      <c r="HX165" s="4">
        <f>IFERROR(GV165/'McDonough &amp; Sun 1995 values'!G$2,)</f>
        <v>0</v>
      </c>
      <c r="HY165" s="4">
        <f>IFERROR(GW165/'McDonough &amp; Sun 1995 values'!H$2,)</f>
        <v>0</v>
      </c>
      <c r="HZ165" s="4">
        <f>IFERROR(GX165/'McDonough &amp; Sun 1995 values'!I$2,)</f>
        <v>0</v>
      </c>
      <c r="IA165" s="4">
        <f>IFERROR(GY165/'McDonough &amp; Sun 1995 values'!J$2,)</f>
        <v>0</v>
      </c>
      <c r="IB165" s="4">
        <f>IFERROR(GZ165/'McDonough &amp; Sun 1995 values'!K$2,)</f>
        <v>0</v>
      </c>
      <c r="IC165" s="4">
        <f>IFERROR(HA165/'McDonough &amp; Sun 1995 values'!L$2,)</f>
        <v>0</v>
      </c>
      <c r="ID165" s="4">
        <f>IFERROR(HB165/'McDonough &amp; Sun 1995 values'!M$2,)</f>
        <v>0</v>
      </c>
      <c r="IE165" s="4">
        <f>IFERROR(HC165/'McDonough &amp; Sun 1995 values'!N$2,)</f>
        <v>0</v>
      </c>
      <c r="IF165" s="4">
        <f>IFERROR(HD165/'McDonough &amp; Sun 1995 values'!O$2,)</f>
        <v>0</v>
      </c>
      <c r="IG165" s="4">
        <f>IFERROR(HE165/'McDonough &amp; Sun 1995 values'!P$2,)</f>
        <v>0</v>
      </c>
      <c r="IH165" s="4">
        <f>IFERROR(HF165/'McDonough &amp; Sun 1995 values'!Q$2,)</f>
        <v>0</v>
      </c>
      <c r="II165" s="4">
        <f>IFERROR(HG165/'McDonough &amp; Sun 1995 values'!R$2,)</f>
        <v>0</v>
      </c>
      <c r="IJ165" s="4">
        <f>IFERROR(HH165/'McDonough &amp; Sun 1995 values'!S$2,)</f>
        <v>0</v>
      </c>
      <c r="IK165" s="4">
        <f>IFERROR(HI165/'McDonough &amp; Sun 1995 values'!T$2,)</f>
        <v>0</v>
      </c>
      <c r="IL165" s="4">
        <f>IFERROR(HJ165/'McDonough &amp; Sun 1995 values'!U$2,)</f>
        <v>0</v>
      </c>
      <c r="IM165" s="4">
        <f>IFERROR(HK165/'McDonough &amp; Sun 1995 values'!V$2,)</f>
        <v>0</v>
      </c>
      <c r="IN165" s="4">
        <f>IFERROR(HL165/'McDonough &amp; Sun 1995 values'!W$2,)</f>
        <v>0</v>
      </c>
      <c r="IO165" s="4">
        <f>IFERROR(HM165/'McDonough &amp; Sun 1995 values'!X$2,)</f>
        <v>0</v>
      </c>
      <c r="IP165" s="4">
        <f>IFERROR(HN165/'McDonough &amp; Sun 1995 values'!Y$2,)</f>
        <v>0</v>
      </c>
      <c r="IQ165" s="4">
        <f>IFERROR(HO165/'McDonough &amp; Sun 1995 values'!Z$2,)</f>
        <v>0</v>
      </c>
      <c r="IR165" s="4">
        <f>IFERROR(HP165/'McDonough &amp; Sun 1995 values'!AA$2,)</f>
        <v>0</v>
      </c>
      <c r="IS165" s="4">
        <f>IFERROR(HQ165/'McDonough &amp; Sun 1995 values'!AB$2,)</f>
        <v>0</v>
      </c>
      <c r="IT165" s="4">
        <f>IFERROR(HR165/'McDonough &amp; Sun 1995 values'!AC$2,)</f>
        <v>0</v>
      </c>
    </row>
    <row r="166" spans="1:254">
      <c r="A166" s="16" t="s">
        <v>1160</v>
      </c>
      <c r="B166" s="16" t="s">
        <v>24</v>
      </c>
      <c r="C166" s="16" t="str">
        <f t="shared" si="304"/>
        <v>saline</v>
      </c>
      <c r="D166" s="16" t="s">
        <v>119</v>
      </c>
      <c r="E166" s="16" t="s">
        <v>806</v>
      </c>
      <c r="F166" s="16" t="s">
        <v>139</v>
      </c>
      <c r="G166" s="16" t="s">
        <v>595</v>
      </c>
      <c r="H166" s="27">
        <v>2700</v>
      </c>
      <c r="I166" s="16" t="s">
        <v>735</v>
      </c>
      <c r="J166" s="16" t="s">
        <v>1311</v>
      </c>
      <c r="K166" s="16" t="s">
        <v>968</v>
      </c>
      <c r="L166" s="16">
        <v>0</v>
      </c>
      <c r="M166" s="16" t="s">
        <v>140</v>
      </c>
      <c r="N166" s="16">
        <v>69</v>
      </c>
      <c r="O166" s="26">
        <v>1.57</v>
      </c>
      <c r="P166" s="26"/>
      <c r="Q166" s="26"/>
      <c r="R166" s="26">
        <v>0.18</v>
      </c>
      <c r="S166" s="26">
        <v>5.35</v>
      </c>
      <c r="T166" s="26">
        <v>3.45</v>
      </c>
      <c r="U166" s="26"/>
      <c r="V166" s="26">
        <v>5.73</v>
      </c>
      <c r="W166" s="26">
        <v>8.5</v>
      </c>
      <c r="X166" s="26">
        <v>29.47</v>
      </c>
      <c r="Y166" s="26"/>
      <c r="Z166" s="26"/>
      <c r="AA166" s="26"/>
      <c r="AB166" s="26">
        <v>15.34</v>
      </c>
      <c r="AC166" s="26"/>
      <c r="AD166" s="26">
        <v>30.41</v>
      </c>
      <c r="AE166" s="26"/>
      <c r="AF166" s="26"/>
      <c r="AG166" s="26"/>
      <c r="AH166" s="26"/>
      <c r="AI166" s="26"/>
      <c r="AJ166" s="26">
        <f t="shared" si="305"/>
        <v>100</v>
      </c>
      <c r="AK166" s="26">
        <f t="shared" si="365"/>
        <v>1.6856820081654411</v>
      </c>
      <c r="AL166" s="26">
        <f t="shared" si="366"/>
        <v>0</v>
      </c>
      <c r="AM166" s="26">
        <f t="shared" si="367"/>
        <v>0.19326290539476393</v>
      </c>
      <c r="AN166" s="26">
        <f t="shared" si="368"/>
        <v>5.7442030214554833</v>
      </c>
      <c r="AO166" s="26">
        <f t="shared" si="369"/>
        <v>3.7042056867329753</v>
      </c>
      <c r="AP166" s="26">
        <f t="shared" si="370"/>
        <v>6.1522024883999853</v>
      </c>
      <c r="AQ166" s="26">
        <f t="shared" si="371"/>
        <v>16.470294270864883</v>
      </c>
      <c r="AR166" s="26">
        <f t="shared" si="372"/>
        <v>9.1263038658638518</v>
      </c>
      <c r="AS166" s="26">
        <f t="shared" si="373"/>
        <v>31.641432344353849</v>
      </c>
      <c r="AT166" s="26">
        <f t="shared" si="374"/>
        <v>0</v>
      </c>
      <c r="AU166" s="26">
        <f t="shared" si="375"/>
        <v>32.650694183637619</v>
      </c>
      <c r="AV166" s="26">
        <f t="shared" si="306"/>
        <v>107.36828077486885</v>
      </c>
      <c r="AW166" s="16"/>
      <c r="AX166" s="16"/>
      <c r="AY166" s="16"/>
      <c r="AZ166" s="16"/>
      <c r="BA166" s="26"/>
      <c r="BB166" s="26"/>
      <c r="BC166" s="26"/>
      <c r="BD166" s="26"/>
      <c r="BE166" s="16"/>
      <c r="BF166" s="16"/>
      <c r="BG166" s="16">
        <v>0</v>
      </c>
      <c r="BH166" s="16"/>
      <c r="BI166" s="16"/>
      <c r="BJ166" s="16"/>
      <c r="BK166" s="18"/>
      <c r="BL166" s="18"/>
      <c r="BM166" s="18"/>
      <c r="BN166" s="18"/>
      <c r="BO166" s="18"/>
      <c r="BP166" s="18"/>
      <c r="BQ166" s="18"/>
      <c r="BR166" s="18"/>
      <c r="BS166" s="18"/>
      <c r="BT166" s="18">
        <v>2.3093333333333337E-2</v>
      </c>
      <c r="BU166" s="18"/>
      <c r="BV166" s="18"/>
      <c r="BW166" s="18"/>
      <c r="BX166" s="18"/>
      <c r="BY166" s="18"/>
      <c r="BZ166" s="18"/>
      <c r="CA166" s="18"/>
      <c r="CB166" s="18"/>
      <c r="CC166" s="18"/>
      <c r="CD166" s="18"/>
      <c r="CE166" s="18"/>
      <c r="CF166" s="18"/>
      <c r="CG166" s="18"/>
      <c r="CH166" s="18">
        <v>0.45750000000000002</v>
      </c>
      <c r="CI166" s="18">
        <v>7.3999999999999995</v>
      </c>
      <c r="CJ166" s="18">
        <v>2.52E-2</v>
      </c>
      <c r="CK166" s="18">
        <v>0.82799999999999996</v>
      </c>
      <c r="CL166" s="18"/>
      <c r="CM166" s="18">
        <v>0.1855</v>
      </c>
      <c r="CN166" s="18"/>
      <c r="CO166" s="18"/>
      <c r="CP166" s="18"/>
      <c r="CQ166" s="18"/>
      <c r="CR166" s="18">
        <v>2.545E-2</v>
      </c>
      <c r="CS166" s="18">
        <v>176.5</v>
      </c>
      <c r="CT166" s="18"/>
      <c r="CU166" s="18">
        <v>2.23</v>
      </c>
      <c r="CV166" s="18">
        <v>1.7050000000000001</v>
      </c>
      <c r="CW166" s="18">
        <v>7.7649999999999997E-2</v>
      </c>
      <c r="CX166" s="18">
        <v>0.1638333333333333</v>
      </c>
      <c r="CY166" s="18">
        <v>8.8475000000000012E-3</v>
      </c>
      <c r="CZ166" s="18">
        <v>2.7999999999999997E-2</v>
      </c>
      <c r="DA166" s="18">
        <v>1.465E-2</v>
      </c>
      <c r="DB166" s="18">
        <v>5.0749999999999997E-3</v>
      </c>
      <c r="DC166" s="18"/>
      <c r="DD166" s="18">
        <v>2.7400000000000002E-3</v>
      </c>
      <c r="DE166" s="18"/>
      <c r="DF166" s="18">
        <v>1.8449999999999999E-3</v>
      </c>
      <c r="DG166" s="18">
        <v>3.5950000000000001E-4</v>
      </c>
      <c r="DH166" s="18">
        <v>1.7479999999999999E-2</v>
      </c>
      <c r="DI166" s="18"/>
      <c r="DJ166" s="18"/>
      <c r="DK166" s="18">
        <v>0.95850000000000002</v>
      </c>
      <c r="DL166" s="18">
        <v>1.585</v>
      </c>
      <c r="DM166" s="18">
        <v>3.2500000000000001E-2</v>
      </c>
      <c r="DN166" s="18">
        <v>9.0949999999999994E-4</v>
      </c>
      <c r="DO166" s="18"/>
      <c r="DP166" s="18"/>
      <c r="DQ166" s="18"/>
      <c r="DR166" s="18"/>
      <c r="DS166" s="18"/>
      <c r="DT166" s="18">
        <v>0.17599999999999999</v>
      </c>
      <c r="DU166" s="18">
        <v>11</v>
      </c>
      <c r="DV166" s="28">
        <v>0.70547400000000005</v>
      </c>
      <c r="DW166" s="28">
        <v>8.6E-3</v>
      </c>
      <c r="DX166" s="28">
        <v>0.69889999999999997</v>
      </c>
      <c r="DY166" s="28">
        <v>2.8E-3</v>
      </c>
      <c r="DZ166" s="28"/>
      <c r="EA166" s="28"/>
      <c r="EB166" s="28"/>
      <c r="EC166" s="28"/>
      <c r="ED166" s="28"/>
      <c r="EE166" s="28"/>
      <c r="EF166" s="28"/>
      <c r="EG166" s="28"/>
      <c r="EH166" s="28"/>
      <c r="EI166" s="28"/>
      <c r="EJ166" s="18"/>
      <c r="EK166" s="18"/>
      <c r="EL166" s="18">
        <f>IFERROR(CR166/'McDonough &amp; Sun 1995 values'!C$2,)</f>
        <v>1.2119047619047618</v>
      </c>
      <c r="EM166" s="18">
        <f>IFERROR(CH166/'McDonough &amp; Sun 1995 values'!D$2,)</f>
        <v>0.76250000000000007</v>
      </c>
      <c r="EN166" s="18">
        <f>IFERROR(CS166/'McDonough &amp; Sun 1995 values'!E$2,)</f>
        <v>26.742424242424242</v>
      </c>
      <c r="EO166" s="18">
        <f>IFERROR(DL166/'McDonough &amp; Sun 1995 values'!F$2,)</f>
        <v>19.937106918238992</v>
      </c>
      <c r="EP166" s="18">
        <f>IFERROR(DM166/'McDonough &amp; Sun 1995 values'!G$2,)</f>
        <v>1.600985221674877</v>
      </c>
      <c r="EQ166" s="18">
        <f>IFERROR(BR166/'McDonough &amp; Sun 1995 values'!H$2,)</f>
        <v>0</v>
      </c>
      <c r="ER166" s="18">
        <f>IFERROR(DI166/'McDonough &amp; Sun 1995 values'!I$2,)</f>
        <v>0</v>
      </c>
      <c r="ES166" s="18">
        <f>IFERROR(CM166/'McDonough &amp; Sun 1995 values'!J$2,)</f>
        <v>0.28191489361702127</v>
      </c>
      <c r="ET166" s="18">
        <f>IFERROR(CU166/'McDonough &amp; Sun 1995 values'!K$2,)</f>
        <v>3.441358024691358</v>
      </c>
      <c r="EU166" s="18">
        <f>IFERROR(CV166/'McDonough &amp; Sun 1995 values'!L$2,)</f>
        <v>1.017910447761194</v>
      </c>
      <c r="EV166" s="18">
        <f>IFERROR(CW166/'McDonough &amp; Sun 1995 values'!M$2,)</f>
        <v>0.30570866141732284</v>
      </c>
      <c r="EW166" s="18">
        <f>IFERROR(CI166/'McDonough &amp; Sun 1995 values'!N$2,)</f>
        <v>0.37185929648241206</v>
      </c>
      <c r="EX166" s="18">
        <f>IFERROR(CX166/'McDonough &amp; Sun 1995 values'!O$2,)</f>
        <v>0.13106666666666664</v>
      </c>
      <c r="EY166" s="18">
        <f>IFERROR(CY166/'McDonough &amp; Sun 1995 values'!P$2,)</f>
        <v>2.1791871921182267E-2</v>
      </c>
      <c r="EZ166" s="18">
        <f>IFERROR(DH166/'McDonough &amp; Sun 1995 values'!Q$2,)</f>
        <v>6.1766784452296823E-2</v>
      </c>
      <c r="FA166" s="18">
        <f>IFERROR(CK166/'McDonough &amp; Sun 1995 values'!R$2,)</f>
        <v>7.8857142857142848E-2</v>
      </c>
      <c r="FB166" s="18">
        <f>IFERROR(CZ166/'McDonough &amp; Sun 1995 values'!S$2,)</f>
        <v>0.1818181818181818</v>
      </c>
      <c r="FC166" s="18">
        <f>IFERROR(BT166/'McDonough &amp; Sun 1995 values'!T$2,)</f>
        <v>1.9164591977869988E-5</v>
      </c>
      <c r="FD166" s="18">
        <f>IFERROR(DA166/'McDonough &amp; Sun 1995 values'!U$2,)</f>
        <v>2.6930147058823527E-2</v>
      </c>
      <c r="FE166" s="18">
        <f>IFERROR(DN166/'McDonough &amp; Sun 1995 values'!V$2,)</f>
        <v>9.186868686868686E-3</v>
      </c>
      <c r="FF166" s="18">
        <f>IFERROR(DB166/'McDonough &amp; Sun 1995 values'!W$2,)</f>
        <v>7.5296735905044498E-3</v>
      </c>
      <c r="FG166" s="18">
        <f>IFERROR(CJ166/'McDonough &amp; Sun 1995 values'!X$2,)</f>
        <v>5.8604651162790702E-3</v>
      </c>
      <c r="FH166" s="18">
        <f>IFERROR(DC166/'McDonough &amp; Sun 1995 values'!Y$2,)</f>
        <v>0</v>
      </c>
      <c r="FI166" s="18">
        <f>IFERROR(DD166/'McDonough &amp; Sun 1995 values'!Z$2,)</f>
        <v>6.2557077625570784E-3</v>
      </c>
      <c r="FJ166" s="18">
        <f>IFERROR(DE166/'McDonough &amp; Sun 1995 values'!AA$2,)</f>
        <v>0</v>
      </c>
      <c r="FK166" s="18">
        <f>IFERROR(DF166/'McDonough &amp; Sun 1995 values'!AB$2,)</f>
        <v>4.183673469387755E-3</v>
      </c>
      <c r="FL166" s="18">
        <f>IFERROR(DG166/'McDonough &amp; Sun 1995 values'!AC$2,)</f>
        <v>5.3259259259259258E-3</v>
      </c>
      <c r="FN166" s="28">
        <f t="shared" si="299"/>
        <v>0</v>
      </c>
      <c r="FO166" s="4">
        <f t="shared" si="309"/>
        <v>16.703729603729602</v>
      </c>
      <c r="FP166" s="4">
        <f t="shared" si="310"/>
        <v>70.72030378545152</v>
      </c>
      <c r="FQ166" s="4">
        <f t="shared" si="311"/>
        <v>12.453023705853893</v>
      </c>
      <c r="FR166" s="4">
        <f t="shared" si="312"/>
        <v>12.20708129513161</v>
      </c>
      <c r="FS166" s="4">
        <f t="shared" si="313"/>
        <v>0</v>
      </c>
      <c r="FT166" s="4">
        <f t="shared" si="314"/>
        <v>0.62917485265225948</v>
      </c>
      <c r="FU166" s="4">
        <f t="shared" si="315"/>
        <v>0</v>
      </c>
      <c r="FV166" s="4">
        <f t="shared" si="316"/>
        <v>3.6186493359706127</v>
      </c>
      <c r="FW166" s="4">
        <f t="shared" si="317"/>
        <v>1.276691729323308</v>
      </c>
      <c r="FX166" s="4">
        <f t="shared" si="318"/>
        <v>7.4634912766154091</v>
      </c>
      <c r="FY166" s="4">
        <f t="shared" si="319"/>
        <v>1.8577131032681309</v>
      </c>
      <c r="FZ166" s="4">
        <f t="shared" si="320"/>
        <v>7.5053453246624855</v>
      </c>
      <c r="GA166" s="4">
        <f t="shared" si="321"/>
        <v>1.2163845628658425</v>
      </c>
      <c r="GB166" s="4">
        <f t="shared" si="322"/>
        <v>8.3433943846489758</v>
      </c>
      <c r="GC166" s="4">
        <f t="shared" si="323"/>
        <v>1.5893832943013269</v>
      </c>
      <c r="GD166" s="4">
        <f t="shared" si="324"/>
        <v>1.3413392601089762</v>
      </c>
      <c r="GE166" s="4">
        <f t="shared" si="325"/>
        <v>35.072031793343264</v>
      </c>
      <c r="GF166" s="4">
        <f t="shared" si="326"/>
        <v>0</v>
      </c>
      <c r="GG166" s="4">
        <f t="shared" si="327"/>
        <v>94.859919954259581</v>
      </c>
      <c r="GH166" s="4">
        <f t="shared" si="328"/>
        <v>11.256985682828137</v>
      </c>
      <c r="GI166" s="4">
        <f t="shared" si="329"/>
        <v>157.91933970327113</v>
      </c>
      <c r="GJ166" s="4">
        <f t="shared" si="330"/>
        <v>457.0394696831479</v>
      </c>
      <c r="GK166" s="4">
        <f t="shared" si="331"/>
        <v>822.56850346281237</v>
      </c>
      <c r="GL166" s="4">
        <f t="shared" si="332"/>
        <v>4114.7311118442749</v>
      </c>
      <c r="GM166" s="4">
        <f t="shared" si="333"/>
        <v>26.147025466542939</v>
      </c>
      <c r="GN166" s="4">
        <f t="shared" si="334"/>
        <v>8.1919664154183766E-2</v>
      </c>
      <c r="GO166" s="4">
        <f t="shared" si="335"/>
        <v>0.17608837970540095</v>
      </c>
      <c r="GP166" s="4">
        <f t="shared" si="336"/>
        <v>0</v>
      </c>
      <c r="GQ166" s="27">
        <f t="shared" si="337"/>
        <v>262667.33363512019</v>
      </c>
      <c r="GR166" s="28" t="str">
        <f t="shared" si="338"/>
        <v/>
      </c>
      <c r="GS166" s="28" t="str">
        <f t="shared" si="339"/>
        <v/>
      </c>
      <c r="GT166" s="28" t="str">
        <f t="shared" si="340"/>
        <v/>
      </c>
      <c r="GU166" s="28" t="str">
        <f t="shared" si="341"/>
        <v/>
      </c>
      <c r="GV166" s="28" t="str">
        <f t="shared" si="342"/>
        <v/>
      </c>
      <c r="GW166" s="28" t="str">
        <f t="shared" si="343"/>
        <v/>
      </c>
      <c r="GX166" s="28" t="str">
        <f t="shared" si="344"/>
        <v/>
      </c>
      <c r="GY166" s="28" t="str">
        <f t="shared" si="345"/>
        <v/>
      </c>
      <c r="GZ166" s="28" t="str">
        <f t="shared" si="346"/>
        <v/>
      </c>
      <c r="HA166" s="28" t="str">
        <f t="shared" si="347"/>
        <v/>
      </c>
      <c r="HB166" s="28" t="str">
        <f t="shared" si="348"/>
        <v/>
      </c>
      <c r="HC166" s="28" t="str">
        <f t="shared" si="349"/>
        <v/>
      </c>
      <c r="HD166" s="28" t="str">
        <f t="shared" si="350"/>
        <v/>
      </c>
      <c r="HE166" s="28" t="str">
        <f t="shared" si="351"/>
        <v/>
      </c>
      <c r="HF166" s="28" t="str">
        <f t="shared" si="352"/>
        <v/>
      </c>
      <c r="HG166" s="28" t="str">
        <f t="shared" si="353"/>
        <v/>
      </c>
      <c r="HH166" s="28" t="str">
        <f t="shared" si="354"/>
        <v/>
      </c>
      <c r="HI166" s="28" t="str">
        <f t="shared" si="355"/>
        <v/>
      </c>
      <c r="HJ166" s="28" t="str">
        <f t="shared" si="356"/>
        <v/>
      </c>
      <c r="HK166" s="28" t="str">
        <f t="shared" si="357"/>
        <v/>
      </c>
      <c r="HL166" s="28" t="str">
        <f t="shared" si="358"/>
        <v/>
      </c>
      <c r="HM166" s="28" t="str">
        <f t="shared" si="359"/>
        <v/>
      </c>
      <c r="HN166" s="28" t="str">
        <f t="shared" si="360"/>
        <v/>
      </c>
      <c r="HO166" s="28" t="str">
        <f t="shared" si="361"/>
        <v/>
      </c>
      <c r="HP166" s="28" t="str">
        <f t="shared" si="362"/>
        <v/>
      </c>
      <c r="HQ166" s="28" t="str">
        <f t="shared" si="363"/>
        <v/>
      </c>
      <c r="HR166" s="28" t="str">
        <f t="shared" si="364"/>
        <v/>
      </c>
      <c r="HT166" s="4">
        <f>IFERROR(GR166/'McDonough &amp; Sun 1995 values'!C$2,)</f>
        <v>0</v>
      </c>
      <c r="HU166" s="4">
        <f>IFERROR(GS166/'McDonough &amp; Sun 1995 values'!D$2,)</f>
        <v>0</v>
      </c>
      <c r="HV166" s="4">
        <f>IFERROR(GT166/'McDonough &amp; Sun 1995 values'!E$2,)</f>
        <v>0</v>
      </c>
      <c r="HW166" s="4">
        <f>IFERROR(GU166/'McDonough &amp; Sun 1995 values'!F$2,)</f>
        <v>0</v>
      </c>
      <c r="HX166" s="4">
        <f>IFERROR(GV166/'McDonough &amp; Sun 1995 values'!G$2,)</f>
        <v>0</v>
      </c>
      <c r="HY166" s="4">
        <f>IFERROR(GW166/'McDonough &amp; Sun 1995 values'!H$2,)</f>
        <v>0</v>
      </c>
      <c r="HZ166" s="4">
        <f>IFERROR(GX166/'McDonough &amp; Sun 1995 values'!I$2,)</f>
        <v>0</v>
      </c>
      <c r="IA166" s="4">
        <f>IFERROR(GY166/'McDonough &amp; Sun 1995 values'!J$2,)</f>
        <v>0</v>
      </c>
      <c r="IB166" s="4">
        <f>IFERROR(GZ166/'McDonough &amp; Sun 1995 values'!K$2,)</f>
        <v>0</v>
      </c>
      <c r="IC166" s="4">
        <f>IFERROR(HA166/'McDonough &amp; Sun 1995 values'!L$2,)</f>
        <v>0</v>
      </c>
      <c r="ID166" s="4">
        <f>IFERROR(HB166/'McDonough &amp; Sun 1995 values'!M$2,)</f>
        <v>0</v>
      </c>
      <c r="IE166" s="4">
        <f>IFERROR(HC166/'McDonough &amp; Sun 1995 values'!N$2,)</f>
        <v>0</v>
      </c>
      <c r="IF166" s="4">
        <f>IFERROR(HD166/'McDonough &amp; Sun 1995 values'!O$2,)</f>
        <v>0</v>
      </c>
      <c r="IG166" s="4">
        <f>IFERROR(HE166/'McDonough &amp; Sun 1995 values'!P$2,)</f>
        <v>0</v>
      </c>
      <c r="IH166" s="4">
        <f>IFERROR(HF166/'McDonough &amp; Sun 1995 values'!Q$2,)</f>
        <v>0</v>
      </c>
      <c r="II166" s="4">
        <f>IFERROR(HG166/'McDonough &amp; Sun 1995 values'!R$2,)</f>
        <v>0</v>
      </c>
      <c r="IJ166" s="4">
        <f>IFERROR(HH166/'McDonough &amp; Sun 1995 values'!S$2,)</f>
        <v>0</v>
      </c>
      <c r="IK166" s="4">
        <f>IFERROR(HI166/'McDonough &amp; Sun 1995 values'!T$2,)</f>
        <v>0</v>
      </c>
      <c r="IL166" s="4">
        <f>IFERROR(HJ166/'McDonough &amp; Sun 1995 values'!U$2,)</f>
        <v>0</v>
      </c>
      <c r="IM166" s="4">
        <f>IFERROR(HK166/'McDonough &amp; Sun 1995 values'!V$2,)</f>
        <v>0</v>
      </c>
      <c r="IN166" s="4">
        <f>IFERROR(HL166/'McDonough &amp; Sun 1995 values'!W$2,)</f>
        <v>0</v>
      </c>
      <c r="IO166" s="4">
        <f>IFERROR(HM166/'McDonough &amp; Sun 1995 values'!X$2,)</f>
        <v>0</v>
      </c>
      <c r="IP166" s="4">
        <f>IFERROR(HN166/'McDonough &amp; Sun 1995 values'!Y$2,)</f>
        <v>0</v>
      </c>
      <c r="IQ166" s="4">
        <f>IFERROR(HO166/'McDonough &amp; Sun 1995 values'!Z$2,)</f>
        <v>0</v>
      </c>
      <c r="IR166" s="4">
        <f>IFERROR(HP166/'McDonough &amp; Sun 1995 values'!AA$2,)</f>
        <v>0</v>
      </c>
      <c r="IS166" s="4">
        <f>IFERROR(HQ166/'McDonough &amp; Sun 1995 values'!AB$2,)</f>
        <v>0</v>
      </c>
      <c r="IT166" s="4">
        <f>IFERROR(HR166/'McDonough &amp; Sun 1995 values'!AC$2,)</f>
        <v>0</v>
      </c>
    </row>
    <row r="167" spans="1:254">
      <c r="A167" s="16" t="s">
        <v>1160</v>
      </c>
      <c r="B167" s="16" t="s">
        <v>24</v>
      </c>
      <c r="C167" s="16" t="str">
        <f t="shared" si="304"/>
        <v>saline</v>
      </c>
      <c r="D167" s="16" t="s">
        <v>119</v>
      </c>
      <c r="E167" s="16" t="s">
        <v>806</v>
      </c>
      <c r="F167" s="16" t="s">
        <v>139</v>
      </c>
      <c r="G167" s="16" t="s">
        <v>595</v>
      </c>
      <c r="H167" s="27">
        <v>2700</v>
      </c>
      <c r="I167" s="16" t="s">
        <v>735</v>
      </c>
      <c r="J167" s="16" t="s">
        <v>1311</v>
      </c>
      <c r="K167" s="16" t="s">
        <v>968</v>
      </c>
      <c r="L167" s="16">
        <v>0</v>
      </c>
      <c r="M167" s="16" t="s">
        <v>141</v>
      </c>
      <c r="N167" s="16">
        <v>65</v>
      </c>
      <c r="O167" s="26">
        <v>2.38</v>
      </c>
      <c r="P167" s="26"/>
      <c r="Q167" s="26"/>
      <c r="R167" s="26">
        <v>0.38</v>
      </c>
      <c r="S167" s="26">
        <v>5.45</v>
      </c>
      <c r="T167" s="26">
        <v>4.2300000000000004</v>
      </c>
      <c r="U167" s="26"/>
      <c r="V167" s="26">
        <v>5.89</v>
      </c>
      <c r="W167" s="26">
        <v>13.73</v>
      </c>
      <c r="X167" s="26">
        <v>25.49</v>
      </c>
      <c r="Y167" s="26"/>
      <c r="Z167" s="26"/>
      <c r="AA167" s="26"/>
      <c r="AB167" s="26">
        <v>13.79</v>
      </c>
      <c r="AC167" s="26"/>
      <c r="AD167" s="26">
        <v>28.66</v>
      </c>
      <c r="AE167" s="26"/>
      <c r="AF167" s="26"/>
      <c r="AG167" s="26"/>
      <c r="AH167" s="26"/>
      <c r="AI167" s="26"/>
      <c r="AJ167" s="26">
        <f t="shared" si="305"/>
        <v>100</v>
      </c>
      <c r="AK167" s="26">
        <f t="shared" si="365"/>
        <v>2.5445755371382384</v>
      </c>
      <c r="AL167" s="26">
        <f t="shared" si="366"/>
        <v>0</v>
      </c>
      <c r="AM167" s="26">
        <f t="shared" si="367"/>
        <v>0.40627676643383637</v>
      </c>
      <c r="AN167" s="26">
        <f t="shared" si="368"/>
        <v>5.8268641501694951</v>
      </c>
      <c r="AO167" s="26">
        <f t="shared" si="369"/>
        <v>4.5225019000398099</v>
      </c>
      <c r="AP167" s="26">
        <f t="shared" si="370"/>
        <v>6.2972898797244632</v>
      </c>
      <c r="AQ167" s="26">
        <f t="shared" si="371"/>
        <v>14.74357002400685</v>
      </c>
      <c r="AR167" s="26">
        <f t="shared" si="372"/>
        <v>14.679421060885719</v>
      </c>
      <c r="AS167" s="26">
        <f t="shared" si="373"/>
        <v>27.2526178326276</v>
      </c>
      <c r="AT167" s="26">
        <f t="shared" si="374"/>
        <v>0</v>
      </c>
      <c r="AU167" s="26">
        <f t="shared" si="375"/>
        <v>30.641821384194078</v>
      </c>
      <c r="AV167" s="26">
        <f t="shared" si="306"/>
        <v>106.91493853522009</v>
      </c>
      <c r="AW167" s="16"/>
      <c r="AX167" s="16"/>
      <c r="AY167" s="16"/>
      <c r="AZ167" s="16"/>
      <c r="BA167" s="26"/>
      <c r="BB167" s="26"/>
      <c r="BC167" s="26"/>
      <c r="BD167" s="26"/>
      <c r="BE167" s="16"/>
      <c r="BF167" s="16"/>
      <c r="BG167" s="16">
        <v>0</v>
      </c>
      <c r="BH167" s="16"/>
      <c r="BI167" s="16"/>
      <c r="BJ167" s="16"/>
      <c r="BK167" s="18"/>
      <c r="BL167" s="18"/>
      <c r="BM167" s="18"/>
      <c r="BN167" s="18"/>
      <c r="BO167" s="18"/>
      <c r="BP167" s="18"/>
      <c r="BQ167" s="18"/>
      <c r="BR167" s="18"/>
      <c r="BS167" s="18"/>
      <c r="BT167" s="18">
        <v>7.9733333333333337E-2</v>
      </c>
      <c r="BU167" s="18"/>
      <c r="BV167" s="18"/>
      <c r="BW167" s="18"/>
      <c r="BX167" s="18"/>
      <c r="BY167" s="18"/>
      <c r="BZ167" s="18"/>
      <c r="CA167" s="18"/>
      <c r="CB167" s="18"/>
      <c r="CC167" s="18"/>
      <c r="CD167" s="18"/>
      <c r="CE167" s="18"/>
      <c r="CF167" s="18"/>
      <c r="CG167" s="18"/>
      <c r="CH167" s="18">
        <v>0.25700000000000001</v>
      </c>
      <c r="CI167" s="18">
        <v>4.2300000000000004</v>
      </c>
      <c r="CJ167" s="18">
        <v>7.9799999999999999E-4</v>
      </c>
      <c r="CK167" s="18">
        <v>0.42899999999999999</v>
      </c>
      <c r="CL167" s="18"/>
      <c r="CM167" s="18">
        <v>9.3799999999999994E-2</v>
      </c>
      <c r="CN167" s="18"/>
      <c r="CO167" s="18"/>
      <c r="CP167" s="18"/>
      <c r="CQ167" s="18"/>
      <c r="CR167" s="18">
        <v>1.8100000000000002E-2</v>
      </c>
      <c r="CS167" s="18">
        <v>154</v>
      </c>
      <c r="CT167" s="18"/>
      <c r="CU167" s="18">
        <v>0.67200000000000004</v>
      </c>
      <c r="CV167" s="18">
        <v>0.65</v>
      </c>
      <c r="CW167" s="18">
        <v>3.39E-2</v>
      </c>
      <c r="CX167" s="18">
        <v>7.7233333333333334E-2</v>
      </c>
      <c r="CY167" s="18">
        <v>4.7200000000000002E-3</v>
      </c>
      <c r="CZ167" s="18">
        <v>2.58E-2</v>
      </c>
      <c r="DA167" s="18">
        <v>6.62E-3</v>
      </c>
      <c r="DB167" s="18">
        <v>5.7700000000000004E-4</v>
      </c>
      <c r="DC167" s="18"/>
      <c r="DD167" s="18">
        <v>0</v>
      </c>
      <c r="DE167" s="18"/>
      <c r="DF167" s="18"/>
      <c r="DG167" s="18">
        <v>5.6999999999999996E-6</v>
      </c>
      <c r="DH167" s="18">
        <v>9.6699999999999998E-3</v>
      </c>
      <c r="DI167" s="18"/>
      <c r="DJ167" s="18"/>
      <c r="DK167" s="18">
        <v>0.81899999999999995</v>
      </c>
      <c r="DL167" s="18">
        <v>0.45800000000000002</v>
      </c>
      <c r="DM167" s="18">
        <v>1.01E-2</v>
      </c>
      <c r="DN167" s="18">
        <v>1.15E-4</v>
      </c>
      <c r="DO167" s="18"/>
      <c r="DP167" s="18"/>
      <c r="DQ167" s="18"/>
      <c r="DR167" s="18"/>
      <c r="DS167" s="18"/>
      <c r="DT167" s="18">
        <v>0.17499999999999999</v>
      </c>
      <c r="DU167" s="18">
        <v>11</v>
      </c>
      <c r="DV167" s="28">
        <v>0.70591300000000001</v>
      </c>
      <c r="DW167" s="28">
        <v>7.7000000000000002E-3</v>
      </c>
      <c r="DX167" s="28">
        <v>0.69910000000000005</v>
      </c>
      <c r="DY167" s="28">
        <v>3.0000000000000001E-3</v>
      </c>
      <c r="DZ167" s="28"/>
      <c r="EA167" s="28"/>
      <c r="EB167" s="28"/>
      <c r="EC167" s="28"/>
      <c r="ED167" s="28"/>
      <c r="EE167" s="28"/>
      <c r="EF167" s="28"/>
      <c r="EG167" s="28"/>
      <c r="EH167" s="28"/>
      <c r="EI167" s="28"/>
      <c r="EJ167" s="18"/>
      <c r="EK167" s="18"/>
      <c r="EL167" s="18">
        <f>IFERROR(CR167/'McDonough &amp; Sun 1995 values'!C$2,)</f>
        <v>0.86190476190476195</v>
      </c>
      <c r="EM167" s="18">
        <f>IFERROR(CH167/'McDonough &amp; Sun 1995 values'!D$2,)</f>
        <v>0.42833333333333334</v>
      </c>
      <c r="EN167" s="18">
        <f>IFERROR(CS167/'McDonough &amp; Sun 1995 values'!E$2,)</f>
        <v>23.333333333333336</v>
      </c>
      <c r="EO167" s="18">
        <f>IFERROR(DL167/'McDonough &amp; Sun 1995 values'!F$2,)</f>
        <v>5.7610062893081766</v>
      </c>
      <c r="EP167" s="18">
        <f>IFERROR(DM167/'McDonough &amp; Sun 1995 values'!G$2,)</f>
        <v>0.49753694581280788</v>
      </c>
      <c r="EQ167" s="18">
        <f>IFERROR(BR167/'McDonough &amp; Sun 1995 values'!H$2,)</f>
        <v>0</v>
      </c>
      <c r="ER167" s="18">
        <f>IFERROR(DI167/'McDonough &amp; Sun 1995 values'!I$2,)</f>
        <v>0</v>
      </c>
      <c r="ES167" s="18">
        <f>IFERROR(CM167/'McDonough &amp; Sun 1995 values'!J$2,)</f>
        <v>0.14255319148936169</v>
      </c>
      <c r="ET167" s="18">
        <f>IFERROR(CU167/'McDonough &amp; Sun 1995 values'!K$2,)</f>
        <v>1.037037037037037</v>
      </c>
      <c r="EU167" s="18">
        <f>IFERROR(CV167/'McDonough &amp; Sun 1995 values'!L$2,)</f>
        <v>0.38805970149253732</v>
      </c>
      <c r="EV167" s="18">
        <f>IFERROR(CW167/'McDonough &amp; Sun 1995 values'!M$2,)</f>
        <v>0.13346456692913386</v>
      </c>
      <c r="EW167" s="18">
        <f>IFERROR(CI167/'McDonough &amp; Sun 1995 values'!N$2,)</f>
        <v>0.2125628140703518</v>
      </c>
      <c r="EX167" s="18">
        <f>IFERROR(CX167/'McDonough &amp; Sun 1995 values'!O$2,)</f>
        <v>6.178666666666667E-2</v>
      </c>
      <c r="EY167" s="18">
        <f>IFERROR(CY167/'McDonough &amp; Sun 1995 values'!P$2,)</f>
        <v>1.1625615763546798E-2</v>
      </c>
      <c r="EZ167" s="18">
        <f>IFERROR(DH167/'McDonough &amp; Sun 1995 values'!Q$2,)</f>
        <v>3.4169611307420494E-2</v>
      </c>
      <c r="FA167" s="18">
        <f>IFERROR(CK167/'McDonough &amp; Sun 1995 values'!R$2,)</f>
        <v>4.0857142857142856E-2</v>
      </c>
      <c r="FB167" s="18">
        <f>IFERROR(CZ167/'McDonough &amp; Sun 1995 values'!S$2,)</f>
        <v>0.16753246753246753</v>
      </c>
      <c r="FC167" s="18">
        <f>IFERROR(BT167/'McDonough &amp; Sun 1995 values'!T$2,)</f>
        <v>6.6168741355463354E-5</v>
      </c>
      <c r="FD167" s="18">
        <f>IFERROR(DA167/'McDonough &amp; Sun 1995 values'!U$2,)</f>
        <v>1.2169117647058823E-2</v>
      </c>
      <c r="FE167" s="18">
        <f>IFERROR(DN167/'McDonough &amp; Sun 1995 values'!V$2,)</f>
        <v>1.1616161616161615E-3</v>
      </c>
      <c r="FF167" s="18">
        <f>IFERROR(DB167/'McDonough &amp; Sun 1995 values'!W$2,)</f>
        <v>8.5608308605341244E-4</v>
      </c>
      <c r="FG167" s="18">
        <f>IFERROR(CJ167/'McDonough &amp; Sun 1995 values'!X$2,)</f>
        <v>1.855813953488372E-4</v>
      </c>
      <c r="FH167" s="18">
        <f>IFERROR(DC167/'McDonough &amp; Sun 1995 values'!Y$2,)</f>
        <v>0</v>
      </c>
      <c r="FI167" s="18">
        <f>IFERROR(DD167/'McDonough &amp; Sun 1995 values'!Z$2,)</f>
        <v>0</v>
      </c>
      <c r="FJ167" s="18">
        <f>IFERROR(DE167/'McDonough &amp; Sun 1995 values'!AA$2,)</f>
        <v>0</v>
      </c>
      <c r="FK167" s="18">
        <f>IFERROR(DF167/'McDonough &amp; Sun 1995 values'!AB$2,)</f>
        <v>0</v>
      </c>
      <c r="FL167" s="18">
        <f>IFERROR(DG167/'McDonough &amp; Sun 1995 values'!AC$2,)</f>
        <v>8.444444444444443E-5</v>
      </c>
      <c r="FN167" s="28">
        <f t="shared" si="299"/>
        <v>0</v>
      </c>
      <c r="FO167" s="4">
        <f t="shared" si="309"/>
        <v>46.897689768976903</v>
      </c>
      <c r="FP167" s="4">
        <f t="shared" si="310"/>
        <v>40.413029193654381</v>
      </c>
      <c r="FQ167" s="4">
        <f t="shared" si="311"/>
        <v>11.579052244847126</v>
      </c>
      <c r="FR167" s="4">
        <f t="shared" si="312"/>
        <v>7.274737423991156</v>
      </c>
      <c r="FS167" s="4">
        <f t="shared" si="313"/>
        <v>0</v>
      </c>
      <c r="FT167" s="4">
        <f t="shared" si="314"/>
        <v>0.49696132596685083</v>
      </c>
      <c r="FU167" s="4">
        <f t="shared" si="315"/>
        <v>0</v>
      </c>
      <c r="FV167" s="4">
        <f t="shared" si="316"/>
        <v>3.5144067796610168</v>
      </c>
      <c r="FW167" s="4">
        <f t="shared" si="317"/>
        <v>1.1957157630373763</v>
      </c>
      <c r="FX167" s="4">
        <f t="shared" si="318"/>
        <v>14.081474639072539</v>
      </c>
      <c r="FY167" s="4">
        <f t="shared" si="319"/>
        <v>2.3407601602112957</v>
      </c>
      <c r="FZ167" s="4">
        <f t="shared" si="320"/>
        <v>14.085149395334351</v>
      </c>
      <c r="GA167" s="4">
        <f t="shared" si="321"/>
        <v>1.5926535331524885</v>
      </c>
      <c r="GB167" s="4">
        <f t="shared" si="322"/>
        <v>14.410631741140216</v>
      </c>
      <c r="GC167" s="4">
        <f t="shared" si="323"/>
        <v>2.0122290161200667</v>
      </c>
      <c r="GD167" s="4">
        <f t="shared" si="324"/>
        <v>4.0502183406113534</v>
      </c>
      <c r="GE167" s="4">
        <f t="shared" si="325"/>
        <v>54.474708171206231</v>
      </c>
      <c r="GF167" s="4">
        <f t="shared" si="326"/>
        <v>0</v>
      </c>
      <c r="GG167" s="4">
        <f t="shared" si="327"/>
        <v>163.68159203980102</v>
      </c>
      <c r="GH167" s="4">
        <f t="shared" si="328"/>
        <v>7.7701300120179173</v>
      </c>
      <c r="GI167" s="4">
        <f t="shared" si="329"/>
        <v>89.202762084118021</v>
      </c>
      <c r="GJ167" s="4">
        <f t="shared" si="330"/>
        <v>1211.3742858976827</v>
      </c>
      <c r="GK167" s="4">
        <f t="shared" si="331"/>
        <v>0</v>
      </c>
      <c r="GL167" s="4">
        <f t="shared" si="332"/>
        <v>617.46894409937875</v>
      </c>
      <c r="GM167" s="4">
        <f t="shared" si="333"/>
        <v>13.449820130680568</v>
      </c>
      <c r="GN167" s="4">
        <f t="shared" si="334"/>
        <v>0.13746200607902734</v>
      </c>
      <c r="GO167" s="4">
        <f t="shared" si="335"/>
        <v>0.28651780071624178</v>
      </c>
      <c r="GP167" s="4">
        <f t="shared" si="336"/>
        <v>0</v>
      </c>
      <c r="GQ167" s="27">
        <f t="shared" si="337"/>
        <v>226234.14713874584</v>
      </c>
      <c r="GR167" s="28" t="str">
        <f t="shared" si="338"/>
        <v/>
      </c>
      <c r="GS167" s="28" t="str">
        <f t="shared" si="339"/>
        <v/>
      </c>
      <c r="GT167" s="28" t="str">
        <f t="shared" si="340"/>
        <v/>
      </c>
      <c r="GU167" s="28" t="str">
        <f t="shared" si="341"/>
        <v/>
      </c>
      <c r="GV167" s="28" t="str">
        <f t="shared" si="342"/>
        <v/>
      </c>
      <c r="GW167" s="28" t="str">
        <f t="shared" si="343"/>
        <v/>
      </c>
      <c r="GX167" s="28" t="str">
        <f t="shared" si="344"/>
        <v/>
      </c>
      <c r="GY167" s="28" t="str">
        <f t="shared" si="345"/>
        <v/>
      </c>
      <c r="GZ167" s="28" t="str">
        <f t="shared" si="346"/>
        <v/>
      </c>
      <c r="HA167" s="28" t="str">
        <f t="shared" si="347"/>
        <v/>
      </c>
      <c r="HB167" s="28" t="str">
        <f t="shared" si="348"/>
        <v/>
      </c>
      <c r="HC167" s="28" t="str">
        <f t="shared" si="349"/>
        <v/>
      </c>
      <c r="HD167" s="28" t="str">
        <f t="shared" si="350"/>
        <v/>
      </c>
      <c r="HE167" s="28" t="str">
        <f t="shared" si="351"/>
        <v/>
      </c>
      <c r="HF167" s="28" t="str">
        <f t="shared" si="352"/>
        <v/>
      </c>
      <c r="HG167" s="28" t="str">
        <f t="shared" si="353"/>
        <v/>
      </c>
      <c r="HH167" s="28" t="str">
        <f t="shared" si="354"/>
        <v/>
      </c>
      <c r="HI167" s="28" t="str">
        <f t="shared" si="355"/>
        <v/>
      </c>
      <c r="HJ167" s="28" t="str">
        <f t="shared" si="356"/>
        <v/>
      </c>
      <c r="HK167" s="28" t="str">
        <f t="shared" si="357"/>
        <v/>
      </c>
      <c r="HL167" s="28" t="str">
        <f t="shared" si="358"/>
        <v/>
      </c>
      <c r="HM167" s="28" t="str">
        <f t="shared" si="359"/>
        <v/>
      </c>
      <c r="HN167" s="28" t="str">
        <f t="shared" si="360"/>
        <v/>
      </c>
      <c r="HO167" s="28" t="str">
        <f t="shared" si="361"/>
        <v/>
      </c>
      <c r="HP167" s="28" t="str">
        <f t="shared" si="362"/>
        <v/>
      </c>
      <c r="HQ167" s="28" t="str">
        <f t="shared" si="363"/>
        <v/>
      </c>
      <c r="HR167" s="28" t="str">
        <f t="shared" si="364"/>
        <v/>
      </c>
      <c r="HT167" s="4">
        <f>IFERROR(GR167/'McDonough &amp; Sun 1995 values'!C$2,)</f>
        <v>0</v>
      </c>
      <c r="HU167" s="4">
        <f>IFERROR(GS167/'McDonough &amp; Sun 1995 values'!D$2,)</f>
        <v>0</v>
      </c>
      <c r="HV167" s="4">
        <f>IFERROR(GT167/'McDonough &amp; Sun 1995 values'!E$2,)</f>
        <v>0</v>
      </c>
      <c r="HW167" s="4">
        <f>IFERROR(GU167/'McDonough &amp; Sun 1995 values'!F$2,)</f>
        <v>0</v>
      </c>
      <c r="HX167" s="4">
        <f>IFERROR(GV167/'McDonough &amp; Sun 1995 values'!G$2,)</f>
        <v>0</v>
      </c>
      <c r="HY167" s="4">
        <f>IFERROR(GW167/'McDonough &amp; Sun 1995 values'!H$2,)</f>
        <v>0</v>
      </c>
      <c r="HZ167" s="4">
        <f>IFERROR(GX167/'McDonough &amp; Sun 1995 values'!I$2,)</f>
        <v>0</v>
      </c>
      <c r="IA167" s="4">
        <f>IFERROR(GY167/'McDonough &amp; Sun 1995 values'!J$2,)</f>
        <v>0</v>
      </c>
      <c r="IB167" s="4">
        <f>IFERROR(GZ167/'McDonough &amp; Sun 1995 values'!K$2,)</f>
        <v>0</v>
      </c>
      <c r="IC167" s="4">
        <f>IFERROR(HA167/'McDonough &amp; Sun 1995 values'!L$2,)</f>
        <v>0</v>
      </c>
      <c r="ID167" s="4">
        <f>IFERROR(HB167/'McDonough &amp; Sun 1995 values'!M$2,)</f>
        <v>0</v>
      </c>
      <c r="IE167" s="4">
        <f>IFERROR(HC167/'McDonough &amp; Sun 1995 values'!N$2,)</f>
        <v>0</v>
      </c>
      <c r="IF167" s="4">
        <f>IFERROR(HD167/'McDonough &amp; Sun 1995 values'!O$2,)</f>
        <v>0</v>
      </c>
      <c r="IG167" s="4">
        <f>IFERROR(HE167/'McDonough &amp; Sun 1995 values'!P$2,)</f>
        <v>0</v>
      </c>
      <c r="IH167" s="4">
        <f>IFERROR(HF167/'McDonough &amp; Sun 1995 values'!Q$2,)</f>
        <v>0</v>
      </c>
      <c r="II167" s="4">
        <f>IFERROR(HG167/'McDonough &amp; Sun 1995 values'!R$2,)</f>
        <v>0</v>
      </c>
      <c r="IJ167" s="4">
        <f>IFERROR(HH167/'McDonough &amp; Sun 1995 values'!S$2,)</f>
        <v>0</v>
      </c>
      <c r="IK167" s="4">
        <f>IFERROR(HI167/'McDonough &amp; Sun 1995 values'!T$2,)</f>
        <v>0</v>
      </c>
      <c r="IL167" s="4">
        <f>IFERROR(HJ167/'McDonough &amp; Sun 1995 values'!U$2,)</f>
        <v>0</v>
      </c>
      <c r="IM167" s="4">
        <f>IFERROR(HK167/'McDonough &amp; Sun 1995 values'!V$2,)</f>
        <v>0</v>
      </c>
      <c r="IN167" s="4">
        <f>IFERROR(HL167/'McDonough &amp; Sun 1995 values'!W$2,)</f>
        <v>0</v>
      </c>
      <c r="IO167" s="4">
        <f>IFERROR(HM167/'McDonough &amp; Sun 1995 values'!X$2,)</f>
        <v>0</v>
      </c>
      <c r="IP167" s="4">
        <f>IFERROR(HN167/'McDonough &amp; Sun 1995 values'!Y$2,)</f>
        <v>0</v>
      </c>
      <c r="IQ167" s="4">
        <f>IFERROR(HO167/'McDonough &amp; Sun 1995 values'!Z$2,)</f>
        <v>0</v>
      </c>
      <c r="IR167" s="4">
        <f>IFERROR(HP167/'McDonough &amp; Sun 1995 values'!AA$2,)</f>
        <v>0</v>
      </c>
      <c r="IS167" s="4">
        <f>IFERROR(HQ167/'McDonough &amp; Sun 1995 values'!AB$2,)</f>
        <v>0</v>
      </c>
      <c r="IT167" s="4">
        <f>IFERROR(HR167/'McDonough &amp; Sun 1995 values'!AC$2,)</f>
        <v>0</v>
      </c>
    </row>
    <row r="168" spans="1:254">
      <c r="A168" s="16" t="s">
        <v>1160</v>
      </c>
      <c r="B168" s="16" t="s">
        <v>24</v>
      </c>
      <c r="C168" s="16" t="str">
        <f t="shared" si="304"/>
        <v>saline</v>
      </c>
      <c r="D168" s="16" t="s">
        <v>119</v>
      </c>
      <c r="E168" s="16" t="s">
        <v>806</v>
      </c>
      <c r="F168" s="16" t="s">
        <v>139</v>
      </c>
      <c r="G168" s="16" t="s">
        <v>595</v>
      </c>
      <c r="H168" s="27">
        <v>2700</v>
      </c>
      <c r="I168" s="16" t="s">
        <v>735</v>
      </c>
      <c r="J168" s="16" t="s">
        <v>1311</v>
      </c>
      <c r="K168" s="16" t="s">
        <v>968</v>
      </c>
      <c r="L168" s="16">
        <v>0</v>
      </c>
      <c r="M168" s="16" t="s">
        <v>143</v>
      </c>
      <c r="N168" s="16">
        <v>40</v>
      </c>
      <c r="O168" s="26">
        <v>1.99</v>
      </c>
      <c r="P168" s="26"/>
      <c r="Q168" s="26"/>
      <c r="R168" s="26">
        <v>0.28000000000000003</v>
      </c>
      <c r="S168" s="26">
        <v>4.8600000000000003</v>
      </c>
      <c r="T168" s="26">
        <v>3.18</v>
      </c>
      <c r="U168" s="26"/>
      <c r="V168" s="26">
        <v>2.78</v>
      </c>
      <c r="W168" s="26">
        <v>14.12</v>
      </c>
      <c r="X168" s="26">
        <v>25.66</v>
      </c>
      <c r="Y168" s="26"/>
      <c r="Z168" s="26"/>
      <c r="AA168" s="26"/>
      <c r="AB168" s="26">
        <v>16.809999999999999</v>
      </c>
      <c r="AC168" s="26"/>
      <c r="AD168" s="26">
        <v>30.31</v>
      </c>
      <c r="AE168" s="26"/>
      <c r="AF168" s="26"/>
      <c r="AG168" s="26"/>
      <c r="AH168" s="26"/>
      <c r="AI168" s="26"/>
      <c r="AJ168" s="26">
        <f t="shared" si="305"/>
        <v>99.990000000000009</v>
      </c>
      <c r="AK168" s="26">
        <f t="shared" si="365"/>
        <v>2.1363405316904922</v>
      </c>
      <c r="AL168" s="26">
        <f t="shared" si="366"/>
        <v>0</v>
      </c>
      <c r="AM168" s="26">
        <f t="shared" si="367"/>
        <v>0.30059062757454164</v>
      </c>
      <c r="AN168" s="26">
        <f t="shared" si="368"/>
        <v>5.2173944643295433</v>
      </c>
      <c r="AO168" s="26">
        <f t="shared" si="369"/>
        <v>3.4138506988822939</v>
      </c>
      <c r="AP168" s="26">
        <f t="shared" si="370"/>
        <v>2.9844355166329484</v>
      </c>
      <c r="AQ168" s="26">
        <f t="shared" si="371"/>
        <v>18.04617303402873</v>
      </c>
      <c r="AR168" s="26">
        <f t="shared" si="372"/>
        <v>15.158355933401882</v>
      </c>
      <c r="AS168" s="26">
        <f t="shared" si="373"/>
        <v>27.546983941295487</v>
      </c>
      <c r="AT168" s="26">
        <f t="shared" si="374"/>
        <v>0</v>
      </c>
      <c r="AU168" s="26">
        <f t="shared" si="375"/>
        <v>32.538935434944129</v>
      </c>
      <c r="AV168" s="26">
        <f t="shared" si="306"/>
        <v>107.34306018278005</v>
      </c>
      <c r="AW168" s="16"/>
      <c r="AX168" s="16"/>
      <c r="AY168" s="16"/>
      <c r="AZ168" s="16"/>
      <c r="BA168" s="26"/>
      <c r="BB168" s="26"/>
      <c r="BC168" s="26"/>
      <c r="BD168" s="26"/>
      <c r="BE168" s="16"/>
      <c r="BF168" s="16"/>
      <c r="BG168" s="16">
        <v>0</v>
      </c>
      <c r="BH168" s="16"/>
      <c r="BI168" s="16"/>
      <c r="BJ168" s="16"/>
      <c r="BK168" s="18"/>
      <c r="BL168" s="18"/>
      <c r="BM168" s="18"/>
      <c r="BN168" s="18"/>
      <c r="BO168" s="18"/>
      <c r="BP168" s="18"/>
      <c r="BQ168" s="18"/>
      <c r="BR168" s="18"/>
      <c r="BS168" s="18"/>
      <c r="BT168" s="18">
        <v>9.5000000000000015E-3</v>
      </c>
      <c r="BU168" s="18"/>
      <c r="BV168" s="18"/>
      <c r="BW168" s="18"/>
      <c r="BX168" s="18"/>
      <c r="BY168" s="18"/>
      <c r="BZ168" s="18"/>
      <c r="CA168" s="18"/>
      <c r="CB168" s="18"/>
      <c r="CC168" s="18"/>
      <c r="CD168" s="18"/>
      <c r="CE168" s="18"/>
      <c r="CF168" s="18"/>
      <c r="CG168" s="18"/>
      <c r="CH168" s="18">
        <v>0.19400000000000001</v>
      </c>
      <c r="CI168" s="18">
        <v>3.49</v>
      </c>
      <c r="CJ168" s="18"/>
      <c r="CK168" s="18">
        <v>0.41399999999999998</v>
      </c>
      <c r="CL168" s="18"/>
      <c r="CM168" s="18">
        <v>5.2699999999999997E-2</v>
      </c>
      <c r="CN168" s="18"/>
      <c r="CO168" s="18"/>
      <c r="CP168" s="18"/>
      <c r="CQ168" s="18"/>
      <c r="CR168" s="18">
        <v>1.2200000000000001E-2</v>
      </c>
      <c r="CS168" s="18">
        <v>94</v>
      </c>
      <c r="CT168" s="18"/>
      <c r="CU168" s="18">
        <v>1.1299999999999999</v>
      </c>
      <c r="CV168" s="18">
        <v>0.79500000000000004</v>
      </c>
      <c r="CW168" s="18">
        <v>2.8199999999999999E-2</v>
      </c>
      <c r="CX168" s="18">
        <v>0.10366666666666667</v>
      </c>
      <c r="CY168" s="18">
        <v>3.8149999999999998E-3</v>
      </c>
      <c r="CZ168" s="18">
        <v>1.3899999999999999E-2</v>
      </c>
      <c r="DA168" s="18">
        <v>4.6499999999999996E-3</v>
      </c>
      <c r="DB168" s="18">
        <v>1.2800000000000001E-3</v>
      </c>
      <c r="DC168" s="18"/>
      <c r="DD168" s="18"/>
      <c r="DE168" s="18"/>
      <c r="DF168" s="18"/>
      <c r="DG168" s="18"/>
      <c r="DH168" s="18">
        <v>7.8600000000000007E-3</v>
      </c>
      <c r="DI168" s="18"/>
      <c r="DJ168" s="18"/>
      <c r="DK168" s="18">
        <v>0.56699999999999995</v>
      </c>
      <c r="DL168" s="18">
        <v>0.63200000000000001</v>
      </c>
      <c r="DM168" s="18">
        <v>2.5499999999999998E-2</v>
      </c>
      <c r="DN168" s="18">
        <v>2.3699999999999999E-4</v>
      </c>
      <c r="DO168" s="18"/>
      <c r="DP168" s="18"/>
      <c r="DQ168" s="18"/>
      <c r="DR168" s="18"/>
      <c r="DS168" s="18"/>
      <c r="DT168" s="18">
        <v>0.161</v>
      </c>
      <c r="DU168" s="18">
        <v>11</v>
      </c>
      <c r="DV168" s="28">
        <v>0.70628000000000002</v>
      </c>
      <c r="DW168" s="28">
        <v>7.4999999999999997E-3</v>
      </c>
      <c r="DX168" s="28">
        <v>0.7</v>
      </c>
      <c r="DY168" s="28">
        <v>2.7000000000000001E-3</v>
      </c>
      <c r="DZ168" s="28"/>
      <c r="EA168" s="28"/>
      <c r="EB168" s="28"/>
      <c r="EC168" s="28"/>
      <c r="ED168" s="28"/>
      <c r="EE168" s="28"/>
      <c r="EF168" s="28"/>
      <c r="EG168" s="28"/>
      <c r="EH168" s="28"/>
      <c r="EI168" s="28"/>
      <c r="EJ168" s="18"/>
      <c r="EK168" s="18"/>
      <c r="EL168" s="18">
        <f>IFERROR(CR168/'McDonough &amp; Sun 1995 values'!C$2,)</f>
        <v>0.580952380952381</v>
      </c>
      <c r="EM168" s="18">
        <f>IFERROR(CH168/'McDonough &amp; Sun 1995 values'!D$2,)</f>
        <v>0.32333333333333336</v>
      </c>
      <c r="EN168" s="18">
        <f>IFERROR(CS168/'McDonough &amp; Sun 1995 values'!E$2,)</f>
        <v>14.242424242424244</v>
      </c>
      <c r="EO168" s="18">
        <f>IFERROR(DL168/'McDonough &amp; Sun 1995 values'!F$2,)</f>
        <v>7.949685534591195</v>
      </c>
      <c r="EP168" s="18">
        <f>IFERROR(DM168/'McDonough &amp; Sun 1995 values'!G$2,)</f>
        <v>1.2561576354679802</v>
      </c>
      <c r="EQ168" s="18">
        <f>IFERROR(BR168/'McDonough &amp; Sun 1995 values'!H$2,)</f>
        <v>0</v>
      </c>
      <c r="ER168" s="18">
        <f>IFERROR(DI168/'McDonough &amp; Sun 1995 values'!I$2,)</f>
        <v>0</v>
      </c>
      <c r="ES168" s="18">
        <f>IFERROR(CM168/'McDonough &amp; Sun 1995 values'!J$2,)</f>
        <v>8.0091185410334331E-2</v>
      </c>
      <c r="ET168" s="18">
        <f>IFERROR(CU168/'McDonough &amp; Sun 1995 values'!K$2,)</f>
        <v>1.7438271604938269</v>
      </c>
      <c r="EU168" s="18">
        <f>IFERROR(CV168/'McDonough &amp; Sun 1995 values'!L$2,)</f>
        <v>0.47462686567164181</v>
      </c>
      <c r="EV168" s="18">
        <f>IFERROR(CW168/'McDonough &amp; Sun 1995 values'!M$2,)</f>
        <v>0.11102362204724409</v>
      </c>
      <c r="EW168" s="18">
        <f>IFERROR(CI168/'McDonough &amp; Sun 1995 values'!N$2,)</f>
        <v>0.17537688442211058</v>
      </c>
      <c r="EX168" s="18">
        <f>IFERROR(CX168/'McDonough &amp; Sun 1995 values'!O$2,)</f>
        <v>8.2933333333333331E-2</v>
      </c>
      <c r="EY168" s="18">
        <f>IFERROR(CY168/'McDonough &amp; Sun 1995 values'!P$2,)</f>
        <v>9.3965517241379297E-3</v>
      </c>
      <c r="EZ168" s="18">
        <f>IFERROR(DH168/'McDonough &amp; Sun 1995 values'!Q$2,)</f>
        <v>2.7773851590106011E-2</v>
      </c>
      <c r="FA168" s="18">
        <f>IFERROR(CK168/'McDonough &amp; Sun 1995 values'!R$2,)</f>
        <v>3.9428571428571424E-2</v>
      </c>
      <c r="FB168" s="18">
        <f>IFERROR(CZ168/'McDonough &amp; Sun 1995 values'!S$2,)</f>
        <v>9.0259740259740262E-2</v>
      </c>
      <c r="FC168" s="18">
        <f>IFERROR(BT168/'McDonough &amp; Sun 1995 values'!T$2,)</f>
        <v>7.8838174273858934E-6</v>
      </c>
      <c r="FD168" s="18">
        <f>IFERROR(DA168/'McDonough &amp; Sun 1995 values'!U$2,)</f>
        <v>8.5477941176470579E-3</v>
      </c>
      <c r="FE168" s="18">
        <f>IFERROR(DN168/'McDonough &amp; Sun 1995 values'!V$2,)</f>
        <v>2.3939393939393936E-3</v>
      </c>
      <c r="FF168" s="18">
        <f>IFERROR(DB168/'McDonough &amp; Sun 1995 values'!W$2,)</f>
        <v>1.8991097922848666E-3</v>
      </c>
      <c r="FG168" s="18">
        <f>IFERROR(CJ168/'McDonough &amp; Sun 1995 values'!X$2,)</f>
        <v>0</v>
      </c>
      <c r="FH168" s="18">
        <f>IFERROR(DC168/'McDonough &amp; Sun 1995 values'!Y$2,)</f>
        <v>0</v>
      </c>
      <c r="FI168" s="18">
        <f>IFERROR(DD168/'McDonough &amp; Sun 1995 values'!Z$2,)</f>
        <v>0</v>
      </c>
      <c r="FJ168" s="18">
        <f>IFERROR(DE168/'McDonough &amp; Sun 1995 values'!AA$2,)</f>
        <v>0</v>
      </c>
      <c r="FK168" s="18">
        <f>IFERROR(DF168/'McDonough &amp; Sun 1995 values'!AB$2,)</f>
        <v>0</v>
      </c>
      <c r="FL168" s="18">
        <f>IFERROR(DG168/'McDonough &amp; Sun 1995 values'!AC$2,)</f>
        <v>0</v>
      </c>
      <c r="FN168" s="28">
        <f t="shared" si="299"/>
        <v>0</v>
      </c>
      <c r="FO168" s="4">
        <f t="shared" si="309"/>
        <v>11.338086749851458</v>
      </c>
      <c r="FP168" s="4">
        <f t="shared" si="310"/>
        <v>99.257933240246814</v>
      </c>
      <c r="FQ168" s="4">
        <f t="shared" si="311"/>
        <v>6.3285731902824027</v>
      </c>
      <c r="FR168" s="4">
        <f t="shared" si="312"/>
        <v>21.773022231592758</v>
      </c>
      <c r="FS168" s="4">
        <f t="shared" si="313"/>
        <v>0</v>
      </c>
      <c r="FT168" s="4">
        <f t="shared" si="314"/>
        <v>0.55655737704918029</v>
      </c>
      <c r="FU168" s="4">
        <f t="shared" si="315"/>
        <v>0</v>
      </c>
      <c r="FV168" s="4">
        <f t="shared" si="316"/>
        <v>4.1960681520314553</v>
      </c>
      <c r="FW168" s="4">
        <f t="shared" si="317"/>
        <v>1.4196292257360956</v>
      </c>
      <c r="FX168" s="4">
        <f t="shared" si="318"/>
        <v>10.05996440946457</v>
      </c>
      <c r="FY168" s="4">
        <f t="shared" si="319"/>
        <v>1.8276797247701189</v>
      </c>
      <c r="FZ168" s="4">
        <f t="shared" si="320"/>
        <v>10.071236591899435</v>
      </c>
      <c r="GA168" s="4">
        <f t="shared" si="321"/>
        <v>1.5796357674899324</v>
      </c>
      <c r="GB168" s="4">
        <f t="shared" si="322"/>
        <v>9.6056237340641033</v>
      </c>
      <c r="GC168" s="4">
        <f t="shared" si="323"/>
        <v>1.7967599410898381</v>
      </c>
      <c r="GD168" s="4">
        <f t="shared" si="324"/>
        <v>1.791570771001151</v>
      </c>
      <c r="GE168" s="4">
        <f t="shared" si="325"/>
        <v>44.048734770384257</v>
      </c>
      <c r="GF168" s="4">
        <f t="shared" si="326"/>
        <v>0</v>
      </c>
      <c r="GG168" s="4">
        <f t="shared" si="327"/>
        <v>177.82761198320975</v>
      </c>
      <c r="GH168" s="4">
        <f t="shared" si="328"/>
        <v>15.706812012958585</v>
      </c>
      <c r="GI168" s="4">
        <f t="shared" si="329"/>
        <v>185.58160607090269</v>
      </c>
      <c r="GJ168" s="4">
        <f t="shared" si="330"/>
        <v>918.23398919753072</v>
      </c>
      <c r="GK168" s="4">
        <f t="shared" si="331"/>
        <v>0</v>
      </c>
      <c r="GL168" s="4">
        <f t="shared" si="332"/>
        <v>5001.2030075187959</v>
      </c>
      <c r="GM168" s="4">
        <f t="shared" si="333"/>
        <v>24.586656292550085</v>
      </c>
      <c r="GN168" s="4">
        <f t="shared" si="334"/>
        <v>4.5928396589289072E-2</v>
      </c>
      <c r="GO168" s="4">
        <f t="shared" si="335"/>
        <v>6.3758865248226937E-2</v>
      </c>
      <c r="GP168" s="4">
        <f t="shared" si="336"/>
        <v>0</v>
      </c>
      <c r="GQ168" s="27">
        <f t="shared" si="337"/>
        <v>228677.79001922172</v>
      </c>
      <c r="GR168" s="28" t="str">
        <f t="shared" si="338"/>
        <v/>
      </c>
      <c r="GS168" s="28" t="str">
        <f t="shared" si="339"/>
        <v/>
      </c>
      <c r="GT168" s="28" t="str">
        <f t="shared" si="340"/>
        <v/>
      </c>
      <c r="GU168" s="28" t="str">
        <f t="shared" si="341"/>
        <v/>
      </c>
      <c r="GV168" s="28" t="str">
        <f t="shared" si="342"/>
        <v/>
      </c>
      <c r="GW168" s="28" t="str">
        <f t="shared" si="343"/>
        <v/>
      </c>
      <c r="GX168" s="28" t="str">
        <f t="shared" si="344"/>
        <v/>
      </c>
      <c r="GY168" s="28" t="str">
        <f t="shared" si="345"/>
        <v/>
      </c>
      <c r="GZ168" s="28" t="str">
        <f t="shared" si="346"/>
        <v/>
      </c>
      <c r="HA168" s="28" t="str">
        <f t="shared" si="347"/>
        <v/>
      </c>
      <c r="HB168" s="28" t="str">
        <f t="shared" si="348"/>
        <v/>
      </c>
      <c r="HC168" s="28" t="str">
        <f t="shared" si="349"/>
        <v/>
      </c>
      <c r="HD168" s="28" t="str">
        <f t="shared" si="350"/>
        <v/>
      </c>
      <c r="HE168" s="28" t="str">
        <f t="shared" si="351"/>
        <v/>
      </c>
      <c r="HF168" s="28" t="str">
        <f t="shared" si="352"/>
        <v/>
      </c>
      <c r="HG168" s="28" t="str">
        <f t="shared" si="353"/>
        <v/>
      </c>
      <c r="HH168" s="28" t="str">
        <f t="shared" si="354"/>
        <v/>
      </c>
      <c r="HI168" s="28" t="str">
        <f t="shared" si="355"/>
        <v/>
      </c>
      <c r="HJ168" s="28" t="str">
        <f t="shared" si="356"/>
        <v/>
      </c>
      <c r="HK168" s="28" t="str">
        <f t="shared" si="357"/>
        <v/>
      </c>
      <c r="HL168" s="28" t="str">
        <f t="shared" si="358"/>
        <v/>
      </c>
      <c r="HM168" s="28" t="str">
        <f t="shared" si="359"/>
        <v/>
      </c>
      <c r="HN168" s="28" t="str">
        <f t="shared" si="360"/>
        <v/>
      </c>
      <c r="HO168" s="28" t="str">
        <f t="shared" si="361"/>
        <v/>
      </c>
      <c r="HP168" s="28" t="str">
        <f t="shared" si="362"/>
        <v/>
      </c>
      <c r="HQ168" s="28" t="str">
        <f t="shared" si="363"/>
        <v/>
      </c>
      <c r="HR168" s="28" t="str">
        <f t="shared" si="364"/>
        <v/>
      </c>
      <c r="HT168" s="4">
        <f>IFERROR(GR168/'McDonough &amp; Sun 1995 values'!C$2,)</f>
        <v>0</v>
      </c>
      <c r="HU168" s="4">
        <f>IFERROR(GS168/'McDonough &amp; Sun 1995 values'!D$2,)</f>
        <v>0</v>
      </c>
      <c r="HV168" s="4">
        <f>IFERROR(GT168/'McDonough &amp; Sun 1995 values'!E$2,)</f>
        <v>0</v>
      </c>
      <c r="HW168" s="4">
        <f>IFERROR(GU168/'McDonough &amp; Sun 1995 values'!F$2,)</f>
        <v>0</v>
      </c>
      <c r="HX168" s="4">
        <f>IFERROR(GV168/'McDonough &amp; Sun 1995 values'!G$2,)</f>
        <v>0</v>
      </c>
      <c r="HY168" s="4">
        <f>IFERROR(GW168/'McDonough &amp; Sun 1995 values'!H$2,)</f>
        <v>0</v>
      </c>
      <c r="HZ168" s="4">
        <f>IFERROR(GX168/'McDonough &amp; Sun 1995 values'!I$2,)</f>
        <v>0</v>
      </c>
      <c r="IA168" s="4">
        <f>IFERROR(GY168/'McDonough &amp; Sun 1995 values'!J$2,)</f>
        <v>0</v>
      </c>
      <c r="IB168" s="4">
        <f>IFERROR(GZ168/'McDonough &amp; Sun 1995 values'!K$2,)</f>
        <v>0</v>
      </c>
      <c r="IC168" s="4">
        <f>IFERROR(HA168/'McDonough &amp; Sun 1995 values'!L$2,)</f>
        <v>0</v>
      </c>
      <c r="ID168" s="4">
        <f>IFERROR(HB168/'McDonough &amp; Sun 1995 values'!M$2,)</f>
        <v>0</v>
      </c>
      <c r="IE168" s="4">
        <f>IFERROR(HC168/'McDonough &amp; Sun 1995 values'!N$2,)</f>
        <v>0</v>
      </c>
      <c r="IF168" s="4">
        <f>IFERROR(HD168/'McDonough &amp; Sun 1995 values'!O$2,)</f>
        <v>0</v>
      </c>
      <c r="IG168" s="4">
        <f>IFERROR(HE168/'McDonough &amp; Sun 1995 values'!P$2,)</f>
        <v>0</v>
      </c>
      <c r="IH168" s="4">
        <f>IFERROR(HF168/'McDonough &amp; Sun 1995 values'!Q$2,)</f>
        <v>0</v>
      </c>
      <c r="II168" s="4">
        <f>IFERROR(HG168/'McDonough &amp; Sun 1995 values'!R$2,)</f>
        <v>0</v>
      </c>
      <c r="IJ168" s="4">
        <f>IFERROR(HH168/'McDonough &amp; Sun 1995 values'!S$2,)</f>
        <v>0</v>
      </c>
      <c r="IK168" s="4">
        <f>IFERROR(HI168/'McDonough &amp; Sun 1995 values'!T$2,)</f>
        <v>0</v>
      </c>
      <c r="IL168" s="4">
        <f>IFERROR(HJ168/'McDonough &amp; Sun 1995 values'!U$2,)</f>
        <v>0</v>
      </c>
      <c r="IM168" s="4">
        <f>IFERROR(HK168/'McDonough &amp; Sun 1995 values'!V$2,)</f>
        <v>0</v>
      </c>
      <c r="IN168" s="4">
        <f>IFERROR(HL168/'McDonough &amp; Sun 1995 values'!W$2,)</f>
        <v>0</v>
      </c>
      <c r="IO168" s="4">
        <f>IFERROR(HM168/'McDonough &amp; Sun 1995 values'!X$2,)</f>
        <v>0</v>
      </c>
      <c r="IP168" s="4">
        <f>IFERROR(HN168/'McDonough &amp; Sun 1995 values'!Y$2,)</f>
        <v>0</v>
      </c>
      <c r="IQ168" s="4">
        <f>IFERROR(HO168/'McDonough &amp; Sun 1995 values'!Z$2,)</f>
        <v>0</v>
      </c>
      <c r="IR168" s="4">
        <f>IFERROR(HP168/'McDonough &amp; Sun 1995 values'!AA$2,)</f>
        <v>0</v>
      </c>
      <c r="IS168" s="4">
        <f>IFERROR(HQ168/'McDonough &amp; Sun 1995 values'!AB$2,)</f>
        <v>0</v>
      </c>
      <c r="IT168" s="4">
        <f>IFERROR(HR168/'McDonough &amp; Sun 1995 values'!AC$2,)</f>
        <v>0</v>
      </c>
    </row>
    <row r="169" spans="1:254">
      <c r="A169" s="16" t="s">
        <v>1162</v>
      </c>
      <c r="B169" s="16" t="s">
        <v>24</v>
      </c>
      <c r="C169" s="16" t="str">
        <f t="shared" si="304"/>
        <v>saline</v>
      </c>
      <c r="D169" s="16" t="s">
        <v>1429</v>
      </c>
      <c r="E169" s="16" t="s">
        <v>801</v>
      </c>
      <c r="F169" s="16" t="s">
        <v>800</v>
      </c>
      <c r="G169" s="16" t="s">
        <v>829</v>
      </c>
      <c r="H169" s="27">
        <v>0</v>
      </c>
      <c r="I169" s="16" t="s">
        <v>712</v>
      </c>
      <c r="J169" s="16">
        <v>0</v>
      </c>
      <c r="K169" s="16" t="s">
        <v>1169</v>
      </c>
      <c r="L169" s="16" t="s">
        <v>1428</v>
      </c>
      <c r="M169" s="16" t="s">
        <v>786</v>
      </c>
      <c r="N169" s="16">
        <v>15</v>
      </c>
      <c r="O169" s="26">
        <v>19.8</v>
      </c>
      <c r="P169" s="26">
        <v>1.7</v>
      </c>
      <c r="Q169" s="26"/>
      <c r="R169" s="26">
        <v>2.2000000000000002</v>
      </c>
      <c r="S169" s="26">
        <v>4.7</v>
      </c>
      <c r="T169" s="26">
        <v>1.4</v>
      </c>
      <c r="U169" s="26"/>
      <c r="V169" s="26">
        <v>5.4</v>
      </c>
      <c r="W169" s="26">
        <v>4.4000000000000004</v>
      </c>
      <c r="X169" s="26">
        <v>21.7</v>
      </c>
      <c r="Y169" s="26"/>
      <c r="Z169" s="26">
        <v>2.7</v>
      </c>
      <c r="AA169" s="26"/>
      <c r="AB169" s="26">
        <v>16.8</v>
      </c>
      <c r="AC169" s="26"/>
      <c r="AD169" s="26">
        <v>21.4</v>
      </c>
      <c r="AE169" s="26"/>
      <c r="AF169" s="26"/>
      <c r="AG169" s="26"/>
      <c r="AH169" s="26"/>
      <c r="AI169" s="26">
        <v>4.5</v>
      </c>
      <c r="AJ169" s="26">
        <f t="shared" si="305"/>
        <v>102.19999999999999</v>
      </c>
      <c r="AK169" s="26">
        <f t="shared" si="365"/>
        <v>20.334666940920513</v>
      </c>
      <c r="AL169" s="26">
        <f t="shared" si="366"/>
        <v>1.7459057474527708</v>
      </c>
      <c r="AM169" s="26">
        <f t="shared" si="367"/>
        <v>2.259407437880057</v>
      </c>
      <c r="AN169" s="26">
        <f t="shared" si="368"/>
        <v>4.826915890016485</v>
      </c>
      <c r="AO169" s="26">
        <f t="shared" si="369"/>
        <v>1.4378047331963997</v>
      </c>
      <c r="AP169" s="26">
        <f t="shared" si="370"/>
        <v>5.5458182566146847</v>
      </c>
      <c r="AQ169" s="26">
        <f t="shared" si="371"/>
        <v>17.253656798356797</v>
      </c>
      <c r="AR169" s="26">
        <f t="shared" si="372"/>
        <v>4.5188148757601141</v>
      </c>
      <c r="AS169" s="26">
        <f t="shared" si="373"/>
        <v>22.285973364544194</v>
      </c>
      <c r="AT169" s="26">
        <f t="shared" si="374"/>
        <v>2.7729091283073424</v>
      </c>
      <c r="AU169" s="26">
        <f t="shared" si="375"/>
        <v>21.977872350287821</v>
      </c>
      <c r="AV169" s="26">
        <f t="shared" si="306"/>
        <v>104.95974552333719</v>
      </c>
      <c r="AW169" s="16"/>
      <c r="AX169" s="16"/>
      <c r="AY169" s="16"/>
      <c r="AZ169" s="16"/>
      <c r="BA169" s="26"/>
      <c r="BB169" s="26"/>
      <c r="BC169" s="26"/>
      <c r="BD169" s="26"/>
      <c r="BE169" s="16"/>
      <c r="BF169" s="16"/>
      <c r="BG169" s="16"/>
      <c r="BH169" s="16"/>
      <c r="BI169" s="16"/>
      <c r="BJ169" s="16"/>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28"/>
      <c r="DW169" s="28"/>
      <c r="DX169" s="28"/>
      <c r="DY169" s="28"/>
      <c r="DZ169" s="28"/>
      <c r="EA169" s="28"/>
      <c r="EB169" s="28"/>
      <c r="EC169" s="28"/>
      <c r="ED169" s="28"/>
      <c r="EE169" s="28"/>
      <c r="EF169" s="28"/>
      <c r="EG169" s="28"/>
      <c r="EH169" s="28"/>
      <c r="EI169" s="28"/>
      <c r="EJ169" s="18"/>
      <c r="EK169" s="18"/>
      <c r="EL169" s="18">
        <f>IFERROR(CR169/'McDonough &amp; Sun 1995 values'!C$2,)</f>
        <v>0</v>
      </c>
      <c r="EM169" s="18">
        <f>IFERROR(CH169/'McDonough &amp; Sun 1995 values'!D$2,)</f>
        <v>0</v>
      </c>
      <c r="EN169" s="18">
        <f>IFERROR(CS169/'McDonough &amp; Sun 1995 values'!E$2,)</f>
        <v>0</v>
      </c>
      <c r="EO169" s="18">
        <f>IFERROR(DL169/'McDonough &amp; Sun 1995 values'!F$2,)</f>
        <v>0</v>
      </c>
      <c r="EP169" s="18">
        <f>IFERROR(DM169/'McDonough &amp; Sun 1995 values'!G$2,)</f>
        <v>0</v>
      </c>
      <c r="EQ169" s="18">
        <f>IFERROR(BR169/'McDonough &amp; Sun 1995 values'!H$2,)</f>
        <v>0</v>
      </c>
      <c r="ER169" s="18">
        <f>IFERROR(DI169/'McDonough &amp; Sun 1995 values'!I$2,)</f>
        <v>0</v>
      </c>
      <c r="ES169" s="18">
        <f>IFERROR(CM169/'McDonough &amp; Sun 1995 values'!J$2,)</f>
        <v>0</v>
      </c>
      <c r="ET169" s="18">
        <f>IFERROR(CU169/'McDonough &amp; Sun 1995 values'!K$2,)</f>
        <v>0</v>
      </c>
      <c r="EU169" s="18">
        <f>IFERROR(CV169/'McDonough &amp; Sun 1995 values'!L$2,)</f>
        <v>0</v>
      </c>
      <c r="EV169" s="18">
        <f>IFERROR(CW169/'McDonough &amp; Sun 1995 values'!M$2,)</f>
        <v>0</v>
      </c>
      <c r="EW169" s="18">
        <f>IFERROR(CI169/'McDonough &amp; Sun 1995 values'!N$2,)</f>
        <v>0</v>
      </c>
      <c r="EX169" s="18">
        <f>IFERROR(CX169/'McDonough &amp; Sun 1995 values'!O$2,)</f>
        <v>0</v>
      </c>
      <c r="EY169" s="18">
        <f>IFERROR(CY169/'McDonough &amp; Sun 1995 values'!P$2,)</f>
        <v>0</v>
      </c>
      <c r="EZ169" s="18">
        <f>IFERROR(DH169/'McDonough &amp; Sun 1995 values'!Q$2,)</f>
        <v>0</v>
      </c>
      <c r="FA169" s="18">
        <f>IFERROR(CK169/'McDonough &amp; Sun 1995 values'!R$2,)</f>
        <v>0</v>
      </c>
      <c r="FB169" s="18">
        <f>IFERROR(CZ169/'McDonough &amp; Sun 1995 values'!S$2,)</f>
        <v>0</v>
      </c>
      <c r="FC169" s="18">
        <f>IFERROR(BT169/'McDonough &amp; Sun 1995 values'!T$2,)</f>
        <v>0</v>
      </c>
      <c r="FD169" s="18">
        <f>IFERROR(DA169/'McDonough &amp; Sun 1995 values'!U$2,)</f>
        <v>0</v>
      </c>
      <c r="FE169" s="18">
        <f>IFERROR(DN169/'McDonough &amp; Sun 1995 values'!V$2,)</f>
        <v>0</v>
      </c>
      <c r="FF169" s="18">
        <f>IFERROR(DB169/'McDonough &amp; Sun 1995 values'!W$2,)</f>
        <v>0</v>
      </c>
      <c r="FG169" s="18">
        <f>IFERROR(CJ169/'McDonough &amp; Sun 1995 values'!X$2,)</f>
        <v>0</v>
      </c>
      <c r="FH169" s="18">
        <f>IFERROR(DC169/'McDonough &amp; Sun 1995 values'!Y$2,)</f>
        <v>0</v>
      </c>
      <c r="FI169" s="18">
        <f>IFERROR(DD169/'McDonough &amp; Sun 1995 values'!Z$2,)</f>
        <v>0</v>
      </c>
      <c r="FJ169" s="18">
        <f>IFERROR(DE169/'McDonough &amp; Sun 1995 values'!AA$2,)</f>
        <v>0</v>
      </c>
      <c r="FK169" s="18">
        <f>IFERROR(DF169/'McDonough &amp; Sun 1995 values'!AB$2,)</f>
        <v>0</v>
      </c>
      <c r="FL169" s="18">
        <f>IFERROR(DG169/'McDonough &amp; Sun 1995 values'!AC$2,)</f>
        <v>0</v>
      </c>
      <c r="FN169" s="28">
        <f t="shared" si="299"/>
        <v>0</v>
      </c>
      <c r="FO169" s="4">
        <f t="shared" si="309"/>
        <v>0</v>
      </c>
      <c r="FP169" s="4">
        <f t="shared" si="310"/>
        <v>0</v>
      </c>
      <c r="FQ169" s="4">
        <f t="shared" si="311"/>
        <v>0</v>
      </c>
      <c r="FR169" s="4">
        <f t="shared" si="312"/>
        <v>0</v>
      </c>
      <c r="FS169" s="4">
        <f t="shared" si="313"/>
        <v>0</v>
      </c>
      <c r="FT169" s="4">
        <f t="shared" si="314"/>
        <v>0</v>
      </c>
      <c r="FU169" s="4">
        <f t="shared" si="315"/>
        <v>0</v>
      </c>
      <c r="FV169" s="4">
        <f t="shared" si="316"/>
        <v>0</v>
      </c>
      <c r="FW169" s="4">
        <f t="shared" si="317"/>
        <v>0</v>
      </c>
      <c r="FX169" s="4">
        <f t="shared" si="318"/>
        <v>0</v>
      </c>
      <c r="FY169" s="4">
        <f t="shared" si="319"/>
        <v>0</v>
      </c>
      <c r="FZ169" s="4">
        <f t="shared" si="320"/>
        <v>0</v>
      </c>
      <c r="GA169" s="4">
        <f t="shared" si="321"/>
        <v>0</v>
      </c>
      <c r="GB169" s="4">
        <f t="shared" si="322"/>
        <v>0</v>
      </c>
      <c r="GC169" s="4">
        <f t="shared" si="323"/>
        <v>0</v>
      </c>
      <c r="GD169" s="4">
        <f t="shared" si="324"/>
        <v>0</v>
      </c>
      <c r="GE169" s="4">
        <f t="shared" si="325"/>
        <v>0</v>
      </c>
      <c r="GF169" s="4">
        <f t="shared" si="326"/>
        <v>0</v>
      </c>
      <c r="GG169" s="4">
        <f t="shared" si="327"/>
        <v>0</v>
      </c>
      <c r="GH169" s="4">
        <f t="shared" si="328"/>
        <v>0</v>
      </c>
      <c r="GI169" s="4">
        <f t="shared" si="329"/>
        <v>0</v>
      </c>
      <c r="GJ169" s="4">
        <f t="shared" si="330"/>
        <v>0</v>
      </c>
      <c r="GK169" s="4">
        <f t="shared" si="331"/>
        <v>0</v>
      </c>
      <c r="GL169" s="4">
        <f t="shared" si="332"/>
        <v>0</v>
      </c>
      <c r="GM169" s="4">
        <f t="shared" si="333"/>
        <v>0</v>
      </c>
      <c r="GN169" s="4">
        <f t="shared" si="334"/>
        <v>0</v>
      </c>
      <c r="GO169" s="4">
        <f t="shared" si="335"/>
        <v>0</v>
      </c>
      <c r="GP169" s="4">
        <f t="shared" si="336"/>
        <v>0</v>
      </c>
      <c r="GQ169" s="27">
        <f t="shared" si="337"/>
        <v>185004.17861686004</v>
      </c>
      <c r="GR169" s="28" t="str">
        <f t="shared" si="338"/>
        <v/>
      </c>
      <c r="GS169" s="28" t="str">
        <f t="shared" si="339"/>
        <v/>
      </c>
      <c r="GT169" s="28" t="str">
        <f t="shared" si="340"/>
        <v/>
      </c>
      <c r="GU169" s="28" t="str">
        <f t="shared" si="341"/>
        <v/>
      </c>
      <c r="GV169" s="28" t="str">
        <f t="shared" si="342"/>
        <v/>
      </c>
      <c r="GW169" s="28" t="str">
        <f t="shared" si="343"/>
        <v/>
      </c>
      <c r="GX169" s="28" t="str">
        <f t="shared" si="344"/>
        <v/>
      </c>
      <c r="GY169" s="28" t="str">
        <f t="shared" si="345"/>
        <v/>
      </c>
      <c r="GZ169" s="28" t="str">
        <f t="shared" si="346"/>
        <v/>
      </c>
      <c r="HA169" s="28" t="str">
        <f t="shared" si="347"/>
        <v/>
      </c>
      <c r="HB169" s="28" t="str">
        <f t="shared" si="348"/>
        <v/>
      </c>
      <c r="HC169" s="28" t="str">
        <f t="shared" si="349"/>
        <v/>
      </c>
      <c r="HD169" s="28" t="str">
        <f t="shared" si="350"/>
        <v/>
      </c>
      <c r="HE169" s="28" t="str">
        <f t="shared" si="351"/>
        <v/>
      </c>
      <c r="HF169" s="28" t="str">
        <f t="shared" si="352"/>
        <v/>
      </c>
      <c r="HG169" s="28" t="str">
        <f t="shared" si="353"/>
        <v/>
      </c>
      <c r="HH169" s="28" t="str">
        <f t="shared" si="354"/>
        <v/>
      </c>
      <c r="HI169" s="28" t="str">
        <f t="shared" si="355"/>
        <v/>
      </c>
      <c r="HJ169" s="28" t="str">
        <f t="shared" si="356"/>
        <v/>
      </c>
      <c r="HK169" s="28" t="str">
        <f t="shared" si="357"/>
        <v/>
      </c>
      <c r="HL169" s="28" t="str">
        <f t="shared" si="358"/>
        <v/>
      </c>
      <c r="HM169" s="28" t="str">
        <f t="shared" si="359"/>
        <v/>
      </c>
      <c r="HN169" s="28" t="str">
        <f t="shared" si="360"/>
        <v/>
      </c>
      <c r="HO169" s="28" t="str">
        <f t="shared" si="361"/>
        <v/>
      </c>
      <c r="HP169" s="28" t="str">
        <f t="shared" si="362"/>
        <v/>
      </c>
      <c r="HQ169" s="28" t="str">
        <f t="shared" si="363"/>
        <v/>
      </c>
      <c r="HR169" s="28" t="str">
        <f t="shared" si="364"/>
        <v/>
      </c>
      <c r="HT169" s="4">
        <f>IFERROR(GR169/'McDonough &amp; Sun 1995 values'!C$2,)</f>
        <v>0</v>
      </c>
      <c r="HU169" s="4">
        <f>IFERROR(GS169/'McDonough &amp; Sun 1995 values'!D$2,)</f>
        <v>0</v>
      </c>
      <c r="HV169" s="4">
        <f>IFERROR(GT169/'McDonough &amp; Sun 1995 values'!E$2,)</f>
        <v>0</v>
      </c>
      <c r="HW169" s="4">
        <f>IFERROR(GU169/'McDonough &amp; Sun 1995 values'!F$2,)</f>
        <v>0</v>
      </c>
      <c r="HX169" s="4">
        <f>IFERROR(GV169/'McDonough &amp; Sun 1995 values'!G$2,)</f>
        <v>0</v>
      </c>
      <c r="HY169" s="4">
        <f>IFERROR(GW169/'McDonough &amp; Sun 1995 values'!H$2,)</f>
        <v>0</v>
      </c>
      <c r="HZ169" s="4">
        <f>IFERROR(GX169/'McDonough &amp; Sun 1995 values'!I$2,)</f>
        <v>0</v>
      </c>
      <c r="IA169" s="4">
        <f>IFERROR(GY169/'McDonough &amp; Sun 1995 values'!J$2,)</f>
        <v>0</v>
      </c>
      <c r="IB169" s="4">
        <f>IFERROR(GZ169/'McDonough &amp; Sun 1995 values'!K$2,)</f>
        <v>0</v>
      </c>
      <c r="IC169" s="4">
        <f>IFERROR(HA169/'McDonough &amp; Sun 1995 values'!L$2,)</f>
        <v>0</v>
      </c>
      <c r="ID169" s="4">
        <f>IFERROR(HB169/'McDonough &amp; Sun 1995 values'!M$2,)</f>
        <v>0</v>
      </c>
      <c r="IE169" s="4">
        <f>IFERROR(HC169/'McDonough &amp; Sun 1995 values'!N$2,)</f>
        <v>0</v>
      </c>
      <c r="IF169" s="4">
        <f>IFERROR(HD169/'McDonough &amp; Sun 1995 values'!O$2,)</f>
        <v>0</v>
      </c>
      <c r="IG169" s="4">
        <f>IFERROR(HE169/'McDonough &amp; Sun 1995 values'!P$2,)</f>
        <v>0</v>
      </c>
      <c r="IH169" s="4">
        <f>IFERROR(HF169/'McDonough &amp; Sun 1995 values'!Q$2,)</f>
        <v>0</v>
      </c>
      <c r="II169" s="4">
        <f>IFERROR(HG169/'McDonough &amp; Sun 1995 values'!R$2,)</f>
        <v>0</v>
      </c>
      <c r="IJ169" s="4">
        <f>IFERROR(HH169/'McDonough &amp; Sun 1995 values'!S$2,)</f>
        <v>0</v>
      </c>
      <c r="IK169" s="4">
        <f>IFERROR(HI169/'McDonough &amp; Sun 1995 values'!T$2,)</f>
        <v>0</v>
      </c>
      <c r="IL169" s="4">
        <f>IFERROR(HJ169/'McDonough &amp; Sun 1995 values'!U$2,)</f>
        <v>0</v>
      </c>
      <c r="IM169" s="4">
        <f>IFERROR(HK169/'McDonough &amp; Sun 1995 values'!V$2,)</f>
        <v>0</v>
      </c>
      <c r="IN169" s="4">
        <f>IFERROR(HL169/'McDonough &amp; Sun 1995 values'!W$2,)</f>
        <v>0</v>
      </c>
      <c r="IO169" s="4">
        <f>IFERROR(HM169/'McDonough &amp; Sun 1995 values'!X$2,)</f>
        <v>0</v>
      </c>
      <c r="IP169" s="4">
        <f>IFERROR(HN169/'McDonough &amp; Sun 1995 values'!Y$2,)</f>
        <v>0</v>
      </c>
      <c r="IQ169" s="4">
        <f>IFERROR(HO169/'McDonough &amp; Sun 1995 values'!Z$2,)</f>
        <v>0</v>
      </c>
      <c r="IR169" s="4">
        <f>IFERROR(HP169/'McDonough &amp; Sun 1995 values'!AA$2,)</f>
        <v>0</v>
      </c>
      <c r="IS169" s="4">
        <f>IFERROR(HQ169/'McDonough &amp; Sun 1995 values'!AB$2,)</f>
        <v>0</v>
      </c>
      <c r="IT169" s="4">
        <f>IFERROR(HR169/'McDonough &amp; Sun 1995 values'!AC$2,)</f>
        <v>0</v>
      </c>
    </row>
    <row r="170" spans="1:254">
      <c r="A170" s="4" t="s">
        <v>1651</v>
      </c>
      <c r="B170" s="4" t="s">
        <v>24</v>
      </c>
      <c r="C170" s="16" t="str">
        <f t="shared" si="304"/>
        <v>saline</v>
      </c>
      <c r="D170" s="4" t="s">
        <v>119</v>
      </c>
      <c r="E170" s="4" t="s">
        <v>1394</v>
      </c>
      <c r="F170" s="4" t="s">
        <v>1628</v>
      </c>
      <c r="G170" s="4" t="s">
        <v>595</v>
      </c>
      <c r="H170" s="49">
        <v>132</v>
      </c>
      <c r="I170" s="4" t="s">
        <v>735</v>
      </c>
      <c r="K170" s="4" t="s">
        <v>1276</v>
      </c>
      <c r="M170" s="4" t="s">
        <v>1631</v>
      </c>
      <c r="N170" s="4">
        <v>14</v>
      </c>
      <c r="O170" s="4">
        <v>0.9</v>
      </c>
      <c r="P170" s="53">
        <v>0.9</v>
      </c>
      <c r="Q170" s="53"/>
      <c r="R170" s="53">
        <v>0.5</v>
      </c>
      <c r="S170" s="53">
        <v>21.5</v>
      </c>
      <c r="T170" s="53">
        <v>2.1</v>
      </c>
      <c r="U170" s="53"/>
      <c r="V170" s="53">
        <v>6.5</v>
      </c>
      <c r="W170" s="53">
        <v>16.2</v>
      </c>
      <c r="X170" s="53">
        <v>19.899999999999999</v>
      </c>
      <c r="Y170" s="53"/>
      <c r="Z170" s="53">
        <v>2.1</v>
      </c>
      <c r="AA170" s="53"/>
      <c r="AB170" s="53">
        <v>1.4</v>
      </c>
      <c r="AC170" s="53"/>
      <c r="AD170" s="53">
        <v>36.1</v>
      </c>
      <c r="AE170" s="53"/>
      <c r="AF170" s="53"/>
      <c r="AG170" s="53"/>
      <c r="AH170" s="53"/>
      <c r="AI170" s="53">
        <v>5.0999999999999996</v>
      </c>
      <c r="AJ170" s="91">
        <f t="shared" si="305"/>
        <v>108.1</v>
      </c>
      <c r="AK170" s="26">
        <f t="shared" si="365"/>
        <v>0.90042036550208926</v>
      </c>
      <c r="AL170" s="26">
        <f t="shared" si="366"/>
        <v>0.90042036550208926</v>
      </c>
      <c r="AM170" s="26">
        <f t="shared" si="367"/>
        <v>0.50023353639004953</v>
      </c>
      <c r="AN170" s="26">
        <f t="shared" si="368"/>
        <v>21.510042064772129</v>
      </c>
      <c r="AO170" s="26">
        <f t="shared" si="369"/>
        <v>2.1009808528382083</v>
      </c>
      <c r="AP170" s="26">
        <f t="shared" si="370"/>
        <v>6.5030359730706433</v>
      </c>
      <c r="AQ170" s="26">
        <f t="shared" si="371"/>
        <v>1.4006539018921385</v>
      </c>
      <c r="AR170" s="26">
        <f t="shared" si="372"/>
        <v>16.207566579037604</v>
      </c>
      <c r="AS170" s="26">
        <f t="shared" si="373"/>
        <v>19.909294748323969</v>
      </c>
      <c r="AT170" s="26">
        <f t="shared" si="374"/>
        <v>2.1009808528382083</v>
      </c>
      <c r="AU170" s="26">
        <f t="shared" si="375"/>
        <v>36.116861327361576</v>
      </c>
      <c r="AV170" s="91">
        <f t="shared" si="306"/>
        <v>108.15049056752871</v>
      </c>
      <c r="BE170" s="44"/>
      <c r="BF170" s="44"/>
      <c r="BG170" s="16">
        <v>1086</v>
      </c>
      <c r="BH170" s="16">
        <v>11</v>
      </c>
      <c r="BI170" s="16"/>
      <c r="DV170" s="44"/>
      <c r="EJ170" s="45"/>
      <c r="EK170" s="44"/>
      <c r="FO170" s="45"/>
      <c r="GQ170" s="4"/>
      <c r="HS170" s="45"/>
    </row>
    <row r="171" spans="1:254">
      <c r="A171" s="4" t="s">
        <v>1651</v>
      </c>
      <c r="B171" s="4" t="s">
        <v>24</v>
      </c>
      <c r="C171" s="16" t="str">
        <f t="shared" si="304"/>
        <v>saline</v>
      </c>
      <c r="D171" s="4" t="s">
        <v>119</v>
      </c>
      <c r="E171" s="4" t="s">
        <v>1394</v>
      </c>
      <c r="F171" s="4" t="s">
        <v>1628</v>
      </c>
      <c r="G171" s="4" t="s">
        <v>595</v>
      </c>
      <c r="H171" s="49">
        <v>132</v>
      </c>
      <c r="I171" s="4" t="s">
        <v>735</v>
      </c>
      <c r="K171" s="4" t="s">
        <v>1276</v>
      </c>
      <c r="M171" s="4" t="s">
        <v>1632</v>
      </c>
      <c r="N171" s="4">
        <v>38</v>
      </c>
      <c r="O171" s="4">
        <v>0.7</v>
      </c>
      <c r="P171" s="53">
        <v>0.3</v>
      </c>
      <c r="Q171" s="53"/>
      <c r="R171" s="53">
        <v>0.4</v>
      </c>
      <c r="S171" s="53">
        <v>19.8</v>
      </c>
      <c r="T171" s="53">
        <v>1.4</v>
      </c>
      <c r="U171" s="53"/>
      <c r="V171" s="53">
        <v>4.8</v>
      </c>
      <c r="W171" s="53">
        <v>20.399999999999999</v>
      </c>
      <c r="X171" s="53">
        <v>19.3</v>
      </c>
      <c r="Y171" s="53"/>
      <c r="Z171" s="53">
        <v>1.6</v>
      </c>
      <c r="AA171" s="53"/>
      <c r="AB171" s="53">
        <v>0.6</v>
      </c>
      <c r="AC171" s="53"/>
      <c r="AD171" s="53">
        <v>39.799999999999997</v>
      </c>
      <c r="AE171" s="53"/>
      <c r="AF171" s="53"/>
      <c r="AG171" s="53"/>
      <c r="AH171" s="53"/>
      <c r="AI171" s="53">
        <v>6.9</v>
      </c>
      <c r="AJ171" s="91">
        <f t="shared" si="305"/>
        <v>109.09999999999998</v>
      </c>
      <c r="AK171" s="26">
        <f t="shared" ref="AK171:AK177" si="380">100*(O171/($AJ171-$AD171*8/35.45))</f>
        <v>0.69917262928635937</v>
      </c>
      <c r="AL171" s="26">
        <f t="shared" ref="AL171:AL177" si="381">100*(P171/($AJ171-$AD171*8/35.45))</f>
        <v>0.2996454125512969</v>
      </c>
      <c r="AM171" s="26">
        <f t="shared" ref="AM171:AM177" si="382">100*(R171/($AJ171-$AD171*8/35.45))</f>
        <v>0.39952721673506247</v>
      </c>
      <c r="AN171" s="26">
        <f t="shared" ref="AN171:AN177" si="383">100*(S171/($AJ171-$AD171*8/35.45))</f>
        <v>19.776597228385594</v>
      </c>
      <c r="AO171" s="26">
        <f t="shared" ref="AO171:AO177" si="384">100*(T171/($AJ171-$AD171*8/35.45))</f>
        <v>1.3983452585727187</v>
      </c>
      <c r="AP171" s="26">
        <f t="shared" ref="AP171:AP177" si="385">100*(V171/($AJ171-$AD171*8/35.45))</f>
        <v>4.7943266008207504</v>
      </c>
      <c r="AQ171" s="26">
        <f t="shared" ref="AQ171:AQ177" si="386">100*(AB171/($AJ171-$AD171*8/35.45))</f>
        <v>0.59929082510259379</v>
      </c>
      <c r="AR171" s="26">
        <f t="shared" ref="AR171:AR177" si="387">100*(W171/($AJ171-$AD171*8/35.45))</f>
        <v>20.375888053488186</v>
      </c>
      <c r="AS171" s="26">
        <f t="shared" ref="AS171:AS177" si="388">100*(X171/($AJ171-$AD171*8/35.45))</f>
        <v>19.277188207466768</v>
      </c>
      <c r="AT171" s="26">
        <f t="shared" ref="AT171:AT177" si="389">100*(Z171/($AJ171-$AD171*8/35.45))</f>
        <v>1.5981088669402499</v>
      </c>
      <c r="AU171" s="26">
        <f t="shared" ref="AU171:AU177" si="390">100*(AD171/($AJ171-$AD171*8/35.45))</f>
        <v>39.752958065138714</v>
      </c>
      <c r="AV171" s="91">
        <f t="shared" si="306"/>
        <v>108.97104836448828</v>
      </c>
      <c r="BE171" s="44"/>
      <c r="BF171" s="44"/>
      <c r="BG171" s="16">
        <v>1343.6666666666667</v>
      </c>
      <c r="BH171" s="16">
        <v>11</v>
      </c>
      <c r="BI171" s="16"/>
      <c r="DB171" s="45"/>
      <c r="DC171" s="45"/>
      <c r="DD171" s="45"/>
      <c r="DE171" s="45"/>
      <c r="DF171" s="45"/>
      <c r="DG171" s="45"/>
      <c r="DH171" s="45"/>
      <c r="DI171" s="45"/>
      <c r="DJ171" s="45"/>
      <c r="DK171" s="45"/>
      <c r="DL171" s="45"/>
      <c r="DM171" s="45"/>
      <c r="DN171" s="45"/>
      <c r="DO171" s="45"/>
      <c r="DQ171" s="4"/>
      <c r="DR171" s="4"/>
      <c r="DS171" s="4"/>
      <c r="DT171" s="4"/>
      <c r="DU171" s="4"/>
      <c r="DV171" s="4"/>
      <c r="DW171" s="4"/>
      <c r="DX171" s="4"/>
      <c r="DY171" s="4"/>
      <c r="DZ171" s="4"/>
      <c r="EA171" s="4"/>
      <c r="EB171" s="4"/>
      <c r="EC171" s="4"/>
      <c r="ED171" s="4"/>
      <c r="EE171" s="4"/>
      <c r="EF171" s="4"/>
      <c r="EG171" s="4"/>
      <c r="EH171" s="4"/>
      <c r="EI171" s="4"/>
      <c r="EJ171" s="4"/>
      <c r="ET171" s="45"/>
      <c r="EU171" s="45"/>
      <c r="EV171" s="45"/>
      <c r="EW171" s="45"/>
      <c r="FN171" s="4"/>
      <c r="FW171" s="45"/>
      <c r="FX171" s="45"/>
      <c r="FY171" s="45"/>
      <c r="FZ171" s="45"/>
      <c r="GA171" s="45"/>
      <c r="GB171" s="45"/>
      <c r="GC171" s="45"/>
      <c r="GD171" s="45"/>
      <c r="GE171" s="45"/>
      <c r="GF171" s="45"/>
      <c r="GG171" s="45"/>
      <c r="GH171" s="45"/>
      <c r="GI171" s="45"/>
      <c r="GJ171" s="45"/>
      <c r="GK171" s="45"/>
      <c r="GL171" s="45"/>
      <c r="GM171" s="45"/>
      <c r="GN171" s="45"/>
      <c r="GO171" s="45"/>
      <c r="GP171" s="45"/>
      <c r="GY171" s="4"/>
      <c r="GZ171" s="4"/>
      <c r="HA171" s="4"/>
      <c r="HB171" s="4"/>
      <c r="HC171" s="4"/>
      <c r="HD171" s="4"/>
      <c r="HE171" s="4"/>
      <c r="HF171" s="4"/>
      <c r="HG171" s="4"/>
      <c r="HH171" s="4"/>
      <c r="HI171" s="4"/>
      <c r="HJ171" s="4"/>
      <c r="HK171" s="4"/>
      <c r="HL171" s="4"/>
      <c r="HM171" s="4"/>
      <c r="HN171" s="4"/>
      <c r="HO171" s="4"/>
      <c r="HP171" s="4"/>
      <c r="HQ171" s="4"/>
      <c r="HR171" s="4"/>
    </row>
    <row r="172" spans="1:254" ht="15" customHeight="1">
      <c r="A172" s="4" t="s">
        <v>1651</v>
      </c>
      <c r="B172" s="4" t="s">
        <v>24</v>
      </c>
      <c r="C172" s="16" t="str">
        <f t="shared" si="304"/>
        <v>saline</v>
      </c>
      <c r="D172" s="4" t="s">
        <v>119</v>
      </c>
      <c r="E172" s="4" t="s">
        <v>1394</v>
      </c>
      <c r="F172" s="4" t="s">
        <v>1628</v>
      </c>
      <c r="G172" s="4" t="s">
        <v>595</v>
      </c>
      <c r="H172" s="49">
        <v>132</v>
      </c>
      <c r="I172" s="4" t="s">
        <v>735</v>
      </c>
      <c r="K172" s="4" t="s">
        <v>1276</v>
      </c>
      <c r="M172" s="4" t="s">
        <v>1633</v>
      </c>
      <c r="N172" s="4">
        <v>31</v>
      </c>
      <c r="O172" s="4">
        <v>0.6</v>
      </c>
      <c r="P172" s="53">
        <v>0.3</v>
      </c>
      <c r="Q172" s="53"/>
      <c r="R172" s="53">
        <v>0.6</v>
      </c>
      <c r="S172" s="53">
        <v>19.600000000000001</v>
      </c>
      <c r="T172" s="53">
        <v>1</v>
      </c>
      <c r="U172" s="53"/>
      <c r="V172" s="53">
        <v>3.9</v>
      </c>
      <c r="W172" s="53">
        <v>12.9</v>
      </c>
      <c r="X172" s="53">
        <v>27.2</v>
      </c>
      <c r="Y172" s="53"/>
      <c r="Z172" s="53">
        <v>1.7</v>
      </c>
      <c r="AA172" s="53"/>
      <c r="AB172" s="53">
        <v>1.4</v>
      </c>
      <c r="AC172" s="53"/>
      <c r="AD172" s="53">
        <v>39.700000000000003</v>
      </c>
      <c r="AE172" s="53"/>
      <c r="AF172" s="53"/>
      <c r="AG172" s="53"/>
      <c r="AH172" s="53"/>
      <c r="AI172" s="53">
        <v>5.3</v>
      </c>
      <c r="AJ172" s="91">
        <f t="shared" si="305"/>
        <v>108.9</v>
      </c>
      <c r="AK172" s="26">
        <f t="shared" si="380"/>
        <v>0.60035479359452193</v>
      </c>
      <c r="AL172" s="26">
        <f t="shared" si="381"/>
        <v>0.30017739679726096</v>
      </c>
      <c r="AM172" s="26">
        <f t="shared" si="382"/>
        <v>0.60035479359452193</v>
      </c>
      <c r="AN172" s="26">
        <f t="shared" si="383"/>
        <v>19.611589924087721</v>
      </c>
      <c r="AO172" s="26">
        <f t="shared" si="384"/>
        <v>1.0005913226575367</v>
      </c>
      <c r="AP172" s="26">
        <f t="shared" si="385"/>
        <v>3.902306158364393</v>
      </c>
      <c r="AQ172" s="26">
        <f t="shared" si="386"/>
        <v>1.4008278517205512</v>
      </c>
      <c r="AR172" s="26">
        <f t="shared" si="387"/>
        <v>12.907628062282223</v>
      </c>
      <c r="AS172" s="26">
        <f t="shared" si="388"/>
        <v>27.216083976284995</v>
      </c>
      <c r="AT172" s="26">
        <f t="shared" si="389"/>
        <v>1.7010052485178122</v>
      </c>
      <c r="AU172" s="26">
        <f t="shared" si="390"/>
        <v>39.723475509504205</v>
      </c>
      <c r="AV172" s="91">
        <f t="shared" si="306"/>
        <v>108.96439503740575</v>
      </c>
      <c r="BE172" s="44"/>
      <c r="BF172" s="44"/>
      <c r="BG172" s="16">
        <v>1334.3333333333333</v>
      </c>
      <c r="BH172" s="16">
        <v>7.333333333333333</v>
      </c>
      <c r="BI172" s="16"/>
      <c r="DB172" s="45"/>
      <c r="DC172" s="45"/>
      <c r="DD172" s="45"/>
      <c r="DE172" s="45"/>
      <c r="DF172" s="45"/>
      <c r="DG172" s="45"/>
      <c r="DH172" s="45"/>
      <c r="DI172" s="45"/>
      <c r="DJ172" s="45"/>
      <c r="DK172" s="45"/>
      <c r="DL172" s="45"/>
      <c r="DM172" s="45"/>
      <c r="DN172" s="45"/>
      <c r="DO172" s="45"/>
      <c r="DQ172" s="4"/>
      <c r="DR172" s="4"/>
      <c r="DS172" s="4"/>
      <c r="DT172" s="4"/>
      <c r="DU172" s="4"/>
      <c r="DV172" s="4"/>
      <c r="DW172" s="4"/>
      <c r="DX172" s="4"/>
      <c r="DY172" s="4"/>
      <c r="DZ172" s="4"/>
      <c r="EA172" s="4"/>
      <c r="EB172" s="4"/>
      <c r="EC172" s="4"/>
      <c r="ED172" s="4"/>
      <c r="EE172" s="4"/>
      <c r="EF172" s="4"/>
      <c r="EG172" s="4"/>
      <c r="EH172" s="4"/>
      <c r="EI172" s="4"/>
      <c r="EJ172" s="4"/>
      <c r="ET172" s="45"/>
      <c r="EU172" s="45"/>
      <c r="EV172" s="45"/>
      <c r="EW172" s="45"/>
      <c r="FN172" s="4"/>
      <c r="FW172" s="45"/>
      <c r="FX172" s="45"/>
      <c r="FY172" s="45"/>
      <c r="FZ172" s="45"/>
      <c r="GA172" s="45"/>
      <c r="GB172" s="45"/>
      <c r="GC172" s="45"/>
      <c r="GD172" s="45"/>
      <c r="GE172" s="45"/>
      <c r="GF172" s="45"/>
      <c r="GG172" s="45"/>
      <c r="GH172" s="45"/>
      <c r="GI172" s="45"/>
      <c r="GJ172" s="45"/>
      <c r="GK172" s="45"/>
      <c r="GL172" s="45"/>
      <c r="GM172" s="45"/>
      <c r="GN172" s="45"/>
      <c r="GO172" s="45"/>
      <c r="GP172" s="45"/>
      <c r="GY172" s="4"/>
      <c r="GZ172" s="4"/>
      <c r="HA172" s="4"/>
      <c r="HB172" s="4"/>
      <c r="HC172" s="4"/>
      <c r="HD172" s="4"/>
      <c r="HE172" s="4"/>
      <c r="HF172" s="4"/>
      <c r="HG172" s="4"/>
      <c r="HH172" s="4"/>
      <c r="HI172" s="4"/>
      <c r="HJ172" s="4"/>
      <c r="HK172" s="4"/>
      <c r="HL172" s="4"/>
      <c r="HM172" s="4"/>
      <c r="HN172" s="4"/>
      <c r="HO172" s="4"/>
      <c r="HP172" s="4"/>
      <c r="HQ172" s="4"/>
      <c r="HR172" s="4"/>
    </row>
    <row r="173" spans="1:254">
      <c r="A173" s="4" t="s">
        <v>1651</v>
      </c>
      <c r="B173" s="4" t="s">
        <v>24</v>
      </c>
      <c r="C173" s="16" t="str">
        <f t="shared" si="304"/>
        <v>saline</v>
      </c>
      <c r="D173" s="4" t="s">
        <v>119</v>
      </c>
      <c r="E173" s="4" t="s">
        <v>1394</v>
      </c>
      <c r="F173" s="4" t="s">
        <v>1628</v>
      </c>
      <c r="G173" s="4" t="s">
        <v>595</v>
      </c>
      <c r="H173" s="49">
        <v>132</v>
      </c>
      <c r="I173" s="4" t="s">
        <v>735</v>
      </c>
      <c r="K173" s="4" t="s">
        <v>1276</v>
      </c>
      <c r="M173" s="4" t="s">
        <v>1634</v>
      </c>
      <c r="N173" s="4">
        <v>54</v>
      </c>
      <c r="O173" s="4">
        <v>1</v>
      </c>
      <c r="P173" s="53">
        <v>0.2</v>
      </c>
      <c r="Q173" s="53"/>
      <c r="R173" s="53">
        <v>0.6</v>
      </c>
      <c r="S173" s="53">
        <v>23</v>
      </c>
      <c r="T173" s="53">
        <v>1.5</v>
      </c>
      <c r="U173" s="53"/>
      <c r="V173" s="53">
        <v>6.1</v>
      </c>
      <c r="W173" s="53">
        <v>18.5</v>
      </c>
      <c r="X173" s="53">
        <v>15.8</v>
      </c>
      <c r="Y173" s="53"/>
      <c r="Z173" s="53">
        <v>1.7</v>
      </c>
      <c r="AA173" s="53"/>
      <c r="AB173" s="53">
        <v>0.4</v>
      </c>
      <c r="AC173" s="53"/>
      <c r="AD173" s="53">
        <v>40.200000000000003</v>
      </c>
      <c r="AE173" s="53"/>
      <c r="AF173" s="53"/>
      <c r="AG173" s="53"/>
      <c r="AH173" s="53"/>
      <c r="AI173" s="53">
        <v>4.4000000000000004</v>
      </c>
      <c r="AJ173" s="91">
        <f t="shared" si="305"/>
        <v>109.00000000000001</v>
      </c>
      <c r="AK173" s="26">
        <f t="shared" si="380"/>
        <v>1.0007198407881548</v>
      </c>
      <c r="AL173" s="26">
        <f t="shared" si="381"/>
        <v>0.200143968157631</v>
      </c>
      <c r="AM173" s="26">
        <f t="shared" si="382"/>
        <v>0.60043190447289285</v>
      </c>
      <c r="AN173" s="26">
        <f t="shared" si="383"/>
        <v>23.016556338127561</v>
      </c>
      <c r="AO173" s="26">
        <f t="shared" si="384"/>
        <v>1.5010797611822324</v>
      </c>
      <c r="AP173" s="26">
        <f t="shared" si="385"/>
        <v>6.1043910288077443</v>
      </c>
      <c r="AQ173" s="26">
        <f t="shared" si="386"/>
        <v>0.40028793631526199</v>
      </c>
      <c r="AR173" s="26">
        <f t="shared" si="387"/>
        <v>18.513317054580867</v>
      </c>
      <c r="AS173" s="26">
        <f t="shared" si="388"/>
        <v>15.811373484452847</v>
      </c>
      <c r="AT173" s="26">
        <f t="shared" si="389"/>
        <v>1.7012237293398631</v>
      </c>
      <c r="AU173" s="26">
        <f t="shared" si="390"/>
        <v>40.228937599683832</v>
      </c>
      <c r="AV173" s="91">
        <f t="shared" si="306"/>
        <v>109.07846264590889</v>
      </c>
      <c r="BE173" s="44"/>
      <c r="BF173" s="44"/>
      <c r="BG173" s="16">
        <v>1395</v>
      </c>
      <c r="BH173" s="16">
        <v>13</v>
      </c>
      <c r="BI173" s="16"/>
      <c r="DB173" s="45"/>
      <c r="DC173" s="45"/>
      <c r="DD173" s="45"/>
      <c r="DE173" s="45"/>
      <c r="DF173" s="45"/>
      <c r="DG173" s="45"/>
      <c r="DH173" s="45"/>
      <c r="DI173" s="45"/>
      <c r="DJ173" s="45"/>
      <c r="DK173" s="45"/>
      <c r="DL173" s="45"/>
      <c r="DM173" s="45"/>
      <c r="DN173" s="45"/>
      <c r="DO173" s="45"/>
      <c r="DQ173" s="4"/>
      <c r="DR173" s="4"/>
      <c r="DS173" s="4"/>
      <c r="DT173" s="4"/>
      <c r="DU173" s="4"/>
      <c r="DV173" s="4"/>
      <c r="DW173" s="4"/>
      <c r="DX173" s="4"/>
      <c r="DY173" s="4"/>
      <c r="DZ173" s="4"/>
      <c r="EA173" s="4"/>
      <c r="EB173" s="4"/>
      <c r="EC173" s="4"/>
      <c r="ED173" s="4"/>
      <c r="EE173" s="4"/>
      <c r="EF173" s="4"/>
      <c r="EG173" s="4"/>
      <c r="EH173" s="4"/>
      <c r="EI173" s="4"/>
      <c r="EJ173" s="4"/>
      <c r="ET173" s="45"/>
      <c r="EU173" s="45"/>
      <c r="EV173" s="45"/>
      <c r="EW173" s="45"/>
      <c r="FN173" s="4"/>
      <c r="FW173" s="45"/>
      <c r="FX173" s="45"/>
      <c r="FY173" s="45"/>
      <c r="FZ173" s="45"/>
      <c r="GA173" s="45"/>
      <c r="GB173" s="45"/>
      <c r="GC173" s="45"/>
      <c r="GD173" s="45"/>
      <c r="GE173" s="45"/>
      <c r="GF173" s="45"/>
      <c r="GG173" s="45"/>
      <c r="GH173" s="45"/>
      <c r="GI173" s="45"/>
      <c r="GJ173" s="45"/>
      <c r="GK173" s="45"/>
      <c r="GL173" s="45"/>
      <c r="GM173" s="45"/>
      <c r="GN173" s="45"/>
      <c r="GO173" s="45"/>
      <c r="GP173" s="45"/>
      <c r="GY173" s="4"/>
      <c r="GZ173" s="4"/>
      <c r="HA173" s="4"/>
      <c r="HB173" s="4"/>
      <c r="HC173" s="4"/>
      <c r="HD173" s="4"/>
      <c r="HE173" s="4"/>
      <c r="HF173" s="4"/>
      <c r="HG173" s="4"/>
      <c r="HH173" s="4"/>
      <c r="HI173" s="4"/>
      <c r="HJ173" s="4"/>
      <c r="HK173" s="4"/>
      <c r="HL173" s="4"/>
      <c r="HM173" s="4"/>
      <c r="HN173" s="4"/>
      <c r="HO173" s="4"/>
      <c r="HP173" s="4"/>
      <c r="HQ173" s="4"/>
      <c r="HR173" s="4"/>
    </row>
    <row r="174" spans="1:254">
      <c r="A174" s="4" t="s">
        <v>1651</v>
      </c>
      <c r="B174" s="4" t="s">
        <v>24</v>
      </c>
      <c r="C174" s="16" t="str">
        <f t="shared" si="304"/>
        <v>saline</v>
      </c>
      <c r="D174" s="4" t="s">
        <v>119</v>
      </c>
      <c r="E174" s="4" t="s">
        <v>1394</v>
      </c>
      <c r="F174" s="4" t="s">
        <v>1628</v>
      </c>
      <c r="G174" s="4" t="s">
        <v>595</v>
      </c>
      <c r="H174" s="49">
        <v>132</v>
      </c>
      <c r="I174" s="4" t="s">
        <v>735</v>
      </c>
      <c r="K174" s="4" t="s">
        <v>1276</v>
      </c>
      <c r="M174" s="4" t="s">
        <v>1635</v>
      </c>
      <c r="N174" s="4">
        <v>40</v>
      </c>
      <c r="O174" s="4">
        <v>1.1000000000000001</v>
      </c>
      <c r="P174" s="53">
        <v>0.4</v>
      </c>
      <c r="Q174" s="53"/>
      <c r="R174" s="53">
        <v>0.7</v>
      </c>
      <c r="S174" s="53">
        <v>22.9</v>
      </c>
      <c r="T174" s="53">
        <v>1.8</v>
      </c>
      <c r="U174" s="53"/>
      <c r="V174" s="53">
        <v>6.7</v>
      </c>
      <c r="W174" s="53">
        <v>12.9</v>
      </c>
      <c r="X174" s="53">
        <v>20.399999999999999</v>
      </c>
      <c r="Y174" s="53"/>
      <c r="Z174" s="53">
        <v>2.1</v>
      </c>
      <c r="AA174" s="53"/>
      <c r="AB174" s="53">
        <v>0.9</v>
      </c>
      <c r="AC174" s="53"/>
      <c r="AD174" s="53">
        <v>38.9</v>
      </c>
      <c r="AE174" s="53"/>
      <c r="AF174" s="53"/>
      <c r="AG174" s="53"/>
      <c r="AH174" s="53"/>
      <c r="AI174" s="53">
        <v>2.9</v>
      </c>
      <c r="AJ174" s="91">
        <f t="shared" si="305"/>
        <v>108.80000000000001</v>
      </c>
      <c r="AK174" s="26">
        <f t="shared" si="380"/>
        <v>1.09976422544109</v>
      </c>
      <c r="AL174" s="26">
        <f t="shared" si="381"/>
        <v>0.39991426379676004</v>
      </c>
      <c r="AM174" s="26">
        <f t="shared" si="382"/>
        <v>0.69984996164433</v>
      </c>
      <c r="AN174" s="26">
        <f t="shared" si="383"/>
        <v>22.895091602364509</v>
      </c>
      <c r="AO174" s="26">
        <f t="shared" si="384"/>
        <v>1.7996141870854201</v>
      </c>
      <c r="AP174" s="26">
        <f t="shared" si="385"/>
        <v>6.6985639185957302</v>
      </c>
      <c r="AQ174" s="26">
        <f t="shared" si="386"/>
        <v>0.89980709354271005</v>
      </c>
      <c r="AR174" s="26">
        <f t="shared" si="387"/>
        <v>12.897235007445513</v>
      </c>
      <c r="AS174" s="26">
        <f t="shared" si="388"/>
        <v>20.395627453634759</v>
      </c>
      <c r="AT174" s="26">
        <f t="shared" si="389"/>
        <v>2.0995498849329901</v>
      </c>
      <c r="AU174" s="26">
        <f t="shared" si="390"/>
        <v>38.891662154234915</v>
      </c>
      <c r="AV174" s="91">
        <f t="shared" si="306"/>
        <v>108.77667975271874</v>
      </c>
      <c r="BE174" s="44"/>
      <c r="BF174" s="44"/>
      <c r="BG174" s="16">
        <v>1207</v>
      </c>
      <c r="BH174" s="16">
        <v>16</v>
      </c>
      <c r="BI174" s="16"/>
      <c r="DB174" s="45"/>
      <c r="DC174" s="45"/>
      <c r="DD174" s="45"/>
      <c r="DE174" s="45"/>
      <c r="DF174" s="45"/>
      <c r="DG174" s="45"/>
      <c r="DH174" s="45"/>
      <c r="DI174" s="45"/>
      <c r="DJ174" s="45"/>
      <c r="DK174" s="45"/>
      <c r="DL174" s="45"/>
      <c r="DM174" s="45"/>
      <c r="DN174" s="45"/>
      <c r="DO174" s="45"/>
      <c r="DQ174" s="4"/>
      <c r="DR174" s="4"/>
      <c r="DS174" s="4"/>
      <c r="DT174" s="4"/>
      <c r="DU174" s="4"/>
      <c r="DV174" s="4"/>
      <c r="DW174" s="4"/>
      <c r="DX174" s="4"/>
      <c r="DY174" s="4"/>
      <c r="DZ174" s="4"/>
      <c r="EA174" s="4"/>
      <c r="EB174" s="4"/>
      <c r="EC174" s="4"/>
      <c r="ED174" s="4"/>
      <c r="EE174" s="4"/>
      <c r="EF174" s="4"/>
      <c r="EG174" s="4"/>
      <c r="EH174" s="4"/>
      <c r="EI174" s="4"/>
      <c r="EJ174" s="4"/>
      <c r="ET174" s="45"/>
      <c r="EU174" s="45"/>
      <c r="EV174" s="45"/>
      <c r="EW174" s="45"/>
      <c r="FN174" s="4"/>
      <c r="FW174" s="45"/>
      <c r="FX174" s="45"/>
      <c r="FY174" s="45"/>
      <c r="FZ174" s="45"/>
      <c r="GA174" s="45"/>
      <c r="GB174" s="45"/>
      <c r="GC174" s="45"/>
      <c r="GD174" s="45"/>
      <c r="GE174" s="45"/>
      <c r="GF174" s="45"/>
      <c r="GG174" s="45"/>
      <c r="GH174" s="45"/>
      <c r="GI174" s="45"/>
      <c r="GJ174" s="45"/>
      <c r="GK174" s="45"/>
      <c r="GL174" s="45"/>
      <c r="GM174" s="45"/>
      <c r="GN174" s="45"/>
      <c r="GO174" s="45"/>
      <c r="GP174" s="45"/>
      <c r="GY174" s="4"/>
      <c r="GZ174" s="4"/>
      <c r="HA174" s="4"/>
      <c r="HB174" s="4"/>
      <c r="HC174" s="4"/>
      <c r="HD174" s="4"/>
      <c r="HE174" s="4"/>
      <c r="HF174" s="4"/>
      <c r="HG174" s="4"/>
      <c r="HH174" s="4"/>
      <c r="HI174" s="4"/>
      <c r="HJ174" s="4"/>
      <c r="HK174" s="4"/>
      <c r="HL174" s="4"/>
      <c r="HM174" s="4"/>
      <c r="HN174" s="4"/>
      <c r="HO174" s="4"/>
      <c r="HP174" s="4"/>
      <c r="HQ174" s="4"/>
      <c r="HR174" s="4"/>
    </row>
    <row r="175" spans="1:254">
      <c r="A175" s="4" t="s">
        <v>1651</v>
      </c>
      <c r="B175" s="4" t="s">
        <v>24</v>
      </c>
      <c r="C175" s="16" t="str">
        <f t="shared" si="304"/>
        <v>saline</v>
      </c>
      <c r="D175" s="4" t="s">
        <v>119</v>
      </c>
      <c r="E175" s="4" t="s">
        <v>1394</v>
      </c>
      <c r="F175" s="4" t="s">
        <v>1628</v>
      </c>
      <c r="G175" s="4" t="s">
        <v>595</v>
      </c>
      <c r="H175" s="49">
        <v>132</v>
      </c>
      <c r="I175" s="4" t="s">
        <v>735</v>
      </c>
      <c r="K175" s="4" t="s">
        <v>1276</v>
      </c>
      <c r="M175" s="4" t="s">
        <v>1636</v>
      </c>
      <c r="N175" s="4">
        <v>36</v>
      </c>
      <c r="O175" s="4">
        <v>1.4</v>
      </c>
      <c r="P175" s="53">
        <v>0.8</v>
      </c>
      <c r="Q175" s="53"/>
      <c r="R175" s="53">
        <v>0.8</v>
      </c>
      <c r="S175" s="53">
        <v>26</v>
      </c>
      <c r="T175" s="53">
        <v>1.8</v>
      </c>
      <c r="U175" s="53"/>
      <c r="V175" s="53">
        <v>6.7</v>
      </c>
      <c r="W175" s="53">
        <v>15.1</v>
      </c>
      <c r="X175" s="53">
        <v>15.5</v>
      </c>
      <c r="Y175" s="53"/>
      <c r="Z175" s="53">
        <v>1.7</v>
      </c>
      <c r="AA175" s="53"/>
      <c r="AB175" s="53">
        <v>0.8</v>
      </c>
      <c r="AC175" s="53"/>
      <c r="AD175" s="53">
        <v>38</v>
      </c>
      <c r="AE175" s="53"/>
      <c r="AF175" s="53"/>
      <c r="AG175" s="53"/>
      <c r="AH175" s="53"/>
      <c r="AI175" s="53">
        <v>2.8</v>
      </c>
      <c r="AJ175" s="91">
        <f t="shared" si="305"/>
        <v>108.6</v>
      </c>
      <c r="AK175" s="26">
        <f t="shared" si="380"/>
        <v>1.3996565017894056</v>
      </c>
      <c r="AL175" s="26">
        <f t="shared" si="381"/>
        <v>0.79980371530823191</v>
      </c>
      <c r="AM175" s="26">
        <f t="shared" si="382"/>
        <v>0.79980371530823191</v>
      </c>
      <c r="AN175" s="26">
        <f t="shared" si="383"/>
        <v>25.993620747517536</v>
      </c>
      <c r="AO175" s="26">
        <f t="shared" si="384"/>
        <v>1.7995583594435218</v>
      </c>
      <c r="AP175" s="26">
        <f t="shared" si="385"/>
        <v>6.6983561157064431</v>
      </c>
      <c r="AQ175" s="26">
        <f t="shared" si="386"/>
        <v>0.79980371530823191</v>
      </c>
      <c r="AR175" s="26">
        <f t="shared" si="387"/>
        <v>15.096295126442877</v>
      </c>
      <c r="AS175" s="26">
        <f t="shared" si="388"/>
        <v>15.496196984096994</v>
      </c>
      <c r="AT175" s="26">
        <f t="shared" si="389"/>
        <v>1.6995828950299927</v>
      </c>
      <c r="AU175" s="26">
        <f t="shared" si="390"/>
        <v>37.990676477141015</v>
      </c>
      <c r="AV175" s="91">
        <f t="shared" si="306"/>
        <v>108.57335435309247</v>
      </c>
      <c r="BE175" s="44"/>
      <c r="BF175" s="44"/>
      <c r="BG175" s="16">
        <v>1152</v>
      </c>
      <c r="BH175" s="16">
        <v>8</v>
      </c>
      <c r="BI175" s="16"/>
      <c r="DB175" s="45"/>
      <c r="DC175" s="45"/>
      <c r="DD175" s="45"/>
      <c r="DE175" s="45"/>
      <c r="DF175" s="45"/>
      <c r="DG175" s="45"/>
      <c r="DH175" s="45"/>
      <c r="DI175" s="45"/>
      <c r="DJ175" s="45"/>
      <c r="DK175" s="45"/>
      <c r="DL175" s="45"/>
      <c r="DM175" s="45"/>
      <c r="DN175" s="45"/>
      <c r="DO175" s="45"/>
      <c r="DQ175" s="4"/>
      <c r="DR175" s="4"/>
      <c r="DS175" s="4"/>
      <c r="DT175" s="4"/>
      <c r="DU175" s="4"/>
      <c r="DV175" s="4"/>
      <c r="DW175" s="4"/>
      <c r="DX175" s="4"/>
      <c r="DY175" s="4"/>
      <c r="DZ175" s="4"/>
      <c r="EA175" s="4"/>
      <c r="EB175" s="4"/>
      <c r="EC175" s="4"/>
      <c r="ED175" s="4"/>
      <c r="EE175" s="4"/>
      <c r="EF175" s="4"/>
      <c r="EG175" s="4"/>
      <c r="EH175" s="4"/>
      <c r="EI175" s="4"/>
      <c r="EJ175" s="4"/>
      <c r="ET175" s="45"/>
      <c r="EU175" s="45"/>
      <c r="EV175" s="45"/>
      <c r="EW175" s="45"/>
      <c r="FN175" s="4"/>
      <c r="FW175" s="45"/>
      <c r="FX175" s="45"/>
      <c r="FY175" s="45"/>
      <c r="FZ175" s="45"/>
      <c r="GA175" s="45"/>
      <c r="GB175" s="45"/>
      <c r="GC175" s="45"/>
      <c r="GD175" s="45"/>
      <c r="GE175" s="45"/>
      <c r="GF175" s="45"/>
      <c r="GG175" s="45"/>
      <c r="GH175" s="45"/>
      <c r="GI175" s="45"/>
      <c r="GJ175" s="45"/>
      <c r="GK175" s="45"/>
      <c r="GL175" s="45"/>
      <c r="GM175" s="45"/>
      <c r="GN175" s="45"/>
      <c r="GO175" s="45"/>
      <c r="GP175" s="45"/>
      <c r="GY175" s="4"/>
      <c r="GZ175" s="4"/>
      <c r="HA175" s="4"/>
      <c r="HB175" s="4"/>
      <c r="HC175" s="4"/>
      <c r="HD175" s="4"/>
      <c r="HE175" s="4"/>
      <c r="HF175" s="4"/>
      <c r="HG175" s="4"/>
      <c r="HH175" s="4"/>
      <c r="HI175" s="4"/>
      <c r="HJ175" s="4"/>
      <c r="HK175" s="4"/>
      <c r="HL175" s="4"/>
      <c r="HM175" s="4"/>
      <c r="HN175" s="4"/>
      <c r="HO175" s="4"/>
      <c r="HP175" s="4"/>
      <c r="HQ175" s="4"/>
      <c r="HR175" s="4"/>
    </row>
    <row r="176" spans="1:254">
      <c r="A176" s="4" t="s">
        <v>1651</v>
      </c>
      <c r="B176" s="4" t="s">
        <v>24</v>
      </c>
      <c r="C176" s="16" t="str">
        <f t="shared" si="304"/>
        <v>saline</v>
      </c>
      <c r="D176" s="4" t="s">
        <v>119</v>
      </c>
      <c r="E176" s="4" t="s">
        <v>1394</v>
      </c>
      <c r="F176" s="4" t="s">
        <v>1628</v>
      </c>
      <c r="G176" s="4" t="s">
        <v>595</v>
      </c>
      <c r="H176" s="49">
        <v>132</v>
      </c>
      <c r="I176" s="4" t="s">
        <v>735</v>
      </c>
      <c r="K176" s="4" t="s">
        <v>1276</v>
      </c>
      <c r="M176" s="4" t="s">
        <v>1637</v>
      </c>
      <c r="N176" s="4">
        <v>50</v>
      </c>
      <c r="O176" s="4">
        <v>0.9</v>
      </c>
      <c r="P176" s="53">
        <v>0.5</v>
      </c>
      <c r="Q176" s="53"/>
      <c r="R176" s="53">
        <v>0.7</v>
      </c>
      <c r="S176" s="53">
        <v>18.600000000000001</v>
      </c>
      <c r="T176" s="53">
        <v>1.3</v>
      </c>
      <c r="U176" s="53"/>
      <c r="V176" s="53">
        <v>7.1</v>
      </c>
      <c r="W176" s="53">
        <v>17.600000000000001</v>
      </c>
      <c r="X176" s="53">
        <v>17.7</v>
      </c>
      <c r="Y176" s="53"/>
      <c r="Z176" s="53">
        <v>3.2</v>
      </c>
      <c r="AA176" s="53"/>
      <c r="AB176" s="53">
        <v>0.8</v>
      </c>
      <c r="AC176" s="53"/>
      <c r="AD176" s="53">
        <v>40.9</v>
      </c>
      <c r="AE176" s="53"/>
      <c r="AF176" s="53"/>
      <c r="AG176" s="53"/>
      <c r="AH176" s="53"/>
      <c r="AI176" s="53">
        <v>3.4</v>
      </c>
      <c r="AJ176" s="91">
        <f t="shared" si="305"/>
        <v>109.30000000000001</v>
      </c>
      <c r="AK176" s="26">
        <f t="shared" si="380"/>
        <v>0.89936955335963353</v>
      </c>
      <c r="AL176" s="26">
        <f t="shared" si="381"/>
        <v>0.49964975186646304</v>
      </c>
      <c r="AM176" s="26">
        <f t="shared" si="382"/>
        <v>0.69950965261304821</v>
      </c>
      <c r="AN176" s="26">
        <f t="shared" si="383"/>
        <v>18.58697076943243</v>
      </c>
      <c r="AO176" s="26">
        <f t="shared" si="384"/>
        <v>1.299089354852804</v>
      </c>
      <c r="AP176" s="26">
        <f t="shared" si="385"/>
        <v>7.0950264765037758</v>
      </c>
      <c r="AQ176" s="26">
        <f t="shared" si="386"/>
        <v>0.79943960298634098</v>
      </c>
      <c r="AR176" s="26">
        <f t="shared" si="387"/>
        <v>17.587671265699502</v>
      </c>
      <c r="AS176" s="26">
        <f t="shared" si="388"/>
        <v>17.687601216072792</v>
      </c>
      <c r="AT176" s="26">
        <f t="shared" si="389"/>
        <v>3.1977584119453639</v>
      </c>
      <c r="AU176" s="26">
        <f t="shared" si="390"/>
        <v>40.871349702676682</v>
      </c>
      <c r="AV176" s="91">
        <f t="shared" si="306"/>
        <v>109.22343575800883</v>
      </c>
      <c r="BE176" s="44"/>
      <c r="BF176" s="44"/>
      <c r="BG176" s="16">
        <v>1332</v>
      </c>
      <c r="BH176" s="16">
        <v>13</v>
      </c>
      <c r="BI176" s="16"/>
      <c r="DB176" s="45"/>
      <c r="DC176" s="45"/>
      <c r="DD176" s="45"/>
      <c r="DE176" s="45"/>
      <c r="DF176" s="45"/>
      <c r="DG176" s="45"/>
      <c r="DH176" s="45"/>
      <c r="DI176" s="45"/>
      <c r="DJ176" s="45"/>
      <c r="DK176" s="45"/>
      <c r="DL176" s="45"/>
      <c r="DM176" s="45"/>
      <c r="DN176" s="45"/>
      <c r="DO176" s="45"/>
      <c r="DQ176" s="4"/>
      <c r="DR176" s="4"/>
      <c r="DS176" s="4"/>
      <c r="DT176" s="4"/>
      <c r="DU176" s="4"/>
      <c r="DV176" s="4"/>
      <c r="DW176" s="4"/>
      <c r="DX176" s="4"/>
      <c r="DY176" s="4"/>
      <c r="DZ176" s="4"/>
      <c r="EA176" s="4"/>
      <c r="EB176" s="4"/>
      <c r="EC176" s="4"/>
      <c r="ED176" s="4"/>
      <c r="EE176" s="4"/>
      <c r="EF176" s="4"/>
      <c r="EG176" s="4"/>
      <c r="EH176" s="4"/>
      <c r="EI176" s="4"/>
      <c r="EJ176" s="4"/>
      <c r="ET176" s="45"/>
      <c r="EU176" s="45"/>
      <c r="EV176" s="45"/>
      <c r="EW176" s="45"/>
      <c r="FN176" s="4"/>
      <c r="FW176" s="45"/>
      <c r="FX176" s="45"/>
      <c r="FY176" s="45"/>
      <c r="FZ176" s="45"/>
      <c r="GA176" s="45"/>
      <c r="GB176" s="45"/>
      <c r="GC176" s="45"/>
      <c r="GD176" s="45"/>
      <c r="GE176" s="45"/>
      <c r="GF176" s="45"/>
      <c r="GG176" s="45"/>
      <c r="GH176" s="45"/>
      <c r="GI176" s="45"/>
      <c r="GJ176" s="45"/>
      <c r="GK176" s="45"/>
      <c r="GL176" s="45"/>
      <c r="GM176" s="45"/>
      <c r="GN176" s="45"/>
      <c r="GO176" s="45"/>
      <c r="GP176" s="45"/>
      <c r="GY176" s="4"/>
      <c r="GZ176" s="4"/>
      <c r="HA176" s="4"/>
      <c r="HB176" s="4"/>
      <c r="HC176" s="4"/>
      <c r="HD176" s="4"/>
      <c r="HE176" s="4"/>
      <c r="HF176" s="4"/>
      <c r="HG176" s="4"/>
      <c r="HH176" s="4"/>
      <c r="HI176" s="4"/>
      <c r="HJ176" s="4"/>
      <c r="HK176" s="4"/>
      <c r="HL176" s="4"/>
      <c r="HM176" s="4"/>
      <c r="HN176" s="4"/>
      <c r="HO176" s="4"/>
      <c r="HP176" s="4"/>
      <c r="HQ176" s="4"/>
      <c r="HR176" s="4"/>
    </row>
    <row r="177" spans="1:254">
      <c r="A177" s="4" t="s">
        <v>1651</v>
      </c>
      <c r="B177" s="4" t="s">
        <v>24</v>
      </c>
      <c r="C177" s="16" t="str">
        <f t="shared" si="304"/>
        <v>saline</v>
      </c>
      <c r="D177" s="4" t="s">
        <v>119</v>
      </c>
      <c r="E177" s="4" t="s">
        <v>1394</v>
      </c>
      <c r="F177" s="4" t="s">
        <v>1628</v>
      </c>
      <c r="G177" s="4" t="s">
        <v>595</v>
      </c>
      <c r="H177" s="49">
        <v>132</v>
      </c>
      <c r="I177" s="4" t="s">
        <v>735</v>
      </c>
      <c r="K177" s="4" t="s">
        <v>1276</v>
      </c>
      <c r="M177" s="4" t="s">
        <v>1638</v>
      </c>
      <c r="N177" s="4">
        <v>49</v>
      </c>
      <c r="O177" s="4">
        <v>0.9</v>
      </c>
      <c r="P177" s="53">
        <v>0.4</v>
      </c>
      <c r="Q177" s="53"/>
      <c r="R177" s="53">
        <v>0.4</v>
      </c>
      <c r="S177" s="53">
        <v>13.2</v>
      </c>
      <c r="T177" s="53">
        <v>2.6</v>
      </c>
      <c r="U177" s="53"/>
      <c r="V177" s="53">
        <v>9.5</v>
      </c>
      <c r="W177" s="53">
        <v>23.4</v>
      </c>
      <c r="X177" s="53">
        <v>15.5</v>
      </c>
      <c r="Y177" s="53"/>
      <c r="Z177" s="53">
        <v>1.3</v>
      </c>
      <c r="AA177" s="53"/>
      <c r="AB177" s="53">
        <v>0.5</v>
      </c>
      <c r="AC177" s="53"/>
      <c r="AD177" s="53">
        <v>41.9</v>
      </c>
      <c r="AE177" s="53"/>
      <c r="AF177" s="53"/>
      <c r="AG177" s="53"/>
      <c r="AH177" s="53"/>
      <c r="AI177" s="53">
        <v>4.2</v>
      </c>
      <c r="AJ177" s="91">
        <f t="shared" si="305"/>
        <v>109.6</v>
      </c>
      <c r="AK177" s="26">
        <f t="shared" si="380"/>
        <v>0.89870201570651143</v>
      </c>
      <c r="AL177" s="26">
        <f t="shared" si="381"/>
        <v>0.39942311809178283</v>
      </c>
      <c r="AM177" s="26">
        <f t="shared" si="382"/>
        <v>0.39942311809178283</v>
      </c>
      <c r="AN177" s="26">
        <f t="shared" si="383"/>
        <v>13.180962897028833</v>
      </c>
      <c r="AO177" s="26">
        <f t="shared" si="384"/>
        <v>2.5962502675965884</v>
      </c>
      <c r="AP177" s="26">
        <f t="shared" si="385"/>
        <v>9.4862990546798418</v>
      </c>
      <c r="AQ177" s="26">
        <f t="shared" si="386"/>
        <v>0.4992788976147286</v>
      </c>
      <c r="AR177" s="26">
        <f t="shared" si="387"/>
        <v>23.366252408369295</v>
      </c>
      <c r="AS177" s="26">
        <f t="shared" si="388"/>
        <v>15.477645826056586</v>
      </c>
      <c r="AT177" s="26">
        <f t="shared" si="389"/>
        <v>1.2981251337982942</v>
      </c>
      <c r="AU177" s="26">
        <f t="shared" si="390"/>
        <v>41.839571620114249</v>
      </c>
      <c r="AV177" s="91">
        <f t="shared" si="306"/>
        <v>109.44193435714848</v>
      </c>
      <c r="BG177" s="16">
        <v>1165.6666666666667</v>
      </c>
      <c r="BH177" s="16">
        <v>8</v>
      </c>
      <c r="BI177" s="16"/>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DB177" s="45"/>
      <c r="DC177" s="45"/>
      <c r="DD177" s="45"/>
      <c r="DE177" s="45"/>
      <c r="DF177" s="45"/>
      <c r="DG177" s="45"/>
      <c r="DH177" s="45"/>
      <c r="DI177" s="45"/>
      <c r="DJ177" s="45"/>
      <c r="DK177" s="45"/>
      <c r="DL177" s="45"/>
      <c r="DM177" s="45"/>
      <c r="DN177" s="45"/>
      <c r="DO177" s="45"/>
      <c r="DQ177" s="4"/>
      <c r="DR177" s="4"/>
      <c r="DS177" s="4"/>
      <c r="DT177" s="4"/>
      <c r="DU177" s="4"/>
      <c r="DV177" s="4"/>
      <c r="DW177" s="4"/>
      <c r="DX177" s="4"/>
      <c r="DY177" s="4"/>
      <c r="DZ177" s="4"/>
      <c r="EA177" s="4"/>
      <c r="EB177" s="4"/>
      <c r="EC177" s="4"/>
      <c r="ED177" s="4"/>
      <c r="EE177" s="4"/>
      <c r="EF177" s="4"/>
      <c r="EG177" s="4"/>
      <c r="EH177" s="4"/>
      <c r="EI177" s="4"/>
      <c r="EJ177" s="4"/>
      <c r="ET177" s="45"/>
      <c r="EU177" s="45"/>
      <c r="EV177" s="45"/>
      <c r="EW177" s="45"/>
      <c r="FN177" s="4"/>
      <c r="FW177" s="45"/>
      <c r="FX177" s="45"/>
      <c r="FY177" s="45"/>
      <c r="FZ177" s="45"/>
      <c r="GA177" s="45"/>
      <c r="GB177" s="45"/>
      <c r="GC177" s="45"/>
      <c r="GD177" s="45"/>
      <c r="GE177" s="45"/>
      <c r="GF177" s="45"/>
      <c r="GG177" s="45"/>
      <c r="GH177" s="45"/>
      <c r="GI177" s="45"/>
      <c r="GJ177" s="45"/>
      <c r="GK177" s="45"/>
      <c r="GL177" s="45"/>
      <c r="GM177" s="45"/>
      <c r="GN177" s="45"/>
      <c r="GO177" s="45"/>
      <c r="GP177" s="45"/>
      <c r="GY177" s="4"/>
      <c r="GZ177" s="4"/>
      <c r="HA177" s="4"/>
      <c r="HB177" s="4"/>
      <c r="HC177" s="4"/>
      <c r="HD177" s="4"/>
      <c r="HE177" s="4"/>
      <c r="HF177" s="4"/>
      <c r="HG177" s="4"/>
      <c r="HH177" s="4"/>
      <c r="HI177" s="4"/>
      <c r="HJ177" s="4"/>
      <c r="HK177" s="4"/>
      <c r="HL177" s="4"/>
      <c r="HM177" s="4"/>
      <c r="HN177" s="4"/>
      <c r="HO177" s="4"/>
      <c r="HP177" s="4"/>
      <c r="HQ177" s="4"/>
      <c r="HR177" s="4"/>
    </row>
    <row r="178" spans="1:254">
      <c r="A178" s="16" t="s">
        <v>1656</v>
      </c>
      <c r="B178" s="4" t="s">
        <v>24</v>
      </c>
      <c r="C178" s="16" t="str">
        <f t="shared" si="304"/>
        <v>saline</v>
      </c>
      <c r="D178" s="4" t="s">
        <v>119</v>
      </c>
      <c r="E178" s="4" t="s">
        <v>237</v>
      </c>
      <c r="F178" s="4" t="s">
        <v>849</v>
      </c>
      <c r="G178" s="4" t="s">
        <v>595</v>
      </c>
      <c r="H178" s="49">
        <v>364</v>
      </c>
      <c r="I178" s="4" t="s">
        <v>1148</v>
      </c>
      <c r="J178" s="4" t="s">
        <v>635</v>
      </c>
      <c r="K178" s="4" t="s">
        <v>1678</v>
      </c>
      <c r="M178" s="4" t="s">
        <v>1694</v>
      </c>
      <c r="N178" s="4">
        <v>30</v>
      </c>
      <c r="O178" s="4">
        <v>2.12</v>
      </c>
      <c r="P178" s="4">
        <v>0.19</v>
      </c>
      <c r="R178" s="4">
        <v>0.28999999999999998</v>
      </c>
      <c r="S178" s="4">
        <v>6.18</v>
      </c>
      <c r="T178" s="4">
        <v>9.44</v>
      </c>
      <c r="V178" s="4">
        <v>11.6</v>
      </c>
      <c r="W178" s="4">
        <v>4.5999999999999996</v>
      </c>
      <c r="X178" s="4">
        <v>40.700000000000003</v>
      </c>
      <c r="Z178" s="4">
        <v>0.67</v>
      </c>
      <c r="AA178" s="4">
        <v>2.34</v>
      </c>
      <c r="AB178" s="4">
        <v>6.68</v>
      </c>
      <c r="AD178" s="4">
        <v>15.2</v>
      </c>
      <c r="AJ178" s="26">
        <f t="shared" si="305"/>
        <v>97.67</v>
      </c>
      <c r="AK178" s="26">
        <f>100*(O178/$AJ178)*(($AJ178+$AD178*8/35.45)/$AJ178)</f>
        <v>2.2468052434093</v>
      </c>
      <c r="AL178" s="26">
        <f>100*(P178/$AJ178)*(($AJ178+$AD178*8/35.45)/$AJ178)</f>
        <v>0.20136462087158821</v>
      </c>
      <c r="AM178" s="26">
        <f>100*(R178/$AJ178)*(($AJ178+$AD178*8/35.45)/$AJ178)</f>
        <v>0.30734600027768721</v>
      </c>
      <c r="AN178" s="26">
        <f>100*(S178/$AJ178)*(($AJ178+$AD178*8/35.45)/$AJ178)</f>
        <v>6.5496492472969212</v>
      </c>
      <c r="AO178" s="26">
        <f>100*(T178/$AJ178)*(($AJ178+$AD178*8/35.45)/$AJ178)</f>
        <v>10.004642215935752</v>
      </c>
      <c r="AP178" s="26">
        <f>100*(V178/$AJ178)*(($AJ178+$AD178*8/35.45)/$AJ178)</f>
        <v>12.293840011107489</v>
      </c>
      <c r="AQ178" s="26">
        <f>100*(AB178/$AJ178)*(($AJ178+$AD178*8/35.45)/$AJ178)</f>
        <v>7.0795561443274169</v>
      </c>
      <c r="AR178" s="26">
        <f>100*(W178/$AJ178)*(($AJ178+$AD178*8/35.45)/$AJ178)</f>
        <v>4.8751434526805566</v>
      </c>
      <c r="AS178" s="26">
        <f>100*(X178/$AJ178)*(($AJ178+$AD178*8/35.45)/$AJ178)</f>
        <v>43.134421418282315</v>
      </c>
      <c r="AT178" s="26">
        <f>100*(Z178/$AJ178)*(($AJ178+$AD178*8/35.45)/$AJ178)</f>
        <v>0.71007524202086381</v>
      </c>
      <c r="AU178" s="26">
        <f>100*(AD178/$AJ178)*(($AJ178+$AD178*8/35.45)/$AJ178)</f>
        <v>16.109169669727056</v>
      </c>
      <c r="AV178" s="26">
        <f t="shared" si="306"/>
        <v>103.51201326593694</v>
      </c>
      <c r="BB178" s="26">
        <v>0.1</v>
      </c>
      <c r="BC178" s="26">
        <f>1-BD178</f>
        <v>9.9999999999999978E-2</v>
      </c>
      <c r="BD178" s="26">
        <f>1-BB178</f>
        <v>0.9</v>
      </c>
      <c r="BG178" s="4">
        <v>891.03116129032253</v>
      </c>
      <c r="BH178" s="4">
        <v>23.179666172304753</v>
      </c>
      <c r="BL178" s="26"/>
      <c r="EL178" s="18">
        <f>IFERROR(CR178/'McDonough &amp; Sun 1995 values'!C$2,)</f>
        <v>0</v>
      </c>
      <c r="EM178" s="18">
        <f>IFERROR(CH178/'McDonough &amp; Sun 1995 values'!D$2,)</f>
        <v>0</v>
      </c>
      <c r="EN178" s="18">
        <f>IFERROR(CS178/'McDonough &amp; Sun 1995 values'!E$2,)</f>
        <v>0</v>
      </c>
      <c r="EO178" s="18">
        <f>IFERROR(DL178/'McDonough &amp; Sun 1995 values'!F$2,)</f>
        <v>0</v>
      </c>
      <c r="EP178" s="18">
        <f>IFERROR(DM178/'McDonough &amp; Sun 1995 values'!G$2,)</f>
        <v>0</v>
      </c>
      <c r="EQ178" s="18">
        <f>IFERROR(BR178/'McDonough &amp; Sun 1995 values'!H$2,)</f>
        <v>0</v>
      </c>
      <c r="ER178" s="18">
        <f>IFERROR(DI178/'McDonough &amp; Sun 1995 values'!I$2,)</f>
        <v>0</v>
      </c>
      <c r="ES178" s="18">
        <f>IFERROR(CM178/'McDonough &amp; Sun 1995 values'!J$2,)</f>
        <v>0</v>
      </c>
      <c r="ET178" s="18">
        <f>IFERROR(CU178/'McDonough &amp; Sun 1995 values'!K$2,)</f>
        <v>0</v>
      </c>
      <c r="EU178" s="18">
        <f>IFERROR(CV178/'McDonough &amp; Sun 1995 values'!L$2,)</f>
        <v>0</v>
      </c>
      <c r="EV178" s="18">
        <f>IFERROR(CW178/'McDonough &amp; Sun 1995 values'!M$2,)</f>
        <v>0</v>
      </c>
      <c r="EW178" s="18">
        <f>IFERROR(CI178/'McDonough &amp; Sun 1995 values'!N$2,)</f>
        <v>0</v>
      </c>
      <c r="EX178" s="18">
        <f>IFERROR(CX178/'McDonough &amp; Sun 1995 values'!O$2,)</f>
        <v>0</v>
      </c>
      <c r="EY178" s="18">
        <f>IFERROR(CY178/'McDonough &amp; Sun 1995 values'!P$2,)</f>
        <v>0</v>
      </c>
      <c r="EZ178" s="18">
        <f>IFERROR(DH178/'McDonough &amp; Sun 1995 values'!Q$2,)</f>
        <v>0</v>
      </c>
      <c r="FA178" s="18">
        <f>IFERROR(CK178/'McDonough &amp; Sun 1995 values'!R$2,)</f>
        <v>0</v>
      </c>
      <c r="FB178" s="18">
        <f>IFERROR(CZ178/'McDonough &amp; Sun 1995 values'!S$2,)</f>
        <v>0</v>
      </c>
      <c r="FC178" s="18">
        <f>IFERROR(BT178/'McDonough &amp; Sun 1995 values'!T$2,)</f>
        <v>0</v>
      </c>
      <c r="FD178" s="18">
        <f>IFERROR(DA178/'McDonough &amp; Sun 1995 values'!U$2,)</f>
        <v>0</v>
      </c>
      <c r="FE178" s="18">
        <f>IFERROR(DN178/'McDonough &amp; Sun 1995 values'!V$2,)</f>
        <v>0</v>
      </c>
      <c r="FF178" s="18">
        <f>IFERROR(DB178/'McDonough &amp; Sun 1995 values'!W$2,)</f>
        <v>0</v>
      </c>
      <c r="FG178" s="18">
        <f>IFERROR(CJ178/'McDonough &amp; Sun 1995 values'!X$2,)</f>
        <v>0</v>
      </c>
      <c r="FH178" s="18">
        <f>IFERROR(DC178/'McDonough &amp; Sun 1995 values'!Y$2,)</f>
        <v>0</v>
      </c>
      <c r="FI178" s="18">
        <f>IFERROR(DD178/'McDonough &amp; Sun 1995 values'!Z$2,)</f>
        <v>0</v>
      </c>
      <c r="FJ178" s="18">
        <f>IFERROR(DE178/'McDonough &amp; Sun 1995 values'!AA$2,)</f>
        <v>0</v>
      </c>
      <c r="FK178" s="18">
        <f>IFERROR(DF178/'McDonough &amp; Sun 1995 values'!AB$2,)</f>
        <v>0</v>
      </c>
      <c r="FL178" s="18">
        <f>IFERROR(DG178/'McDonough &amp; Sun 1995 values'!AC$2,)</f>
        <v>0</v>
      </c>
      <c r="FN178" s="28">
        <f>IFERROR(BR178/DM178,)</f>
        <v>0</v>
      </c>
      <c r="FO178" s="4">
        <f t="shared" ref="FO178:FO209" si="391">IFERROR(EN178/EP178,)</f>
        <v>0</v>
      </c>
      <c r="FP178" s="4">
        <f t="shared" ref="FP178:FP209" si="392">IFERROR(EO178/ES178,)</f>
        <v>0</v>
      </c>
      <c r="FQ178" s="4">
        <f t="shared" ref="FQ178:FQ209" si="393">IFERROR(EO178/EP178,)</f>
        <v>0</v>
      </c>
      <c r="FR178" s="4">
        <f t="shared" ref="FR178:FR209" si="394">IFERROR(ET178/ES178,)</f>
        <v>0</v>
      </c>
      <c r="FS178" s="4">
        <f t="shared" ref="FS178:FS209" si="395">IFERROR(ET178/ER178,)</f>
        <v>0</v>
      </c>
      <c r="FT178" s="4">
        <f t="shared" ref="FT178:FT209" si="396">IFERROR(EM178/EL178,)</f>
        <v>0</v>
      </c>
      <c r="FU178" s="4">
        <f t="shared" ref="FU178:FU209" si="397">IFERROR(ER178/ES178,)</f>
        <v>0</v>
      </c>
      <c r="FV178" s="4">
        <f t="shared" ref="FV178:FV209" si="398">IFERROR(FA178/EY178,)</f>
        <v>0</v>
      </c>
      <c r="FW178" s="4">
        <f t="shared" ref="FW178:FW209" si="399">IFERROR(FA178/EZ178,)</f>
        <v>0</v>
      </c>
      <c r="FX178" s="4">
        <f t="shared" ref="FX178:FX209" si="400">IFERROR(FB178/(0.5*FD178+0.5*EY178),)</f>
        <v>0</v>
      </c>
      <c r="FY178" s="4">
        <f t="shared" ref="FY178:FY209" si="401">IFERROR(EW178/SQRT(EV178*EX178),)</f>
        <v>0</v>
      </c>
      <c r="FZ178" s="4">
        <f t="shared" ref="FZ178:FZ209" si="402">IFERROR(FB178/SQRT(EY178*FD178),)</f>
        <v>0</v>
      </c>
      <c r="GA178" s="4">
        <f t="shared" ref="GA178:GA209" si="403">IFERROR(EW178/EV178,)</f>
        <v>0</v>
      </c>
      <c r="GB178" s="4">
        <f t="shared" ref="GB178:GB209" si="404">IFERROR(FB178/EY178,)</f>
        <v>0</v>
      </c>
      <c r="GC178" s="4">
        <f t="shared" ref="GC178:GC209" si="405">IFERROR(EL178/EM178,)</f>
        <v>0</v>
      </c>
      <c r="GD178" s="4">
        <f t="shared" ref="GD178:GD209" si="406">IFERROR(EN178/EO178,)</f>
        <v>0</v>
      </c>
      <c r="GE178" s="4">
        <f t="shared" ref="GE178:GE209" si="407">IFERROR(EN178/EM178,)</f>
        <v>0</v>
      </c>
      <c r="GF178" s="4">
        <f t="shared" ref="GF178:GF209" si="408">IFERROR(EN178/EQ178,)</f>
        <v>0</v>
      </c>
      <c r="GG178" s="4">
        <f t="shared" ref="GG178:GG209" si="409">IFERROR(EN178/ES178,)</f>
        <v>0</v>
      </c>
      <c r="GH178" s="4">
        <f t="shared" ref="GH178:GH209" si="410">IFERROR(ET178/EV178,)</f>
        <v>0</v>
      </c>
      <c r="GI178" s="4">
        <f t="shared" ref="GI178:GI209" si="411">IFERROR(ET178/EY178,)</f>
        <v>0</v>
      </c>
      <c r="GJ178" s="4">
        <f t="shared" ref="GJ178:GJ209" si="412">IFERROR(ET178/FF178,)</f>
        <v>0</v>
      </c>
      <c r="GK178" s="4">
        <f t="shared" ref="GK178:GK209" si="413">IFERROR(ET178/FK178,)</f>
        <v>0</v>
      </c>
      <c r="GL178" s="4">
        <f t="shared" ref="GL178:GL209" si="414">IFERROR(FA178/FC178,)</f>
        <v>0</v>
      </c>
      <c r="GM178" s="4">
        <f t="shared" ref="GM178:GM209" si="415">IFERROR(EO178/EM178,)</f>
        <v>0</v>
      </c>
      <c r="GN178" s="4">
        <f t="shared" ref="GN178:GN209" si="416">IFERROR(ES178/ET178,)</f>
        <v>0</v>
      </c>
      <c r="GO178" s="4">
        <f t="shared" ref="GO178:GO209" si="417">IFERROR(ES178/EP178,)</f>
        <v>0</v>
      </c>
      <c r="GP178" s="4">
        <f t="shared" ref="GP178:GP209" si="418">IFERROR(EQ178/EP178,)</f>
        <v>0</v>
      </c>
      <c r="GQ178" s="27">
        <f t="shared" ref="GQ178:GQ209" si="419">AS178*10000/1.20462</f>
        <v>358074.92336406762</v>
      </c>
      <c r="GR178" s="28" t="str">
        <f t="shared" ref="GR178:GR209" si="420">IFERROR(CR178/$BR178*$GQ178,"")</f>
        <v/>
      </c>
      <c r="GS178" s="28" t="str">
        <f t="shared" ref="GS178:GS209" si="421">IFERROR(CH178/$BR178*$GQ178,"")</f>
        <v/>
      </c>
      <c r="GT178" s="28" t="str">
        <f t="shared" ref="GT178:GT209" si="422">IFERROR(CS178/$BR178*$GQ178,"")</f>
        <v/>
      </c>
      <c r="GU178" s="28" t="str">
        <f t="shared" ref="GU178:GU209" si="423">IFERROR(DL178/$BR178*$GQ178,"")</f>
        <v/>
      </c>
      <c r="GV178" s="28" t="str">
        <f t="shared" ref="GV178:GV209" si="424">IFERROR(DM178/$BR178*$GQ178,"")</f>
        <v/>
      </c>
      <c r="GW178" s="28" t="str">
        <f t="shared" ref="GW178:GW209" si="425">IFERROR(BR178/$BR178*$GQ178,"")</f>
        <v/>
      </c>
      <c r="GX178" s="28" t="str">
        <f t="shared" ref="GX178:GX209" si="426">IFERROR(DI178/$BR178*$GQ178,"")</f>
        <v/>
      </c>
      <c r="GY178" s="28" t="str">
        <f t="shared" ref="GY178:GY209" si="427">IFERROR(CM178/$BR178*$GQ178,"")</f>
        <v/>
      </c>
      <c r="GZ178" s="28" t="str">
        <f t="shared" ref="GZ178:GZ209" si="428">IFERROR(CU178/$BR178*$GQ178,"")</f>
        <v/>
      </c>
      <c r="HA178" s="28" t="str">
        <f t="shared" ref="HA178:HA209" si="429">IFERROR(CV178/$BR178*$GQ178,"")</f>
        <v/>
      </c>
      <c r="HB178" s="28" t="str">
        <f t="shared" ref="HB178:HB209" si="430">IFERROR(CW178/$BR178*$GQ178,"")</f>
        <v/>
      </c>
      <c r="HC178" s="28" t="str">
        <f t="shared" ref="HC178:HC209" si="431">IFERROR(CI178/$BR178*$GQ178,"")</f>
        <v/>
      </c>
      <c r="HD178" s="28" t="str">
        <f t="shared" ref="HD178:HD209" si="432">IFERROR(CX178/$BR178*$GQ178,"")</f>
        <v/>
      </c>
      <c r="HE178" s="28" t="str">
        <f t="shared" ref="HE178:HE209" si="433">IFERROR(CY178/$BR178*$GQ178,"")</f>
        <v/>
      </c>
      <c r="HF178" s="28" t="str">
        <f t="shared" ref="HF178:HF209" si="434">IFERROR(DH178/$BR178*$GQ178,"")</f>
        <v/>
      </c>
      <c r="HG178" s="28" t="str">
        <f t="shared" ref="HG178:HG209" si="435">IFERROR(CK178/$BR178*$GQ178,"")</f>
        <v/>
      </c>
      <c r="HH178" s="28" t="str">
        <f t="shared" ref="HH178:HH209" si="436">IFERROR(CZ178/$BR178*$GQ178,"")</f>
        <v/>
      </c>
      <c r="HI178" s="28" t="str">
        <f t="shared" ref="HI178:HI209" si="437">IFERROR(BT178/$BR178*$GQ178,"")</f>
        <v/>
      </c>
      <c r="HJ178" s="28" t="str">
        <f t="shared" ref="HJ178:HJ209" si="438">IFERROR(DA178/$BR178*$GQ178,"")</f>
        <v/>
      </c>
      <c r="HK178" s="28" t="str">
        <f t="shared" ref="HK178:HK209" si="439">IFERROR(DN178/$BR178*$GQ178,"")</f>
        <v/>
      </c>
      <c r="HL178" s="28" t="str">
        <f t="shared" ref="HL178:HL209" si="440">IFERROR(DB178/$BR178*$GQ178,"")</f>
        <v/>
      </c>
      <c r="HM178" s="28" t="str">
        <f t="shared" ref="HM178:HM209" si="441">IFERROR(CJ178/$BR178*$GQ178,"")</f>
        <v/>
      </c>
      <c r="HN178" s="28" t="str">
        <f t="shared" ref="HN178:HN209" si="442">IFERROR(DC178/$BR178*$GQ178,"")</f>
        <v/>
      </c>
      <c r="HO178" s="28" t="str">
        <f t="shared" ref="HO178:HO209" si="443">IFERROR(DD178/$BR178*$GQ178,"")</f>
        <v/>
      </c>
      <c r="HP178" s="28" t="str">
        <f t="shared" ref="HP178:HP209" si="444">IFERROR(DE178/$BR178*$GQ178,"")</f>
        <v/>
      </c>
      <c r="HQ178" s="28" t="str">
        <f t="shared" ref="HQ178:HQ209" si="445">IFERROR(DF178/$BR178*$GQ178,"")</f>
        <v/>
      </c>
      <c r="HR178" s="28" t="str">
        <f t="shared" ref="HR178:HR209" si="446">IFERROR(DG178/$BR178*$GQ178,"")</f>
        <v/>
      </c>
      <c r="HT178" s="4">
        <f>IFERROR(GR178/'McDonough &amp; Sun 1995 values'!C$2,)</f>
        <v>0</v>
      </c>
      <c r="HU178" s="4">
        <f>IFERROR(GS178/'McDonough &amp; Sun 1995 values'!D$2,)</f>
        <v>0</v>
      </c>
      <c r="HV178" s="4">
        <f>IFERROR(GT178/'McDonough &amp; Sun 1995 values'!E$2,)</f>
        <v>0</v>
      </c>
      <c r="HW178" s="4">
        <f>IFERROR(GU178/'McDonough &amp; Sun 1995 values'!F$2,)</f>
        <v>0</v>
      </c>
      <c r="HX178" s="4">
        <f>IFERROR(GV178/'McDonough &amp; Sun 1995 values'!G$2,)</f>
        <v>0</v>
      </c>
      <c r="HY178" s="4">
        <f>IFERROR(GW178/'McDonough &amp; Sun 1995 values'!H$2,)</f>
        <v>0</v>
      </c>
      <c r="HZ178" s="4">
        <f>IFERROR(GX178/'McDonough &amp; Sun 1995 values'!I$2,)</f>
        <v>0</v>
      </c>
      <c r="IA178" s="4">
        <f>IFERROR(GY178/'McDonough &amp; Sun 1995 values'!J$2,)</f>
        <v>0</v>
      </c>
      <c r="IB178" s="4">
        <f>IFERROR(GZ178/'McDonough &amp; Sun 1995 values'!K$2,)</f>
        <v>0</v>
      </c>
      <c r="IC178" s="4">
        <f>IFERROR(HA178/'McDonough &amp; Sun 1995 values'!L$2,)</f>
        <v>0</v>
      </c>
      <c r="ID178" s="4">
        <f>IFERROR(HB178/'McDonough &amp; Sun 1995 values'!M$2,)</f>
        <v>0</v>
      </c>
      <c r="IE178" s="4">
        <f>IFERROR(HC178/'McDonough &amp; Sun 1995 values'!N$2,)</f>
        <v>0</v>
      </c>
      <c r="IF178" s="4">
        <f>IFERROR(HD178/'McDonough &amp; Sun 1995 values'!O$2,)</f>
        <v>0</v>
      </c>
      <c r="IG178" s="4">
        <f>IFERROR(HE178/'McDonough &amp; Sun 1995 values'!P$2,)</f>
        <v>0</v>
      </c>
      <c r="IH178" s="4">
        <f>IFERROR(HF178/'McDonough &amp; Sun 1995 values'!Q$2,)</f>
        <v>0</v>
      </c>
      <c r="II178" s="4">
        <f>IFERROR(HG178/'McDonough &amp; Sun 1995 values'!R$2,)</f>
        <v>0</v>
      </c>
      <c r="IJ178" s="4">
        <f>IFERROR(HH178/'McDonough &amp; Sun 1995 values'!S$2,)</f>
        <v>0</v>
      </c>
      <c r="IK178" s="4">
        <f>IFERROR(HI178/'McDonough &amp; Sun 1995 values'!T$2,)</f>
        <v>0</v>
      </c>
      <c r="IL178" s="4">
        <f>IFERROR(HJ178/'McDonough &amp; Sun 1995 values'!U$2,)</f>
        <v>0</v>
      </c>
      <c r="IM178" s="4">
        <f>IFERROR(HK178/'McDonough &amp; Sun 1995 values'!V$2,)</f>
        <v>0</v>
      </c>
      <c r="IN178" s="4">
        <f>IFERROR(HL178/'McDonough &amp; Sun 1995 values'!W$2,)</f>
        <v>0</v>
      </c>
      <c r="IO178" s="4">
        <f>IFERROR(HM178/'McDonough &amp; Sun 1995 values'!X$2,)</f>
        <v>0</v>
      </c>
      <c r="IP178" s="4">
        <f>IFERROR(HN178/'McDonough &amp; Sun 1995 values'!Y$2,)</f>
        <v>0</v>
      </c>
      <c r="IQ178" s="4">
        <f>IFERROR(HO178/'McDonough &amp; Sun 1995 values'!Z$2,)</f>
        <v>0</v>
      </c>
      <c r="IR178" s="4">
        <f>IFERROR(HP178/'McDonough &amp; Sun 1995 values'!AA$2,)</f>
        <v>0</v>
      </c>
      <c r="IS178" s="4">
        <f>IFERROR(HQ178/'McDonough &amp; Sun 1995 values'!AB$2,)</f>
        <v>0</v>
      </c>
      <c r="IT178" s="4">
        <f>IFERROR(HR178/'McDonough &amp; Sun 1995 values'!AC$2,)</f>
        <v>0</v>
      </c>
    </row>
    <row r="179" spans="1:254">
      <c r="A179" s="16" t="s">
        <v>1229</v>
      </c>
      <c r="B179" s="16" t="s">
        <v>24</v>
      </c>
      <c r="C179" s="16" t="str">
        <f t="shared" si="304"/>
        <v>silicic</v>
      </c>
      <c r="D179" s="16">
        <v>0</v>
      </c>
      <c r="E179" s="16" t="s">
        <v>1394</v>
      </c>
      <c r="F179" s="16" t="s">
        <v>1432</v>
      </c>
      <c r="G179" s="16" t="s">
        <v>595</v>
      </c>
      <c r="H179" s="27">
        <v>93</v>
      </c>
      <c r="I179" s="16">
        <v>0</v>
      </c>
      <c r="J179" s="16" t="s">
        <v>1311</v>
      </c>
      <c r="K179" s="16" t="s">
        <v>1274</v>
      </c>
      <c r="L179" s="16">
        <v>0</v>
      </c>
      <c r="M179" s="16" t="s">
        <v>1486</v>
      </c>
      <c r="N179" s="16">
        <v>18</v>
      </c>
      <c r="O179" s="26">
        <v>58.80760320010446</v>
      </c>
      <c r="P179" s="26">
        <v>1.579874103216758</v>
      </c>
      <c r="Q179" s="26">
        <v>0.2709383505946466</v>
      </c>
      <c r="R179" s="26">
        <v>6.0002287437092381</v>
      </c>
      <c r="S179" s="26">
        <v>4.5010978622454685</v>
      </c>
      <c r="T179" s="26">
        <v>4.1509279999306239</v>
      </c>
      <c r="U179" s="26">
        <v>0.38165321883616465</v>
      </c>
      <c r="V179" s="26">
        <v>3.7721490773459001</v>
      </c>
      <c r="W179" s="26">
        <v>2.5426271212627651</v>
      </c>
      <c r="X179" s="26">
        <v>9.1878280145543751</v>
      </c>
      <c r="Y179" s="26"/>
      <c r="Z179" s="26">
        <v>4.9916326289735835</v>
      </c>
      <c r="AA179" s="26">
        <v>2.17068094839418</v>
      </c>
      <c r="AB179" s="26">
        <v>0.77832954360256912</v>
      </c>
      <c r="AC179" s="26">
        <v>0.22046284738637026</v>
      </c>
      <c r="AD179" s="26">
        <v>1.1163575478061036</v>
      </c>
      <c r="AE179" s="26">
        <v>0.82078815900892044</v>
      </c>
      <c r="AF179" s="26"/>
      <c r="AG179" s="26"/>
      <c r="AH179" s="26"/>
      <c r="AI179" s="26"/>
      <c r="AJ179" s="26">
        <f t="shared" si="305"/>
        <v>97.428655842751866</v>
      </c>
      <c r="AK179" s="26">
        <f t="shared" ref="AK179:AK210" si="447">100*(O179/($AJ179-$AD179*8/35.45))</f>
        <v>60.516138713244331</v>
      </c>
      <c r="AL179" s="26">
        <f t="shared" ref="AL179:AL210" si="448">100*(P179/($AJ179-$AD179*8/35.45))</f>
        <v>1.6257741376468473</v>
      </c>
      <c r="AM179" s="26">
        <f t="shared" ref="AM179:AM210" si="449">100*(R179/($AJ179-$AD179*8/35.45))</f>
        <v>6.1745532075155038</v>
      </c>
      <c r="AN179" s="26">
        <f t="shared" ref="AN179:AN210" si="450">100*(S179/($AJ179-$AD179*8/35.45))</f>
        <v>4.6318681219956677</v>
      </c>
      <c r="AO179" s="26">
        <f t="shared" ref="AO179:AO210" si="451">100*(T179/($AJ179-$AD179*8/35.45))</f>
        <v>4.2715247852856768</v>
      </c>
      <c r="AP179" s="26">
        <f t="shared" ref="AP179:AP210" si="452">100*(V179/($AJ179-$AD179*8/35.45))</f>
        <v>3.8817412101450106</v>
      </c>
      <c r="AQ179" s="26">
        <f t="shared" ref="AQ179:AQ210" si="453">100*(AB179/($AJ179-$AD179*8/35.45))</f>
        <v>0.80094232823937905</v>
      </c>
      <c r="AR179" s="26">
        <f t="shared" ref="AR179:AR210" si="454">100*(W179/($AJ179-$AD179*8/35.45))</f>
        <v>2.6164979899422476</v>
      </c>
      <c r="AS179" s="26">
        <f t="shared" ref="AS179:AS210" si="455">100*(X179/($AJ179-$AD179*8/35.45))</f>
        <v>9.4547617033509219</v>
      </c>
      <c r="AT179" s="26">
        <f t="shared" ref="AT179:AT210" si="456">100*(Z179/($AJ179-$AD179*8/35.45))</f>
        <v>5.1366543804319722</v>
      </c>
      <c r="AU179" s="26">
        <f t="shared" ref="AU179:AU210" si="457">100*(AD179/($AJ179-$AD179*8/35.45))</f>
        <v>1.1487910498024081</v>
      </c>
      <c r="AV179" s="26">
        <f t="shared" si="306"/>
        <v>100.25924762759998</v>
      </c>
      <c r="AW179" s="4"/>
      <c r="AX179" s="4"/>
      <c r="AY179" s="4"/>
      <c r="AZ179" s="4"/>
      <c r="BA179" s="53"/>
      <c r="BB179" s="53"/>
      <c r="BE179" s="25">
        <v>-5.37</v>
      </c>
      <c r="BF179" s="25">
        <v>-4.8</v>
      </c>
      <c r="BG179" s="16">
        <v>755</v>
      </c>
      <c r="BH179" s="16"/>
      <c r="BI179" s="16"/>
      <c r="BJ179" s="16"/>
      <c r="BK179" s="16"/>
      <c r="BL179" s="16"/>
      <c r="BM179" s="16"/>
      <c r="BN179" s="16"/>
      <c r="BO179" s="16"/>
      <c r="BP179" s="16"/>
      <c r="BQ179" s="16"/>
      <c r="BR179" s="16"/>
      <c r="BS179" s="16"/>
      <c r="BT179" s="16">
        <v>197.33333333333334</v>
      </c>
      <c r="BU179" s="16"/>
      <c r="BV179" s="16"/>
      <c r="BW179" s="16"/>
      <c r="BX179" s="16"/>
      <c r="BY179" s="16"/>
      <c r="BZ179" s="16"/>
      <c r="CA179" s="16"/>
      <c r="CB179" s="16"/>
      <c r="CC179" s="16"/>
      <c r="CD179" s="16"/>
      <c r="CE179" s="16"/>
      <c r="CF179" s="16"/>
      <c r="CG179" s="16"/>
      <c r="CH179" s="16">
        <v>0.51500000000000001</v>
      </c>
      <c r="CI179" s="16">
        <v>94.86</v>
      </c>
      <c r="CJ179" s="16">
        <v>924.5</v>
      </c>
      <c r="CK179" s="16">
        <v>17.850000000000001</v>
      </c>
      <c r="CL179" s="16"/>
      <c r="CM179" s="16">
        <v>10.920000000000002</v>
      </c>
      <c r="CN179" s="16"/>
      <c r="CO179" s="16"/>
      <c r="CP179" s="16"/>
      <c r="CQ179" s="16"/>
      <c r="CR179" s="16"/>
      <c r="CS179" s="16">
        <v>476.2</v>
      </c>
      <c r="CT179" s="16"/>
      <c r="CU179" s="16">
        <v>4464</v>
      </c>
      <c r="CV179" s="16">
        <v>9263.4</v>
      </c>
      <c r="CW179" s="16">
        <v>1006.04</v>
      </c>
      <c r="CX179" s="16">
        <v>3490.2</v>
      </c>
      <c r="CY179" s="16">
        <v>516.38</v>
      </c>
      <c r="CZ179" s="16">
        <v>111.16</v>
      </c>
      <c r="DA179" s="16">
        <v>289.84000000000003</v>
      </c>
      <c r="DB179" s="16">
        <v>198.4</v>
      </c>
      <c r="DC179" s="16"/>
      <c r="DD179" s="16">
        <v>75.240000000000009</v>
      </c>
      <c r="DE179" s="16"/>
      <c r="DF179" s="16">
        <v>53.679999999999993</v>
      </c>
      <c r="DG179" s="16">
        <v>6.6560000000000006</v>
      </c>
      <c r="DH179" s="16">
        <v>1.83</v>
      </c>
      <c r="DI179" s="16"/>
      <c r="DJ179" s="16"/>
      <c r="DK179" s="16">
        <v>97.61999999999999</v>
      </c>
      <c r="DL179" s="16">
        <v>104.53999999999999</v>
      </c>
      <c r="DM179" s="16">
        <v>3.3860000000000001</v>
      </c>
      <c r="DN179" s="16">
        <v>65.516666666666666</v>
      </c>
      <c r="DO179" s="16"/>
      <c r="DP179" s="16"/>
      <c r="DQ179" s="16"/>
      <c r="DR179" s="16"/>
      <c r="DS179" s="16"/>
      <c r="DT179" s="16"/>
      <c r="DU179" s="16"/>
      <c r="DV179" s="31">
        <f>AVERAGE('Excluded Analyses'!DW235:DW239)</f>
        <v>0.71293800000000007</v>
      </c>
      <c r="DW179" s="31">
        <f>AVERAGE('Excluded Analyses'!DX235:DX239)</f>
        <v>6.4000000000000011E-5</v>
      </c>
      <c r="DX179" s="31">
        <f>AVERAGE('Excluded Analyses'!DY235:DY239)</f>
        <v>0.71289800000000003</v>
      </c>
      <c r="DY179" s="31">
        <f>AVERAGE('Excluded Analyses'!DZ235:DZ239)</f>
        <v>0</v>
      </c>
      <c r="DZ179" s="31">
        <f>AVERAGE('Excluded Analyses'!EA235:EA239)</f>
        <v>120.76000000000002</v>
      </c>
      <c r="EA179" s="31">
        <f>AVERAGE('Excluded Analyses'!EB235:EB239)</f>
        <v>0.51131299999999991</v>
      </c>
      <c r="EB179" s="31">
        <f>AVERAGE('Excluded Analyses'!EC235:EC239)</f>
        <v>2.9749999999999998E-5</v>
      </c>
      <c r="EC179" s="31"/>
      <c r="ED179" s="31">
        <f>AVERAGE('Excluded Analyses'!EE235:EE239)</f>
        <v>-24.599999999999998</v>
      </c>
      <c r="EE179" s="31">
        <f>AVERAGE('Excluded Analyses'!EF235:EF239)</f>
        <v>17.945</v>
      </c>
      <c r="EF179" s="31">
        <f>AVERAGE('Excluded Analyses'!EG235:EG239)</f>
        <v>5.0000000000000001E-3</v>
      </c>
      <c r="EG179" s="31">
        <f>AVERAGE('Excluded Analyses'!EH235:EH239)</f>
        <v>15.635</v>
      </c>
      <c r="EH179" s="31">
        <f>AVERAGE('Excluded Analyses'!EI235:EI239)</f>
        <v>4.5000000000000005E-3</v>
      </c>
      <c r="EI179" s="31"/>
      <c r="EJ179" s="31"/>
      <c r="EK179" s="18"/>
      <c r="EL179" s="18">
        <f>IFERROR(CR179/'McDonough &amp; Sun 1995 values'!C$2,)</f>
        <v>0</v>
      </c>
      <c r="EM179" s="18">
        <f>IFERROR(CH179/'McDonough &amp; Sun 1995 values'!D$2,)</f>
        <v>0.85833333333333339</v>
      </c>
      <c r="EN179" s="18">
        <f>IFERROR(CS179/'McDonough &amp; Sun 1995 values'!E$2,)</f>
        <v>72.151515151515156</v>
      </c>
      <c r="EO179" s="18">
        <f>IFERROR(DL179/'McDonough &amp; Sun 1995 values'!F$2,)</f>
        <v>1314.9685534591194</v>
      </c>
      <c r="EP179" s="18">
        <f>IFERROR(DM179/'McDonough &amp; Sun 1995 values'!G$2,)</f>
        <v>166.79802955665028</v>
      </c>
      <c r="EQ179" s="18">
        <f>IFERROR(BR179/'McDonough &amp; Sun 1995 values'!H$2,)</f>
        <v>0</v>
      </c>
      <c r="ER179" s="18">
        <f>IFERROR(DI179/'McDonough &amp; Sun 1995 values'!I$2,)</f>
        <v>0</v>
      </c>
      <c r="ES179" s="18">
        <f>IFERROR(CM179/'McDonough &amp; Sun 1995 values'!J$2,)</f>
        <v>16.595744680851066</v>
      </c>
      <c r="ET179" s="18">
        <f>IFERROR(CU179/'McDonough &amp; Sun 1995 values'!K$2,)</f>
        <v>6888.8888888888887</v>
      </c>
      <c r="EU179" s="18">
        <f>IFERROR(CV179/'McDonough &amp; Sun 1995 values'!L$2,)</f>
        <v>5530.3880597014922</v>
      </c>
      <c r="EV179" s="18">
        <f>IFERROR(CW179/'McDonough &amp; Sun 1995 values'!M$2,)</f>
        <v>3960.787401574803</v>
      </c>
      <c r="EW179" s="18">
        <f>IFERROR(CI179/'McDonough &amp; Sun 1995 values'!N$2,)</f>
        <v>4.7668341708542714</v>
      </c>
      <c r="EX179" s="18">
        <f>IFERROR(CX179/'McDonough &amp; Sun 1995 values'!O$2,)</f>
        <v>2792.16</v>
      </c>
      <c r="EY179" s="18">
        <f>IFERROR(CY179/'McDonough &amp; Sun 1995 values'!P$2,)</f>
        <v>1271.8719211822659</v>
      </c>
      <c r="EZ179" s="18">
        <f>IFERROR(DH179/'McDonough &amp; Sun 1995 values'!Q$2,)</f>
        <v>6.4664310954063611</v>
      </c>
      <c r="FA179" s="18">
        <f>IFERROR(CK179/'McDonough &amp; Sun 1995 values'!R$2,)</f>
        <v>1.7000000000000002</v>
      </c>
      <c r="FB179" s="18">
        <f>IFERROR(CZ179/'McDonough &amp; Sun 1995 values'!S$2,)</f>
        <v>721.81818181818176</v>
      </c>
      <c r="FC179" s="18">
        <f>IFERROR(BT179/'McDonough &amp; Sun 1995 values'!T$2,)</f>
        <v>0.16376210235131397</v>
      </c>
      <c r="FD179" s="18">
        <f>IFERROR(DA179/'McDonough &amp; Sun 1995 values'!U$2,)</f>
        <v>532.7941176470589</v>
      </c>
      <c r="FE179" s="18">
        <f>IFERROR(DN179/'McDonough &amp; Sun 1995 values'!V$2,)</f>
        <v>661.78451178451178</v>
      </c>
      <c r="FF179" s="18">
        <f>IFERROR(DB179/'McDonough &amp; Sun 1995 values'!W$2,)</f>
        <v>294.36201780415428</v>
      </c>
      <c r="FG179" s="18">
        <f>IFERROR(CJ179/'McDonough &amp; Sun 1995 values'!X$2,)</f>
        <v>215</v>
      </c>
      <c r="FH179" s="18">
        <f>IFERROR(DC179/'McDonough &amp; Sun 1995 values'!Y$2,)</f>
        <v>0</v>
      </c>
      <c r="FI179" s="18">
        <f>IFERROR(DD179/'McDonough &amp; Sun 1995 values'!Z$2,)</f>
        <v>171.78082191780825</v>
      </c>
      <c r="FJ179" s="18">
        <f>IFERROR(DE179/'McDonough &amp; Sun 1995 values'!AA$2,)</f>
        <v>0</v>
      </c>
      <c r="FK179" s="18">
        <f>IFERROR(DF179/'McDonough &amp; Sun 1995 values'!AB$2,)</f>
        <v>121.72335600907027</v>
      </c>
      <c r="FL179" s="18">
        <f>IFERROR(DG179/'McDonough &amp; Sun 1995 values'!AC$2,)</f>
        <v>98.607407407407408</v>
      </c>
      <c r="FM179" s="16"/>
      <c r="FN179" s="28">
        <f t="shared" ref="FN179:FN233" si="458">IFERROR(EP179/EQ179,)</f>
        <v>0</v>
      </c>
      <c r="FO179" s="4">
        <f t="shared" si="391"/>
        <v>0.43256815049490766</v>
      </c>
      <c r="FP179" s="4">
        <f t="shared" si="392"/>
        <v>79.235284631511036</v>
      </c>
      <c r="FQ179" s="4">
        <f t="shared" si="393"/>
        <v>7.8835976477318725</v>
      </c>
      <c r="FR179" s="4">
        <f t="shared" si="394"/>
        <v>415.09971509971501</v>
      </c>
      <c r="FS179" s="4">
        <f t="shared" si="395"/>
        <v>0</v>
      </c>
      <c r="FT179" s="4">
        <f t="shared" si="396"/>
        <v>0</v>
      </c>
      <c r="FU179" s="4">
        <f t="shared" si="397"/>
        <v>0</v>
      </c>
      <c r="FV179" s="4">
        <f t="shared" si="398"/>
        <v>1.3366125721367987E-3</v>
      </c>
      <c r="FW179" s="4">
        <f t="shared" si="399"/>
        <v>0.26289617486338795</v>
      </c>
      <c r="FX179" s="4">
        <f t="shared" si="400"/>
        <v>0.79994654555190781</v>
      </c>
      <c r="FY179" s="4">
        <f t="shared" si="401"/>
        <v>1.4334057007521432E-3</v>
      </c>
      <c r="FZ179" s="4">
        <f t="shared" si="402"/>
        <v>0.87685224209530499</v>
      </c>
      <c r="GA179" s="4">
        <f t="shared" si="403"/>
        <v>1.203506698935415E-3</v>
      </c>
      <c r="GB179" s="4">
        <f t="shared" si="404"/>
        <v>0.56752426859712191</v>
      </c>
      <c r="GC179" s="4">
        <f t="shared" si="405"/>
        <v>0</v>
      </c>
      <c r="GD179" s="4">
        <f t="shared" si="406"/>
        <v>5.4869384489625549E-2</v>
      </c>
      <c r="GE179" s="4">
        <f t="shared" si="407"/>
        <v>84.060017652250664</v>
      </c>
      <c r="GF179" s="4">
        <f t="shared" si="408"/>
        <v>0</v>
      </c>
      <c r="GG179" s="4">
        <f t="shared" si="409"/>
        <v>4.3475912975912969</v>
      </c>
      <c r="GH179" s="4">
        <f t="shared" si="410"/>
        <v>1.7392725714462425</v>
      </c>
      <c r="GI179" s="4">
        <f t="shared" si="411"/>
        <v>5.4163385276131706</v>
      </c>
      <c r="GJ179" s="4">
        <f t="shared" si="412"/>
        <v>23.402777777777779</v>
      </c>
      <c r="GK179" s="4">
        <f t="shared" si="413"/>
        <v>56.594634873323407</v>
      </c>
      <c r="GL179" s="4">
        <f t="shared" si="414"/>
        <v>10.380912162162163</v>
      </c>
      <c r="GM179" s="4">
        <f t="shared" si="415"/>
        <v>1532.0021982047992</v>
      </c>
      <c r="GN179" s="4">
        <f t="shared" si="416"/>
        <v>2.4090597117364452E-3</v>
      </c>
      <c r="GO179" s="4">
        <f t="shared" si="417"/>
        <v>9.9496047555013761E-2</v>
      </c>
      <c r="GP179" s="4">
        <f t="shared" si="418"/>
        <v>0</v>
      </c>
      <c r="GQ179" s="27">
        <f t="shared" si="419"/>
        <v>78487.503970969454</v>
      </c>
      <c r="GR179" s="28" t="str">
        <f t="shared" si="420"/>
        <v/>
      </c>
      <c r="GS179" s="28" t="str">
        <f t="shared" si="421"/>
        <v/>
      </c>
      <c r="GT179" s="28" t="str">
        <f t="shared" si="422"/>
        <v/>
      </c>
      <c r="GU179" s="28" t="str">
        <f t="shared" si="423"/>
        <v/>
      </c>
      <c r="GV179" s="28" t="str">
        <f t="shared" si="424"/>
        <v/>
      </c>
      <c r="GW179" s="28" t="str">
        <f t="shared" si="425"/>
        <v/>
      </c>
      <c r="GX179" s="28" t="str">
        <f t="shared" si="426"/>
        <v/>
      </c>
      <c r="GY179" s="28" t="str">
        <f t="shared" si="427"/>
        <v/>
      </c>
      <c r="GZ179" s="28" t="str">
        <f t="shared" si="428"/>
        <v/>
      </c>
      <c r="HA179" s="28" t="str">
        <f t="shared" si="429"/>
        <v/>
      </c>
      <c r="HB179" s="28" t="str">
        <f t="shared" si="430"/>
        <v/>
      </c>
      <c r="HC179" s="28" t="str">
        <f t="shared" si="431"/>
        <v/>
      </c>
      <c r="HD179" s="28" t="str">
        <f t="shared" si="432"/>
        <v/>
      </c>
      <c r="HE179" s="28" t="str">
        <f t="shared" si="433"/>
        <v/>
      </c>
      <c r="HF179" s="28" t="str">
        <f t="shared" si="434"/>
        <v/>
      </c>
      <c r="HG179" s="28" t="str">
        <f t="shared" si="435"/>
        <v/>
      </c>
      <c r="HH179" s="28" t="str">
        <f t="shared" si="436"/>
        <v/>
      </c>
      <c r="HI179" s="28" t="str">
        <f t="shared" si="437"/>
        <v/>
      </c>
      <c r="HJ179" s="28" t="str">
        <f t="shared" si="438"/>
        <v/>
      </c>
      <c r="HK179" s="28" t="str">
        <f t="shared" si="439"/>
        <v/>
      </c>
      <c r="HL179" s="28" t="str">
        <f t="shared" si="440"/>
        <v/>
      </c>
      <c r="HM179" s="28" t="str">
        <f t="shared" si="441"/>
        <v/>
      </c>
      <c r="HN179" s="28" t="str">
        <f t="shared" si="442"/>
        <v/>
      </c>
      <c r="HO179" s="28" t="str">
        <f t="shared" si="443"/>
        <v/>
      </c>
      <c r="HP179" s="28" t="str">
        <f t="shared" si="444"/>
        <v/>
      </c>
      <c r="HQ179" s="28" t="str">
        <f t="shared" si="445"/>
        <v/>
      </c>
      <c r="HR179" s="28" t="str">
        <f t="shared" si="446"/>
        <v/>
      </c>
      <c r="HT179" s="4">
        <f>IFERROR(GR179/'McDonough &amp; Sun 1995 values'!C$2,)</f>
        <v>0</v>
      </c>
      <c r="HU179" s="4">
        <f>IFERROR(GS179/'McDonough &amp; Sun 1995 values'!D$2,)</f>
        <v>0</v>
      </c>
      <c r="HV179" s="4">
        <f>IFERROR(GT179/'McDonough &amp; Sun 1995 values'!E$2,)</f>
        <v>0</v>
      </c>
      <c r="HW179" s="4">
        <f>IFERROR(GU179/'McDonough &amp; Sun 1995 values'!F$2,)</f>
        <v>0</v>
      </c>
      <c r="HX179" s="4">
        <f>IFERROR(GV179/'McDonough &amp; Sun 1995 values'!G$2,)</f>
        <v>0</v>
      </c>
      <c r="HY179" s="4">
        <f>IFERROR(GW179/'McDonough &amp; Sun 1995 values'!H$2,)</f>
        <v>0</v>
      </c>
      <c r="HZ179" s="4">
        <f>IFERROR(GX179/'McDonough &amp; Sun 1995 values'!I$2,)</f>
        <v>0</v>
      </c>
      <c r="IA179" s="4">
        <f>IFERROR(GY179/'McDonough &amp; Sun 1995 values'!J$2,)</f>
        <v>0</v>
      </c>
      <c r="IB179" s="4">
        <f>IFERROR(GZ179/'McDonough &amp; Sun 1995 values'!K$2,)</f>
        <v>0</v>
      </c>
      <c r="IC179" s="4">
        <f>IFERROR(HA179/'McDonough &amp; Sun 1995 values'!L$2,)</f>
        <v>0</v>
      </c>
      <c r="ID179" s="4">
        <f>IFERROR(HB179/'McDonough &amp; Sun 1995 values'!M$2,)</f>
        <v>0</v>
      </c>
      <c r="IE179" s="4">
        <f>IFERROR(HC179/'McDonough &amp; Sun 1995 values'!N$2,)</f>
        <v>0</v>
      </c>
      <c r="IF179" s="4">
        <f>IFERROR(HD179/'McDonough &amp; Sun 1995 values'!O$2,)</f>
        <v>0</v>
      </c>
      <c r="IG179" s="4">
        <f>IFERROR(HE179/'McDonough &amp; Sun 1995 values'!P$2,)</f>
        <v>0</v>
      </c>
      <c r="IH179" s="4">
        <f>IFERROR(HF179/'McDonough &amp; Sun 1995 values'!Q$2,)</f>
        <v>0</v>
      </c>
      <c r="II179" s="4">
        <f>IFERROR(HG179/'McDonough &amp; Sun 1995 values'!R$2,)</f>
        <v>0</v>
      </c>
      <c r="IJ179" s="4">
        <f>IFERROR(HH179/'McDonough &amp; Sun 1995 values'!S$2,)</f>
        <v>0</v>
      </c>
      <c r="IK179" s="4">
        <f>IFERROR(HI179/'McDonough &amp; Sun 1995 values'!T$2,)</f>
        <v>0</v>
      </c>
      <c r="IL179" s="4">
        <f>IFERROR(HJ179/'McDonough &amp; Sun 1995 values'!U$2,)</f>
        <v>0</v>
      </c>
      <c r="IM179" s="4">
        <f>IFERROR(HK179/'McDonough &amp; Sun 1995 values'!V$2,)</f>
        <v>0</v>
      </c>
      <c r="IN179" s="4">
        <f>IFERROR(HL179/'McDonough &amp; Sun 1995 values'!W$2,)</f>
        <v>0</v>
      </c>
      <c r="IO179" s="4">
        <f>IFERROR(HM179/'McDonough &amp; Sun 1995 values'!X$2,)</f>
        <v>0</v>
      </c>
      <c r="IP179" s="4">
        <f>IFERROR(HN179/'McDonough &amp; Sun 1995 values'!Y$2,)</f>
        <v>0</v>
      </c>
      <c r="IQ179" s="4">
        <f>IFERROR(HO179/'McDonough &amp; Sun 1995 values'!Z$2,)</f>
        <v>0</v>
      </c>
      <c r="IR179" s="4">
        <f>IFERROR(HP179/'McDonough &amp; Sun 1995 values'!AA$2,)</f>
        <v>0</v>
      </c>
      <c r="IS179" s="4">
        <f>IFERROR(HQ179/'McDonough &amp; Sun 1995 values'!AB$2,)</f>
        <v>0</v>
      </c>
      <c r="IT179" s="4">
        <f>IFERROR(HR179/'McDonough &amp; Sun 1995 values'!AC$2,)</f>
        <v>0</v>
      </c>
    </row>
    <row r="180" spans="1:254">
      <c r="A180" s="16" t="s">
        <v>905</v>
      </c>
      <c r="B180" s="16" t="s">
        <v>24</v>
      </c>
      <c r="C180" s="16" t="str">
        <f t="shared" si="304"/>
        <v>silicic</v>
      </c>
      <c r="D180" s="16" t="s">
        <v>71</v>
      </c>
      <c r="E180" s="16" t="s">
        <v>1627</v>
      </c>
      <c r="F180" s="16" t="s">
        <v>102</v>
      </c>
      <c r="G180" s="16">
        <v>0</v>
      </c>
      <c r="H180" s="27">
        <v>0</v>
      </c>
      <c r="I180" s="16" t="s">
        <v>712</v>
      </c>
      <c r="J180" s="16">
        <v>0</v>
      </c>
      <c r="K180" s="16" t="s">
        <v>48</v>
      </c>
      <c r="L180" s="16" t="s">
        <v>99</v>
      </c>
      <c r="M180" s="16" t="s">
        <v>907</v>
      </c>
      <c r="N180" s="16">
        <v>45</v>
      </c>
      <c r="O180" s="26">
        <v>45.438397780243314</v>
      </c>
      <c r="P180" s="26">
        <v>2.8467227545861311</v>
      </c>
      <c r="Q180" s="26"/>
      <c r="R180" s="26">
        <v>5.1512637537794506</v>
      </c>
      <c r="S180" s="26">
        <v>9.720876554370868</v>
      </c>
      <c r="T180" s="26">
        <v>3.9651211923494096</v>
      </c>
      <c r="U180" s="26"/>
      <c r="V180" s="26">
        <v>6.711557167106097</v>
      </c>
      <c r="W180" s="26">
        <v>2.7804157793563578</v>
      </c>
      <c r="X180" s="26">
        <v>14.909142102272028</v>
      </c>
      <c r="Y180" s="26"/>
      <c r="Z180" s="26">
        <v>3.8705997635643259</v>
      </c>
      <c r="AA180" s="26"/>
      <c r="AB180" s="26">
        <v>1.7592450878341146</v>
      </c>
      <c r="AC180" s="26"/>
      <c r="AD180" s="26">
        <v>3.6762851871719007</v>
      </c>
      <c r="AE180" s="26"/>
      <c r="AF180" s="26"/>
      <c r="AG180" s="26"/>
      <c r="AH180" s="26"/>
      <c r="AI180" s="26"/>
      <c r="AJ180" s="26">
        <f t="shared" si="305"/>
        <v>100.82962712263401</v>
      </c>
      <c r="AK180" s="26">
        <f t="shared" si="447"/>
        <v>45.438397780243307</v>
      </c>
      <c r="AL180" s="26">
        <f t="shared" si="448"/>
        <v>2.8467227545861307</v>
      </c>
      <c r="AM180" s="26">
        <f t="shared" si="449"/>
        <v>5.1512637537794497</v>
      </c>
      <c r="AN180" s="26">
        <f t="shared" si="450"/>
        <v>9.7208765543708662</v>
      </c>
      <c r="AO180" s="26">
        <f t="shared" si="451"/>
        <v>3.9651211923494092</v>
      </c>
      <c r="AP180" s="26">
        <f t="shared" si="452"/>
        <v>6.7115571671060952</v>
      </c>
      <c r="AQ180" s="26">
        <f t="shared" si="453"/>
        <v>1.7592450878341142</v>
      </c>
      <c r="AR180" s="26">
        <f t="shared" si="454"/>
        <v>2.7804157793563573</v>
      </c>
      <c r="AS180" s="26">
        <f t="shared" si="455"/>
        <v>14.909142102272027</v>
      </c>
      <c r="AT180" s="26">
        <f t="shared" si="456"/>
        <v>3.870599763564325</v>
      </c>
      <c r="AU180" s="26">
        <f t="shared" si="457"/>
        <v>3.6762851871719002</v>
      </c>
      <c r="AV180" s="26">
        <f t="shared" si="306"/>
        <v>100.82962712263399</v>
      </c>
      <c r="AW180" s="16">
        <v>1163</v>
      </c>
      <c r="AX180" s="16">
        <v>1512</v>
      </c>
      <c r="AY180" s="16"/>
      <c r="AZ180" s="16"/>
      <c r="BA180" s="26">
        <v>0.24</v>
      </c>
      <c r="BB180" s="26"/>
      <c r="BC180" s="26">
        <f>(AX180/18.02)/((AX180/18.02)+(AW180/44.01))</f>
        <v>0.7604894973027545</v>
      </c>
      <c r="BD180" s="26">
        <f>(AW180/44.01)/((AX180/18.02)+(AW180/44.01))</f>
        <v>0.23951050269724541</v>
      </c>
      <c r="BE180" s="16"/>
      <c r="BF180" s="16"/>
      <c r="BG180" s="16" t="s">
        <v>910</v>
      </c>
      <c r="BH180" s="16"/>
      <c r="BI180" s="16">
        <v>0</v>
      </c>
      <c r="BJ180" s="16">
        <v>0</v>
      </c>
      <c r="BK180" s="18">
        <v>0</v>
      </c>
      <c r="BL180" s="18">
        <v>0</v>
      </c>
      <c r="BM180" s="18">
        <v>0</v>
      </c>
      <c r="BN180" s="18">
        <v>0</v>
      </c>
      <c r="BO180" s="18"/>
      <c r="BP180" s="18"/>
      <c r="BQ180" s="18"/>
      <c r="BR180" s="18"/>
      <c r="BS180" s="18"/>
      <c r="BT180" s="18"/>
      <c r="BU180" s="18"/>
      <c r="BV180" s="18"/>
      <c r="BW180" s="18"/>
      <c r="BX180" s="18"/>
      <c r="BY180" s="18"/>
      <c r="BZ180" s="18"/>
      <c r="CA180" s="18"/>
      <c r="CB180" s="18"/>
      <c r="CC180" s="18"/>
      <c r="CD180" s="18"/>
      <c r="CE180" s="18"/>
      <c r="CF180" s="18"/>
      <c r="CG180" s="18"/>
      <c r="CH180" s="18"/>
      <c r="CI180" s="18">
        <v>0</v>
      </c>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28"/>
      <c r="DW180" s="28"/>
      <c r="DX180" s="28"/>
      <c r="DY180" s="28"/>
      <c r="DZ180" s="28"/>
      <c r="EA180" s="28"/>
      <c r="EB180" s="28"/>
      <c r="EC180" s="28"/>
      <c r="ED180" s="28"/>
      <c r="EE180" s="28"/>
      <c r="EF180" s="28"/>
      <c r="EG180" s="28"/>
      <c r="EH180" s="28"/>
      <c r="EI180" s="28"/>
      <c r="EJ180" s="18"/>
      <c r="EK180" s="18"/>
      <c r="EL180" s="18">
        <f>IFERROR(CR180/'McDonough &amp; Sun 1995 values'!C$2,)</f>
        <v>0</v>
      </c>
      <c r="EM180" s="18">
        <f>IFERROR(CH180/'McDonough &amp; Sun 1995 values'!D$2,)</f>
        <v>0</v>
      </c>
      <c r="EN180" s="18">
        <f>IFERROR(CS180/'McDonough &amp; Sun 1995 values'!E$2,)</f>
        <v>0</v>
      </c>
      <c r="EO180" s="18">
        <f>IFERROR(DL180/'McDonough &amp; Sun 1995 values'!F$2,)</f>
        <v>0</v>
      </c>
      <c r="EP180" s="18">
        <f>IFERROR(DM180/'McDonough &amp; Sun 1995 values'!G$2,)</f>
        <v>0</v>
      </c>
      <c r="EQ180" s="18">
        <f>IFERROR(BR180/'McDonough &amp; Sun 1995 values'!H$2,)</f>
        <v>0</v>
      </c>
      <c r="ER180" s="18">
        <f>IFERROR(DI180/'McDonough &amp; Sun 1995 values'!I$2,)</f>
        <v>0</v>
      </c>
      <c r="ES180" s="18">
        <f>IFERROR(CM180/'McDonough &amp; Sun 1995 values'!J$2,)</f>
        <v>0</v>
      </c>
      <c r="ET180" s="18">
        <f>IFERROR(CU180/'McDonough &amp; Sun 1995 values'!K$2,)</f>
        <v>0</v>
      </c>
      <c r="EU180" s="18">
        <f>IFERROR(CV180/'McDonough &amp; Sun 1995 values'!L$2,)</f>
        <v>0</v>
      </c>
      <c r="EV180" s="18">
        <f>IFERROR(CW180/'McDonough &amp; Sun 1995 values'!M$2,)</f>
        <v>0</v>
      </c>
      <c r="EW180" s="18">
        <f>IFERROR(CI180/'McDonough &amp; Sun 1995 values'!N$2,)</f>
        <v>0</v>
      </c>
      <c r="EX180" s="18">
        <f>IFERROR(CX180/'McDonough &amp; Sun 1995 values'!O$2,)</f>
        <v>0</v>
      </c>
      <c r="EY180" s="18">
        <f>IFERROR(CY180/'McDonough &amp; Sun 1995 values'!P$2,)</f>
        <v>0</v>
      </c>
      <c r="EZ180" s="18">
        <f>IFERROR(DH180/'McDonough &amp; Sun 1995 values'!Q$2,)</f>
        <v>0</v>
      </c>
      <c r="FA180" s="18">
        <f>IFERROR(CK180/'McDonough &amp; Sun 1995 values'!R$2,)</f>
        <v>0</v>
      </c>
      <c r="FB180" s="18">
        <f>IFERROR(CZ180/'McDonough &amp; Sun 1995 values'!S$2,)</f>
        <v>0</v>
      </c>
      <c r="FC180" s="18">
        <f>IFERROR(BT180/'McDonough &amp; Sun 1995 values'!T$2,)</f>
        <v>0</v>
      </c>
      <c r="FD180" s="18">
        <f>IFERROR(DA180/'McDonough &amp; Sun 1995 values'!U$2,)</f>
        <v>0</v>
      </c>
      <c r="FE180" s="18">
        <f>IFERROR(DN180/'McDonough &amp; Sun 1995 values'!V$2,)</f>
        <v>0</v>
      </c>
      <c r="FF180" s="18">
        <f>IFERROR(DB180/'McDonough &amp; Sun 1995 values'!W$2,)</f>
        <v>0</v>
      </c>
      <c r="FG180" s="18">
        <f>IFERROR(CJ180/'McDonough &amp; Sun 1995 values'!X$2,)</f>
        <v>0</v>
      </c>
      <c r="FH180" s="18">
        <f>IFERROR(DC180/'McDonough &amp; Sun 1995 values'!Y$2,)</f>
        <v>0</v>
      </c>
      <c r="FI180" s="18">
        <f>IFERROR(DD180/'McDonough &amp; Sun 1995 values'!Z$2,)</f>
        <v>0</v>
      </c>
      <c r="FJ180" s="18">
        <f>IFERROR(DE180/'McDonough &amp; Sun 1995 values'!AA$2,)</f>
        <v>0</v>
      </c>
      <c r="FK180" s="18">
        <f>IFERROR(DF180/'McDonough &amp; Sun 1995 values'!AB$2,)</f>
        <v>0</v>
      </c>
      <c r="FL180" s="18">
        <f>IFERROR(DG180/'McDonough &amp; Sun 1995 values'!AC$2,)</f>
        <v>0</v>
      </c>
      <c r="FN180" s="28">
        <f t="shared" si="458"/>
        <v>0</v>
      </c>
      <c r="FO180" s="4">
        <f t="shared" si="391"/>
        <v>0</v>
      </c>
      <c r="FP180" s="4">
        <f t="shared" si="392"/>
        <v>0</v>
      </c>
      <c r="FQ180" s="4">
        <f t="shared" si="393"/>
        <v>0</v>
      </c>
      <c r="FR180" s="4">
        <f t="shared" si="394"/>
        <v>0</v>
      </c>
      <c r="FS180" s="4">
        <f t="shared" si="395"/>
        <v>0</v>
      </c>
      <c r="FT180" s="4">
        <f t="shared" si="396"/>
        <v>0</v>
      </c>
      <c r="FU180" s="4">
        <f t="shared" si="397"/>
        <v>0</v>
      </c>
      <c r="FV180" s="4">
        <f t="shared" si="398"/>
        <v>0</v>
      </c>
      <c r="FW180" s="4">
        <f t="shared" si="399"/>
        <v>0</v>
      </c>
      <c r="FX180" s="4">
        <f t="shared" si="400"/>
        <v>0</v>
      </c>
      <c r="FY180" s="4">
        <f t="shared" si="401"/>
        <v>0</v>
      </c>
      <c r="FZ180" s="4">
        <f t="shared" si="402"/>
        <v>0</v>
      </c>
      <c r="GA180" s="4">
        <f t="shared" si="403"/>
        <v>0</v>
      </c>
      <c r="GB180" s="4">
        <f t="shared" si="404"/>
        <v>0</v>
      </c>
      <c r="GC180" s="4">
        <f t="shared" si="405"/>
        <v>0</v>
      </c>
      <c r="GD180" s="4">
        <f t="shared" si="406"/>
        <v>0</v>
      </c>
      <c r="GE180" s="4">
        <f t="shared" si="407"/>
        <v>0</v>
      </c>
      <c r="GF180" s="4">
        <f t="shared" si="408"/>
        <v>0</v>
      </c>
      <c r="GG180" s="4">
        <f t="shared" si="409"/>
        <v>0</v>
      </c>
      <c r="GH180" s="4">
        <f t="shared" si="410"/>
        <v>0</v>
      </c>
      <c r="GI180" s="4">
        <f t="shared" si="411"/>
        <v>0</v>
      </c>
      <c r="GJ180" s="4">
        <f t="shared" si="412"/>
        <v>0</v>
      </c>
      <c r="GK180" s="4">
        <f t="shared" si="413"/>
        <v>0</v>
      </c>
      <c r="GL180" s="4">
        <f t="shared" si="414"/>
        <v>0</v>
      </c>
      <c r="GM180" s="4">
        <f t="shared" si="415"/>
        <v>0</v>
      </c>
      <c r="GN180" s="4">
        <f t="shared" si="416"/>
        <v>0</v>
      </c>
      <c r="GO180" s="4">
        <f t="shared" si="417"/>
        <v>0</v>
      </c>
      <c r="GP180" s="4">
        <f t="shared" si="418"/>
        <v>0</v>
      </c>
      <c r="GQ180" s="27">
        <f t="shared" si="419"/>
        <v>123766.3504032145</v>
      </c>
      <c r="GR180" s="28" t="str">
        <f t="shared" si="420"/>
        <v/>
      </c>
      <c r="GS180" s="28" t="str">
        <f t="shared" si="421"/>
        <v/>
      </c>
      <c r="GT180" s="28" t="str">
        <f t="shared" si="422"/>
        <v/>
      </c>
      <c r="GU180" s="28" t="str">
        <f t="shared" si="423"/>
        <v/>
      </c>
      <c r="GV180" s="28" t="str">
        <f t="shared" si="424"/>
        <v/>
      </c>
      <c r="GW180" s="28" t="str">
        <f t="shared" si="425"/>
        <v/>
      </c>
      <c r="GX180" s="28" t="str">
        <f t="shared" si="426"/>
        <v/>
      </c>
      <c r="GY180" s="28" t="str">
        <f t="shared" si="427"/>
        <v/>
      </c>
      <c r="GZ180" s="28" t="str">
        <f t="shared" si="428"/>
        <v/>
      </c>
      <c r="HA180" s="28" t="str">
        <f t="shared" si="429"/>
        <v/>
      </c>
      <c r="HB180" s="28" t="str">
        <f t="shared" si="430"/>
        <v/>
      </c>
      <c r="HC180" s="28" t="str">
        <f t="shared" si="431"/>
        <v/>
      </c>
      <c r="HD180" s="28" t="str">
        <f t="shared" si="432"/>
        <v/>
      </c>
      <c r="HE180" s="28" t="str">
        <f t="shared" si="433"/>
        <v/>
      </c>
      <c r="HF180" s="28" t="str">
        <f t="shared" si="434"/>
        <v/>
      </c>
      <c r="HG180" s="28" t="str">
        <f t="shared" si="435"/>
        <v/>
      </c>
      <c r="HH180" s="28" t="str">
        <f t="shared" si="436"/>
        <v/>
      </c>
      <c r="HI180" s="28" t="str">
        <f t="shared" si="437"/>
        <v/>
      </c>
      <c r="HJ180" s="28" t="str">
        <f t="shared" si="438"/>
        <v/>
      </c>
      <c r="HK180" s="28" t="str">
        <f t="shared" si="439"/>
        <v/>
      </c>
      <c r="HL180" s="28" t="str">
        <f t="shared" si="440"/>
        <v/>
      </c>
      <c r="HM180" s="28" t="str">
        <f t="shared" si="441"/>
        <v/>
      </c>
      <c r="HN180" s="28" t="str">
        <f t="shared" si="442"/>
        <v/>
      </c>
      <c r="HO180" s="28" t="str">
        <f t="shared" si="443"/>
        <v/>
      </c>
      <c r="HP180" s="28" t="str">
        <f t="shared" si="444"/>
        <v/>
      </c>
      <c r="HQ180" s="28" t="str">
        <f t="shared" si="445"/>
        <v/>
      </c>
      <c r="HR180" s="28" t="str">
        <f t="shared" si="446"/>
        <v/>
      </c>
      <c r="HT180" s="4">
        <f>IFERROR(GR180/'McDonough &amp; Sun 1995 values'!C$2,)</f>
        <v>0</v>
      </c>
      <c r="HU180" s="4">
        <f>IFERROR(GS180/'McDonough &amp; Sun 1995 values'!D$2,)</f>
        <v>0</v>
      </c>
      <c r="HV180" s="4">
        <f>IFERROR(GT180/'McDonough &amp; Sun 1995 values'!E$2,)</f>
        <v>0</v>
      </c>
      <c r="HW180" s="4">
        <f>IFERROR(GU180/'McDonough &amp; Sun 1995 values'!F$2,)</f>
        <v>0</v>
      </c>
      <c r="HX180" s="4">
        <f>IFERROR(GV180/'McDonough &amp; Sun 1995 values'!G$2,)</f>
        <v>0</v>
      </c>
      <c r="HY180" s="4">
        <f>IFERROR(GW180/'McDonough &amp; Sun 1995 values'!H$2,)</f>
        <v>0</v>
      </c>
      <c r="HZ180" s="4">
        <f>IFERROR(GX180/'McDonough &amp; Sun 1995 values'!I$2,)</f>
        <v>0</v>
      </c>
      <c r="IA180" s="4">
        <f>IFERROR(GY180/'McDonough &amp; Sun 1995 values'!J$2,)</f>
        <v>0</v>
      </c>
      <c r="IB180" s="4">
        <f>IFERROR(GZ180/'McDonough &amp; Sun 1995 values'!K$2,)</f>
        <v>0</v>
      </c>
      <c r="IC180" s="4">
        <f>IFERROR(HA180/'McDonough &amp; Sun 1995 values'!L$2,)</f>
        <v>0</v>
      </c>
      <c r="ID180" s="4">
        <f>IFERROR(HB180/'McDonough &amp; Sun 1995 values'!M$2,)</f>
        <v>0</v>
      </c>
      <c r="IE180" s="4">
        <f>IFERROR(HC180/'McDonough &amp; Sun 1995 values'!N$2,)</f>
        <v>0</v>
      </c>
      <c r="IF180" s="4">
        <f>IFERROR(HD180/'McDonough &amp; Sun 1995 values'!O$2,)</f>
        <v>0</v>
      </c>
      <c r="IG180" s="4">
        <f>IFERROR(HE180/'McDonough &amp; Sun 1995 values'!P$2,)</f>
        <v>0</v>
      </c>
      <c r="IH180" s="4">
        <f>IFERROR(HF180/'McDonough &amp; Sun 1995 values'!Q$2,)</f>
        <v>0</v>
      </c>
      <c r="II180" s="4">
        <f>IFERROR(HG180/'McDonough &amp; Sun 1995 values'!R$2,)</f>
        <v>0</v>
      </c>
      <c r="IJ180" s="4">
        <f>IFERROR(HH180/'McDonough &amp; Sun 1995 values'!S$2,)</f>
        <v>0</v>
      </c>
      <c r="IK180" s="4">
        <f>IFERROR(HI180/'McDonough &amp; Sun 1995 values'!T$2,)</f>
        <v>0</v>
      </c>
      <c r="IL180" s="4">
        <f>IFERROR(HJ180/'McDonough &amp; Sun 1995 values'!U$2,)</f>
        <v>0</v>
      </c>
      <c r="IM180" s="4">
        <f>IFERROR(HK180/'McDonough &amp; Sun 1995 values'!V$2,)</f>
        <v>0</v>
      </c>
      <c r="IN180" s="4">
        <f>IFERROR(HL180/'McDonough &amp; Sun 1995 values'!W$2,)</f>
        <v>0</v>
      </c>
      <c r="IO180" s="4">
        <f>IFERROR(HM180/'McDonough &amp; Sun 1995 values'!X$2,)</f>
        <v>0</v>
      </c>
      <c r="IP180" s="4">
        <f>IFERROR(HN180/'McDonough &amp; Sun 1995 values'!Y$2,)</f>
        <v>0</v>
      </c>
      <c r="IQ180" s="4">
        <f>IFERROR(HO180/'McDonough &amp; Sun 1995 values'!Z$2,)</f>
        <v>0</v>
      </c>
      <c r="IR180" s="4">
        <f>IFERROR(HP180/'McDonough &amp; Sun 1995 values'!AA$2,)</f>
        <v>0</v>
      </c>
      <c r="IS180" s="4">
        <f>IFERROR(HQ180/'McDonough &amp; Sun 1995 values'!AB$2,)</f>
        <v>0</v>
      </c>
      <c r="IT180" s="4">
        <f>IFERROR(HR180/'McDonough &amp; Sun 1995 values'!AC$2,)</f>
        <v>0</v>
      </c>
    </row>
    <row r="181" spans="1:254">
      <c r="A181" s="16" t="s">
        <v>838</v>
      </c>
      <c r="B181" s="16" t="s">
        <v>24</v>
      </c>
      <c r="C181" s="16" t="str">
        <f t="shared" si="304"/>
        <v>silicic</v>
      </c>
      <c r="D181" s="16" t="s">
        <v>1719</v>
      </c>
      <c r="E181" s="16" t="s">
        <v>388</v>
      </c>
      <c r="F181" s="16" t="s">
        <v>342</v>
      </c>
      <c r="G181" s="16" t="s">
        <v>829</v>
      </c>
      <c r="H181" s="27">
        <v>0</v>
      </c>
      <c r="I181" s="16" t="s">
        <v>735</v>
      </c>
      <c r="J181" s="16">
        <v>0</v>
      </c>
      <c r="K181" s="16" t="s">
        <v>903</v>
      </c>
      <c r="L181" s="16">
        <v>0</v>
      </c>
      <c r="M181" s="16">
        <v>14</v>
      </c>
      <c r="N181" s="16">
        <v>50</v>
      </c>
      <c r="O181" s="26">
        <v>45.12</v>
      </c>
      <c r="P181" s="26">
        <v>3.82</v>
      </c>
      <c r="Q181" s="26"/>
      <c r="R181" s="26">
        <v>6.01</v>
      </c>
      <c r="S181" s="26">
        <v>8.8000000000000007</v>
      </c>
      <c r="T181" s="26">
        <v>7.59</v>
      </c>
      <c r="U181" s="26"/>
      <c r="V181" s="26">
        <v>6.16</v>
      </c>
      <c r="W181" s="26">
        <v>2.72</v>
      </c>
      <c r="X181" s="26">
        <v>15.22</v>
      </c>
      <c r="Y181" s="26"/>
      <c r="Z181" s="26">
        <v>1.87</v>
      </c>
      <c r="AA181" s="26">
        <v>0.69</v>
      </c>
      <c r="AB181" s="26">
        <v>0.75</v>
      </c>
      <c r="AC181" s="26"/>
      <c r="AD181" s="26">
        <v>0.98</v>
      </c>
      <c r="AE181" s="26"/>
      <c r="AF181" s="26">
        <v>0.27</v>
      </c>
      <c r="AG181" s="26"/>
      <c r="AH181" s="26"/>
      <c r="AI181" s="26">
        <v>11.87</v>
      </c>
      <c r="AJ181" s="26">
        <f t="shared" si="305"/>
        <v>99.04</v>
      </c>
      <c r="AK181" s="26">
        <f t="shared" si="447"/>
        <v>45.659307909959317</v>
      </c>
      <c r="AL181" s="26">
        <f t="shared" si="448"/>
        <v>3.8656594906038255</v>
      </c>
      <c r="AM181" s="26">
        <f t="shared" si="449"/>
        <v>6.0818360048505209</v>
      </c>
      <c r="AN181" s="26">
        <f t="shared" si="450"/>
        <v>8.9051841668360385</v>
      </c>
      <c r="AO181" s="26">
        <f t="shared" si="451"/>
        <v>7.6807213438960824</v>
      </c>
      <c r="AP181" s="26">
        <f t="shared" si="452"/>
        <v>6.2336289167852268</v>
      </c>
      <c r="AQ181" s="26">
        <f t="shared" si="453"/>
        <v>0.75896455967352594</v>
      </c>
      <c r="AR181" s="26">
        <f t="shared" si="454"/>
        <v>2.7525114697493209</v>
      </c>
      <c r="AS181" s="26">
        <f t="shared" si="455"/>
        <v>15.401920797641422</v>
      </c>
      <c r="AT181" s="26">
        <f t="shared" si="456"/>
        <v>1.8923516354526584</v>
      </c>
      <c r="AU181" s="26">
        <f t="shared" si="457"/>
        <v>0.99171369130674059</v>
      </c>
      <c r="AV181" s="26">
        <f t="shared" si="306"/>
        <v>100.22379998675468</v>
      </c>
      <c r="AW181" s="16"/>
      <c r="AX181" s="16"/>
      <c r="AY181" s="16"/>
      <c r="AZ181" s="16"/>
      <c r="BA181" s="26"/>
      <c r="BB181" s="26">
        <v>0.56999999999999995</v>
      </c>
      <c r="BC181" s="26">
        <f>1-BD181</f>
        <v>0.56999999999999995</v>
      </c>
      <c r="BD181" s="26">
        <f>1-BB181</f>
        <v>0.43000000000000005</v>
      </c>
      <c r="BE181" s="16"/>
      <c r="BF181" s="16"/>
      <c r="BG181" s="16">
        <v>0</v>
      </c>
      <c r="BH181" s="16"/>
      <c r="BI181" s="16">
        <v>0</v>
      </c>
      <c r="BJ181" s="16">
        <v>0</v>
      </c>
      <c r="BK181" s="18">
        <v>0</v>
      </c>
      <c r="BL181" s="18">
        <v>0</v>
      </c>
      <c r="BM181" s="18">
        <v>0</v>
      </c>
      <c r="BN181" s="18">
        <v>0</v>
      </c>
      <c r="BO181" s="18"/>
      <c r="BP181" s="18"/>
      <c r="BQ181" s="18"/>
      <c r="BR181" s="18"/>
      <c r="BS181" s="18"/>
      <c r="BT181" s="18"/>
      <c r="BU181" s="18"/>
      <c r="BV181" s="18"/>
      <c r="BW181" s="18"/>
      <c r="BX181" s="18"/>
      <c r="BY181" s="18"/>
      <c r="BZ181" s="18"/>
      <c r="CA181" s="18"/>
      <c r="CB181" s="18"/>
      <c r="CC181" s="18"/>
      <c r="CD181" s="18"/>
      <c r="CE181" s="18"/>
      <c r="CF181" s="18"/>
      <c r="CG181" s="18"/>
      <c r="CH181" s="18"/>
      <c r="CI181" s="18">
        <v>0</v>
      </c>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28"/>
      <c r="DW181" s="28"/>
      <c r="DX181" s="28"/>
      <c r="DY181" s="28"/>
      <c r="DZ181" s="28"/>
      <c r="EA181" s="28"/>
      <c r="EB181" s="28"/>
      <c r="EC181" s="28"/>
      <c r="ED181" s="28"/>
      <c r="EE181" s="28"/>
      <c r="EF181" s="28"/>
      <c r="EG181" s="28"/>
      <c r="EH181" s="28"/>
      <c r="EI181" s="28"/>
      <c r="EJ181" s="18"/>
      <c r="EK181" s="18"/>
      <c r="EL181" s="18">
        <f>IFERROR(CR181/'McDonough &amp; Sun 1995 values'!C$2,)</f>
        <v>0</v>
      </c>
      <c r="EM181" s="18">
        <f>IFERROR(CH181/'McDonough &amp; Sun 1995 values'!D$2,)</f>
        <v>0</v>
      </c>
      <c r="EN181" s="18">
        <f>IFERROR(CS181/'McDonough &amp; Sun 1995 values'!E$2,)</f>
        <v>0</v>
      </c>
      <c r="EO181" s="18">
        <f>IFERROR(DL181/'McDonough &amp; Sun 1995 values'!F$2,)</f>
        <v>0</v>
      </c>
      <c r="EP181" s="18">
        <f>IFERROR(DM181/'McDonough &amp; Sun 1995 values'!G$2,)</f>
        <v>0</v>
      </c>
      <c r="EQ181" s="18">
        <f>IFERROR(BR181/'McDonough &amp; Sun 1995 values'!H$2,)</f>
        <v>0</v>
      </c>
      <c r="ER181" s="18">
        <f>IFERROR(DI181/'McDonough &amp; Sun 1995 values'!I$2,)</f>
        <v>0</v>
      </c>
      <c r="ES181" s="18">
        <f>IFERROR(CM181/'McDonough &amp; Sun 1995 values'!J$2,)</f>
        <v>0</v>
      </c>
      <c r="ET181" s="18">
        <f>IFERROR(CU181/'McDonough &amp; Sun 1995 values'!K$2,)</f>
        <v>0</v>
      </c>
      <c r="EU181" s="18">
        <f>IFERROR(CV181/'McDonough &amp; Sun 1995 values'!L$2,)</f>
        <v>0</v>
      </c>
      <c r="EV181" s="18">
        <f>IFERROR(CW181/'McDonough &amp; Sun 1995 values'!M$2,)</f>
        <v>0</v>
      </c>
      <c r="EW181" s="18">
        <f>IFERROR(CI181/'McDonough &amp; Sun 1995 values'!N$2,)</f>
        <v>0</v>
      </c>
      <c r="EX181" s="18">
        <f>IFERROR(CX181/'McDonough &amp; Sun 1995 values'!O$2,)</f>
        <v>0</v>
      </c>
      <c r="EY181" s="18">
        <f>IFERROR(CY181/'McDonough &amp; Sun 1995 values'!P$2,)</f>
        <v>0</v>
      </c>
      <c r="EZ181" s="18">
        <f>IFERROR(DH181/'McDonough &amp; Sun 1995 values'!Q$2,)</f>
        <v>0</v>
      </c>
      <c r="FA181" s="18">
        <f>IFERROR(CK181/'McDonough &amp; Sun 1995 values'!R$2,)</f>
        <v>0</v>
      </c>
      <c r="FB181" s="18">
        <f>IFERROR(CZ181/'McDonough &amp; Sun 1995 values'!S$2,)</f>
        <v>0</v>
      </c>
      <c r="FC181" s="18">
        <f>IFERROR(BT181/'McDonough &amp; Sun 1995 values'!T$2,)</f>
        <v>0</v>
      </c>
      <c r="FD181" s="18">
        <f>IFERROR(DA181/'McDonough &amp; Sun 1995 values'!U$2,)</f>
        <v>0</v>
      </c>
      <c r="FE181" s="18">
        <f>IFERROR(DN181/'McDonough &amp; Sun 1995 values'!V$2,)</f>
        <v>0</v>
      </c>
      <c r="FF181" s="18">
        <f>IFERROR(DB181/'McDonough &amp; Sun 1995 values'!W$2,)</f>
        <v>0</v>
      </c>
      <c r="FG181" s="18">
        <f>IFERROR(CJ181/'McDonough &amp; Sun 1995 values'!X$2,)</f>
        <v>0</v>
      </c>
      <c r="FH181" s="18">
        <f>IFERROR(DC181/'McDonough &amp; Sun 1995 values'!Y$2,)</f>
        <v>0</v>
      </c>
      <c r="FI181" s="18">
        <f>IFERROR(DD181/'McDonough &amp; Sun 1995 values'!Z$2,)</f>
        <v>0</v>
      </c>
      <c r="FJ181" s="18">
        <f>IFERROR(DE181/'McDonough &amp; Sun 1995 values'!AA$2,)</f>
        <v>0</v>
      </c>
      <c r="FK181" s="18">
        <f>IFERROR(DF181/'McDonough &amp; Sun 1995 values'!AB$2,)</f>
        <v>0</v>
      </c>
      <c r="FL181" s="18">
        <f>IFERROR(DG181/'McDonough &amp; Sun 1995 values'!AC$2,)</f>
        <v>0</v>
      </c>
      <c r="FN181" s="28">
        <f t="shared" si="458"/>
        <v>0</v>
      </c>
      <c r="FO181" s="4">
        <f t="shared" si="391"/>
        <v>0</v>
      </c>
      <c r="FP181" s="4">
        <f t="shared" si="392"/>
        <v>0</v>
      </c>
      <c r="FQ181" s="4">
        <f t="shared" si="393"/>
        <v>0</v>
      </c>
      <c r="FR181" s="4">
        <f t="shared" si="394"/>
        <v>0</v>
      </c>
      <c r="FS181" s="4">
        <f t="shared" si="395"/>
        <v>0</v>
      </c>
      <c r="FT181" s="4">
        <f t="shared" si="396"/>
        <v>0</v>
      </c>
      <c r="FU181" s="4">
        <f t="shared" si="397"/>
        <v>0</v>
      </c>
      <c r="FV181" s="4">
        <f t="shared" si="398"/>
        <v>0</v>
      </c>
      <c r="FW181" s="4">
        <f t="shared" si="399"/>
        <v>0</v>
      </c>
      <c r="FX181" s="4">
        <f t="shared" si="400"/>
        <v>0</v>
      </c>
      <c r="FY181" s="4">
        <f t="shared" si="401"/>
        <v>0</v>
      </c>
      <c r="FZ181" s="4">
        <f t="shared" si="402"/>
        <v>0</v>
      </c>
      <c r="GA181" s="4">
        <f t="shared" si="403"/>
        <v>0</v>
      </c>
      <c r="GB181" s="4">
        <f t="shared" si="404"/>
        <v>0</v>
      </c>
      <c r="GC181" s="4">
        <f t="shared" si="405"/>
        <v>0</v>
      </c>
      <c r="GD181" s="4">
        <f t="shared" si="406"/>
        <v>0</v>
      </c>
      <c r="GE181" s="4">
        <f t="shared" si="407"/>
        <v>0</v>
      </c>
      <c r="GF181" s="4">
        <f t="shared" si="408"/>
        <v>0</v>
      </c>
      <c r="GG181" s="4">
        <f t="shared" si="409"/>
        <v>0</v>
      </c>
      <c r="GH181" s="4">
        <f t="shared" si="410"/>
        <v>0</v>
      </c>
      <c r="GI181" s="4">
        <f t="shared" si="411"/>
        <v>0</v>
      </c>
      <c r="GJ181" s="4">
        <f t="shared" si="412"/>
        <v>0</v>
      </c>
      <c r="GK181" s="4">
        <f t="shared" si="413"/>
        <v>0</v>
      </c>
      <c r="GL181" s="4">
        <f t="shared" si="414"/>
        <v>0</v>
      </c>
      <c r="GM181" s="4">
        <f t="shared" si="415"/>
        <v>0</v>
      </c>
      <c r="GN181" s="4">
        <f t="shared" si="416"/>
        <v>0</v>
      </c>
      <c r="GO181" s="4">
        <f t="shared" si="417"/>
        <v>0</v>
      </c>
      <c r="GP181" s="4">
        <f t="shared" si="418"/>
        <v>0</v>
      </c>
      <c r="GQ181" s="27">
        <f t="shared" si="419"/>
        <v>127857.09018314008</v>
      </c>
      <c r="GR181" s="28" t="str">
        <f t="shared" si="420"/>
        <v/>
      </c>
      <c r="GS181" s="28" t="str">
        <f t="shared" si="421"/>
        <v/>
      </c>
      <c r="GT181" s="28" t="str">
        <f t="shared" si="422"/>
        <v/>
      </c>
      <c r="GU181" s="28" t="str">
        <f t="shared" si="423"/>
        <v/>
      </c>
      <c r="GV181" s="28" t="str">
        <f t="shared" si="424"/>
        <v/>
      </c>
      <c r="GW181" s="28" t="str">
        <f t="shared" si="425"/>
        <v/>
      </c>
      <c r="GX181" s="28" t="str">
        <f t="shared" si="426"/>
        <v/>
      </c>
      <c r="GY181" s="28" t="str">
        <f t="shared" si="427"/>
        <v/>
      </c>
      <c r="GZ181" s="28" t="str">
        <f t="shared" si="428"/>
        <v/>
      </c>
      <c r="HA181" s="28" t="str">
        <f t="shared" si="429"/>
        <v/>
      </c>
      <c r="HB181" s="28" t="str">
        <f t="shared" si="430"/>
        <v/>
      </c>
      <c r="HC181" s="28" t="str">
        <f t="shared" si="431"/>
        <v/>
      </c>
      <c r="HD181" s="28" t="str">
        <f t="shared" si="432"/>
        <v/>
      </c>
      <c r="HE181" s="28" t="str">
        <f t="shared" si="433"/>
        <v/>
      </c>
      <c r="HF181" s="28" t="str">
        <f t="shared" si="434"/>
        <v/>
      </c>
      <c r="HG181" s="28" t="str">
        <f t="shared" si="435"/>
        <v/>
      </c>
      <c r="HH181" s="28" t="str">
        <f t="shared" si="436"/>
        <v/>
      </c>
      <c r="HI181" s="28" t="str">
        <f t="shared" si="437"/>
        <v/>
      </c>
      <c r="HJ181" s="28" t="str">
        <f t="shared" si="438"/>
        <v/>
      </c>
      <c r="HK181" s="28" t="str">
        <f t="shared" si="439"/>
        <v/>
      </c>
      <c r="HL181" s="28" t="str">
        <f t="shared" si="440"/>
        <v/>
      </c>
      <c r="HM181" s="28" t="str">
        <f t="shared" si="441"/>
        <v/>
      </c>
      <c r="HN181" s="28" t="str">
        <f t="shared" si="442"/>
        <v/>
      </c>
      <c r="HO181" s="28" t="str">
        <f t="shared" si="443"/>
        <v/>
      </c>
      <c r="HP181" s="28" t="str">
        <f t="shared" si="444"/>
        <v/>
      </c>
      <c r="HQ181" s="28" t="str">
        <f t="shared" si="445"/>
        <v/>
      </c>
      <c r="HR181" s="28" t="str">
        <f t="shared" si="446"/>
        <v/>
      </c>
      <c r="HT181" s="4">
        <f>IFERROR(GR181/'McDonough &amp; Sun 1995 values'!C$2,)</f>
        <v>0</v>
      </c>
      <c r="HU181" s="4">
        <f>IFERROR(GS181/'McDonough &amp; Sun 1995 values'!D$2,)</f>
        <v>0</v>
      </c>
      <c r="HV181" s="4">
        <f>IFERROR(GT181/'McDonough &amp; Sun 1995 values'!E$2,)</f>
        <v>0</v>
      </c>
      <c r="HW181" s="4">
        <f>IFERROR(GU181/'McDonough &amp; Sun 1995 values'!F$2,)</f>
        <v>0</v>
      </c>
      <c r="HX181" s="4">
        <f>IFERROR(GV181/'McDonough &amp; Sun 1995 values'!G$2,)</f>
        <v>0</v>
      </c>
      <c r="HY181" s="4">
        <f>IFERROR(GW181/'McDonough &amp; Sun 1995 values'!H$2,)</f>
        <v>0</v>
      </c>
      <c r="HZ181" s="4">
        <f>IFERROR(GX181/'McDonough &amp; Sun 1995 values'!I$2,)</f>
        <v>0</v>
      </c>
      <c r="IA181" s="4">
        <f>IFERROR(GY181/'McDonough &amp; Sun 1995 values'!J$2,)</f>
        <v>0</v>
      </c>
      <c r="IB181" s="4">
        <f>IFERROR(GZ181/'McDonough &amp; Sun 1995 values'!K$2,)</f>
        <v>0</v>
      </c>
      <c r="IC181" s="4">
        <f>IFERROR(HA181/'McDonough &amp; Sun 1995 values'!L$2,)</f>
        <v>0</v>
      </c>
      <c r="ID181" s="4">
        <f>IFERROR(HB181/'McDonough &amp; Sun 1995 values'!M$2,)</f>
        <v>0</v>
      </c>
      <c r="IE181" s="4">
        <f>IFERROR(HC181/'McDonough &amp; Sun 1995 values'!N$2,)</f>
        <v>0</v>
      </c>
      <c r="IF181" s="4">
        <f>IFERROR(HD181/'McDonough &amp; Sun 1995 values'!O$2,)</f>
        <v>0</v>
      </c>
      <c r="IG181" s="4">
        <f>IFERROR(HE181/'McDonough &amp; Sun 1995 values'!P$2,)</f>
        <v>0</v>
      </c>
      <c r="IH181" s="4">
        <f>IFERROR(HF181/'McDonough &amp; Sun 1995 values'!Q$2,)</f>
        <v>0</v>
      </c>
      <c r="II181" s="4">
        <f>IFERROR(HG181/'McDonough &amp; Sun 1995 values'!R$2,)</f>
        <v>0</v>
      </c>
      <c r="IJ181" s="4">
        <f>IFERROR(HH181/'McDonough &amp; Sun 1995 values'!S$2,)</f>
        <v>0</v>
      </c>
      <c r="IK181" s="4">
        <f>IFERROR(HI181/'McDonough &amp; Sun 1995 values'!T$2,)</f>
        <v>0</v>
      </c>
      <c r="IL181" s="4">
        <f>IFERROR(HJ181/'McDonough &amp; Sun 1995 values'!U$2,)</f>
        <v>0</v>
      </c>
      <c r="IM181" s="4">
        <f>IFERROR(HK181/'McDonough &amp; Sun 1995 values'!V$2,)</f>
        <v>0</v>
      </c>
      <c r="IN181" s="4">
        <f>IFERROR(HL181/'McDonough &amp; Sun 1995 values'!W$2,)</f>
        <v>0</v>
      </c>
      <c r="IO181" s="4">
        <f>IFERROR(HM181/'McDonough &amp; Sun 1995 values'!X$2,)</f>
        <v>0</v>
      </c>
      <c r="IP181" s="4">
        <f>IFERROR(HN181/'McDonough &amp; Sun 1995 values'!Y$2,)</f>
        <v>0</v>
      </c>
      <c r="IQ181" s="4">
        <f>IFERROR(HO181/'McDonough &amp; Sun 1995 values'!Z$2,)</f>
        <v>0</v>
      </c>
      <c r="IR181" s="4">
        <f>IFERROR(HP181/'McDonough &amp; Sun 1995 values'!AA$2,)</f>
        <v>0</v>
      </c>
      <c r="IS181" s="4">
        <f>IFERROR(HQ181/'McDonough &amp; Sun 1995 values'!AB$2,)</f>
        <v>0</v>
      </c>
      <c r="IT181" s="4">
        <f>IFERROR(HR181/'McDonough &amp; Sun 1995 values'!AC$2,)</f>
        <v>0</v>
      </c>
    </row>
    <row r="182" spans="1:254">
      <c r="A182" s="16" t="s">
        <v>838</v>
      </c>
      <c r="B182" s="16" t="s">
        <v>24</v>
      </c>
      <c r="C182" s="16" t="str">
        <f t="shared" si="304"/>
        <v>silicic</v>
      </c>
      <c r="D182" s="16" t="s">
        <v>1719</v>
      </c>
      <c r="E182" s="16" t="s">
        <v>388</v>
      </c>
      <c r="F182" s="16" t="s">
        <v>342</v>
      </c>
      <c r="G182" s="16" t="s">
        <v>829</v>
      </c>
      <c r="H182" s="27">
        <v>0</v>
      </c>
      <c r="I182" s="16" t="s">
        <v>735</v>
      </c>
      <c r="J182" s="16">
        <v>0</v>
      </c>
      <c r="K182" s="16" t="s">
        <v>903</v>
      </c>
      <c r="L182" s="16">
        <v>0</v>
      </c>
      <c r="M182" s="16">
        <v>25</v>
      </c>
      <c r="N182" s="16">
        <v>53</v>
      </c>
      <c r="O182" s="26">
        <v>47.08</v>
      </c>
      <c r="P182" s="26">
        <v>2.4</v>
      </c>
      <c r="Q182" s="26"/>
      <c r="R182" s="26">
        <v>5.73</v>
      </c>
      <c r="S182" s="26">
        <v>9.02</v>
      </c>
      <c r="T182" s="26">
        <v>3.93</v>
      </c>
      <c r="U182" s="26"/>
      <c r="V182" s="26">
        <v>5.37</v>
      </c>
      <c r="W182" s="26">
        <v>2.31</v>
      </c>
      <c r="X182" s="26">
        <v>13.21</v>
      </c>
      <c r="Y182" s="26"/>
      <c r="Z182" s="26">
        <v>5.54</v>
      </c>
      <c r="AA182" s="26">
        <v>0.68</v>
      </c>
      <c r="AB182" s="26">
        <v>1.47</v>
      </c>
      <c r="AC182" s="26"/>
      <c r="AD182" s="26">
        <v>2.5</v>
      </c>
      <c r="AE182" s="26"/>
      <c r="AF182" s="26">
        <v>0.76</v>
      </c>
      <c r="AG182" s="26"/>
      <c r="AH182" s="26"/>
      <c r="AI182" s="26">
        <v>7.36</v>
      </c>
      <c r="AJ182" s="26">
        <f t="shared" si="305"/>
        <v>98.560000000000016</v>
      </c>
      <c r="AK182" s="26">
        <f t="shared" si="447"/>
        <v>48.042862998682757</v>
      </c>
      <c r="AL182" s="26">
        <f t="shared" si="448"/>
        <v>2.4490839251664958</v>
      </c>
      <c r="AM182" s="26">
        <f t="shared" si="449"/>
        <v>5.8471878713350094</v>
      </c>
      <c r="AN182" s="26">
        <f t="shared" si="450"/>
        <v>9.2044737520840787</v>
      </c>
      <c r="AO182" s="26">
        <f t="shared" si="451"/>
        <v>4.0103749274601368</v>
      </c>
      <c r="AP182" s="26">
        <f t="shared" si="452"/>
        <v>5.479825282560034</v>
      </c>
      <c r="AQ182" s="26">
        <f t="shared" si="453"/>
        <v>1.5000639041644785</v>
      </c>
      <c r="AR182" s="26">
        <f t="shared" si="454"/>
        <v>2.3572432779727523</v>
      </c>
      <c r="AS182" s="26">
        <f t="shared" si="455"/>
        <v>13.480166104770589</v>
      </c>
      <c r="AT182" s="26">
        <f t="shared" si="456"/>
        <v>5.6533020605926607</v>
      </c>
      <c r="AU182" s="26">
        <f t="shared" si="457"/>
        <v>2.5511290887150997</v>
      </c>
      <c r="AV182" s="26">
        <f t="shared" si="306"/>
        <v>100.5757131935041</v>
      </c>
      <c r="AW182" s="16"/>
      <c r="AX182" s="16"/>
      <c r="AY182" s="16"/>
      <c r="AZ182" s="16"/>
      <c r="BA182" s="26"/>
      <c r="BB182" s="26">
        <v>1</v>
      </c>
      <c r="BC182" s="26">
        <f>1-BD182</f>
        <v>1</v>
      </c>
      <c r="BD182" s="26">
        <f>1-BB182</f>
        <v>0</v>
      </c>
      <c r="BE182" s="16"/>
      <c r="BF182" s="16"/>
      <c r="BG182" s="16">
        <v>0</v>
      </c>
      <c r="BH182" s="16"/>
      <c r="BI182" s="16">
        <v>0</v>
      </c>
      <c r="BJ182" s="16">
        <v>0</v>
      </c>
      <c r="BK182" s="18">
        <v>0</v>
      </c>
      <c r="BL182" s="18">
        <v>0</v>
      </c>
      <c r="BM182" s="18">
        <v>0</v>
      </c>
      <c r="BN182" s="18">
        <v>0</v>
      </c>
      <c r="BO182" s="18"/>
      <c r="BP182" s="18"/>
      <c r="BQ182" s="18"/>
      <c r="BR182" s="18"/>
      <c r="BS182" s="18"/>
      <c r="BT182" s="18"/>
      <c r="BU182" s="18"/>
      <c r="BV182" s="18"/>
      <c r="BW182" s="18"/>
      <c r="BX182" s="18"/>
      <c r="BY182" s="18"/>
      <c r="BZ182" s="18"/>
      <c r="CA182" s="18"/>
      <c r="CB182" s="18"/>
      <c r="CC182" s="18"/>
      <c r="CD182" s="18"/>
      <c r="CE182" s="18"/>
      <c r="CF182" s="18"/>
      <c r="CG182" s="18"/>
      <c r="CH182" s="18"/>
      <c r="CI182" s="18">
        <v>0</v>
      </c>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28"/>
      <c r="DW182" s="28"/>
      <c r="DX182" s="28"/>
      <c r="DY182" s="28"/>
      <c r="DZ182" s="28"/>
      <c r="EA182" s="28"/>
      <c r="EB182" s="28"/>
      <c r="EC182" s="28"/>
      <c r="ED182" s="28"/>
      <c r="EE182" s="28"/>
      <c r="EF182" s="28"/>
      <c r="EG182" s="28"/>
      <c r="EH182" s="28"/>
      <c r="EI182" s="28"/>
      <c r="EJ182" s="18"/>
      <c r="EK182" s="18"/>
      <c r="EL182" s="18">
        <f>IFERROR(CR182/'McDonough &amp; Sun 1995 values'!C$2,)</f>
        <v>0</v>
      </c>
      <c r="EM182" s="18">
        <f>IFERROR(CH182/'McDonough &amp; Sun 1995 values'!D$2,)</f>
        <v>0</v>
      </c>
      <c r="EN182" s="18">
        <f>IFERROR(CS182/'McDonough &amp; Sun 1995 values'!E$2,)</f>
        <v>0</v>
      </c>
      <c r="EO182" s="18">
        <f>IFERROR(DL182/'McDonough &amp; Sun 1995 values'!F$2,)</f>
        <v>0</v>
      </c>
      <c r="EP182" s="18">
        <f>IFERROR(DM182/'McDonough &amp; Sun 1995 values'!G$2,)</f>
        <v>0</v>
      </c>
      <c r="EQ182" s="18">
        <f>IFERROR(BR182/'McDonough &amp; Sun 1995 values'!H$2,)</f>
        <v>0</v>
      </c>
      <c r="ER182" s="18">
        <f>IFERROR(DI182/'McDonough &amp; Sun 1995 values'!I$2,)</f>
        <v>0</v>
      </c>
      <c r="ES182" s="18">
        <f>IFERROR(CM182/'McDonough &amp; Sun 1995 values'!J$2,)</f>
        <v>0</v>
      </c>
      <c r="ET182" s="18">
        <f>IFERROR(CU182/'McDonough &amp; Sun 1995 values'!K$2,)</f>
        <v>0</v>
      </c>
      <c r="EU182" s="18">
        <f>IFERROR(CV182/'McDonough &amp; Sun 1995 values'!L$2,)</f>
        <v>0</v>
      </c>
      <c r="EV182" s="18">
        <f>IFERROR(CW182/'McDonough &amp; Sun 1995 values'!M$2,)</f>
        <v>0</v>
      </c>
      <c r="EW182" s="18">
        <f>IFERROR(CI182/'McDonough &amp; Sun 1995 values'!N$2,)</f>
        <v>0</v>
      </c>
      <c r="EX182" s="18">
        <f>IFERROR(CX182/'McDonough &amp; Sun 1995 values'!O$2,)</f>
        <v>0</v>
      </c>
      <c r="EY182" s="18">
        <f>IFERROR(CY182/'McDonough &amp; Sun 1995 values'!P$2,)</f>
        <v>0</v>
      </c>
      <c r="EZ182" s="18">
        <f>IFERROR(DH182/'McDonough &amp; Sun 1995 values'!Q$2,)</f>
        <v>0</v>
      </c>
      <c r="FA182" s="18">
        <f>IFERROR(CK182/'McDonough &amp; Sun 1995 values'!R$2,)</f>
        <v>0</v>
      </c>
      <c r="FB182" s="18">
        <f>IFERROR(CZ182/'McDonough &amp; Sun 1995 values'!S$2,)</f>
        <v>0</v>
      </c>
      <c r="FC182" s="18">
        <f>IFERROR(BT182/'McDonough &amp; Sun 1995 values'!T$2,)</f>
        <v>0</v>
      </c>
      <c r="FD182" s="18">
        <f>IFERROR(DA182/'McDonough &amp; Sun 1995 values'!U$2,)</f>
        <v>0</v>
      </c>
      <c r="FE182" s="18">
        <f>IFERROR(DN182/'McDonough &amp; Sun 1995 values'!V$2,)</f>
        <v>0</v>
      </c>
      <c r="FF182" s="18">
        <f>IFERROR(DB182/'McDonough &amp; Sun 1995 values'!W$2,)</f>
        <v>0</v>
      </c>
      <c r="FG182" s="18">
        <f>IFERROR(CJ182/'McDonough &amp; Sun 1995 values'!X$2,)</f>
        <v>0</v>
      </c>
      <c r="FH182" s="18">
        <f>IFERROR(DC182/'McDonough &amp; Sun 1995 values'!Y$2,)</f>
        <v>0</v>
      </c>
      <c r="FI182" s="18">
        <f>IFERROR(DD182/'McDonough &amp; Sun 1995 values'!Z$2,)</f>
        <v>0</v>
      </c>
      <c r="FJ182" s="18">
        <f>IFERROR(DE182/'McDonough &amp; Sun 1995 values'!AA$2,)</f>
        <v>0</v>
      </c>
      <c r="FK182" s="18">
        <f>IFERROR(DF182/'McDonough &amp; Sun 1995 values'!AB$2,)</f>
        <v>0</v>
      </c>
      <c r="FL182" s="18">
        <f>IFERROR(DG182/'McDonough &amp; Sun 1995 values'!AC$2,)</f>
        <v>0</v>
      </c>
      <c r="FN182" s="28">
        <f t="shared" si="458"/>
        <v>0</v>
      </c>
      <c r="FO182" s="4">
        <f t="shared" si="391"/>
        <v>0</v>
      </c>
      <c r="FP182" s="4">
        <f t="shared" si="392"/>
        <v>0</v>
      </c>
      <c r="FQ182" s="4">
        <f t="shared" si="393"/>
        <v>0</v>
      </c>
      <c r="FR182" s="4">
        <f t="shared" si="394"/>
        <v>0</v>
      </c>
      <c r="FS182" s="4">
        <f t="shared" si="395"/>
        <v>0</v>
      </c>
      <c r="FT182" s="4">
        <f t="shared" si="396"/>
        <v>0</v>
      </c>
      <c r="FU182" s="4">
        <f t="shared" si="397"/>
        <v>0</v>
      </c>
      <c r="FV182" s="4">
        <f t="shared" si="398"/>
        <v>0</v>
      </c>
      <c r="FW182" s="4">
        <f t="shared" si="399"/>
        <v>0</v>
      </c>
      <c r="FX182" s="4">
        <f t="shared" si="400"/>
        <v>0</v>
      </c>
      <c r="FY182" s="4">
        <f t="shared" si="401"/>
        <v>0</v>
      </c>
      <c r="FZ182" s="4">
        <f t="shared" si="402"/>
        <v>0</v>
      </c>
      <c r="GA182" s="4">
        <f t="shared" si="403"/>
        <v>0</v>
      </c>
      <c r="GB182" s="4">
        <f t="shared" si="404"/>
        <v>0</v>
      </c>
      <c r="GC182" s="4">
        <f t="shared" si="405"/>
        <v>0</v>
      </c>
      <c r="GD182" s="4">
        <f t="shared" si="406"/>
        <v>0</v>
      </c>
      <c r="GE182" s="4">
        <f t="shared" si="407"/>
        <v>0</v>
      </c>
      <c r="GF182" s="4">
        <f t="shared" si="408"/>
        <v>0</v>
      </c>
      <c r="GG182" s="4">
        <f t="shared" si="409"/>
        <v>0</v>
      </c>
      <c r="GH182" s="4">
        <f t="shared" si="410"/>
        <v>0</v>
      </c>
      <c r="GI182" s="4">
        <f t="shared" si="411"/>
        <v>0</v>
      </c>
      <c r="GJ182" s="4">
        <f t="shared" si="412"/>
        <v>0</v>
      </c>
      <c r="GK182" s="4">
        <f t="shared" si="413"/>
        <v>0</v>
      </c>
      <c r="GL182" s="4">
        <f t="shared" si="414"/>
        <v>0</v>
      </c>
      <c r="GM182" s="4">
        <f t="shared" si="415"/>
        <v>0</v>
      </c>
      <c r="GN182" s="4">
        <f t="shared" si="416"/>
        <v>0</v>
      </c>
      <c r="GO182" s="4">
        <f t="shared" si="417"/>
        <v>0</v>
      </c>
      <c r="GP182" s="4">
        <f t="shared" si="418"/>
        <v>0</v>
      </c>
      <c r="GQ182" s="27">
        <f t="shared" si="419"/>
        <v>111903.88757260039</v>
      </c>
      <c r="GR182" s="28" t="str">
        <f t="shared" si="420"/>
        <v/>
      </c>
      <c r="GS182" s="28" t="str">
        <f t="shared" si="421"/>
        <v/>
      </c>
      <c r="GT182" s="28" t="str">
        <f t="shared" si="422"/>
        <v/>
      </c>
      <c r="GU182" s="28" t="str">
        <f t="shared" si="423"/>
        <v/>
      </c>
      <c r="GV182" s="28" t="str">
        <f t="shared" si="424"/>
        <v/>
      </c>
      <c r="GW182" s="28" t="str">
        <f t="shared" si="425"/>
        <v/>
      </c>
      <c r="GX182" s="28" t="str">
        <f t="shared" si="426"/>
        <v/>
      </c>
      <c r="GY182" s="28" t="str">
        <f t="shared" si="427"/>
        <v/>
      </c>
      <c r="GZ182" s="28" t="str">
        <f t="shared" si="428"/>
        <v/>
      </c>
      <c r="HA182" s="28" t="str">
        <f t="shared" si="429"/>
        <v/>
      </c>
      <c r="HB182" s="28" t="str">
        <f t="shared" si="430"/>
        <v/>
      </c>
      <c r="HC182" s="28" t="str">
        <f t="shared" si="431"/>
        <v/>
      </c>
      <c r="HD182" s="28" t="str">
        <f t="shared" si="432"/>
        <v/>
      </c>
      <c r="HE182" s="28" t="str">
        <f t="shared" si="433"/>
        <v/>
      </c>
      <c r="HF182" s="28" t="str">
        <f t="shared" si="434"/>
        <v/>
      </c>
      <c r="HG182" s="28" t="str">
        <f t="shared" si="435"/>
        <v/>
      </c>
      <c r="HH182" s="28" t="str">
        <f t="shared" si="436"/>
        <v/>
      </c>
      <c r="HI182" s="28" t="str">
        <f t="shared" si="437"/>
        <v/>
      </c>
      <c r="HJ182" s="28" t="str">
        <f t="shared" si="438"/>
        <v/>
      </c>
      <c r="HK182" s="28" t="str">
        <f t="shared" si="439"/>
        <v/>
      </c>
      <c r="HL182" s="28" t="str">
        <f t="shared" si="440"/>
        <v/>
      </c>
      <c r="HM182" s="28" t="str">
        <f t="shared" si="441"/>
        <v/>
      </c>
      <c r="HN182" s="28" t="str">
        <f t="shared" si="442"/>
        <v/>
      </c>
      <c r="HO182" s="28" t="str">
        <f t="shared" si="443"/>
        <v/>
      </c>
      <c r="HP182" s="28" t="str">
        <f t="shared" si="444"/>
        <v/>
      </c>
      <c r="HQ182" s="28" t="str">
        <f t="shared" si="445"/>
        <v/>
      </c>
      <c r="HR182" s="28" t="str">
        <f t="shared" si="446"/>
        <v/>
      </c>
      <c r="HT182" s="4">
        <f>IFERROR(GR182/'McDonough &amp; Sun 1995 values'!C$2,)</f>
        <v>0</v>
      </c>
      <c r="HU182" s="4">
        <f>IFERROR(GS182/'McDonough &amp; Sun 1995 values'!D$2,)</f>
        <v>0</v>
      </c>
      <c r="HV182" s="4">
        <f>IFERROR(GT182/'McDonough &amp; Sun 1995 values'!E$2,)</f>
        <v>0</v>
      </c>
      <c r="HW182" s="4">
        <f>IFERROR(GU182/'McDonough &amp; Sun 1995 values'!F$2,)</f>
        <v>0</v>
      </c>
      <c r="HX182" s="4">
        <f>IFERROR(GV182/'McDonough &amp; Sun 1995 values'!G$2,)</f>
        <v>0</v>
      </c>
      <c r="HY182" s="4">
        <f>IFERROR(GW182/'McDonough &amp; Sun 1995 values'!H$2,)</f>
        <v>0</v>
      </c>
      <c r="HZ182" s="4">
        <f>IFERROR(GX182/'McDonough &amp; Sun 1995 values'!I$2,)</f>
        <v>0</v>
      </c>
      <c r="IA182" s="4">
        <f>IFERROR(GY182/'McDonough &amp; Sun 1995 values'!J$2,)</f>
        <v>0</v>
      </c>
      <c r="IB182" s="4">
        <f>IFERROR(GZ182/'McDonough &amp; Sun 1995 values'!K$2,)</f>
        <v>0</v>
      </c>
      <c r="IC182" s="4">
        <f>IFERROR(HA182/'McDonough &amp; Sun 1995 values'!L$2,)</f>
        <v>0</v>
      </c>
      <c r="ID182" s="4">
        <f>IFERROR(HB182/'McDonough &amp; Sun 1995 values'!M$2,)</f>
        <v>0</v>
      </c>
      <c r="IE182" s="4">
        <f>IFERROR(HC182/'McDonough &amp; Sun 1995 values'!N$2,)</f>
        <v>0</v>
      </c>
      <c r="IF182" s="4">
        <f>IFERROR(HD182/'McDonough &amp; Sun 1995 values'!O$2,)</f>
        <v>0</v>
      </c>
      <c r="IG182" s="4">
        <f>IFERROR(HE182/'McDonough &amp; Sun 1995 values'!P$2,)</f>
        <v>0</v>
      </c>
      <c r="IH182" s="4">
        <f>IFERROR(HF182/'McDonough &amp; Sun 1995 values'!Q$2,)</f>
        <v>0</v>
      </c>
      <c r="II182" s="4">
        <f>IFERROR(HG182/'McDonough &amp; Sun 1995 values'!R$2,)</f>
        <v>0</v>
      </c>
      <c r="IJ182" s="4">
        <f>IFERROR(HH182/'McDonough &amp; Sun 1995 values'!S$2,)</f>
        <v>0</v>
      </c>
      <c r="IK182" s="4">
        <f>IFERROR(HI182/'McDonough &amp; Sun 1995 values'!T$2,)</f>
        <v>0</v>
      </c>
      <c r="IL182" s="4">
        <f>IFERROR(HJ182/'McDonough &amp; Sun 1995 values'!U$2,)</f>
        <v>0</v>
      </c>
      <c r="IM182" s="4">
        <f>IFERROR(HK182/'McDonough &amp; Sun 1995 values'!V$2,)</f>
        <v>0</v>
      </c>
      <c r="IN182" s="4">
        <f>IFERROR(HL182/'McDonough &amp; Sun 1995 values'!W$2,)</f>
        <v>0</v>
      </c>
      <c r="IO182" s="4">
        <f>IFERROR(HM182/'McDonough &amp; Sun 1995 values'!X$2,)</f>
        <v>0</v>
      </c>
      <c r="IP182" s="4">
        <f>IFERROR(HN182/'McDonough &amp; Sun 1995 values'!Y$2,)</f>
        <v>0</v>
      </c>
      <c r="IQ182" s="4">
        <f>IFERROR(HO182/'McDonough &amp; Sun 1995 values'!Z$2,)</f>
        <v>0</v>
      </c>
      <c r="IR182" s="4">
        <f>IFERROR(HP182/'McDonough &amp; Sun 1995 values'!AA$2,)</f>
        <v>0</v>
      </c>
      <c r="IS182" s="4">
        <f>IFERROR(HQ182/'McDonough &amp; Sun 1995 values'!AB$2,)</f>
        <v>0</v>
      </c>
      <c r="IT182" s="4">
        <f>IFERROR(HR182/'McDonough &amp; Sun 1995 values'!AC$2,)</f>
        <v>0</v>
      </c>
    </row>
    <row r="183" spans="1:254">
      <c r="A183" s="16" t="s">
        <v>838</v>
      </c>
      <c r="B183" s="16" t="s">
        <v>24</v>
      </c>
      <c r="C183" s="16" t="str">
        <f t="shared" si="304"/>
        <v>silicic</v>
      </c>
      <c r="D183" s="16" t="s">
        <v>1719</v>
      </c>
      <c r="E183" s="16" t="s">
        <v>388</v>
      </c>
      <c r="F183" s="16" t="s">
        <v>342</v>
      </c>
      <c r="G183" s="16" t="s">
        <v>829</v>
      </c>
      <c r="H183" s="27">
        <v>0</v>
      </c>
      <c r="I183" s="16" t="s">
        <v>735</v>
      </c>
      <c r="J183" s="16">
        <v>0</v>
      </c>
      <c r="K183" s="16" t="s">
        <v>903</v>
      </c>
      <c r="L183" s="16">
        <v>0</v>
      </c>
      <c r="M183" s="16">
        <v>27</v>
      </c>
      <c r="N183" s="16">
        <v>53</v>
      </c>
      <c r="O183" s="26">
        <v>52.4</v>
      </c>
      <c r="P183" s="26">
        <v>2.0699999999999998</v>
      </c>
      <c r="Q183" s="26"/>
      <c r="R183" s="26">
        <v>6.34</v>
      </c>
      <c r="S183" s="26">
        <v>6.48</v>
      </c>
      <c r="T183" s="26">
        <v>4.43</v>
      </c>
      <c r="U183" s="26"/>
      <c r="V183" s="26">
        <v>3.99</v>
      </c>
      <c r="W183" s="26">
        <v>3.12</v>
      </c>
      <c r="X183" s="26">
        <v>13.72</v>
      </c>
      <c r="Y183" s="26"/>
      <c r="Z183" s="26">
        <v>2.34</v>
      </c>
      <c r="AA183" s="26">
        <v>1.95</v>
      </c>
      <c r="AB183" s="26">
        <v>0.75</v>
      </c>
      <c r="AC183" s="26"/>
      <c r="AD183" s="26">
        <v>1.87</v>
      </c>
      <c r="AE183" s="26"/>
      <c r="AF183" s="26">
        <v>0.54</v>
      </c>
      <c r="AG183" s="26"/>
      <c r="AH183" s="26"/>
      <c r="AI183" s="26">
        <v>10.82</v>
      </c>
      <c r="AJ183" s="26">
        <f t="shared" si="305"/>
        <v>97.51</v>
      </c>
      <c r="AK183" s="26">
        <f t="shared" si="447"/>
        <v>53.971656149547485</v>
      </c>
      <c r="AL183" s="26">
        <f t="shared" si="448"/>
        <v>2.1320864165947193</v>
      </c>
      <c r="AM183" s="26">
        <f t="shared" si="449"/>
        <v>6.5301583967200578</v>
      </c>
      <c r="AN183" s="26">
        <f t="shared" si="450"/>
        <v>6.6743574780356445</v>
      </c>
      <c r="AO183" s="26">
        <f t="shared" si="451"/>
        <v>4.562870930200293</v>
      </c>
      <c r="AP183" s="26">
        <f t="shared" si="452"/>
        <v>4.1096738174941692</v>
      </c>
      <c r="AQ183" s="26">
        <f t="shared" si="453"/>
        <v>0.77249507847634769</v>
      </c>
      <c r="AR183" s="26">
        <f t="shared" si="454"/>
        <v>3.2135795264616061</v>
      </c>
      <c r="AS183" s="26">
        <f t="shared" si="455"/>
        <v>14.13150996892732</v>
      </c>
      <c r="AT183" s="26">
        <f t="shared" si="456"/>
        <v>2.4101846448462045</v>
      </c>
      <c r="AU183" s="26">
        <f t="shared" si="457"/>
        <v>1.9260877290010268</v>
      </c>
      <c r="AV183" s="26">
        <f t="shared" si="306"/>
        <v>100.43466013630487</v>
      </c>
      <c r="AW183" s="16"/>
      <c r="AX183" s="16"/>
      <c r="AY183" s="16"/>
      <c r="AZ183" s="16"/>
      <c r="BA183" s="26"/>
      <c r="BB183" s="26">
        <v>0.54</v>
      </c>
      <c r="BC183" s="26">
        <f>1-BD183</f>
        <v>0.54</v>
      </c>
      <c r="BD183" s="26">
        <f>1-BB183</f>
        <v>0.45999999999999996</v>
      </c>
      <c r="BE183" s="16"/>
      <c r="BF183" s="16"/>
      <c r="BG183" s="16">
        <v>0</v>
      </c>
      <c r="BH183" s="16"/>
      <c r="BI183" s="16">
        <v>0</v>
      </c>
      <c r="BJ183" s="16">
        <v>0</v>
      </c>
      <c r="BK183" s="18">
        <v>0</v>
      </c>
      <c r="BL183" s="18">
        <v>0</v>
      </c>
      <c r="BM183" s="18">
        <v>0</v>
      </c>
      <c r="BN183" s="18">
        <v>0</v>
      </c>
      <c r="BO183" s="18"/>
      <c r="BP183" s="18"/>
      <c r="BQ183" s="18"/>
      <c r="BR183" s="18"/>
      <c r="BS183" s="18"/>
      <c r="BT183" s="18"/>
      <c r="BU183" s="18"/>
      <c r="BV183" s="18"/>
      <c r="BW183" s="18"/>
      <c r="BX183" s="18"/>
      <c r="BY183" s="18"/>
      <c r="BZ183" s="18"/>
      <c r="CA183" s="18"/>
      <c r="CB183" s="18"/>
      <c r="CC183" s="18"/>
      <c r="CD183" s="18"/>
      <c r="CE183" s="18"/>
      <c r="CF183" s="18"/>
      <c r="CG183" s="18"/>
      <c r="CH183" s="18"/>
      <c r="CI183" s="18">
        <v>0</v>
      </c>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28"/>
      <c r="DW183" s="28"/>
      <c r="DX183" s="28"/>
      <c r="DY183" s="28"/>
      <c r="DZ183" s="28"/>
      <c r="EA183" s="28"/>
      <c r="EB183" s="28"/>
      <c r="EC183" s="28"/>
      <c r="ED183" s="28"/>
      <c r="EE183" s="28"/>
      <c r="EF183" s="28"/>
      <c r="EG183" s="28"/>
      <c r="EH183" s="28"/>
      <c r="EI183" s="28"/>
      <c r="EJ183" s="18"/>
      <c r="EK183" s="18"/>
      <c r="EL183" s="18">
        <f>IFERROR(CR183/'McDonough &amp; Sun 1995 values'!C$2,)</f>
        <v>0</v>
      </c>
      <c r="EM183" s="18">
        <f>IFERROR(CH183/'McDonough &amp; Sun 1995 values'!D$2,)</f>
        <v>0</v>
      </c>
      <c r="EN183" s="18">
        <f>IFERROR(CS183/'McDonough &amp; Sun 1995 values'!E$2,)</f>
        <v>0</v>
      </c>
      <c r="EO183" s="18">
        <f>IFERROR(DL183/'McDonough &amp; Sun 1995 values'!F$2,)</f>
        <v>0</v>
      </c>
      <c r="EP183" s="18">
        <f>IFERROR(DM183/'McDonough &amp; Sun 1995 values'!G$2,)</f>
        <v>0</v>
      </c>
      <c r="EQ183" s="18">
        <f>IFERROR(BR183/'McDonough &amp; Sun 1995 values'!H$2,)</f>
        <v>0</v>
      </c>
      <c r="ER183" s="18">
        <f>IFERROR(DI183/'McDonough &amp; Sun 1995 values'!I$2,)</f>
        <v>0</v>
      </c>
      <c r="ES183" s="18">
        <f>IFERROR(CM183/'McDonough &amp; Sun 1995 values'!J$2,)</f>
        <v>0</v>
      </c>
      <c r="ET183" s="18">
        <f>IFERROR(CU183/'McDonough &amp; Sun 1995 values'!K$2,)</f>
        <v>0</v>
      </c>
      <c r="EU183" s="18">
        <f>IFERROR(CV183/'McDonough &amp; Sun 1995 values'!L$2,)</f>
        <v>0</v>
      </c>
      <c r="EV183" s="18">
        <f>IFERROR(CW183/'McDonough &amp; Sun 1995 values'!M$2,)</f>
        <v>0</v>
      </c>
      <c r="EW183" s="18">
        <f>IFERROR(CI183/'McDonough &amp; Sun 1995 values'!N$2,)</f>
        <v>0</v>
      </c>
      <c r="EX183" s="18">
        <f>IFERROR(CX183/'McDonough &amp; Sun 1995 values'!O$2,)</f>
        <v>0</v>
      </c>
      <c r="EY183" s="18">
        <f>IFERROR(CY183/'McDonough &amp; Sun 1995 values'!P$2,)</f>
        <v>0</v>
      </c>
      <c r="EZ183" s="18">
        <f>IFERROR(DH183/'McDonough &amp; Sun 1995 values'!Q$2,)</f>
        <v>0</v>
      </c>
      <c r="FA183" s="18">
        <f>IFERROR(CK183/'McDonough &amp; Sun 1995 values'!R$2,)</f>
        <v>0</v>
      </c>
      <c r="FB183" s="18">
        <f>IFERROR(CZ183/'McDonough &amp; Sun 1995 values'!S$2,)</f>
        <v>0</v>
      </c>
      <c r="FC183" s="18">
        <f>IFERROR(BT183/'McDonough &amp; Sun 1995 values'!T$2,)</f>
        <v>0</v>
      </c>
      <c r="FD183" s="18">
        <f>IFERROR(DA183/'McDonough &amp; Sun 1995 values'!U$2,)</f>
        <v>0</v>
      </c>
      <c r="FE183" s="18">
        <f>IFERROR(DN183/'McDonough &amp; Sun 1995 values'!V$2,)</f>
        <v>0</v>
      </c>
      <c r="FF183" s="18">
        <f>IFERROR(DB183/'McDonough &amp; Sun 1995 values'!W$2,)</f>
        <v>0</v>
      </c>
      <c r="FG183" s="18">
        <f>IFERROR(CJ183/'McDonough &amp; Sun 1995 values'!X$2,)</f>
        <v>0</v>
      </c>
      <c r="FH183" s="18">
        <f>IFERROR(DC183/'McDonough &amp; Sun 1995 values'!Y$2,)</f>
        <v>0</v>
      </c>
      <c r="FI183" s="18">
        <f>IFERROR(DD183/'McDonough &amp; Sun 1995 values'!Z$2,)</f>
        <v>0</v>
      </c>
      <c r="FJ183" s="18">
        <f>IFERROR(DE183/'McDonough &amp; Sun 1995 values'!AA$2,)</f>
        <v>0</v>
      </c>
      <c r="FK183" s="18">
        <f>IFERROR(DF183/'McDonough &amp; Sun 1995 values'!AB$2,)</f>
        <v>0</v>
      </c>
      <c r="FL183" s="18">
        <f>IFERROR(DG183/'McDonough &amp; Sun 1995 values'!AC$2,)</f>
        <v>0</v>
      </c>
      <c r="FN183" s="28">
        <f t="shared" si="458"/>
        <v>0</v>
      </c>
      <c r="FO183" s="4">
        <f t="shared" si="391"/>
        <v>0</v>
      </c>
      <c r="FP183" s="4">
        <f t="shared" si="392"/>
        <v>0</v>
      </c>
      <c r="FQ183" s="4">
        <f t="shared" si="393"/>
        <v>0</v>
      </c>
      <c r="FR183" s="4">
        <f t="shared" si="394"/>
        <v>0</v>
      </c>
      <c r="FS183" s="4">
        <f t="shared" si="395"/>
        <v>0</v>
      </c>
      <c r="FT183" s="4">
        <f t="shared" si="396"/>
        <v>0</v>
      </c>
      <c r="FU183" s="4">
        <f t="shared" si="397"/>
        <v>0</v>
      </c>
      <c r="FV183" s="4">
        <f t="shared" si="398"/>
        <v>0</v>
      </c>
      <c r="FW183" s="4">
        <f t="shared" si="399"/>
        <v>0</v>
      </c>
      <c r="FX183" s="4">
        <f t="shared" si="400"/>
        <v>0</v>
      </c>
      <c r="FY183" s="4">
        <f t="shared" si="401"/>
        <v>0</v>
      </c>
      <c r="FZ183" s="4">
        <f t="shared" si="402"/>
        <v>0</v>
      </c>
      <c r="GA183" s="4">
        <f t="shared" si="403"/>
        <v>0</v>
      </c>
      <c r="GB183" s="4">
        <f t="shared" si="404"/>
        <v>0</v>
      </c>
      <c r="GC183" s="4">
        <f t="shared" si="405"/>
        <v>0</v>
      </c>
      <c r="GD183" s="4">
        <f t="shared" si="406"/>
        <v>0</v>
      </c>
      <c r="GE183" s="4">
        <f t="shared" si="407"/>
        <v>0</v>
      </c>
      <c r="GF183" s="4">
        <f t="shared" si="408"/>
        <v>0</v>
      </c>
      <c r="GG183" s="4">
        <f t="shared" si="409"/>
        <v>0</v>
      </c>
      <c r="GH183" s="4">
        <f t="shared" si="410"/>
        <v>0</v>
      </c>
      <c r="GI183" s="4">
        <f t="shared" si="411"/>
        <v>0</v>
      </c>
      <c r="GJ183" s="4">
        <f t="shared" si="412"/>
        <v>0</v>
      </c>
      <c r="GK183" s="4">
        <f t="shared" si="413"/>
        <v>0</v>
      </c>
      <c r="GL183" s="4">
        <f t="shared" si="414"/>
        <v>0</v>
      </c>
      <c r="GM183" s="4">
        <f t="shared" si="415"/>
        <v>0</v>
      </c>
      <c r="GN183" s="4">
        <f t="shared" si="416"/>
        <v>0</v>
      </c>
      <c r="GO183" s="4">
        <f t="shared" si="417"/>
        <v>0</v>
      </c>
      <c r="GP183" s="4">
        <f t="shared" si="418"/>
        <v>0</v>
      </c>
      <c r="GQ183" s="27">
        <f t="shared" si="419"/>
        <v>117310.93597090634</v>
      </c>
      <c r="GR183" s="28" t="str">
        <f t="shared" si="420"/>
        <v/>
      </c>
      <c r="GS183" s="28" t="str">
        <f t="shared" si="421"/>
        <v/>
      </c>
      <c r="GT183" s="28" t="str">
        <f t="shared" si="422"/>
        <v/>
      </c>
      <c r="GU183" s="28" t="str">
        <f t="shared" si="423"/>
        <v/>
      </c>
      <c r="GV183" s="28" t="str">
        <f t="shared" si="424"/>
        <v/>
      </c>
      <c r="GW183" s="28" t="str">
        <f t="shared" si="425"/>
        <v/>
      </c>
      <c r="GX183" s="28" t="str">
        <f t="shared" si="426"/>
        <v/>
      </c>
      <c r="GY183" s="28" t="str">
        <f t="shared" si="427"/>
        <v/>
      </c>
      <c r="GZ183" s="28" t="str">
        <f t="shared" si="428"/>
        <v/>
      </c>
      <c r="HA183" s="28" t="str">
        <f t="shared" si="429"/>
        <v/>
      </c>
      <c r="HB183" s="28" t="str">
        <f t="shared" si="430"/>
        <v/>
      </c>
      <c r="HC183" s="28" t="str">
        <f t="shared" si="431"/>
        <v/>
      </c>
      <c r="HD183" s="28" t="str">
        <f t="shared" si="432"/>
        <v/>
      </c>
      <c r="HE183" s="28" t="str">
        <f t="shared" si="433"/>
        <v/>
      </c>
      <c r="HF183" s="28" t="str">
        <f t="shared" si="434"/>
        <v/>
      </c>
      <c r="HG183" s="28" t="str">
        <f t="shared" si="435"/>
        <v/>
      </c>
      <c r="HH183" s="28" t="str">
        <f t="shared" si="436"/>
        <v/>
      </c>
      <c r="HI183" s="28" t="str">
        <f t="shared" si="437"/>
        <v/>
      </c>
      <c r="HJ183" s="28" t="str">
        <f t="shared" si="438"/>
        <v/>
      </c>
      <c r="HK183" s="28" t="str">
        <f t="shared" si="439"/>
        <v/>
      </c>
      <c r="HL183" s="28" t="str">
        <f t="shared" si="440"/>
        <v/>
      </c>
      <c r="HM183" s="28" t="str">
        <f t="shared" si="441"/>
        <v/>
      </c>
      <c r="HN183" s="28" t="str">
        <f t="shared" si="442"/>
        <v/>
      </c>
      <c r="HO183" s="28" t="str">
        <f t="shared" si="443"/>
        <v/>
      </c>
      <c r="HP183" s="28" t="str">
        <f t="shared" si="444"/>
        <v/>
      </c>
      <c r="HQ183" s="28" t="str">
        <f t="shared" si="445"/>
        <v/>
      </c>
      <c r="HR183" s="28" t="str">
        <f t="shared" si="446"/>
        <v/>
      </c>
      <c r="HT183" s="4">
        <f>IFERROR(GR183/'McDonough &amp; Sun 1995 values'!C$2,)</f>
        <v>0</v>
      </c>
      <c r="HU183" s="4">
        <f>IFERROR(GS183/'McDonough &amp; Sun 1995 values'!D$2,)</f>
        <v>0</v>
      </c>
      <c r="HV183" s="4">
        <f>IFERROR(GT183/'McDonough &amp; Sun 1995 values'!E$2,)</f>
        <v>0</v>
      </c>
      <c r="HW183" s="4">
        <f>IFERROR(GU183/'McDonough &amp; Sun 1995 values'!F$2,)</f>
        <v>0</v>
      </c>
      <c r="HX183" s="4">
        <f>IFERROR(GV183/'McDonough &amp; Sun 1995 values'!G$2,)</f>
        <v>0</v>
      </c>
      <c r="HY183" s="4">
        <f>IFERROR(GW183/'McDonough &amp; Sun 1995 values'!H$2,)</f>
        <v>0</v>
      </c>
      <c r="HZ183" s="4">
        <f>IFERROR(GX183/'McDonough &amp; Sun 1995 values'!I$2,)</f>
        <v>0</v>
      </c>
      <c r="IA183" s="4">
        <f>IFERROR(GY183/'McDonough &amp; Sun 1995 values'!J$2,)</f>
        <v>0</v>
      </c>
      <c r="IB183" s="4">
        <f>IFERROR(GZ183/'McDonough &amp; Sun 1995 values'!K$2,)</f>
        <v>0</v>
      </c>
      <c r="IC183" s="4">
        <f>IFERROR(HA183/'McDonough &amp; Sun 1995 values'!L$2,)</f>
        <v>0</v>
      </c>
      <c r="ID183" s="4">
        <f>IFERROR(HB183/'McDonough &amp; Sun 1995 values'!M$2,)</f>
        <v>0</v>
      </c>
      <c r="IE183" s="4">
        <f>IFERROR(HC183/'McDonough &amp; Sun 1995 values'!N$2,)</f>
        <v>0</v>
      </c>
      <c r="IF183" s="4">
        <f>IFERROR(HD183/'McDonough &amp; Sun 1995 values'!O$2,)</f>
        <v>0</v>
      </c>
      <c r="IG183" s="4">
        <f>IFERROR(HE183/'McDonough &amp; Sun 1995 values'!P$2,)</f>
        <v>0</v>
      </c>
      <c r="IH183" s="4">
        <f>IFERROR(HF183/'McDonough &amp; Sun 1995 values'!Q$2,)</f>
        <v>0</v>
      </c>
      <c r="II183" s="4">
        <f>IFERROR(HG183/'McDonough &amp; Sun 1995 values'!R$2,)</f>
        <v>0</v>
      </c>
      <c r="IJ183" s="4">
        <f>IFERROR(HH183/'McDonough &amp; Sun 1995 values'!S$2,)</f>
        <v>0</v>
      </c>
      <c r="IK183" s="4">
        <f>IFERROR(HI183/'McDonough &amp; Sun 1995 values'!T$2,)</f>
        <v>0</v>
      </c>
      <c r="IL183" s="4">
        <f>IFERROR(HJ183/'McDonough &amp; Sun 1995 values'!U$2,)</f>
        <v>0</v>
      </c>
      <c r="IM183" s="4">
        <f>IFERROR(HK183/'McDonough &amp; Sun 1995 values'!V$2,)</f>
        <v>0</v>
      </c>
      <c r="IN183" s="4">
        <f>IFERROR(HL183/'McDonough &amp; Sun 1995 values'!W$2,)</f>
        <v>0</v>
      </c>
      <c r="IO183" s="4">
        <f>IFERROR(HM183/'McDonough &amp; Sun 1995 values'!X$2,)</f>
        <v>0</v>
      </c>
      <c r="IP183" s="4">
        <f>IFERROR(HN183/'McDonough &amp; Sun 1995 values'!Y$2,)</f>
        <v>0</v>
      </c>
      <c r="IQ183" s="4">
        <f>IFERROR(HO183/'McDonough &amp; Sun 1995 values'!Z$2,)</f>
        <v>0</v>
      </c>
      <c r="IR183" s="4">
        <f>IFERROR(HP183/'McDonough &amp; Sun 1995 values'!AA$2,)</f>
        <v>0</v>
      </c>
      <c r="IS183" s="4">
        <f>IFERROR(HQ183/'McDonough &amp; Sun 1995 values'!AB$2,)</f>
        <v>0</v>
      </c>
      <c r="IT183" s="4">
        <f>IFERROR(HR183/'McDonough &amp; Sun 1995 values'!AC$2,)</f>
        <v>0</v>
      </c>
    </row>
    <row r="184" spans="1:254">
      <c r="A184" s="16" t="s">
        <v>838</v>
      </c>
      <c r="B184" s="16" t="s">
        <v>24</v>
      </c>
      <c r="C184" s="16" t="str">
        <f t="shared" si="304"/>
        <v>silicic</v>
      </c>
      <c r="D184" s="16" t="s">
        <v>1719</v>
      </c>
      <c r="E184" s="16" t="s">
        <v>388</v>
      </c>
      <c r="F184" s="16" t="s">
        <v>342</v>
      </c>
      <c r="G184" s="16" t="s">
        <v>829</v>
      </c>
      <c r="H184" s="27">
        <v>0</v>
      </c>
      <c r="I184" s="16" t="s">
        <v>735</v>
      </c>
      <c r="J184" s="16">
        <v>0</v>
      </c>
      <c r="K184" s="16" t="s">
        <v>903</v>
      </c>
      <c r="L184" s="16">
        <v>0</v>
      </c>
      <c r="M184" s="16">
        <v>31</v>
      </c>
      <c r="N184" s="16">
        <v>41</v>
      </c>
      <c r="O184" s="26">
        <v>46.49</v>
      </c>
      <c r="P184" s="26">
        <v>2.1</v>
      </c>
      <c r="Q184" s="26"/>
      <c r="R184" s="26">
        <v>7.31</v>
      </c>
      <c r="S184" s="26">
        <v>5.94</v>
      </c>
      <c r="T184" s="26">
        <v>3.37</v>
      </c>
      <c r="U184" s="26"/>
      <c r="V184" s="26">
        <v>7.6</v>
      </c>
      <c r="W184" s="26">
        <v>3.32</v>
      </c>
      <c r="X184" s="26">
        <v>13.2</v>
      </c>
      <c r="Y184" s="26"/>
      <c r="Z184" s="26">
        <v>3.32</v>
      </c>
      <c r="AA184" s="26">
        <v>0.33</v>
      </c>
      <c r="AB184" s="26">
        <v>2.4700000000000002</v>
      </c>
      <c r="AC184" s="26"/>
      <c r="AD184" s="26">
        <v>3.68</v>
      </c>
      <c r="AE184" s="26"/>
      <c r="AF184" s="26">
        <v>0.87</v>
      </c>
      <c r="AG184" s="26"/>
      <c r="AH184" s="26"/>
      <c r="AI184" s="26">
        <v>6.02</v>
      </c>
      <c r="AJ184" s="26">
        <f t="shared" si="305"/>
        <v>98.8</v>
      </c>
      <c r="AK184" s="26">
        <f t="shared" si="447"/>
        <v>47.453527477526762</v>
      </c>
      <c r="AL184" s="26">
        <f t="shared" si="448"/>
        <v>2.1435235040397118</v>
      </c>
      <c r="AM184" s="26">
        <f t="shared" si="449"/>
        <v>7.4615032450144252</v>
      </c>
      <c r="AN184" s="26">
        <f t="shared" si="450"/>
        <v>6.063109339998042</v>
      </c>
      <c r="AO184" s="26">
        <f t="shared" si="451"/>
        <v>3.4398448612446808</v>
      </c>
      <c r="AP184" s="26">
        <f t="shared" si="452"/>
        <v>7.7575136336675286</v>
      </c>
      <c r="AQ184" s="26">
        <f t="shared" si="453"/>
        <v>2.521191930941947</v>
      </c>
      <c r="AR184" s="26">
        <f t="shared" si="454"/>
        <v>3.3888085873389726</v>
      </c>
      <c r="AS184" s="26">
        <f t="shared" si="455"/>
        <v>13.473576311106758</v>
      </c>
      <c r="AT184" s="26">
        <f t="shared" si="456"/>
        <v>3.3888085873389726</v>
      </c>
      <c r="AU184" s="26">
        <f t="shared" si="457"/>
        <v>3.7562697594600665</v>
      </c>
      <c r="AV184" s="26">
        <f t="shared" si="306"/>
        <v>100.84767723767787</v>
      </c>
      <c r="AW184" s="16"/>
      <c r="AX184" s="16"/>
      <c r="AY184" s="16"/>
      <c r="AZ184" s="16"/>
      <c r="BA184" s="26"/>
      <c r="BB184" s="26">
        <v>1</v>
      </c>
      <c r="BC184" s="26">
        <f>1-BD184</f>
        <v>1</v>
      </c>
      <c r="BD184" s="26">
        <f>1-BB184</f>
        <v>0</v>
      </c>
      <c r="BE184" s="16"/>
      <c r="BF184" s="16"/>
      <c r="BG184" s="16">
        <v>0</v>
      </c>
      <c r="BH184" s="16"/>
      <c r="BI184" s="16">
        <v>0</v>
      </c>
      <c r="BJ184" s="16">
        <v>0</v>
      </c>
      <c r="BK184" s="18">
        <v>0</v>
      </c>
      <c r="BL184" s="18">
        <v>0</v>
      </c>
      <c r="BM184" s="18">
        <v>0</v>
      </c>
      <c r="BN184" s="18">
        <v>0</v>
      </c>
      <c r="BO184" s="18"/>
      <c r="BP184" s="18"/>
      <c r="BQ184" s="18"/>
      <c r="BR184" s="18"/>
      <c r="BS184" s="18"/>
      <c r="BT184" s="18"/>
      <c r="BU184" s="18"/>
      <c r="BV184" s="18"/>
      <c r="BW184" s="18"/>
      <c r="BX184" s="18"/>
      <c r="BY184" s="18"/>
      <c r="BZ184" s="18"/>
      <c r="CA184" s="18"/>
      <c r="CB184" s="18"/>
      <c r="CC184" s="18"/>
      <c r="CD184" s="18"/>
      <c r="CE184" s="18"/>
      <c r="CF184" s="18"/>
      <c r="CG184" s="18"/>
      <c r="CH184" s="18"/>
      <c r="CI184" s="18">
        <v>0</v>
      </c>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28"/>
      <c r="DW184" s="28"/>
      <c r="DX184" s="28"/>
      <c r="DY184" s="28"/>
      <c r="DZ184" s="28"/>
      <c r="EA184" s="28"/>
      <c r="EB184" s="28"/>
      <c r="EC184" s="28"/>
      <c r="ED184" s="28"/>
      <c r="EE184" s="28"/>
      <c r="EF184" s="28"/>
      <c r="EG184" s="28"/>
      <c r="EH184" s="28"/>
      <c r="EI184" s="28"/>
      <c r="EJ184" s="18"/>
      <c r="EK184" s="18"/>
      <c r="EL184" s="18">
        <f>IFERROR(CR184/'McDonough &amp; Sun 1995 values'!C$2,)</f>
        <v>0</v>
      </c>
      <c r="EM184" s="18">
        <f>IFERROR(CH184/'McDonough &amp; Sun 1995 values'!D$2,)</f>
        <v>0</v>
      </c>
      <c r="EN184" s="18">
        <f>IFERROR(CS184/'McDonough &amp; Sun 1995 values'!E$2,)</f>
        <v>0</v>
      </c>
      <c r="EO184" s="18">
        <f>IFERROR(DL184/'McDonough &amp; Sun 1995 values'!F$2,)</f>
        <v>0</v>
      </c>
      <c r="EP184" s="18">
        <f>IFERROR(DM184/'McDonough &amp; Sun 1995 values'!G$2,)</f>
        <v>0</v>
      </c>
      <c r="EQ184" s="18">
        <f>IFERROR(BR184/'McDonough &amp; Sun 1995 values'!H$2,)</f>
        <v>0</v>
      </c>
      <c r="ER184" s="18">
        <f>IFERROR(DI184/'McDonough &amp; Sun 1995 values'!I$2,)</f>
        <v>0</v>
      </c>
      <c r="ES184" s="18">
        <f>IFERROR(CM184/'McDonough &amp; Sun 1995 values'!J$2,)</f>
        <v>0</v>
      </c>
      <c r="ET184" s="18">
        <f>IFERROR(CU184/'McDonough &amp; Sun 1995 values'!K$2,)</f>
        <v>0</v>
      </c>
      <c r="EU184" s="18">
        <f>IFERROR(CV184/'McDonough &amp; Sun 1995 values'!L$2,)</f>
        <v>0</v>
      </c>
      <c r="EV184" s="18">
        <f>IFERROR(CW184/'McDonough &amp; Sun 1995 values'!M$2,)</f>
        <v>0</v>
      </c>
      <c r="EW184" s="18">
        <f>IFERROR(CI184/'McDonough &amp; Sun 1995 values'!N$2,)</f>
        <v>0</v>
      </c>
      <c r="EX184" s="18">
        <f>IFERROR(CX184/'McDonough &amp; Sun 1995 values'!O$2,)</f>
        <v>0</v>
      </c>
      <c r="EY184" s="18">
        <f>IFERROR(CY184/'McDonough &amp; Sun 1995 values'!P$2,)</f>
        <v>0</v>
      </c>
      <c r="EZ184" s="18">
        <f>IFERROR(DH184/'McDonough &amp; Sun 1995 values'!Q$2,)</f>
        <v>0</v>
      </c>
      <c r="FA184" s="18">
        <f>IFERROR(CK184/'McDonough &amp; Sun 1995 values'!R$2,)</f>
        <v>0</v>
      </c>
      <c r="FB184" s="18">
        <f>IFERROR(CZ184/'McDonough &amp; Sun 1995 values'!S$2,)</f>
        <v>0</v>
      </c>
      <c r="FC184" s="18">
        <f>IFERROR(BT184/'McDonough &amp; Sun 1995 values'!T$2,)</f>
        <v>0</v>
      </c>
      <c r="FD184" s="18">
        <f>IFERROR(DA184/'McDonough &amp; Sun 1995 values'!U$2,)</f>
        <v>0</v>
      </c>
      <c r="FE184" s="18">
        <f>IFERROR(DN184/'McDonough &amp; Sun 1995 values'!V$2,)</f>
        <v>0</v>
      </c>
      <c r="FF184" s="18">
        <f>IFERROR(DB184/'McDonough &amp; Sun 1995 values'!W$2,)</f>
        <v>0</v>
      </c>
      <c r="FG184" s="18">
        <f>IFERROR(CJ184/'McDonough &amp; Sun 1995 values'!X$2,)</f>
        <v>0</v>
      </c>
      <c r="FH184" s="18">
        <f>IFERROR(DC184/'McDonough &amp; Sun 1995 values'!Y$2,)</f>
        <v>0</v>
      </c>
      <c r="FI184" s="18">
        <f>IFERROR(DD184/'McDonough &amp; Sun 1995 values'!Z$2,)</f>
        <v>0</v>
      </c>
      <c r="FJ184" s="18">
        <f>IFERROR(DE184/'McDonough &amp; Sun 1995 values'!AA$2,)</f>
        <v>0</v>
      </c>
      <c r="FK184" s="18">
        <f>IFERROR(DF184/'McDonough &amp; Sun 1995 values'!AB$2,)</f>
        <v>0</v>
      </c>
      <c r="FL184" s="18">
        <f>IFERROR(DG184/'McDonough &amp; Sun 1995 values'!AC$2,)</f>
        <v>0</v>
      </c>
      <c r="FN184" s="28">
        <f t="shared" si="458"/>
        <v>0</v>
      </c>
      <c r="FO184" s="4">
        <f t="shared" si="391"/>
        <v>0</v>
      </c>
      <c r="FP184" s="4">
        <f t="shared" si="392"/>
        <v>0</v>
      </c>
      <c r="FQ184" s="4">
        <f t="shared" si="393"/>
        <v>0</v>
      </c>
      <c r="FR184" s="4">
        <f t="shared" si="394"/>
        <v>0</v>
      </c>
      <c r="FS184" s="4">
        <f t="shared" si="395"/>
        <v>0</v>
      </c>
      <c r="FT184" s="4">
        <f t="shared" si="396"/>
        <v>0</v>
      </c>
      <c r="FU184" s="4">
        <f t="shared" si="397"/>
        <v>0</v>
      </c>
      <c r="FV184" s="4">
        <f t="shared" si="398"/>
        <v>0</v>
      </c>
      <c r="FW184" s="4">
        <f t="shared" si="399"/>
        <v>0</v>
      </c>
      <c r="FX184" s="4">
        <f t="shared" si="400"/>
        <v>0</v>
      </c>
      <c r="FY184" s="4">
        <f t="shared" si="401"/>
        <v>0</v>
      </c>
      <c r="FZ184" s="4">
        <f t="shared" si="402"/>
        <v>0</v>
      </c>
      <c r="GA184" s="4">
        <f t="shared" si="403"/>
        <v>0</v>
      </c>
      <c r="GB184" s="4">
        <f t="shared" si="404"/>
        <v>0</v>
      </c>
      <c r="GC184" s="4">
        <f t="shared" si="405"/>
        <v>0</v>
      </c>
      <c r="GD184" s="4">
        <f t="shared" si="406"/>
        <v>0</v>
      </c>
      <c r="GE184" s="4">
        <f t="shared" si="407"/>
        <v>0</v>
      </c>
      <c r="GF184" s="4">
        <f t="shared" si="408"/>
        <v>0</v>
      </c>
      <c r="GG184" s="4">
        <f t="shared" si="409"/>
        <v>0</v>
      </c>
      <c r="GH184" s="4">
        <f t="shared" si="410"/>
        <v>0</v>
      </c>
      <c r="GI184" s="4">
        <f t="shared" si="411"/>
        <v>0</v>
      </c>
      <c r="GJ184" s="4">
        <f t="shared" si="412"/>
        <v>0</v>
      </c>
      <c r="GK184" s="4">
        <f t="shared" si="413"/>
        <v>0</v>
      </c>
      <c r="GL184" s="4">
        <f t="shared" si="414"/>
        <v>0</v>
      </c>
      <c r="GM184" s="4">
        <f t="shared" si="415"/>
        <v>0</v>
      </c>
      <c r="GN184" s="4">
        <f t="shared" si="416"/>
        <v>0</v>
      </c>
      <c r="GO184" s="4">
        <f t="shared" si="417"/>
        <v>0</v>
      </c>
      <c r="GP184" s="4">
        <f t="shared" si="418"/>
        <v>0</v>
      </c>
      <c r="GQ184" s="27">
        <f t="shared" si="419"/>
        <v>111849.18323709352</v>
      </c>
      <c r="GR184" s="28" t="str">
        <f t="shared" si="420"/>
        <v/>
      </c>
      <c r="GS184" s="28" t="str">
        <f t="shared" si="421"/>
        <v/>
      </c>
      <c r="GT184" s="28" t="str">
        <f t="shared" si="422"/>
        <v/>
      </c>
      <c r="GU184" s="28" t="str">
        <f t="shared" si="423"/>
        <v/>
      </c>
      <c r="GV184" s="28" t="str">
        <f t="shared" si="424"/>
        <v/>
      </c>
      <c r="GW184" s="28" t="str">
        <f t="shared" si="425"/>
        <v/>
      </c>
      <c r="GX184" s="28" t="str">
        <f t="shared" si="426"/>
        <v/>
      </c>
      <c r="GY184" s="28" t="str">
        <f t="shared" si="427"/>
        <v/>
      </c>
      <c r="GZ184" s="28" t="str">
        <f t="shared" si="428"/>
        <v/>
      </c>
      <c r="HA184" s="28" t="str">
        <f t="shared" si="429"/>
        <v/>
      </c>
      <c r="HB184" s="28" t="str">
        <f t="shared" si="430"/>
        <v/>
      </c>
      <c r="HC184" s="28" t="str">
        <f t="shared" si="431"/>
        <v/>
      </c>
      <c r="HD184" s="28" t="str">
        <f t="shared" si="432"/>
        <v/>
      </c>
      <c r="HE184" s="28" t="str">
        <f t="shared" si="433"/>
        <v/>
      </c>
      <c r="HF184" s="28" t="str">
        <f t="shared" si="434"/>
        <v/>
      </c>
      <c r="HG184" s="28" t="str">
        <f t="shared" si="435"/>
        <v/>
      </c>
      <c r="HH184" s="28" t="str">
        <f t="shared" si="436"/>
        <v/>
      </c>
      <c r="HI184" s="28" t="str">
        <f t="shared" si="437"/>
        <v/>
      </c>
      <c r="HJ184" s="28" t="str">
        <f t="shared" si="438"/>
        <v/>
      </c>
      <c r="HK184" s="28" t="str">
        <f t="shared" si="439"/>
        <v/>
      </c>
      <c r="HL184" s="28" t="str">
        <f t="shared" si="440"/>
        <v/>
      </c>
      <c r="HM184" s="28" t="str">
        <f t="shared" si="441"/>
        <v/>
      </c>
      <c r="HN184" s="28" t="str">
        <f t="shared" si="442"/>
        <v/>
      </c>
      <c r="HO184" s="28" t="str">
        <f t="shared" si="443"/>
        <v/>
      </c>
      <c r="HP184" s="28" t="str">
        <f t="shared" si="444"/>
        <v/>
      </c>
      <c r="HQ184" s="28" t="str">
        <f t="shared" si="445"/>
        <v/>
      </c>
      <c r="HR184" s="28" t="str">
        <f t="shared" si="446"/>
        <v/>
      </c>
      <c r="HT184" s="4">
        <f>IFERROR(GR184/'McDonough &amp; Sun 1995 values'!C$2,)</f>
        <v>0</v>
      </c>
      <c r="HU184" s="4">
        <f>IFERROR(GS184/'McDonough &amp; Sun 1995 values'!D$2,)</f>
        <v>0</v>
      </c>
      <c r="HV184" s="4">
        <f>IFERROR(GT184/'McDonough &amp; Sun 1995 values'!E$2,)</f>
        <v>0</v>
      </c>
      <c r="HW184" s="4">
        <f>IFERROR(GU184/'McDonough &amp; Sun 1995 values'!F$2,)</f>
        <v>0</v>
      </c>
      <c r="HX184" s="4">
        <f>IFERROR(GV184/'McDonough &amp; Sun 1995 values'!G$2,)</f>
        <v>0</v>
      </c>
      <c r="HY184" s="4">
        <f>IFERROR(GW184/'McDonough &amp; Sun 1995 values'!H$2,)</f>
        <v>0</v>
      </c>
      <c r="HZ184" s="4">
        <f>IFERROR(GX184/'McDonough &amp; Sun 1995 values'!I$2,)</f>
        <v>0</v>
      </c>
      <c r="IA184" s="4">
        <f>IFERROR(GY184/'McDonough &amp; Sun 1995 values'!J$2,)</f>
        <v>0</v>
      </c>
      <c r="IB184" s="4">
        <f>IFERROR(GZ184/'McDonough &amp; Sun 1995 values'!K$2,)</f>
        <v>0</v>
      </c>
      <c r="IC184" s="4">
        <f>IFERROR(HA184/'McDonough &amp; Sun 1995 values'!L$2,)</f>
        <v>0</v>
      </c>
      <c r="ID184" s="4">
        <f>IFERROR(HB184/'McDonough &amp; Sun 1995 values'!M$2,)</f>
        <v>0</v>
      </c>
      <c r="IE184" s="4">
        <f>IFERROR(HC184/'McDonough &amp; Sun 1995 values'!N$2,)</f>
        <v>0</v>
      </c>
      <c r="IF184" s="4">
        <f>IFERROR(HD184/'McDonough &amp; Sun 1995 values'!O$2,)</f>
        <v>0</v>
      </c>
      <c r="IG184" s="4">
        <f>IFERROR(HE184/'McDonough &amp; Sun 1995 values'!P$2,)</f>
        <v>0</v>
      </c>
      <c r="IH184" s="4">
        <f>IFERROR(HF184/'McDonough &amp; Sun 1995 values'!Q$2,)</f>
        <v>0</v>
      </c>
      <c r="II184" s="4">
        <f>IFERROR(HG184/'McDonough &amp; Sun 1995 values'!R$2,)</f>
        <v>0</v>
      </c>
      <c r="IJ184" s="4">
        <f>IFERROR(HH184/'McDonough &amp; Sun 1995 values'!S$2,)</f>
        <v>0</v>
      </c>
      <c r="IK184" s="4">
        <f>IFERROR(HI184/'McDonough &amp; Sun 1995 values'!T$2,)</f>
        <v>0</v>
      </c>
      <c r="IL184" s="4">
        <f>IFERROR(HJ184/'McDonough &amp; Sun 1995 values'!U$2,)</f>
        <v>0</v>
      </c>
      <c r="IM184" s="4">
        <f>IFERROR(HK184/'McDonough &amp; Sun 1995 values'!V$2,)</f>
        <v>0</v>
      </c>
      <c r="IN184" s="4">
        <f>IFERROR(HL184/'McDonough &amp; Sun 1995 values'!W$2,)</f>
        <v>0</v>
      </c>
      <c r="IO184" s="4">
        <f>IFERROR(HM184/'McDonough &amp; Sun 1995 values'!X$2,)</f>
        <v>0</v>
      </c>
      <c r="IP184" s="4">
        <f>IFERROR(HN184/'McDonough &amp; Sun 1995 values'!Y$2,)</f>
        <v>0</v>
      </c>
      <c r="IQ184" s="4">
        <f>IFERROR(HO184/'McDonough &amp; Sun 1995 values'!Z$2,)</f>
        <v>0</v>
      </c>
      <c r="IR184" s="4">
        <f>IFERROR(HP184/'McDonough &amp; Sun 1995 values'!AA$2,)</f>
        <v>0</v>
      </c>
      <c r="IS184" s="4">
        <f>IFERROR(HQ184/'McDonough &amp; Sun 1995 values'!AB$2,)</f>
        <v>0</v>
      </c>
      <c r="IT184" s="4">
        <f>IFERROR(HR184/'McDonough &amp; Sun 1995 values'!AC$2,)</f>
        <v>0</v>
      </c>
    </row>
    <row r="185" spans="1:254">
      <c r="A185" s="16" t="s">
        <v>1431</v>
      </c>
      <c r="B185" s="16" t="s">
        <v>24</v>
      </c>
      <c r="C185" s="16" t="str">
        <f t="shared" si="304"/>
        <v>silicic</v>
      </c>
      <c r="D185" s="16" t="s">
        <v>1722</v>
      </c>
      <c r="E185" s="16" t="s">
        <v>388</v>
      </c>
      <c r="F185" s="16" t="s">
        <v>342</v>
      </c>
      <c r="G185" s="16" t="s">
        <v>640</v>
      </c>
      <c r="H185" s="27">
        <v>71.3</v>
      </c>
      <c r="I185" s="16">
        <v>0</v>
      </c>
      <c r="J185" s="16" t="s">
        <v>1311</v>
      </c>
      <c r="K185" s="16" t="s">
        <v>115</v>
      </c>
      <c r="L185" s="16">
        <v>0</v>
      </c>
      <c r="M185" s="16" t="s">
        <v>1250</v>
      </c>
      <c r="N185" s="16">
        <v>26</v>
      </c>
      <c r="O185" s="26">
        <v>49.76</v>
      </c>
      <c r="P185" s="26">
        <v>3.32</v>
      </c>
      <c r="Q185" s="26"/>
      <c r="R185" s="26">
        <v>6.55</v>
      </c>
      <c r="S185" s="26">
        <v>6.57</v>
      </c>
      <c r="T185" s="26">
        <v>1.82</v>
      </c>
      <c r="U185" s="26"/>
      <c r="V185" s="26">
        <v>5.63</v>
      </c>
      <c r="W185" s="26">
        <v>1.24</v>
      </c>
      <c r="X185" s="26">
        <v>19.5</v>
      </c>
      <c r="Y185" s="26"/>
      <c r="Z185" s="26">
        <v>2.71</v>
      </c>
      <c r="AA185" s="26"/>
      <c r="AB185" s="26"/>
      <c r="AC185" s="26"/>
      <c r="AD185" s="26">
        <v>2.89</v>
      </c>
      <c r="AE185" s="26"/>
      <c r="AF185" s="26"/>
      <c r="AG185" s="26"/>
      <c r="AH185" s="26"/>
      <c r="AI185" s="26">
        <v>13.27</v>
      </c>
      <c r="AJ185" s="26">
        <f t="shared" si="305"/>
        <v>99.989999999999966</v>
      </c>
      <c r="AK185" s="26">
        <f t="shared" si="447"/>
        <v>50.091700315672874</v>
      </c>
      <c r="AL185" s="26">
        <f t="shared" si="448"/>
        <v>3.3421311303865338</v>
      </c>
      <c r="AM185" s="26">
        <f t="shared" si="449"/>
        <v>6.5936623204915055</v>
      </c>
      <c r="AN185" s="26">
        <f t="shared" si="450"/>
        <v>6.6137956405540752</v>
      </c>
      <c r="AO185" s="26">
        <f t="shared" si="451"/>
        <v>1.832132125693823</v>
      </c>
      <c r="AP185" s="26">
        <f t="shared" si="452"/>
        <v>5.6675295976133091</v>
      </c>
      <c r="AQ185" s="26">
        <f t="shared" si="453"/>
        <v>0</v>
      </c>
      <c r="AR185" s="26">
        <f t="shared" si="454"/>
        <v>1.2482658438793079</v>
      </c>
      <c r="AS185" s="26">
        <f t="shared" si="455"/>
        <v>19.629987061005245</v>
      </c>
      <c r="AT185" s="26">
        <f t="shared" si="456"/>
        <v>2.7280648684781648</v>
      </c>
      <c r="AU185" s="26">
        <f t="shared" si="457"/>
        <v>2.9092647490412906</v>
      </c>
      <c r="AV185" s="26">
        <f t="shared" si="306"/>
        <v>100.65653365281612</v>
      </c>
      <c r="AW185" s="16"/>
      <c r="AX185" s="16"/>
      <c r="AY185" s="16"/>
      <c r="AZ185" s="16"/>
      <c r="BA185" s="26"/>
      <c r="BB185" s="26"/>
      <c r="BC185" s="26"/>
      <c r="BD185" s="26"/>
      <c r="BE185" s="16"/>
      <c r="BF185" s="16"/>
      <c r="BG185" s="16"/>
      <c r="BH185" s="16"/>
      <c r="BI185" s="16"/>
      <c r="BJ185" s="16"/>
      <c r="BK185" s="18"/>
      <c r="BL185" s="18"/>
      <c r="BM185" s="18"/>
      <c r="BN185" s="18"/>
      <c r="BO185" s="18"/>
      <c r="BP185" s="18"/>
      <c r="BQ185" s="18"/>
      <c r="BR185" s="18"/>
      <c r="BS185" s="18"/>
      <c r="BT185" s="18">
        <v>33.200000000000003</v>
      </c>
      <c r="BU185" s="18"/>
      <c r="BV185" s="18"/>
      <c r="BW185" s="18"/>
      <c r="BX185" s="18"/>
      <c r="BY185" s="18"/>
      <c r="BZ185" s="18"/>
      <c r="CA185" s="18"/>
      <c r="CB185" s="18"/>
      <c r="CC185" s="18"/>
      <c r="CD185" s="18"/>
      <c r="CE185" s="18"/>
      <c r="CF185" s="18"/>
      <c r="CG185" s="18"/>
      <c r="CH185" s="18" t="s">
        <v>1192</v>
      </c>
      <c r="CI185" s="18">
        <v>24.57</v>
      </c>
      <c r="CJ185" s="18">
        <v>2.9279999999999999</v>
      </c>
      <c r="CK185" s="18">
        <v>2.746</v>
      </c>
      <c r="CL185" s="18"/>
      <c r="CM185" s="18">
        <v>3.4000000000000002E-2</v>
      </c>
      <c r="CN185" s="18"/>
      <c r="CO185" s="18"/>
      <c r="CP185" s="18"/>
      <c r="CQ185" s="18"/>
      <c r="CR185" s="18"/>
      <c r="CS185" s="18">
        <v>68.430000000000007</v>
      </c>
      <c r="CT185" s="18"/>
      <c r="CU185" s="18">
        <v>550</v>
      </c>
      <c r="CV185" s="18">
        <v>678.9</v>
      </c>
      <c r="CW185" s="18">
        <v>49.34</v>
      </c>
      <c r="CX185" s="18">
        <v>119.3</v>
      </c>
      <c r="CY185" s="18">
        <v>11.5</v>
      </c>
      <c r="CZ185" s="18">
        <v>2.0499999999999998</v>
      </c>
      <c r="DA185" s="18">
        <v>4.194</v>
      </c>
      <c r="DB185" s="18">
        <v>1.458</v>
      </c>
      <c r="DC185" s="18"/>
      <c r="DD185" s="18">
        <v>0.313</v>
      </c>
      <c r="DE185" s="18"/>
      <c r="DF185" s="18">
        <v>0.14899999999999999</v>
      </c>
      <c r="DG185" s="18">
        <v>1.9E-2</v>
      </c>
      <c r="DH185" s="18">
        <v>6.7000000000000004E-2</v>
      </c>
      <c r="DI185" s="18"/>
      <c r="DJ185" s="18"/>
      <c r="DK185" s="18">
        <v>99.42</v>
      </c>
      <c r="DL185" s="18">
        <v>14.08</v>
      </c>
      <c r="DM185" s="18">
        <v>6.4000000000000001E-2</v>
      </c>
      <c r="DN185" s="18">
        <v>0.157</v>
      </c>
      <c r="DO185" s="18"/>
      <c r="DP185" s="18"/>
      <c r="DQ185" s="18"/>
      <c r="DR185" s="18"/>
      <c r="DS185" s="18"/>
      <c r="DT185" s="18"/>
      <c r="DU185" s="18"/>
      <c r="DV185" s="31">
        <v>0.72330000000000005</v>
      </c>
      <c r="DW185" s="31">
        <v>3.0000000000000001E-5</v>
      </c>
      <c r="DX185" s="31">
        <v>0.72330000000000005</v>
      </c>
      <c r="DY185" s="31"/>
      <c r="DZ185" s="30">
        <v>266.89999999999998</v>
      </c>
      <c r="EA185" s="28">
        <v>0.51049999999999995</v>
      </c>
      <c r="EB185" s="28">
        <v>2.0000000000000002E-5</v>
      </c>
      <c r="EC185" s="28">
        <v>0.51048000000000004</v>
      </c>
      <c r="ED185" s="28">
        <v>-40.4</v>
      </c>
      <c r="EE185" s="28">
        <v>18.536000000000001</v>
      </c>
      <c r="EF185" s="28">
        <v>3.0000000000000001E-3</v>
      </c>
      <c r="EG185" s="28">
        <v>15.81</v>
      </c>
      <c r="EH185" s="28">
        <v>3.0000000000000001E-3</v>
      </c>
      <c r="EI185" s="28">
        <v>39.506999999999998</v>
      </c>
      <c r="EJ185" s="18">
        <v>7.0000000000000001E-3</v>
      </c>
      <c r="EK185" s="18"/>
      <c r="EL185" s="18">
        <f>IFERROR(CR185/'McDonough &amp; Sun 1995 values'!C$2,)</f>
        <v>0</v>
      </c>
      <c r="EM185" s="18">
        <f>IFERROR(CH185/'McDonough &amp; Sun 1995 values'!D$2,)</f>
        <v>0</v>
      </c>
      <c r="EN185" s="18">
        <f>IFERROR(CS185/'McDonough &amp; Sun 1995 values'!E$2,)</f>
        <v>10.368181818181819</v>
      </c>
      <c r="EO185" s="18">
        <f>IFERROR(DL185/'McDonough &amp; Sun 1995 values'!F$2,)</f>
        <v>177.1069182389937</v>
      </c>
      <c r="EP185" s="18">
        <f>IFERROR(DM185/'McDonough &amp; Sun 1995 values'!G$2,)</f>
        <v>3.1527093596059115</v>
      </c>
      <c r="EQ185" s="18">
        <f>IFERROR(BR185/'McDonough &amp; Sun 1995 values'!H$2,)</f>
        <v>0</v>
      </c>
      <c r="ER185" s="18">
        <f>IFERROR(DI185/'McDonough &amp; Sun 1995 values'!I$2,)</f>
        <v>0</v>
      </c>
      <c r="ES185" s="18">
        <f>IFERROR(CM185/'McDonough &amp; Sun 1995 values'!J$2,)</f>
        <v>5.1671732522796353E-2</v>
      </c>
      <c r="ET185" s="18">
        <f>IFERROR(CU185/'McDonough &amp; Sun 1995 values'!K$2,)</f>
        <v>848.76543209876536</v>
      </c>
      <c r="EU185" s="18">
        <f>IFERROR(CV185/'McDonough &amp; Sun 1995 values'!L$2,)</f>
        <v>405.31343283582089</v>
      </c>
      <c r="EV185" s="18">
        <f>IFERROR(CW185/'McDonough &amp; Sun 1995 values'!M$2,)</f>
        <v>194.25196850393701</v>
      </c>
      <c r="EW185" s="18">
        <f>IFERROR(CI185/'McDonough &amp; Sun 1995 values'!N$2,)</f>
        <v>1.2346733668341709</v>
      </c>
      <c r="EX185" s="18">
        <f>IFERROR(CX185/'McDonough &amp; Sun 1995 values'!O$2,)</f>
        <v>95.44</v>
      </c>
      <c r="EY185" s="18">
        <f>IFERROR(CY185/'McDonough &amp; Sun 1995 values'!P$2,)</f>
        <v>28.325123152709359</v>
      </c>
      <c r="EZ185" s="18">
        <f>IFERROR(DH185/'McDonough &amp; Sun 1995 values'!Q$2,)</f>
        <v>0.2367491166077739</v>
      </c>
      <c r="FA185" s="18">
        <f>IFERROR(CK185/'McDonough &amp; Sun 1995 values'!R$2,)</f>
        <v>0.26152380952380955</v>
      </c>
      <c r="FB185" s="18">
        <f>IFERROR(CZ185/'McDonough &amp; Sun 1995 values'!S$2,)</f>
        <v>13.311688311688311</v>
      </c>
      <c r="FC185" s="18">
        <f>IFERROR(BT185/'McDonough &amp; Sun 1995 values'!T$2,)</f>
        <v>2.7551867219917016E-2</v>
      </c>
      <c r="FD185" s="18">
        <f>IFERROR(DA185/'McDonough &amp; Sun 1995 values'!U$2,)</f>
        <v>7.7095588235294112</v>
      </c>
      <c r="FE185" s="18">
        <f>IFERROR(DN185/'McDonough &amp; Sun 1995 values'!V$2,)</f>
        <v>1.5858585858585859</v>
      </c>
      <c r="FF185" s="18">
        <f>IFERROR(DB185/'McDonough &amp; Sun 1995 values'!W$2,)</f>
        <v>2.1632047477744805</v>
      </c>
      <c r="FG185" s="18">
        <f>IFERROR(CJ185/'McDonough &amp; Sun 1995 values'!X$2,)</f>
        <v>0.68093023255813956</v>
      </c>
      <c r="FH185" s="18">
        <f>IFERROR(DC185/'McDonough &amp; Sun 1995 values'!Y$2,)</f>
        <v>0</v>
      </c>
      <c r="FI185" s="18">
        <f>IFERROR(DD185/'McDonough &amp; Sun 1995 values'!Z$2,)</f>
        <v>0.71461187214611877</v>
      </c>
      <c r="FJ185" s="18">
        <f>IFERROR(DE185/'McDonough &amp; Sun 1995 values'!AA$2,)</f>
        <v>0</v>
      </c>
      <c r="FK185" s="18">
        <f>IFERROR(DF185/'McDonough &amp; Sun 1995 values'!AB$2,)</f>
        <v>0.33786848072562359</v>
      </c>
      <c r="FL185" s="18">
        <f>IFERROR(DG185/'McDonough &amp; Sun 1995 values'!AC$2,)</f>
        <v>0.28148148148148144</v>
      </c>
      <c r="FN185" s="28">
        <f t="shared" si="458"/>
        <v>0</v>
      </c>
      <c r="FO185" s="4">
        <f t="shared" si="391"/>
        <v>3.2886576704545454</v>
      </c>
      <c r="FP185" s="4">
        <f t="shared" si="392"/>
        <v>3427.5397706252311</v>
      </c>
      <c r="FQ185" s="4">
        <f t="shared" si="393"/>
        <v>56.176100628930811</v>
      </c>
      <c r="FR185" s="4">
        <f t="shared" si="394"/>
        <v>16426.107480029048</v>
      </c>
      <c r="FS185" s="4">
        <f t="shared" si="395"/>
        <v>0</v>
      </c>
      <c r="FT185" s="4">
        <f t="shared" si="396"/>
        <v>0</v>
      </c>
      <c r="FU185" s="4">
        <f t="shared" si="397"/>
        <v>0</v>
      </c>
      <c r="FV185" s="4">
        <f t="shared" si="398"/>
        <v>9.2329275362318854E-3</v>
      </c>
      <c r="FW185" s="4">
        <f t="shared" si="399"/>
        <v>1.1046453447050462</v>
      </c>
      <c r="FX185" s="4">
        <f t="shared" si="400"/>
        <v>0.73882646282079156</v>
      </c>
      <c r="FY185" s="4">
        <f t="shared" si="401"/>
        <v>9.0678463051612826E-3</v>
      </c>
      <c r="FZ185" s="4">
        <f t="shared" si="402"/>
        <v>0.90080849605936908</v>
      </c>
      <c r="GA185" s="4">
        <f t="shared" si="403"/>
        <v>6.356040437289814E-3</v>
      </c>
      <c r="GB185" s="4">
        <f t="shared" si="404"/>
        <v>0.46996047430830035</v>
      </c>
      <c r="GC185" s="4">
        <f t="shared" si="405"/>
        <v>0</v>
      </c>
      <c r="GD185" s="4">
        <f t="shared" si="406"/>
        <v>5.8541935692148772E-2</v>
      </c>
      <c r="GE185" s="4">
        <f t="shared" si="407"/>
        <v>0</v>
      </c>
      <c r="GF185" s="4">
        <f t="shared" si="408"/>
        <v>0</v>
      </c>
      <c r="GG185" s="4">
        <f t="shared" si="409"/>
        <v>200.65481283422463</v>
      </c>
      <c r="GH185" s="4">
        <f t="shared" si="410"/>
        <v>4.3694045349227082</v>
      </c>
      <c r="GI185" s="4">
        <f t="shared" si="411"/>
        <v>29.965110037573805</v>
      </c>
      <c r="GJ185" s="4">
        <f t="shared" si="412"/>
        <v>392.3648156615692</v>
      </c>
      <c r="GK185" s="4">
        <f t="shared" si="413"/>
        <v>2512.1178225205067</v>
      </c>
      <c r="GL185" s="4">
        <f t="shared" si="414"/>
        <v>9.4920539300057367</v>
      </c>
      <c r="GM185" s="4">
        <f t="shared" si="415"/>
        <v>0</v>
      </c>
      <c r="GN185" s="4">
        <f t="shared" si="416"/>
        <v>6.08786957723128E-5</v>
      </c>
      <c r="GO185" s="4">
        <f t="shared" si="417"/>
        <v>1.6389627659574468E-2</v>
      </c>
      <c r="GP185" s="4">
        <f t="shared" si="418"/>
        <v>0</v>
      </c>
      <c r="GQ185" s="27">
        <f t="shared" si="419"/>
        <v>162955.84550318978</v>
      </c>
      <c r="GR185" s="28" t="str">
        <f t="shared" si="420"/>
        <v/>
      </c>
      <c r="GS185" s="28" t="str">
        <f t="shared" si="421"/>
        <v/>
      </c>
      <c r="GT185" s="28" t="str">
        <f t="shared" si="422"/>
        <v/>
      </c>
      <c r="GU185" s="28" t="str">
        <f t="shared" si="423"/>
        <v/>
      </c>
      <c r="GV185" s="28" t="str">
        <f t="shared" si="424"/>
        <v/>
      </c>
      <c r="GW185" s="28" t="str">
        <f t="shared" si="425"/>
        <v/>
      </c>
      <c r="GX185" s="28" t="str">
        <f t="shared" si="426"/>
        <v/>
      </c>
      <c r="GY185" s="28" t="str">
        <f t="shared" si="427"/>
        <v/>
      </c>
      <c r="GZ185" s="28" t="str">
        <f t="shared" si="428"/>
        <v/>
      </c>
      <c r="HA185" s="28" t="str">
        <f t="shared" si="429"/>
        <v/>
      </c>
      <c r="HB185" s="28" t="str">
        <f t="shared" si="430"/>
        <v/>
      </c>
      <c r="HC185" s="28" t="str">
        <f t="shared" si="431"/>
        <v/>
      </c>
      <c r="HD185" s="28" t="str">
        <f t="shared" si="432"/>
        <v/>
      </c>
      <c r="HE185" s="28" t="str">
        <f t="shared" si="433"/>
        <v/>
      </c>
      <c r="HF185" s="28" t="str">
        <f t="shared" si="434"/>
        <v/>
      </c>
      <c r="HG185" s="28" t="str">
        <f t="shared" si="435"/>
        <v/>
      </c>
      <c r="HH185" s="28" t="str">
        <f t="shared" si="436"/>
        <v/>
      </c>
      <c r="HI185" s="28" t="str">
        <f t="shared" si="437"/>
        <v/>
      </c>
      <c r="HJ185" s="28" t="str">
        <f t="shared" si="438"/>
        <v/>
      </c>
      <c r="HK185" s="28" t="str">
        <f t="shared" si="439"/>
        <v/>
      </c>
      <c r="HL185" s="28" t="str">
        <f t="shared" si="440"/>
        <v/>
      </c>
      <c r="HM185" s="28" t="str">
        <f t="shared" si="441"/>
        <v/>
      </c>
      <c r="HN185" s="28" t="str">
        <f t="shared" si="442"/>
        <v/>
      </c>
      <c r="HO185" s="28" t="str">
        <f t="shared" si="443"/>
        <v/>
      </c>
      <c r="HP185" s="28" t="str">
        <f t="shared" si="444"/>
        <v/>
      </c>
      <c r="HQ185" s="28" t="str">
        <f t="shared" si="445"/>
        <v/>
      </c>
      <c r="HR185" s="28" t="str">
        <f t="shared" si="446"/>
        <v/>
      </c>
      <c r="HT185" s="4">
        <f>IFERROR(GR185/'McDonough &amp; Sun 1995 values'!C$2,)</f>
        <v>0</v>
      </c>
      <c r="HU185" s="4">
        <f>IFERROR(GS185/'McDonough &amp; Sun 1995 values'!D$2,)</f>
        <v>0</v>
      </c>
      <c r="HV185" s="4">
        <f>IFERROR(GT185/'McDonough &amp; Sun 1995 values'!E$2,)</f>
        <v>0</v>
      </c>
      <c r="HW185" s="4">
        <f>IFERROR(GU185/'McDonough &amp; Sun 1995 values'!F$2,)</f>
        <v>0</v>
      </c>
      <c r="HX185" s="4">
        <f>IFERROR(GV185/'McDonough &amp; Sun 1995 values'!G$2,)</f>
        <v>0</v>
      </c>
      <c r="HY185" s="4">
        <f>IFERROR(GW185/'McDonough &amp; Sun 1995 values'!H$2,)</f>
        <v>0</v>
      </c>
      <c r="HZ185" s="4">
        <f>IFERROR(GX185/'McDonough &amp; Sun 1995 values'!I$2,)</f>
        <v>0</v>
      </c>
      <c r="IA185" s="4">
        <f>IFERROR(GY185/'McDonough &amp; Sun 1995 values'!J$2,)</f>
        <v>0</v>
      </c>
      <c r="IB185" s="4">
        <f>IFERROR(GZ185/'McDonough &amp; Sun 1995 values'!K$2,)</f>
        <v>0</v>
      </c>
      <c r="IC185" s="4">
        <f>IFERROR(HA185/'McDonough &amp; Sun 1995 values'!L$2,)</f>
        <v>0</v>
      </c>
      <c r="ID185" s="4">
        <f>IFERROR(HB185/'McDonough &amp; Sun 1995 values'!M$2,)</f>
        <v>0</v>
      </c>
      <c r="IE185" s="4">
        <f>IFERROR(HC185/'McDonough &amp; Sun 1995 values'!N$2,)</f>
        <v>0</v>
      </c>
      <c r="IF185" s="4">
        <f>IFERROR(HD185/'McDonough &amp; Sun 1995 values'!O$2,)</f>
        <v>0</v>
      </c>
      <c r="IG185" s="4">
        <f>IFERROR(HE185/'McDonough &amp; Sun 1995 values'!P$2,)</f>
        <v>0</v>
      </c>
      <c r="IH185" s="4">
        <f>IFERROR(HF185/'McDonough &amp; Sun 1995 values'!Q$2,)</f>
        <v>0</v>
      </c>
      <c r="II185" s="4">
        <f>IFERROR(HG185/'McDonough &amp; Sun 1995 values'!R$2,)</f>
        <v>0</v>
      </c>
      <c r="IJ185" s="4">
        <f>IFERROR(HH185/'McDonough &amp; Sun 1995 values'!S$2,)</f>
        <v>0</v>
      </c>
      <c r="IK185" s="4">
        <f>IFERROR(HI185/'McDonough &amp; Sun 1995 values'!T$2,)</f>
        <v>0</v>
      </c>
      <c r="IL185" s="4">
        <f>IFERROR(HJ185/'McDonough &amp; Sun 1995 values'!U$2,)</f>
        <v>0</v>
      </c>
      <c r="IM185" s="4">
        <f>IFERROR(HK185/'McDonough &amp; Sun 1995 values'!V$2,)</f>
        <v>0</v>
      </c>
      <c r="IN185" s="4">
        <f>IFERROR(HL185/'McDonough &amp; Sun 1995 values'!W$2,)</f>
        <v>0</v>
      </c>
      <c r="IO185" s="4">
        <f>IFERROR(HM185/'McDonough &amp; Sun 1995 values'!X$2,)</f>
        <v>0</v>
      </c>
      <c r="IP185" s="4">
        <f>IFERROR(HN185/'McDonough &amp; Sun 1995 values'!Y$2,)</f>
        <v>0</v>
      </c>
      <c r="IQ185" s="4">
        <f>IFERROR(HO185/'McDonough &amp; Sun 1995 values'!Z$2,)</f>
        <v>0</v>
      </c>
      <c r="IR185" s="4">
        <f>IFERROR(HP185/'McDonough &amp; Sun 1995 values'!AA$2,)</f>
        <v>0</v>
      </c>
      <c r="IS185" s="4">
        <f>IFERROR(HQ185/'McDonough &amp; Sun 1995 values'!AB$2,)</f>
        <v>0</v>
      </c>
      <c r="IT185" s="4">
        <f>IFERROR(HR185/'McDonough &amp; Sun 1995 values'!AC$2,)</f>
        <v>0</v>
      </c>
    </row>
    <row r="186" spans="1:254">
      <c r="A186" s="16" t="s">
        <v>1431</v>
      </c>
      <c r="B186" s="16" t="s">
        <v>24</v>
      </c>
      <c r="C186" s="16" t="str">
        <f t="shared" si="304"/>
        <v>silicic</v>
      </c>
      <c r="D186" s="16" t="s">
        <v>1722</v>
      </c>
      <c r="E186" s="16" t="s">
        <v>388</v>
      </c>
      <c r="F186" s="16" t="s">
        <v>342</v>
      </c>
      <c r="G186" s="16" t="s">
        <v>640</v>
      </c>
      <c r="H186" s="27">
        <v>71.3</v>
      </c>
      <c r="I186" s="16">
        <v>0</v>
      </c>
      <c r="J186" s="16" t="s">
        <v>1311</v>
      </c>
      <c r="K186" s="16" t="s">
        <v>115</v>
      </c>
      <c r="L186" s="16">
        <v>0</v>
      </c>
      <c r="M186" s="16" t="s">
        <v>1251</v>
      </c>
      <c r="N186" s="16">
        <v>16</v>
      </c>
      <c r="O186" s="26">
        <v>44.5</v>
      </c>
      <c r="P186" s="26">
        <v>3.51</v>
      </c>
      <c r="Q186" s="26"/>
      <c r="R186" s="26">
        <v>6.01</v>
      </c>
      <c r="S186" s="26">
        <v>8.51</v>
      </c>
      <c r="T186" s="26">
        <v>3.74</v>
      </c>
      <c r="U186" s="26"/>
      <c r="V186" s="26">
        <v>6.83</v>
      </c>
      <c r="W186" s="26">
        <v>1.75</v>
      </c>
      <c r="X186" s="26">
        <v>18.3</v>
      </c>
      <c r="Y186" s="26"/>
      <c r="Z186" s="26">
        <v>4.38</v>
      </c>
      <c r="AA186" s="26"/>
      <c r="AB186" s="26"/>
      <c r="AC186" s="26"/>
      <c r="AD186" s="26">
        <v>2.46</v>
      </c>
      <c r="AE186" s="26"/>
      <c r="AF186" s="26"/>
      <c r="AG186" s="26"/>
      <c r="AH186" s="26"/>
      <c r="AI186" s="26">
        <v>8.68</v>
      </c>
      <c r="AJ186" s="26">
        <f t="shared" si="305"/>
        <v>99.989999999999981</v>
      </c>
      <c r="AK186" s="26">
        <f t="shared" si="447"/>
        <v>44.752920276808389</v>
      </c>
      <c r="AL186" s="26">
        <f t="shared" si="448"/>
        <v>3.5299494420583692</v>
      </c>
      <c r="AM186" s="26">
        <f t="shared" si="449"/>
        <v>6.044158446373447</v>
      </c>
      <c r="AN186" s="26">
        <f t="shared" si="450"/>
        <v>8.5583674506885252</v>
      </c>
      <c r="AO186" s="26">
        <f t="shared" si="451"/>
        <v>3.7612566704553569</v>
      </c>
      <c r="AP186" s="26">
        <f t="shared" si="452"/>
        <v>6.8688189997887932</v>
      </c>
      <c r="AQ186" s="26">
        <f t="shared" si="453"/>
        <v>0</v>
      </c>
      <c r="AR186" s="26">
        <f t="shared" si="454"/>
        <v>1.7599463030205547</v>
      </c>
      <c r="AS186" s="26">
        <f t="shared" si="455"/>
        <v>18.404009911586371</v>
      </c>
      <c r="AT186" s="26">
        <f t="shared" si="456"/>
        <v>4.4048941755600168</v>
      </c>
      <c r="AU186" s="26">
        <f t="shared" si="457"/>
        <v>2.4739816602460367</v>
      </c>
      <c r="AV186" s="26">
        <f t="shared" si="306"/>
        <v>100.55830333658585</v>
      </c>
      <c r="AW186" s="16"/>
      <c r="AX186" s="16"/>
      <c r="AY186" s="16"/>
      <c r="AZ186" s="16"/>
      <c r="BA186" s="26"/>
      <c r="BB186" s="26"/>
      <c r="BC186" s="26"/>
      <c r="BD186" s="26"/>
      <c r="BE186" s="16"/>
      <c r="BF186" s="16"/>
      <c r="BG186" s="16"/>
      <c r="BH186" s="16"/>
      <c r="BI186" s="16"/>
      <c r="BJ186" s="16"/>
      <c r="BK186" s="18"/>
      <c r="BL186" s="18"/>
      <c r="BM186" s="18"/>
      <c r="BN186" s="18"/>
      <c r="BO186" s="18"/>
      <c r="BP186" s="18"/>
      <c r="BQ186" s="18"/>
      <c r="BR186" s="18"/>
      <c r="BS186" s="18"/>
      <c r="BT186" s="18">
        <v>134.6</v>
      </c>
      <c r="BU186" s="18"/>
      <c r="BV186" s="18"/>
      <c r="BW186" s="18"/>
      <c r="BX186" s="18"/>
      <c r="BY186" s="18"/>
      <c r="BZ186" s="18"/>
      <c r="CA186" s="18"/>
      <c r="CB186" s="18"/>
      <c r="CC186" s="18"/>
      <c r="CD186" s="18"/>
      <c r="CE186" s="18"/>
      <c r="CF186" s="18"/>
      <c r="CG186" s="18"/>
      <c r="CH186" s="18">
        <v>0.26500000000000001</v>
      </c>
      <c r="CI186" s="18">
        <v>5.7080000000000002</v>
      </c>
      <c r="CJ186" s="18">
        <v>1.19</v>
      </c>
      <c r="CK186" s="18">
        <v>1.4850000000000001</v>
      </c>
      <c r="CL186" s="18"/>
      <c r="CM186" s="18">
        <v>5.3999999999999999E-2</v>
      </c>
      <c r="CN186" s="18"/>
      <c r="CO186" s="18"/>
      <c r="CP186" s="18"/>
      <c r="CQ186" s="18"/>
      <c r="CR186" s="18"/>
      <c r="CS186" s="18">
        <v>26.59</v>
      </c>
      <c r="CT186" s="18"/>
      <c r="CU186" s="18" t="s">
        <v>1191</v>
      </c>
      <c r="CV186" s="18" t="s">
        <v>1191</v>
      </c>
      <c r="CW186" s="18">
        <v>6.3570000000000002</v>
      </c>
      <c r="CX186" s="18">
        <v>17.100000000000001</v>
      </c>
      <c r="CY186" s="18">
        <v>1.6779999999999999</v>
      </c>
      <c r="CZ186" s="18">
        <v>0.46</v>
      </c>
      <c r="DA186" s="18">
        <v>0.34</v>
      </c>
      <c r="DB186" s="18">
        <v>0.308</v>
      </c>
      <c r="DC186" s="18"/>
      <c r="DD186" s="18">
        <v>9.9000000000000005E-2</v>
      </c>
      <c r="DE186" s="18"/>
      <c r="DF186" s="18">
        <v>0.105</v>
      </c>
      <c r="DG186" s="18" t="s">
        <v>1192</v>
      </c>
      <c r="DH186" s="18">
        <v>4.2999999999999997E-2</v>
      </c>
      <c r="DI186" s="18"/>
      <c r="DJ186" s="18"/>
      <c r="DK186" s="18">
        <v>3.327</v>
      </c>
      <c r="DL186" s="18">
        <v>0.82399999999999995</v>
      </c>
      <c r="DM186" s="18">
        <v>2.1999999999999999E-2</v>
      </c>
      <c r="DN186" s="18">
        <v>5.7000000000000002E-2</v>
      </c>
      <c r="DO186" s="18"/>
      <c r="DP186" s="18"/>
      <c r="DQ186" s="18"/>
      <c r="DR186" s="18"/>
      <c r="DS186" s="18"/>
      <c r="DT186" s="18"/>
      <c r="DU186" s="18"/>
      <c r="DV186" s="31"/>
      <c r="DW186" s="31"/>
      <c r="DX186" s="31"/>
      <c r="DY186" s="31"/>
      <c r="DZ186" s="30"/>
      <c r="EA186" s="28"/>
      <c r="EB186" s="28"/>
      <c r="EC186" s="28"/>
      <c r="ED186" s="28"/>
      <c r="EE186" s="28"/>
      <c r="EF186" s="28"/>
      <c r="EG186" s="28"/>
      <c r="EH186" s="28"/>
      <c r="EI186" s="28"/>
      <c r="EJ186" s="18"/>
      <c r="EK186" s="18"/>
      <c r="EL186" s="18">
        <f>IFERROR(CR186/'McDonough &amp; Sun 1995 values'!C$2,)</f>
        <v>0</v>
      </c>
      <c r="EM186" s="18">
        <f>IFERROR(CH186/'McDonough &amp; Sun 1995 values'!D$2,)</f>
        <v>0.44166666666666671</v>
      </c>
      <c r="EN186" s="18">
        <f>IFERROR(CS186/'McDonough &amp; Sun 1995 values'!E$2,)</f>
        <v>4.0287878787878793</v>
      </c>
      <c r="EO186" s="18">
        <f>IFERROR(DL186/'McDonough &amp; Sun 1995 values'!F$2,)</f>
        <v>10.364779874213836</v>
      </c>
      <c r="EP186" s="18">
        <f>IFERROR(DM186/'McDonough &amp; Sun 1995 values'!G$2,)</f>
        <v>1.083743842364532</v>
      </c>
      <c r="EQ186" s="18">
        <f>IFERROR(BR186/'McDonough &amp; Sun 1995 values'!H$2,)</f>
        <v>0</v>
      </c>
      <c r="ER186" s="18">
        <f>IFERROR(DI186/'McDonough &amp; Sun 1995 values'!I$2,)</f>
        <v>0</v>
      </c>
      <c r="ES186" s="18">
        <f>IFERROR(CM186/'McDonough &amp; Sun 1995 values'!J$2,)</f>
        <v>8.2066869300911852E-2</v>
      </c>
      <c r="ET186" s="18">
        <f>IFERROR(CU186/'McDonough &amp; Sun 1995 values'!K$2,)</f>
        <v>0</v>
      </c>
      <c r="EU186" s="18">
        <f>IFERROR(CV186/'McDonough &amp; Sun 1995 values'!L$2,)</f>
        <v>0</v>
      </c>
      <c r="EV186" s="18">
        <f>IFERROR(CW186/'McDonough &amp; Sun 1995 values'!M$2,)</f>
        <v>25.027559055118111</v>
      </c>
      <c r="EW186" s="18">
        <f>IFERROR(CI186/'McDonough &amp; Sun 1995 values'!N$2,)</f>
        <v>0.28683417085427138</v>
      </c>
      <c r="EX186" s="18">
        <f>IFERROR(CX186/'McDonough &amp; Sun 1995 values'!O$2,)</f>
        <v>13.680000000000001</v>
      </c>
      <c r="EY186" s="18">
        <f>IFERROR(CY186/'McDonough &amp; Sun 1995 values'!P$2,)</f>
        <v>4.1330049261083737</v>
      </c>
      <c r="EZ186" s="18">
        <f>IFERROR(DH186/'McDonough &amp; Sun 1995 values'!Q$2,)</f>
        <v>0.1519434628975265</v>
      </c>
      <c r="FA186" s="18">
        <f>IFERROR(CK186/'McDonough &amp; Sun 1995 values'!R$2,)</f>
        <v>0.14142857142857143</v>
      </c>
      <c r="FB186" s="18">
        <f>IFERROR(CZ186/'McDonough &amp; Sun 1995 values'!S$2,)</f>
        <v>2.9870129870129873</v>
      </c>
      <c r="FC186" s="18">
        <f>IFERROR(BT186/'McDonough &amp; Sun 1995 values'!T$2,)</f>
        <v>0.11170124481327801</v>
      </c>
      <c r="FD186" s="18">
        <f>IFERROR(DA186/'McDonough &amp; Sun 1995 values'!U$2,)</f>
        <v>0.625</v>
      </c>
      <c r="FE186" s="18">
        <f>IFERROR(DN186/'McDonough &amp; Sun 1995 values'!V$2,)</f>
        <v>0.5757575757575758</v>
      </c>
      <c r="FF186" s="18">
        <f>IFERROR(DB186/'McDonough &amp; Sun 1995 values'!W$2,)</f>
        <v>0.45697329376854595</v>
      </c>
      <c r="FG186" s="18">
        <f>IFERROR(CJ186/'McDonough &amp; Sun 1995 values'!X$2,)</f>
        <v>0.27674418604651163</v>
      </c>
      <c r="FH186" s="18">
        <f>IFERROR(DC186/'McDonough &amp; Sun 1995 values'!Y$2,)</f>
        <v>0</v>
      </c>
      <c r="FI186" s="18">
        <f>IFERROR(DD186/'McDonough &amp; Sun 1995 values'!Z$2,)</f>
        <v>0.22602739726027399</v>
      </c>
      <c r="FJ186" s="18">
        <f>IFERROR(DE186/'McDonough &amp; Sun 1995 values'!AA$2,)</f>
        <v>0</v>
      </c>
      <c r="FK186" s="18">
        <f>IFERROR(DF186/'McDonough &amp; Sun 1995 values'!AB$2,)</f>
        <v>0.23809523809523808</v>
      </c>
      <c r="FL186" s="18">
        <f>IFERROR(DG186/'McDonough &amp; Sun 1995 values'!AC$2,)</f>
        <v>0</v>
      </c>
      <c r="FN186" s="28">
        <f t="shared" si="458"/>
        <v>0</v>
      </c>
      <c r="FO186" s="4">
        <f t="shared" si="391"/>
        <v>3.7174724517906341</v>
      </c>
      <c r="FP186" s="4">
        <f t="shared" si="392"/>
        <v>126.29676217097601</v>
      </c>
      <c r="FQ186" s="4">
        <f t="shared" si="393"/>
        <v>9.5638650657518571</v>
      </c>
      <c r="FR186" s="4">
        <f t="shared" si="394"/>
        <v>0</v>
      </c>
      <c r="FS186" s="4">
        <f t="shared" si="395"/>
        <v>0</v>
      </c>
      <c r="FT186" s="4">
        <f t="shared" si="396"/>
        <v>0</v>
      </c>
      <c r="FU186" s="4">
        <f t="shared" si="397"/>
        <v>0</v>
      </c>
      <c r="FV186" s="4">
        <f t="shared" si="398"/>
        <v>3.4219308700834332E-2</v>
      </c>
      <c r="FW186" s="4">
        <f t="shared" si="399"/>
        <v>0.93079734219269106</v>
      </c>
      <c r="FX186" s="4">
        <f t="shared" si="400"/>
        <v>1.2555737261315107</v>
      </c>
      <c r="FY186" s="4">
        <f t="shared" si="401"/>
        <v>1.5501673732077148E-2</v>
      </c>
      <c r="FZ186" s="4">
        <f t="shared" si="402"/>
        <v>1.8585067412089598</v>
      </c>
      <c r="GA186" s="4">
        <f t="shared" si="403"/>
        <v>1.1460732955322468E-2</v>
      </c>
      <c r="GB186" s="4">
        <f t="shared" si="404"/>
        <v>0.72272185502221276</v>
      </c>
      <c r="GC186" s="4">
        <f t="shared" si="405"/>
        <v>0</v>
      </c>
      <c r="GD186" s="4">
        <f t="shared" si="406"/>
        <v>0.38869980141218013</v>
      </c>
      <c r="GE186" s="4">
        <f t="shared" si="407"/>
        <v>9.1217838765008583</v>
      </c>
      <c r="GF186" s="4">
        <f t="shared" si="408"/>
        <v>0</v>
      </c>
      <c r="GG186" s="4">
        <f t="shared" si="409"/>
        <v>49.091526374859718</v>
      </c>
      <c r="GH186" s="4">
        <f t="shared" si="410"/>
        <v>0</v>
      </c>
      <c r="GI186" s="4">
        <f t="shared" si="411"/>
        <v>0</v>
      </c>
      <c r="GJ186" s="4">
        <f t="shared" si="412"/>
        <v>0</v>
      </c>
      <c r="GK186" s="4">
        <f t="shared" si="413"/>
        <v>0</v>
      </c>
      <c r="GL186" s="4">
        <f t="shared" si="414"/>
        <v>1.26613245595415</v>
      </c>
      <c r="GM186" s="4">
        <f t="shared" si="415"/>
        <v>23.467426130295475</v>
      </c>
      <c r="GN186" s="4">
        <f t="shared" si="416"/>
        <v>0</v>
      </c>
      <c r="GO186" s="4">
        <f t="shared" si="417"/>
        <v>7.5725338491295938E-2</v>
      </c>
      <c r="GP186" s="4">
        <f t="shared" si="418"/>
        <v>0</v>
      </c>
      <c r="GQ186" s="27">
        <f t="shared" si="419"/>
        <v>152778.551838641</v>
      </c>
      <c r="GR186" s="28" t="str">
        <f t="shared" si="420"/>
        <v/>
      </c>
      <c r="GS186" s="28" t="str">
        <f t="shared" si="421"/>
        <v/>
      </c>
      <c r="GT186" s="28" t="str">
        <f t="shared" si="422"/>
        <v/>
      </c>
      <c r="GU186" s="28" t="str">
        <f t="shared" si="423"/>
        <v/>
      </c>
      <c r="GV186" s="28" t="str">
        <f t="shared" si="424"/>
        <v/>
      </c>
      <c r="GW186" s="28" t="str">
        <f t="shared" si="425"/>
        <v/>
      </c>
      <c r="GX186" s="28" t="str">
        <f t="shared" si="426"/>
        <v/>
      </c>
      <c r="GY186" s="28" t="str">
        <f t="shared" si="427"/>
        <v/>
      </c>
      <c r="GZ186" s="28" t="str">
        <f t="shared" si="428"/>
        <v/>
      </c>
      <c r="HA186" s="28" t="str">
        <f t="shared" si="429"/>
        <v/>
      </c>
      <c r="HB186" s="28" t="str">
        <f t="shared" si="430"/>
        <v/>
      </c>
      <c r="HC186" s="28" t="str">
        <f t="shared" si="431"/>
        <v/>
      </c>
      <c r="HD186" s="28" t="str">
        <f t="shared" si="432"/>
        <v/>
      </c>
      <c r="HE186" s="28" t="str">
        <f t="shared" si="433"/>
        <v/>
      </c>
      <c r="HF186" s="28" t="str">
        <f t="shared" si="434"/>
        <v/>
      </c>
      <c r="HG186" s="28" t="str">
        <f t="shared" si="435"/>
        <v/>
      </c>
      <c r="HH186" s="28" t="str">
        <f t="shared" si="436"/>
        <v/>
      </c>
      <c r="HI186" s="28" t="str">
        <f t="shared" si="437"/>
        <v/>
      </c>
      <c r="HJ186" s="28" t="str">
        <f t="shared" si="438"/>
        <v/>
      </c>
      <c r="HK186" s="28" t="str">
        <f t="shared" si="439"/>
        <v/>
      </c>
      <c r="HL186" s="28" t="str">
        <f t="shared" si="440"/>
        <v/>
      </c>
      <c r="HM186" s="28" t="str">
        <f t="shared" si="441"/>
        <v/>
      </c>
      <c r="HN186" s="28" t="str">
        <f t="shared" si="442"/>
        <v/>
      </c>
      <c r="HO186" s="28" t="str">
        <f t="shared" si="443"/>
        <v/>
      </c>
      <c r="HP186" s="28" t="str">
        <f t="shared" si="444"/>
        <v/>
      </c>
      <c r="HQ186" s="28" t="str">
        <f t="shared" si="445"/>
        <v/>
      </c>
      <c r="HR186" s="28" t="str">
        <f t="shared" si="446"/>
        <v/>
      </c>
      <c r="HT186" s="4">
        <f>IFERROR(GR186/'McDonough &amp; Sun 1995 values'!C$2,)</f>
        <v>0</v>
      </c>
      <c r="HU186" s="4">
        <f>IFERROR(GS186/'McDonough &amp; Sun 1995 values'!D$2,)</f>
        <v>0</v>
      </c>
      <c r="HV186" s="4">
        <f>IFERROR(GT186/'McDonough &amp; Sun 1995 values'!E$2,)</f>
        <v>0</v>
      </c>
      <c r="HW186" s="4">
        <f>IFERROR(GU186/'McDonough &amp; Sun 1995 values'!F$2,)</f>
        <v>0</v>
      </c>
      <c r="HX186" s="4">
        <f>IFERROR(GV186/'McDonough &amp; Sun 1995 values'!G$2,)</f>
        <v>0</v>
      </c>
      <c r="HY186" s="4">
        <f>IFERROR(GW186/'McDonough &amp; Sun 1995 values'!H$2,)</f>
        <v>0</v>
      </c>
      <c r="HZ186" s="4">
        <f>IFERROR(GX186/'McDonough &amp; Sun 1995 values'!I$2,)</f>
        <v>0</v>
      </c>
      <c r="IA186" s="4">
        <f>IFERROR(GY186/'McDonough &amp; Sun 1995 values'!J$2,)</f>
        <v>0</v>
      </c>
      <c r="IB186" s="4">
        <f>IFERROR(GZ186/'McDonough &amp; Sun 1995 values'!K$2,)</f>
        <v>0</v>
      </c>
      <c r="IC186" s="4">
        <f>IFERROR(HA186/'McDonough &amp; Sun 1995 values'!L$2,)</f>
        <v>0</v>
      </c>
      <c r="ID186" s="4">
        <f>IFERROR(HB186/'McDonough &amp; Sun 1995 values'!M$2,)</f>
        <v>0</v>
      </c>
      <c r="IE186" s="4">
        <f>IFERROR(HC186/'McDonough &amp; Sun 1995 values'!N$2,)</f>
        <v>0</v>
      </c>
      <c r="IF186" s="4">
        <f>IFERROR(HD186/'McDonough &amp; Sun 1995 values'!O$2,)</f>
        <v>0</v>
      </c>
      <c r="IG186" s="4">
        <f>IFERROR(HE186/'McDonough &amp; Sun 1995 values'!P$2,)</f>
        <v>0</v>
      </c>
      <c r="IH186" s="4">
        <f>IFERROR(HF186/'McDonough &amp; Sun 1995 values'!Q$2,)</f>
        <v>0</v>
      </c>
      <c r="II186" s="4">
        <f>IFERROR(HG186/'McDonough &amp; Sun 1995 values'!R$2,)</f>
        <v>0</v>
      </c>
      <c r="IJ186" s="4">
        <f>IFERROR(HH186/'McDonough &amp; Sun 1995 values'!S$2,)</f>
        <v>0</v>
      </c>
      <c r="IK186" s="4">
        <f>IFERROR(HI186/'McDonough &amp; Sun 1995 values'!T$2,)</f>
        <v>0</v>
      </c>
      <c r="IL186" s="4">
        <f>IFERROR(HJ186/'McDonough &amp; Sun 1995 values'!U$2,)</f>
        <v>0</v>
      </c>
      <c r="IM186" s="4">
        <f>IFERROR(HK186/'McDonough &amp; Sun 1995 values'!V$2,)</f>
        <v>0</v>
      </c>
      <c r="IN186" s="4">
        <f>IFERROR(HL186/'McDonough &amp; Sun 1995 values'!W$2,)</f>
        <v>0</v>
      </c>
      <c r="IO186" s="4">
        <f>IFERROR(HM186/'McDonough &amp; Sun 1995 values'!X$2,)</f>
        <v>0</v>
      </c>
      <c r="IP186" s="4">
        <f>IFERROR(HN186/'McDonough &amp; Sun 1995 values'!Y$2,)</f>
        <v>0</v>
      </c>
      <c r="IQ186" s="4">
        <f>IFERROR(HO186/'McDonough &amp; Sun 1995 values'!Z$2,)</f>
        <v>0</v>
      </c>
      <c r="IR186" s="4">
        <f>IFERROR(HP186/'McDonough &amp; Sun 1995 values'!AA$2,)</f>
        <v>0</v>
      </c>
      <c r="IS186" s="4">
        <f>IFERROR(HQ186/'McDonough &amp; Sun 1995 values'!AB$2,)</f>
        <v>0</v>
      </c>
      <c r="IT186" s="4">
        <f>IFERROR(HR186/'McDonough &amp; Sun 1995 values'!AC$2,)</f>
        <v>0</v>
      </c>
    </row>
    <row r="187" spans="1:254">
      <c r="A187" s="16" t="s">
        <v>1431</v>
      </c>
      <c r="B187" s="16" t="s">
        <v>24</v>
      </c>
      <c r="C187" s="16" t="str">
        <f t="shared" si="304"/>
        <v>silicic</v>
      </c>
      <c r="D187" s="16" t="s">
        <v>1722</v>
      </c>
      <c r="E187" s="16" t="s">
        <v>388</v>
      </c>
      <c r="F187" s="16" t="s">
        <v>342</v>
      </c>
      <c r="G187" s="16" t="s">
        <v>640</v>
      </c>
      <c r="H187" s="27">
        <v>71.3</v>
      </c>
      <c r="I187" s="16">
        <v>0</v>
      </c>
      <c r="J187" s="16" t="s">
        <v>1311</v>
      </c>
      <c r="K187" s="16" t="s">
        <v>115</v>
      </c>
      <c r="L187" s="16">
        <v>0</v>
      </c>
      <c r="M187" s="16" t="s">
        <v>1479</v>
      </c>
      <c r="N187" s="16">
        <v>25</v>
      </c>
      <c r="O187" s="26">
        <v>42.69</v>
      </c>
      <c r="P187" s="26">
        <v>1.78</v>
      </c>
      <c r="Q187" s="26"/>
      <c r="R187" s="26">
        <v>5.84</v>
      </c>
      <c r="S187" s="26">
        <v>9.7799999999999994</v>
      </c>
      <c r="T187" s="26">
        <v>2.99</v>
      </c>
      <c r="U187" s="26"/>
      <c r="V187" s="26">
        <v>8.92</v>
      </c>
      <c r="W187" s="26">
        <v>2.58</v>
      </c>
      <c r="X187" s="26">
        <v>16.14</v>
      </c>
      <c r="Y187" s="26"/>
      <c r="Z187" s="26">
        <v>4.79</v>
      </c>
      <c r="AA187" s="26"/>
      <c r="AB187" s="26"/>
      <c r="AC187" s="26"/>
      <c r="AD187" s="26">
        <v>4.49</v>
      </c>
      <c r="AE187" s="26"/>
      <c r="AF187" s="26"/>
      <c r="AG187" s="26"/>
      <c r="AH187" s="26"/>
      <c r="AI187" s="26">
        <v>16.850000000000001</v>
      </c>
      <c r="AJ187" s="26">
        <f t="shared" si="305"/>
        <v>100</v>
      </c>
      <c r="AK187" s="26">
        <f t="shared" si="447"/>
        <v>43.126987700479894</v>
      </c>
      <c r="AL187" s="26">
        <f t="shared" si="448"/>
        <v>1.7982206162298948</v>
      </c>
      <c r="AM187" s="26">
        <f t="shared" si="449"/>
        <v>5.8997799993160598</v>
      </c>
      <c r="AN187" s="26">
        <f t="shared" si="450"/>
        <v>9.8801110262518943</v>
      </c>
      <c r="AO187" s="26">
        <f t="shared" si="451"/>
        <v>3.0206065407457228</v>
      </c>
      <c r="AP187" s="26">
        <f t="shared" si="452"/>
        <v>9.0113078071745303</v>
      </c>
      <c r="AQ187" s="26">
        <f t="shared" si="453"/>
        <v>0</v>
      </c>
      <c r="AR187" s="26">
        <f t="shared" si="454"/>
        <v>2.6064096572320952</v>
      </c>
      <c r="AS187" s="26">
        <f t="shared" si="455"/>
        <v>16.305213902219386</v>
      </c>
      <c r="AT187" s="26">
        <f t="shared" si="456"/>
        <v>4.8390318830006729</v>
      </c>
      <c r="AU187" s="26">
        <f t="shared" si="457"/>
        <v>4.5359609926248474</v>
      </c>
      <c r="AV187" s="26">
        <f t="shared" si="306"/>
        <v>101.02363012527501</v>
      </c>
      <c r="AW187" s="93"/>
      <c r="AX187" s="93"/>
      <c r="AY187" s="93"/>
      <c r="AZ187" s="93"/>
      <c r="BA187" s="103"/>
      <c r="BB187" s="107"/>
      <c r="BC187" s="26"/>
      <c r="BD187" s="26"/>
      <c r="BE187" s="16"/>
      <c r="BF187" s="16"/>
      <c r="BG187" s="16"/>
      <c r="BH187" s="16"/>
      <c r="BI187" s="16"/>
      <c r="BJ187" s="16"/>
      <c r="BK187" s="16"/>
      <c r="BL187" s="16"/>
      <c r="BM187" s="16"/>
      <c r="BN187" s="16"/>
      <c r="BO187" s="16"/>
      <c r="BP187" s="16"/>
      <c r="BQ187" s="16"/>
      <c r="BR187" s="16"/>
      <c r="BS187" s="16"/>
      <c r="BT187" s="16">
        <v>64.405000000000001</v>
      </c>
      <c r="BU187" s="16"/>
      <c r="BV187" s="16"/>
      <c r="BW187" s="16"/>
      <c r="BX187" s="16"/>
      <c r="BY187" s="16"/>
      <c r="BZ187" s="16"/>
      <c r="CA187" s="16"/>
      <c r="CB187" s="16"/>
      <c r="CC187" s="16"/>
      <c r="CD187" s="16"/>
      <c r="CE187" s="16"/>
      <c r="CF187" s="16"/>
      <c r="CG187" s="16"/>
      <c r="CH187" s="16">
        <v>0.25600000000000001</v>
      </c>
      <c r="CI187" s="16">
        <v>5.0274999999999999</v>
      </c>
      <c r="CJ187" s="16">
        <v>0.318</v>
      </c>
      <c r="CK187" s="16">
        <v>0.72599999999999998</v>
      </c>
      <c r="CL187" s="16"/>
      <c r="CM187" s="16">
        <v>0.10150000000000001</v>
      </c>
      <c r="CN187" s="16"/>
      <c r="CO187" s="16"/>
      <c r="CP187" s="16"/>
      <c r="CQ187" s="16"/>
      <c r="CR187" s="16"/>
      <c r="CS187" s="16">
        <v>48.215000000000003</v>
      </c>
      <c r="CT187" s="16"/>
      <c r="CU187" s="16">
        <v>17.25</v>
      </c>
      <c r="CV187" s="16">
        <v>19.850000000000001</v>
      </c>
      <c r="CW187" s="16">
        <v>1.343</v>
      </c>
      <c r="CX187" s="16">
        <v>3.806</v>
      </c>
      <c r="CY187" s="16">
        <v>0.27900000000000003</v>
      </c>
      <c r="CZ187" s="16">
        <v>0.109</v>
      </c>
      <c r="DA187" s="16">
        <v>0.40699999999999997</v>
      </c>
      <c r="DB187" s="16">
        <v>0.1085</v>
      </c>
      <c r="DC187" s="16"/>
      <c r="DD187" s="16">
        <v>2.4E-2</v>
      </c>
      <c r="DE187" s="16"/>
      <c r="DF187" s="16">
        <v>6.7500000000000004E-2</v>
      </c>
      <c r="DG187" s="16">
        <v>4.1000000000000002E-2</v>
      </c>
      <c r="DH187" s="16">
        <v>2.6500000000000003E-2</v>
      </c>
      <c r="DI187" s="16"/>
      <c r="DJ187" s="16"/>
      <c r="DK187" s="16">
        <v>3.2894999999999999</v>
      </c>
      <c r="DL187" s="16">
        <v>0.38100000000000001</v>
      </c>
      <c r="DM187" s="16">
        <v>2.2499999999999999E-2</v>
      </c>
      <c r="DN187" s="16">
        <v>3.5999999999999997E-2</v>
      </c>
      <c r="DO187" s="16"/>
      <c r="DP187" s="16"/>
      <c r="DQ187" s="16"/>
      <c r="DR187" s="16"/>
      <c r="DS187" s="16"/>
      <c r="DT187" s="16"/>
      <c r="DU187" s="16"/>
      <c r="DV187" s="31">
        <f>AVERAGE('Excluded Analyses'!DW226:DW227)</f>
        <v>0.71223499999999995</v>
      </c>
      <c r="DW187" s="31">
        <f>AVERAGE('Excluded Analyses'!DX226:DX227)</f>
        <v>1.9000000000000001E-4</v>
      </c>
      <c r="DX187" s="31">
        <f>AVERAGE('Excluded Analyses'!DY226:DY227)</f>
        <v>0.71214500000000003</v>
      </c>
      <c r="DY187" s="31">
        <f>AVERAGE('Excluded Analyses'!DZ226:DZ227)</f>
        <v>0</v>
      </c>
      <c r="DZ187" s="31">
        <f>AVERAGE('Excluded Analyses'!EA226:EA227)</f>
        <v>109.175</v>
      </c>
      <c r="EA187" s="27"/>
      <c r="EB187" s="27"/>
      <c r="EC187" s="27"/>
      <c r="ED187" s="27"/>
      <c r="EE187" s="27"/>
      <c r="EF187" s="27"/>
      <c r="EG187" s="27"/>
      <c r="EH187" s="27"/>
      <c r="EI187" s="27"/>
      <c r="EJ187" s="16"/>
      <c r="EK187" s="18"/>
      <c r="EL187" s="18">
        <f>IFERROR(CR187/'McDonough &amp; Sun 1995 values'!C$2,)</f>
        <v>0</v>
      </c>
      <c r="EM187" s="18">
        <f>IFERROR(CH187/'McDonough &amp; Sun 1995 values'!D$2,)</f>
        <v>0.42666666666666669</v>
      </c>
      <c r="EN187" s="18">
        <f>IFERROR(CS187/'McDonough &amp; Sun 1995 values'!E$2,)</f>
        <v>7.3053030303030315</v>
      </c>
      <c r="EO187" s="18">
        <f>IFERROR(DL187/'McDonough &amp; Sun 1995 values'!F$2,)</f>
        <v>4.7924528301886795</v>
      </c>
      <c r="EP187" s="18">
        <f>IFERROR(DM187/'McDonough &amp; Sun 1995 values'!G$2,)</f>
        <v>1.1083743842364533</v>
      </c>
      <c r="EQ187" s="18">
        <f>IFERROR(BR187/'McDonough &amp; Sun 1995 values'!H$2,)</f>
        <v>0</v>
      </c>
      <c r="ER187" s="18">
        <f>IFERROR(DI187/'McDonough &amp; Sun 1995 values'!I$2,)</f>
        <v>0</v>
      </c>
      <c r="ES187" s="18">
        <f>IFERROR(CM187/'McDonough &amp; Sun 1995 values'!J$2,)</f>
        <v>0.15425531914893617</v>
      </c>
      <c r="ET187" s="18">
        <f>IFERROR(CU187/'McDonough &amp; Sun 1995 values'!K$2,)</f>
        <v>26.62037037037037</v>
      </c>
      <c r="EU187" s="18">
        <f>IFERROR(CV187/'McDonough &amp; Sun 1995 values'!L$2,)</f>
        <v>11.850746268656717</v>
      </c>
      <c r="EV187" s="18">
        <f>IFERROR(CW187/'McDonough &amp; Sun 1995 values'!M$2,)</f>
        <v>5.2874015748031491</v>
      </c>
      <c r="EW187" s="18">
        <f>IFERROR(CI187/'McDonough &amp; Sun 1995 values'!N$2,)</f>
        <v>0.25263819095477386</v>
      </c>
      <c r="EX187" s="18">
        <f>IFERROR(CX187/'McDonough &amp; Sun 1995 values'!O$2,)</f>
        <v>3.0448</v>
      </c>
      <c r="EY187" s="18">
        <f>IFERROR(CY187/'McDonough &amp; Sun 1995 values'!P$2,)</f>
        <v>0.68719211822660098</v>
      </c>
      <c r="EZ187" s="18">
        <f>IFERROR(DH187/'McDonough &amp; Sun 1995 values'!Q$2,)</f>
        <v>9.3639575971731462E-2</v>
      </c>
      <c r="FA187" s="18">
        <f>IFERROR(CK187/'McDonough &amp; Sun 1995 values'!R$2,)</f>
        <v>6.9142857142857145E-2</v>
      </c>
      <c r="FB187" s="18">
        <f>IFERROR(CZ187/'McDonough &amp; Sun 1995 values'!S$2,)</f>
        <v>0.70779220779220775</v>
      </c>
      <c r="FC187" s="18">
        <f>IFERROR(BT187/'McDonough &amp; Sun 1995 values'!T$2,)</f>
        <v>5.3448132780082987E-2</v>
      </c>
      <c r="FD187" s="18">
        <f>IFERROR(DA187/'McDonough &amp; Sun 1995 values'!U$2,)</f>
        <v>0.74816176470588225</v>
      </c>
      <c r="FE187" s="18">
        <f>IFERROR(DN187/'McDonough &amp; Sun 1995 values'!V$2,)</f>
        <v>0.36363636363636359</v>
      </c>
      <c r="FF187" s="18">
        <f>IFERROR(DB187/'McDonough &amp; Sun 1995 values'!W$2,)</f>
        <v>0.16097922848664686</v>
      </c>
      <c r="FG187" s="18">
        <f>IFERROR(CJ187/'McDonough &amp; Sun 1995 values'!X$2,)</f>
        <v>7.3953488372093021E-2</v>
      </c>
      <c r="FH187" s="18">
        <f>IFERROR(DC187/'McDonough &amp; Sun 1995 values'!Y$2,)</f>
        <v>0</v>
      </c>
      <c r="FI187" s="18">
        <f>IFERROR(DD187/'McDonough &amp; Sun 1995 values'!Z$2,)</f>
        <v>5.4794520547945209E-2</v>
      </c>
      <c r="FJ187" s="18">
        <f>IFERROR(DE187/'McDonough &amp; Sun 1995 values'!AA$2,)</f>
        <v>0</v>
      </c>
      <c r="FK187" s="18">
        <f>IFERROR(DF187/'McDonough &amp; Sun 1995 values'!AB$2,)</f>
        <v>0.15306122448979592</v>
      </c>
      <c r="FL187" s="18">
        <f>IFERROR(DG187/'McDonough &amp; Sun 1995 values'!AC$2,)</f>
        <v>0.6074074074074074</v>
      </c>
      <c r="FM187" s="16"/>
      <c r="FN187" s="28">
        <f t="shared" si="458"/>
        <v>0</v>
      </c>
      <c r="FO187" s="4">
        <f t="shared" si="391"/>
        <v>6.5910067340067346</v>
      </c>
      <c r="FP187" s="4">
        <f t="shared" si="392"/>
        <v>31.068314899154199</v>
      </c>
      <c r="FQ187" s="4">
        <f t="shared" si="393"/>
        <v>4.3238574423480083</v>
      </c>
      <c r="FR187" s="4">
        <f t="shared" si="394"/>
        <v>172.57343550446998</v>
      </c>
      <c r="FS187" s="4">
        <f t="shared" si="395"/>
        <v>0</v>
      </c>
      <c r="FT187" s="4">
        <f t="shared" si="396"/>
        <v>0</v>
      </c>
      <c r="FU187" s="4">
        <f t="shared" si="397"/>
        <v>0</v>
      </c>
      <c r="FV187" s="4">
        <f t="shared" si="398"/>
        <v>0.10061648745519713</v>
      </c>
      <c r="FW187" s="4">
        <f t="shared" si="399"/>
        <v>0.73839353099730454</v>
      </c>
      <c r="FX187" s="4">
        <f t="shared" si="400"/>
        <v>0.98622676429614842</v>
      </c>
      <c r="FY187" s="4">
        <f t="shared" si="401"/>
        <v>6.2964892954952126E-2</v>
      </c>
      <c r="FZ187" s="4">
        <f t="shared" si="402"/>
        <v>0.98711769587136122</v>
      </c>
      <c r="GA187" s="4">
        <f t="shared" si="403"/>
        <v>4.778116195272715E-2</v>
      </c>
      <c r="GB187" s="4">
        <f t="shared" si="404"/>
        <v>1.0299771912675137</v>
      </c>
      <c r="GC187" s="4">
        <f t="shared" si="405"/>
        <v>0</v>
      </c>
      <c r="GD187" s="4">
        <f t="shared" si="406"/>
        <v>1.5243348842758293</v>
      </c>
      <c r="GE187" s="4">
        <f t="shared" si="407"/>
        <v>17.12180397727273</v>
      </c>
      <c r="GF187" s="4">
        <f t="shared" si="408"/>
        <v>0</v>
      </c>
      <c r="GG187" s="4">
        <f t="shared" si="409"/>
        <v>47.358516196447241</v>
      </c>
      <c r="GH187" s="4">
        <f t="shared" si="410"/>
        <v>5.0346791318496464</v>
      </c>
      <c r="GI187" s="4">
        <f t="shared" si="411"/>
        <v>38.737886632151863</v>
      </c>
      <c r="GJ187" s="4">
        <f t="shared" si="412"/>
        <v>165.36525004266943</v>
      </c>
      <c r="GK187" s="4">
        <f t="shared" si="413"/>
        <v>173.91975308641975</v>
      </c>
      <c r="GL187" s="4">
        <f t="shared" si="414"/>
        <v>1.2936440161034526</v>
      </c>
      <c r="GM187" s="4">
        <f t="shared" si="415"/>
        <v>11.232311320754716</v>
      </c>
      <c r="GN187" s="4">
        <f t="shared" si="416"/>
        <v>5.7946345975948199E-3</v>
      </c>
      <c r="GO187" s="4">
        <f t="shared" si="417"/>
        <v>0.13917257683215128</v>
      </c>
      <c r="GP187" s="4">
        <f t="shared" si="418"/>
        <v>0</v>
      </c>
      <c r="GQ187" s="27">
        <f t="shared" si="419"/>
        <v>135355.66321511669</v>
      </c>
      <c r="GR187" s="28" t="str">
        <f t="shared" si="420"/>
        <v/>
      </c>
      <c r="GS187" s="28" t="str">
        <f t="shared" si="421"/>
        <v/>
      </c>
      <c r="GT187" s="28" t="str">
        <f t="shared" si="422"/>
        <v/>
      </c>
      <c r="GU187" s="28" t="str">
        <f t="shared" si="423"/>
        <v/>
      </c>
      <c r="GV187" s="28" t="str">
        <f t="shared" si="424"/>
        <v/>
      </c>
      <c r="GW187" s="28" t="str">
        <f t="shared" si="425"/>
        <v/>
      </c>
      <c r="GX187" s="28" t="str">
        <f t="shared" si="426"/>
        <v/>
      </c>
      <c r="GY187" s="28" t="str">
        <f t="shared" si="427"/>
        <v/>
      </c>
      <c r="GZ187" s="28" t="str">
        <f t="shared" si="428"/>
        <v/>
      </c>
      <c r="HA187" s="28" t="str">
        <f t="shared" si="429"/>
        <v/>
      </c>
      <c r="HB187" s="28" t="str">
        <f t="shared" si="430"/>
        <v/>
      </c>
      <c r="HC187" s="28" t="str">
        <f t="shared" si="431"/>
        <v/>
      </c>
      <c r="HD187" s="28" t="str">
        <f t="shared" si="432"/>
        <v/>
      </c>
      <c r="HE187" s="28" t="str">
        <f t="shared" si="433"/>
        <v/>
      </c>
      <c r="HF187" s="28" t="str">
        <f t="shared" si="434"/>
        <v/>
      </c>
      <c r="HG187" s="28" t="str">
        <f t="shared" si="435"/>
        <v/>
      </c>
      <c r="HH187" s="28" t="str">
        <f t="shared" si="436"/>
        <v/>
      </c>
      <c r="HI187" s="28" t="str">
        <f t="shared" si="437"/>
        <v/>
      </c>
      <c r="HJ187" s="28" t="str">
        <f t="shared" si="438"/>
        <v/>
      </c>
      <c r="HK187" s="28" t="str">
        <f t="shared" si="439"/>
        <v/>
      </c>
      <c r="HL187" s="28" t="str">
        <f t="shared" si="440"/>
        <v/>
      </c>
      <c r="HM187" s="28" t="str">
        <f t="shared" si="441"/>
        <v/>
      </c>
      <c r="HN187" s="28" t="str">
        <f t="shared" si="442"/>
        <v/>
      </c>
      <c r="HO187" s="28" t="str">
        <f t="shared" si="443"/>
        <v/>
      </c>
      <c r="HP187" s="28" t="str">
        <f t="shared" si="444"/>
        <v/>
      </c>
      <c r="HQ187" s="28" t="str">
        <f t="shared" si="445"/>
        <v/>
      </c>
      <c r="HR187" s="28" t="str">
        <f t="shared" si="446"/>
        <v/>
      </c>
      <c r="HT187" s="4">
        <f>IFERROR(GR187/'McDonough &amp; Sun 1995 values'!C$2,)</f>
        <v>0</v>
      </c>
      <c r="HU187" s="4">
        <f>IFERROR(GS187/'McDonough &amp; Sun 1995 values'!D$2,)</f>
        <v>0</v>
      </c>
      <c r="HV187" s="4">
        <f>IFERROR(GT187/'McDonough &amp; Sun 1995 values'!E$2,)</f>
        <v>0</v>
      </c>
      <c r="HW187" s="4">
        <f>IFERROR(GU187/'McDonough &amp; Sun 1995 values'!F$2,)</f>
        <v>0</v>
      </c>
      <c r="HX187" s="4">
        <f>IFERROR(GV187/'McDonough &amp; Sun 1995 values'!G$2,)</f>
        <v>0</v>
      </c>
      <c r="HY187" s="4">
        <f>IFERROR(GW187/'McDonough &amp; Sun 1995 values'!H$2,)</f>
        <v>0</v>
      </c>
      <c r="HZ187" s="4">
        <f>IFERROR(GX187/'McDonough &amp; Sun 1995 values'!I$2,)</f>
        <v>0</v>
      </c>
      <c r="IA187" s="4">
        <f>IFERROR(GY187/'McDonough &amp; Sun 1995 values'!J$2,)</f>
        <v>0</v>
      </c>
      <c r="IB187" s="4">
        <f>IFERROR(GZ187/'McDonough &amp; Sun 1995 values'!K$2,)</f>
        <v>0</v>
      </c>
      <c r="IC187" s="4">
        <f>IFERROR(HA187/'McDonough &amp; Sun 1995 values'!L$2,)</f>
        <v>0</v>
      </c>
      <c r="ID187" s="4">
        <f>IFERROR(HB187/'McDonough &amp; Sun 1995 values'!M$2,)</f>
        <v>0</v>
      </c>
      <c r="IE187" s="4">
        <f>IFERROR(HC187/'McDonough &amp; Sun 1995 values'!N$2,)</f>
        <v>0</v>
      </c>
      <c r="IF187" s="4">
        <f>IFERROR(HD187/'McDonough &amp; Sun 1995 values'!O$2,)</f>
        <v>0</v>
      </c>
      <c r="IG187" s="4">
        <f>IFERROR(HE187/'McDonough &amp; Sun 1995 values'!P$2,)</f>
        <v>0</v>
      </c>
      <c r="IH187" s="4">
        <f>IFERROR(HF187/'McDonough &amp; Sun 1995 values'!Q$2,)</f>
        <v>0</v>
      </c>
      <c r="II187" s="4">
        <f>IFERROR(HG187/'McDonough &amp; Sun 1995 values'!R$2,)</f>
        <v>0</v>
      </c>
      <c r="IJ187" s="4">
        <f>IFERROR(HH187/'McDonough &amp; Sun 1995 values'!S$2,)</f>
        <v>0</v>
      </c>
      <c r="IK187" s="4">
        <f>IFERROR(HI187/'McDonough &amp; Sun 1995 values'!T$2,)</f>
        <v>0</v>
      </c>
      <c r="IL187" s="4">
        <f>IFERROR(HJ187/'McDonough &amp; Sun 1995 values'!U$2,)</f>
        <v>0</v>
      </c>
      <c r="IM187" s="4">
        <f>IFERROR(HK187/'McDonough &amp; Sun 1995 values'!V$2,)</f>
        <v>0</v>
      </c>
      <c r="IN187" s="4">
        <f>IFERROR(HL187/'McDonough &amp; Sun 1995 values'!W$2,)</f>
        <v>0</v>
      </c>
      <c r="IO187" s="4">
        <f>IFERROR(HM187/'McDonough &amp; Sun 1995 values'!X$2,)</f>
        <v>0</v>
      </c>
      <c r="IP187" s="4">
        <f>IFERROR(HN187/'McDonough &amp; Sun 1995 values'!Y$2,)</f>
        <v>0</v>
      </c>
      <c r="IQ187" s="4">
        <f>IFERROR(HO187/'McDonough &amp; Sun 1995 values'!Z$2,)</f>
        <v>0</v>
      </c>
      <c r="IR187" s="4">
        <f>IFERROR(HP187/'McDonough &amp; Sun 1995 values'!AA$2,)</f>
        <v>0</v>
      </c>
      <c r="IS187" s="4">
        <f>IFERROR(HQ187/'McDonough &amp; Sun 1995 values'!AB$2,)</f>
        <v>0</v>
      </c>
      <c r="IT187" s="4">
        <f>IFERROR(HR187/'McDonough &amp; Sun 1995 values'!AC$2,)</f>
        <v>0</v>
      </c>
    </row>
    <row r="188" spans="1:254">
      <c r="A188" s="16" t="s">
        <v>846</v>
      </c>
      <c r="B188" s="16" t="s">
        <v>24</v>
      </c>
      <c r="C188" s="16" t="str">
        <f t="shared" si="304"/>
        <v>silicic</v>
      </c>
      <c r="D188" s="16" t="s">
        <v>1722</v>
      </c>
      <c r="E188" s="16" t="s">
        <v>388</v>
      </c>
      <c r="F188" s="16" t="s">
        <v>1789</v>
      </c>
      <c r="G188" s="16" t="s">
        <v>640</v>
      </c>
      <c r="H188" s="27">
        <v>0</v>
      </c>
      <c r="I188" s="16" t="s">
        <v>1148</v>
      </c>
      <c r="J188" s="16">
        <v>0</v>
      </c>
      <c r="K188" s="16">
        <v>0</v>
      </c>
      <c r="L188" s="16">
        <v>0</v>
      </c>
      <c r="M188" s="16" t="s">
        <v>515</v>
      </c>
      <c r="N188" s="16">
        <v>14</v>
      </c>
      <c r="O188" s="26">
        <v>45.81</v>
      </c>
      <c r="P188" s="26">
        <v>2.63</v>
      </c>
      <c r="Q188" s="26"/>
      <c r="R188" s="26">
        <v>7.07</v>
      </c>
      <c r="S188" s="26">
        <v>11.37</v>
      </c>
      <c r="T188" s="26">
        <v>7.27</v>
      </c>
      <c r="U188" s="26"/>
      <c r="V188" s="26">
        <v>4.95</v>
      </c>
      <c r="W188" s="26">
        <v>2.85</v>
      </c>
      <c r="X188" s="26">
        <v>13.66</v>
      </c>
      <c r="Y188" s="26"/>
      <c r="Z188" s="26">
        <v>3.46</v>
      </c>
      <c r="AA188" s="26"/>
      <c r="AB188" s="26"/>
      <c r="AC188" s="26"/>
      <c r="AD188" s="26">
        <v>0.93</v>
      </c>
      <c r="AE188" s="26"/>
      <c r="AF188" s="26"/>
      <c r="AG188" s="26"/>
      <c r="AH188" s="26"/>
      <c r="AI188" s="26">
        <v>16.170000000000002</v>
      </c>
      <c r="AJ188" s="26">
        <f t="shared" si="305"/>
        <v>100</v>
      </c>
      <c r="AK188" s="26">
        <f t="shared" si="447"/>
        <v>45.906345051391355</v>
      </c>
      <c r="AL188" s="26">
        <f t="shared" si="448"/>
        <v>2.6355312701410014</v>
      </c>
      <c r="AM188" s="26">
        <f t="shared" si="449"/>
        <v>7.0848692318999538</v>
      </c>
      <c r="AN188" s="26">
        <f t="shared" si="450"/>
        <v>11.393912753423264</v>
      </c>
      <c r="AO188" s="26">
        <f t="shared" si="451"/>
        <v>7.2852898608080139</v>
      </c>
      <c r="AP188" s="26">
        <f t="shared" si="452"/>
        <v>4.9604105654745076</v>
      </c>
      <c r="AQ188" s="26">
        <f t="shared" si="453"/>
        <v>0</v>
      </c>
      <c r="AR188" s="26">
        <f t="shared" si="454"/>
        <v>2.8559939619398684</v>
      </c>
      <c r="AS188" s="26">
        <f t="shared" si="455"/>
        <v>13.688728954420561</v>
      </c>
      <c r="AT188" s="26">
        <f t="shared" si="456"/>
        <v>3.4672768801094538</v>
      </c>
      <c r="AU188" s="26">
        <f t="shared" si="457"/>
        <v>0.93195592442248332</v>
      </c>
      <c r="AV188" s="26">
        <f t="shared" si="306"/>
        <v>100.21031445403047</v>
      </c>
      <c r="AW188" s="16"/>
      <c r="AX188" s="16"/>
      <c r="AY188" s="16"/>
      <c r="AZ188" s="16"/>
      <c r="BA188" s="26"/>
      <c r="BB188" s="26"/>
      <c r="BC188" s="26"/>
      <c r="BD188" s="26"/>
      <c r="BE188" s="25">
        <v>-5.4</v>
      </c>
      <c r="BF188" s="16"/>
      <c r="BG188" s="16">
        <v>970</v>
      </c>
      <c r="BH188" s="16"/>
      <c r="BI188" s="16"/>
      <c r="BJ188" s="16"/>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28"/>
      <c r="DW188" s="28"/>
      <c r="DX188" s="28"/>
      <c r="DY188" s="28"/>
      <c r="DZ188" s="28"/>
      <c r="EA188" s="28"/>
      <c r="EB188" s="28"/>
      <c r="EC188" s="28"/>
      <c r="ED188" s="28"/>
      <c r="EE188" s="28"/>
      <c r="EF188" s="28"/>
      <c r="EG188" s="28"/>
      <c r="EH188" s="28"/>
      <c r="EI188" s="28"/>
      <c r="EJ188" s="18"/>
      <c r="EK188" s="18"/>
      <c r="EL188" s="18">
        <f>IFERROR(CR188/'McDonough &amp; Sun 1995 values'!C$2,)</f>
        <v>0</v>
      </c>
      <c r="EM188" s="18">
        <f>IFERROR(CH188/'McDonough &amp; Sun 1995 values'!D$2,)</f>
        <v>0</v>
      </c>
      <c r="EN188" s="18">
        <f>IFERROR(CS188/'McDonough &amp; Sun 1995 values'!E$2,)</f>
        <v>0</v>
      </c>
      <c r="EO188" s="18">
        <f>IFERROR(DL188/'McDonough &amp; Sun 1995 values'!F$2,)</f>
        <v>0</v>
      </c>
      <c r="EP188" s="18">
        <f>IFERROR(DM188/'McDonough &amp; Sun 1995 values'!G$2,)</f>
        <v>0</v>
      </c>
      <c r="EQ188" s="18">
        <f>IFERROR(BR188/'McDonough &amp; Sun 1995 values'!H$2,)</f>
        <v>0</v>
      </c>
      <c r="ER188" s="18">
        <f>IFERROR(DI188/'McDonough &amp; Sun 1995 values'!I$2,)</f>
        <v>0</v>
      </c>
      <c r="ES188" s="18">
        <f>IFERROR(CM188/'McDonough &amp; Sun 1995 values'!J$2,)</f>
        <v>0</v>
      </c>
      <c r="ET188" s="18">
        <f>IFERROR(CU188/'McDonough &amp; Sun 1995 values'!K$2,)</f>
        <v>0</v>
      </c>
      <c r="EU188" s="18">
        <f>IFERROR(CV188/'McDonough &amp; Sun 1995 values'!L$2,)</f>
        <v>0</v>
      </c>
      <c r="EV188" s="18">
        <f>IFERROR(CW188/'McDonough &amp; Sun 1995 values'!M$2,)</f>
        <v>0</v>
      </c>
      <c r="EW188" s="18">
        <f>IFERROR(CI188/'McDonough &amp; Sun 1995 values'!N$2,)</f>
        <v>0</v>
      </c>
      <c r="EX188" s="18">
        <f>IFERROR(CX188/'McDonough &amp; Sun 1995 values'!O$2,)</f>
        <v>0</v>
      </c>
      <c r="EY188" s="18">
        <f>IFERROR(CY188/'McDonough &amp; Sun 1995 values'!P$2,)</f>
        <v>0</v>
      </c>
      <c r="EZ188" s="18">
        <f>IFERROR(DH188/'McDonough &amp; Sun 1995 values'!Q$2,)</f>
        <v>0</v>
      </c>
      <c r="FA188" s="18">
        <f>IFERROR(CK188/'McDonough &amp; Sun 1995 values'!R$2,)</f>
        <v>0</v>
      </c>
      <c r="FB188" s="18">
        <f>IFERROR(CZ188/'McDonough &amp; Sun 1995 values'!S$2,)</f>
        <v>0</v>
      </c>
      <c r="FC188" s="18">
        <f>IFERROR(BT188/'McDonough &amp; Sun 1995 values'!T$2,)</f>
        <v>0</v>
      </c>
      <c r="FD188" s="18">
        <f>IFERROR(DA188/'McDonough &amp; Sun 1995 values'!U$2,)</f>
        <v>0</v>
      </c>
      <c r="FE188" s="18">
        <f>IFERROR(DN188/'McDonough &amp; Sun 1995 values'!V$2,)</f>
        <v>0</v>
      </c>
      <c r="FF188" s="18">
        <f>IFERROR(DB188/'McDonough &amp; Sun 1995 values'!W$2,)</f>
        <v>0</v>
      </c>
      <c r="FG188" s="18">
        <f>IFERROR(CJ188/'McDonough &amp; Sun 1995 values'!X$2,)</f>
        <v>0</v>
      </c>
      <c r="FH188" s="18">
        <f>IFERROR(DC188/'McDonough &amp; Sun 1995 values'!Y$2,)</f>
        <v>0</v>
      </c>
      <c r="FI188" s="18">
        <f>IFERROR(DD188/'McDonough &amp; Sun 1995 values'!Z$2,)</f>
        <v>0</v>
      </c>
      <c r="FJ188" s="18">
        <f>IFERROR(DE188/'McDonough &amp; Sun 1995 values'!AA$2,)</f>
        <v>0</v>
      </c>
      <c r="FK188" s="18">
        <f>IFERROR(DF188/'McDonough &amp; Sun 1995 values'!AB$2,)</f>
        <v>0</v>
      </c>
      <c r="FL188" s="18">
        <f>IFERROR(DG188/'McDonough &amp; Sun 1995 values'!AC$2,)</f>
        <v>0</v>
      </c>
      <c r="FN188" s="28">
        <f t="shared" si="458"/>
        <v>0</v>
      </c>
      <c r="FO188" s="4">
        <f t="shared" si="391"/>
        <v>0</v>
      </c>
      <c r="FP188" s="4">
        <f t="shared" si="392"/>
        <v>0</v>
      </c>
      <c r="FQ188" s="4">
        <f t="shared" si="393"/>
        <v>0</v>
      </c>
      <c r="FR188" s="4">
        <f t="shared" si="394"/>
        <v>0</v>
      </c>
      <c r="FS188" s="4">
        <f t="shared" si="395"/>
        <v>0</v>
      </c>
      <c r="FT188" s="4">
        <f t="shared" si="396"/>
        <v>0</v>
      </c>
      <c r="FU188" s="4">
        <f t="shared" si="397"/>
        <v>0</v>
      </c>
      <c r="FV188" s="4">
        <f t="shared" si="398"/>
        <v>0</v>
      </c>
      <c r="FW188" s="4">
        <f t="shared" si="399"/>
        <v>0</v>
      </c>
      <c r="FX188" s="4">
        <f t="shared" si="400"/>
        <v>0</v>
      </c>
      <c r="FY188" s="4">
        <f t="shared" si="401"/>
        <v>0</v>
      </c>
      <c r="FZ188" s="4">
        <f t="shared" si="402"/>
        <v>0</v>
      </c>
      <c r="GA188" s="4">
        <f t="shared" si="403"/>
        <v>0</v>
      </c>
      <c r="GB188" s="4">
        <f t="shared" si="404"/>
        <v>0</v>
      </c>
      <c r="GC188" s="4">
        <f t="shared" si="405"/>
        <v>0</v>
      </c>
      <c r="GD188" s="4">
        <f t="shared" si="406"/>
        <v>0</v>
      </c>
      <c r="GE188" s="4">
        <f t="shared" si="407"/>
        <v>0</v>
      </c>
      <c r="GF188" s="4">
        <f t="shared" si="408"/>
        <v>0</v>
      </c>
      <c r="GG188" s="4">
        <f t="shared" si="409"/>
        <v>0</v>
      </c>
      <c r="GH188" s="4">
        <f t="shared" si="410"/>
        <v>0</v>
      </c>
      <c r="GI188" s="4">
        <f t="shared" si="411"/>
        <v>0</v>
      </c>
      <c r="GJ188" s="4">
        <f t="shared" si="412"/>
        <v>0</v>
      </c>
      <c r="GK188" s="4">
        <f t="shared" si="413"/>
        <v>0</v>
      </c>
      <c r="GL188" s="4">
        <f t="shared" si="414"/>
        <v>0</v>
      </c>
      <c r="GM188" s="4">
        <f t="shared" si="415"/>
        <v>0</v>
      </c>
      <c r="GN188" s="4">
        <f t="shared" si="416"/>
        <v>0</v>
      </c>
      <c r="GO188" s="4">
        <f t="shared" si="417"/>
        <v>0</v>
      </c>
      <c r="GP188" s="4">
        <f t="shared" si="418"/>
        <v>0</v>
      </c>
      <c r="GQ188" s="27">
        <f t="shared" si="419"/>
        <v>113635.24559131147</v>
      </c>
      <c r="GR188" s="28" t="str">
        <f t="shared" si="420"/>
        <v/>
      </c>
      <c r="GS188" s="28" t="str">
        <f t="shared" si="421"/>
        <v/>
      </c>
      <c r="GT188" s="28" t="str">
        <f t="shared" si="422"/>
        <v/>
      </c>
      <c r="GU188" s="28" t="str">
        <f t="shared" si="423"/>
        <v/>
      </c>
      <c r="GV188" s="28" t="str">
        <f t="shared" si="424"/>
        <v/>
      </c>
      <c r="GW188" s="28" t="str">
        <f t="shared" si="425"/>
        <v/>
      </c>
      <c r="GX188" s="28" t="str">
        <f t="shared" si="426"/>
        <v/>
      </c>
      <c r="GY188" s="28" t="str">
        <f t="shared" si="427"/>
        <v/>
      </c>
      <c r="GZ188" s="28" t="str">
        <f t="shared" si="428"/>
        <v/>
      </c>
      <c r="HA188" s="28" t="str">
        <f t="shared" si="429"/>
        <v/>
      </c>
      <c r="HB188" s="28" t="str">
        <f t="shared" si="430"/>
        <v/>
      </c>
      <c r="HC188" s="28" t="str">
        <f t="shared" si="431"/>
        <v/>
      </c>
      <c r="HD188" s="28" t="str">
        <f t="shared" si="432"/>
        <v/>
      </c>
      <c r="HE188" s="28" t="str">
        <f t="shared" si="433"/>
        <v/>
      </c>
      <c r="HF188" s="28" t="str">
        <f t="shared" si="434"/>
        <v/>
      </c>
      <c r="HG188" s="28" t="str">
        <f t="shared" si="435"/>
        <v/>
      </c>
      <c r="HH188" s="28" t="str">
        <f t="shared" si="436"/>
        <v/>
      </c>
      <c r="HI188" s="28" t="str">
        <f t="shared" si="437"/>
        <v/>
      </c>
      <c r="HJ188" s="28" t="str">
        <f t="shared" si="438"/>
        <v/>
      </c>
      <c r="HK188" s="28" t="str">
        <f t="shared" si="439"/>
        <v/>
      </c>
      <c r="HL188" s="28" t="str">
        <f t="shared" si="440"/>
        <v/>
      </c>
      <c r="HM188" s="28" t="str">
        <f t="shared" si="441"/>
        <v/>
      </c>
      <c r="HN188" s="28" t="str">
        <f t="shared" si="442"/>
        <v/>
      </c>
      <c r="HO188" s="28" t="str">
        <f t="shared" si="443"/>
        <v/>
      </c>
      <c r="HP188" s="28" t="str">
        <f t="shared" si="444"/>
        <v/>
      </c>
      <c r="HQ188" s="28" t="str">
        <f t="shared" si="445"/>
        <v/>
      </c>
      <c r="HR188" s="28" t="str">
        <f t="shared" si="446"/>
        <v/>
      </c>
      <c r="HT188" s="4">
        <f>IFERROR(GR188/'McDonough &amp; Sun 1995 values'!C$2,)</f>
        <v>0</v>
      </c>
      <c r="HU188" s="4">
        <f>IFERROR(GS188/'McDonough &amp; Sun 1995 values'!D$2,)</f>
        <v>0</v>
      </c>
      <c r="HV188" s="4">
        <f>IFERROR(GT188/'McDonough &amp; Sun 1995 values'!E$2,)</f>
        <v>0</v>
      </c>
      <c r="HW188" s="4">
        <f>IFERROR(GU188/'McDonough &amp; Sun 1995 values'!F$2,)</f>
        <v>0</v>
      </c>
      <c r="HX188" s="4">
        <f>IFERROR(GV188/'McDonough &amp; Sun 1995 values'!G$2,)</f>
        <v>0</v>
      </c>
      <c r="HY188" s="4">
        <f>IFERROR(GW188/'McDonough &amp; Sun 1995 values'!H$2,)</f>
        <v>0</v>
      </c>
      <c r="HZ188" s="4">
        <f>IFERROR(GX188/'McDonough &amp; Sun 1995 values'!I$2,)</f>
        <v>0</v>
      </c>
      <c r="IA188" s="4">
        <f>IFERROR(GY188/'McDonough &amp; Sun 1995 values'!J$2,)</f>
        <v>0</v>
      </c>
      <c r="IB188" s="4">
        <f>IFERROR(GZ188/'McDonough &amp; Sun 1995 values'!K$2,)</f>
        <v>0</v>
      </c>
      <c r="IC188" s="4">
        <f>IFERROR(HA188/'McDonough &amp; Sun 1995 values'!L$2,)</f>
        <v>0</v>
      </c>
      <c r="ID188" s="4">
        <f>IFERROR(HB188/'McDonough &amp; Sun 1995 values'!M$2,)</f>
        <v>0</v>
      </c>
      <c r="IE188" s="4">
        <f>IFERROR(HC188/'McDonough &amp; Sun 1995 values'!N$2,)</f>
        <v>0</v>
      </c>
      <c r="IF188" s="4">
        <f>IFERROR(HD188/'McDonough &amp; Sun 1995 values'!O$2,)</f>
        <v>0</v>
      </c>
      <c r="IG188" s="4">
        <f>IFERROR(HE188/'McDonough &amp; Sun 1995 values'!P$2,)</f>
        <v>0</v>
      </c>
      <c r="IH188" s="4">
        <f>IFERROR(HF188/'McDonough &amp; Sun 1995 values'!Q$2,)</f>
        <v>0</v>
      </c>
      <c r="II188" s="4">
        <f>IFERROR(HG188/'McDonough &amp; Sun 1995 values'!R$2,)</f>
        <v>0</v>
      </c>
      <c r="IJ188" s="4">
        <f>IFERROR(HH188/'McDonough &amp; Sun 1995 values'!S$2,)</f>
        <v>0</v>
      </c>
      <c r="IK188" s="4">
        <f>IFERROR(HI188/'McDonough &amp; Sun 1995 values'!T$2,)</f>
        <v>0</v>
      </c>
      <c r="IL188" s="4">
        <f>IFERROR(HJ188/'McDonough &amp; Sun 1995 values'!U$2,)</f>
        <v>0</v>
      </c>
      <c r="IM188" s="4">
        <f>IFERROR(HK188/'McDonough &amp; Sun 1995 values'!V$2,)</f>
        <v>0</v>
      </c>
      <c r="IN188" s="4">
        <f>IFERROR(HL188/'McDonough &amp; Sun 1995 values'!W$2,)</f>
        <v>0</v>
      </c>
      <c r="IO188" s="4">
        <f>IFERROR(HM188/'McDonough &amp; Sun 1995 values'!X$2,)</f>
        <v>0</v>
      </c>
      <c r="IP188" s="4">
        <f>IFERROR(HN188/'McDonough &amp; Sun 1995 values'!Y$2,)</f>
        <v>0</v>
      </c>
      <c r="IQ188" s="4">
        <f>IFERROR(HO188/'McDonough &amp; Sun 1995 values'!Z$2,)</f>
        <v>0</v>
      </c>
      <c r="IR188" s="4">
        <f>IFERROR(HP188/'McDonough &amp; Sun 1995 values'!AA$2,)</f>
        <v>0</v>
      </c>
      <c r="IS188" s="4">
        <f>IFERROR(HQ188/'McDonough &amp; Sun 1995 values'!AB$2,)</f>
        <v>0</v>
      </c>
      <c r="IT188" s="4">
        <f>IFERROR(HR188/'McDonough &amp; Sun 1995 values'!AC$2,)</f>
        <v>0</v>
      </c>
    </row>
    <row r="189" spans="1:254">
      <c r="A189" s="16" t="s">
        <v>846</v>
      </c>
      <c r="B189" s="16" t="s">
        <v>24</v>
      </c>
      <c r="C189" s="16" t="str">
        <f t="shared" si="304"/>
        <v>silicic</v>
      </c>
      <c r="D189" s="16" t="s">
        <v>1722</v>
      </c>
      <c r="E189" s="16" t="s">
        <v>388</v>
      </c>
      <c r="F189" s="16" t="s">
        <v>1789</v>
      </c>
      <c r="G189" s="16" t="s">
        <v>640</v>
      </c>
      <c r="H189" s="27">
        <v>0</v>
      </c>
      <c r="I189" s="16" t="s">
        <v>1148</v>
      </c>
      <c r="J189" s="16">
        <v>0</v>
      </c>
      <c r="K189" s="16">
        <v>0</v>
      </c>
      <c r="L189" s="16">
        <v>0</v>
      </c>
      <c r="M189" s="16" t="s">
        <v>521</v>
      </c>
      <c r="N189" s="16">
        <v>10</v>
      </c>
      <c r="O189" s="26">
        <v>39.92</v>
      </c>
      <c r="P189" s="26">
        <v>1.34</v>
      </c>
      <c r="Q189" s="26"/>
      <c r="R189" s="26">
        <v>6.55</v>
      </c>
      <c r="S189" s="26">
        <v>10.42</v>
      </c>
      <c r="T189" s="26">
        <v>6.43</v>
      </c>
      <c r="U189" s="26"/>
      <c r="V189" s="26">
        <v>9.6199999999999992</v>
      </c>
      <c r="W189" s="26">
        <v>7.48</v>
      </c>
      <c r="X189" s="26">
        <v>8.9600000000000009</v>
      </c>
      <c r="Y189" s="26"/>
      <c r="Z189" s="26">
        <v>6.84</v>
      </c>
      <c r="AA189" s="26"/>
      <c r="AB189" s="26"/>
      <c r="AC189" s="26"/>
      <c r="AD189" s="26">
        <v>2.46</v>
      </c>
      <c r="AE189" s="26"/>
      <c r="AF189" s="26"/>
      <c r="AG189" s="26"/>
      <c r="AH189" s="26"/>
      <c r="AI189" s="26">
        <v>14.9</v>
      </c>
      <c r="AJ189" s="26">
        <f t="shared" si="305"/>
        <v>100.02</v>
      </c>
      <c r="AK189" s="26">
        <f t="shared" si="447"/>
        <v>40.134780513716706</v>
      </c>
      <c r="AL189" s="26">
        <f t="shared" si="448"/>
        <v>1.3472095663421941</v>
      </c>
      <c r="AM189" s="26">
        <f t="shared" si="449"/>
        <v>6.5852407907025148</v>
      </c>
      <c r="AN189" s="26">
        <f t="shared" si="450"/>
        <v>10.476062448720642</v>
      </c>
      <c r="AO189" s="26">
        <f t="shared" si="451"/>
        <v>6.4645951578957517</v>
      </c>
      <c r="AP189" s="26">
        <f t="shared" si="452"/>
        <v>9.6717582300088853</v>
      </c>
      <c r="AQ189" s="26">
        <f t="shared" si="453"/>
        <v>0</v>
      </c>
      <c r="AR189" s="26">
        <f t="shared" si="454"/>
        <v>7.5202444449549333</v>
      </c>
      <c r="AS189" s="26">
        <f t="shared" si="455"/>
        <v>9.0082072495716865</v>
      </c>
      <c r="AT189" s="26">
        <f t="shared" si="456"/>
        <v>6.8768010699855271</v>
      </c>
      <c r="AU189" s="26">
        <f t="shared" si="457"/>
        <v>2.4732354725386547</v>
      </c>
      <c r="AV189" s="26">
        <f t="shared" si="306"/>
        <v>100.5581349444375</v>
      </c>
      <c r="AW189" s="16">
        <v>0</v>
      </c>
      <c r="AX189" s="16">
        <v>0</v>
      </c>
      <c r="AY189" s="16"/>
      <c r="AZ189" s="16"/>
      <c r="BA189" s="26"/>
      <c r="BB189" s="26">
        <v>0</v>
      </c>
      <c r="BC189" s="26"/>
      <c r="BD189" s="26"/>
      <c r="BE189" s="25">
        <v>-6.2</v>
      </c>
      <c r="BF189" s="16"/>
      <c r="BG189" s="16">
        <v>140</v>
      </c>
      <c r="BH189" s="16"/>
      <c r="BI189" s="16"/>
      <c r="BJ189" s="16"/>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28"/>
      <c r="DW189" s="28"/>
      <c r="DX189" s="28"/>
      <c r="DY189" s="28"/>
      <c r="DZ189" s="28"/>
      <c r="EA189" s="28"/>
      <c r="EB189" s="28"/>
      <c r="EC189" s="28"/>
      <c r="ED189" s="28"/>
      <c r="EE189" s="28"/>
      <c r="EF189" s="28"/>
      <c r="EG189" s="28"/>
      <c r="EH189" s="28"/>
      <c r="EI189" s="28"/>
      <c r="EJ189" s="18"/>
      <c r="EK189" s="18"/>
      <c r="EL189" s="18">
        <f>IFERROR(CR189/'McDonough &amp; Sun 1995 values'!C$2,)</f>
        <v>0</v>
      </c>
      <c r="EM189" s="18">
        <f>IFERROR(CH189/'McDonough &amp; Sun 1995 values'!D$2,)</f>
        <v>0</v>
      </c>
      <c r="EN189" s="18">
        <f>IFERROR(CS189/'McDonough &amp; Sun 1995 values'!E$2,)</f>
        <v>0</v>
      </c>
      <c r="EO189" s="18">
        <f>IFERROR(DL189/'McDonough &amp; Sun 1995 values'!F$2,)</f>
        <v>0</v>
      </c>
      <c r="EP189" s="18">
        <f>IFERROR(DM189/'McDonough &amp; Sun 1995 values'!G$2,)</f>
        <v>0</v>
      </c>
      <c r="EQ189" s="18">
        <f>IFERROR(BR189/'McDonough &amp; Sun 1995 values'!H$2,)</f>
        <v>0</v>
      </c>
      <c r="ER189" s="18">
        <f>IFERROR(DI189/'McDonough &amp; Sun 1995 values'!I$2,)</f>
        <v>0</v>
      </c>
      <c r="ES189" s="18">
        <f>IFERROR(CM189/'McDonough &amp; Sun 1995 values'!J$2,)</f>
        <v>0</v>
      </c>
      <c r="ET189" s="18">
        <f>IFERROR(CU189/'McDonough &amp; Sun 1995 values'!K$2,)</f>
        <v>0</v>
      </c>
      <c r="EU189" s="18">
        <f>IFERROR(CV189/'McDonough &amp; Sun 1995 values'!L$2,)</f>
        <v>0</v>
      </c>
      <c r="EV189" s="18">
        <f>IFERROR(CW189/'McDonough &amp; Sun 1995 values'!M$2,)</f>
        <v>0</v>
      </c>
      <c r="EW189" s="18">
        <f>IFERROR(CI189/'McDonough &amp; Sun 1995 values'!N$2,)</f>
        <v>0</v>
      </c>
      <c r="EX189" s="18">
        <f>IFERROR(CX189/'McDonough &amp; Sun 1995 values'!O$2,)</f>
        <v>0</v>
      </c>
      <c r="EY189" s="18">
        <f>IFERROR(CY189/'McDonough &amp; Sun 1995 values'!P$2,)</f>
        <v>0</v>
      </c>
      <c r="EZ189" s="18">
        <f>IFERROR(DH189/'McDonough &amp; Sun 1995 values'!Q$2,)</f>
        <v>0</v>
      </c>
      <c r="FA189" s="18">
        <f>IFERROR(CK189/'McDonough &amp; Sun 1995 values'!R$2,)</f>
        <v>0</v>
      </c>
      <c r="FB189" s="18">
        <f>IFERROR(CZ189/'McDonough &amp; Sun 1995 values'!S$2,)</f>
        <v>0</v>
      </c>
      <c r="FC189" s="18">
        <f>IFERROR(BT189/'McDonough &amp; Sun 1995 values'!T$2,)</f>
        <v>0</v>
      </c>
      <c r="FD189" s="18">
        <f>IFERROR(DA189/'McDonough &amp; Sun 1995 values'!U$2,)</f>
        <v>0</v>
      </c>
      <c r="FE189" s="18">
        <f>IFERROR(DN189/'McDonough &amp; Sun 1995 values'!V$2,)</f>
        <v>0</v>
      </c>
      <c r="FF189" s="18">
        <f>IFERROR(DB189/'McDonough &amp; Sun 1995 values'!W$2,)</f>
        <v>0</v>
      </c>
      <c r="FG189" s="18">
        <f>IFERROR(CJ189/'McDonough &amp; Sun 1995 values'!X$2,)</f>
        <v>0</v>
      </c>
      <c r="FH189" s="18">
        <f>IFERROR(DC189/'McDonough &amp; Sun 1995 values'!Y$2,)</f>
        <v>0</v>
      </c>
      <c r="FI189" s="18">
        <f>IFERROR(DD189/'McDonough &amp; Sun 1995 values'!Z$2,)</f>
        <v>0</v>
      </c>
      <c r="FJ189" s="18">
        <f>IFERROR(DE189/'McDonough &amp; Sun 1995 values'!AA$2,)</f>
        <v>0</v>
      </c>
      <c r="FK189" s="18">
        <f>IFERROR(DF189/'McDonough &amp; Sun 1995 values'!AB$2,)</f>
        <v>0</v>
      </c>
      <c r="FL189" s="18">
        <f>IFERROR(DG189/'McDonough &amp; Sun 1995 values'!AC$2,)</f>
        <v>0</v>
      </c>
      <c r="FN189" s="28">
        <f t="shared" si="458"/>
        <v>0</v>
      </c>
      <c r="FO189" s="4">
        <f t="shared" si="391"/>
        <v>0</v>
      </c>
      <c r="FP189" s="4">
        <f t="shared" si="392"/>
        <v>0</v>
      </c>
      <c r="FQ189" s="4">
        <f t="shared" si="393"/>
        <v>0</v>
      </c>
      <c r="FR189" s="4">
        <f t="shared" si="394"/>
        <v>0</v>
      </c>
      <c r="FS189" s="4">
        <f t="shared" si="395"/>
        <v>0</v>
      </c>
      <c r="FT189" s="4">
        <f t="shared" si="396"/>
        <v>0</v>
      </c>
      <c r="FU189" s="4">
        <f t="shared" si="397"/>
        <v>0</v>
      </c>
      <c r="FV189" s="4">
        <f t="shared" si="398"/>
        <v>0</v>
      </c>
      <c r="FW189" s="4">
        <f t="shared" si="399"/>
        <v>0</v>
      </c>
      <c r="FX189" s="4">
        <f t="shared" si="400"/>
        <v>0</v>
      </c>
      <c r="FY189" s="4">
        <f t="shared" si="401"/>
        <v>0</v>
      </c>
      <c r="FZ189" s="4">
        <f t="shared" si="402"/>
        <v>0</v>
      </c>
      <c r="GA189" s="4">
        <f t="shared" si="403"/>
        <v>0</v>
      </c>
      <c r="GB189" s="4">
        <f t="shared" si="404"/>
        <v>0</v>
      </c>
      <c r="GC189" s="4">
        <f t="shared" si="405"/>
        <v>0</v>
      </c>
      <c r="GD189" s="4">
        <f t="shared" si="406"/>
        <v>0</v>
      </c>
      <c r="GE189" s="4">
        <f t="shared" si="407"/>
        <v>0</v>
      </c>
      <c r="GF189" s="4">
        <f t="shared" si="408"/>
        <v>0</v>
      </c>
      <c r="GG189" s="4">
        <f t="shared" si="409"/>
        <v>0</v>
      </c>
      <c r="GH189" s="4">
        <f t="shared" si="410"/>
        <v>0</v>
      </c>
      <c r="GI189" s="4">
        <f t="shared" si="411"/>
        <v>0</v>
      </c>
      <c r="GJ189" s="4">
        <f t="shared" si="412"/>
        <v>0</v>
      </c>
      <c r="GK189" s="4">
        <f t="shared" si="413"/>
        <v>0</v>
      </c>
      <c r="GL189" s="4">
        <f t="shared" si="414"/>
        <v>0</v>
      </c>
      <c r="GM189" s="4">
        <f t="shared" si="415"/>
        <v>0</v>
      </c>
      <c r="GN189" s="4">
        <f t="shared" si="416"/>
        <v>0</v>
      </c>
      <c r="GO189" s="4">
        <f t="shared" si="417"/>
        <v>0</v>
      </c>
      <c r="GP189" s="4">
        <f t="shared" si="418"/>
        <v>0</v>
      </c>
      <c r="GQ189" s="27">
        <f t="shared" si="419"/>
        <v>74780.488864303159</v>
      </c>
      <c r="GR189" s="28" t="str">
        <f t="shared" si="420"/>
        <v/>
      </c>
      <c r="GS189" s="28" t="str">
        <f t="shared" si="421"/>
        <v/>
      </c>
      <c r="GT189" s="28" t="str">
        <f t="shared" si="422"/>
        <v/>
      </c>
      <c r="GU189" s="28" t="str">
        <f t="shared" si="423"/>
        <v/>
      </c>
      <c r="GV189" s="28" t="str">
        <f t="shared" si="424"/>
        <v/>
      </c>
      <c r="GW189" s="28" t="str">
        <f t="shared" si="425"/>
        <v/>
      </c>
      <c r="GX189" s="28" t="str">
        <f t="shared" si="426"/>
        <v/>
      </c>
      <c r="GY189" s="28" t="str">
        <f t="shared" si="427"/>
        <v/>
      </c>
      <c r="GZ189" s="28" t="str">
        <f t="shared" si="428"/>
        <v/>
      </c>
      <c r="HA189" s="28" t="str">
        <f t="shared" si="429"/>
        <v/>
      </c>
      <c r="HB189" s="28" t="str">
        <f t="shared" si="430"/>
        <v/>
      </c>
      <c r="HC189" s="28" t="str">
        <f t="shared" si="431"/>
        <v/>
      </c>
      <c r="HD189" s="28" t="str">
        <f t="shared" si="432"/>
        <v/>
      </c>
      <c r="HE189" s="28" t="str">
        <f t="shared" si="433"/>
        <v/>
      </c>
      <c r="HF189" s="28" t="str">
        <f t="shared" si="434"/>
        <v/>
      </c>
      <c r="HG189" s="28" t="str">
        <f t="shared" si="435"/>
        <v/>
      </c>
      <c r="HH189" s="28" t="str">
        <f t="shared" si="436"/>
        <v/>
      </c>
      <c r="HI189" s="28" t="str">
        <f t="shared" si="437"/>
        <v/>
      </c>
      <c r="HJ189" s="28" t="str">
        <f t="shared" si="438"/>
        <v/>
      </c>
      <c r="HK189" s="28" t="str">
        <f t="shared" si="439"/>
        <v/>
      </c>
      <c r="HL189" s="28" t="str">
        <f t="shared" si="440"/>
        <v/>
      </c>
      <c r="HM189" s="28" t="str">
        <f t="shared" si="441"/>
        <v/>
      </c>
      <c r="HN189" s="28" t="str">
        <f t="shared" si="442"/>
        <v/>
      </c>
      <c r="HO189" s="28" t="str">
        <f t="shared" si="443"/>
        <v/>
      </c>
      <c r="HP189" s="28" t="str">
        <f t="shared" si="444"/>
        <v/>
      </c>
      <c r="HQ189" s="28" t="str">
        <f t="shared" si="445"/>
        <v/>
      </c>
      <c r="HR189" s="28" t="str">
        <f t="shared" si="446"/>
        <v/>
      </c>
      <c r="HT189" s="4">
        <f>IFERROR(GR189/'McDonough &amp; Sun 1995 values'!C$2,)</f>
        <v>0</v>
      </c>
      <c r="HU189" s="4">
        <f>IFERROR(GS189/'McDonough &amp; Sun 1995 values'!D$2,)</f>
        <v>0</v>
      </c>
      <c r="HV189" s="4">
        <f>IFERROR(GT189/'McDonough &amp; Sun 1995 values'!E$2,)</f>
        <v>0</v>
      </c>
      <c r="HW189" s="4">
        <f>IFERROR(GU189/'McDonough &amp; Sun 1995 values'!F$2,)</f>
        <v>0</v>
      </c>
      <c r="HX189" s="4">
        <f>IFERROR(GV189/'McDonough &amp; Sun 1995 values'!G$2,)</f>
        <v>0</v>
      </c>
      <c r="HY189" s="4">
        <f>IFERROR(GW189/'McDonough &amp; Sun 1995 values'!H$2,)</f>
        <v>0</v>
      </c>
      <c r="HZ189" s="4">
        <f>IFERROR(GX189/'McDonough &amp; Sun 1995 values'!I$2,)</f>
        <v>0</v>
      </c>
      <c r="IA189" s="4">
        <f>IFERROR(GY189/'McDonough &amp; Sun 1995 values'!J$2,)</f>
        <v>0</v>
      </c>
      <c r="IB189" s="4">
        <f>IFERROR(GZ189/'McDonough &amp; Sun 1995 values'!K$2,)</f>
        <v>0</v>
      </c>
      <c r="IC189" s="4">
        <f>IFERROR(HA189/'McDonough &amp; Sun 1995 values'!L$2,)</f>
        <v>0</v>
      </c>
      <c r="ID189" s="4">
        <f>IFERROR(HB189/'McDonough &amp; Sun 1995 values'!M$2,)</f>
        <v>0</v>
      </c>
      <c r="IE189" s="4">
        <f>IFERROR(HC189/'McDonough &amp; Sun 1995 values'!N$2,)</f>
        <v>0</v>
      </c>
      <c r="IF189" s="4">
        <f>IFERROR(HD189/'McDonough &amp; Sun 1995 values'!O$2,)</f>
        <v>0</v>
      </c>
      <c r="IG189" s="4">
        <f>IFERROR(HE189/'McDonough &amp; Sun 1995 values'!P$2,)</f>
        <v>0</v>
      </c>
      <c r="IH189" s="4">
        <f>IFERROR(HF189/'McDonough &amp; Sun 1995 values'!Q$2,)</f>
        <v>0</v>
      </c>
      <c r="II189" s="4">
        <f>IFERROR(HG189/'McDonough &amp; Sun 1995 values'!R$2,)</f>
        <v>0</v>
      </c>
      <c r="IJ189" s="4">
        <f>IFERROR(HH189/'McDonough &amp; Sun 1995 values'!S$2,)</f>
        <v>0</v>
      </c>
      <c r="IK189" s="4">
        <f>IFERROR(HI189/'McDonough &amp; Sun 1995 values'!T$2,)</f>
        <v>0</v>
      </c>
      <c r="IL189" s="4">
        <f>IFERROR(HJ189/'McDonough &amp; Sun 1995 values'!U$2,)</f>
        <v>0</v>
      </c>
      <c r="IM189" s="4">
        <f>IFERROR(HK189/'McDonough &amp; Sun 1995 values'!V$2,)</f>
        <v>0</v>
      </c>
      <c r="IN189" s="4">
        <f>IFERROR(HL189/'McDonough &amp; Sun 1995 values'!W$2,)</f>
        <v>0</v>
      </c>
      <c r="IO189" s="4">
        <f>IFERROR(HM189/'McDonough &amp; Sun 1995 values'!X$2,)</f>
        <v>0</v>
      </c>
      <c r="IP189" s="4">
        <f>IFERROR(HN189/'McDonough &amp; Sun 1995 values'!Y$2,)</f>
        <v>0</v>
      </c>
      <c r="IQ189" s="4">
        <f>IFERROR(HO189/'McDonough &amp; Sun 1995 values'!Z$2,)</f>
        <v>0</v>
      </c>
      <c r="IR189" s="4">
        <f>IFERROR(HP189/'McDonough &amp; Sun 1995 values'!AA$2,)</f>
        <v>0</v>
      </c>
      <c r="IS189" s="4">
        <f>IFERROR(HQ189/'McDonough &amp; Sun 1995 values'!AB$2,)</f>
        <v>0</v>
      </c>
      <c r="IT189" s="4">
        <f>IFERROR(HR189/'McDonough &amp; Sun 1995 values'!AC$2,)</f>
        <v>0</v>
      </c>
    </row>
    <row r="190" spans="1:254">
      <c r="A190" s="16" t="s">
        <v>839</v>
      </c>
      <c r="B190" s="16" t="s">
        <v>24</v>
      </c>
      <c r="C190" s="16" t="str">
        <f t="shared" si="304"/>
        <v>silicic</v>
      </c>
      <c r="D190" s="16" t="s">
        <v>110</v>
      </c>
      <c r="E190" s="16" t="s">
        <v>388</v>
      </c>
      <c r="F190" s="16" t="s">
        <v>387</v>
      </c>
      <c r="G190" s="16" t="s">
        <v>640</v>
      </c>
      <c r="H190" s="27">
        <v>0</v>
      </c>
      <c r="I190" s="16" t="s">
        <v>735</v>
      </c>
      <c r="J190" s="16">
        <v>0</v>
      </c>
      <c r="K190" s="16">
        <v>0</v>
      </c>
      <c r="L190" s="16">
        <v>0</v>
      </c>
      <c r="M190" s="16">
        <v>11671</v>
      </c>
      <c r="N190" s="16">
        <v>11</v>
      </c>
      <c r="O190" s="26">
        <v>45.8</v>
      </c>
      <c r="P190" s="26">
        <v>1.45</v>
      </c>
      <c r="Q190" s="26"/>
      <c r="R190" s="26">
        <v>4.55</v>
      </c>
      <c r="S190" s="26">
        <v>8.56</v>
      </c>
      <c r="T190" s="26">
        <v>6.74</v>
      </c>
      <c r="U190" s="26"/>
      <c r="V190" s="26">
        <v>5.77</v>
      </c>
      <c r="W190" s="26">
        <v>4.78</v>
      </c>
      <c r="X190" s="26">
        <v>11.77</v>
      </c>
      <c r="Y190" s="26"/>
      <c r="Z190" s="26">
        <v>4.47</v>
      </c>
      <c r="AA190" s="26">
        <v>1.1399999999999999</v>
      </c>
      <c r="AB190" s="26">
        <v>1.1599999999999999</v>
      </c>
      <c r="AC190" s="26"/>
      <c r="AD190" s="26">
        <v>3.09</v>
      </c>
      <c r="AE190" s="26"/>
      <c r="AF190" s="26">
        <v>0.73</v>
      </c>
      <c r="AG190" s="26"/>
      <c r="AH190" s="26"/>
      <c r="AI190" s="26">
        <v>5.26</v>
      </c>
      <c r="AJ190" s="26">
        <f t="shared" si="305"/>
        <v>98.139999999999986</v>
      </c>
      <c r="AK190" s="26">
        <f t="shared" si="447"/>
        <v>47.001991406180572</v>
      </c>
      <c r="AL190" s="26">
        <f t="shared" si="448"/>
        <v>1.4880543130777693</v>
      </c>
      <c r="AM190" s="26">
        <f t="shared" si="449"/>
        <v>4.6694118100026554</v>
      </c>
      <c r="AN190" s="26">
        <f t="shared" si="450"/>
        <v>8.7846516689280723</v>
      </c>
      <c r="AO190" s="26">
        <f t="shared" si="451"/>
        <v>6.9168869449270103</v>
      </c>
      <c r="AP190" s="26">
        <f t="shared" si="452"/>
        <v>5.9214299216956743</v>
      </c>
      <c r="AQ190" s="26">
        <f t="shared" si="453"/>
        <v>1.1904434504622152</v>
      </c>
      <c r="AR190" s="26">
        <f t="shared" si="454"/>
        <v>4.9054480113874046</v>
      </c>
      <c r="AS190" s="26">
        <f t="shared" si="455"/>
        <v>12.078896044776098</v>
      </c>
      <c r="AT190" s="26">
        <f t="shared" si="456"/>
        <v>4.5873122616949162</v>
      </c>
      <c r="AU190" s="26">
        <f t="shared" si="457"/>
        <v>3.1710950533864182</v>
      </c>
      <c r="AV190" s="26">
        <f t="shared" si="306"/>
        <v>100.71562088651882</v>
      </c>
      <c r="AW190" s="16"/>
      <c r="AX190" s="16"/>
      <c r="AY190" s="16"/>
      <c r="AZ190" s="16"/>
      <c r="BA190" s="26"/>
      <c r="BB190" s="26"/>
      <c r="BC190" s="26"/>
      <c r="BD190" s="26"/>
      <c r="BE190" s="25">
        <v>-5.7450000000000001</v>
      </c>
      <c r="BF190" s="16"/>
      <c r="BG190" s="16" t="s">
        <v>1129</v>
      </c>
      <c r="BH190" s="16"/>
      <c r="BI190" s="16"/>
      <c r="BJ190" s="16"/>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28"/>
      <c r="DW190" s="28"/>
      <c r="DX190" s="28"/>
      <c r="DY190" s="28"/>
      <c r="DZ190" s="28"/>
      <c r="EA190" s="28"/>
      <c r="EB190" s="28"/>
      <c r="EC190" s="28"/>
      <c r="ED190" s="28"/>
      <c r="EE190" s="28"/>
      <c r="EF190" s="28"/>
      <c r="EG190" s="28"/>
      <c r="EH190" s="28"/>
      <c r="EI190" s="28"/>
      <c r="EJ190" s="18"/>
      <c r="EK190" s="18"/>
      <c r="EL190" s="18">
        <f>IFERROR(CR190/'McDonough &amp; Sun 1995 values'!C$2,)</f>
        <v>0</v>
      </c>
      <c r="EM190" s="18">
        <f>IFERROR(CH190/'McDonough &amp; Sun 1995 values'!D$2,)</f>
        <v>0</v>
      </c>
      <c r="EN190" s="18">
        <f>IFERROR(CS190/'McDonough &amp; Sun 1995 values'!E$2,)</f>
        <v>0</v>
      </c>
      <c r="EO190" s="18">
        <f>IFERROR(DL190/'McDonough &amp; Sun 1995 values'!F$2,)</f>
        <v>0</v>
      </c>
      <c r="EP190" s="18">
        <f>IFERROR(DM190/'McDonough &amp; Sun 1995 values'!G$2,)</f>
        <v>0</v>
      </c>
      <c r="EQ190" s="18">
        <f>IFERROR(BR190/'McDonough &amp; Sun 1995 values'!H$2,)</f>
        <v>0</v>
      </c>
      <c r="ER190" s="18">
        <f>IFERROR(DI190/'McDonough &amp; Sun 1995 values'!I$2,)</f>
        <v>0</v>
      </c>
      <c r="ES190" s="18">
        <f>IFERROR(CM190/'McDonough &amp; Sun 1995 values'!J$2,)</f>
        <v>0</v>
      </c>
      <c r="ET190" s="18">
        <f>IFERROR(CU190/'McDonough &amp; Sun 1995 values'!K$2,)</f>
        <v>0</v>
      </c>
      <c r="EU190" s="18">
        <f>IFERROR(CV190/'McDonough &amp; Sun 1995 values'!L$2,)</f>
        <v>0</v>
      </c>
      <c r="EV190" s="18">
        <f>IFERROR(CW190/'McDonough &amp; Sun 1995 values'!M$2,)</f>
        <v>0</v>
      </c>
      <c r="EW190" s="18">
        <f>IFERROR(CI190/'McDonough &amp; Sun 1995 values'!N$2,)</f>
        <v>0</v>
      </c>
      <c r="EX190" s="18">
        <f>IFERROR(CX190/'McDonough &amp; Sun 1995 values'!O$2,)</f>
        <v>0</v>
      </c>
      <c r="EY190" s="18">
        <f>IFERROR(CY190/'McDonough &amp; Sun 1995 values'!P$2,)</f>
        <v>0</v>
      </c>
      <c r="EZ190" s="18">
        <f>IFERROR(DH190/'McDonough &amp; Sun 1995 values'!Q$2,)</f>
        <v>0</v>
      </c>
      <c r="FA190" s="18">
        <f>IFERROR(CK190/'McDonough &amp; Sun 1995 values'!R$2,)</f>
        <v>0</v>
      </c>
      <c r="FB190" s="18">
        <f>IFERROR(CZ190/'McDonough &amp; Sun 1995 values'!S$2,)</f>
        <v>0</v>
      </c>
      <c r="FC190" s="18">
        <f>IFERROR(BT190/'McDonough &amp; Sun 1995 values'!T$2,)</f>
        <v>0</v>
      </c>
      <c r="FD190" s="18">
        <f>IFERROR(DA190/'McDonough &amp; Sun 1995 values'!U$2,)</f>
        <v>0</v>
      </c>
      <c r="FE190" s="18">
        <f>IFERROR(DN190/'McDonough &amp; Sun 1995 values'!V$2,)</f>
        <v>0</v>
      </c>
      <c r="FF190" s="18">
        <f>IFERROR(DB190/'McDonough &amp; Sun 1995 values'!W$2,)</f>
        <v>0</v>
      </c>
      <c r="FG190" s="18">
        <f>IFERROR(CJ190/'McDonough &amp; Sun 1995 values'!X$2,)</f>
        <v>0</v>
      </c>
      <c r="FH190" s="18">
        <f>IFERROR(DC190/'McDonough &amp; Sun 1995 values'!Y$2,)</f>
        <v>0</v>
      </c>
      <c r="FI190" s="18">
        <f>IFERROR(DD190/'McDonough &amp; Sun 1995 values'!Z$2,)</f>
        <v>0</v>
      </c>
      <c r="FJ190" s="18">
        <f>IFERROR(DE190/'McDonough &amp; Sun 1995 values'!AA$2,)</f>
        <v>0</v>
      </c>
      <c r="FK190" s="18">
        <f>IFERROR(DF190/'McDonough &amp; Sun 1995 values'!AB$2,)</f>
        <v>0</v>
      </c>
      <c r="FL190" s="18">
        <f>IFERROR(DG190/'McDonough &amp; Sun 1995 values'!AC$2,)</f>
        <v>0</v>
      </c>
      <c r="FN190" s="28">
        <f t="shared" si="458"/>
        <v>0</v>
      </c>
      <c r="FO190" s="4">
        <f t="shared" si="391"/>
        <v>0</v>
      </c>
      <c r="FP190" s="4">
        <f t="shared" si="392"/>
        <v>0</v>
      </c>
      <c r="FQ190" s="4">
        <f t="shared" si="393"/>
        <v>0</v>
      </c>
      <c r="FR190" s="4">
        <f t="shared" si="394"/>
        <v>0</v>
      </c>
      <c r="FS190" s="4">
        <f t="shared" si="395"/>
        <v>0</v>
      </c>
      <c r="FT190" s="4">
        <f t="shared" si="396"/>
        <v>0</v>
      </c>
      <c r="FU190" s="4">
        <f t="shared" si="397"/>
        <v>0</v>
      </c>
      <c r="FV190" s="4">
        <f t="shared" si="398"/>
        <v>0</v>
      </c>
      <c r="FW190" s="4">
        <f t="shared" si="399"/>
        <v>0</v>
      </c>
      <c r="FX190" s="4">
        <f t="shared" si="400"/>
        <v>0</v>
      </c>
      <c r="FY190" s="4">
        <f t="shared" si="401"/>
        <v>0</v>
      </c>
      <c r="FZ190" s="4">
        <f t="shared" si="402"/>
        <v>0</v>
      </c>
      <c r="GA190" s="4">
        <f t="shared" si="403"/>
        <v>0</v>
      </c>
      <c r="GB190" s="4">
        <f t="shared" si="404"/>
        <v>0</v>
      </c>
      <c r="GC190" s="4">
        <f t="shared" si="405"/>
        <v>0</v>
      </c>
      <c r="GD190" s="4">
        <f t="shared" si="406"/>
        <v>0</v>
      </c>
      <c r="GE190" s="4">
        <f t="shared" si="407"/>
        <v>0</v>
      </c>
      <c r="GF190" s="4">
        <f t="shared" si="408"/>
        <v>0</v>
      </c>
      <c r="GG190" s="4">
        <f t="shared" si="409"/>
        <v>0</v>
      </c>
      <c r="GH190" s="4">
        <f t="shared" si="410"/>
        <v>0</v>
      </c>
      <c r="GI190" s="4">
        <f t="shared" si="411"/>
        <v>0</v>
      </c>
      <c r="GJ190" s="4">
        <f t="shared" si="412"/>
        <v>0</v>
      </c>
      <c r="GK190" s="4">
        <f t="shared" si="413"/>
        <v>0</v>
      </c>
      <c r="GL190" s="4">
        <f t="shared" si="414"/>
        <v>0</v>
      </c>
      <c r="GM190" s="4">
        <f t="shared" si="415"/>
        <v>0</v>
      </c>
      <c r="GN190" s="4">
        <f t="shared" si="416"/>
        <v>0</v>
      </c>
      <c r="GO190" s="4">
        <f t="shared" si="417"/>
        <v>0</v>
      </c>
      <c r="GP190" s="4">
        <f t="shared" si="418"/>
        <v>0</v>
      </c>
      <c r="GQ190" s="27">
        <f t="shared" si="419"/>
        <v>100271.42206485114</v>
      </c>
      <c r="GR190" s="28" t="str">
        <f t="shared" si="420"/>
        <v/>
      </c>
      <c r="GS190" s="28" t="str">
        <f t="shared" si="421"/>
        <v/>
      </c>
      <c r="GT190" s="28" t="str">
        <f t="shared" si="422"/>
        <v/>
      </c>
      <c r="GU190" s="28" t="str">
        <f t="shared" si="423"/>
        <v/>
      </c>
      <c r="GV190" s="28" t="str">
        <f t="shared" si="424"/>
        <v/>
      </c>
      <c r="GW190" s="28" t="str">
        <f t="shared" si="425"/>
        <v/>
      </c>
      <c r="GX190" s="28" t="str">
        <f t="shared" si="426"/>
        <v/>
      </c>
      <c r="GY190" s="28" t="str">
        <f t="shared" si="427"/>
        <v/>
      </c>
      <c r="GZ190" s="28" t="str">
        <f t="shared" si="428"/>
        <v/>
      </c>
      <c r="HA190" s="28" t="str">
        <f t="shared" si="429"/>
        <v/>
      </c>
      <c r="HB190" s="28" t="str">
        <f t="shared" si="430"/>
        <v/>
      </c>
      <c r="HC190" s="28" t="str">
        <f t="shared" si="431"/>
        <v/>
      </c>
      <c r="HD190" s="28" t="str">
        <f t="shared" si="432"/>
        <v/>
      </c>
      <c r="HE190" s="28" t="str">
        <f t="shared" si="433"/>
        <v/>
      </c>
      <c r="HF190" s="28" t="str">
        <f t="shared" si="434"/>
        <v/>
      </c>
      <c r="HG190" s="28" t="str">
        <f t="shared" si="435"/>
        <v/>
      </c>
      <c r="HH190" s="28" t="str">
        <f t="shared" si="436"/>
        <v/>
      </c>
      <c r="HI190" s="28" t="str">
        <f t="shared" si="437"/>
        <v/>
      </c>
      <c r="HJ190" s="28" t="str">
        <f t="shared" si="438"/>
        <v/>
      </c>
      <c r="HK190" s="28" t="str">
        <f t="shared" si="439"/>
        <v/>
      </c>
      <c r="HL190" s="28" t="str">
        <f t="shared" si="440"/>
        <v/>
      </c>
      <c r="HM190" s="28" t="str">
        <f t="shared" si="441"/>
        <v/>
      </c>
      <c r="HN190" s="28" t="str">
        <f t="shared" si="442"/>
        <v/>
      </c>
      <c r="HO190" s="28" t="str">
        <f t="shared" si="443"/>
        <v/>
      </c>
      <c r="HP190" s="28" t="str">
        <f t="shared" si="444"/>
        <v/>
      </c>
      <c r="HQ190" s="28" t="str">
        <f t="shared" si="445"/>
        <v/>
      </c>
      <c r="HR190" s="28" t="str">
        <f t="shared" si="446"/>
        <v/>
      </c>
      <c r="HT190" s="4">
        <f>IFERROR(GR190/'McDonough &amp; Sun 1995 values'!C$2,)</f>
        <v>0</v>
      </c>
      <c r="HU190" s="4">
        <f>IFERROR(GS190/'McDonough &amp; Sun 1995 values'!D$2,)</f>
        <v>0</v>
      </c>
      <c r="HV190" s="4">
        <f>IFERROR(GT190/'McDonough &amp; Sun 1995 values'!E$2,)</f>
        <v>0</v>
      </c>
      <c r="HW190" s="4">
        <f>IFERROR(GU190/'McDonough &amp; Sun 1995 values'!F$2,)</f>
        <v>0</v>
      </c>
      <c r="HX190" s="4">
        <f>IFERROR(GV190/'McDonough &amp; Sun 1995 values'!G$2,)</f>
        <v>0</v>
      </c>
      <c r="HY190" s="4">
        <f>IFERROR(GW190/'McDonough &amp; Sun 1995 values'!H$2,)</f>
        <v>0</v>
      </c>
      <c r="HZ190" s="4">
        <f>IFERROR(GX190/'McDonough &amp; Sun 1995 values'!I$2,)</f>
        <v>0</v>
      </c>
      <c r="IA190" s="4">
        <f>IFERROR(GY190/'McDonough &amp; Sun 1995 values'!J$2,)</f>
        <v>0</v>
      </c>
      <c r="IB190" s="4">
        <f>IFERROR(GZ190/'McDonough &amp; Sun 1995 values'!K$2,)</f>
        <v>0</v>
      </c>
      <c r="IC190" s="4">
        <f>IFERROR(HA190/'McDonough &amp; Sun 1995 values'!L$2,)</f>
        <v>0</v>
      </c>
      <c r="ID190" s="4">
        <f>IFERROR(HB190/'McDonough &amp; Sun 1995 values'!M$2,)</f>
        <v>0</v>
      </c>
      <c r="IE190" s="4">
        <f>IFERROR(HC190/'McDonough &amp; Sun 1995 values'!N$2,)</f>
        <v>0</v>
      </c>
      <c r="IF190" s="4">
        <f>IFERROR(HD190/'McDonough &amp; Sun 1995 values'!O$2,)</f>
        <v>0</v>
      </c>
      <c r="IG190" s="4">
        <f>IFERROR(HE190/'McDonough &amp; Sun 1995 values'!P$2,)</f>
        <v>0</v>
      </c>
      <c r="IH190" s="4">
        <f>IFERROR(HF190/'McDonough &amp; Sun 1995 values'!Q$2,)</f>
        <v>0</v>
      </c>
      <c r="II190" s="4">
        <f>IFERROR(HG190/'McDonough &amp; Sun 1995 values'!R$2,)</f>
        <v>0</v>
      </c>
      <c r="IJ190" s="4">
        <f>IFERROR(HH190/'McDonough &amp; Sun 1995 values'!S$2,)</f>
        <v>0</v>
      </c>
      <c r="IK190" s="4">
        <f>IFERROR(HI190/'McDonough &amp; Sun 1995 values'!T$2,)</f>
        <v>0</v>
      </c>
      <c r="IL190" s="4">
        <f>IFERROR(HJ190/'McDonough &amp; Sun 1995 values'!U$2,)</f>
        <v>0</v>
      </c>
      <c r="IM190" s="4">
        <f>IFERROR(HK190/'McDonough &amp; Sun 1995 values'!V$2,)</f>
        <v>0</v>
      </c>
      <c r="IN190" s="4">
        <f>IFERROR(HL190/'McDonough &amp; Sun 1995 values'!W$2,)</f>
        <v>0</v>
      </c>
      <c r="IO190" s="4">
        <f>IFERROR(HM190/'McDonough &amp; Sun 1995 values'!X$2,)</f>
        <v>0</v>
      </c>
      <c r="IP190" s="4">
        <f>IFERROR(HN190/'McDonough &amp; Sun 1995 values'!Y$2,)</f>
        <v>0</v>
      </c>
      <c r="IQ190" s="4">
        <f>IFERROR(HO190/'McDonough &amp; Sun 1995 values'!Z$2,)</f>
        <v>0</v>
      </c>
      <c r="IR190" s="4">
        <f>IFERROR(HP190/'McDonough &amp; Sun 1995 values'!AA$2,)</f>
        <v>0</v>
      </c>
      <c r="IS190" s="4">
        <f>IFERROR(HQ190/'McDonough &amp; Sun 1995 values'!AB$2,)</f>
        <v>0</v>
      </c>
      <c r="IT190" s="4">
        <f>IFERROR(HR190/'McDonough &amp; Sun 1995 values'!AC$2,)</f>
        <v>0</v>
      </c>
    </row>
    <row r="191" spans="1:254">
      <c r="A191" s="16" t="s">
        <v>839</v>
      </c>
      <c r="B191" s="16" t="s">
        <v>24</v>
      </c>
      <c r="C191" s="16" t="str">
        <f t="shared" si="304"/>
        <v>silicic</v>
      </c>
      <c r="D191" s="16" t="s">
        <v>110</v>
      </c>
      <c r="E191" s="16" t="s">
        <v>388</v>
      </c>
      <c r="F191" s="16" t="s">
        <v>387</v>
      </c>
      <c r="G191" s="16" t="s">
        <v>640</v>
      </c>
      <c r="H191" s="27">
        <v>0</v>
      </c>
      <c r="I191" s="16" t="s">
        <v>735</v>
      </c>
      <c r="J191" s="16">
        <v>0</v>
      </c>
      <c r="K191" s="16">
        <v>0</v>
      </c>
      <c r="L191" s="16">
        <v>0</v>
      </c>
      <c r="M191" s="16" t="s">
        <v>390</v>
      </c>
      <c r="N191" s="16">
        <v>15</v>
      </c>
      <c r="O191" s="26">
        <v>60.78</v>
      </c>
      <c r="P191" s="26">
        <v>2.78</v>
      </c>
      <c r="Q191" s="26"/>
      <c r="R191" s="26">
        <v>6.59</v>
      </c>
      <c r="S191" s="26">
        <v>4.1500000000000004</v>
      </c>
      <c r="T191" s="26">
        <v>0.97</v>
      </c>
      <c r="U191" s="26"/>
      <c r="V191" s="26">
        <v>2.36</v>
      </c>
      <c r="W191" s="26">
        <v>0.77</v>
      </c>
      <c r="X191" s="26">
        <v>15.79</v>
      </c>
      <c r="Y191" s="26"/>
      <c r="Z191" s="26">
        <v>1.55</v>
      </c>
      <c r="AA191" s="26">
        <v>0.51</v>
      </c>
      <c r="AB191" s="26">
        <v>2.1800000000000002</v>
      </c>
      <c r="AC191" s="26"/>
      <c r="AD191" s="26">
        <v>1.21</v>
      </c>
      <c r="AE191" s="26"/>
      <c r="AF191" s="26">
        <v>0.35</v>
      </c>
      <c r="AG191" s="26"/>
      <c r="AH191" s="26"/>
      <c r="AI191" s="26">
        <v>5.33</v>
      </c>
      <c r="AJ191" s="26">
        <f t="shared" si="305"/>
        <v>99.13</v>
      </c>
      <c r="AK191" s="26">
        <f t="shared" si="447"/>
        <v>61.482785527147634</v>
      </c>
      <c r="AL191" s="26">
        <f t="shared" si="448"/>
        <v>2.8121445173654229</v>
      </c>
      <c r="AM191" s="26">
        <f t="shared" si="449"/>
        <v>6.6661986940424951</v>
      </c>
      <c r="AN191" s="26">
        <f t="shared" si="450"/>
        <v>4.1979855205275207</v>
      </c>
      <c r="AO191" s="26">
        <f t="shared" si="451"/>
        <v>0.9812158927498057</v>
      </c>
      <c r="AP191" s="26">
        <f t="shared" si="452"/>
        <v>2.387288151432517</v>
      </c>
      <c r="AQ191" s="26">
        <f t="shared" si="453"/>
        <v>2.2052068517469863</v>
      </c>
      <c r="AR191" s="26">
        <f t="shared" si="454"/>
        <v>0.77890333754366026</v>
      </c>
      <c r="AS191" s="26">
        <f t="shared" si="455"/>
        <v>15.972576233525187</v>
      </c>
      <c r="AT191" s="26">
        <f t="shared" si="456"/>
        <v>1.5679223028476279</v>
      </c>
      <c r="AU191" s="26">
        <f t="shared" si="457"/>
        <v>1.2239909589971805</v>
      </c>
      <c r="AV191" s="26">
        <f t="shared" si="306"/>
        <v>100.27621798792602</v>
      </c>
      <c r="AW191" s="16"/>
      <c r="AX191" s="16"/>
      <c r="AY191" s="16"/>
      <c r="AZ191" s="16"/>
      <c r="BA191" s="26"/>
      <c r="BB191" s="26"/>
      <c r="BC191" s="26"/>
      <c r="BD191" s="26"/>
      <c r="BE191" s="25">
        <v>-5.35</v>
      </c>
      <c r="BF191" s="16"/>
      <c r="BG191" s="16" t="s">
        <v>1125</v>
      </c>
      <c r="BH191" s="16"/>
      <c r="BI191" s="16"/>
      <c r="BJ191" s="16"/>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28"/>
      <c r="DW191" s="28"/>
      <c r="DX191" s="28"/>
      <c r="DY191" s="28"/>
      <c r="DZ191" s="28"/>
      <c r="EA191" s="28"/>
      <c r="EB191" s="28"/>
      <c r="EC191" s="28"/>
      <c r="ED191" s="28"/>
      <c r="EE191" s="28"/>
      <c r="EF191" s="28"/>
      <c r="EG191" s="28"/>
      <c r="EH191" s="28"/>
      <c r="EI191" s="28"/>
      <c r="EJ191" s="18"/>
      <c r="EK191" s="18"/>
      <c r="EL191" s="18">
        <f>IFERROR(CR191/'McDonough &amp; Sun 1995 values'!C$2,)</f>
        <v>0</v>
      </c>
      <c r="EM191" s="18">
        <f>IFERROR(CH191/'McDonough &amp; Sun 1995 values'!D$2,)</f>
        <v>0</v>
      </c>
      <c r="EN191" s="18">
        <f>IFERROR(CS191/'McDonough &amp; Sun 1995 values'!E$2,)</f>
        <v>0</v>
      </c>
      <c r="EO191" s="18">
        <f>IFERROR(DL191/'McDonough &amp; Sun 1995 values'!F$2,)</f>
        <v>0</v>
      </c>
      <c r="EP191" s="18">
        <f>IFERROR(DM191/'McDonough &amp; Sun 1995 values'!G$2,)</f>
        <v>0</v>
      </c>
      <c r="EQ191" s="18">
        <f>IFERROR(BR191/'McDonough &amp; Sun 1995 values'!H$2,)</f>
        <v>0</v>
      </c>
      <c r="ER191" s="18">
        <f>IFERROR(DI191/'McDonough &amp; Sun 1995 values'!I$2,)</f>
        <v>0</v>
      </c>
      <c r="ES191" s="18">
        <f>IFERROR(CM191/'McDonough &amp; Sun 1995 values'!J$2,)</f>
        <v>0</v>
      </c>
      <c r="ET191" s="18">
        <f>IFERROR(CU191/'McDonough &amp; Sun 1995 values'!K$2,)</f>
        <v>0</v>
      </c>
      <c r="EU191" s="18">
        <f>IFERROR(CV191/'McDonough &amp; Sun 1995 values'!L$2,)</f>
        <v>0</v>
      </c>
      <c r="EV191" s="18">
        <f>IFERROR(CW191/'McDonough &amp; Sun 1995 values'!M$2,)</f>
        <v>0</v>
      </c>
      <c r="EW191" s="18">
        <f>IFERROR(CI191/'McDonough &amp; Sun 1995 values'!N$2,)</f>
        <v>0</v>
      </c>
      <c r="EX191" s="18">
        <f>IFERROR(CX191/'McDonough &amp; Sun 1995 values'!O$2,)</f>
        <v>0</v>
      </c>
      <c r="EY191" s="18">
        <f>IFERROR(CY191/'McDonough &amp; Sun 1995 values'!P$2,)</f>
        <v>0</v>
      </c>
      <c r="EZ191" s="18">
        <f>IFERROR(DH191/'McDonough &amp; Sun 1995 values'!Q$2,)</f>
        <v>0</v>
      </c>
      <c r="FA191" s="18">
        <f>IFERROR(CK191/'McDonough &amp; Sun 1995 values'!R$2,)</f>
        <v>0</v>
      </c>
      <c r="FB191" s="18">
        <f>IFERROR(CZ191/'McDonough &amp; Sun 1995 values'!S$2,)</f>
        <v>0</v>
      </c>
      <c r="FC191" s="18">
        <f>IFERROR(BT191/'McDonough &amp; Sun 1995 values'!T$2,)</f>
        <v>0</v>
      </c>
      <c r="FD191" s="18">
        <f>IFERROR(DA191/'McDonough &amp; Sun 1995 values'!U$2,)</f>
        <v>0</v>
      </c>
      <c r="FE191" s="18">
        <f>IFERROR(DN191/'McDonough &amp; Sun 1995 values'!V$2,)</f>
        <v>0</v>
      </c>
      <c r="FF191" s="18">
        <f>IFERROR(DB191/'McDonough &amp; Sun 1995 values'!W$2,)</f>
        <v>0</v>
      </c>
      <c r="FG191" s="18">
        <f>IFERROR(CJ191/'McDonough &amp; Sun 1995 values'!X$2,)</f>
        <v>0</v>
      </c>
      <c r="FH191" s="18">
        <f>IFERROR(DC191/'McDonough &amp; Sun 1995 values'!Y$2,)</f>
        <v>0</v>
      </c>
      <c r="FI191" s="18">
        <f>IFERROR(DD191/'McDonough &amp; Sun 1995 values'!Z$2,)</f>
        <v>0</v>
      </c>
      <c r="FJ191" s="18">
        <f>IFERROR(DE191/'McDonough &amp; Sun 1995 values'!AA$2,)</f>
        <v>0</v>
      </c>
      <c r="FK191" s="18">
        <f>IFERROR(DF191/'McDonough &amp; Sun 1995 values'!AB$2,)</f>
        <v>0</v>
      </c>
      <c r="FL191" s="18">
        <f>IFERROR(DG191/'McDonough &amp; Sun 1995 values'!AC$2,)</f>
        <v>0</v>
      </c>
      <c r="FN191" s="28">
        <f t="shared" si="458"/>
        <v>0</v>
      </c>
      <c r="FO191" s="4">
        <f t="shared" si="391"/>
        <v>0</v>
      </c>
      <c r="FP191" s="4">
        <f t="shared" si="392"/>
        <v>0</v>
      </c>
      <c r="FQ191" s="4">
        <f t="shared" si="393"/>
        <v>0</v>
      </c>
      <c r="FR191" s="4">
        <f t="shared" si="394"/>
        <v>0</v>
      </c>
      <c r="FS191" s="4">
        <f t="shared" si="395"/>
        <v>0</v>
      </c>
      <c r="FT191" s="4">
        <f t="shared" si="396"/>
        <v>0</v>
      </c>
      <c r="FU191" s="4">
        <f t="shared" si="397"/>
        <v>0</v>
      </c>
      <c r="FV191" s="4">
        <f t="shared" si="398"/>
        <v>0</v>
      </c>
      <c r="FW191" s="4">
        <f t="shared" si="399"/>
        <v>0</v>
      </c>
      <c r="FX191" s="4">
        <f t="shared" si="400"/>
        <v>0</v>
      </c>
      <c r="FY191" s="4">
        <f t="shared" si="401"/>
        <v>0</v>
      </c>
      <c r="FZ191" s="4">
        <f t="shared" si="402"/>
        <v>0</v>
      </c>
      <c r="GA191" s="4">
        <f t="shared" si="403"/>
        <v>0</v>
      </c>
      <c r="GB191" s="4">
        <f t="shared" si="404"/>
        <v>0</v>
      </c>
      <c r="GC191" s="4">
        <f t="shared" si="405"/>
        <v>0</v>
      </c>
      <c r="GD191" s="4">
        <f t="shared" si="406"/>
        <v>0</v>
      </c>
      <c r="GE191" s="4">
        <f t="shared" si="407"/>
        <v>0</v>
      </c>
      <c r="GF191" s="4">
        <f t="shared" si="408"/>
        <v>0</v>
      </c>
      <c r="GG191" s="4">
        <f t="shared" si="409"/>
        <v>0</v>
      </c>
      <c r="GH191" s="4">
        <f t="shared" si="410"/>
        <v>0</v>
      </c>
      <c r="GI191" s="4">
        <f t="shared" si="411"/>
        <v>0</v>
      </c>
      <c r="GJ191" s="4">
        <f t="shared" si="412"/>
        <v>0</v>
      </c>
      <c r="GK191" s="4">
        <f t="shared" si="413"/>
        <v>0</v>
      </c>
      <c r="GL191" s="4">
        <f t="shared" si="414"/>
        <v>0</v>
      </c>
      <c r="GM191" s="4">
        <f t="shared" si="415"/>
        <v>0</v>
      </c>
      <c r="GN191" s="4">
        <f t="shared" si="416"/>
        <v>0</v>
      </c>
      <c r="GO191" s="4">
        <f t="shared" si="417"/>
        <v>0</v>
      </c>
      <c r="GP191" s="4">
        <f t="shared" si="418"/>
        <v>0</v>
      </c>
      <c r="GQ191" s="27">
        <f t="shared" si="419"/>
        <v>132594.31383776781</v>
      </c>
      <c r="GR191" s="28" t="str">
        <f t="shared" si="420"/>
        <v/>
      </c>
      <c r="GS191" s="28" t="str">
        <f t="shared" si="421"/>
        <v/>
      </c>
      <c r="GT191" s="28" t="str">
        <f t="shared" si="422"/>
        <v/>
      </c>
      <c r="GU191" s="28" t="str">
        <f t="shared" si="423"/>
        <v/>
      </c>
      <c r="GV191" s="28" t="str">
        <f t="shared" si="424"/>
        <v/>
      </c>
      <c r="GW191" s="28" t="str">
        <f t="shared" si="425"/>
        <v/>
      </c>
      <c r="GX191" s="28" t="str">
        <f t="shared" si="426"/>
        <v/>
      </c>
      <c r="GY191" s="28" t="str">
        <f t="shared" si="427"/>
        <v/>
      </c>
      <c r="GZ191" s="28" t="str">
        <f t="shared" si="428"/>
        <v/>
      </c>
      <c r="HA191" s="28" t="str">
        <f t="shared" si="429"/>
        <v/>
      </c>
      <c r="HB191" s="28" t="str">
        <f t="shared" si="430"/>
        <v/>
      </c>
      <c r="HC191" s="28" t="str">
        <f t="shared" si="431"/>
        <v/>
      </c>
      <c r="HD191" s="28" t="str">
        <f t="shared" si="432"/>
        <v/>
      </c>
      <c r="HE191" s="28" t="str">
        <f t="shared" si="433"/>
        <v/>
      </c>
      <c r="HF191" s="28" t="str">
        <f t="shared" si="434"/>
        <v/>
      </c>
      <c r="HG191" s="28" t="str">
        <f t="shared" si="435"/>
        <v/>
      </c>
      <c r="HH191" s="28" t="str">
        <f t="shared" si="436"/>
        <v/>
      </c>
      <c r="HI191" s="28" t="str">
        <f t="shared" si="437"/>
        <v/>
      </c>
      <c r="HJ191" s="28" t="str">
        <f t="shared" si="438"/>
        <v/>
      </c>
      <c r="HK191" s="28" t="str">
        <f t="shared" si="439"/>
        <v/>
      </c>
      <c r="HL191" s="28" t="str">
        <f t="shared" si="440"/>
        <v/>
      </c>
      <c r="HM191" s="28" t="str">
        <f t="shared" si="441"/>
        <v/>
      </c>
      <c r="HN191" s="28" t="str">
        <f t="shared" si="442"/>
        <v/>
      </c>
      <c r="HO191" s="28" t="str">
        <f t="shared" si="443"/>
        <v/>
      </c>
      <c r="HP191" s="28" t="str">
        <f t="shared" si="444"/>
        <v/>
      </c>
      <c r="HQ191" s="28" t="str">
        <f t="shared" si="445"/>
        <v/>
      </c>
      <c r="HR191" s="28" t="str">
        <f t="shared" si="446"/>
        <v/>
      </c>
      <c r="HT191" s="4">
        <f>IFERROR(GR191/'McDonough &amp; Sun 1995 values'!C$2,)</f>
        <v>0</v>
      </c>
      <c r="HU191" s="4">
        <f>IFERROR(GS191/'McDonough &amp; Sun 1995 values'!D$2,)</f>
        <v>0</v>
      </c>
      <c r="HV191" s="4">
        <f>IFERROR(GT191/'McDonough &amp; Sun 1995 values'!E$2,)</f>
        <v>0</v>
      </c>
      <c r="HW191" s="4">
        <f>IFERROR(GU191/'McDonough &amp; Sun 1995 values'!F$2,)</f>
        <v>0</v>
      </c>
      <c r="HX191" s="4">
        <f>IFERROR(GV191/'McDonough &amp; Sun 1995 values'!G$2,)</f>
        <v>0</v>
      </c>
      <c r="HY191" s="4">
        <f>IFERROR(GW191/'McDonough &amp; Sun 1995 values'!H$2,)</f>
        <v>0</v>
      </c>
      <c r="HZ191" s="4">
        <f>IFERROR(GX191/'McDonough &amp; Sun 1995 values'!I$2,)</f>
        <v>0</v>
      </c>
      <c r="IA191" s="4">
        <f>IFERROR(GY191/'McDonough &amp; Sun 1995 values'!J$2,)</f>
        <v>0</v>
      </c>
      <c r="IB191" s="4">
        <f>IFERROR(GZ191/'McDonough &amp; Sun 1995 values'!K$2,)</f>
        <v>0</v>
      </c>
      <c r="IC191" s="4">
        <f>IFERROR(HA191/'McDonough &amp; Sun 1995 values'!L$2,)</f>
        <v>0</v>
      </c>
      <c r="ID191" s="4">
        <f>IFERROR(HB191/'McDonough &amp; Sun 1995 values'!M$2,)</f>
        <v>0</v>
      </c>
      <c r="IE191" s="4">
        <f>IFERROR(HC191/'McDonough &amp; Sun 1995 values'!N$2,)</f>
        <v>0</v>
      </c>
      <c r="IF191" s="4">
        <f>IFERROR(HD191/'McDonough &amp; Sun 1995 values'!O$2,)</f>
        <v>0</v>
      </c>
      <c r="IG191" s="4">
        <f>IFERROR(HE191/'McDonough &amp; Sun 1995 values'!P$2,)</f>
        <v>0</v>
      </c>
      <c r="IH191" s="4">
        <f>IFERROR(HF191/'McDonough &amp; Sun 1995 values'!Q$2,)</f>
        <v>0</v>
      </c>
      <c r="II191" s="4">
        <f>IFERROR(HG191/'McDonough &amp; Sun 1995 values'!R$2,)</f>
        <v>0</v>
      </c>
      <c r="IJ191" s="4">
        <f>IFERROR(HH191/'McDonough &amp; Sun 1995 values'!S$2,)</f>
        <v>0</v>
      </c>
      <c r="IK191" s="4">
        <f>IFERROR(HI191/'McDonough &amp; Sun 1995 values'!T$2,)</f>
        <v>0</v>
      </c>
      <c r="IL191" s="4">
        <f>IFERROR(HJ191/'McDonough &amp; Sun 1995 values'!U$2,)</f>
        <v>0</v>
      </c>
      <c r="IM191" s="4">
        <f>IFERROR(HK191/'McDonough &amp; Sun 1995 values'!V$2,)</f>
        <v>0</v>
      </c>
      <c r="IN191" s="4">
        <f>IFERROR(HL191/'McDonough &amp; Sun 1995 values'!W$2,)</f>
        <v>0</v>
      </c>
      <c r="IO191" s="4">
        <f>IFERROR(HM191/'McDonough &amp; Sun 1995 values'!X$2,)</f>
        <v>0</v>
      </c>
      <c r="IP191" s="4">
        <f>IFERROR(HN191/'McDonough &amp; Sun 1995 values'!Y$2,)</f>
        <v>0</v>
      </c>
      <c r="IQ191" s="4">
        <f>IFERROR(HO191/'McDonough &amp; Sun 1995 values'!Z$2,)</f>
        <v>0</v>
      </c>
      <c r="IR191" s="4">
        <f>IFERROR(HP191/'McDonough &amp; Sun 1995 values'!AA$2,)</f>
        <v>0</v>
      </c>
      <c r="IS191" s="4">
        <f>IFERROR(HQ191/'McDonough &amp; Sun 1995 values'!AB$2,)</f>
        <v>0</v>
      </c>
      <c r="IT191" s="4">
        <f>IFERROR(HR191/'McDonough &amp; Sun 1995 values'!AC$2,)</f>
        <v>0</v>
      </c>
    </row>
    <row r="192" spans="1:254">
      <c r="A192" s="16" t="s">
        <v>772</v>
      </c>
      <c r="B192" s="16" t="s">
        <v>24</v>
      </c>
      <c r="C192" s="16" t="str">
        <f t="shared" si="304"/>
        <v>silicic</v>
      </c>
      <c r="D192" s="16" t="s">
        <v>110</v>
      </c>
      <c r="E192" s="16" t="s">
        <v>1394</v>
      </c>
      <c r="F192" s="16" t="s">
        <v>1728</v>
      </c>
      <c r="G192" s="16" t="s">
        <v>595</v>
      </c>
      <c r="H192" s="27">
        <v>84</v>
      </c>
      <c r="I192" s="16">
        <v>0</v>
      </c>
      <c r="J192" s="16" t="s">
        <v>635</v>
      </c>
      <c r="K192" s="16" t="s">
        <v>585</v>
      </c>
      <c r="L192" s="16" t="s">
        <v>778</v>
      </c>
      <c r="M192" s="16" t="s">
        <v>579</v>
      </c>
      <c r="N192" s="16">
        <v>50</v>
      </c>
      <c r="O192" s="26">
        <v>47.87</v>
      </c>
      <c r="P192" s="26">
        <v>1.1100000000000001</v>
      </c>
      <c r="Q192" s="26"/>
      <c r="R192" s="26">
        <v>6.07</v>
      </c>
      <c r="S192" s="26">
        <v>7.13</v>
      </c>
      <c r="T192" s="26">
        <v>5.78</v>
      </c>
      <c r="U192" s="26"/>
      <c r="V192" s="26">
        <v>3.75</v>
      </c>
      <c r="W192" s="26">
        <v>0.96</v>
      </c>
      <c r="X192" s="26">
        <v>18.47</v>
      </c>
      <c r="Y192" s="26"/>
      <c r="Z192" s="26">
        <v>5.03</v>
      </c>
      <c r="AA192" s="26"/>
      <c r="AB192" s="26">
        <v>1.7700000000000002</v>
      </c>
      <c r="AC192" s="26"/>
      <c r="AD192" s="26">
        <v>2.62</v>
      </c>
      <c r="AE192" s="26"/>
      <c r="AF192" s="26"/>
      <c r="AG192" s="26"/>
      <c r="AH192" s="26"/>
      <c r="AI192" s="26">
        <v>5.98</v>
      </c>
      <c r="AJ192" s="26">
        <f t="shared" si="305"/>
        <v>100.55999999999999</v>
      </c>
      <c r="AK192" s="26">
        <f t="shared" si="447"/>
        <v>47.884966584760491</v>
      </c>
      <c r="AL192" s="26">
        <f t="shared" si="448"/>
        <v>1.1103470421784865</v>
      </c>
      <c r="AM192" s="26">
        <f t="shared" si="449"/>
        <v>6.0718977892102819</v>
      </c>
      <c r="AN192" s="26">
        <f t="shared" si="450"/>
        <v>7.1322291988582061</v>
      </c>
      <c r="AO192" s="26">
        <f t="shared" si="451"/>
        <v>5.7818071205330197</v>
      </c>
      <c r="AP192" s="26">
        <f t="shared" si="452"/>
        <v>3.751172439792184</v>
      </c>
      <c r="AQ192" s="26">
        <f t="shared" si="453"/>
        <v>1.7705533915819109</v>
      </c>
      <c r="AR192" s="26">
        <f t="shared" si="454"/>
        <v>0.96030014458679902</v>
      </c>
      <c r="AS192" s="26">
        <f t="shared" si="455"/>
        <v>18.47577465678977</v>
      </c>
      <c r="AT192" s="26">
        <f t="shared" si="456"/>
        <v>5.0315726325745835</v>
      </c>
      <c r="AU192" s="26">
        <f t="shared" si="457"/>
        <v>2.6208191446014726</v>
      </c>
      <c r="AV192" s="26">
        <f t="shared" si="306"/>
        <v>100.5914401454672</v>
      </c>
      <c r="AW192" s="93"/>
      <c r="AX192" s="93"/>
      <c r="AY192" s="93"/>
      <c r="AZ192" s="93"/>
      <c r="BA192" s="103"/>
      <c r="BB192" s="107"/>
      <c r="BC192" s="26"/>
      <c r="BD192" s="26"/>
      <c r="BE192" s="16"/>
      <c r="BF192" s="16"/>
      <c r="BG192" s="16">
        <v>640</v>
      </c>
      <c r="BH192" s="16">
        <v>25</v>
      </c>
      <c r="BI192" s="16"/>
      <c r="BJ192" s="16"/>
      <c r="BK192" s="16"/>
      <c r="BL192" s="16"/>
      <c r="BM192" s="16"/>
      <c r="BN192" s="16"/>
      <c r="BO192" s="16"/>
      <c r="BP192" s="16"/>
      <c r="BQ192" s="16"/>
      <c r="BR192" s="16">
        <v>239.76666666666665</v>
      </c>
      <c r="BS192" s="16"/>
      <c r="BT192" s="16">
        <v>9.8656666666666677</v>
      </c>
      <c r="BU192" s="16"/>
      <c r="BV192" s="16"/>
      <c r="BW192" s="16"/>
      <c r="BX192" s="16"/>
      <c r="BY192" s="16"/>
      <c r="BZ192" s="16"/>
      <c r="CA192" s="16"/>
      <c r="CB192" s="16"/>
      <c r="CC192" s="16"/>
      <c r="CD192" s="16"/>
      <c r="CE192" s="16"/>
      <c r="CF192" s="16"/>
      <c r="CG192" s="16"/>
      <c r="CH192" s="16">
        <v>1.1506666666666667</v>
      </c>
      <c r="CI192" s="16">
        <v>8.7690000000000001</v>
      </c>
      <c r="CJ192" s="16">
        <v>8.7666666666666674E-3</v>
      </c>
      <c r="CK192" s="16">
        <v>2.1510000000000002</v>
      </c>
      <c r="CL192" s="16"/>
      <c r="CM192" s="16">
        <v>0.18579999999999999</v>
      </c>
      <c r="CN192" s="16"/>
      <c r="CO192" s="16"/>
      <c r="CP192" s="16"/>
      <c r="CQ192" s="16"/>
      <c r="CR192" s="16">
        <v>5.043333333333333E-2</v>
      </c>
      <c r="CS192" s="16">
        <v>27.686666666666667</v>
      </c>
      <c r="CT192" s="16"/>
      <c r="CU192" s="16">
        <v>0.90233333333333343</v>
      </c>
      <c r="CV192" s="16">
        <v>1.3946666666666667</v>
      </c>
      <c r="CW192" s="16">
        <v>0.19476666666666664</v>
      </c>
      <c r="CX192" s="16">
        <v>0.64866666666666661</v>
      </c>
      <c r="CY192" s="16">
        <v>6.3966666666666658E-2</v>
      </c>
      <c r="CZ192" s="16">
        <v>1.4100000000000001E-2</v>
      </c>
      <c r="DA192" s="16">
        <v>3.0649999999999997E-2</v>
      </c>
      <c r="DB192" s="16">
        <v>4.5999999999999999E-3</v>
      </c>
      <c r="DC192" s="16"/>
      <c r="DD192" s="16">
        <v>5.0000000000000001E-3</v>
      </c>
      <c r="DE192" s="16"/>
      <c r="DF192" s="16"/>
      <c r="DG192" s="16"/>
      <c r="DH192" s="16">
        <v>5.7799999999999997E-2</v>
      </c>
      <c r="DI192" s="16">
        <v>8.8600000000000016E-3</v>
      </c>
      <c r="DJ192" s="16"/>
      <c r="DK192" s="16"/>
      <c r="DL192" s="16">
        <v>0.20766666666666667</v>
      </c>
      <c r="DM192" s="16">
        <v>5.553333333333333E-2</v>
      </c>
      <c r="DN192" s="16"/>
      <c r="DO192" s="16"/>
      <c r="DP192" s="16"/>
      <c r="DQ192" s="16"/>
      <c r="DR192" s="16"/>
      <c r="DS192" s="16"/>
      <c r="DT192" s="16"/>
      <c r="DU192" s="16"/>
      <c r="DV192" s="27"/>
      <c r="DW192" s="27"/>
      <c r="DX192" s="27"/>
      <c r="DY192" s="27"/>
      <c r="DZ192" s="27"/>
      <c r="EA192" s="27"/>
      <c r="EB192" s="27"/>
      <c r="EC192" s="27"/>
      <c r="ED192" s="27"/>
      <c r="EE192" s="27"/>
      <c r="EF192" s="27"/>
      <c r="EG192" s="27"/>
      <c r="EH192" s="27"/>
      <c r="EI192" s="27"/>
      <c r="EJ192" s="16"/>
      <c r="EK192" s="18"/>
      <c r="EL192" s="18">
        <f>IFERROR(CR192/'McDonough &amp; Sun 1995 values'!C$2,)</f>
        <v>2.4015873015873015</v>
      </c>
      <c r="EM192" s="18">
        <f>IFERROR(CH192/'McDonough &amp; Sun 1995 values'!D$2,)</f>
        <v>1.917777777777778</v>
      </c>
      <c r="EN192" s="18">
        <f>IFERROR(CS192/'McDonough &amp; Sun 1995 values'!E$2,)</f>
        <v>4.194949494949495</v>
      </c>
      <c r="EO192" s="18">
        <f>IFERROR(DL192/'McDonough &amp; Sun 1995 values'!F$2,)</f>
        <v>2.6121593291404612</v>
      </c>
      <c r="EP192" s="18">
        <f>IFERROR(DM192/'McDonough &amp; Sun 1995 values'!G$2,)</f>
        <v>2.735632183908046</v>
      </c>
      <c r="EQ192" s="18">
        <f>IFERROR(BR192/'McDonough &amp; Sun 1995 values'!H$2,)</f>
        <v>0.99902777777777774</v>
      </c>
      <c r="ER192" s="18">
        <f>IFERROR(DI192/'McDonough &amp; Sun 1995 values'!I$2,)</f>
        <v>0.23945945945945951</v>
      </c>
      <c r="ES192" s="18">
        <f>IFERROR(CM192/'McDonough &amp; Sun 1995 values'!J$2,)</f>
        <v>0.28237082066869301</v>
      </c>
      <c r="ET192" s="18">
        <f>IFERROR(CU192/'McDonough &amp; Sun 1995 values'!K$2,)</f>
        <v>1.3924897119341564</v>
      </c>
      <c r="EU192" s="18">
        <f>IFERROR(CV192/'McDonough &amp; Sun 1995 values'!L$2,)</f>
        <v>0.83263681592039807</v>
      </c>
      <c r="EV192" s="18">
        <f>IFERROR(CW192/'McDonough &amp; Sun 1995 values'!M$2,)</f>
        <v>0.76679790026246708</v>
      </c>
      <c r="EW192" s="18">
        <f>IFERROR(CI192/'McDonough &amp; Sun 1995 values'!N$2,)</f>
        <v>0.44065326633165836</v>
      </c>
      <c r="EX192" s="18">
        <f>IFERROR(CX192/'McDonough &amp; Sun 1995 values'!O$2,)</f>
        <v>0.51893333333333325</v>
      </c>
      <c r="EY192" s="18">
        <f>IFERROR(CY192/'McDonough &amp; Sun 1995 values'!P$2,)</f>
        <v>0.1575533661740558</v>
      </c>
      <c r="EZ192" s="18">
        <f>IFERROR(DH192/'McDonough &amp; Sun 1995 values'!Q$2,)</f>
        <v>0.20424028268551236</v>
      </c>
      <c r="FA192" s="18">
        <f>IFERROR(CK192/'McDonough &amp; Sun 1995 values'!R$2,)</f>
        <v>0.20485714285714288</v>
      </c>
      <c r="FB192" s="18">
        <f>IFERROR(CZ192/'McDonough &amp; Sun 1995 values'!S$2,)</f>
        <v>9.1558441558441575E-2</v>
      </c>
      <c r="FC192" s="18">
        <f>IFERROR(BT192/'McDonough &amp; Sun 1995 values'!T$2,)</f>
        <v>8.1872752420470273E-3</v>
      </c>
      <c r="FD192" s="18">
        <f>IFERROR(DA192/'McDonough &amp; Sun 1995 values'!U$2,)</f>
        <v>5.634191176470587E-2</v>
      </c>
      <c r="FE192" s="18">
        <f>IFERROR(DN192/'McDonough &amp; Sun 1995 values'!V$2,)</f>
        <v>0</v>
      </c>
      <c r="FF192" s="18">
        <f>IFERROR(DB192/'McDonough &amp; Sun 1995 values'!W$2,)</f>
        <v>6.8249258160237381E-3</v>
      </c>
      <c r="FG192" s="18">
        <f>IFERROR(CJ192/'McDonough &amp; Sun 1995 values'!X$2,)</f>
        <v>2.0387596899224809E-3</v>
      </c>
      <c r="FH192" s="18">
        <f>IFERROR(DC192/'McDonough &amp; Sun 1995 values'!Y$2,)</f>
        <v>0</v>
      </c>
      <c r="FI192" s="18">
        <f>IFERROR(DD192/'McDonough &amp; Sun 1995 values'!Z$2,)</f>
        <v>1.1415525114155251E-2</v>
      </c>
      <c r="FJ192" s="18">
        <f>IFERROR(DE192/'McDonough &amp; Sun 1995 values'!AA$2,)</f>
        <v>0</v>
      </c>
      <c r="FK192" s="18">
        <f>IFERROR(DF192/'McDonough &amp; Sun 1995 values'!AB$2,)</f>
        <v>0</v>
      </c>
      <c r="FL192" s="18">
        <f>IFERROR(DG192/'McDonough &amp; Sun 1995 values'!AC$2,)</f>
        <v>0</v>
      </c>
      <c r="FM192" s="16"/>
      <c r="FN192" s="28">
        <f t="shared" si="458"/>
        <v>2.7382944145888963</v>
      </c>
      <c r="FO192" s="4">
        <f t="shared" si="391"/>
        <v>1.5334479246243953</v>
      </c>
      <c r="FP192" s="4">
        <f t="shared" si="392"/>
        <v>9.2508118330162734</v>
      </c>
      <c r="FQ192" s="4">
        <f t="shared" si="393"/>
        <v>0.95486496485386607</v>
      </c>
      <c r="FR192" s="4">
        <f t="shared" si="394"/>
        <v>4.9314221229960973</v>
      </c>
      <c r="FS192" s="4">
        <f t="shared" si="395"/>
        <v>5.8151376232013288</v>
      </c>
      <c r="FT192" s="4">
        <f t="shared" si="396"/>
        <v>0.79854593522802397</v>
      </c>
      <c r="FU192" s="4">
        <f t="shared" si="397"/>
        <v>0.84803188549151964</v>
      </c>
      <c r="FV192" s="4">
        <f t="shared" si="398"/>
        <v>1.3002397081813448</v>
      </c>
      <c r="FW192" s="4">
        <f t="shared" si="399"/>
        <v>1.0030202669303017</v>
      </c>
      <c r="FX192" s="4">
        <f t="shared" si="400"/>
        <v>0.85610530948378205</v>
      </c>
      <c r="FY192" s="4">
        <f t="shared" si="401"/>
        <v>0.69855523573904588</v>
      </c>
      <c r="FZ192" s="4">
        <f t="shared" si="402"/>
        <v>0.97178179529124875</v>
      </c>
      <c r="GA192" s="4">
        <f t="shared" si="403"/>
        <v>0.57466676184275833</v>
      </c>
      <c r="GB192" s="4">
        <f t="shared" si="404"/>
        <v>0.58112653370600242</v>
      </c>
      <c r="GC192" s="4">
        <f t="shared" si="405"/>
        <v>1.2522761132262867</v>
      </c>
      <c r="GD192" s="4">
        <f t="shared" si="406"/>
        <v>1.6059317087406975</v>
      </c>
      <c r="GE192" s="4">
        <f t="shared" si="407"/>
        <v>2.1874012430211733</v>
      </c>
      <c r="GF192" s="4">
        <f t="shared" si="408"/>
        <v>4.1990318870619161</v>
      </c>
      <c r="GG192" s="4">
        <f t="shared" si="409"/>
        <v>14.856172054234486</v>
      </c>
      <c r="GH192" s="4">
        <f t="shared" si="410"/>
        <v>1.8159800795718422</v>
      </c>
      <c r="GI192" s="4">
        <f t="shared" si="411"/>
        <v>8.8382098443762516</v>
      </c>
      <c r="GJ192" s="4">
        <f t="shared" si="412"/>
        <v>204.03001431383078</v>
      </c>
      <c r="GK192" s="4">
        <f t="shared" si="413"/>
        <v>0</v>
      </c>
      <c r="GL192" s="4">
        <f t="shared" si="414"/>
        <v>25.021406609743266</v>
      </c>
      <c r="GM192" s="4">
        <f t="shared" si="415"/>
        <v>1.3620761275935196</v>
      </c>
      <c r="GN192" s="4">
        <f t="shared" si="416"/>
        <v>0.20278126168449914</v>
      </c>
      <c r="GO192" s="4">
        <f t="shared" si="417"/>
        <v>0.10321958570662308</v>
      </c>
      <c r="GP192" s="4">
        <f t="shared" si="418"/>
        <v>0.36519082633053218</v>
      </c>
      <c r="GQ192" s="27">
        <f t="shared" si="419"/>
        <v>153374.29776020462</v>
      </c>
      <c r="GR192" s="28">
        <f t="shared" si="420"/>
        <v>32.261269638702849</v>
      </c>
      <c r="GS192" s="28">
        <f t="shared" si="421"/>
        <v>736.06016386518331</v>
      </c>
      <c r="GT192" s="28">
        <f t="shared" si="422"/>
        <v>17710.648091147777</v>
      </c>
      <c r="GU192" s="28">
        <f t="shared" si="423"/>
        <v>132.84052204171763</v>
      </c>
      <c r="GV192" s="28">
        <f t="shared" si="424"/>
        <v>35.523645220144708</v>
      </c>
      <c r="GW192" s="28">
        <f t="shared" si="425"/>
        <v>153374.29776020462</v>
      </c>
      <c r="GX192" s="28">
        <f t="shared" si="426"/>
        <v>5.667577970897038</v>
      </c>
      <c r="GY192" s="28">
        <f t="shared" si="427"/>
        <v>118.85282020233289</v>
      </c>
      <c r="GZ192" s="28">
        <f t="shared" si="428"/>
        <v>577.20592803680518</v>
      </c>
      <c r="HA192" s="28">
        <f t="shared" si="429"/>
        <v>892.14244658514701</v>
      </c>
      <c r="HB192" s="28">
        <f t="shared" si="430"/>
        <v>124.58863086512936</v>
      </c>
      <c r="HC192" s="28">
        <f t="shared" si="431"/>
        <v>5609.3669556203295</v>
      </c>
      <c r="HD192" s="28">
        <f t="shared" si="432"/>
        <v>414.940057613455</v>
      </c>
      <c r="HE192" s="28">
        <f t="shared" si="433"/>
        <v>40.918292423443994</v>
      </c>
      <c r="HF192" s="28">
        <f t="shared" si="434"/>
        <v>36.973589923007758</v>
      </c>
      <c r="HG192" s="28">
        <f t="shared" si="435"/>
        <v>1375.9548775845967</v>
      </c>
      <c r="HH192" s="28">
        <f t="shared" si="436"/>
        <v>9.0195089604569105</v>
      </c>
      <c r="HI192" s="28">
        <f t="shared" si="437"/>
        <v>6310.8843192114236</v>
      </c>
      <c r="HJ192" s="28">
        <f t="shared" si="438"/>
        <v>19.606237562979025</v>
      </c>
      <c r="HK192" s="28">
        <f t="shared" si="439"/>
        <v>0</v>
      </c>
      <c r="HL192" s="28">
        <f t="shared" si="440"/>
        <v>2.9425348381632475</v>
      </c>
      <c r="HM192" s="28">
        <f t="shared" si="441"/>
        <v>5.6078743654850305</v>
      </c>
      <c r="HN192" s="28">
        <f t="shared" si="442"/>
        <v>0</v>
      </c>
      <c r="HO192" s="28">
        <f t="shared" si="443"/>
        <v>3.1984074327861385</v>
      </c>
      <c r="HP192" s="28">
        <f t="shared" si="444"/>
        <v>0</v>
      </c>
      <c r="HQ192" s="28">
        <f t="shared" si="445"/>
        <v>0</v>
      </c>
      <c r="HR192" s="28">
        <f t="shared" si="446"/>
        <v>0</v>
      </c>
      <c r="HT192" s="4">
        <f>IFERROR(GR192/'McDonough &amp; Sun 1995 values'!C$2,)</f>
        <v>1536.250935176326</v>
      </c>
      <c r="HU192" s="4">
        <f>IFERROR(GS192/'McDonough &amp; Sun 1995 values'!D$2,)</f>
        <v>1226.7669397753057</v>
      </c>
      <c r="HV192" s="4">
        <f>IFERROR(GT192/'McDonough &amp; Sun 1995 values'!E$2,)</f>
        <v>2683.4315289617848</v>
      </c>
      <c r="HW192" s="4">
        <f>IFERROR(GU192/'McDonough &amp; Sun 1995 values'!F$2,)</f>
        <v>1670.9499627889011</v>
      </c>
      <c r="HX192" s="4">
        <f>IFERROR(GV192/'McDonough &amp; Sun 1995 values'!G$2,)</f>
        <v>1749.933262076094</v>
      </c>
      <c r="HY192" s="4">
        <f>IFERROR(GW192/'McDonough &amp; Sun 1995 values'!H$2,)</f>
        <v>639.05957400085254</v>
      </c>
      <c r="HZ192" s="4">
        <f>IFERROR(GX192/'McDonough &amp; Sun 1995 values'!I$2,)</f>
        <v>153.17778299721726</v>
      </c>
      <c r="IA192" s="4">
        <f>IFERROR(GY192/'McDonough &amp; Sun 1995 values'!J$2,)</f>
        <v>180.62738632573388</v>
      </c>
      <c r="IB192" s="4">
        <f>IFERROR(GZ192/'McDonough &amp; Sun 1995 values'!K$2,)</f>
        <v>890.74988894568696</v>
      </c>
      <c r="IC192" s="4">
        <f>IFERROR(HA192/'McDonough &amp; Sun 1995 values'!L$2,)</f>
        <v>532.62235617023703</v>
      </c>
      <c r="ID192" s="4">
        <f>IFERROR(HB192/'McDonough &amp; Sun 1995 values'!M$2,)</f>
        <v>490.50642072885574</v>
      </c>
      <c r="IE192" s="4">
        <f>IFERROR(HC192/'McDonough &amp; Sun 1995 values'!N$2,)</f>
        <v>281.87773646333318</v>
      </c>
      <c r="IF192" s="4">
        <f>IFERROR(HD192/'McDonough &amp; Sun 1995 values'!O$2,)</f>
        <v>331.95204609076399</v>
      </c>
      <c r="IG192" s="4">
        <f>IFERROR(HE192/'McDonough &amp; Sun 1995 values'!P$2,)</f>
        <v>100.78397148631525</v>
      </c>
      <c r="IH192" s="4">
        <f>IFERROR(HF192/'McDonough &amp; Sun 1995 values'!Q$2,)</f>
        <v>130.64872764313697</v>
      </c>
      <c r="II192" s="4">
        <f>IFERROR(HG192/'McDonough &amp; Sun 1995 values'!R$2,)</f>
        <v>131.0433216747235</v>
      </c>
      <c r="IJ192" s="4">
        <f>IFERROR(HH192/'McDonough &amp; Sun 1995 values'!S$2,)</f>
        <v>58.568240002966952</v>
      </c>
      <c r="IK192" s="4">
        <f>IFERROR(HI192/'McDonough &amp; Sun 1995 values'!T$2,)</f>
        <v>5.2372483976858284</v>
      </c>
      <c r="IL192" s="4">
        <f>IFERROR(HJ192/'McDonough &amp; Sun 1995 values'!U$2,)</f>
        <v>36.040877873123208</v>
      </c>
      <c r="IM192" s="4">
        <f>IFERROR(HK192/'McDonough &amp; Sun 1995 values'!V$2,)</f>
        <v>0</v>
      </c>
      <c r="IN192" s="4">
        <f>IFERROR(HL192/'McDonough &amp; Sun 1995 values'!W$2,)</f>
        <v>4.3657786916368657</v>
      </c>
      <c r="IO192" s="4">
        <f>IFERROR(HM192/'McDonough &amp; Sun 1995 values'!X$2,)</f>
        <v>1.3041568291825654</v>
      </c>
      <c r="IP192" s="4">
        <f>IFERROR(HN192/'McDonough &amp; Sun 1995 values'!Y$2,)</f>
        <v>0</v>
      </c>
      <c r="IQ192" s="4">
        <f>IFERROR(HO192/'McDonough &amp; Sun 1995 values'!Z$2,)</f>
        <v>7.3023000748541973</v>
      </c>
      <c r="IR192" s="4">
        <f>IFERROR(HP192/'McDonough &amp; Sun 1995 values'!AA$2,)</f>
        <v>0</v>
      </c>
      <c r="IS192" s="4">
        <f>IFERROR(HQ192/'McDonough &amp; Sun 1995 values'!AB$2,)</f>
        <v>0</v>
      </c>
      <c r="IT192" s="4">
        <f>IFERROR(HR192/'McDonough &amp; Sun 1995 values'!AC$2,)</f>
        <v>0</v>
      </c>
    </row>
    <row r="193" spans="1:254">
      <c r="A193" s="16" t="s">
        <v>1520</v>
      </c>
      <c r="B193" s="16" t="s">
        <v>24</v>
      </c>
      <c r="C193" s="16" t="str">
        <f t="shared" si="304"/>
        <v>silicic</v>
      </c>
      <c r="D193" s="16" t="s">
        <v>1720</v>
      </c>
      <c r="E193" s="16" t="s">
        <v>1394</v>
      </c>
      <c r="F193" s="16" t="s">
        <v>104</v>
      </c>
      <c r="G193" s="16" t="s">
        <v>595</v>
      </c>
      <c r="H193" s="27">
        <v>240</v>
      </c>
      <c r="I193" s="16" t="s">
        <v>736</v>
      </c>
      <c r="J193" s="16" t="s">
        <v>596</v>
      </c>
      <c r="K193" s="16" t="s">
        <v>48</v>
      </c>
      <c r="L193" s="16">
        <v>0</v>
      </c>
      <c r="M193" s="16" t="s">
        <v>743</v>
      </c>
      <c r="N193" s="16">
        <v>42</v>
      </c>
      <c r="O193" s="26">
        <v>41.3</v>
      </c>
      <c r="P193" s="26">
        <v>4.5999999999999996</v>
      </c>
      <c r="Q193" s="26"/>
      <c r="R193" s="26">
        <v>4.9000000000000004</v>
      </c>
      <c r="S193" s="26">
        <v>11.1</v>
      </c>
      <c r="T193" s="26">
        <v>5.0999999999999996</v>
      </c>
      <c r="U193" s="26"/>
      <c r="V193" s="26">
        <v>6.8</v>
      </c>
      <c r="W193" s="26">
        <v>2.4</v>
      </c>
      <c r="X193" s="26">
        <v>18.7</v>
      </c>
      <c r="Y193" s="26"/>
      <c r="Z193" s="26">
        <v>2</v>
      </c>
      <c r="AA193" s="26"/>
      <c r="AB193" s="26"/>
      <c r="AC193" s="26"/>
      <c r="AD193" s="26">
        <v>1.1000000000000001</v>
      </c>
      <c r="AE193" s="26"/>
      <c r="AF193" s="26"/>
      <c r="AG193" s="26"/>
      <c r="AH193" s="26"/>
      <c r="AI193" s="26"/>
      <c r="AJ193" s="26">
        <f t="shared" si="305"/>
        <v>98</v>
      </c>
      <c r="AK193" s="26">
        <f t="shared" si="447"/>
        <v>42.249877355495912</v>
      </c>
      <c r="AL193" s="26">
        <f t="shared" si="448"/>
        <v>4.7057974778518457</v>
      </c>
      <c r="AM193" s="26">
        <f t="shared" si="449"/>
        <v>5.0126973133639225</v>
      </c>
      <c r="AN193" s="26">
        <f t="shared" si="450"/>
        <v>11.355293913946845</v>
      </c>
      <c r="AO193" s="26">
        <f t="shared" si="451"/>
        <v>5.2172972037053071</v>
      </c>
      <c r="AP193" s="26">
        <f t="shared" si="452"/>
        <v>6.9563962716070762</v>
      </c>
      <c r="AQ193" s="26">
        <f t="shared" si="453"/>
        <v>0</v>
      </c>
      <c r="AR193" s="26">
        <f t="shared" si="454"/>
        <v>2.4551986840966147</v>
      </c>
      <c r="AS193" s="26">
        <f t="shared" si="455"/>
        <v>19.13008974691946</v>
      </c>
      <c r="AT193" s="26">
        <f t="shared" si="456"/>
        <v>2.0459989034138459</v>
      </c>
      <c r="AU193" s="26">
        <f t="shared" si="457"/>
        <v>1.1252993968776155</v>
      </c>
      <c r="AV193" s="26">
        <f t="shared" si="306"/>
        <v>100.25394626727844</v>
      </c>
      <c r="AW193" s="16">
        <v>120</v>
      </c>
      <c r="AX193" s="16">
        <v>64</v>
      </c>
      <c r="AY193" s="16"/>
      <c r="AZ193" s="16"/>
      <c r="BA193" s="26">
        <v>0.6</v>
      </c>
      <c r="BC193" s="26">
        <f t="shared" ref="BC193:BC199" si="459">(AX193/18.02)/((AX193/18.02)+(AW193/44.01))</f>
        <v>0.56569941193483075</v>
      </c>
      <c r="BD193" s="26">
        <f t="shared" ref="BD193:BD199" si="460">(AW193/44.01)/((AX193/18.02)+(AW193/44.01))</f>
        <v>0.43430058806516919</v>
      </c>
      <c r="BE193" s="16">
        <v>0</v>
      </c>
      <c r="BF193" s="16"/>
      <c r="BG193" s="16">
        <v>0</v>
      </c>
      <c r="BH193" s="16">
        <v>0</v>
      </c>
      <c r="BI193" s="16">
        <v>0</v>
      </c>
      <c r="BJ193" s="16">
        <v>23.3</v>
      </c>
      <c r="BK193" s="18">
        <v>0</v>
      </c>
      <c r="BL193" s="18">
        <v>0</v>
      </c>
      <c r="BM193" s="18">
        <v>0</v>
      </c>
      <c r="BN193" s="18"/>
      <c r="BO193" s="18"/>
      <c r="BP193" s="18"/>
      <c r="BQ193" s="18"/>
      <c r="BR193" s="18">
        <v>55.4</v>
      </c>
      <c r="BS193" s="18"/>
      <c r="BT193" s="18">
        <v>10.8</v>
      </c>
      <c r="BU193" s="18"/>
      <c r="BV193" s="18"/>
      <c r="BW193" s="18"/>
      <c r="BX193" s="18"/>
      <c r="BY193" s="18"/>
      <c r="BZ193" s="18"/>
      <c r="CA193" s="18"/>
      <c r="CB193" s="18"/>
      <c r="CC193" s="18"/>
      <c r="CD193" s="18"/>
      <c r="CE193" s="18"/>
      <c r="CF193" s="18"/>
      <c r="CG193" s="18"/>
      <c r="CH193" s="18">
        <v>0.2</v>
      </c>
      <c r="CI193" s="18">
        <v>0.84</v>
      </c>
      <c r="CJ193" s="18">
        <v>2.5999999999999999E-2</v>
      </c>
      <c r="CK193" s="18">
        <v>0.57999999999999996</v>
      </c>
      <c r="CL193" s="18"/>
      <c r="CM193" s="18">
        <v>5.8000000000000003E-2</v>
      </c>
      <c r="CN193" s="18"/>
      <c r="CO193" s="18"/>
      <c r="CP193" s="18"/>
      <c r="CQ193" s="18"/>
      <c r="CR193" s="18">
        <v>4.0000000000000001E-3</v>
      </c>
      <c r="CS193" s="18">
        <v>1.8</v>
      </c>
      <c r="CT193" s="18"/>
      <c r="CU193" s="18">
        <v>8.5000000000000006E-2</v>
      </c>
      <c r="CV193" s="18">
        <v>0.13900000000000001</v>
      </c>
      <c r="CW193" s="18">
        <v>2.1999999999999999E-2</v>
      </c>
      <c r="CX193" s="18">
        <v>0.104</v>
      </c>
      <c r="CY193" s="18">
        <v>2.8000000000000001E-2</v>
      </c>
      <c r="CZ193" s="18">
        <v>6.0000000000000001E-3</v>
      </c>
      <c r="DA193" s="18">
        <v>1.7000000000000001E-2</v>
      </c>
      <c r="DB193" s="18">
        <v>8.9999999999999993E-3</v>
      </c>
      <c r="DC193" s="18">
        <v>2E-3</v>
      </c>
      <c r="DD193" s="18">
        <v>5.0000000000000001E-3</v>
      </c>
      <c r="DE193" s="18"/>
      <c r="DF193" s="18">
        <v>6.0000000000000001E-3</v>
      </c>
      <c r="DG193" s="18">
        <v>2E-3</v>
      </c>
      <c r="DH193" s="18">
        <v>0.13</v>
      </c>
      <c r="DI193" s="18">
        <v>2E-3</v>
      </c>
      <c r="DJ193" s="18"/>
      <c r="DK193" s="18"/>
      <c r="DL193" s="18">
        <v>1.0999999999999999E-2</v>
      </c>
      <c r="DM193" s="18">
        <v>3.0000000000000001E-3</v>
      </c>
      <c r="DN193" s="18">
        <v>1.6000000000000001E-3</v>
      </c>
      <c r="DO193" s="18"/>
      <c r="DP193" s="18">
        <v>8.599999999999999E-5</v>
      </c>
      <c r="DQ193" s="18"/>
      <c r="DR193" s="18">
        <v>1.7999999999999997E-5</v>
      </c>
      <c r="DS193" s="18"/>
      <c r="DT193" s="18"/>
      <c r="DU193" s="18"/>
      <c r="DV193" s="28"/>
      <c r="DW193" s="28"/>
      <c r="DX193" s="28"/>
      <c r="DY193" s="28"/>
      <c r="DZ193" s="28"/>
      <c r="EA193" s="28"/>
      <c r="EB193" s="28"/>
      <c r="EC193" s="28"/>
      <c r="ED193" s="28"/>
      <c r="EE193" s="28"/>
      <c r="EF193" s="28"/>
      <c r="EG193" s="28"/>
      <c r="EH193" s="28"/>
      <c r="EI193" s="28"/>
      <c r="EJ193" s="18"/>
      <c r="EK193" s="18"/>
      <c r="EL193" s="18">
        <f>IFERROR(CR193/'McDonough &amp; Sun 1995 values'!C$2,)</f>
        <v>0.19047619047619047</v>
      </c>
      <c r="EM193" s="18">
        <f>IFERROR(CH193/'McDonough &amp; Sun 1995 values'!D$2,)</f>
        <v>0.33333333333333337</v>
      </c>
      <c r="EN193" s="18">
        <f>IFERROR(CS193/'McDonough &amp; Sun 1995 values'!E$2,)</f>
        <v>0.27272727272727276</v>
      </c>
      <c r="EO193" s="18">
        <f>IFERROR(DL193/'McDonough &amp; Sun 1995 values'!F$2,)</f>
        <v>0.13836477987421383</v>
      </c>
      <c r="EP193" s="18">
        <f>IFERROR(DM193/'McDonough &amp; Sun 1995 values'!G$2,)</f>
        <v>0.14778325123152711</v>
      </c>
      <c r="EQ193" s="18">
        <f>IFERROR(BR193/'McDonough &amp; Sun 1995 values'!H$2,)</f>
        <v>0.23083333333333333</v>
      </c>
      <c r="ER193" s="18">
        <f>IFERROR(DI193/'McDonough &amp; Sun 1995 values'!I$2,)</f>
        <v>5.4054054054054057E-2</v>
      </c>
      <c r="ES193" s="18">
        <f>IFERROR(CM193/'McDonough &amp; Sun 1995 values'!J$2,)</f>
        <v>8.8145896656534953E-2</v>
      </c>
      <c r="ET193" s="18">
        <f>IFERROR(CU193/'McDonough &amp; Sun 1995 values'!K$2,)</f>
        <v>0.13117283950617284</v>
      </c>
      <c r="EU193" s="18">
        <f>IFERROR(CV193/'McDonough &amp; Sun 1995 values'!L$2,)</f>
        <v>8.2985074626865676E-2</v>
      </c>
      <c r="EV193" s="18">
        <f>IFERROR(CW193/'McDonough &amp; Sun 1995 values'!M$2,)</f>
        <v>8.6614173228346455E-2</v>
      </c>
      <c r="EW193" s="18">
        <f>IFERROR(CI193/'McDonough &amp; Sun 1995 values'!N$2,)</f>
        <v>4.2211055276381908E-2</v>
      </c>
      <c r="EX193" s="18">
        <f>IFERROR(CX193/'McDonough &amp; Sun 1995 values'!O$2,)</f>
        <v>8.3199999999999996E-2</v>
      </c>
      <c r="EY193" s="18">
        <f>IFERROR(CY193/'McDonough &amp; Sun 1995 values'!P$2,)</f>
        <v>6.8965517241379309E-2</v>
      </c>
      <c r="EZ193" s="18">
        <f>IFERROR(DH193/'McDonough &amp; Sun 1995 values'!Q$2,)</f>
        <v>0.45936395759717319</v>
      </c>
      <c r="FA193" s="18">
        <f>IFERROR(CK193/'McDonough &amp; Sun 1995 values'!R$2,)</f>
        <v>5.5238095238095232E-2</v>
      </c>
      <c r="FB193" s="18">
        <f>IFERROR(CZ193/'McDonough &amp; Sun 1995 values'!S$2,)</f>
        <v>3.896103896103896E-2</v>
      </c>
      <c r="FC193" s="18">
        <f>IFERROR(BT193/'McDonough &amp; Sun 1995 values'!T$2,)</f>
        <v>8.9626556016597515E-3</v>
      </c>
      <c r="FD193" s="18">
        <f>IFERROR(DA193/'McDonough &amp; Sun 1995 values'!U$2,)</f>
        <v>3.125E-2</v>
      </c>
      <c r="FE193" s="18">
        <f>IFERROR(DN193/'McDonough &amp; Sun 1995 values'!V$2,)</f>
        <v>1.6161616161616162E-2</v>
      </c>
      <c r="FF193" s="18">
        <f>IFERROR(DB193/'McDonough &amp; Sun 1995 values'!W$2,)</f>
        <v>1.3353115727002965E-2</v>
      </c>
      <c r="FG193" s="18">
        <f>IFERROR(CJ193/'McDonough &amp; Sun 1995 values'!X$2,)</f>
        <v>6.0465116279069765E-3</v>
      </c>
      <c r="FH193" s="18">
        <f>IFERROR(DC193/'McDonough &amp; Sun 1995 values'!Y$2,)</f>
        <v>1.342281879194631E-2</v>
      </c>
      <c r="FI193" s="18">
        <f>IFERROR(DD193/'McDonough &amp; Sun 1995 values'!Z$2,)</f>
        <v>1.1415525114155251E-2</v>
      </c>
      <c r="FJ193" s="18">
        <f>IFERROR(DE193/'McDonough &amp; Sun 1995 values'!AA$2,)</f>
        <v>0</v>
      </c>
      <c r="FK193" s="18">
        <f>IFERROR(DF193/'McDonough &amp; Sun 1995 values'!AB$2,)</f>
        <v>1.3605442176870748E-2</v>
      </c>
      <c r="FL193" s="18">
        <f>IFERROR(DG193/'McDonough &amp; Sun 1995 values'!AC$2,)</f>
        <v>2.9629629629629627E-2</v>
      </c>
      <c r="FN193" s="28">
        <f t="shared" si="458"/>
        <v>0.64021625082250011</v>
      </c>
      <c r="FO193" s="4">
        <f t="shared" si="391"/>
        <v>1.8454545454545455</v>
      </c>
      <c r="FP193" s="4">
        <f t="shared" si="392"/>
        <v>1.5697245716764259</v>
      </c>
      <c r="FQ193" s="4">
        <f t="shared" si="393"/>
        <v>0.93626834381551349</v>
      </c>
      <c r="FR193" s="4">
        <f t="shared" si="394"/>
        <v>1.4881332481907195</v>
      </c>
      <c r="FS193" s="4">
        <f t="shared" si="395"/>
        <v>2.4266975308641974</v>
      </c>
      <c r="FT193" s="4">
        <f t="shared" si="396"/>
        <v>1.7500000000000002</v>
      </c>
      <c r="FU193" s="4">
        <f t="shared" si="397"/>
        <v>0.61323392357875117</v>
      </c>
      <c r="FV193" s="4">
        <f t="shared" si="398"/>
        <v>0.80095238095238086</v>
      </c>
      <c r="FW193" s="4">
        <f t="shared" si="399"/>
        <v>0.12024908424908422</v>
      </c>
      <c r="FX193" s="4">
        <f t="shared" si="400"/>
        <v>0.77754503560955168</v>
      </c>
      <c r="FY193" s="4">
        <f t="shared" si="401"/>
        <v>0.49724458735402699</v>
      </c>
      <c r="FZ193" s="4">
        <f t="shared" si="402"/>
        <v>0.83924646344953313</v>
      </c>
      <c r="GA193" s="4">
        <f t="shared" si="403"/>
        <v>0.48734582000913657</v>
      </c>
      <c r="GB193" s="4">
        <f t="shared" si="404"/>
        <v>0.56493506493506496</v>
      </c>
      <c r="GC193" s="4">
        <f t="shared" si="405"/>
        <v>0.57142857142857129</v>
      </c>
      <c r="GD193" s="4">
        <f t="shared" si="406"/>
        <v>1.9710743801652895</v>
      </c>
      <c r="GE193" s="4">
        <f t="shared" si="407"/>
        <v>0.81818181818181823</v>
      </c>
      <c r="GF193" s="4">
        <f t="shared" si="408"/>
        <v>1.1814899901542502</v>
      </c>
      <c r="GG193" s="4">
        <f t="shared" si="409"/>
        <v>3.0940438871473357</v>
      </c>
      <c r="GH193" s="4">
        <f t="shared" si="410"/>
        <v>1.5144500561167229</v>
      </c>
      <c r="GI193" s="4">
        <f t="shared" si="411"/>
        <v>1.9020061728395061</v>
      </c>
      <c r="GJ193" s="4">
        <f t="shared" si="412"/>
        <v>9.823388203017835</v>
      </c>
      <c r="GK193" s="4">
        <f t="shared" si="413"/>
        <v>9.6412037037037042</v>
      </c>
      <c r="GL193" s="4">
        <f t="shared" si="414"/>
        <v>6.1631393298059951</v>
      </c>
      <c r="GM193" s="4">
        <f t="shared" si="415"/>
        <v>0.41509433962264147</v>
      </c>
      <c r="GN193" s="4">
        <f t="shared" si="416"/>
        <v>0.67198283568746642</v>
      </c>
      <c r="GO193" s="4">
        <f t="shared" si="417"/>
        <v>0.59645390070921978</v>
      </c>
      <c r="GP193" s="4">
        <f t="shared" si="418"/>
        <v>1.5619722222222221</v>
      </c>
      <c r="GQ193" s="27">
        <f t="shared" si="419"/>
        <v>158806.01141371936</v>
      </c>
      <c r="GR193" s="28">
        <f t="shared" si="420"/>
        <v>11.466138008210784</v>
      </c>
      <c r="GS193" s="28">
        <f t="shared" si="421"/>
        <v>573.30690041053924</v>
      </c>
      <c r="GT193" s="28">
        <f t="shared" si="422"/>
        <v>5159.7621036948531</v>
      </c>
      <c r="GU193" s="28">
        <f t="shared" si="423"/>
        <v>31.531879522579654</v>
      </c>
      <c r="GV193" s="28">
        <f t="shared" si="424"/>
        <v>8.599603506158088</v>
      </c>
      <c r="GW193" s="28">
        <f t="shared" si="425"/>
        <v>158806.01141371936</v>
      </c>
      <c r="GX193" s="28">
        <f t="shared" si="426"/>
        <v>5.733069004105392</v>
      </c>
      <c r="GY193" s="28">
        <f t="shared" si="427"/>
        <v>166.25900111905639</v>
      </c>
      <c r="GZ193" s="28">
        <f t="shared" si="428"/>
        <v>243.65543267447919</v>
      </c>
      <c r="HA193" s="28">
        <f t="shared" si="429"/>
        <v>398.44829578532483</v>
      </c>
      <c r="HB193" s="28">
        <f t="shared" si="430"/>
        <v>63.063759045159308</v>
      </c>
      <c r="HC193" s="28">
        <f t="shared" si="431"/>
        <v>2407.8889817242648</v>
      </c>
      <c r="HD193" s="28">
        <f t="shared" si="432"/>
        <v>298.11958821348037</v>
      </c>
      <c r="HE193" s="28">
        <f t="shared" si="433"/>
        <v>80.262966057475495</v>
      </c>
      <c r="HF193" s="28">
        <f t="shared" si="434"/>
        <v>372.64948526685049</v>
      </c>
      <c r="HG193" s="28">
        <f t="shared" si="435"/>
        <v>1662.5900111905637</v>
      </c>
      <c r="HH193" s="28">
        <f t="shared" si="436"/>
        <v>17.199207012316176</v>
      </c>
      <c r="HI193" s="28">
        <f t="shared" si="437"/>
        <v>30958.572622169122</v>
      </c>
      <c r="HJ193" s="28">
        <f t="shared" si="438"/>
        <v>48.731086534895837</v>
      </c>
      <c r="HK193" s="28">
        <f t="shared" si="439"/>
        <v>4.5864552032843138</v>
      </c>
      <c r="HL193" s="28">
        <f t="shared" si="440"/>
        <v>25.798810518474266</v>
      </c>
      <c r="HM193" s="28">
        <f t="shared" si="441"/>
        <v>74.529897053370092</v>
      </c>
      <c r="HN193" s="28">
        <f t="shared" si="442"/>
        <v>5.733069004105392</v>
      </c>
      <c r="HO193" s="28">
        <f t="shared" si="443"/>
        <v>14.332672510263482</v>
      </c>
      <c r="HP193" s="28">
        <f t="shared" si="444"/>
        <v>0</v>
      </c>
      <c r="HQ193" s="28">
        <f t="shared" si="445"/>
        <v>17.199207012316176</v>
      </c>
      <c r="HR193" s="28">
        <f t="shared" si="446"/>
        <v>5.733069004105392</v>
      </c>
      <c r="HT193" s="4">
        <f>IFERROR(GR193/'McDonough &amp; Sun 1995 values'!C$2,)</f>
        <v>546.00657181956115</v>
      </c>
      <c r="HU193" s="4">
        <f>IFERROR(GS193/'McDonough &amp; Sun 1995 values'!D$2,)</f>
        <v>955.51150068423215</v>
      </c>
      <c r="HV193" s="4">
        <f>IFERROR(GT193/'McDonough &amp; Sun 1995 values'!E$2,)</f>
        <v>781.78213692346264</v>
      </c>
      <c r="HW193" s="4">
        <f>IFERROR(GU193/'McDonough &amp; Sun 1995 values'!F$2,)</f>
        <v>396.62741537836041</v>
      </c>
      <c r="HX193" s="4">
        <f>IFERROR(GV193/'McDonough &amp; Sun 1995 values'!G$2,)</f>
        <v>423.62578848069404</v>
      </c>
      <c r="HY193" s="4">
        <f>IFERROR(GW193/'McDonough &amp; Sun 1995 values'!H$2,)</f>
        <v>661.69171422383067</v>
      </c>
      <c r="HZ193" s="4">
        <f>IFERROR(GX193/'McDonough &amp; Sun 1995 values'!I$2,)</f>
        <v>154.94781092176737</v>
      </c>
      <c r="IA193" s="4">
        <f>IFERROR(GY193/'McDonough &amp; Sun 1995 values'!J$2,)</f>
        <v>252.67325398032887</v>
      </c>
      <c r="IB193" s="4">
        <f>IFERROR(GZ193/'McDonough &amp; Sun 1995 values'!K$2,)</f>
        <v>376.0114701766654</v>
      </c>
      <c r="IC193" s="4">
        <f>IFERROR(HA193/'McDonough &amp; Sun 1995 values'!L$2,)</f>
        <v>237.87957957332824</v>
      </c>
      <c r="ID193" s="4">
        <f>IFERROR(HB193/'McDonough &amp; Sun 1995 values'!M$2,)</f>
        <v>248.28251592582404</v>
      </c>
      <c r="IE193" s="4">
        <f>IFERROR(HC193/'McDonough &amp; Sun 1995 values'!N$2,)</f>
        <v>120.99944631780225</v>
      </c>
      <c r="IF193" s="4">
        <f>IFERROR(HD193/'McDonough &amp; Sun 1995 values'!O$2,)</f>
        <v>238.49567057078428</v>
      </c>
      <c r="IG193" s="4">
        <f>IFERROR(HE193/'McDonough &amp; Sun 1995 values'!P$2,)</f>
        <v>197.69203462432387</v>
      </c>
      <c r="IH193" s="4">
        <f>IFERROR(HF193/'McDonough &amp; Sun 1995 values'!Q$2,)</f>
        <v>1316.7826334517686</v>
      </c>
      <c r="II193" s="4">
        <f>IFERROR(HG193/'McDonough &amp; Sun 1995 values'!R$2,)</f>
        <v>158.34190582767275</v>
      </c>
      <c r="IJ193" s="4">
        <f>IFERROR(HH193/'McDonough &amp; Sun 1995 values'!S$2,)</f>
        <v>111.6831624176375</v>
      </c>
      <c r="IK193" s="4">
        <f>IFERROR(HI193/'McDonough &amp; Sun 1995 values'!T$2,)</f>
        <v>25.691761512173546</v>
      </c>
      <c r="IL193" s="4">
        <f>IFERROR(HJ193/'McDonough &amp; Sun 1995 values'!U$2,)</f>
        <v>89.579203189146753</v>
      </c>
      <c r="IM193" s="4">
        <f>IFERROR(HK193/'McDonough &amp; Sun 1995 values'!V$2,)</f>
        <v>46.327830336205189</v>
      </c>
      <c r="IN193" s="4">
        <f>IFERROR(HL193/'McDonough &amp; Sun 1995 values'!W$2,)</f>
        <v>38.277166941356477</v>
      </c>
      <c r="IO193" s="4">
        <f>IFERROR(HM193/'McDonough &amp; Sun 1995 values'!X$2,)</f>
        <v>17.332534198458163</v>
      </c>
      <c r="IP193" s="4">
        <f>IFERROR(HN193/'McDonough &amp; Sun 1995 values'!Y$2,)</f>
        <v>38.476973181915383</v>
      </c>
      <c r="IQ193" s="4">
        <f>IFERROR(HO193/'McDonough &amp; Sun 1995 values'!Z$2,)</f>
        <v>32.722996598775076</v>
      </c>
      <c r="IR193" s="4">
        <f>IFERROR(HP193/'McDonough &amp; Sun 1995 values'!AA$2,)</f>
        <v>0</v>
      </c>
      <c r="IS193" s="4">
        <f>IFERROR(HQ193/'McDonough &amp; Sun 1995 values'!AB$2,)</f>
        <v>39.000469415682936</v>
      </c>
      <c r="IT193" s="4">
        <f>IFERROR(HR193/'McDonough &amp; Sun 1995 values'!AC$2,)</f>
        <v>84.934355616376166</v>
      </c>
    </row>
    <row r="194" spans="1:254">
      <c r="A194" s="16" t="s">
        <v>1520</v>
      </c>
      <c r="B194" s="16" t="s">
        <v>24</v>
      </c>
      <c r="C194" s="16" t="str">
        <f t="shared" ref="C194:C257" si="461">_xlfn.IFS(AND(AU194&gt;=15),"saline",AND(AK194&gt;=40,AU194&lt;=15),"silicic",AND(AK194&lt;=40,AK194&gt;=20,AO194&lt;=15,AU194&lt;=15),"silicic - low-Mg carbonatitic",AND(AO194&lt;15,AP194&gt;=15,AK194&lt;=20,AU194&lt;=15),"low-Mg carbonatitic",AND(AO194&gt;=15,AK194&lt;=20),"high-Mg carbonatitic")</f>
        <v>silicic</v>
      </c>
      <c r="D194" s="16" t="s">
        <v>1720</v>
      </c>
      <c r="E194" s="16" t="s">
        <v>1394</v>
      </c>
      <c r="F194" s="16" t="s">
        <v>104</v>
      </c>
      <c r="G194" s="16" t="s">
        <v>595</v>
      </c>
      <c r="H194" s="27">
        <v>240</v>
      </c>
      <c r="I194" s="16" t="s">
        <v>736</v>
      </c>
      <c r="J194" s="16" t="s">
        <v>596</v>
      </c>
      <c r="K194" s="16" t="s">
        <v>48</v>
      </c>
      <c r="L194" s="16"/>
      <c r="M194" s="16" t="s">
        <v>748</v>
      </c>
      <c r="N194" s="16">
        <v>76</v>
      </c>
      <c r="O194" s="26">
        <v>50.3</v>
      </c>
      <c r="P194" s="26">
        <v>4.5999999999999996</v>
      </c>
      <c r="Q194" s="26"/>
      <c r="R194" s="26">
        <v>5.3</v>
      </c>
      <c r="S194" s="26">
        <v>12.2</v>
      </c>
      <c r="T194" s="26">
        <v>4.4000000000000004</v>
      </c>
      <c r="U194" s="26"/>
      <c r="V194" s="26">
        <v>3.3</v>
      </c>
      <c r="W194" s="26">
        <v>2.8</v>
      </c>
      <c r="X194" s="26">
        <v>12.1</v>
      </c>
      <c r="Y194" s="26"/>
      <c r="Z194" s="26">
        <v>0.9</v>
      </c>
      <c r="AA194" s="26"/>
      <c r="AB194" s="26"/>
      <c r="AC194" s="26"/>
      <c r="AD194" s="26">
        <v>1.2</v>
      </c>
      <c r="AE194" s="26"/>
      <c r="AF194" s="26"/>
      <c r="AG194" s="26"/>
      <c r="AH194" s="26"/>
      <c r="AI194" s="26"/>
      <c r="AJ194" s="26">
        <f t="shared" ref="AJ194:AJ257" si="462">SUM(O194:P194,R194:T194,V194:X194,Z194,AB194,AD194)</f>
        <v>97.1</v>
      </c>
      <c r="AK194" s="26">
        <f t="shared" si="447"/>
        <v>51.947142031029003</v>
      </c>
      <c r="AL194" s="26">
        <f t="shared" si="448"/>
        <v>4.7506332672511613</v>
      </c>
      <c r="AM194" s="26">
        <f t="shared" si="449"/>
        <v>5.4735557209632946</v>
      </c>
      <c r="AN194" s="26">
        <f t="shared" si="450"/>
        <v>12.599505621840038</v>
      </c>
      <c r="AO194" s="26">
        <f t="shared" si="451"/>
        <v>4.5440839947619809</v>
      </c>
      <c r="AP194" s="26">
        <f t="shared" si="452"/>
        <v>3.4080629960714854</v>
      </c>
      <c r="AQ194" s="26">
        <f t="shared" si="453"/>
        <v>0</v>
      </c>
      <c r="AR194" s="26">
        <f t="shared" si="454"/>
        <v>2.8916898148485326</v>
      </c>
      <c r="AS194" s="26">
        <f t="shared" si="455"/>
        <v>12.496230985595446</v>
      </c>
      <c r="AT194" s="26">
        <f t="shared" si="456"/>
        <v>0.92947172620131435</v>
      </c>
      <c r="AU194" s="26">
        <f t="shared" si="457"/>
        <v>1.2392956349350857</v>
      </c>
      <c r="AV194" s="26">
        <f t="shared" ref="AV194:AV257" si="463">SUM(AK194:AU194)</f>
        <v>100.27967179349733</v>
      </c>
      <c r="AW194" s="16">
        <v>130</v>
      </c>
      <c r="AX194" s="16">
        <v>173</v>
      </c>
      <c r="AY194" s="16"/>
      <c r="AZ194" s="16"/>
      <c r="BA194" s="26">
        <v>0.8</v>
      </c>
      <c r="BC194" s="26">
        <f t="shared" si="459"/>
        <v>0.76471249948525211</v>
      </c>
      <c r="BD194" s="26">
        <f t="shared" si="460"/>
        <v>0.23528750051474792</v>
      </c>
      <c r="BE194" s="16">
        <v>0</v>
      </c>
      <c r="BF194" s="16"/>
      <c r="BG194" s="16">
        <v>0</v>
      </c>
      <c r="BH194" s="16">
        <v>0</v>
      </c>
      <c r="BI194" s="16">
        <v>0</v>
      </c>
      <c r="BJ194" s="16">
        <v>31.700000000000003</v>
      </c>
      <c r="BK194" s="18">
        <v>0</v>
      </c>
      <c r="BL194" s="18">
        <v>0</v>
      </c>
      <c r="BM194" s="18">
        <v>0</v>
      </c>
      <c r="BN194" s="18"/>
      <c r="BO194" s="18"/>
      <c r="BP194" s="18"/>
      <c r="BQ194" s="18"/>
      <c r="BR194" s="18">
        <v>102</v>
      </c>
      <c r="BS194" s="18"/>
      <c r="BT194" s="18">
        <v>26.9</v>
      </c>
      <c r="BU194" s="18"/>
      <c r="BV194" s="18"/>
      <c r="BW194" s="18"/>
      <c r="BX194" s="18"/>
      <c r="BY194" s="18"/>
      <c r="BZ194" s="18"/>
      <c r="CA194" s="18"/>
      <c r="CB194" s="18"/>
      <c r="CC194" s="18"/>
      <c r="CD194" s="18"/>
      <c r="CE194" s="18"/>
      <c r="CF194" s="18"/>
      <c r="CG194" s="18"/>
      <c r="CH194" s="18">
        <v>0.5</v>
      </c>
      <c r="CI194" s="18">
        <v>1.96</v>
      </c>
      <c r="CJ194" s="18">
        <v>6.0999999999999999E-2</v>
      </c>
      <c r="CK194" s="18">
        <v>0.4</v>
      </c>
      <c r="CL194" s="18"/>
      <c r="CM194" s="18">
        <v>0.28899999999999998</v>
      </c>
      <c r="CN194" s="18"/>
      <c r="CO194" s="18"/>
      <c r="CP194" s="18"/>
      <c r="CQ194" s="18"/>
      <c r="CR194" s="18">
        <v>1.7000000000000001E-2</v>
      </c>
      <c r="CS194" s="18">
        <v>4.09</v>
      </c>
      <c r="CT194" s="18"/>
      <c r="CU194" s="18">
        <v>0.21</v>
      </c>
      <c r="CV194" s="18">
        <v>0.31</v>
      </c>
      <c r="CW194" s="18">
        <v>4.1000000000000002E-2</v>
      </c>
      <c r="CX194" s="18">
        <v>0.13700000000000001</v>
      </c>
      <c r="CY194" s="18">
        <v>3.1E-2</v>
      </c>
      <c r="CZ194" s="18">
        <v>8.0000000000000002E-3</v>
      </c>
      <c r="DA194" s="18">
        <v>2.5000000000000001E-2</v>
      </c>
      <c r="DB194" s="18">
        <v>1.7000000000000001E-2</v>
      </c>
      <c r="DC194" s="18">
        <v>5.0000000000000001E-3</v>
      </c>
      <c r="DD194" s="18">
        <v>8.0000000000000002E-3</v>
      </c>
      <c r="DE194" s="18"/>
      <c r="DF194" s="18">
        <v>0.01</v>
      </c>
      <c r="DG194" s="18">
        <v>4.0000000000000001E-3</v>
      </c>
      <c r="DH194" s="18">
        <v>0.01</v>
      </c>
      <c r="DI194" s="18">
        <v>0.01</v>
      </c>
      <c r="DJ194" s="18"/>
      <c r="DK194" s="18"/>
      <c r="DL194" s="18">
        <v>0.03</v>
      </c>
      <c r="DM194" s="18">
        <v>6.0000000000000001E-3</v>
      </c>
      <c r="DN194" s="18"/>
      <c r="DO194" s="18"/>
      <c r="DP194" s="18"/>
      <c r="DQ194" s="18"/>
      <c r="DR194" s="18"/>
      <c r="DS194" s="18"/>
      <c r="DT194" s="18"/>
      <c r="DU194" s="18"/>
      <c r="DV194" s="28"/>
      <c r="DW194" s="28"/>
      <c r="DX194" s="28"/>
      <c r="DY194" s="28"/>
      <c r="DZ194" s="28"/>
      <c r="EA194" s="28"/>
      <c r="EB194" s="28"/>
      <c r="EC194" s="28"/>
      <c r="ED194" s="28"/>
      <c r="EE194" s="28"/>
      <c r="EF194" s="28"/>
      <c r="EG194" s="28"/>
      <c r="EH194" s="28"/>
      <c r="EI194" s="28"/>
      <c r="EJ194" s="18"/>
      <c r="EK194" s="18"/>
      <c r="EL194" s="18">
        <f>IFERROR(CR194/'McDonough &amp; Sun 1995 values'!C$2,)</f>
        <v>0.80952380952380953</v>
      </c>
      <c r="EM194" s="18">
        <f>IFERROR(CH194/'McDonough &amp; Sun 1995 values'!D$2,)</f>
        <v>0.83333333333333337</v>
      </c>
      <c r="EN194" s="18">
        <f>IFERROR(CS194/'McDonough &amp; Sun 1995 values'!E$2,)</f>
        <v>0.61969696969696975</v>
      </c>
      <c r="EO194" s="18">
        <f>IFERROR(DL194/'McDonough &amp; Sun 1995 values'!F$2,)</f>
        <v>0.37735849056603771</v>
      </c>
      <c r="EP194" s="18">
        <f>IFERROR(DM194/'McDonough &amp; Sun 1995 values'!G$2,)</f>
        <v>0.29556650246305421</v>
      </c>
      <c r="EQ194" s="18">
        <f>IFERROR(BR194/'McDonough &amp; Sun 1995 values'!H$2,)</f>
        <v>0.42499999999999999</v>
      </c>
      <c r="ER194" s="18">
        <f>IFERROR(DI194/'McDonough &amp; Sun 1995 values'!I$2,)</f>
        <v>0.27027027027027029</v>
      </c>
      <c r="ES194" s="18">
        <f>IFERROR(CM194/'McDonough &amp; Sun 1995 values'!J$2,)</f>
        <v>0.43920972644376893</v>
      </c>
      <c r="ET194" s="18">
        <f>IFERROR(CU194/'McDonough &amp; Sun 1995 values'!K$2,)</f>
        <v>0.32407407407407407</v>
      </c>
      <c r="EU194" s="18">
        <f>IFERROR(CV194/'McDonough &amp; Sun 1995 values'!L$2,)</f>
        <v>0.18507462686567164</v>
      </c>
      <c r="EV194" s="18">
        <f>IFERROR(CW194/'McDonough &amp; Sun 1995 values'!M$2,)</f>
        <v>0.16141732283464566</v>
      </c>
      <c r="EW194" s="18">
        <f>IFERROR(CI194/'McDonough &amp; Sun 1995 values'!N$2,)</f>
        <v>9.8492462311557796E-2</v>
      </c>
      <c r="EX194" s="18">
        <f>IFERROR(CX194/'McDonough &amp; Sun 1995 values'!O$2,)</f>
        <v>0.1096</v>
      </c>
      <c r="EY194" s="18">
        <f>IFERROR(CY194/'McDonough &amp; Sun 1995 values'!P$2,)</f>
        <v>7.6354679802955655E-2</v>
      </c>
      <c r="EZ194" s="18">
        <f>IFERROR(DH194/'McDonough &amp; Sun 1995 values'!Q$2,)</f>
        <v>3.5335689045936397E-2</v>
      </c>
      <c r="FA194" s="18">
        <f>IFERROR(CK194/'McDonough &amp; Sun 1995 values'!R$2,)</f>
        <v>3.8095238095238099E-2</v>
      </c>
      <c r="FB194" s="18">
        <f>IFERROR(CZ194/'McDonough &amp; Sun 1995 values'!S$2,)</f>
        <v>5.1948051948051951E-2</v>
      </c>
      <c r="FC194" s="18">
        <f>IFERROR(BT194/'McDonough &amp; Sun 1995 values'!T$2,)</f>
        <v>2.2323651452282156E-2</v>
      </c>
      <c r="FD194" s="18">
        <f>IFERROR(DA194/'McDonough &amp; Sun 1995 values'!U$2,)</f>
        <v>4.5955882352941173E-2</v>
      </c>
      <c r="FE194" s="18">
        <f>IFERROR(DN194/'McDonough &amp; Sun 1995 values'!V$2,)</f>
        <v>0</v>
      </c>
      <c r="FF194" s="18">
        <f>IFERROR(DB194/'McDonough &amp; Sun 1995 values'!W$2,)</f>
        <v>2.5222551928783383E-2</v>
      </c>
      <c r="FG194" s="18">
        <f>IFERROR(CJ194/'McDonough &amp; Sun 1995 values'!X$2,)</f>
        <v>1.4186046511627907E-2</v>
      </c>
      <c r="FH194" s="18">
        <f>IFERROR(DC194/'McDonough &amp; Sun 1995 values'!Y$2,)</f>
        <v>3.3557046979865772E-2</v>
      </c>
      <c r="FI194" s="18">
        <f>IFERROR(DD194/'McDonough &amp; Sun 1995 values'!Z$2,)</f>
        <v>1.8264840182648401E-2</v>
      </c>
      <c r="FJ194" s="18">
        <f>IFERROR(DE194/'McDonough &amp; Sun 1995 values'!AA$2,)</f>
        <v>0</v>
      </c>
      <c r="FK194" s="18">
        <f>IFERROR(DF194/'McDonough &amp; Sun 1995 values'!AB$2,)</f>
        <v>2.2675736961451247E-2</v>
      </c>
      <c r="FL194" s="18">
        <f>IFERROR(DG194/'McDonough &amp; Sun 1995 values'!AC$2,)</f>
        <v>5.9259259259259255E-2</v>
      </c>
      <c r="FN194" s="28">
        <f t="shared" si="458"/>
        <v>0.69545059403071585</v>
      </c>
      <c r="FO194" s="4">
        <f t="shared" si="391"/>
        <v>2.096641414141414</v>
      </c>
      <c r="FP194" s="4">
        <f t="shared" si="392"/>
        <v>0.85917607886661884</v>
      </c>
      <c r="FQ194" s="4">
        <f t="shared" si="393"/>
        <v>1.2767295597484274</v>
      </c>
      <c r="FR194" s="4">
        <f t="shared" si="394"/>
        <v>0.73785723439702688</v>
      </c>
      <c r="FS194" s="4">
        <f t="shared" si="395"/>
        <v>1.199074074074074</v>
      </c>
      <c r="FT194" s="4">
        <f t="shared" si="396"/>
        <v>1.0294117647058825</v>
      </c>
      <c r="FU194" s="4">
        <f t="shared" si="397"/>
        <v>0.61535584026933521</v>
      </c>
      <c r="FV194" s="4">
        <f t="shared" si="398"/>
        <v>0.49892473118279579</v>
      </c>
      <c r="FW194" s="4">
        <f t="shared" si="399"/>
        <v>1.0780952380952382</v>
      </c>
      <c r="FX194" s="4">
        <f t="shared" si="400"/>
        <v>0.8494450688868399</v>
      </c>
      <c r="FY194" s="4">
        <f t="shared" si="401"/>
        <v>0.74049588222237916</v>
      </c>
      <c r="FZ194" s="4">
        <f t="shared" si="402"/>
        <v>0.87696221476764613</v>
      </c>
      <c r="GA194" s="4">
        <f t="shared" si="403"/>
        <v>0.61017281529599221</v>
      </c>
      <c r="GB194" s="4">
        <f t="shared" si="404"/>
        <v>0.68035190615835794</v>
      </c>
      <c r="GC194" s="4">
        <f t="shared" si="405"/>
        <v>0.97142857142857142</v>
      </c>
      <c r="GD194" s="4">
        <f t="shared" si="406"/>
        <v>1.64219696969697</v>
      </c>
      <c r="GE194" s="4">
        <f t="shared" si="407"/>
        <v>0.74363636363636365</v>
      </c>
      <c r="GF194" s="4">
        <f t="shared" si="408"/>
        <v>1.4581105169340465</v>
      </c>
      <c r="GG194" s="4">
        <f t="shared" si="409"/>
        <v>1.4109363531508863</v>
      </c>
      <c r="GH194" s="4">
        <f t="shared" si="410"/>
        <v>2.0076784101174345</v>
      </c>
      <c r="GI194" s="4">
        <f t="shared" si="411"/>
        <v>4.2443249701314221</v>
      </c>
      <c r="GJ194" s="4">
        <f t="shared" si="412"/>
        <v>12.848583877995642</v>
      </c>
      <c r="GK194" s="4">
        <f t="shared" si="413"/>
        <v>14.291666666666666</v>
      </c>
      <c r="GL194" s="4">
        <f t="shared" si="414"/>
        <v>1.7064967250840859</v>
      </c>
      <c r="GM194" s="4">
        <f t="shared" si="415"/>
        <v>0.45283018867924524</v>
      </c>
      <c r="GN194" s="4">
        <f t="shared" si="416"/>
        <v>1.3552757273122014</v>
      </c>
      <c r="GO194" s="4">
        <f t="shared" si="417"/>
        <v>1.485992907801418</v>
      </c>
      <c r="GP194" s="4">
        <f t="shared" si="418"/>
        <v>1.4379166666666665</v>
      </c>
      <c r="GQ194" s="27">
        <f t="shared" si="419"/>
        <v>103735.87509418277</v>
      </c>
      <c r="GR194" s="28">
        <f t="shared" si="420"/>
        <v>17.28931251569713</v>
      </c>
      <c r="GS194" s="28">
        <f t="shared" si="421"/>
        <v>508.50919163815087</v>
      </c>
      <c r="GT194" s="28">
        <f t="shared" si="422"/>
        <v>4159.6051876000738</v>
      </c>
      <c r="GU194" s="28">
        <f t="shared" si="423"/>
        <v>30.51055149828905</v>
      </c>
      <c r="GV194" s="28">
        <f t="shared" si="424"/>
        <v>6.1021102996578103</v>
      </c>
      <c r="GW194" s="28">
        <f t="shared" si="425"/>
        <v>103735.87509418277</v>
      </c>
      <c r="GX194" s="28">
        <f t="shared" si="426"/>
        <v>10.170183832763017</v>
      </c>
      <c r="GY194" s="28">
        <f t="shared" si="427"/>
        <v>293.91831276685116</v>
      </c>
      <c r="GZ194" s="28">
        <f t="shared" si="428"/>
        <v>213.57386048802334</v>
      </c>
      <c r="HA194" s="28">
        <f t="shared" si="429"/>
        <v>315.27569881565353</v>
      </c>
      <c r="HB194" s="28">
        <f t="shared" si="430"/>
        <v>41.697753714328371</v>
      </c>
      <c r="HC194" s="28">
        <f t="shared" si="431"/>
        <v>1993.3560312215513</v>
      </c>
      <c r="HD194" s="28">
        <f t="shared" si="432"/>
        <v>139.33151850885335</v>
      </c>
      <c r="HE194" s="28">
        <f t="shared" si="433"/>
        <v>31.527569881565352</v>
      </c>
      <c r="HF194" s="28">
        <f t="shared" si="434"/>
        <v>10.170183832763017</v>
      </c>
      <c r="HG194" s="28">
        <f t="shared" si="435"/>
        <v>406.80735331052068</v>
      </c>
      <c r="HH194" s="28">
        <f t="shared" si="436"/>
        <v>8.1361470662104143</v>
      </c>
      <c r="HI194" s="28">
        <f t="shared" si="437"/>
        <v>27357.794510132517</v>
      </c>
      <c r="HJ194" s="28">
        <f t="shared" si="438"/>
        <v>25.425459581907543</v>
      </c>
      <c r="HK194" s="28">
        <f t="shared" si="439"/>
        <v>0</v>
      </c>
      <c r="HL194" s="28">
        <f t="shared" si="440"/>
        <v>17.28931251569713</v>
      </c>
      <c r="HM194" s="28">
        <f t="shared" si="441"/>
        <v>62.038121379854402</v>
      </c>
      <c r="HN194" s="28">
        <f t="shared" si="442"/>
        <v>5.0850919163815087</v>
      </c>
      <c r="HO194" s="28">
        <f t="shared" si="443"/>
        <v>8.1361470662104143</v>
      </c>
      <c r="HP194" s="28">
        <f t="shared" si="444"/>
        <v>0</v>
      </c>
      <c r="HQ194" s="28">
        <f t="shared" si="445"/>
        <v>10.170183832763017</v>
      </c>
      <c r="HR194" s="28">
        <f t="shared" si="446"/>
        <v>4.0680735331052071</v>
      </c>
      <c r="HT194" s="4">
        <f>IFERROR(GR194/'McDonough &amp; Sun 1995 values'!C$2,)</f>
        <v>823.30059598557762</v>
      </c>
      <c r="HU194" s="4">
        <f>IFERROR(GS194/'McDonough &amp; Sun 1995 values'!D$2,)</f>
        <v>847.51531939691813</v>
      </c>
      <c r="HV194" s="4">
        <f>IFERROR(GT194/'McDonough &amp; Sun 1995 values'!E$2,)</f>
        <v>630.24321024243545</v>
      </c>
      <c r="HW194" s="4">
        <f>IFERROR(GU194/'McDonough &amp; Sun 1995 values'!F$2,)</f>
        <v>383.78052199105724</v>
      </c>
      <c r="HX194" s="4">
        <f>IFERROR(GV194/'McDonough &amp; Sun 1995 values'!G$2,)</f>
        <v>300.59656648560644</v>
      </c>
      <c r="HY194" s="4">
        <f>IFERROR(GW194/'McDonough &amp; Sun 1995 values'!H$2,)</f>
        <v>432.23281289242823</v>
      </c>
      <c r="HZ194" s="4">
        <f>IFERROR(GX194/'McDonough &amp; Sun 1995 values'!I$2,)</f>
        <v>274.86983331791942</v>
      </c>
      <c r="IA194" s="4">
        <f>IFERROR(GY194/'McDonough &amp; Sun 1995 values'!J$2,)</f>
        <v>446.68436590706864</v>
      </c>
      <c r="IB194" s="4">
        <f>IFERROR(GZ194/'McDonough &amp; Sun 1995 values'!K$2,)</f>
        <v>329.58929087657924</v>
      </c>
      <c r="IC194" s="4">
        <f>IFERROR(HA194/'McDonough &amp; Sun 1995 values'!L$2,)</f>
        <v>188.22429780039016</v>
      </c>
      <c r="ID194" s="4">
        <f>IFERROR(HB194/'McDonough &amp; Sun 1995 values'!M$2,)</f>
        <v>164.16438470208021</v>
      </c>
      <c r="IE194" s="4">
        <f>IFERROR(HC194/'McDonough &amp; Sun 1995 values'!N$2,)</f>
        <v>100.16864478500258</v>
      </c>
      <c r="IF194" s="4">
        <f>IFERROR(HD194/'McDonough &amp; Sun 1995 values'!O$2,)</f>
        <v>111.46521480708267</v>
      </c>
      <c r="IG194" s="4">
        <f>IFERROR(HE194/'McDonough &amp; Sun 1995 values'!P$2,)</f>
        <v>77.65411300878165</v>
      </c>
      <c r="IH194" s="4">
        <f>IFERROR(HF194/'McDonough &amp; Sun 1995 values'!Q$2,)</f>
        <v>35.937045345452361</v>
      </c>
      <c r="II194" s="4">
        <f>IFERROR(HG194/'McDonough &amp; Sun 1995 values'!R$2,)</f>
        <v>38.743557458144828</v>
      </c>
      <c r="IJ194" s="4">
        <f>IFERROR(HH194/'McDonough &amp; Sun 1995 values'!S$2,)</f>
        <v>52.832123806561135</v>
      </c>
      <c r="IK194" s="4">
        <f>IFERROR(HI194/'McDonough &amp; Sun 1995 values'!T$2,)</f>
        <v>22.703563908823664</v>
      </c>
      <c r="IL194" s="4">
        <f>IFERROR(HJ194/'McDonough &amp; Sun 1995 values'!U$2,)</f>
        <v>46.737977172624156</v>
      </c>
      <c r="IM194" s="4">
        <f>IFERROR(HK194/'McDonough &amp; Sun 1995 values'!V$2,)</f>
        <v>0</v>
      </c>
      <c r="IN194" s="4">
        <f>IFERROR(HL194/'McDonough &amp; Sun 1995 values'!W$2,)</f>
        <v>25.651798984713842</v>
      </c>
      <c r="IO194" s="4">
        <f>IFERROR(HM194/'McDonough &amp; Sun 1995 values'!X$2,)</f>
        <v>14.427470088338234</v>
      </c>
      <c r="IP194" s="4">
        <f>IFERROR(HN194/'McDonough &amp; Sun 1995 values'!Y$2,)</f>
        <v>34.128133666989996</v>
      </c>
      <c r="IQ194" s="4">
        <f>IFERROR(HO194/'McDonough &amp; Sun 1995 values'!Z$2,)</f>
        <v>18.57567823335711</v>
      </c>
      <c r="IR194" s="4">
        <f>IFERROR(HP194/'McDonough &amp; Sun 1995 values'!AA$2,)</f>
        <v>0</v>
      </c>
      <c r="IS194" s="4">
        <f>IFERROR(HQ194/'McDonough &amp; Sun 1995 values'!AB$2,)</f>
        <v>23.061641344133825</v>
      </c>
      <c r="IT194" s="4">
        <f>IFERROR(HR194/'McDonough &amp; Sun 1995 values'!AC$2,)</f>
        <v>60.267756046003065</v>
      </c>
    </row>
    <row r="195" spans="1:254">
      <c r="A195" s="16" t="s">
        <v>1178</v>
      </c>
      <c r="B195" s="16" t="s">
        <v>24</v>
      </c>
      <c r="C195" s="16" t="str">
        <f t="shared" si="461"/>
        <v>silicic</v>
      </c>
      <c r="D195" s="16" t="s">
        <v>1720</v>
      </c>
      <c r="E195" s="16" t="s">
        <v>1394</v>
      </c>
      <c r="F195" s="16" t="s">
        <v>104</v>
      </c>
      <c r="G195" s="16" t="s">
        <v>595</v>
      </c>
      <c r="H195" s="27">
        <v>240</v>
      </c>
      <c r="I195" s="16" t="s">
        <v>736</v>
      </c>
      <c r="J195" s="16" t="s">
        <v>596</v>
      </c>
      <c r="K195" s="16" t="s">
        <v>48</v>
      </c>
      <c r="L195" s="16">
        <v>0</v>
      </c>
      <c r="M195" s="16" t="s">
        <v>747</v>
      </c>
      <c r="N195" s="16">
        <v>12</v>
      </c>
      <c r="O195" s="26">
        <v>50.1</v>
      </c>
      <c r="P195" s="26">
        <v>5</v>
      </c>
      <c r="Q195" s="26"/>
      <c r="R195" s="26">
        <v>6.2</v>
      </c>
      <c r="S195" s="26">
        <v>9.8000000000000007</v>
      </c>
      <c r="T195" s="26">
        <v>4.5999999999999996</v>
      </c>
      <c r="U195" s="26"/>
      <c r="V195" s="26">
        <v>3.2</v>
      </c>
      <c r="W195" s="26">
        <v>0.3</v>
      </c>
      <c r="X195" s="26">
        <v>15.9</v>
      </c>
      <c r="Y195" s="26"/>
      <c r="Z195" s="26">
        <v>0.5</v>
      </c>
      <c r="AA195" s="26"/>
      <c r="AB195" s="26"/>
      <c r="AC195" s="26"/>
      <c r="AD195" s="26">
        <v>1.4</v>
      </c>
      <c r="AE195" s="26"/>
      <c r="AF195" s="26"/>
      <c r="AG195" s="26"/>
      <c r="AH195" s="26"/>
      <c r="AI195" s="26"/>
      <c r="AJ195" s="26">
        <f t="shared" si="462"/>
        <v>97.000000000000014</v>
      </c>
      <c r="AK195" s="26">
        <f t="shared" si="447"/>
        <v>51.818261389662865</v>
      </c>
      <c r="AL195" s="26">
        <f t="shared" si="448"/>
        <v>5.171483172621044</v>
      </c>
      <c r="AM195" s="26">
        <f t="shared" si="449"/>
        <v>6.412639134050095</v>
      </c>
      <c r="AN195" s="26">
        <f t="shared" si="450"/>
        <v>10.136107018337249</v>
      </c>
      <c r="AO195" s="26">
        <f t="shared" si="451"/>
        <v>4.75776451881136</v>
      </c>
      <c r="AP195" s="26">
        <f t="shared" si="452"/>
        <v>3.3097492304774683</v>
      </c>
      <c r="AQ195" s="26">
        <f t="shared" si="453"/>
        <v>0</v>
      </c>
      <c r="AR195" s="26">
        <f t="shared" si="454"/>
        <v>0.31028899035726265</v>
      </c>
      <c r="AS195" s="26">
        <f t="shared" si="455"/>
        <v>16.445316488934921</v>
      </c>
      <c r="AT195" s="26">
        <f t="shared" si="456"/>
        <v>0.51714831726210442</v>
      </c>
      <c r="AU195" s="26">
        <f t="shared" si="457"/>
        <v>1.4480152883338924</v>
      </c>
      <c r="AV195" s="26">
        <f t="shared" si="463"/>
        <v>100.32677354884825</v>
      </c>
      <c r="AW195" s="16">
        <v>15</v>
      </c>
      <c r="AX195" s="16">
        <v>19</v>
      </c>
      <c r="AY195" s="16"/>
      <c r="AZ195" s="16"/>
      <c r="BA195" s="26">
        <v>0.8</v>
      </c>
      <c r="BC195" s="26">
        <f t="shared" si="459"/>
        <v>0.75571401458666598</v>
      </c>
      <c r="BD195" s="26">
        <f t="shared" si="460"/>
        <v>0.2442859854133341</v>
      </c>
      <c r="BE195" s="16">
        <v>0</v>
      </c>
      <c r="BF195" s="16"/>
      <c r="BG195" s="16">
        <v>0</v>
      </c>
      <c r="BH195" s="16">
        <v>0</v>
      </c>
      <c r="BI195" s="16">
        <v>0</v>
      </c>
      <c r="BJ195" s="16">
        <v>30</v>
      </c>
      <c r="BK195" s="18">
        <v>0</v>
      </c>
      <c r="BL195" s="18">
        <v>0</v>
      </c>
      <c r="BM195" s="18">
        <v>0</v>
      </c>
      <c r="BN195" s="18">
        <v>1.1000000000000001</v>
      </c>
      <c r="BO195" s="18"/>
      <c r="BP195" s="18"/>
      <c r="BQ195" s="18"/>
      <c r="BR195" s="18">
        <v>21.2</v>
      </c>
      <c r="BS195" s="18"/>
      <c r="BT195" s="18"/>
      <c r="BU195" s="18">
        <v>0.158</v>
      </c>
      <c r="BV195" s="18"/>
      <c r="BW195" s="18">
        <v>9.43</v>
      </c>
      <c r="BX195" s="18">
        <v>0.36399999999999999</v>
      </c>
      <c r="BY195" s="18"/>
      <c r="BZ195" s="18">
        <v>8.3000000000000004E-2</v>
      </c>
      <c r="CA195" s="18">
        <v>5.4799999999999995E-2</v>
      </c>
      <c r="CB195" s="18"/>
      <c r="CC195" s="18">
        <v>7.3000000000000001E-3</v>
      </c>
      <c r="CD195" s="18"/>
      <c r="CE195" s="18">
        <v>2.8E-3</v>
      </c>
      <c r="CF195" s="18"/>
      <c r="CG195" s="18">
        <v>7.5700000000000003E-2</v>
      </c>
      <c r="CH195" s="18">
        <v>0.17299999999999999</v>
      </c>
      <c r="CI195" s="18">
        <v>1.7</v>
      </c>
      <c r="CJ195" s="18"/>
      <c r="CK195" s="18">
        <v>0.14499999999999999</v>
      </c>
      <c r="CL195" s="18" t="s">
        <v>231</v>
      </c>
      <c r="CM195" s="18">
        <v>0</v>
      </c>
      <c r="CN195" s="18"/>
      <c r="CO195" s="18"/>
      <c r="CP195" s="18"/>
      <c r="CQ195" s="18"/>
      <c r="CR195" s="18">
        <v>5.4000000000000003E-3</v>
      </c>
      <c r="CS195" s="18">
        <v>0.57299999999999995</v>
      </c>
      <c r="CT195" s="18">
        <v>0</v>
      </c>
      <c r="CU195" s="18">
        <v>4.3999999999999997E-2</v>
      </c>
      <c r="CV195" s="18">
        <v>5.6299999999999996E-2</v>
      </c>
      <c r="CW195" s="18"/>
      <c r="CX195" s="18" t="s">
        <v>1332</v>
      </c>
      <c r="CY195" s="18">
        <v>2.3500000000000001E-3</v>
      </c>
      <c r="CZ195" s="18">
        <v>1.75E-3</v>
      </c>
      <c r="DA195" s="18" t="s">
        <v>1338</v>
      </c>
      <c r="DB195" s="18"/>
      <c r="DC195" s="18"/>
      <c r="DD195" s="18"/>
      <c r="DE195" s="18"/>
      <c r="DF195" s="18" t="s">
        <v>222</v>
      </c>
      <c r="DG195" s="18">
        <v>2.9999999999999997E-5</v>
      </c>
      <c r="DH195" s="18">
        <v>2E-3</v>
      </c>
      <c r="DI195" s="18">
        <v>1E-3</v>
      </c>
      <c r="DJ195" s="18"/>
      <c r="DK195" s="18"/>
      <c r="DL195" s="18">
        <v>7.7999999999999996E-3</v>
      </c>
      <c r="DM195" s="18">
        <v>3.0000000000000001E-3</v>
      </c>
      <c r="DN195" s="18">
        <v>1.1999999999999999E-4</v>
      </c>
      <c r="DO195" s="18"/>
      <c r="DP195" s="18">
        <v>1.4999999999999999E-5</v>
      </c>
      <c r="DQ195" s="18"/>
      <c r="DR195" s="18">
        <v>2.9E-5</v>
      </c>
      <c r="DS195" s="18"/>
      <c r="DT195" s="18"/>
      <c r="DU195" s="18"/>
      <c r="DV195" s="28"/>
      <c r="DW195" s="28"/>
      <c r="DX195" s="28"/>
      <c r="DY195" s="28"/>
      <c r="DZ195" s="28"/>
      <c r="EA195" s="28"/>
      <c r="EB195" s="28"/>
      <c r="EC195" s="28"/>
      <c r="ED195" s="28"/>
      <c r="EE195" s="28"/>
      <c r="EF195" s="28"/>
      <c r="EG195" s="28"/>
      <c r="EH195" s="28"/>
      <c r="EI195" s="28"/>
      <c r="EJ195" s="18"/>
      <c r="EK195" s="18"/>
      <c r="EL195" s="18">
        <f>IFERROR(CR195/'McDonough &amp; Sun 1995 values'!C$2,)</f>
        <v>0.25714285714285712</v>
      </c>
      <c r="EM195" s="18">
        <f>IFERROR(CH195/'McDonough &amp; Sun 1995 values'!D$2,)</f>
        <v>0.28833333333333333</v>
      </c>
      <c r="EN195" s="18">
        <f>IFERROR(CS195/'McDonough &amp; Sun 1995 values'!E$2,)</f>
        <v>8.6818181818181822E-2</v>
      </c>
      <c r="EO195" s="18">
        <f>IFERROR(DL195/'McDonough &amp; Sun 1995 values'!F$2,)</f>
        <v>9.8113207547169803E-2</v>
      </c>
      <c r="EP195" s="18">
        <f>IFERROR(DM195/'McDonough &amp; Sun 1995 values'!G$2,)</f>
        <v>0.14778325123152711</v>
      </c>
      <c r="EQ195" s="18">
        <f>IFERROR(BR195/'McDonough &amp; Sun 1995 values'!H$2,)</f>
        <v>8.8333333333333333E-2</v>
      </c>
      <c r="ER195" s="18">
        <f>IFERROR(DI195/'McDonough &amp; Sun 1995 values'!I$2,)</f>
        <v>2.7027027027027029E-2</v>
      </c>
      <c r="ES195" s="18">
        <f>IFERROR(CM195/'McDonough &amp; Sun 1995 values'!J$2,)</f>
        <v>0</v>
      </c>
      <c r="ET195" s="18">
        <f>IFERROR(CU195/'McDonough &amp; Sun 1995 values'!K$2,)</f>
        <v>6.7901234567901231E-2</v>
      </c>
      <c r="EU195" s="18">
        <f>IFERROR(CV195/'McDonough &amp; Sun 1995 values'!L$2,)</f>
        <v>3.3611940298507462E-2</v>
      </c>
      <c r="EV195" s="18">
        <f>IFERROR(CW195/'McDonough &amp; Sun 1995 values'!M$2,)</f>
        <v>0</v>
      </c>
      <c r="EW195" s="18">
        <f>IFERROR(CI195/'McDonough &amp; Sun 1995 values'!N$2,)</f>
        <v>8.5427135678391969E-2</v>
      </c>
      <c r="EX195" s="18">
        <f>IFERROR(CX195/'McDonough &amp; Sun 1995 values'!O$2,)</f>
        <v>0</v>
      </c>
      <c r="EY195" s="18">
        <f>IFERROR(CY195/'McDonough &amp; Sun 1995 values'!P$2,)</f>
        <v>5.7881773399014779E-3</v>
      </c>
      <c r="EZ195" s="18">
        <f>IFERROR(DH195/'McDonough &amp; Sun 1995 values'!Q$2,)</f>
        <v>7.0671378091872799E-3</v>
      </c>
      <c r="FA195" s="18">
        <f>IFERROR(CK195/'McDonough &amp; Sun 1995 values'!R$2,)</f>
        <v>1.3809523809523808E-2</v>
      </c>
      <c r="FB195" s="18">
        <f>IFERROR(CZ195/'McDonough &amp; Sun 1995 values'!S$2,)</f>
        <v>1.1363636363636364E-2</v>
      </c>
      <c r="FC195" s="18">
        <f>IFERROR(BT195/'McDonough &amp; Sun 1995 values'!T$2,)</f>
        <v>0</v>
      </c>
      <c r="FD195" s="18">
        <f>IFERROR(DA195/'McDonough &amp; Sun 1995 values'!U$2,)</f>
        <v>0</v>
      </c>
      <c r="FE195" s="18">
        <f>IFERROR(DN195/'McDonough &amp; Sun 1995 values'!V$2,)</f>
        <v>1.2121212121212119E-3</v>
      </c>
      <c r="FF195" s="18">
        <f>IFERROR(DB195/'McDonough &amp; Sun 1995 values'!W$2,)</f>
        <v>0</v>
      </c>
      <c r="FG195" s="18">
        <f>IFERROR(CJ195/'McDonough &amp; Sun 1995 values'!X$2,)</f>
        <v>0</v>
      </c>
      <c r="FH195" s="18">
        <f>IFERROR(DC195/'McDonough &amp; Sun 1995 values'!Y$2,)</f>
        <v>0</v>
      </c>
      <c r="FI195" s="18">
        <f>IFERROR(DD195/'McDonough &amp; Sun 1995 values'!Z$2,)</f>
        <v>0</v>
      </c>
      <c r="FJ195" s="18">
        <f>IFERROR(DE195/'McDonough &amp; Sun 1995 values'!AA$2,)</f>
        <v>0</v>
      </c>
      <c r="FK195" s="18">
        <f>IFERROR(DF195/'McDonough &amp; Sun 1995 values'!AB$2,)</f>
        <v>0</v>
      </c>
      <c r="FL195" s="18">
        <f>IFERROR(DG195/'McDonough &amp; Sun 1995 values'!AC$2,)</f>
        <v>4.4444444444444436E-4</v>
      </c>
      <c r="FN195" s="28">
        <f t="shared" si="458"/>
        <v>1.6730179384701183</v>
      </c>
      <c r="FO195" s="4">
        <f t="shared" si="391"/>
        <v>0.58746969696969698</v>
      </c>
      <c r="FP195" s="4">
        <f t="shared" si="392"/>
        <v>0</v>
      </c>
      <c r="FQ195" s="4">
        <f t="shared" si="393"/>
        <v>0.66389937106918229</v>
      </c>
      <c r="FR195" s="4">
        <f t="shared" si="394"/>
        <v>0</v>
      </c>
      <c r="FS195" s="4">
        <f t="shared" si="395"/>
        <v>2.5123456790123453</v>
      </c>
      <c r="FT195" s="4">
        <f t="shared" si="396"/>
        <v>1.1212962962962965</v>
      </c>
      <c r="FU195" s="4">
        <f t="shared" si="397"/>
        <v>0</v>
      </c>
      <c r="FV195" s="4">
        <f t="shared" si="398"/>
        <v>2.3858156028368791</v>
      </c>
      <c r="FW195" s="4">
        <f t="shared" si="399"/>
        <v>1.9540476190476186</v>
      </c>
      <c r="FX195" s="4">
        <f t="shared" si="400"/>
        <v>3.9264990328820115</v>
      </c>
      <c r="FY195" s="4">
        <f t="shared" si="401"/>
        <v>0</v>
      </c>
      <c r="FZ195" s="4">
        <f t="shared" si="402"/>
        <v>0</v>
      </c>
      <c r="GA195" s="4">
        <f t="shared" si="403"/>
        <v>0</v>
      </c>
      <c r="GB195" s="4">
        <f t="shared" si="404"/>
        <v>1.9632495164410058</v>
      </c>
      <c r="GC195" s="4">
        <f t="shared" si="405"/>
        <v>0.89182493806771257</v>
      </c>
      <c r="GD195" s="4">
        <f t="shared" si="406"/>
        <v>0.88487762237762246</v>
      </c>
      <c r="GE195" s="4">
        <f t="shared" si="407"/>
        <v>0.30110352075669994</v>
      </c>
      <c r="GF195" s="4">
        <f t="shared" si="408"/>
        <v>0.98284734133790741</v>
      </c>
      <c r="GG195" s="4">
        <f t="shared" si="409"/>
        <v>0</v>
      </c>
      <c r="GH195" s="4">
        <f t="shared" si="410"/>
        <v>0</v>
      </c>
      <c r="GI195" s="4">
        <f t="shared" si="411"/>
        <v>11.731021801943786</v>
      </c>
      <c r="GJ195" s="4">
        <f t="shared" si="412"/>
        <v>0</v>
      </c>
      <c r="GK195" s="4">
        <f t="shared" si="413"/>
        <v>0</v>
      </c>
      <c r="GL195" s="4">
        <f t="shared" si="414"/>
        <v>0</v>
      </c>
      <c r="GM195" s="4">
        <f t="shared" si="415"/>
        <v>0.34027702039480856</v>
      </c>
      <c r="GN195" s="4">
        <f t="shared" si="416"/>
        <v>0</v>
      </c>
      <c r="GO195" s="4">
        <f t="shared" si="417"/>
        <v>0</v>
      </c>
      <c r="GP195" s="4">
        <f t="shared" si="418"/>
        <v>0.59772222222222215</v>
      </c>
      <c r="GQ195" s="27">
        <f t="shared" si="419"/>
        <v>136518.7070523063</v>
      </c>
      <c r="GR195" s="28">
        <f t="shared" si="420"/>
        <v>34.773632928417641</v>
      </c>
      <c r="GS195" s="28">
        <f t="shared" si="421"/>
        <v>1114.0441660400465</v>
      </c>
      <c r="GT195" s="28">
        <f t="shared" si="422"/>
        <v>3689.8688274043166</v>
      </c>
      <c r="GU195" s="28">
        <f t="shared" si="423"/>
        <v>50.228580896603262</v>
      </c>
      <c r="GV195" s="28">
        <f t="shared" si="424"/>
        <v>19.318684960232023</v>
      </c>
      <c r="GW195" s="28">
        <f t="shared" si="425"/>
        <v>136518.7070523063</v>
      </c>
      <c r="GX195" s="28">
        <f t="shared" si="426"/>
        <v>6.4395616534106752</v>
      </c>
      <c r="GY195" s="28">
        <f t="shared" si="427"/>
        <v>0</v>
      </c>
      <c r="GZ195" s="28">
        <f t="shared" si="428"/>
        <v>283.34071275006971</v>
      </c>
      <c r="HA195" s="28">
        <f t="shared" si="429"/>
        <v>362.54732108702098</v>
      </c>
      <c r="HB195" s="28">
        <f t="shared" si="430"/>
        <v>0</v>
      </c>
      <c r="HC195" s="28">
        <f t="shared" si="431"/>
        <v>10947.254810798146</v>
      </c>
      <c r="HD195" s="28" t="str">
        <f t="shared" si="432"/>
        <v/>
      </c>
      <c r="HE195" s="28">
        <f t="shared" si="433"/>
        <v>15.132969885515086</v>
      </c>
      <c r="HF195" s="28">
        <f t="shared" si="434"/>
        <v>12.87912330682135</v>
      </c>
      <c r="HG195" s="28">
        <f t="shared" si="435"/>
        <v>933.73643974454774</v>
      </c>
      <c r="HH195" s="28">
        <f t="shared" si="436"/>
        <v>11.269232893468681</v>
      </c>
      <c r="HI195" s="28">
        <f t="shared" si="437"/>
        <v>0</v>
      </c>
      <c r="HJ195" s="28" t="str">
        <f t="shared" si="438"/>
        <v/>
      </c>
      <c r="HK195" s="28">
        <f t="shared" si="439"/>
        <v>0.77274739840928086</v>
      </c>
      <c r="HL195" s="28">
        <f t="shared" si="440"/>
        <v>0</v>
      </c>
      <c r="HM195" s="28">
        <f t="shared" si="441"/>
        <v>0</v>
      </c>
      <c r="HN195" s="28">
        <f t="shared" si="442"/>
        <v>0</v>
      </c>
      <c r="HO195" s="28">
        <f t="shared" si="443"/>
        <v>0</v>
      </c>
      <c r="HP195" s="28">
        <f t="shared" si="444"/>
        <v>0</v>
      </c>
      <c r="HQ195" s="28" t="str">
        <f t="shared" si="445"/>
        <v/>
      </c>
      <c r="HR195" s="28">
        <f t="shared" si="446"/>
        <v>0.19318684960232022</v>
      </c>
      <c r="HT195" s="4">
        <f>IFERROR(GR195/'McDonough &amp; Sun 1995 values'!C$2,)</f>
        <v>1655.8872823056017</v>
      </c>
      <c r="HU195" s="4">
        <f>IFERROR(GS195/'McDonough &amp; Sun 1995 values'!D$2,)</f>
        <v>1856.7402767334111</v>
      </c>
      <c r="HV195" s="4">
        <f>IFERROR(GT195/'McDonough &amp; Sun 1995 values'!E$2,)</f>
        <v>559.07103445519954</v>
      </c>
      <c r="HW195" s="4">
        <f>IFERROR(GU195/'McDonough &amp; Sun 1995 values'!F$2,)</f>
        <v>631.80604901387744</v>
      </c>
      <c r="HX195" s="4">
        <f>IFERROR(GV195/'McDonough &amp; Sun 1995 values'!G$2,)</f>
        <v>951.65935764689777</v>
      </c>
      <c r="HY195" s="4">
        <f>IFERROR(GW195/'McDonough &amp; Sun 1995 values'!H$2,)</f>
        <v>568.82794605127629</v>
      </c>
      <c r="HZ195" s="4">
        <f>IFERROR(GX195/'McDonough &amp; Sun 1995 values'!I$2,)</f>
        <v>174.04220684893718</v>
      </c>
      <c r="IA195" s="4">
        <f>IFERROR(GY195/'McDonough &amp; Sun 1995 values'!J$2,)</f>
        <v>0</v>
      </c>
      <c r="IB195" s="4">
        <f>IFERROR(GZ195/'McDonough &amp; Sun 1995 values'!K$2,)</f>
        <v>437.25418634270017</v>
      </c>
      <c r="IC195" s="4">
        <f>IFERROR(HA195/'McDonough &amp; Sun 1995 values'!L$2,)</f>
        <v>216.44616184299758</v>
      </c>
      <c r="ID195" s="4">
        <f>IFERROR(HB195/'McDonough &amp; Sun 1995 values'!M$2,)</f>
        <v>0</v>
      </c>
      <c r="IE195" s="4">
        <f>IFERROR(HC195/'McDonough &amp; Sun 1995 values'!N$2,)</f>
        <v>550.11330707528373</v>
      </c>
      <c r="IF195" s="4">
        <f>IFERROR(HD195/'McDonough &amp; Sun 1995 values'!O$2,)</f>
        <v>0</v>
      </c>
      <c r="IG195" s="4">
        <f>IFERROR(HE195/'McDonough &amp; Sun 1995 values'!P$2,)</f>
        <v>37.273324841170158</v>
      </c>
      <c r="IH195" s="4">
        <f>IFERROR(HF195/'McDonough &amp; Sun 1995 values'!Q$2,)</f>
        <v>45.509269635411137</v>
      </c>
      <c r="II195" s="4">
        <f>IFERROR(HG195/'McDonough &amp; Sun 1995 values'!R$2,)</f>
        <v>88.927279975671212</v>
      </c>
      <c r="IJ195" s="4">
        <f>IFERROR(HH195/'McDonough &amp; Sun 1995 values'!S$2,)</f>
        <v>73.176836970575849</v>
      </c>
      <c r="IK195" s="4">
        <f>IFERROR(HI195/'McDonough &amp; Sun 1995 values'!T$2,)</f>
        <v>0</v>
      </c>
      <c r="IL195" s="4">
        <f>IFERROR(HJ195/'McDonough &amp; Sun 1995 values'!U$2,)</f>
        <v>0</v>
      </c>
      <c r="IM195" s="4">
        <f>IFERROR(HK195/'McDonough &amp; Sun 1995 values'!V$2,)</f>
        <v>7.8055292768614226</v>
      </c>
      <c r="IN195" s="4">
        <f>IFERROR(HL195/'McDonough &amp; Sun 1995 values'!W$2,)</f>
        <v>0</v>
      </c>
      <c r="IO195" s="4">
        <f>IFERROR(HM195/'McDonough &amp; Sun 1995 values'!X$2,)</f>
        <v>0</v>
      </c>
      <c r="IP195" s="4">
        <f>IFERROR(HN195/'McDonough &amp; Sun 1995 values'!Y$2,)</f>
        <v>0</v>
      </c>
      <c r="IQ195" s="4">
        <f>IFERROR(HO195/'McDonough &amp; Sun 1995 values'!Z$2,)</f>
        <v>0</v>
      </c>
      <c r="IR195" s="4">
        <f>IFERROR(HP195/'McDonough &amp; Sun 1995 values'!AA$2,)</f>
        <v>0</v>
      </c>
      <c r="IS195" s="4">
        <f>IFERROR(HQ195/'McDonough &amp; Sun 1995 values'!AB$2,)</f>
        <v>0</v>
      </c>
      <c r="IT195" s="4">
        <f>IFERROR(HR195/'McDonough &amp; Sun 1995 values'!AC$2,)</f>
        <v>2.8620274015158547</v>
      </c>
    </row>
    <row r="196" spans="1:254">
      <c r="A196" s="16" t="s">
        <v>1178</v>
      </c>
      <c r="B196" s="16" t="s">
        <v>24</v>
      </c>
      <c r="C196" s="16" t="str">
        <f t="shared" si="461"/>
        <v>silicic</v>
      </c>
      <c r="D196" s="16" t="s">
        <v>1720</v>
      </c>
      <c r="E196" s="16" t="s">
        <v>1394</v>
      </c>
      <c r="F196" s="16" t="s">
        <v>104</v>
      </c>
      <c r="G196" s="16" t="s">
        <v>595</v>
      </c>
      <c r="H196" s="27">
        <v>240</v>
      </c>
      <c r="I196" s="16" t="s">
        <v>736</v>
      </c>
      <c r="J196" s="16" t="s">
        <v>596</v>
      </c>
      <c r="K196" s="16" t="s">
        <v>48</v>
      </c>
      <c r="L196" s="16">
        <v>0</v>
      </c>
      <c r="M196" s="16" t="s">
        <v>745</v>
      </c>
      <c r="N196" s="16">
        <v>34</v>
      </c>
      <c r="O196" s="26">
        <v>45.1</v>
      </c>
      <c r="P196" s="26">
        <v>4.9000000000000004</v>
      </c>
      <c r="Q196" s="26"/>
      <c r="R196" s="26">
        <v>5.4</v>
      </c>
      <c r="S196" s="26">
        <v>10.7</v>
      </c>
      <c r="T196" s="26">
        <v>5.7</v>
      </c>
      <c r="U196" s="26"/>
      <c r="V196" s="26">
        <v>5.0999999999999996</v>
      </c>
      <c r="W196" s="26">
        <v>1.6</v>
      </c>
      <c r="X196" s="26">
        <v>16.399999999999999</v>
      </c>
      <c r="Y196" s="26"/>
      <c r="Z196" s="26">
        <v>1</v>
      </c>
      <c r="AA196" s="26"/>
      <c r="AB196" s="26"/>
      <c r="AC196" s="26"/>
      <c r="AD196" s="26">
        <v>0.8</v>
      </c>
      <c r="AE196" s="26"/>
      <c r="AF196" s="26"/>
      <c r="AG196" s="26"/>
      <c r="AH196" s="26"/>
      <c r="AI196" s="26"/>
      <c r="AJ196" s="26">
        <f t="shared" si="462"/>
        <v>96.699999999999974</v>
      </c>
      <c r="AK196" s="26">
        <f t="shared" si="447"/>
        <v>46.726326603080722</v>
      </c>
      <c r="AL196" s="26">
        <f t="shared" si="448"/>
        <v>5.0766962384721852</v>
      </c>
      <c r="AM196" s="26">
        <f t="shared" si="449"/>
        <v>5.5947264668877148</v>
      </c>
      <c r="AN196" s="26">
        <f t="shared" si="450"/>
        <v>11.085846888092322</v>
      </c>
      <c r="AO196" s="26">
        <f t="shared" si="451"/>
        <v>5.9055446039370318</v>
      </c>
      <c r="AP196" s="26">
        <f t="shared" si="452"/>
        <v>5.283908329838396</v>
      </c>
      <c r="AQ196" s="26">
        <f t="shared" si="453"/>
        <v>0</v>
      </c>
      <c r="AR196" s="26">
        <f t="shared" si="454"/>
        <v>1.6576967309296931</v>
      </c>
      <c r="AS196" s="26">
        <f t="shared" si="455"/>
        <v>16.991391492029351</v>
      </c>
      <c r="AT196" s="26">
        <f t="shared" si="456"/>
        <v>1.0360604568310581</v>
      </c>
      <c r="AU196" s="26">
        <f t="shared" si="457"/>
        <v>0.82884836546484653</v>
      </c>
      <c r="AV196" s="26">
        <f t="shared" si="463"/>
        <v>100.18704617556331</v>
      </c>
      <c r="AW196" s="16">
        <v>540</v>
      </c>
      <c r="AX196" s="16">
        <v>506</v>
      </c>
      <c r="AY196" s="16"/>
      <c r="AZ196" s="16"/>
      <c r="BA196" s="26">
        <v>0.7</v>
      </c>
      <c r="BC196" s="26">
        <f t="shared" si="459"/>
        <v>0.69591116961136701</v>
      </c>
      <c r="BD196" s="26">
        <f t="shared" si="460"/>
        <v>0.30408883038863294</v>
      </c>
      <c r="BE196" s="16">
        <v>0</v>
      </c>
      <c r="BF196" s="16"/>
      <c r="BG196" s="16">
        <v>0</v>
      </c>
      <c r="BH196" s="16">
        <v>0</v>
      </c>
      <c r="BI196" s="16">
        <v>0</v>
      </c>
      <c r="BJ196" s="16">
        <v>24</v>
      </c>
      <c r="BK196" s="18">
        <v>0</v>
      </c>
      <c r="BL196" s="18">
        <v>0</v>
      </c>
      <c r="BM196" s="18">
        <v>0</v>
      </c>
      <c r="BN196" s="18">
        <v>28.5</v>
      </c>
      <c r="BO196" s="18"/>
      <c r="BP196" s="18"/>
      <c r="BQ196" s="18"/>
      <c r="BR196" s="18">
        <v>306</v>
      </c>
      <c r="BS196" s="18"/>
      <c r="BT196" s="18"/>
      <c r="BU196" s="18">
        <v>0.2</v>
      </c>
      <c r="BV196" s="18"/>
      <c r="BW196" s="18">
        <v>155.19999999999999</v>
      </c>
      <c r="BX196" s="18">
        <v>1.3</v>
      </c>
      <c r="BY196" s="18"/>
      <c r="BZ196" s="18">
        <v>0.60199999999999998</v>
      </c>
      <c r="CA196" s="18">
        <v>0.14299999999999999</v>
      </c>
      <c r="CB196" s="18"/>
      <c r="CC196" s="18">
        <v>5.0500000000000003E-2</v>
      </c>
      <c r="CD196" s="18"/>
      <c r="CE196" s="18">
        <v>8.8999999999999999E-3</v>
      </c>
      <c r="CF196" s="18"/>
      <c r="CG196" s="18">
        <v>4.6200000000000005E-2</v>
      </c>
      <c r="CH196" s="18">
        <v>1.0900000000000001</v>
      </c>
      <c r="CI196" s="18">
        <v>5.9</v>
      </c>
      <c r="CJ196" s="18"/>
      <c r="CK196" s="18">
        <v>3.2</v>
      </c>
      <c r="CL196" s="18">
        <v>1.6999999999999999E-3</v>
      </c>
      <c r="CM196" s="18">
        <v>0</v>
      </c>
      <c r="CN196" s="18"/>
      <c r="CO196" s="18"/>
      <c r="CP196" s="18"/>
      <c r="CQ196" s="18"/>
      <c r="CR196" s="18">
        <v>2.0799999999999999E-2</v>
      </c>
      <c r="CS196" s="18">
        <v>7</v>
      </c>
      <c r="CT196" s="18">
        <v>0</v>
      </c>
      <c r="CU196" s="18">
        <v>0.54200000000000004</v>
      </c>
      <c r="CV196" s="18">
        <v>0.79200000000000004</v>
      </c>
      <c r="CW196" s="18"/>
      <c r="CX196" s="18" t="s">
        <v>1334</v>
      </c>
      <c r="CY196" s="18">
        <v>9.35E-2</v>
      </c>
      <c r="CZ196" s="18">
        <v>3.1399999999999997E-2</v>
      </c>
      <c r="DA196" s="18">
        <v>6.0999999999999999E-2</v>
      </c>
      <c r="DB196" s="18"/>
      <c r="DC196" s="18"/>
      <c r="DD196" s="18"/>
      <c r="DE196" s="18"/>
      <c r="DF196" s="18">
        <v>1.0999999999999999E-2</v>
      </c>
      <c r="DG196" s="18">
        <v>9.5999999999999992E-4</v>
      </c>
      <c r="DH196" s="18">
        <v>6.3200000000000006E-2</v>
      </c>
      <c r="DI196" s="18">
        <v>1.11E-2</v>
      </c>
      <c r="DJ196" s="18"/>
      <c r="DK196" s="18"/>
      <c r="DL196" s="18">
        <v>8.5800000000000001E-2</v>
      </c>
      <c r="DM196" s="18">
        <v>2.64E-2</v>
      </c>
      <c r="DN196" s="18">
        <v>1.0800000000000001E-2</v>
      </c>
      <c r="DO196" s="18"/>
      <c r="DP196" s="18" t="s">
        <v>1340</v>
      </c>
      <c r="DQ196" s="18"/>
      <c r="DR196" s="18">
        <v>4.0000000000000002E-4</v>
      </c>
      <c r="DS196" s="18"/>
      <c r="DT196" s="18"/>
      <c r="DU196" s="18"/>
      <c r="DV196" s="28"/>
      <c r="DW196" s="28"/>
      <c r="DX196" s="28"/>
      <c r="DY196" s="28"/>
      <c r="DZ196" s="28"/>
      <c r="EA196" s="28"/>
      <c r="EB196" s="28"/>
      <c r="EC196" s="28"/>
      <c r="ED196" s="28"/>
      <c r="EE196" s="28"/>
      <c r="EF196" s="28"/>
      <c r="EG196" s="28"/>
      <c r="EH196" s="28"/>
      <c r="EI196" s="28"/>
      <c r="EJ196" s="18"/>
      <c r="EK196" s="18"/>
      <c r="EL196" s="18">
        <f>IFERROR(CR196/'McDonough &amp; Sun 1995 values'!C$2,)</f>
        <v>0.9904761904761904</v>
      </c>
      <c r="EM196" s="18">
        <f>IFERROR(CH196/'McDonough &amp; Sun 1995 values'!D$2,)</f>
        <v>1.8166666666666669</v>
      </c>
      <c r="EN196" s="18">
        <f>IFERROR(CS196/'McDonough &amp; Sun 1995 values'!E$2,)</f>
        <v>1.0606060606060606</v>
      </c>
      <c r="EO196" s="18">
        <f>IFERROR(DL196/'McDonough &amp; Sun 1995 values'!F$2,)</f>
        <v>1.0792452830188679</v>
      </c>
      <c r="EP196" s="18">
        <f>IFERROR(DM196/'McDonough &amp; Sun 1995 values'!G$2,)</f>
        <v>1.3004926108374386</v>
      </c>
      <c r="EQ196" s="18">
        <f>IFERROR(BR196/'McDonough &amp; Sun 1995 values'!H$2,)</f>
        <v>1.2749999999999999</v>
      </c>
      <c r="ER196" s="18">
        <f>IFERROR(DI196/'McDonough &amp; Sun 1995 values'!I$2,)</f>
        <v>0.30000000000000004</v>
      </c>
      <c r="ES196" s="18">
        <f>IFERROR(CM196/'McDonough &amp; Sun 1995 values'!J$2,)</f>
        <v>0</v>
      </c>
      <c r="ET196" s="18">
        <f>IFERROR(CU196/'McDonough &amp; Sun 1995 values'!K$2,)</f>
        <v>0.8364197530864198</v>
      </c>
      <c r="EU196" s="18">
        <f>IFERROR(CV196/'McDonough &amp; Sun 1995 values'!L$2,)</f>
        <v>0.4728358208955224</v>
      </c>
      <c r="EV196" s="18">
        <f>IFERROR(CW196/'McDonough &amp; Sun 1995 values'!M$2,)</f>
        <v>0</v>
      </c>
      <c r="EW196" s="18">
        <f>IFERROR(CI196/'McDonough &amp; Sun 1995 values'!N$2,)</f>
        <v>0.29648241206030157</v>
      </c>
      <c r="EX196" s="18">
        <f>IFERROR(CX196/'McDonough &amp; Sun 1995 values'!O$2,)</f>
        <v>0</v>
      </c>
      <c r="EY196" s="18">
        <f>IFERROR(CY196/'McDonough &amp; Sun 1995 values'!P$2,)</f>
        <v>0.23029556650246305</v>
      </c>
      <c r="EZ196" s="18">
        <f>IFERROR(DH196/'McDonough &amp; Sun 1995 values'!Q$2,)</f>
        <v>0.22332155477031806</v>
      </c>
      <c r="FA196" s="18">
        <f>IFERROR(CK196/'McDonough &amp; Sun 1995 values'!R$2,)</f>
        <v>0.30476190476190479</v>
      </c>
      <c r="FB196" s="18">
        <f>IFERROR(CZ196/'McDonough &amp; Sun 1995 values'!S$2,)</f>
        <v>0.20389610389610388</v>
      </c>
      <c r="FC196" s="18">
        <f>IFERROR(BT196/'McDonough &amp; Sun 1995 values'!T$2,)</f>
        <v>0</v>
      </c>
      <c r="FD196" s="18">
        <f>IFERROR(DA196/'McDonough &amp; Sun 1995 values'!U$2,)</f>
        <v>0.11213235294117646</v>
      </c>
      <c r="FE196" s="18">
        <f>IFERROR(DN196/'McDonough &amp; Sun 1995 values'!V$2,)</f>
        <v>0.10909090909090909</v>
      </c>
      <c r="FF196" s="18">
        <f>IFERROR(DB196/'McDonough &amp; Sun 1995 values'!W$2,)</f>
        <v>0</v>
      </c>
      <c r="FG196" s="18">
        <f>IFERROR(CJ196/'McDonough &amp; Sun 1995 values'!X$2,)</f>
        <v>0</v>
      </c>
      <c r="FH196" s="18">
        <f>IFERROR(DC196/'McDonough &amp; Sun 1995 values'!Y$2,)</f>
        <v>0</v>
      </c>
      <c r="FI196" s="18">
        <f>IFERROR(DD196/'McDonough &amp; Sun 1995 values'!Z$2,)</f>
        <v>0</v>
      </c>
      <c r="FJ196" s="18">
        <f>IFERROR(DE196/'McDonough &amp; Sun 1995 values'!AA$2,)</f>
        <v>0</v>
      </c>
      <c r="FK196" s="18">
        <f>IFERROR(DF196/'McDonough &amp; Sun 1995 values'!AB$2,)</f>
        <v>2.494331065759637E-2</v>
      </c>
      <c r="FL196" s="18">
        <f>IFERROR(DG196/'McDonough &amp; Sun 1995 values'!AC$2,)</f>
        <v>1.4222222222222219E-2</v>
      </c>
      <c r="FN196" s="28">
        <f t="shared" si="458"/>
        <v>1.0199942045783832</v>
      </c>
      <c r="FO196" s="4">
        <f t="shared" si="391"/>
        <v>0.81554178145087219</v>
      </c>
      <c r="FP196" s="4">
        <f t="shared" si="392"/>
        <v>0</v>
      </c>
      <c r="FQ196" s="4">
        <f t="shared" si="393"/>
        <v>0.82987421383647786</v>
      </c>
      <c r="FR196" s="4">
        <f t="shared" si="394"/>
        <v>0</v>
      </c>
      <c r="FS196" s="4">
        <f t="shared" si="395"/>
        <v>2.788065843621399</v>
      </c>
      <c r="FT196" s="4">
        <f t="shared" si="396"/>
        <v>1.8341346153846156</v>
      </c>
      <c r="FU196" s="4">
        <f t="shared" si="397"/>
        <v>0</v>
      </c>
      <c r="FV196" s="4">
        <f t="shared" si="398"/>
        <v>1.3233511586452764</v>
      </c>
      <c r="FW196" s="4">
        <f t="shared" si="399"/>
        <v>1.3646775165762506</v>
      </c>
      <c r="FX196" s="4">
        <f t="shared" si="400"/>
        <v>1.190884810020074</v>
      </c>
      <c r="FY196" s="4">
        <f t="shared" si="401"/>
        <v>0</v>
      </c>
      <c r="FZ196" s="4">
        <f t="shared" si="402"/>
        <v>1.2688219143915129</v>
      </c>
      <c r="GA196" s="4">
        <f t="shared" si="403"/>
        <v>0</v>
      </c>
      <c r="GB196" s="4">
        <f t="shared" si="404"/>
        <v>0.88536703937773453</v>
      </c>
      <c r="GC196" s="4">
        <f t="shared" si="405"/>
        <v>0.54521625163826992</v>
      </c>
      <c r="GD196" s="4">
        <f t="shared" si="406"/>
        <v>0.98272939182030083</v>
      </c>
      <c r="GE196" s="4">
        <f t="shared" si="407"/>
        <v>0.58381984987489566</v>
      </c>
      <c r="GF196" s="4">
        <f t="shared" si="408"/>
        <v>0.83184789067142006</v>
      </c>
      <c r="GG196" s="4">
        <f t="shared" si="409"/>
        <v>0</v>
      </c>
      <c r="GH196" s="4">
        <f t="shared" si="410"/>
        <v>0</v>
      </c>
      <c r="GI196" s="4">
        <f t="shared" si="411"/>
        <v>3.6319403182148284</v>
      </c>
      <c r="GJ196" s="4">
        <f t="shared" si="412"/>
        <v>0</v>
      </c>
      <c r="GK196" s="4">
        <f t="shared" si="413"/>
        <v>33.532828282828291</v>
      </c>
      <c r="GL196" s="4">
        <f t="shared" si="414"/>
        <v>0</v>
      </c>
      <c r="GM196" s="4">
        <f t="shared" si="415"/>
        <v>0.59407997230396392</v>
      </c>
      <c r="GN196" s="4">
        <f t="shared" si="416"/>
        <v>0</v>
      </c>
      <c r="GO196" s="4">
        <f t="shared" si="417"/>
        <v>0</v>
      </c>
      <c r="GP196" s="4">
        <f t="shared" si="418"/>
        <v>0.98039772727272712</v>
      </c>
      <c r="GQ196" s="27">
        <f t="shared" si="419"/>
        <v>141051.87936469051</v>
      </c>
      <c r="GR196" s="28">
        <f t="shared" si="420"/>
        <v>9.5878401659658916</v>
      </c>
      <c r="GS196" s="28">
        <f t="shared" si="421"/>
        <v>502.43970100494334</v>
      </c>
      <c r="GT196" s="28">
        <f t="shared" si="422"/>
        <v>3226.6769789308287</v>
      </c>
      <c r="GU196" s="28">
        <f t="shared" si="423"/>
        <v>39.5498406846093</v>
      </c>
      <c r="GV196" s="28">
        <f t="shared" si="424"/>
        <v>12.169181749110553</v>
      </c>
      <c r="GW196" s="28">
        <f t="shared" si="425"/>
        <v>141051.87936469051</v>
      </c>
      <c r="GX196" s="28">
        <f t="shared" si="426"/>
        <v>5.1165877808760287</v>
      </c>
      <c r="GY196" s="28">
        <f t="shared" si="427"/>
        <v>0</v>
      </c>
      <c r="GZ196" s="28">
        <f t="shared" si="428"/>
        <v>249.83698894007276</v>
      </c>
      <c r="HA196" s="28">
        <f t="shared" si="429"/>
        <v>365.07545247331666</v>
      </c>
      <c r="HB196" s="28">
        <f t="shared" si="430"/>
        <v>0</v>
      </c>
      <c r="HC196" s="28">
        <f t="shared" si="431"/>
        <v>2719.6277393845558</v>
      </c>
      <c r="HD196" s="28" t="str">
        <f t="shared" si="432"/>
        <v/>
      </c>
      <c r="HE196" s="28">
        <f t="shared" si="433"/>
        <v>43.099185361433207</v>
      </c>
      <c r="HF196" s="28">
        <f t="shared" si="434"/>
        <v>29.132283581204057</v>
      </c>
      <c r="HG196" s="28">
        <f t="shared" si="435"/>
        <v>1475.0523332255218</v>
      </c>
      <c r="HH196" s="28">
        <f t="shared" si="436"/>
        <v>14.473951019775429</v>
      </c>
      <c r="HI196" s="28">
        <f t="shared" si="437"/>
        <v>0</v>
      </c>
      <c r="HJ196" s="28">
        <f t="shared" si="438"/>
        <v>28.118185102111507</v>
      </c>
      <c r="HK196" s="28">
        <f t="shared" si="439"/>
        <v>4.9783016246361358</v>
      </c>
      <c r="HL196" s="28">
        <f t="shared" si="440"/>
        <v>0</v>
      </c>
      <c r="HM196" s="28">
        <f t="shared" si="441"/>
        <v>0</v>
      </c>
      <c r="HN196" s="28">
        <f t="shared" si="442"/>
        <v>0</v>
      </c>
      <c r="HO196" s="28">
        <f t="shared" si="443"/>
        <v>0</v>
      </c>
      <c r="HP196" s="28">
        <f t="shared" si="444"/>
        <v>0</v>
      </c>
      <c r="HQ196" s="28">
        <f t="shared" si="445"/>
        <v>5.0704923954627299</v>
      </c>
      <c r="HR196" s="28">
        <f t="shared" si="446"/>
        <v>0.4425156999676565</v>
      </c>
      <c r="HT196" s="4">
        <f>IFERROR(GR196/'McDonough &amp; Sun 1995 values'!C$2,)</f>
        <v>456.5638174269472</v>
      </c>
      <c r="HU196" s="4">
        <f>IFERROR(GS196/'McDonough &amp; Sun 1995 values'!D$2,)</f>
        <v>837.39950167490565</v>
      </c>
      <c r="HV196" s="4">
        <f>IFERROR(GT196/'McDonough &amp; Sun 1995 values'!E$2,)</f>
        <v>488.89045135315587</v>
      </c>
      <c r="HW196" s="4">
        <f>IFERROR(GU196/'McDonough &amp; Sun 1995 values'!F$2,)</f>
        <v>497.48227276238111</v>
      </c>
      <c r="HX196" s="4">
        <f>IFERROR(GV196/'McDonough &amp; Sun 1995 values'!G$2,)</f>
        <v>599.46708123697306</v>
      </c>
      <c r="HY196" s="4">
        <f>IFERROR(GW196/'McDonough &amp; Sun 1995 values'!H$2,)</f>
        <v>587.71616401954384</v>
      </c>
      <c r="HZ196" s="4">
        <f>IFERROR(GX196/'McDonough &amp; Sun 1995 values'!I$2,)</f>
        <v>138.28615623989268</v>
      </c>
      <c r="IA196" s="4">
        <f>IFERROR(GY196/'McDonough &amp; Sun 1995 values'!J$2,)</f>
        <v>0</v>
      </c>
      <c r="IB196" s="4">
        <f>IFERROR(GZ196/'McDonough &amp; Sun 1995 values'!K$2,)</f>
        <v>385.55090885813695</v>
      </c>
      <c r="IC196" s="4">
        <f>IFERROR(HA196/'McDonough &amp; Sun 1995 values'!L$2,)</f>
        <v>217.9554940139204</v>
      </c>
      <c r="ID196" s="4">
        <f>IFERROR(HB196/'McDonough &amp; Sun 1995 values'!M$2,)</f>
        <v>0</v>
      </c>
      <c r="IE196" s="4">
        <f>IFERROR(HC196/'McDonough &amp; Sun 1995 values'!N$2,)</f>
        <v>136.66471052183698</v>
      </c>
      <c r="IF196" s="4">
        <f>IFERROR(HD196/'McDonough &amp; Sun 1995 values'!O$2,)</f>
        <v>0</v>
      </c>
      <c r="IG196" s="4">
        <f>IFERROR(HE196/'McDonough &amp; Sun 1995 values'!P$2,)</f>
        <v>106.1556289690473</v>
      </c>
      <c r="IH196" s="4">
        <f>IFERROR(HF196/'McDonough &amp; Sun 1995 values'!Q$2,)</f>
        <v>102.94093138234651</v>
      </c>
      <c r="II196" s="4">
        <f>IFERROR(HG196/'McDonough &amp; Sun 1995 values'!R$2,)</f>
        <v>140.48117459290683</v>
      </c>
      <c r="IJ196" s="4">
        <f>IFERROR(HH196/'McDonough &amp; Sun 1995 values'!S$2,)</f>
        <v>93.986694933606685</v>
      </c>
      <c r="IK196" s="4">
        <f>IFERROR(HI196/'McDonough &amp; Sun 1995 values'!T$2,)</f>
        <v>0</v>
      </c>
      <c r="IL196" s="4">
        <f>IFERROR(HJ196/'McDonough &amp; Sun 1995 values'!U$2,)</f>
        <v>51.687840261234385</v>
      </c>
      <c r="IM196" s="4">
        <f>IFERROR(HK196/'McDonough &amp; Sun 1995 values'!V$2,)</f>
        <v>50.285874996324601</v>
      </c>
      <c r="IN196" s="4">
        <f>IFERROR(HL196/'McDonough &amp; Sun 1995 values'!W$2,)</f>
        <v>0</v>
      </c>
      <c r="IO196" s="4">
        <f>IFERROR(HM196/'McDonough &amp; Sun 1995 values'!X$2,)</f>
        <v>0</v>
      </c>
      <c r="IP196" s="4">
        <f>IFERROR(HN196/'McDonough &amp; Sun 1995 values'!Y$2,)</f>
        <v>0</v>
      </c>
      <c r="IQ196" s="4">
        <f>IFERROR(HO196/'McDonough &amp; Sun 1995 values'!Z$2,)</f>
        <v>0</v>
      </c>
      <c r="IR196" s="4">
        <f>IFERROR(HP196/'McDonough &amp; Sun 1995 values'!AA$2,)</f>
        <v>0</v>
      </c>
      <c r="IS196" s="4">
        <f>IFERROR(HQ196/'McDonough &amp; Sun 1995 values'!AB$2,)</f>
        <v>11.49771518245517</v>
      </c>
      <c r="IT196" s="4">
        <f>IFERROR(HR196/'McDonough &amp; Sun 1995 values'!AC$2,)</f>
        <v>6.5557881476689843</v>
      </c>
    </row>
    <row r="197" spans="1:254">
      <c r="A197" s="16" t="s">
        <v>1178</v>
      </c>
      <c r="B197" s="16" t="s">
        <v>24</v>
      </c>
      <c r="C197" s="16" t="str">
        <f t="shared" si="461"/>
        <v>silicic</v>
      </c>
      <c r="D197" s="16" t="s">
        <v>1720</v>
      </c>
      <c r="E197" s="16" t="s">
        <v>1394</v>
      </c>
      <c r="F197" s="16" t="s">
        <v>104</v>
      </c>
      <c r="G197" s="16" t="s">
        <v>595</v>
      </c>
      <c r="H197" s="27">
        <v>240</v>
      </c>
      <c r="I197" s="16" t="s">
        <v>736</v>
      </c>
      <c r="J197" s="16" t="s">
        <v>596</v>
      </c>
      <c r="K197" s="16" t="s">
        <v>48</v>
      </c>
      <c r="L197" s="16">
        <v>0</v>
      </c>
      <c r="M197" s="16" t="s">
        <v>746</v>
      </c>
      <c r="N197" s="16">
        <v>42</v>
      </c>
      <c r="O197" s="26">
        <v>47.8</v>
      </c>
      <c r="P197" s="26">
        <v>4.2</v>
      </c>
      <c r="Q197" s="26"/>
      <c r="R197" s="26">
        <v>5.5</v>
      </c>
      <c r="S197" s="26">
        <v>9.9</v>
      </c>
      <c r="T197" s="26">
        <v>4.8</v>
      </c>
      <c r="U197" s="26"/>
      <c r="V197" s="26">
        <v>4.7</v>
      </c>
      <c r="W197" s="26">
        <v>3</v>
      </c>
      <c r="X197" s="26">
        <v>15.3</v>
      </c>
      <c r="Y197" s="26"/>
      <c r="Z197" s="26">
        <v>1.2</v>
      </c>
      <c r="AA197" s="26"/>
      <c r="AB197" s="26"/>
      <c r="AC197" s="26"/>
      <c r="AD197" s="26">
        <v>0.8</v>
      </c>
      <c r="AE197" s="26"/>
      <c r="AF197" s="26"/>
      <c r="AG197" s="26"/>
      <c r="AH197" s="26"/>
      <c r="AI197" s="26"/>
      <c r="AJ197" s="26">
        <f t="shared" si="462"/>
        <v>97.2</v>
      </c>
      <c r="AK197" s="26">
        <f t="shared" si="447"/>
        <v>49.268464298382824</v>
      </c>
      <c r="AL197" s="26">
        <f t="shared" si="448"/>
        <v>4.32902824379096</v>
      </c>
      <c r="AM197" s="26">
        <f t="shared" si="449"/>
        <v>5.6689655573453051</v>
      </c>
      <c r="AN197" s="26">
        <f t="shared" si="450"/>
        <v>10.204138003221548</v>
      </c>
      <c r="AO197" s="26">
        <f t="shared" si="451"/>
        <v>4.9474608500468111</v>
      </c>
      <c r="AP197" s="26">
        <f t="shared" si="452"/>
        <v>4.8443887490041693</v>
      </c>
      <c r="AQ197" s="26">
        <f t="shared" si="453"/>
        <v>0</v>
      </c>
      <c r="AR197" s="26">
        <f t="shared" si="454"/>
        <v>3.0921630312792567</v>
      </c>
      <c r="AS197" s="26">
        <f t="shared" si="455"/>
        <v>15.770031459524212</v>
      </c>
      <c r="AT197" s="26">
        <f t="shared" si="456"/>
        <v>1.2368652125117028</v>
      </c>
      <c r="AU197" s="26">
        <f t="shared" si="457"/>
        <v>0.82457680834113534</v>
      </c>
      <c r="AV197" s="26">
        <f t="shared" si="463"/>
        <v>100.18608221344792</v>
      </c>
      <c r="AW197" s="16">
        <v>285</v>
      </c>
      <c r="AX197" s="16">
        <v>192</v>
      </c>
      <c r="AY197" s="16"/>
      <c r="AZ197" s="16"/>
      <c r="BA197" s="26">
        <v>0.6</v>
      </c>
      <c r="BC197" s="26">
        <f t="shared" si="459"/>
        <v>0.62197529446576594</v>
      </c>
      <c r="BD197" s="26">
        <f t="shared" si="460"/>
        <v>0.37802470553423395</v>
      </c>
      <c r="BE197" s="16">
        <v>0</v>
      </c>
      <c r="BF197" s="16"/>
      <c r="BG197" s="16">
        <v>0</v>
      </c>
      <c r="BH197" s="16">
        <v>0</v>
      </c>
      <c r="BI197" s="16">
        <v>0</v>
      </c>
      <c r="BJ197" s="16">
        <v>11.2</v>
      </c>
      <c r="BK197" s="18">
        <v>0</v>
      </c>
      <c r="BL197" s="18">
        <v>0</v>
      </c>
      <c r="BM197" s="18">
        <v>0</v>
      </c>
      <c r="BN197" s="18">
        <v>18.2</v>
      </c>
      <c r="BO197" s="18"/>
      <c r="BP197" s="18"/>
      <c r="BQ197" s="18"/>
      <c r="BR197" s="18">
        <v>205</v>
      </c>
      <c r="BS197" s="18"/>
      <c r="BT197" s="18"/>
      <c r="BU197" s="18">
        <v>0.39</v>
      </c>
      <c r="BV197" s="18"/>
      <c r="BW197" s="18">
        <v>89.3</v>
      </c>
      <c r="BX197" s="18">
        <v>1.43</v>
      </c>
      <c r="BY197" s="18"/>
      <c r="BZ197" s="18">
        <v>0.53700000000000003</v>
      </c>
      <c r="CA197" s="18">
        <v>0.158</v>
      </c>
      <c r="CB197" s="18"/>
      <c r="CC197" s="18">
        <v>3.0100000000000002E-2</v>
      </c>
      <c r="CD197" s="18"/>
      <c r="CE197" s="18">
        <v>4.4000000000000003E-3</v>
      </c>
      <c r="CF197" s="18"/>
      <c r="CG197" s="18">
        <v>2.2699999999999998E-2</v>
      </c>
      <c r="CH197" s="18">
        <v>1.21</v>
      </c>
      <c r="CI197" s="18">
        <v>3.4</v>
      </c>
      <c r="CJ197" s="18"/>
      <c r="CK197" s="18">
        <v>1.6</v>
      </c>
      <c r="CL197" s="18">
        <v>8.4000000000000012E-3</v>
      </c>
      <c r="CM197" s="18">
        <v>0</v>
      </c>
      <c r="CN197" s="18"/>
      <c r="CO197" s="18"/>
      <c r="CP197" s="18"/>
      <c r="CQ197" s="18"/>
      <c r="CR197" s="18">
        <v>1.1800000000000001E-2</v>
      </c>
      <c r="CS197" s="18">
        <v>5.3109999999999999</v>
      </c>
      <c r="CT197" s="18">
        <v>0</v>
      </c>
      <c r="CU197" s="18">
        <v>0.29699999999999999</v>
      </c>
      <c r="CV197" s="18">
        <v>0.48299999999999998</v>
      </c>
      <c r="CW197" s="18"/>
      <c r="CX197" s="18" t="s">
        <v>1335</v>
      </c>
      <c r="CY197" s="18">
        <v>4.9599999999999998E-2</v>
      </c>
      <c r="CZ197" s="18">
        <v>1.9699999999999999E-2</v>
      </c>
      <c r="DA197" s="18">
        <v>4.2999999999999997E-2</v>
      </c>
      <c r="DB197" s="18"/>
      <c r="DC197" s="18"/>
      <c r="DD197" s="18"/>
      <c r="DE197" s="18"/>
      <c r="DF197" s="18">
        <v>7.6E-3</v>
      </c>
      <c r="DG197" s="18">
        <v>5.6000000000000006E-4</v>
      </c>
      <c r="DH197" s="18">
        <v>3.39E-2</v>
      </c>
      <c r="DI197" s="18">
        <v>6.7000000000000002E-3</v>
      </c>
      <c r="DJ197" s="18"/>
      <c r="DK197" s="18"/>
      <c r="DL197" s="18">
        <v>5.9400000000000001E-2</v>
      </c>
      <c r="DM197" s="18">
        <v>0.01</v>
      </c>
      <c r="DN197" s="18">
        <v>4.2000000000000006E-3</v>
      </c>
      <c r="DO197" s="18"/>
      <c r="DP197" s="18">
        <v>1.4E-5</v>
      </c>
      <c r="DQ197" s="18"/>
      <c r="DR197" s="18">
        <v>1.1E-4</v>
      </c>
      <c r="DS197" s="18"/>
      <c r="DT197" s="18"/>
      <c r="DU197" s="18"/>
      <c r="DV197" s="28"/>
      <c r="DW197" s="28"/>
      <c r="DX197" s="28"/>
      <c r="DY197" s="28"/>
      <c r="DZ197" s="28"/>
      <c r="EA197" s="28"/>
      <c r="EB197" s="28"/>
      <c r="EC197" s="28"/>
      <c r="ED197" s="28"/>
      <c r="EE197" s="28"/>
      <c r="EF197" s="28"/>
      <c r="EG197" s="28"/>
      <c r="EH197" s="28"/>
      <c r="EI197" s="28"/>
      <c r="EJ197" s="18"/>
      <c r="EK197" s="18"/>
      <c r="EL197" s="18">
        <f>IFERROR(CR197/'McDonough &amp; Sun 1995 values'!C$2,)</f>
        <v>0.56190476190476191</v>
      </c>
      <c r="EM197" s="18">
        <f>IFERROR(CH197/'McDonough &amp; Sun 1995 values'!D$2,)</f>
        <v>2.0166666666666666</v>
      </c>
      <c r="EN197" s="18">
        <f>IFERROR(CS197/'McDonough &amp; Sun 1995 values'!E$2,)</f>
        <v>0.80469696969696969</v>
      </c>
      <c r="EO197" s="18">
        <f>IFERROR(DL197/'McDonough &amp; Sun 1995 values'!F$2,)</f>
        <v>0.74716981132075477</v>
      </c>
      <c r="EP197" s="18">
        <f>IFERROR(DM197/'McDonough &amp; Sun 1995 values'!G$2,)</f>
        <v>0.49261083743842371</v>
      </c>
      <c r="EQ197" s="18">
        <f>IFERROR(BR197/'McDonough &amp; Sun 1995 values'!H$2,)</f>
        <v>0.85416666666666663</v>
      </c>
      <c r="ER197" s="18">
        <f>IFERROR(DI197/'McDonough &amp; Sun 1995 values'!I$2,)</f>
        <v>0.18108108108108109</v>
      </c>
      <c r="ES197" s="18">
        <f>IFERROR(CM197/'McDonough &amp; Sun 1995 values'!J$2,)</f>
        <v>0</v>
      </c>
      <c r="ET197" s="18">
        <f>IFERROR(CU197/'McDonough &amp; Sun 1995 values'!K$2,)</f>
        <v>0.45833333333333331</v>
      </c>
      <c r="EU197" s="18">
        <f>IFERROR(CV197/'McDonough &amp; Sun 1995 values'!L$2,)</f>
        <v>0.28835820895522385</v>
      </c>
      <c r="EV197" s="18">
        <f>IFERROR(CW197/'McDonough &amp; Sun 1995 values'!M$2,)</f>
        <v>0</v>
      </c>
      <c r="EW197" s="18">
        <f>IFERROR(CI197/'McDonough &amp; Sun 1995 values'!N$2,)</f>
        <v>0.17085427135678394</v>
      </c>
      <c r="EX197" s="18">
        <f>IFERROR(CX197/'McDonough &amp; Sun 1995 values'!O$2,)</f>
        <v>0</v>
      </c>
      <c r="EY197" s="18">
        <f>IFERROR(CY197/'McDonough &amp; Sun 1995 values'!P$2,)</f>
        <v>0.12216748768472906</v>
      </c>
      <c r="EZ197" s="18">
        <f>IFERROR(DH197/'McDonough &amp; Sun 1995 values'!Q$2,)</f>
        <v>0.11978798586572439</v>
      </c>
      <c r="FA197" s="18">
        <f>IFERROR(CK197/'McDonough &amp; Sun 1995 values'!R$2,)</f>
        <v>0.15238095238095239</v>
      </c>
      <c r="FB197" s="18">
        <f>IFERROR(CZ197/'McDonough &amp; Sun 1995 values'!S$2,)</f>
        <v>0.12792207792207791</v>
      </c>
      <c r="FC197" s="18">
        <f>IFERROR(BT197/'McDonough &amp; Sun 1995 values'!T$2,)</f>
        <v>0</v>
      </c>
      <c r="FD197" s="18">
        <f>IFERROR(DA197/'McDonough &amp; Sun 1995 values'!U$2,)</f>
        <v>7.9044117647058806E-2</v>
      </c>
      <c r="FE197" s="18">
        <f>IFERROR(DN197/'McDonough &amp; Sun 1995 values'!V$2,)</f>
        <v>4.2424242424242427E-2</v>
      </c>
      <c r="FF197" s="18">
        <f>IFERROR(DB197/'McDonough &amp; Sun 1995 values'!W$2,)</f>
        <v>0</v>
      </c>
      <c r="FG197" s="18">
        <f>IFERROR(CJ197/'McDonough &amp; Sun 1995 values'!X$2,)</f>
        <v>0</v>
      </c>
      <c r="FH197" s="18">
        <f>IFERROR(DC197/'McDonough &amp; Sun 1995 values'!Y$2,)</f>
        <v>0</v>
      </c>
      <c r="FI197" s="18">
        <f>IFERROR(DD197/'McDonough &amp; Sun 1995 values'!Z$2,)</f>
        <v>0</v>
      </c>
      <c r="FJ197" s="18">
        <f>IFERROR(DE197/'McDonough &amp; Sun 1995 values'!AA$2,)</f>
        <v>0</v>
      </c>
      <c r="FK197" s="18">
        <f>IFERROR(DF197/'McDonough &amp; Sun 1995 values'!AB$2,)</f>
        <v>1.7233560090702947E-2</v>
      </c>
      <c r="FL197" s="18">
        <f>IFERROR(DG197/'McDonough &amp; Sun 1995 values'!AC$2,)</f>
        <v>8.2962962962962964E-3</v>
      </c>
      <c r="FN197" s="28">
        <f t="shared" si="458"/>
        <v>0.57671512675717895</v>
      </c>
      <c r="FO197" s="4">
        <f t="shared" si="391"/>
        <v>1.6335348484848482</v>
      </c>
      <c r="FP197" s="4">
        <f t="shared" si="392"/>
        <v>0</v>
      </c>
      <c r="FQ197" s="4">
        <f t="shared" si="393"/>
        <v>1.516754716981132</v>
      </c>
      <c r="FR197" s="4">
        <f t="shared" si="394"/>
        <v>0</v>
      </c>
      <c r="FS197" s="4">
        <f t="shared" si="395"/>
        <v>2.5310945273631837</v>
      </c>
      <c r="FT197" s="4">
        <f t="shared" si="396"/>
        <v>3.5889830508474576</v>
      </c>
      <c r="FU197" s="4">
        <f t="shared" si="397"/>
        <v>0</v>
      </c>
      <c r="FV197" s="4">
        <f t="shared" si="398"/>
        <v>1.2473118279569895</v>
      </c>
      <c r="FW197" s="4">
        <f t="shared" si="399"/>
        <v>1.2720887765135553</v>
      </c>
      <c r="FX197" s="4">
        <f t="shared" si="400"/>
        <v>1.271517889946167</v>
      </c>
      <c r="FY197" s="4">
        <f t="shared" si="401"/>
        <v>0</v>
      </c>
      <c r="FZ197" s="4">
        <f t="shared" si="402"/>
        <v>1.3017659449549037</v>
      </c>
      <c r="GA197" s="4">
        <f t="shared" si="403"/>
        <v>0</v>
      </c>
      <c r="GB197" s="4">
        <f t="shared" si="404"/>
        <v>1.0471041055718475</v>
      </c>
      <c r="GC197" s="4">
        <f t="shared" si="405"/>
        <v>0.27863046044864226</v>
      </c>
      <c r="GD197" s="4">
        <f t="shared" si="406"/>
        <v>1.0769934190388735</v>
      </c>
      <c r="GE197" s="4">
        <f t="shared" si="407"/>
        <v>0.39902329075882798</v>
      </c>
      <c r="GF197" s="4">
        <f t="shared" si="408"/>
        <v>0.94208425720620848</v>
      </c>
      <c r="GG197" s="4">
        <f t="shared" si="409"/>
        <v>0</v>
      </c>
      <c r="GH197" s="4">
        <f t="shared" si="410"/>
        <v>0</v>
      </c>
      <c r="GI197" s="4">
        <f t="shared" si="411"/>
        <v>3.751680107526882</v>
      </c>
      <c r="GJ197" s="4">
        <f t="shared" si="412"/>
        <v>0</v>
      </c>
      <c r="GK197" s="4">
        <f t="shared" si="413"/>
        <v>26.595394736842106</v>
      </c>
      <c r="GL197" s="4">
        <f t="shared" si="414"/>
        <v>0</v>
      </c>
      <c r="GM197" s="4">
        <f t="shared" si="415"/>
        <v>0.3704974271012007</v>
      </c>
      <c r="GN197" s="4">
        <f t="shared" si="416"/>
        <v>0</v>
      </c>
      <c r="GO197" s="4">
        <f t="shared" si="417"/>
        <v>0</v>
      </c>
      <c r="GP197" s="4">
        <f t="shared" si="418"/>
        <v>1.733958333333333</v>
      </c>
      <c r="GQ197" s="27">
        <f t="shared" si="419"/>
        <v>130912.91411004476</v>
      </c>
      <c r="GR197" s="28">
        <f t="shared" si="420"/>
        <v>7.535475056090382</v>
      </c>
      <c r="GS197" s="28">
        <f t="shared" si="421"/>
        <v>772.70549303977634</v>
      </c>
      <c r="GT197" s="28">
        <f t="shared" si="422"/>
        <v>3391.6023748216962</v>
      </c>
      <c r="GU197" s="28">
        <f t="shared" si="423"/>
        <v>37.932815112861753</v>
      </c>
      <c r="GV197" s="28">
        <f t="shared" si="424"/>
        <v>6.3859958102460865</v>
      </c>
      <c r="GW197" s="28">
        <f t="shared" si="425"/>
        <v>130912.91411004476</v>
      </c>
      <c r="GX197" s="28">
        <f t="shared" si="426"/>
        <v>4.2786171928648775</v>
      </c>
      <c r="GY197" s="28">
        <f t="shared" si="427"/>
        <v>0</v>
      </c>
      <c r="GZ197" s="28">
        <f t="shared" si="428"/>
        <v>189.66407556430875</v>
      </c>
      <c r="HA197" s="28">
        <f t="shared" si="429"/>
        <v>308.44359763488598</v>
      </c>
      <c r="HB197" s="28">
        <f t="shared" si="430"/>
        <v>0</v>
      </c>
      <c r="HC197" s="28">
        <f t="shared" si="431"/>
        <v>2171.2385754836691</v>
      </c>
      <c r="HD197" s="28" t="str">
        <f t="shared" si="432"/>
        <v/>
      </c>
      <c r="HE197" s="28">
        <f t="shared" si="433"/>
        <v>31.674539218820584</v>
      </c>
      <c r="HF197" s="28">
        <f t="shared" si="434"/>
        <v>21.64852579673423</v>
      </c>
      <c r="HG197" s="28">
        <f t="shared" si="435"/>
        <v>1021.7593296393738</v>
      </c>
      <c r="HH197" s="28">
        <f t="shared" si="436"/>
        <v>12.580411746184788</v>
      </c>
      <c r="HI197" s="28">
        <f t="shared" si="437"/>
        <v>0</v>
      </c>
      <c r="HJ197" s="28">
        <f t="shared" si="438"/>
        <v>27.459781984058168</v>
      </c>
      <c r="HK197" s="28">
        <f t="shared" si="439"/>
        <v>2.6821182403033568</v>
      </c>
      <c r="HL197" s="28">
        <f t="shared" si="440"/>
        <v>0</v>
      </c>
      <c r="HM197" s="28">
        <f t="shared" si="441"/>
        <v>0</v>
      </c>
      <c r="HN197" s="28">
        <f t="shared" si="442"/>
        <v>0</v>
      </c>
      <c r="HO197" s="28">
        <f t="shared" si="443"/>
        <v>0</v>
      </c>
      <c r="HP197" s="28">
        <f t="shared" si="444"/>
        <v>0</v>
      </c>
      <c r="HQ197" s="28">
        <f t="shared" si="445"/>
        <v>4.8533568157870253</v>
      </c>
      <c r="HR197" s="28">
        <f t="shared" si="446"/>
        <v>0.35761576537378087</v>
      </c>
      <c r="HT197" s="4">
        <f>IFERROR(GR197/'McDonough &amp; Sun 1995 values'!C$2,)</f>
        <v>358.83214552811341</v>
      </c>
      <c r="HU197" s="4">
        <f>IFERROR(GS197/'McDonough &amp; Sun 1995 values'!D$2,)</f>
        <v>1287.8424883996272</v>
      </c>
      <c r="HV197" s="4">
        <f>IFERROR(GT197/'McDonough &amp; Sun 1995 values'!E$2,)</f>
        <v>513.87914770025702</v>
      </c>
      <c r="HW197" s="4">
        <f>IFERROR(GU197/'McDonough &amp; Sun 1995 values'!F$2,)</f>
        <v>477.14232846366986</v>
      </c>
      <c r="HX197" s="4">
        <f>IFERROR(GV197/'McDonough &amp; Sun 1995 values'!G$2,)</f>
        <v>314.58107439635899</v>
      </c>
      <c r="HY197" s="4">
        <f>IFERROR(GW197/'McDonough &amp; Sun 1995 values'!H$2,)</f>
        <v>545.47047545851979</v>
      </c>
      <c r="HZ197" s="4">
        <f>IFERROR(GX197/'McDonough &amp; Sun 1995 values'!I$2,)</f>
        <v>115.63830250986156</v>
      </c>
      <c r="IA197" s="4">
        <f>IFERROR(GY197/'McDonough &amp; Sun 1995 values'!J$2,)</f>
        <v>0</v>
      </c>
      <c r="IB197" s="4">
        <f>IFERROR(GZ197/'McDonough &amp; Sun 1995 values'!K$2,)</f>
        <v>292.69147463627894</v>
      </c>
      <c r="IC197" s="4">
        <f>IFERROR(HA197/'McDonough &amp; Sun 1995 values'!L$2,)</f>
        <v>184.14543142381251</v>
      </c>
      <c r="ID197" s="4">
        <f>IFERROR(HB197/'McDonough &amp; Sun 1995 values'!M$2,)</f>
        <v>0</v>
      </c>
      <c r="IE197" s="4">
        <f>IFERROR(HC197/'McDonough &amp; Sun 1995 values'!N$2,)</f>
        <v>109.107466104707</v>
      </c>
      <c r="IF197" s="4">
        <f>IFERROR(HD197/'McDonough &amp; Sun 1995 values'!O$2,)</f>
        <v>0</v>
      </c>
      <c r="IG197" s="4">
        <f>IFERROR(HE197/'McDonough &amp; Sun 1995 values'!P$2,)</f>
        <v>78.016106450297002</v>
      </c>
      <c r="IH197" s="4">
        <f>IFERROR(HF197/'McDonough &amp; Sun 1995 values'!Q$2,)</f>
        <v>76.496557585633326</v>
      </c>
      <c r="II197" s="4">
        <f>IFERROR(HG197/'McDonough &amp; Sun 1995 values'!R$2,)</f>
        <v>97.310412346607038</v>
      </c>
      <c r="IJ197" s="4">
        <f>IFERROR(HH197/'McDonough &amp; Sun 1995 values'!S$2,)</f>
        <v>81.690985364836294</v>
      </c>
      <c r="IK197" s="4">
        <f>IFERROR(HI197/'McDonough &amp; Sun 1995 values'!T$2,)</f>
        <v>0</v>
      </c>
      <c r="IL197" s="4">
        <f>IFERROR(HJ197/'McDonough &amp; Sun 1995 values'!U$2,)</f>
        <v>50.47754041187163</v>
      </c>
      <c r="IM197" s="4">
        <f>IFERROR(HK197/'McDonough &amp; Sun 1995 values'!V$2,)</f>
        <v>27.092103437407644</v>
      </c>
      <c r="IN197" s="4">
        <f>IFERROR(HL197/'McDonough &amp; Sun 1995 values'!W$2,)</f>
        <v>0</v>
      </c>
      <c r="IO197" s="4">
        <f>IFERROR(HM197/'McDonough &amp; Sun 1995 values'!X$2,)</f>
        <v>0</v>
      </c>
      <c r="IP197" s="4">
        <f>IFERROR(HN197/'McDonough &amp; Sun 1995 values'!Y$2,)</f>
        <v>0</v>
      </c>
      <c r="IQ197" s="4">
        <f>IFERROR(HO197/'McDonough &amp; Sun 1995 values'!Z$2,)</f>
        <v>0</v>
      </c>
      <c r="IR197" s="4">
        <f>IFERROR(HP197/'McDonough &amp; Sun 1995 values'!AA$2,)</f>
        <v>0</v>
      </c>
      <c r="IS197" s="4">
        <f>IFERROR(HQ197/'McDonough &amp; Sun 1995 values'!AB$2,)</f>
        <v>11.005344253485317</v>
      </c>
      <c r="IT197" s="4">
        <f>IFERROR(HR197/'McDonough &amp; Sun 1995 values'!AC$2,)</f>
        <v>5.2980113388708272</v>
      </c>
    </row>
    <row r="198" spans="1:254">
      <c r="A198" s="16" t="s">
        <v>1178</v>
      </c>
      <c r="B198" s="16" t="s">
        <v>24</v>
      </c>
      <c r="C198" s="16" t="str">
        <f t="shared" si="461"/>
        <v>silicic</v>
      </c>
      <c r="D198" s="16" t="s">
        <v>1720</v>
      </c>
      <c r="E198" s="16" t="s">
        <v>1394</v>
      </c>
      <c r="F198" s="16" t="s">
        <v>104</v>
      </c>
      <c r="G198" s="16" t="s">
        <v>595</v>
      </c>
      <c r="H198" s="27">
        <v>240</v>
      </c>
      <c r="I198" s="16" t="s">
        <v>736</v>
      </c>
      <c r="J198" s="16" t="s">
        <v>596</v>
      </c>
      <c r="K198" s="16" t="s">
        <v>48</v>
      </c>
      <c r="L198" s="16">
        <v>0</v>
      </c>
      <c r="M198" s="16" t="s">
        <v>749</v>
      </c>
      <c r="N198" s="16">
        <v>36</v>
      </c>
      <c r="O198" s="26">
        <v>52.3</v>
      </c>
      <c r="P198" s="26">
        <v>4.2</v>
      </c>
      <c r="Q198" s="26"/>
      <c r="R198" s="26">
        <v>5.6</v>
      </c>
      <c r="S198" s="26">
        <v>8.8000000000000007</v>
      </c>
      <c r="T198" s="26">
        <v>5.0999999999999996</v>
      </c>
      <c r="U198" s="26"/>
      <c r="V198" s="26">
        <v>5.5</v>
      </c>
      <c r="W198" s="26">
        <v>2</v>
      </c>
      <c r="X198" s="26">
        <v>11.5</v>
      </c>
      <c r="Y198" s="26"/>
      <c r="Z198" s="26">
        <v>0.7</v>
      </c>
      <c r="AA198" s="26"/>
      <c r="AB198" s="26"/>
      <c r="AC198" s="26"/>
      <c r="AD198" s="26">
        <v>0.7</v>
      </c>
      <c r="AE198" s="26"/>
      <c r="AF198" s="26"/>
      <c r="AG198" s="26"/>
      <c r="AH198" s="26"/>
      <c r="AI198" s="26"/>
      <c r="AJ198" s="26">
        <f t="shared" si="462"/>
        <v>96.4</v>
      </c>
      <c r="AK198" s="26">
        <f t="shared" si="447"/>
        <v>54.342161569620551</v>
      </c>
      <c r="AL198" s="26">
        <f t="shared" si="448"/>
        <v>4.3639976786310957</v>
      </c>
      <c r="AM198" s="26">
        <f t="shared" si="449"/>
        <v>5.818663571508127</v>
      </c>
      <c r="AN198" s="26">
        <f t="shared" si="450"/>
        <v>9.143614183798487</v>
      </c>
      <c r="AO198" s="26">
        <f t="shared" si="451"/>
        <v>5.2991400383377592</v>
      </c>
      <c r="AP198" s="26">
        <f t="shared" si="452"/>
        <v>5.7147588648740539</v>
      </c>
      <c r="AQ198" s="26">
        <f t="shared" si="453"/>
        <v>0</v>
      </c>
      <c r="AR198" s="26">
        <f t="shared" si="454"/>
        <v>2.0780941326814744</v>
      </c>
      <c r="AS198" s="26">
        <f t="shared" si="455"/>
        <v>11.949041262918476</v>
      </c>
      <c r="AT198" s="26">
        <f t="shared" si="456"/>
        <v>0.72733294643851587</v>
      </c>
      <c r="AU198" s="26">
        <f t="shared" si="457"/>
        <v>0.72733294643851587</v>
      </c>
      <c r="AV198" s="26">
        <f t="shared" si="463"/>
        <v>100.16413719524706</v>
      </c>
      <c r="AW198" s="16">
        <v>70</v>
      </c>
      <c r="AX198" s="16">
        <v>115</v>
      </c>
      <c r="AY198" s="16"/>
      <c r="AZ198" s="16"/>
      <c r="BA198" s="26">
        <v>0.8</v>
      </c>
      <c r="BC198" s="26">
        <f t="shared" si="459"/>
        <v>0.80049189013926336</v>
      </c>
      <c r="BD198" s="26">
        <f t="shared" si="460"/>
        <v>0.19950810986073658</v>
      </c>
      <c r="BE198" s="16">
        <v>0</v>
      </c>
      <c r="BF198" s="16"/>
      <c r="BG198" s="16">
        <v>0</v>
      </c>
      <c r="BH198" s="16">
        <v>0</v>
      </c>
      <c r="BI198" s="16">
        <v>0</v>
      </c>
      <c r="BJ198" s="16">
        <v>15.5</v>
      </c>
      <c r="BK198" s="18">
        <v>0</v>
      </c>
      <c r="BL198" s="18">
        <v>0</v>
      </c>
      <c r="BM198" s="18">
        <v>0</v>
      </c>
      <c r="BN198" s="18">
        <v>21.1</v>
      </c>
      <c r="BO198" s="18"/>
      <c r="BP198" s="18"/>
      <c r="BQ198" s="18"/>
      <c r="BR198" s="18">
        <v>150</v>
      </c>
      <c r="BS198" s="18"/>
      <c r="BT198" s="18"/>
      <c r="BU198" s="18">
        <v>0.754</v>
      </c>
      <c r="BV198" s="18"/>
      <c r="BW198" s="18">
        <v>85.8</v>
      </c>
      <c r="BX198" s="18">
        <v>1.02</v>
      </c>
      <c r="BY198" s="18"/>
      <c r="BZ198" s="18">
        <v>0.23699999999999999</v>
      </c>
      <c r="CA198" s="18">
        <v>0.13500000000000001</v>
      </c>
      <c r="CB198" s="18"/>
      <c r="CC198" s="18">
        <v>2.3899999999999998E-2</v>
      </c>
      <c r="CD198" s="18"/>
      <c r="CE198" s="18">
        <v>3.8E-3</v>
      </c>
      <c r="CF198" s="18"/>
      <c r="CG198" s="18">
        <v>2.4E-2</v>
      </c>
      <c r="CH198" s="18">
        <v>0.55900000000000005</v>
      </c>
      <c r="CI198" s="18">
        <v>3.75</v>
      </c>
      <c r="CJ198" s="18"/>
      <c r="CK198" s="18">
        <v>0.75600000000000001</v>
      </c>
      <c r="CL198" s="18">
        <v>6.9999999999999999E-4</v>
      </c>
      <c r="CM198" s="18">
        <v>0</v>
      </c>
      <c r="CN198" s="18"/>
      <c r="CO198" s="18"/>
      <c r="CP198" s="18"/>
      <c r="CQ198" s="18"/>
      <c r="CR198" s="18">
        <v>1.6800000000000002E-2</v>
      </c>
      <c r="CS198" s="18">
        <v>4.9370000000000003</v>
      </c>
      <c r="CT198" s="18">
        <v>0</v>
      </c>
      <c r="CU198" s="18">
        <v>0.36799999999999999</v>
      </c>
      <c r="CV198" s="18">
        <v>0.53900000000000003</v>
      </c>
      <c r="CW198" s="18"/>
      <c r="CX198" s="18" t="s">
        <v>1336</v>
      </c>
      <c r="CY198" s="18">
        <v>2.53E-2</v>
      </c>
      <c r="CZ198" s="18">
        <v>9.5999999999999992E-3</v>
      </c>
      <c r="DA198" s="18" t="s">
        <v>1339</v>
      </c>
      <c r="DB198" s="18"/>
      <c r="DC198" s="18"/>
      <c r="DD198" s="18"/>
      <c r="DE198" s="18"/>
      <c r="DF198" s="18">
        <v>4.5999999999999999E-3</v>
      </c>
      <c r="DG198" s="18">
        <v>8.0000000000000004E-4</v>
      </c>
      <c r="DH198" s="18">
        <v>1.7000000000000001E-2</v>
      </c>
      <c r="DI198" s="18">
        <v>2.9600000000000001E-2</v>
      </c>
      <c r="DJ198" s="18"/>
      <c r="DK198" s="18"/>
      <c r="DL198" s="18">
        <v>6.6500000000000004E-2</v>
      </c>
      <c r="DM198" s="18">
        <v>2.3600000000000003E-2</v>
      </c>
      <c r="DN198" s="18">
        <v>3.5999999999999999E-3</v>
      </c>
      <c r="DO198" s="18"/>
      <c r="DP198" s="18">
        <v>1.82E-3</v>
      </c>
      <c r="DQ198" s="18"/>
      <c r="DR198" s="18">
        <v>1.7999999999999998E-4</v>
      </c>
      <c r="DS198" s="18"/>
      <c r="DT198" s="18"/>
      <c r="DU198" s="18"/>
      <c r="DV198" s="28"/>
      <c r="DW198" s="28"/>
      <c r="DX198" s="28"/>
      <c r="DY198" s="28"/>
      <c r="DZ198" s="28"/>
      <c r="EA198" s="28"/>
      <c r="EB198" s="28"/>
      <c r="EC198" s="28"/>
      <c r="ED198" s="28"/>
      <c r="EE198" s="28"/>
      <c r="EF198" s="28"/>
      <c r="EG198" s="28"/>
      <c r="EH198" s="28"/>
      <c r="EI198" s="28"/>
      <c r="EJ198" s="18"/>
      <c r="EK198" s="18"/>
      <c r="EL198" s="18">
        <f>IFERROR(CR198/'McDonough &amp; Sun 1995 values'!C$2,)</f>
        <v>0.8</v>
      </c>
      <c r="EM198" s="18">
        <f>IFERROR(CH198/'McDonough &amp; Sun 1995 values'!D$2,)</f>
        <v>0.93166666666666675</v>
      </c>
      <c r="EN198" s="18">
        <f>IFERROR(CS198/'McDonough &amp; Sun 1995 values'!E$2,)</f>
        <v>0.74803030303030316</v>
      </c>
      <c r="EO198" s="18">
        <f>IFERROR(DL198/'McDonough &amp; Sun 1995 values'!F$2,)</f>
        <v>0.83647798742138368</v>
      </c>
      <c r="EP198" s="18">
        <f>IFERROR(DM198/'McDonough &amp; Sun 1995 values'!G$2,)</f>
        <v>1.1625615763546799</v>
      </c>
      <c r="EQ198" s="18">
        <f>IFERROR(BR198/'McDonough &amp; Sun 1995 values'!H$2,)</f>
        <v>0.625</v>
      </c>
      <c r="ER198" s="18">
        <f>IFERROR(DI198/'McDonough &amp; Sun 1995 values'!I$2,)</f>
        <v>0.8</v>
      </c>
      <c r="ES198" s="18">
        <f>IFERROR(CM198/'McDonough &amp; Sun 1995 values'!J$2,)</f>
        <v>0</v>
      </c>
      <c r="ET198" s="18">
        <f>IFERROR(CU198/'McDonough &amp; Sun 1995 values'!K$2,)</f>
        <v>0.5679012345679012</v>
      </c>
      <c r="EU198" s="18">
        <f>IFERROR(CV198/'McDonough &amp; Sun 1995 values'!L$2,)</f>
        <v>0.32179104477611942</v>
      </c>
      <c r="EV198" s="18">
        <f>IFERROR(CW198/'McDonough &amp; Sun 1995 values'!M$2,)</f>
        <v>0</v>
      </c>
      <c r="EW198" s="18">
        <f>IFERROR(CI198/'McDonough &amp; Sun 1995 values'!N$2,)</f>
        <v>0.18844221105527639</v>
      </c>
      <c r="EX198" s="18">
        <f>IFERROR(CX198/'McDonough &amp; Sun 1995 values'!O$2,)</f>
        <v>0</v>
      </c>
      <c r="EY198" s="18">
        <f>IFERROR(CY198/'McDonough &amp; Sun 1995 values'!P$2,)</f>
        <v>6.2315270935960586E-2</v>
      </c>
      <c r="EZ198" s="18">
        <f>IFERROR(DH198/'McDonough &amp; Sun 1995 values'!Q$2,)</f>
        <v>6.0070671378091883E-2</v>
      </c>
      <c r="FA198" s="18">
        <f>IFERROR(CK198/'McDonough &amp; Sun 1995 values'!R$2,)</f>
        <v>7.1999999999999995E-2</v>
      </c>
      <c r="FB198" s="18">
        <f>IFERROR(CZ198/'McDonough &amp; Sun 1995 values'!S$2,)</f>
        <v>6.2337662337662331E-2</v>
      </c>
      <c r="FC198" s="18">
        <f>IFERROR(BT198/'McDonough &amp; Sun 1995 values'!T$2,)</f>
        <v>0</v>
      </c>
      <c r="FD198" s="18">
        <f>IFERROR(DA198/'McDonough &amp; Sun 1995 values'!U$2,)</f>
        <v>0</v>
      </c>
      <c r="FE198" s="18">
        <f>IFERROR(DN198/'McDonough &amp; Sun 1995 values'!V$2,)</f>
        <v>3.6363636363636362E-2</v>
      </c>
      <c r="FF198" s="18">
        <f>IFERROR(DB198/'McDonough &amp; Sun 1995 values'!W$2,)</f>
        <v>0</v>
      </c>
      <c r="FG198" s="18">
        <f>IFERROR(CJ198/'McDonough &amp; Sun 1995 values'!X$2,)</f>
        <v>0</v>
      </c>
      <c r="FH198" s="18">
        <f>IFERROR(DC198/'McDonough &amp; Sun 1995 values'!Y$2,)</f>
        <v>0</v>
      </c>
      <c r="FI198" s="18">
        <f>IFERROR(DD198/'McDonough &amp; Sun 1995 values'!Z$2,)</f>
        <v>0</v>
      </c>
      <c r="FJ198" s="18">
        <f>IFERROR(DE198/'McDonough &amp; Sun 1995 values'!AA$2,)</f>
        <v>0</v>
      </c>
      <c r="FK198" s="18">
        <f>IFERROR(DF198/'McDonough &amp; Sun 1995 values'!AB$2,)</f>
        <v>1.0430839002267574E-2</v>
      </c>
      <c r="FL198" s="18">
        <f>IFERROR(DG198/'McDonough &amp; Sun 1995 values'!AC$2,)</f>
        <v>1.1851851851851851E-2</v>
      </c>
      <c r="FN198" s="28">
        <f t="shared" si="458"/>
        <v>1.8600985221674879</v>
      </c>
      <c r="FO198" s="4">
        <f t="shared" si="391"/>
        <v>0.64343284540318446</v>
      </c>
      <c r="FP198" s="4">
        <f t="shared" si="392"/>
        <v>0</v>
      </c>
      <c r="FQ198" s="4">
        <f t="shared" si="393"/>
        <v>0.71951284511246127</v>
      </c>
      <c r="FR198" s="4">
        <f t="shared" si="394"/>
        <v>0</v>
      </c>
      <c r="FS198" s="4">
        <f t="shared" si="395"/>
        <v>0.70987654320987648</v>
      </c>
      <c r="FT198" s="4">
        <f t="shared" si="396"/>
        <v>1.1645833333333333</v>
      </c>
      <c r="FU198" s="4">
        <f t="shared" si="397"/>
        <v>0</v>
      </c>
      <c r="FV198" s="4">
        <f t="shared" si="398"/>
        <v>1.1554150197628459</v>
      </c>
      <c r="FW198" s="4">
        <f t="shared" si="399"/>
        <v>1.1985882352941173</v>
      </c>
      <c r="FX198" s="4">
        <f t="shared" si="400"/>
        <v>2.0007186489399928</v>
      </c>
      <c r="FY198" s="4">
        <f t="shared" si="401"/>
        <v>0</v>
      </c>
      <c r="FZ198" s="4">
        <f t="shared" si="402"/>
        <v>0</v>
      </c>
      <c r="GA198" s="4">
        <f t="shared" si="403"/>
        <v>0</v>
      </c>
      <c r="GB198" s="4">
        <f t="shared" si="404"/>
        <v>1.0003593244699964</v>
      </c>
      <c r="GC198" s="4">
        <f t="shared" si="405"/>
        <v>0.85867620751341678</v>
      </c>
      <c r="GD198" s="4">
        <f t="shared" si="406"/>
        <v>0.89426179084073831</v>
      </c>
      <c r="GE198" s="4">
        <f t="shared" si="407"/>
        <v>0.80289477963896572</v>
      </c>
      <c r="GF198" s="4">
        <f t="shared" si="408"/>
        <v>1.1968484848484851</v>
      </c>
      <c r="GG198" s="4">
        <f t="shared" si="409"/>
        <v>0</v>
      </c>
      <c r="GH198" s="4">
        <f t="shared" si="410"/>
        <v>0</v>
      </c>
      <c r="GI198" s="4">
        <f t="shared" si="411"/>
        <v>9.113355780022447</v>
      </c>
      <c r="GJ198" s="4">
        <f t="shared" si="412"/>
        <v>0</v>
      </c>
      <c r="GK198" s="4">
        <f t="shared" si="413"/>
        <v>54.444444444444443</v>
      </c>
      <c r="GL198" s="4">
        <f t="shared" si="414"/>
        <v>0</v>
      </c>
      <c r="GM198" s="4">
        <f t="shared" si="415"/>
        <v>0.8978296823843116</v>
      </c>
      <c r="GN198" s="4">
        <f t="shared" si="416"/>
        <v>0</v>
      </c>
      <c r="GO198" s="4">
        <f t="shared" si="417"/>
        <v>0</v>
      </c>
      <c r="GP198" s="4">
        <f t="shared" si="418"/>
        <v>0.53760593220338981</v>
      </c>
      <c r="GQ198" s="27">
        <f t="shared" si="419"/>
        <v>99193.449078700956</v>
      </c>
      <c r="GR198" s="28">
        <f t="shared" si="420"/>
        <v>11.109666296814508</v>
      </c>
      <c r="GS198" s="28">
        <f t="shared" si="421"/>
        <v>369.6609202332923</v>
      </c>
      <c r="GT198" s="28">
        <f t="shared" si="422"/>
        <v>3264.7870540103113</v>
      </c>
      <c r="GU198" s="28">
        <f t="shared" si="423"/>
        <v>43.97576242489076</v>
      </c>
      <c r="GV198" s="28">
        <f t="shared" si="424"/>
        <v>15.606435988382286</v>
      </c>
      <c r="GW198" s="28">
        <f t="shared" si="425"/>
        <v>99193.449078700956</v>
      </c>
      <c r="GX198" s="28">
        <f t="shared" si="426"/>
        <v>19.574173951530323</v>
      </c>
      <c r="GY198" s="28">
        <f t="shared" si="427"/>
        <v>0</v>
      </c>
      <c r="GZ198" s="28">
        <f t="shared" si="428"/>
        <v>243.35459507307968</v>
      </c>
      <c r="HA198" s="28">
        <f t="shared" si="429"/>
        <v>356.43512702279878</v>
      </c>
      <c r="HB198" s="28">
        <f t="shared" si="430"/>
        <v>0</v>
      </c>
      <c r="HC198" s="28">
        <f t="shared" si="431"/>
        <v>2479.836226967524</v>
      </c>
      <c r="HD198" s="28" t="str">
        <f t="shared" si="432"/>
        <v/>
      </c>
      <c r="HE198" s="28">
        <f t="shared" si="433"/>
        <v>16.730628411274228</v>
      </c>
      <c r="HF198" s="28">
        <f t="shared" si="434"/>
        <v>11.241924228919443</v>
      </c>
      <c r="HG198" s="28">
        <f t="shared" si="435"/>
        <v>499.93498335665282</v>
      </c>
      <c r="HH198" s="28">
        <f t="shared" si="436"/>
        <v>6.3483807410368609</v>
      </c>
      <c r="HI198" s="28">
        <f t="shared" si="437"/>
        <v>0</v>
      </c>
      <c r="HJ198" s="28" t="str">
        <f t="shared" si="438"/>
        <v/>
      </c>
      <c r="HK198" s="28">
        <f t="shared" si="439"/>
        <v>2.3806427778888231</v>
      </c>
      <c r="HL198" s="28">
        <f t="shared" si="440"/>
        <v>0</v>
      </c>
      <c r="HM198" s="28">
        <f t="shared" si="441"/>
        <v>0</v>
      </c>
      <c r="HN198" s="28">
        <f t="shared" si="442"/>
        <v>0</v>
      </c>
      <c r="HO198" s="28">
        <f t="shared" si="443"/>
        <v>0</v>
      </c>
      <c r="HP198" s="28">
        <f t="shared" si="444"/>
        <v>0</v>
      </c>
      <c r="HQ198" s="28">
        <f t="shared" si="445"/>
        <v>3.0419324384134963</v>
      </c>
      <c r="HR198" s="28">
        <f t="shared" si="446"/>
        <v>0.52903172841973845</v>
      </c>
      <c r="HT198" s="4">
        <f>IFERROR(GR198/'McDonough &amp; Sun 1995 values'!C$2,)</f>
        <v>529.03172841973844</v>
      </c>
      <c r="HU198" s="4">
        <f>IFERROR(GS198/'McDonough &amp; Sun 1995 values'!D$2,)</f>
        <v>616.10153372215382</v>
      </c>
      <c r="HV198" s="4">
        <f>IFERROR(GT198/'McDonough &amp; Sun 1995 values'!E$2,)</f>
        <v>494.66470515307748</v>
      </c>
      <c r="HW198" s="4">
        <f>IFERROR(GU198/'McDonough &amp; Sun 1995 values'!F$2,)</f>
        <v>553.15424433824853</v>
      </c>
      <c r="HX198" s="4">
        <f>IFERROR(GV198/'McDonough &amp; Sun 1995 values'!G$2,)</f>
        <v>768.78995016661509</v>
      </c>
      <c r="HY198" s="4">
        <f>IFERROR(GW198/'McDonough &amp; Sun 1995 values'!H$2,)</f>
        <v>413.30603782792065</v>
      </c>
      <c r="HZ198" s="4">
        <f>IFERROR(GX198/'McDonough &amp; Sun 1995 values'!I$2,)</f>
        <v>529.03172841973844</v>
      </c>
      <c r="IA198" s="4">
        <f>IFERROR(GY198/'McDonough &amp; Sun 1995 values'!J$2,)</f>
        <v>0</v>
      </c>
      <c r="IB198" s="4">
        <f>IFERROR(GZ198/'McDonough &amp; Sun 1995 values'!K$2,)</f>
        <v>375.54721461895014</v>
      </c>
      <c r="IC198" s="4">
        <f>IFERROR(HA198/'McDonough &amp; Sun 1995 values'!L$2,)</f>
        <v>212.79709075987986</v>
      </c>
      <c r="ID198" s="4">
        <f>IFERROR(HB198/'McDonough &amp; Sun 1995 values'!M$2,)</f>
        <v>0</v>
      </c>
      <c r="IE198" s="4">
        <f>IFERROR(HC198/'McDonough &amp; Sun 1995 values'!N$2,)</f>
        <v>124.61488577726251</v>
      </c>
      <c r="IF198" s="4">
        <f>IFERROR(HD198/'McDonough &amp; Sun 1995 values'!O$2,)</f>
        <v>0</v>
      </c>
      <c r="IG198" s="4">
        <f>IFERROR(HE198/'McDonough &amp; Sun 1995 values'!P$2,)</f>
        <v>41.208444362744402</v>
      </c>
      <c r="IH198" s="4">
        <f>IFERROR(HF198/'McDonough &amp; Sun 1995 values'!Q$2,)</f>
        <v>39.724113883107577</v>
      </c>
      <c r="II198" s="4">
        <f>IFERROR(HG198/'McDonough &amp; Sun 1995 values'!R$2,)</f>
        <v>47.612855557776456</v>
      </c>
      <c r="IJ198" s="4">
        <f>IFERROR(HH198/'McDonough &amp; Sun 1995 values'!S$2,)</f>
        <v>41.223251565174422</v>
      </c>
      <c r="IK198" s="4">
        <f>IFERROR(HI198/'McDonough &amp; Sun 1995 values'!T$2,)</f>
        <v>0</v>
      </c>
      <c r="IL198" s="4">
        <f>IFERROR(HJ198/'McDonough &amp; Sun 1995 values'!U$2,)</f>
        <v>0</v>
      </c>
      <c r="IM198" s="4">
        <f>IFERROR(HK198/'McDonough &amp; Sun 1995 values'!V$2,)</f>
        <v>24.046896746351749</v>
      </c>
      <c r="IN198" s="4">
        <f>IFERROR(HL198/'McDonough &amp; Sun 1995 values'!W$2,)</f>
        <v>0</v>
      </c>
      <c r="IO198" s="4">
        <f>IFERROR(HM198/'McDonough &amp; Sun 1995 values'!X$2,)</f>
        <v>0</v>
      </c>
      <c r="IP198" s="4">
        <f>IFERROR(HN198/'McDonough &amp; Sun 1995 values'!Y$2,)</f>
        <v>0</v>
      </c>
      <c r="IQ198" s="4">
        <f>IFERROR(HO198/'McDonough &amp; Sun 1995 values'!Z$2,)</f>
        <v>0</v>
      </c>
      <c r="IR198" s="4">
        <f>IFERROR(HP198/'McDonough &amp; Sun 1995 values'!AA$2,)</f>
        <v>0</v>
      </c>
      <c r="IS198" s="4">
        <f>IFERROR(HQ198/'McDonough &amp; Sun 1995 values'!AB$2,)</f>
        <v>6.8978059827970437</v>
      </c>
      <c r="IT198" s="4">
        <f>IFERROR(HR198/'McDonough &amp; Sun 1995 values'!AC$2,)</f>
        <v>7.8375070876998283</v>
      </c>
    </row>
    <row r="199" spans="1:254">
      <c r="A199" s="16" t="s">
        <v>1178</v>
      </c>
      <c r="B199" s="16" t="s">
        <v>24</v>
      </c>
      <c r="C199" s="16" t="str">
        <f t="shared" si="461"/>
        <v>silicic</v>
      </c>
      <c r="D199" s="16" t="s">
        <v>1720</v>
      </c>
      <c r="E199" s="16" t="s">
        <v>1394</v>
      </c>
      <c r="F199" s="16" t="s">
        <v>104</v>
      </c>
      <c r="G199" s="16" t="s">
        <v>595</v>
      </c>
      <c r="H199" s="27">
        <v>240</v>
      </c>
      <c r="I199" s="16" t="s">
        <v>736</v>
      </c>
      <c r="J199" s="16" t="s">
        <v>596</v>
      </c>
      <c r="K199" s="16" t="s">
        <v>48</v>
      </c>
      <c r="L199" s="16">
        <v>0</v>
      </c>
      <c r="M199" s="16" t="s">
        <v>744</v>
      </c>
      <c r="N199" s="16">
        <v>34</v>
      </c>
      <c r="O199" s="26">
        <v>44.1</v>
      </c>
      <c r="P199" s="26">
        <v>4.3</v>
      </c>
      <c r="Q199" s="26"/>
      <c r="R199" s="26">
        <v>4.5999999999999996</v>
      </c>
      <c r="S199" s="26">
        <v>10.5</v>
      </c>
      <c r="T199" s="26">
        <v>5.8</v>
      </c>
      <c r="U199" s="26"/>
      <c r="V199" s="26">
        <v>5.6</v>
      </c>
      <c r="W199" s="26">
        <v>2.2000000000000002</v>
      </c>
      <c r="X199" s="26">
        <v>17.8</v>
      </c>
      <c r="Y199" s="26"/>
      <c r="Z199" s="26">
        <v>1.4</v>
      </c>
      <c r="AA199" s="26"/>
      <c r="AB199" s="26"/>
      <c r="AC199" s="26"/>
      <c r="AD199" s="26">
        <v>1</v>
      </c>
      <c r="AE199" s="26"/>
      <c r="AF199" s="26"/>
      <c r="AG199" s="26"/>
      <c r="AH199" s="26"/>
      <c r="AI199" s="26"/>
      <c r="AJ199" s="26">
        <f t="shared" si="462"/>
        <v>97.3</v>
      </c>
      <c r="AK199" s="26">
        <f t="shared" si="447"/>
        <v>45.429105697435702</v>
      </c>
      <c r="AL199" s="26">
        <f t="shared" si="448"/>
        <v>4.4295953401127779</v>
      </c>
      <c r="AM199" s="26">
        <f t="shared" si="449"/>
        <v>4.7386368754694832</v>
      </c>
      <c r="AN199" s="26">
        <f t="shared" si="450"/>
        <v>10.816453737484691</v>
      </c>
      <c r="AO199" s="26">
        <f t="shared" si="451"/>
        <v>5.9748030168963053</v>
      </c>
      <c r="AP199" s="26">
        <f t="shared" si="452"/>
        <v>5.7687753266585009</v>
      </c>
      <c r="AQ199" s="26">
        <f t="shared" si="453"/>
        <v>0</v>
      </c>
      <c r="AR199" s="26">
        <f t="shared" si="454"/>
        <v>2.2663045926158398</v>
      </c>
      <c r="AS199" s="26">
        <f t="shared" si="455"/>
        <v>18.336464431164522</v>
      </c>
      <c r="AT199" s="26">
        <f t="shared" si="456"/>
        <v>1.4421938316646252</v>
      </c>
      <c r="AU199" s="26">
        <f t="shared" si="457"/>
        <v>1.0301384511890181</v>
      </c>
      <c r="AV199" s="26">
        <f t="shared" si="463"/>
        <v>100.23247130069146</v>
      </c>
      <c r="AW199" s="16">
        <v>135</v>
      </c>
      <c r="AX199" s="16">
        <v>384</v>
      </c>
      <c r="AY199" s="16"/>
      <c r="AZ199" s="16"/>
      <c r="BA199" s="26">
        <v>0.9</v>
      </c>
      <c r="BC199" s="26">
        <f t="shared" si="459"/>
        <v>0.87416552610262288</v>
      </c>
      <c r="BD199" s="26">
        <f t="shared" si="460"/>
        <v>0.12583447389737717</v>
      </c>
      <c r="BE199" s="16">
        <v>0</v>
      </c>
      <c r="BF199" s="16"/>
      <c r="BG199" s="16">
        <v>0</v>
      </c>
      <c r="BH199" s="16">
        <v>0</v>
      </c>
      <c r="BI199" s="16">
        <v>0</v>
      </c>
      <c r="BJ199" s="16">
        <v>11.7</v>
      </c>
      <c r="BK199" s="18">
        <v>0</v>
      </c>
      <c r="BL199" s="18">
        <v>0</v>
      </c>
      <c r="BM199" s="18">
        <v>0</v>
      </c>
      <c r="BN199" s="18">
        <v>43</v>
      </c>
      <c r="BO199" s="18"/>
      <c r="BP199" s="18"/>
      <c r="BQ199" s="18"/>
      <c r="BR199" s="18">
        <v>478</v>
      </c>
      <c r="BS199" s="18"/>
      <c r="BT199" s="18"/>
      <c r="BU199" s="18">
        <v>20.2</v>
      </c>
      <c r="BV199" s="18"/>
      <c r="BW199" s="18">
        <v>264</v>
      </c>
      <c r="BX199" s="18">
        <v>3.67</v>
      </c>
      <c r="BY199" s="18"/>
      <c r="BZ199" s="18">
        <v>1.22</v>
      </c>
      <c r="CA199" s="18">
        <v>0.182</v>
      </c>
      <c r="CB199" s="18"/>
      <c r="CC199" s="18">
        <v>9.11E-2</v>
      </c>
      <c r="CD199" s="18"/>
      <c r="CE199" s="18">
        <v>1.4E-2</v>
      </c>
      <c r="CF199" s="18"/>
      <c r="CG199" s="18">
        <v>1.131</v>
      </c>
      <c r="CH199" s="18">
        <v>1.84</v>
      </c>
      <c r="CI199" s="18">
        <v>9.5</v>
      </c>
      <c r="CJ199" s="18"/>
      <c r="CK199" s="18">
        <v>7.3</v>
      </c>
      <c r="CL199" s="18">
        <v>1.3800000000000002E-2</v>
      </c>
      <c r="CM199" s="18">
        <v>0</v>
      </c>
      <c r="CN199" s="18"/>
      <c r="CO199" s="18"/>
      <c r="CP199" s="18"/>
      <c r="CQ199" s="18"/>
      <c r="CR199" s="18">
        <v>3.9E-2</v>
      </c>
      <c r="CS199" s="18">
        <v>13.46</v>
      </c>
      <c r="CT199" s="18">
        <v>0</v>
      </c>
      <c r="CU199" s="18">
        <v>1.355</v>
      </c>
      <c r="CV199" s="18">
        <v>2.2200000000000002</v>
      </c>
      <c r="CW199" s="18"/>
      <c r="CX199" s="18" t="s">
        <v>1042</v>
      </c>
      <c r="CY199" s="18">
        <v>0.251</v>
      </c>
      <c r="CZ199" s="18">
        <v>7.3799999999999991E-2</v>
      </c>
      <c r="DA199" s="18">
        <v>0.12</v>
      </c>
      <c r="DB199" s="18"/>
      <c r="DC199" s="18"/>
      <c r="DD199" s="18"/>
      <c r="DE199" s="18"/>
      <c r="DF199" s="18">
        <v>3.1E-2</v>
      </c>
      <c r="DG199" s="18">
        <v>3.5499999999999998E-3</v>
      </c>
      <c r="DH199" s="18">
        <v>0.11</v>
      </c>
      <c r="DI199" s="18">
        <v>1.6899999999999998E-2</v>
      </c>
      <c r="DJ199" s="18"/>
      <c r="DK199" s="18"/>
      <c r="DL199" s="18">
        <v>0.37</v>
      </c>
      <c r="DM199" s="18">
        <v>0.16400000000000001</v>
      </c>
      <c r="DN199" s="18">
        <v>2.87E-2</v>
      </c>
      <c r="DO199" s="18"/>
      <c r="DP199" s="18">
        <v>4.3999999999999999E-5</v>
      </c>
      <c r="DQ199" s="18"/>
      <c r="DR199" s="18">
        <v>3.9799999999999995E-2</v>
      </c>
      <c r="DS199" s="18"/>
      <c r="DT199" s="18"/>
      <c r="DU199" s="18"/>
      <c r="DV199" s="28"/>
      <c r="DW199" s="28"/>
      <c r="DX199" s="28"/>
      <c r="DY199" s="28"/>
      <c r="DZ199" s="28"/>
      <c r="EA199" s="28"/>
      <c r="EB199" s="28"/>
      <c r="EC199" s="28"/>
      <c r="ED199" s="28"/>
      <c r="EE199" s="28"/>
      <c r="EF199" s="28"/>
      <c r="EG199" s="28"/>
      <c r="EH199" s="28"/>
      <c r="EI199" s="28"/>
      <c r="EJ199" s="18"/>
      <c r="EK199" s="18"/>
      <c r="EL199" s="18">
        <f>IFERROR(CR199/'McDonough &amp; Sun 1995 values'!C$2,)</f>
        <v>1.857142857142857</v>
      </c>
      <c r="EM199" s="18">
        <f>IFERROR(CH199/'McDonough &amp; Sun 1995 values'!D$2,)</f>
        <v>3.0666666666666669</v>
      </c>
      <c r="EN199" s="18">
        <f>IFERROR(CS199/'McDonough &amp; Sun 1995 values'!E$2,)</f>
        <v>2.0393939393939395</v>
      </c>
      <c r="EO199" s="18">
        <f>IFERROR(DL199/'McDonough &amp; Sun 1995 values'!F$2,)</f>
        <v>4.6540880503144653</v>
      </c>
      <c r="EP199" s="18">
        <f>IFERROR(DM199/'McDonough &amp; Sun 1995 values'!G$2,)</f>
        <v>8.0788177339901495</v>
      </c>
      <c r="EQ199" s="18">
        <f>IFERROR(BR199/'McDonough &amp; Sun 1995 values'!H$2,)</f>
        <v>1.9916666666666667</v>
      </c>
      <c r="ER199" s="18">
        <f>IFERROR(DI199/'McDonough &amp; Sun 1995 values'!I$2,)</f>
        <v>0.45675675675675675</v>
      </c>
      <c r="ES199" s="18">
        <f>IFERROR(CM199/'McDonough &amp; Sun 1995 values'!J$2,)</f>
        <v>0</v>
      </c>
      <c r="ET199" s="18">
        <f>IFERROR(CU199/'McDonough &amp; Sun 1995 values'!K$2,)</f>
        <v>2.0910493827160495</v>
      </c>
      <c r="EU199" s="18">
        <f>IFERROR(CV199/'McDonough &amp; Sun 1995 values'!L$2,)</f>
        <v>1.3253731343283583</v>
      </c>
      <c r="EV199" s="18">
        <f>IFERROR(CW199/'McDonough &amp; Sun 1995 values'!M$2,)</f>
        <v>0</v>
      </c>
      <c r="EW199" s="18">
        <f>IFERROR(CI199/'McDonough &amp; Sun 1995 values'!N$2,)</f>
        <v>0.47738693467336685</v>
      </c>
      <c r="EX199" s="18">
        <f>IFERROR(CX199/'McDonough &amp; Sun 1995 values'!O$2,)</f>
        <v>0</v>
      </c>
      <c r="EY199" s="18">
        <f>IFERROR(CY199/'McDonough &amp; Sun 1995 values'!P$2,)</f>
        <v>0.61822660098522164</v>
      </c>
      <c r="EZ199" s="18">
        <f>IFERROR(DH199/'McDonough &amp; Sun 1995 values'!Q$2,)</f>
        <v>0.3886925795053004</v>
      </c>
      <c r="FA199" s="18">
        <f>IFERROR(CK199/'McDonough &amp; Sun 1995 values'!R$2,)</f>
        <v>0.69523809523809521</v>
      </c>
      <c r="FB199" s="18">
        <f>IFERROR(CZ199/'McDonough &amp; Sun 1995 values'!S$2,)</f>
        <v>0.47922077922077916</v>
      </c>
      <c r="FC199" s="18">
        <f>IFERROR(BT199/'McDonough &amp; Sun 1995 values'!T$2,)</f>
        <v>0</v>
      </c>
      <c r="FD199" s="18">
        <f>IFERROR(DA199/'McDonough &amp; Sun 1995 values'!U$2,)</f>
        <v>0.22058823529411761</v>
      </c>
      <c r="FE199" s="18">
        <f>IFERROR(DN199/'McDonough &amp; Sun 1995 values'!V$2,)</f>
        <v>0.28989898989898988</v>
      </c>
      <c r="FF199" s="18">
        <f>IFERROR(DB199/'McDonough &amp; Sun 1995 values'!W$2,)</f>
        <v>0</v>
      </c>
      <c r="FG199" s="18">
        <f>IFERROR(CJ199/'McDonough &amp; Sun 1995 values'!X$2,)</f>
        <v>0</v>
      </c>
      <c r="FH199" s="18">
        <f>IFERROR(DC199/'McDonough &amp; Sun 1995 values'!Y$2,)</f>
        <v>0</v>
      </c>
      <c r="FI199" s="18">
        <f>IFERROR(DD199/'McDonough &amp; Sun 1995 values'!Z$2,)</f>
        <v>0</v>
      </c>
      <c r="FJ199" s="18">
        <f>IFERROR(DE199/'McDonough &amp; Sun 1995 values'!AA$2,)</f>
        <v>0</v>
      </c>
      <c r="FK199" s="18">
        <f>IFERROR(DF199/'McDonough &amp; Sun 1995 values'!AB$2,)</f>
        <v>7.029478458049887E-2</v>
      </c>
      <c r="FL199" s="18">
        <f>IFERROR(DG199/'McDonough &amp; Sun 1995 values'!AC$2,)</f>
        <v>5.2592592592592587E-2</v>
      </c>
      <c r="FN199" s="28">
        <f t="shared" si="458"/>
        <v>4.0563101593255979</v>
      </c>
      <c r="FO199" s="4">
        <f t="shared" si="391"/>
        <v>0.25243717664449367</v>
      </c>
      <c r="FP199" s="4">
        <f t="shared" si="392"/>
        <v>0</v>
      </c>
      <c r="FQ199" s="4">
        <f t="shared" si="393"/>
        <v>0.57608528915477819</v>
      </c>
      <c r="FR199" s="4">
        <f t="shared" si="394"/>
        <v>0</v>
      </c>
      <c r="FS199" s="4">
        <f t="shared" si="395"/>
        <v>4.5780371100883928</v>
      </c>
      <c r="FT199" s="4">
        <f t="shared" si="396"/>
        <v>1.6512820512820516</v>
      </c>
      <c r="FU199" s="4">
        <f t="shared" si="397"/>
        <v>0</v>
      </c>
      <c r="FV199" s="4">
        <f t="shared" si="398"/>
        <v>1.1245683930942896</v>
      </c>
      <c r="FW199" s="4">
        <f t="shared" si="399"/>
        <v>1.7886580086580084</v>
      </c>
      <c r="FX199" s="4">
        <f t="shared" si="400"/>
        <v>1.1426139798538104</v>
      </c>
      <c r="FY199" s="4">
        <f t="shared" si="401"/>
        <v>0</v>
      </c>
      <c r="FZ199" s="4">
        <f t="shared" si="402"/>
        <v>1.2976890016545628</v>
      </c>
      <c r="GA199" s="4">
        <f t="shared" si="403"/>
        <v>0</v>
      </c>
      <c r="GB199" s="4">
        <f t="shared" si="404"/>
        <v>0.77515392973560293</v>
      </c>
      <c r="GC199" s="4">
        <f t="shared" si="405"/>
        <v>0.60559006211180111</v>
      </c>
      <c r="GD199" s="4">
        <f t="shared" si="406"/>
        <v>0.43819410319410323</v>
      </c>
      <c r="GE199" s="4">
        <f t="shared" si="407"/>
        <v>0.66501976284584985</v>
      </c>
      <c r="GF199" s="4">
        <f t="shared" si="408"/>
        <v>1.0239634842145302</v>
      </c>
      <c r="GG199" s="4">
        <f t="shared" si="409"/>
        <v>0</v>
      </c>
      <c r="GH199" s="4">
        <f t="shared" si="410"/>
        <v>0</v>
      </c>
      <c r="GI199" s="4">
        <f t="shared" si="411"/>
        <v>3.3823348580984707</v>
      </c>
      <c r="GJ199" s="4">
        <f t="shared" si="412"/>
        <v>0</v>
      </c>
      <c r="GK199" s="4">
        <f t="shared" si="413"/>
        <v>29.746863799283155</v>
      </c>
      <c r="GL199" s="4">
        <f t="shared" si="414"/>
        <v>0</v>
      </c>
      <c r="GM199" s="4">
        <f t="shared" si="415"/>
        <v>1.5176374077112387</v>
      </c>
      <c r="GN199" s="4">
        <f t="shared" si="416"/>
        <v>0</v>
      </c>
      <c r="GO199" s="4">
        <f t="shared" si="417"/>
        <v>0</v>
      </c>
      <c r="GP199" s="4">
        <f t="shared" si="418"/>
        <v>0.24652947154471541</v>
      </c>
      <c r="GQ199" s="27">
        <f t="shared" si="419"/>
        <v>152217.83160801348</v>
      </c>
      <c r="GR199" s="28">
        <f t="shared" si="420"/>
        <v>12.419446511950889</v>
      </c>
      <c r="GS199" s="28">
        <f t="shared" si="421"/>
        <v>585.94311748691382</v>
      </c>
      <c r="GT199" s="28">
        <f t="shared" si="422"/>
        <v>4286.3012833553594</v>
      </c>
      <c r="GU199" s="28">
        <f t="shared" si="423"/>
        <v>117.82551819030331</v>
      </c>
      <c r="GV199" s="28">
        <f t="shared" si="424"/>
        <v>52.225364819485797</v>
      </c>
      <c r="GW199" s="28">
        <f t="shared" si="425"/>
        <v>152217.83160801348</v>
      </c>
      <c r="GX199" s="28">
        <f t="shared" si="426"/>
        <v>5.3817601551787186</v>
      </c>
      <c r="GY199" s="28">
        <f t="shared" si="427"/>
        <v>0</v>
      </c>
      <c r="GZ199" s="28">
        <f t="shared" si="428"/>
        <v>431.4961544536784</v>
      </c>
      <c r="HA199" s="28">
        <f t="shared" si="429"/>
        <v>706.95310914182005</v>
      </c>
      <c r="HB199" s="28">
        <f t="shared" si="430"/>
        <v>0</v>
      </c>
      <c r="HC199" s="28">
        <f t="shared" si="431"/>
        <v>3025.2497913726529</v>
      </c>
      <c r="HD199" s="28" t="str">
        <f t="shared" si="432"/>
        <v/>
      </c>
      <c r="HE199" s="28">
        <f t="shared" si="433"/>
        <v>79.930283961530094</v>
      </c>
      <c r="HF199" s="28">
        <f t="shared" si="434"/>
        <v>35.029208110630719</v>
      </c>
      <c r="HG199" s="28">
        <f t="shared" si="435"/>
        <v>2324.6656291600384</v>
      </c>
      <c r="HH199" s="28">
        <f t="shared" si="436"/>
        <v>23.501414168768605</v>
      </c>
      <c r="HI199" s="28">
        <f t="shared" si="437"/>
        <v>0</v>
      </c>
      <c r="HJ199" s="28">
        <f t="shared" si="438"/>
        <v>38.213681575233515</v>
      </c>
      <c r="HK199" s="28">
        <f t="shared" si="439"/>
        <v>9.1394388434100158</v>
      </c>
      <c r="HL199" s="28">
        <f t="shared" si="440"/>
        <v>0</v>
      </c>
      <c r="HM199" s="28">
        <f t="shared" si="441"/>
        <v>0</v>
      </c>
      <c r="HN199" s="28">
        <f t="shared" si="442"/>
        <v>0</v>
      </c>
      <c r="HO199" s="28">
        <f t="shared" si="443"/>
        <v>0</v>
      </c>
      <c r="HP199" s="28">
        <f t="shared" si="444"/>
        <v>0</v>
      </c>
      <c r="HQ199" s="28">
        <f t="shared" si="445"/>
        <v>9.871867740268657</v>
      </c>
      <c r="HR199" s="28">
        <f t="shared" si="446"/>
        <v>1.1304880799339914</v>
      </c>
      <c r="HT199" s="4">
        <f>IFERROR(GR199/'McDonough &amp; Sun 1995 values'!C$2,)</f>
        <v>591.40221485480424</v>
      </c>
      <c r="HU199" s="4">
        <f>IFERROR(GS199/'McDonough &amp; Sun 1995 values'!D$2,)</f>
        <v>976.5718624781897</v>
      </c>
      <c r="HV199" s="4">
        <f>IFERROR(GT199/'McDonough &amp; Sun 1995 values'!E$2,)</f>
        <v>649.43958838717572</v>
      </c>
      <c r="HW199" s="4">
        <f>IFERROR(GU199/'McDonough &amp; Sun 1995 values'!F$2,)</f>
        <v>1482.081989815136</v>
      </c>
      <c r="HX199" s="4">
        <f>IFERROR(GV199/'McDonough &amp; Sun 1995 values'!G$2,)</f>
        <v>2572.6780699254091</v>
      </c>
      <c r="HY199" s="4">
        <f>IFERROR(GW199/'McDonough &amp; Sun 1995 values'!H$2,)</f>
        <v>634.24096503338956</v>
      </c>
      <c r="HZ199" s="4">
        <f>IFERROR(GX199/'McDonough &amp; Sun 1995 values'!I$2,)</f>
        <v>145.45297716699241</v>
      </c>
      <c r="IA199" s="4">
        <f>IFERROR(GY199/'McDonough &amp; Sun 1995 values'!J$2,)</f>
        <v>0</v>
      </c>
      <c r="IB199" s="4">
        <f>IFERROR(GZ199/'McDonough &amp; Sun 1995 values'!K$2,)</f>
        <v>665.88912724333079</v>
      </c>
      <c r="IC199" s="4">
        <f>IFERROR(HA199/'McDonough &amp; Sun 1995 values'!L$2,)</f>
        <v>422.06155769660899</v>
      </c>
      <c r="ID199" s="4">
        <f>IFERROR(HB199/'McDonough &amp; Sun 1995 values'!M$2,)</f>
        <v>0</v>
      </c>
      <c r="IE199" s="4">
        <f>IFERROR(HC199/'McDonough &amp; Sun 1995 values'!N$2,)</f>
        <v>152.02260258154035</v>
      </c>
      <c r="IF199" s="4">
        <f>IFERROR(HD199/'McDonough &amp; Sun 1995 values'!O$2,)</f>
        <v>0</v>
      </c>
      <c r="IG199" s="4">
        <f>IFERROR(HE199/'McDonough &amp; Sun 1995 values'!P$2,)</f>
        <v>196.87262059490169</v>
      </c>
      <c r="IH199" s="4">
        <f>IFERROR(HF199/'McDonough &amp; Sun 1995 values'!Q$2,)</f>
        <v>123.77812053226404</v>
      </c>
      <c r="II199" s="4">
        <f>IFERROR(HG199/'McDonough &amp; Sun 1995 values'!R$2,)</f>
        <v>221.39672658667033</v>
      </c>
      <c r="IJ199" s="4">
        <f>IFERROR(HH199/'McDonough &amp; Sun 1995 values'!S$2,)</f>
        <v>152.60658551148444</v>
      </c>
      <c r="IK199" s="4">
        <f>IFERROR(HI199/'McDonough &amp; Sun 1995 values'!T$2,)</f>
        <v>0</v>
      </c>
      <c r="IL199" s="4">
        <f>IFERROR(HJ199/'McDonough &amp; Sun 1995 values'!U$2,)</f>
        <v>70.245738189767479</v>
      </c>
      <c r="IM199" s="4">
        <f>IFERROR(HK199/'McDonough &amp; Sun 1995 values'!V$2,)</f>
        <v>92.317564074848633</v>
      </c>
      <c r="IN199" s="4">
        <f>IFERROR(HL199/'McDonough &amp; Sun 1995 values'!W$2,)</f>
        <v>0</v>
      </c>
      <c r="IO199" s="4">
        <f>IFERROR(HM199/'McDonough &amp; Sun 1995 values'!X$2,)</f>
        <v>0</v>
      </c>
      <c r="IP199" s="4">
        <f>IFERROR(HN199/'McDonough &amp; Sun 1995 values'!Y$2,)</f>
        <v>0</v>
      </c>
      <c r="IQ199" s="4">
        <f>IFERROR(HO199/'McDonough &amp; Sun 1995 values'!Z$2,)</f>
        <v>0</v>
      </c>
      <c r="IR199" s="4">
        <f>IFERROR(HP199/'McDonough &amp; Sun 1995 values'!AA$2,)</f>
        <v>0</v>
      </c>
      <c r="IS199" s="4">
        <f>IFERROR(HQ199/'McDonough &amp; Sun 1995 values'!AB$2,)</f>
        <v>22.385187619656818</v>
      </c>
      <c r="IT199" s="4">
        <f>IFERROR(HR199/'McDonough &amp; Sun 1995 values'!AC$2,)</f>
        <v>16.747971554577649</v>
      </c>
    </row>
    <row r="200" spans="1:254">
      <c r="A200" s="16" t="s">
        <v>1085</v>
      </c>
      <c r="B200" s="16" t="s">
        <v>24</v>
      </c>
      <c r="C200" s="16" t="str">
        <f t="shared" si="461"/>
        <v>silicic</v>
      </c>
      <c r="D200" s="16">
        <v>0</v>
      </c>
      <c r="E200" s="16" t="s">
        <v>1394</v>
      </c>
      <c r="F200" s="16" t="s">
        <v>976</v>
      </c>
      <c r="G200" s="16" t="s">
        <v>595</v>
      </c>
      <c r="H200" s="27">
        <v>84</v>
      </c>
      <c r="I200" s="16" t="s">
        <v>735</v>
      </c>
      <c r="J200" s="16">
        <v>0</v>
      </c>
      <c r="K200" s="16">
        <v>0</v>
      </c>
      <c r="L200" s="16">
        <v>0</v>
      </c>
      <c r="M200" s="16" t="s">
        <v>975</v>
      </c>
      <c r="N200" s="16">
        <v>28</v>
      </c>
      <c r="O200" s="26">
        <v>46</v>
      </c>
      <c r="P200" s="26">
        <v>1.7</v>
      </c>
      <c r="Q200" s="26">
        <v>0.6</v>
      </c>
      <c r="R200" s="26">
        <v>5.9</v>
      </c>
      <c r="S200" s="26">
        <v>6.7</v>
      </c>
      <c r="T200" s="26">
        <v>6.3</v>
      </c>
      <c r="U200" s="26">
        <v>0.7</v>
      </c>
      <c r="V200" s="26">
        <v>3.3</v>
      </c>
      <c r="W200" s="26">
        <v>0.5</v>
      </c>
      <c r="X200" s="26">
        <v>19.100000000000001</v>
      </c>
      <c r="Y200" s="26">
        <v>6.7</v>
      </c>
      <c r="Z200" s="26"/>
      <c r="AA200" s="26"/>
      <c r="AB200" s="26">
        <v>2</v>
      </c>
      <c r="AC200" s="26"/>
      <c r="AD200" s="26">
        <v>2.8</v>
      </c>
      <c r="AE200" s="26"/>
      <c r="AF200" s="26">
        <v>0.7</v>
      </c>
      <c r="AG200" s="26"/>
      <c r="AH200" s="26"/>
      <c r="AI200" s="26">
        <v>5.8</v>
      </c>
      <c r="AJ200" s="26">
        <f t="shared" si="462"/>
        <v>94.3</v>
      </c>
      <c r="AK200" s="26">
        <f t="shared" si="447"/>
        <v>49.10955614080261</v>
      </c>
      <c r="AL200" s="26">
        <f t="shared" si="448"/>
        <v>1.8149183791166184</v>
      </c>
      <c r="AM200" s="26">
        <f t="shared" si="449"/>
        <v>6.2988343745812054</v>
      </c>
      <c r="AN200" s="26">
        <f t="shared" si="450"/>
        <v>7.1529136118125543</v>
      </c>
      <c r="AO200" s="26">
        <f t="shared" si="451"/>
        <v>6.7258739931968794</v>
      </c>
      <c r="AP200" s="26">
        <f t="shared" si="452"/>
        <v>3.5230768535793175</v>
      </c>
      <c r="AQ200" s="26">
        <f t="shared" si="453"/>
        <v>2.1351980930783743</v>
      </c>
      <c r="AR200" s="26">
        <f t="shared" si="454"/>
        <v>0.53379952326959357</v>
      </c>
      <c r="AS200" s="26">
        <f t="shared" si="455"/>
        <v>20.39114178889848</v>
      </c>
      <c r="AT200" s="26">
        <f t="shared" si="456"/>
        <v>0</v>
      </c>
      <c r="AU200" s="26">
        <f t="shared" si="457"/>
        <v>2.989277330309724</v>
      </c>
      <c r="AV200" s="26">
        <f t="shared" si="463"/>
        <v>100.67459008864535</v>
      </c>
      <c r="AW200" s="16"/>
      <c r="AX200" s="16"/>
      <c r="AY200" s="16"/>
      <c r="AZ200" s="16"/>
      <c r="BA200" s="26"/>
      <c r="BB200" s="26"/>
      <c r="BC200" s="26"/>
      <c r="BD200" s="26"/>
      <c r="BE200" s="16"/>
      <c r="BF200" s="16"/>
      <c r="BG200" s="16"/>
      <c r="BH200" s="16"/>
      <c r="BI200" s="16"/>
      <c r="BJ200" s="16"/>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c r="DP200" s="18"/>
      <c r="DQ200" s="18"/>
      <c r="DR200" s="18"/>
      <c r="DS200" s="18"/>
      <c r="DT200" s="18"/>
      <c r="DU200" s="18"/>
      <c r="DV200" s="28"/>
      <c r="DW200" s="28"/>
      <c r="DX200" s="28"/>
      <c r="DY200" s="28"/>
      <c r="DZ200" s="28"/>
      <c r="EA200" s="28"/>
      <c r="EB200" s="28"/>
      <c r="EC200" s="28"/>
      <c r="ED200" s="28"/>
      <c r="EE200" s="28"/>
      <c r="EF200" s="28"/>
      <c r="EG200" s="28"/>
      <c r="EH200" s="28"/>
      <c r="EI200" s="28"/>
      <c r="EJ200" s="18"/>
      <c r="EK200" s="18"/>
      <c r="EL200" s="18">
        <f>IFERROR(CR200/'McDonough &amp; Sun 1995 values'!C$2,)</f>
        <v>0</v>
      </c>
      <c r="EM200" s="18">
        <f>IFERROR(CH200/'McDonough &amp; Sun 1995 values'!D$2,)</f>
        <v>0</v>
      </c>
      <c r="EN200" s="18">
        <f>IFERROR(CS200/'McDonough &amp; Sun 1995 values'!E$2,)</f>
        <v>0</v>
      </c>
      <c r="EO200" s="18">
        <f>IFERROR(DL200/'McDonough &amp; Sun 1995 values'!F$2,)</f>
        <v>0</v>
      </c>
      <c r="EP200" s="18">
        <f>IFERROR(DM200/'McDonough &amp; Sun 1995 values'!G$2,)</f>
        <v>0</v>
      </c>
      <c r="EQ200" s="18">
        <f>IFERROR(BR200/'McDonough &amp; Sun 1995 values'!H$2,)</f>
        <v>0</v>
      </c>
      <c r="ER200" s="18">
        <f>IFERROR(DI200/'McDonough &amp; Sun 1995 values'!I$2,)</f>
        <v>0</v>
      </c>
      <c r="ES200" s="18">
        <f>IFERROR(CM200/'McDonough &amp; Sun 1995 values'!J$2,)</f>
        <v>0</v>
      </c>
      <c r="ET200" s="18">
        <f>IFERROR(CU200/'McDonough &amp; Sun 1995 values'!K$2,)</f>
        <v>0</v>
      </c>
      <c r="EU200" s="18">
        <f>IFERROR(CV200/'McDonough &amp; Sun 1995 values'!L$2,)</f>
        <v>0</v>
      </c>
      <c r="EV200" s="18">
        <f>IFERROR(CW200/'McDonough &amp; Sun 1995 values'!M$2,)</f>
        <v>0</v>
      </c>
      <c r="EW200" s="18">
        <f>IFERROR(CI200/'McDonough &amp; Sun 1995 values'!N$2,)</f>
        <v>0</v>
      </c>
      <c r="EX200" s="18">
        <f>IFERROR(CX200/'McDonough &amp; Sun 1995 values'!O$2,)</f>
        <v>0</v>
      </c>
      <c r="EY200" s="18">
        <f>IFERROR(CY200/'McDonough &amp; Sun 1995 values'!P$2,)</f>
        <v>0</v>
      </c>
      <c r="EZ200" s="18">
        <f>IFERROR(DH200/'McDonough &amp; Sun 1995 values'!Q$2,)</f>
        <v>0</v>
      </c>
      <c r="FA200" s="18">
        <f>IFERROR(CK200/'McDonough &amp; Sun 1995 values'!R$2,)</f>
        <v>0</v>
      </c>
      <c r="FB200" s="18">
        <f>IFERROR(CZ200/'McDonough &amp; Sun 1995 values'!S$2,)</f>
        <v>0</v>
      </c>
      <c r="FC200" s="18">
        <f>IFERROR(BT200/'McDonough &amp; Sun 1995 values'!T$2,)</f>
        <v>0</v>
      </c>
      <c r="FD200" s="18">
        <f>IFERROR(DA200/'McDonough &amp; Sun 1995 values'!U$2,)</f>
        <v>0</v>
      </c>
      <c r="FE200" s="18">
        <f>IFERROR(DN200/'McDonough &amp; Sun 1995 values'!V$2,)</f>
        <v>0</v>
      </c>
      <c r="FF200" s="18">
        <f>IFERROR(DB200/'McDonough &amp; Sun 1995 values'!W$2,)</f>
        <v>0</v>
      </c>
      <c r="FG200" s="18">
        <f>IFERROR(CJ200/'McDonough &amp; Sun 1995 values'!X$2,)</f>
        <v>0</v>
      </c>
      <c r="FH200" s="18">
        <f>IFERROR(DC200/'McDonough &amp; Sun 1995 values'!Y$2,)</f>
        <v>0</v>
      </c>
      <c r="FI200" s="18">
        <f>IFERROR(DD200/'McDonough &amp; Sun 1995 values'!Z$2,)</f>
        <v>0</v>
      </c>
      <c r="FJ200" s="18">
        <f>IFERROR(DE200/'McDonough &amp; Sun 1995 values'!AA$2,)</f>
        <v>0</v>
      </c>
      <c r="FK200" s="18">
        <f>IFERROR(DF200/'McDonough &amp; Sun 1995 values'!AB$2,)</f>
        <v>0</v>
      </c>
      <c r="FL200" s="18">
        <f>IFERROR(DG200/'McDonough &amp; Sun 1995 values'!AC$2,)</f>
        <v>0</v>
      </c>
      <c r="FN200" s="28">
        <f t="shared" si="458"/>
        <v>0</v>
      </c>
      <c r="FO200" s="4">
        <f t="shared" si="391"/>
        <v>0</v>
      </c>
      <c r="FP200" s="4">
        <f t="shared" si="392"/>
        <v>0</v>
      </c>
      <c r="FQ200" s="4">
        <f t="shared" si="393"/>
        <v>0</v>
      </c>
      <c r="FR200" s="4">
        <f t="shared" si="394"/>
        <v>0</v>
      </c>
      <c r="FS200" s="4">
        <f t="shared" si="395"/>
        <v>0</v>
      </c>
      <c r="FT200" s="4">
        <f t="shared" si="396"/>
        <v>0</v>
      </c>
      <c r="FU200" s="4">
        <f t="shared" si="397"/>
        <v>0</v>
      </c>
      <c r="FV200" s="4">
        <f t="shared" si="398"/>
        <v>0</v>
      </c>
      <c r="FW200" s="4">
        <f t="shared" si="399"/>
        <v>0</v>
      </c>
      <c r="FX200" s="4">
        <f t="shared" si="400"/>
        <v>0</v>
      </c>
      <c r="FY200" s="4">
        <f t="shared" si="401"/>
        <v>0</v>
      </c>
      <c r="FZ200" s="4">
        <f t="shared" si="402"/>
        <v>0</v>
      </c>
      <c r="GA200" s="4">
        <f t="shared" si="403"/>
        <v>0</v>
      </c>
      <c r="GB200" s="4">
        <f t="shared" si="404"/>
        <v>0</v>
      </c>
      <c r="GC200" s="4">
        <f t="shared" si="405"/>
        <v>0</v>
      </c>
      <c r="GD200" s="4">
        <f t="shared" si="406"/>
        <v>0</v>
      </c>
      <c r="GE200" s="4">
        <f t="shared" si="407"/>
        <v>0</v>
      </c>
      <c r="GF200" s="4">
        <f t="shared" si="408"/>
        <v>0</v>
      </c>
      <c r="GG200" s="4">
        <f t="shared" si="409"/>
        <v>0</v>
      </c>
      <c r="GH200" s="4">
        <f t="shared" si="410"/>
        <v>0</v>
      </c>
      <c r="GI200" s="4">
        <f t="shared" si="411"/>
        <v>0</v>
      </c>
      <c r="GJ200" s="4">
        <f t="shared" si="412"/>
        <v>0</v>
      </c>
      <c r="GK200" s="4">
        <f t="shared" si="413"/>
        <v>0</v>
      </c>
      <c r="GL200" s="4">
        <f t="shared" si="414"/>
        <v>0</v>
      </c>
      <c r="GM200" s="4">
        <f t="shared" si="415"/>
        <v>0</v>
      </c>
      <c r="GN200" s="4">
        <f t="shared" si="416"/>
        <v>0</v>
      </c>
      <c r="GO200" s="4">
        <f t="shared" si="417"/>
        <v>0</v>
      </c>
      <c r="GP200" s="4">
        <f t="shared" si="418"/>
        <v>0</v>
      </c>
      <c r="GQ200" s="27">
        <f t="shared" si="419"/>
        <v>169274.47484599691</v>
      </c>
      <c r="GR200" s="28" t="str">
        <f t="shared" si="420"/>
        <v/>
      </c>
      <c r="GS200" s="28" t="str">
        <f t="shared" si="421"/>
        <v/>
      </c>
      <c r="GT200" s="28" t="str">
        <f t="shared" si="422"/>
        <v/>
      </c>
      <c r="GU200" s="28" t="str">
        <f t="shared" si="423"/>
        <v/>
      </c>
      <c r="GV200" s="28" t="str">
        <f t="shared" si="424"/>
        <v/>
      </c>
      <c r="GW200" s="28" t="str">
        <f t="shared" si="425"/>
        <v/>
      </c>
      <c r="GX200" s="28" t="str">
        <f t="shared" si="426"/>
        <v/>
      </c>
      <c r="GY200" s="28" t="str">
        <f t="shared" si="427"/>
        <v/>
      </c>
      <c r="GZ200" s="28" t="str">
        <f t="shared" si="428"/>
        <v/>
      </c>
      <c r="HA200" s="28" t="str">
        <f t="shared" si="429"/>
        <v/>
      </c>
      <c r="HB200" s="28" t="str">
        <f t="shared" si="430"/>
        <v/>
      </c>
      <c r="HC200" s="28" t="str">
        <f t="shared" si="431"/>
        <v/>
      </c>
      <c r="HD200" s="28" t="str">
        <f t="shared" si="432"/>
        <v/>
      </c>
      <c r="HE200" s="28" t="str">
        <f t="shared" si="433"/>
        <v/>
      </c>
      <c r="HF200" s="28" t="str">
        <f t="shared" si="434"/>
        <v/>
      </c>
      <c r="HG200" s="28" t="str">
        <f t="shared" si="435"/>
        <v/>
      </c>
      <c r="HH200" s="28" t="str">
        <f t="shared" si="436"/>
        <v/>
      </c>
      <c r="HI200" s="28" t="str">
        <f t="shared" si="437"/>
        <v/>
      </c>
      <c r="HJ200" s="28" t="str">
        <f t="shared" si="438"/>
        <v/>
      </c>
      <c r="HK200" s="28" t="str">
        <f t="shared" si="439"/>
        <v/>
      </c>
      <c r="HL200" s="28" t="str">
        <f t="shared" si="440"/>
        <v/>
      </c>
      <c r="HM200" s="28" t="str">
        <f t="shared" si="441"/>
        <v/>
      </c>
      <c r="HN200" s="28" t="str">
        <f t="shared" si="442"/>
        <v/>
      </c>
      <c r="HO200" s="28" t="str">
        <f t="shared" si="443"/>
        <v/>
      </c>
      <c r="HP200" s="28" t="str">
        <f t="shared" si="444"/>
        <v/>
      </c>
      <c r="HQ200" s="28" t="str">
        <f t="shared" si="445"/>
        <v/>
      </c>
      <c r="HR200" s="28" t="str">
        <f t="shared" si="446"/>
        <v/>
      </c>
      <c r="HT200" s="4">
        <f>IFERROR(GR200/'McDonough &amp; Sun 1995 values'!C$2,)</f>
        <v>0</v>
      </c>
      <c r="HU200" s="4">
        <f>IFERROR(GS200/'McDonough &amp; Sun 1995 values'!D$2,)</f>
        <v>0</v>
      </c>
      <c r="HV200" s="4">
        <f>IFERROR(GT200/'McDonough &amp; Sun 1995 values'!E$2,)</f>
        <v>0</v>
      </c>
      <c r="HW200" s="4">
        <f>IFERROR(GU200/'McDonough &amp; Sun 1995 values'!F$2,)</f>
        <v>0</v>
      </c>
      <c r="HX200" s="4">
        <f>IFERROR(GV200/'McDonough &amp; Sun 1995 values'!G$2,)</f>
        <v>0</v>
      </c>
      <c r="HY200" s="4">
        <f>IFERROR(GW200/'McDonough &amp; Sun 1995 values'!H$2,)</f>
        <v>0</v>
      </c>
      <c r="HZ200" s="4">
        <f>IFERROR(GX200/'McDonough &amp; Sun 1995 values'!I$2,)</f>
        <v>0</v>
      </c>
      <c r="IA200" s="4">
        <f>IFERROR(GY200/'McDonough &amp; Sun 1995 values'!J$2,)</f>
        <v>0</v>
      </c>
      <c r="IB200" s="4">
        <f>IFERROR(GZ200/'McDonough &amp; Sun 1995 values'!K$2,)</f>
        <v>0</v>
      </c>
      <c r="IC200" s="4">
        <f>IFERROR(HA200/'McDonough &amp; Sun 1995 values'!L$2,)</f>
        <v>0</v>
      </c>
      <c r="ID200" s="4">
        <f>IFERROR(HB200/'McDonough &amp; Sun 1995 values'!M$2,)</f>
        <v>0</v>
      </c>
      <c r="IE200" s="4">
        <f>IFERROR(HC200/'McDonough &amp; Sun 1995 values'!N$2,)</f>
        <v>0</v>
      </c>
      <c r="IF200" s="4">
        <f>IFERROR(HD200/'McDonough &amp; Sun 1995 values'!O$2,)</f>
        <v>0</v>
      </c>
      <c r="IG200" s="4">
        <f>IFERROR(HE200/'McDonough &amp; Sun 1995 values'!P$2,)</f>
        <v>0</v>
      </c>
      <c r="IH200" s="4">
        <f>IFERROR(HF200/'McDonough &amp; Sun 1995 values'!Q$2,)</f>
        <v>0</v>
      </c>
      <c r="II200" s="4">
        <f>IFERROR(HG200/'McDonough &amp; Sun 1995 values'!R$2,)</f>
        <v>0</v>
      </c>
      <c r="IJ200" s="4">
        <f>IFERROR(HH200/'McDonough &amp; Sun 1995 values'!S$2,)</f>
        <v>0</v>
      </c>
      <c r="IK200" s="4">
        <f>IFERROR(HI200/'McDonough &amp; Sun 1995 values'!T$2,)</f>
        <v>0</v>
      </c>
      <c r="IL200" s="4">
        <f>IFERROR(HJ200/'McDonough &amp; Sun 1995 values'!U$2,)</f>
        <v>0</v>
      </c>
      <c r="IM200" s="4">
        <f>IFERROR(HK200/'McDonough &amp; Sun 1995 values'!V$2,)</f>
        <v>0</v>
      </c>
      <c r="IN200" s="4">
        <f>IFERROR(HL200/'McDonough &amp; Sun 1995 values'!W$2,)</f>
        <v>0</v>
      </c>
      <c r="IO200" s="4">
        <f>IFERROR(HM200/'McDonough &amp; Sun 1995 values'!X$2,)</f>
        <v>0</v>
      </c>
      <c r="IP200" s="4">
        <f>IFERROR(HN200/'McDonough &amp; Sun 1995 values'!Y$2,)</f>
        <v>0</v>
      </c>
      <c r="IQ200" s="4">
        <f>IFERROR(HO200/'McDonough &amp; Sun 1995 values'!Z$2,)</f>
        <v>0</v>
      </c>
      <c r="IR200" s="4">
        <f>IFERROR(HP200/'McDonough &amp; Sun 1995 values'!AA$2,)</f>
        <v>0</v>
      </c>
      <c r="IS200" s="4">
        <f>IFERROR(HQ200/'McDonough &amp; Sun 1995 values'!AB$2,)</f>
        <v>0</v>
      </c>
      <c r="IT200" s="4">
        <f>IFERROR(HR200/'McDonough &amp; Sun 1995 values'!AC$2,)</f>
        <v>0</v>
      </c>
    </row>
    <row r="201" spans="1:254">
      <c r="A201" s="16" t="s">
        <v>1277</v>
      </c>
      <c r="B201" s="16" t="s">
        <v>24</v>
      </c>
      <c r="C201" s="16" t="str">
        <f t="shared" si="461"/>
        <v>silicic</v>
      </c>
      <c r="D201" s="16">
        <v>0</v>
      </c>
      <c r="E201" s="16" t="s">
        <v>1394</v>
      </c>
      <c r="F201" s="16" t="s">
        <v>1650</v>
      </c>
      <c r="G201" s="16" t="s">
        <v>1799</v>
      </c>
      <c r="H201" s="27"/>
      <c r="I201" s="16" t="s">
        <v>735</v>
      </c>
      <c r="J201" s="16" t="s">
        <v>635</v>
      </c>
      <c r="K201" s="16" t="s">
        <v>802</v>
      </c>
      <c r="L201" s="16">
        <v>0</v>
      </c>
      <c r="M201" s="16" t="s">
        <v>784</v>
      </c>
      <c r="N201" s="16">
        <v>34</v>
      </c>
      <c r="O201" s="26">
        <v>50.788292272538222</v>
      </c>
      <c r="P201" s="26">
        <v>3.9029130657634008</v>
      </c>
      <c r="Q201" s="26">
        <v>0.21539904462199344</v>
      </c>
      <c r="R201" s="26">
        <v>7.0271709116592778</v>
      </c>
      <c r="S201" s="26">
        <v>7.536659004404008</v>
      </c>
      <c r="T201" s="26">
        <v>4.2573425567271252</v>
      </c>
      <c r="U201" s="26">
        <v>0.32736696542255372</v>
      </c>
      <c r="V201" s="26">
        <v>6.5352159037643798</v>
      </c>
      <c r="W201" s="26">
        <v>1.6578941199096473</v>
      </c>
      <c r="X201" s="26">
        <v>15.24231111035178</v>
      </c>
      <c r="Y201" s="26"/>
      <c r="Z201" s="26">
        <v>1.6589850467815113</v>
      </c>
      <c r="AA201" s="26">
        <v>2.2064412114574088</v>
      </c>
      <c r="AB201" s="26">
        <v>0.74125392038792526</v>
      </c>
      <c r="AC201" s="26">
        <v>0.10394091324147933</v>
      </c>
      <c r="AD201" s="26">
        <v>0.65196208771271547</v>
      </c>
      <c r="AE201" s="26"/>
      <c r="AF201" s="26">
        <v>0.44183609730016676</v>
      </c>
      <c r="AG201" s="26"/>
      <c r="AH201" s="26"/>
      <c r="AI201" s="26">
        <v>11.606470588235297</v>
      </c>
      <c r="AJ201" s="26">
        <f t="shared" si="462"/>
        <v>99.999999999999986</v>
      </c>
      <c r="AK201" s="26">
        <f t="shared" si="447"/>
        <v>50.863126303596026</v>
      </c>
      <c r="AL201" s="26">
        <f t="shared" si="448"/>
        <v>3.9086638146960873</v>
      </c>
      <c r="AM201" s="26">
        <f t="shared" si="449"/>
        <v>7.0375250996565759</v>
      </c>
      <c r="AN201" s="26">
        <f t="shared" si="450"/>
        <v>7.5477638978503387</v>
      </c>
      <c r="AO201" s="26">
        <f t="shared" si="451"/>
        <v>4.2636155399454667</v>
      </c>
      <c r="AP201" s="26">
        <f t="shared" si="452"/>
        <v>6.5448452204440466</v>
      </c>
      <c r="AQ201" s="26">
        <f t="shared" si="453"/>
        <v>0.74234612129522026</v>
      </c>
      <c r="AR201" s="26">
        <f t="shared" si="454"/>
        <v>1.6603369447125391</v>
      </c>
      <c r="AS201" s="26">
        <f t="shared" si="455"/>
        <v>15.264769900202479</v>
      </c>
      <c r="AT201" s="26">
        <f t="shared" si="456"/>
        <v>1.6614294790110709</v>
      </c>
      <c r="AU201" s="26">
        <f t="shared" si="457"/>
        <v>0.65292272153081266</v>
      </c>
      <c r="AV201" s="26">
        <f t="shared" si="463"/>
        <v>100.14734504294067</v>
      </c>
      <c r="AW201" s="16"/>
      <c r="AX201" s="16"/>
      <c r="AY201" s="16"/>
      <c r="AZ201" s="16"/>
      <c r="BA201" s="26"/>
      <c r="BB201" s="26"/>
      <c r="BC201" s="26"/>
      <c r="BD201" s="26"/>
      <c r="BE201" s="16"/>
      <c r="BF201" s="16"/>
      <c r="BG201" s="16"/>
      <c r="BH201" s="16"/>
      <c r="BI201" s="16"/>
      <c r="BJ201" s="16"/>
      <c r="BK201" s="18"/>
      <c r="BL201" s="18"/>
      <c r="BM201" s="18"/>
      <c r="BN201" s="18"/>
      <c r="BO201" s="18"/>
      <c r="BP201" s="18"/>
      <c r="BQ201" s="18"/>
      <c r="BR201" s="18">
        <v>237</v>
      </c>
      <c r="BS201" s="18"/>
      <c r="BT201" s="18">
        <v>100</v>
      </c>
      <c r="BU201" s="18"/>
      <c r="BV201" s="18"/>
      <c r="BW201" s="18"/>
      <c r="BX201" s="18"/>
      <c r="BY201" s="18"/>
      <c r="BZ201" s="18"/>
      <c r="CA201" s="18"/>
      <c r="CB201" s="18"/>
      <c r="CC201" s="18"/>
      <c r="CD201" s="18"/>
      <c r="CE201" s="18"/>
      <c r="CF201" s="18"/>
      <c r="CG201" s="18"/>
      <c r="CH201" s="18">
        <v>1.1000000000000001</v>
      </c>
      <c r="CI201" s="18">
        <v>5.3</v>
      </c>
      <c r="CJ201" s="18">
        <v>0.28000000000000003</v>
      </c>
      <c r="CK201" s="18">
        <v>3</v>
      </c>
      <c r="CL201" s="18"/>
      <c r="CM201" s="18">
        <v>0.39</v>
      </c>
      <c r="CN201" s="18"/>
      <c r="CO201" s="18"/>
      <c r="CP201" s="18"/>
      <c r="CQ201" s="18"/>
      <c r="CR201" s="18">
        <v>1.0999999999999999E-2</v>
      </c>
      <c r="CS201" s="18">
        <v>45</v>
      </c>
      <c r="CT201" s="18">
        <v>0</v>
      </c>
      <c r="CU201" s="18">
        <v>0.5</v>
      </c>
      <c r="CV201" s="18">
        <v>0.7</v>
      </c>
      <c r="CW201" s="18">
        <v>0.08</v>
      </c>
      <c r="CX201" s="18">
        <v>0.39</v>
      </c>
      <c r="CY201" s="18">
        <v>0.08</v>
      </c>
      <c r="CZ201" s="18">
        <v>2.5000000000000001E-2</v>
      </c>
      <c r="DA201" s="18">
        <v>0.08</v>
      </c>
      <c r="DB201" s="18">
        <v>0.06</v>
      </c>
      <c r="DC201" s="18">
        <v>1.0999999999999999E-2</v>
      </c>
      <c r="DD201" s="18">
        <v>2.5999999999999999E-2</v>
      </c>
      <c r="DE201" s="18"/>
      <c r="DF201" s="18">
        <v>0.02</v>
      </c>
      <c r="DG201" s="18">
        <v>4.0000000000000001E-3</v>
      </c>
      <c r="DH201" s="18">
        <v>7.0000000000000007E-2</v>
      </c>
      <c r="DI201" s="18">
        <v>0.02</v>
      </c>
      <c r="DJ201" s="18"/>
      <c r="DK201" s="18"/>
      <c r="DL201" s="18">
        <v>0.11</v>
      </c>
      <c r="DM201" s="18">
        <v>2.1999999999999999E-2</v>
      </c>
      <c r="DN201" s="18"/>
      <c r="DO201" s="18"/>
      <c r="DP201" s="18"/>
      <c r="DQ201" s="18"/>
      <c r="DR201" s="18"/>
      <c r="DS201" s="18"/>
      <c r="DT201" s="18"/>
      <c r="DU201" s="18"/>
      <c r="DV201" s="28"/>
      <c r="DW201" s="28"/>
      <c r="DX201" s="28"/>
      <c r="DY201" s="28"/>
      <c r="DZ201" s="28"/>
      <c r="EA201" s="28"/>
      <c r="EB201" s="28"/>
      <c r="EC201" s="28"/>
      <c r="ED201" s="28"/>
      <c r="EE201" s="28"/>
      <c r="EF201" s="28"/>
      <c r="EG201" s="28"/>
      <c r="EH201" s="28"/>
      <c r="EI201" s="28"/>
      <c r="EJ201" s="18"/>
      <c r="EK201" s="18"/>
      <c r="EL201" s="18">
        <f>IFERROR(CR201/'McDonough &amp; Sun 1995 values'!C$2,)</f>
        <v>0.52380952380952372</v>
      </c>
      <c r="EM201" s="18">
        <f>IFERROR(CH201/'McDonough &amp; Sun 1995 values'!D$2,)</f>
        <v>1.8333333333333335</v>
      </c>
      <c r="EN201" s="18">
        <f>IFERROR(CS201/'McDonough &amp; Sun 1995 values'!E$2,)</f>
        <v>6.8181818181818183</v>
      </c>
      <c r="EO201" s="18">
        <f>IFERROR(DL201/'McDonough &amp; Sun 1995 values'!F$2,)</f>
        <v>1.3836477987421383</v>
      </c>
      <c r="EP201" s="18">
        <f>IFERROR(DM201/'McDonough &amp; Sun 1995 values'!G$2,)</f>
        <v>1.083743842364532</v>
      </c>
      <c r="EQ201" s="18">
        <f>IFERROR(BR201/'McDonough &amp; Sun 1995 values'!H$2,)</f>
        <v>0.98750000000000004</v>
      </c>
      <c r="ER201" s="18">
        <f>IFERROR(DI201/'McDonough &amp; Sun 1995 values'!I$2,)</f>
        <v>0.54054054054054057</v>
      </c>
      <c r="ES201" s="18">
        <f>IFERROR(CM201/'McDonough &amp; Sun 1995 values'!J$2,)</f>
        <v>0.59270516717325228</v>
      </c>
      <c r="ET201" s="18">
        <f>IFERROR(CU201/'McDonough &amp; Sun 1995 values'!K$2,)</f>
        <v>0.77160493827160492</v>
      </c>
      <c r="EU201" s="18">
        <f>IFERROR(CV201/'McDonough &amp; Sun 1995 values'!L$2,)</f>
        <v>0.41791044776119401</v>
      </c>
      <c r="EV201" s="18">
        <f>IFERROR(CW201/'McDonough &amp; Sun 1995 values'!M$2,)</f>
        <v>0.31496062992125984</v>
      </c>
      <c r="EW201" s="18">
        <f>IFERROR(CI201/'McDonough &amp; Sun 1995 values'!N$2,)</f>
        <v>0.26633165829145727</v>
      </c>
      <c r="EX201" s="18">
        <f>IFERROR(CX201/'McDonough &amp; Sun 1995 values'!O$2,)</f>
        <v>0.312</v>
      </c>
      <c r="EY201" s="18">
        <f>IFERROR(CY201/'McDonough &amp; Sun 1995 values'!P$2,)</f>
        <v>0.19704433497536944</v>
      </c>
      <c r="EZ201" s="18">
        <f>IFERROR(DH201/'McDonough &amp; Sun 1995 values'!Q$2,)</f>
        <v>0.24734982332155481</v>
      </c>
      <c r="FA201" s="18">
        <f>IFERROR(CK201/'McDonough &amp; Sun 1995 values'!R$2,)</f>
        <v>0.2857142857142857</v>
      </c>
      <c r="FB201" s="18">
        <f>IFERROR(CZ201/'McDonough &amp; Sun 1995 values'!S$2,)</f>
        <v>0.16233766233766234</v>
      </c>
      <c r="FC201" s="18">
        <f>IFERROR(BT201/'McDonough &amp; Sun 1995 values'!T$2,)</f>
        <v>8.2987551867219914E-2</v>
      </c>
      <c r="FD201" s="18">
        <f>IFERROR(DA201/'McDonough &amp; Sun 1995 values'!U$2,)</f>
        <v>0.14705882352941177</v>
      </c>
      <c r="FE201" s="18">
        <f>IFERROR(DN201/'McDonough &amp; Sun 1995 values'!V$2,)</f>
        <v>0</v>
      </c>
      <c r="FF201" s="18">
        <f>IFERROR(DB201/'McDonough &amp; Sun 1995 values'!W$2,)</f>
        <v>8.9020771513353109E-2</v>
      </c>
      <c r="FG201" s="18">
        <f>IFERROR(CJ201/'McDonough &amp; Sun 1995 values'!X$2,)</f>
        <v>6.5116279069767455E-2</v>
      </c>
      <c r="FH201" s="18">
        <f>IFERROR(DC201/'McDonough &amp; Sun 1995 values'!Y$2,)</f>
        <v>7.3825503355704702E-2</v>
      </c>
      <c r="FI201" s="18">
        <f>IFERROR(DD201/'McDonough &amp; Sun 1995 values'!Z$2,)</f>
        <v>5.9360730593607303E-2</v>
      </c>
      <c r="FJ201" s="18">
        <f>IFERROR(DE201/'McDonough &amp; Sun 1995 values'!AA$2,)</f>
        <v>0</v>
      </c>
      <c r="FK201" s="18">
        <f>IFERROR(DF201/'McDonough &amp; Sun 1995 values'!AB$2,)</f>
        <v>4.5351473922902494E-2</v>
      </c>
      <c r="FL201" s="18">
        <f>IFERROR(DG201/'McDonough &amp; Sun 1995 values'!AC$2,)</f>
        <v>5.9259259259259255E-2</v>
      </c>
      <c r="FN201" s="28">
        <f t="shared" si="458"/>
        <v>1.097462118850159</v>
      </c>
      <c r="FO201" s="4">
        <f t="shared" si="391"/>
        <v>6.2913223140495873</v>
      </c>
      <c r="FP201" s="4">
        <f t="shared" si="392"/>
        <v>2.3344621835187871</v>
      </c>
      <c r="FQ201" s="4">
        <f t="shared" si="393"/>
        <v>1.2767295597484276</v>
      </c>
      <c r="FR201" s="4">
        <f t="shared" si="394"/>
        <v>1.3018360240582463</v>
      </c>
      <c r="FS201" s="4">
        <f t="shared" si="395"/>
        <v>1.4274691358024689</v>
      </c>
      <c r="FT201" s="4">
        <f t="shared" si="396"/>
        <v>3.5000000000000009</v>
      </c>
      <c r="FU201" s="4">
        <f t="shared" si="397"/>
        <v>0.91198891198891208</v>
      </c>
      <c r="FV201" s="4">
        <f t="shared" si="398"/>
        <v>1.45</v>
      </c>
      <c r="FW201" s="4">
        <f t="shared" si="399"/>
        <v>1.1551020408163264</v>
      </c>
      <c r="FX201" s="4">
        <f t="shared" si="400"/>
        <v>0.94354066985645924</v>
      </c>
      <c r="FY201" s="4">
        <f t="shared" si="401"/>
        <v>0.84960558960538979</v>
      </c>
      <c r="FZ201" s="4">
        <f t="shared" si="402"/>
        <v>0.95365604822886474</v>
      </c>
      <c r="GA201" s="4">
        <f t="shared" si="403"/>
        <v>0.84560301507537683</v>
      </c>
      <c r="GB201" s="4">
        <f t="shared" si="404"/>
        <v>0.82386363636363646</v>
      </c>
      <c r="GC201" s="4">
        <f t="shared" si="405"/>
        <v>0.28571428571428564</v>
      </c>
      <c r="GD201" s="4">
        <f t="shared" si="406"/>
        <v>4.927685950413224</v>
      </c>
      <c r="GE201" s="4">
        <f t="shared" si="407"/>
        <v>3.7190082644628095</v>
      </c>
      <c r="GF201" s="4">
        <f t="shared" si="408"/>
        <v>6.9044879171461444</v>
      </c>
      <c r="GG201" s="4">
        <f t="shared" si="409"/>
        <v>11.503496503496503</v>
      </c>
      <c r="GH201" s="4">
        <f t="shared" si="410"/>
        <v>2.4498456790123457</v>
      </c>
      <c r="GI201" s="4">
        <f t="shared" si="411"/>
        <v>3.9158950617283952</v>
      </c>
      <c r="GJ201" s="4">
        <f t="shared" si="412"/>
        <v>8.6676954732510296</v>
      </c>
      <c r="GK201" s="4">
        <f t="shared" si="413"/>
        <v>17.013888888888889</v>
      </c>
      <c r="GL201" s="4">
        <f t="shared" si="414"/>
        <v>3.4428571428571426</v>
      </c>
      <c r="GM201" s="4">
        <f t="shared" si="415"/>
        <v>0.75471698113207542</v>
      </c>
      <c r="GN201" s="4">
        <f t="shared" si="416"/>
        <v>0.76814589665653499</v>
      </c>
      <c r="GO201" s="4">
        <f t="shared" si="417"/>
        <v>0.54690522243713735</v>
      </c>
      <c r="GP201" s="4">
        <f t="shared" si="418"/>
        <v>0.91119318181818187</v>
      </c>
      <c r="GQ201" s="27">
        <f t="shared" si="419"/>
        <v>126718.54941975459</v>
      </c>
      <c r="GR201" s="28">
        <f t="shared" si="420"/>
        <v>5.881451660832492</v>
      </c>
      <c r="GS201" s="28">
        <f t="shared" si="421"/>
        <v>588.14516608324925</v>
      </c>
      <c r="GT201" s="28">
        <f t="shared" si="422"/>
        <v>24060.484067042013</v>
      </c>
      <c r="GU201" s="28">
        <f t="shared" si="423"/>
        <v>58.814516608324922</v>
      </c>
      <c r="GV201" s="28">
        <f t="shared" si="424"/>
        <v>11.762903321664984</v>
      </c>
      <c r="GW201" s="28">
        <f t="shared" si="425"/>
        <v>126718.54941975459</v>
      </c>
      <c r="GX201" s="28">
        <f t="shared" si="426"/>
        <v>10.693548474240893</v>
      </c>
      <c r="GY201" s="28">
        <f t="shared" si="427"/>
        <v>208.52419524769743</v>
      </c>
      <c r="GZ201" s="28">
        <f t="shared" si="428"/>
        <v>267.33871185602231</v>
      </c>
      <c r="HA201" s="28">
        <f t="shared" si="429"/>
        <v>374.27419659843127</v>
      </c>
      <c r="HB201" s="28">
        <f t="shared" si="430"/>
        <v>42.774193896963574</v>
      </c>
      <c r="HC201" s="28">
        <f t="shared" si="431"/>
        <v>2833.7903456738368</v>
      </c>
      <c r="HD201" s="28">
        <f t="shared" si="432"/>
        <v>208.52419524769743</v>
      </c>
      <c r="HE201" s="28">
        <f t="shared" si="433"/>
        <v>42.774193896963574</v>
      </c>
      <c r="HF201" s="28">
        <f t="shared" si="434"/>
        <v>37.427419659843132</v>
      </c>
      <c r="HG201" s="28">
        <f t="shared" si="435"/>
        <v>1604.0322711361341</v>
      </c>
      <c r="HH201" s="28">
        <f t="shared" si="436"/>
        <v>13.366935592801118</v>
      </c>
      <c r="HI201" s="28">
        <f t="shared" si="437"/>
        <v>53467.742371204469</v>
      </c>
      <c r="HJ201" s="28">
        <f t="shared" si="438"/>
        <v>42.774193896963574</v>
      </c>
      <c r="HK201" s="28">
        <f t="shared" si="439"/>
        <v>0</v>
      </c>
      <c r="HL201" s="28">
        <f t="shared" si="440"/>
        <v>32.080645422722682</v>
      </c>
      <c r="HM201" s="28">
        <f t="shared" si="441"/>
        <v>149.70967863937253</v>
      </c>
      <c r="HN201" s="28">
        <f t="shared" si="442"/>
        <v>5.881451660832492</v>
      </c>
      <c r="HO201" s="28">
        <f t="shared" si="443"/>
        <v>13.901613016513162</v>
      </c>
      <c r="HP201" s="28">
        <f t="shared" si="444"/>
        <v>0</v>
      </c>
      <c r="HQ201" s="28">
        <f t="shared" si="445"/>
        <v>10.693548474240893</v>
      </c>
      <c r="HR201" s="28">
        <f t="shared" si="446"/>
        <v>2.138709694848179</v>
      </c>
      <c r="HT201" s="4">
        <f>IFERROR(GR201/'McDonough &amp; Sun 1995 values'!C$2,)</f>
        <v>280.06912670630913</v>
      </c>
      <c r="HU201" s="4">
        <f>IFERROR(GS201/'McDonough &amp; Sun 1995 values'!D$2,)</f>
        <v>980.24194347208208</v>
      </c>
      <c r="HV201" s="4">
        <f>IFERROR(GT201/'McDonough &amp; Sun 1995 values'!E$2,)</f>
        <v>3645.5278889457595</v>
      </c>
      <c r="HW201" s="4">
        <f>IFERROR(GU201/'McDonough &amp; Sun 1995 values'!F$2,)</f>
        <v>739.80524035628832</v>
      </c>
      <c r="HX201" s="4">
        <f>IFERROR(GV201/'McDonough &amp; Sun 1995 values'!G$2,)</f>
        <v>579.45336559926034</v>
      </c>
      <c r="HY201" s="4">
        <f>IFERROR(GW201/'McDonough &amp; Sun 1995 values'!H$2,)</f>
        <v>527.99395591564416</v>
      </c>
      <c r="HZ201" s="4">
        <f>IFERROR(GX201/'McDonough &amp; Sun 1995 values'!I$2,)</f>
        <v>289.01482362813226</v>
      </c>
      <c r="IA201" s="4">
        <f>IFERROR(GY201/'McDonough &amp; Sun 1995 values'!J$2,)</f>
        <v>316.90607180501127</v>
      </c>
      <c r="IB201" s="4">
        <f>IFERROR(GZ201/'McDonough &amp; Sun 1995 values'!K$2,)</f>
        <v>412.55974051855293</v>
      </c>
      <c r="IC201" s="4">
        <f>IFERROR(HA201/'McDonough &amp; Sun 1995 values'!L$2,)</f>
        <v>223.44728155130224</v>
      </c>
      <c r="ID201" s="4">
        <f>IFERROR(HB201/'McDonough &amp; Sun 1995 values'!M$2,)</f>
        <v>168.40233817702193</v>
      </c>
      <c r="IE201" s="4">
        <f>IFERROR(HC201/'McDonough &amp; Sun 1995 values'!N$2,)</f>
        <v>142.401524908233</v>
      </c>
      <c r="IF201" s="4">
        <f>IFERROR(HD201/'McDonough &amp; Sun 1995 values'!O$2,)</f>
        <v>166.81935619815795</v>
      </c>
      <c r="IG201" s="4">
        <f>IFERROR(HE201/'McDonough &amp; Sun 1995 values'!P$2,)</f>
        <v>105.35515738168367</v>
      </c>
      <c r="IH201" s="4">
        <f>IFERROR(HF201/'McDonough &amp; Sun 1995 values'!Q$2,)</f>
        <v>132.25236628919836</v>
      </c>
      <c r="II201" s="4">
        <f>IFERROR(HG201/'McDonough &amp; Sun 1995 values'!R$2,)</f>
        <v>152.76497820344133</v>
      </c>
      <c r="IJ201" s="4">
        <f>IFERROR(HH201/'McDonough &amp; Sun 1995 values'!S$2,)</f>
        <v>86.798283070137131</v>
      </c>
      <c r="IK201" s="4">
        <f>IFERROR(HI201/'McDonough &amp; Sun 1995 values'!T$2,)</f>
        <v>44.371570432534831</v>
      </c>
      <c r="IL201" s="4">
        <f>IFERROR(HJ201/'McDonough &amp; Sun 1995 values'!U$2,)</f>
        <v>78.62903289883009</v>
      </c>
      <c r="IM201" s="4">
        <f>IFERROR(HK201/'McDonough &amp; Sun 1995 values'!V$2,)</f>
        <v>0</v>
      </c>
      <c r="IN201" s="4">
        <f>IFERROR(HL201/'McDonough &amp; Sun 1995 values'!W$2,)</f>
        <v>47.597396769618221</v>
      </c>
      <c r="IO201" s="4">
        <f>IFERROR(HM201/'McDonough &amp; Sun 1995 values'!X$2,)</f>
        <v>34.816204334737797</v>
      </c>
      <c r="IP201" s="4">
        <f>IFERROR(HN201/'McDonough &amp; Sun 1995 values'!Y$2,)</f>
        <v>39.472829938473105</v>
      </c>
      <c r="IQ201" s="4">
        <f>IFERROR(HO201/'McDonough &amp; Sun 1995 values'!Z$2,)</f>
        <v>31.738842503454705</v>
      </c>
      <c r="IR201" s="4">
        <f>IFERROR(HP201/'McDonough &amp; Sun 1995 values'!AA$2,)</f>
        <v>0</v>
      </c>
      <c r="IS201" s="4">
        <f>IFERROR(HQ201/'McDonough &amp; Sun 1995 values'!AB$2,)</f>
        <v>24.248409238641482</v>
      </c>
      <c r="IT201" s="4">
        <f>IFERROR(HR201/'McDonough &amp; Sun 1995 values'!AC$2,)</f>
        <v>31.684588071824873</v>
      </c>
    </row>
    <row r="202" spans="1:254">
      <c r="A202" s="16" t="s">
        <v>641</v>
      </c>
      <c r="B202" s="16" t="s">
        <v>24</v>
      </c>
      <c r="C202" s="16" t="str">
        <f t="shared" si="461"/>
        <v>silicic</v>
      </c>
      <c r="D202" s="16" t="s">
        <v>110</v>
      </c>
      <c r="E202" s="16" t="s">
        <v>237</v>
      </c>
      <c r="F202" s="16" t="s">
        <v>639</v>
      </c>
      <c r="G202" s="16" t="s">
        <v>640</v>
      </c>
      <c r="H202" s="27">
        <v>0</v>
      </c>
      <c r="I202" s="16" t="s">
        <v>712</v>
      </c>
      <c r="J202" s="16" t="s">
        <v>635</v>
      </c>
      <c r="K202" s="16" t="s">
        <v>642</v>
      </c>
      <c r="L202" s="16">
        <v>0</v>
      </c>
      <c r="M202" s="16" t="s">
        <v>622</v>
      </c>
      <c r="N202" s="16" t="s">
        <v>1084</v>
      </c>
      <c r="O202" s="26">
        <v>39.700000000000003</v>
      </c>
      <c r="P202" s="26">
        <v>0.74</v>
      </c>
      <c r="Q202" s="26">
        <v>0.84</v>
      </c>
      <c r="R202" s="26">
        <v>21.2</v>
      </c>
      <c r="S202" s="26">
        <v>16.8</v>
      </c>
      <c r="T202" s="26">
        <v>6.42</v>
      </c>
      <c r="U202" s="26">
        <v>0.42</v>
      </c>
      <c r="V202" s="26">
        <v>9.1300000000000008</v>
      </c>
      <c r="W202" s="26">
        <v>0.11</v>
      </c>
      <c r="X202" s="26">
        <v>2.87</v>
      </c>
      <c r="Y202" s="26"/>
      <c r="Z202" s="26">
        <v>0.56000000000000005</v>
      </c>
      <c r="AA202" s="26"/>
      <c r="AB202" s="26"/>
      <c r="AC202" s="26"/>
      <c r="AD202" s="26">
        <v>0.04</v>
      </c>
      <c r="AE202" s="26"/>
      <c r="AF202" s="26">
        <v>1.24</v>
      </c>
      <c r="AG202" s="26"/>
      <c r="AH202" s="26"/>
      <c r="AI202" s="26"/>
      <c r="AJ202" s="26">
        <f t="shared" si="462"/>
        <v>97.570000000000007</v>
      </c>
      <c r="AK202" s="26">
        <f t="shared" si="447"/>
        <v>40.692501004398821</v>
      </c>
      <c r="AL202" s="26">
        <f t="shared" si="448"/>
        <v>0.75850001872179162</v>
      </c>
      <c r="AM202" s="26">
        <f t="shared" si="449"/>
        <v>21.73000053635403</v>
      </c>
      <c r="AN202" s="26">
        <f t="shared" si="450"/>
        <v>17.22000042503527</v>
      </c>
      <c r="AO202" s="26">
        <f t="shared" si="451"/>
        <v>6.5805001624241921</v>
      </c>
      <c r="AP202" s="26">
        <f t="shared" si="452"/>
        <v>9.3582502309864299</v>
      </c>
      <c r="AQ202" s="26">
        <f t="shared" si="453"/>
        <v>0</v>
      </c>
      <c r="AR202" s="26">
        <f t="shared" si="454"/>
        <v>0.11275000278296902</v>
      </c>
      <c r="AS202" s="26">
        <f t="shared" si="455"/>
        <v>2.9417500726101919</v>
      </c>
      <c r="AT202" s="26">
        <f t="shared" si="456"/>
        <v>0.57400001416784241</v>
      </c>
      <c r="AU202" s="26">
        <f t="shared" si="457"/>
        <v>4.1000001011988738E-2</v>
      </c>
      <c r="AV202" s="26">
        <f t="shared" si="463"/>
        <v>100.00925246849351</v>
      </c>
      <c r="AW202" s="16"/>
      <c r="AX202" s="16"/>
      <c r="AY202" s="16"/>
      <c r="AZ202" s="16"/>
      <c r="BA202" s="26"/>
      <c r="BB202" s="26"/>
      <c r="BC202" s="26"/>
      <c r="BD202" s="26"/>
      <c r="BE202" s="25"/>
      <c r="BF202" s="16"/>
      <c r="BG202" s="16"/>
      <c r="BH202" s="16"/>
      <c r="BI202" s="16"/>
      <c r="BJ202" s="16"/>
      <c r="BK202" s="18"/>
      <c r="BL202" s="18"/>
      <c r="BM202" s="18"/>
      <c r="BN202" s="18">
        <v>105.14</v>
      </c>
      <c r="BO202" s="18">
        <v>213.88</v>
      </c>
      <c r="BP202" s="18">
        <v>345.9</v>
      </c>
      <c r="BQ202" s="18">
        <v>32.71</v>
      </c>
      <c r="BR202" s="18">
        <v>453.86</v>
      </c>
      <c r="BS202" s="18">
        <v>164.68</v>
      </c>
      <c r="BT202" s="18">
        <v>32.729999999999997</v>
      </c>
      <c r="BU202" s="18">
        <v>1.86</v>
      </c>
      <c r="BV202" s="18">
        <v>34.79</v>
      </c>
      <c r="BW202" s="18">
        <v>288.58999999999997</v>
      </c>
      <c r="BX202" s="18">
        <v>3.7999999999999999E-2</v>
      </c>
      <c r="BY202" s="18">
        <v>0.19700000000000001</v>
      </c>
      <c r="BZ202" s="18">
        <v>1.0900000000000001</v>
      </c>
      <c r="CA202" s="18">
        <v>0.14499999999999999</v>
      </c>
      <c r="CB202" s="18">
        <v>7.1999999999999995E-2</v>
      </c>
      <c r="CC202" s="18">
        <v>0</v>
      </c>
      <c r="CD202" s="18"/>
      <c r="CE202" s="18">
        <v>0</v>
      </c>
      <c r="CF202" s="18"/>
      <c r="CG202" s="18">
        <v>0</v>
      </c>
      <c r="CH202" s="18">
        <v>1.153</v>
      </c>
      <c r="CI202" s="18">
        <v>5.73</v>
      </c>
      <c r="CJ202" s="18">
        <v>0.11</v>
      </c>
      <c r="CK202" s="18">
        <v>0.76700000000000002</v>
      </c>
      <c r="CL202" s="18"/>
      <c r="CM202" s="18">
        <v>3.1</v>
      </c>
      <c r="CN202" s="18"/>
      <c r="CO202" s="18"/>
      <c r="CP202" s="18"/>
      <c r="CQ202" s="18"/>
      <c r="CR202" s="18">
        <v>3.2000000000000001E-2</v>
      </c>
      <c r="CS202" s="18">
        <v>61.3</v>
      </c>
      <c r="CT202" s="18">
        <v>0.23699999999999999</v>
      </c>
      <c r="CU202" s="18">
        <v>2.88</v>
      </c>
      <c r="CV202" s="18">
        <v>2.99</v>
      </c>
      <c r="CW202" s="18">
        <v>0.249</v>
      </c>
      <c r="CX202" s="18">
        <v>0.69099999999999995</v>
      </c>
      <c r="CY202" s="18">
        <v>3.6999999999999998E-2</v>
      </c>
      <c r="CZ202" s="18">
        <v>1.4E-2</v>
      </c>
      <c r="DA202" s="18">
        <v>4.9000000000000002E-2</v>
      </c>
      <c r="DB202" s="18">
        <v>1.4999999999999999E-2</v>
      </c>
      <c r="DC202" s="18">
        <v>4.0000000000000001E-3</v>
      </c>
      <c r="DD202" s="18">
        <v>2.1000000000000001E-2</v>
      </c>
      <c r="DE202" s="18"/>
      <c r="DF202" s="18">
        <v>1.9E-2</v>
      </c>
      <c r="DG202" s="18">
        <v>8.0000000000000002E-3</v>
      </c>
      <c r="DH202" s="18">
        <v>1.2999999999999999E-2</v>
      </c>
      <c r="DI202" s="18">
        <v>0.14699999999999999</v>
      </c>
      <c r="DJ202" s="18">
        <v>0.104</v>
      </c>
      <c r="DK202" s="18">
        <v>0.221</v>
      </c>
      <c r="DL202" s="18">
        <v>0.84299999999999997</v>
      </c>
      <c r="DM202" s="18">
        <v>0.13700000000000001</v>
      </c>
      <c r="DN202" s="18"/>
      <c r="DO202" s="18"/>
      <c r="DP202" s="18"/>
      <c r="DQ202" s="18"/>
      <c r="DR202" s="18"/>
      <c r="DS202" s="18"/>
      <c r="DT202" s="18"/>
      <c r="DU202" s="18"/>
      <c r="DV202" s="28"/>
      <c r="DW202" s="28"/>
      <c r="DX202" s="28"/>
      <c r="DY202" s="28"/>
      <c r="DZ202" s="28"/>
      <c r="EA202" s="28"/>
      <c r="EB202" s="28"/>
      <c r="EC202" s="28"/>
      <c r="ED202" s="28"/>
      <c r="EE202" s="28"/>
      <c r="EF202" s="28"/>
      <c r="EG202" s="28"/>
      <c r="EH202" s="28"/>
      <c r="EI202" s="28"/>
      <c r="EJ202" s="18"/>
      <c r="EK202" s="18"/>
      <c r="EL202" s="18">
        <f>IFERROR(CR202/'McDonough &amp; Sun 1995 values'!C$2,)</f>
        <v>1.5238095238095237</v>
      </c>
      <c r="EM202" s="18">
        <f>IFERROR(CH202/'McDonough &amp; Sun 1995 values'!D$2,)</f>
        <v>1.9216666666666669</v>
      </c>
      <c r="EN202" s="18">
        <f>IFERROR(CS202/'McDonough &amp; Sun 1995 values'!E$2,)</f>
        <v>9.2878787878787872</v>
      </c>
      <c r="EO202" s="18">
        <f>IFERROR(DL202/'McDonough &amp; Sun 1995 values'!F$2,)</f>
        <v>10.60377358490566</v>
      </c>
      <c r="EP202" s="18">
        <f>IFERROR(DM202/'McDonough &amp; Sun 1995 values'!G$2,)</f>
        <v>6.7487684729064048</v>
      </c>
      <c r="EQ202" s="18">
        <f>IFERROR(BR202/'McDonough &amp; Sun 1995 values'!H$2,)</f>
        <v>1.8910833333333334</v>
      </c>
      <c r="ER202" s="18">
        <f>IFERROR(DI202/'McDonough &amp; Sun 1995 values'!I$2,)</f>
        <v>3.9729729729729728</v>
      </c>
      <c r="ES202" s="18">
        <f>IFERROR(CM202/'McDonough &amp; Sun 1995 values'!J$2,)</f>
        <v>4.7112462006079028</v>
      </c>
      <c r="ET202" s="18">
        <f>IFERROR(CU202/'McDonough &amp; Sun 1995 values'!K$2,)</f>
        <v>4.4444444444444438</v>
      </c>
      <c r="EU202" s="18">
        <f>IFERROR(CV202/'McDonough &amp; Sun 1995 values'!L$2,)</f>
        <v>1.7850746268656716</v>
      </c>
      <c r="EV202" s="18">
        <f>IFERROR(CW202/'McDonough &amp; Sun 1995 values'!M$2,)</f>
        <v>0.98031496062992129</v>
      </c>
      <c r="EW202" s="18">
        <f>IFERROR(CI202/'McDonough &amp; Sun 1995 values'!N$2,)</f>
        <v>0.28793969849246237</v>
      </c>
      <c r="EX202" s="18">
        <f>IFERROR(CX202/'McDonough &amp; Sun 1995 values'!O$2,)</f>
        <v>0.55279999999999996</v>
      </c>
      <c r="EY202" s="18">
        <f>IFERROR(CY202/'McDonough &amp; Sun 1995 values'!P$2,)</f>
        <v>9.113300492610836E-2</v>
      </c>
      <c r="EZ202" s="18">
        <f>IFERROR(DH202/'McDonough &amp; Sun 1995 values'!Q$2,)</f>
        <v>4.5936395759717315E-2</v>
      </c>
      <c r="FA202" s="18">
        <f>IFERROR(CK202/'McDonough &amp; Sun 1995 values'!R$2,)</f>
        <v>7.3047619047619056E-2</v>
      </c>
      <c r="FB202" s="18">
        <f>IFERROR(CZ202/'McDonough &amp; Sun 1995 values'!S$2,)</f>
        <v>9.0909090909090912E-2</v>
      </c>
      <c r="FC202" s="18">
        <f>IFERROR(BT202/'McDonough &amp; Sun 1995 values'!T$2,)</f>
        <v>2.7161825726141075E-2</v>
      </c>
      <c r="FD202" s="18">
        <f>IFERROR(DA202/'McDonough &amp; Sun 1995 values'!U$2,)</f>
        <v>9.0073529411764705E-2</v>
      </c>
      <c r="FE202" s="18">
        <f>IFERROR(DN202/'McDonough &amp; Sun 1995 values'!V$2,)</f>
        <v>0</v>
      </c>
      <c r="FF202" s="18">
        <f>IFERROR(DB202/'McDonough &amp; Sun 1995 values'!W$2,)</f>
        <v>2.2255192878338277E-2</v>
      </c>
      <c r="FG202" s="18">
        <f>IFERROR(CJ202/'McDonough &amp; Sun 1995 values'!X$2,)</f>
        <v>2.5581395348837209E-2</v>
      </c>
      <c r="FH202" s="18">
        <f>IFERROR(DC202/'McDonough &amp; Sun 1995 values'!Y$2,)</f>
        <v>2.684563758389262E-2</v>
      </c>
      <c r="FI202" s="18">
        <f>IFERROR(DD202/'McDonough &amp; Sun 1995 values'!Z$2,)</f>
        <v>4.7945205479452059E-2</v>
      </c>
      <c r="FJ202" s="18">
        <f>IFERROR(DE202/'McDonough &amp; Sun 1995 values'!AA$2,)</f>
        <v>0</v>
      </c>
      <c r="FK202" s="18">
        <f>IFERROR(DF202/'McDonough &amp; Sun 1995 values'!AB$2,)</f>
        <v>4.3083900226757371E-2</v>
      </c>
      <c r="FL202" s="18">
        <f>IFERROR(DG202/'McDonough &amp; Sun 1995 values'!AC$2,)</f>
        <v>0.11851851851851851</v>
      </c>
      <c r="FN202" s="28">
        <f t="shared" si="458"/>
        <v>3.5687314006467568</v>
      </c>
      <c r="FO202" s="4">
        <f t="shared" si="391"/>
        <v>1.3762331342623311</v>
      </c>
      <c r="FP202" s="4">
        <f t="shared" si="392"/>
        <v>2.2507364576993303</v>
      </c>
      <c r="FQ202" s="4">
        <f t="shared" si="393"/>
        <v>1.5712160859385758</v>
      </c>
      <c r="FR202" s="4">
        <f t="shared" si="394"/>
        <v>0.94336917562723999</v>
      </c>
      <c r="FS202" s="4">
        <f t="shared" si="395"/>
        <v>1.1186696900982613</v>
      </c>
      <c r="FT202" s="4">
        <f t="shared" si="396"/>
        <v>1.2610937500000001</v>
      </c>
      <c r="FU202" s="4">
        <f t="shared" si="397"/>
        <v>0.84329555361813424</v>
      </c>
      <c r="FV202" s="4">
        <f t="shared" si="398"/>
        <v>0.80154954954954971</v>
      </c>
      <c r="FW202" s="4">
        <f t="shared" si="399"/>
        <v>1.5901904761904764</v>
      </c>
      <c r="FX202" s="4">
        <f t="shared" si="400"/>
        <v>1.0033754162483361</v>
      </c>
      <c r="FY202" s="4">
        <f t="shared" si="401"/>
        <v>0.39114223511923552</v>
      </c>
      <c r="FZ202" s="4">
        <f t="shared" si="402"/>
        <v>1.0033925668253079</v>
      </c>
      <c r="GA202" s="4">
        <f t="shared" si="403"/>
        <v>0.29372162014893749</v>
      </c>
      <c r="GB202" s="4">
        <f t="shared" si="404"/>
        <v>0.99754299754299769</v>
      </c>
      <c r="GC202" s="4">
        <f t="shared" si="405"/>
        <v>0.79296245818362021</v>
      </c>
      <c r="GD202" s="4">
        <f t="shared" si="406"/>
        <v>0.87590315971098887</v>
      </c>
      <c r="GE202" s="4">
        <f t="shared" si="407"/>
        <v>4.8332413466845372</v>
      </c>
      <c r="GF202" s="4">
        <f t="shared" si="408"/>
        <v>4.9114064008524849</v>
      </c>
      <c r="GG202" s="4">
        <f t="shared" si="409"/>
        <v>1.9714271749755619</v>
      </c>
      <c r="GH202" s="4">
        <f t="shared" si="410"/>
        <v>4.5336903168228462</v>
      </c>
      <c r="GI202" s="4">
        <f t="shared" si="411"/>
        <v>48.768768768768766</v>
      </c>
      <c r="GJ202" s="4">
        <f t="shared" si="412"/>
        <v>199.7037037037037</v>
      </c>
      <c r="GK202" s="4">
        <f t="shared" si="413"/>
        <v>103.15789473684208</v>
      </c>
      <c r="GL202" s="4">
        <f t="shared" si="414"/>
        <v>2.689348638936174</v>
      </c>
      <c r="GM202" s="4">
        <f t="shared" si="415"/>
        <v>5.5180088039404991</v>
      </c>
      <c r="GN202" s="4">
        <f t="shared" si="416"/>
        <v>1.0600303951367782</v>
      </c>
      <c r="GO202" s="4">
        <f t="shared" si="417"/>
        <v>0.6980897654915359</v>
      </c>
      <c r="GP202" s="4">
        <f t="shared" si="418"/>
        <v>0.28021161800486616</v>
      </c>
      <c r="GQ202" s="27">
        <f t="shared" si="419"/>
        <v>24420.564764076571</v>
      </c>
      <c r="GR202" s="28">
        <f t="shared" si="420"/>
        <v>1.7218042401851898</v>
      </c>
      <c r="GS202" s="28">
        <f t="shared" si="421"/>
        <v>62.038759029172624</v>
      </c>
      <c r="GT202" s="28">
        <f t="shared" si="422"/>
        <v>3298.3312476047545</v>
      </c>
      <c r="GU202" s="28">
        <f t="shared" si="423"/>
        <v>45.358780452378589</v>
      </c>
      <c r="GV202" s="28">
        <f t="shared" si="424"/>
        <v>7.3714744032928445</v>
      </c>
      <c r="GW202" s="28">
        <f t="shared" si="425"/>
        <v>24420.564764076571</v>
      </c>
      <c r="GX202" s="28">
        <f t="shared" si="426"/>
        <v>7.9095382283507156</v>
      </c>
      <c r="GY202" s="28">
        <f t="shared" si="427"/>
        <v>166.79978576794028</v>
      </c>
      <c r="GZ202" s="28">
        <f t="shared" si="428"/>
        <v>154.96238161666707</v>
      </c>
      <c r="HA202" s="28">
        <f t="shared" si="429"/>
        <v>160.88108369230369</v>
      </c>
      <c r="HB202" s="28">
        <f t="shared" si="430"/>
        <v>13.397789243941009</v>
      </c>
      <c r="HC202" s="28">
        <f t="shared" si="431"/>
        <v>308.31057175816056</v>
      </c>
      <c r="HD202" s="28">
        <f t="shared" si="432"/>
        <v>37.180210311498939</v>
      </c>
      <c r="HE202" s="28">
        <f t="shared" si="433"/>
        <v>1.9908361527141256</v>
      </c>
      <c r="HF202" s="28">
        <f t="shared" si="434"/>
        <v>0.6994829725752334</v>
      </c>
      <c r="HG202" s="28">
        <f t="shared" si="435"/>
        <v>41.269495381938768</v>
      </c>
      <c r="HH202" s="28">
        <f t="shared" si="436"/>
        <v>0.75328935508102057</v>
      </c>
      <c r="HI202" s="28">
        <f t="shared" si="437"/>
        <v>1761.0828994144142</v>
      </c>
      <c r="HJ202" s="28">
        <f t="shared" si="438"/>
        <v>2.6365127427835722</v>
      </c>
      <c r="HK202" s="28">
        <f t="shared" si="439"/>
        <v>0</v>
      </c>
      <c r="HL202" s="28">
        <f t="shared" si="440"/>
        <v>0.80709573758680764</v>
      </c>
      <c r="HM202" s="28">
        <f t="shared" si="441"/>
        <v>5.91870207563659</v>
      </c>
      <c r="HN202" s="28">
        <f t="shared" si="442"/>
        <v>0.21522553002314873</v>
      </c>
      <c r="HO202" s="28">
        <f t="shared" si="443"/>
        <v>1.129934032621531</v>
      </c>
      <c r="HP202" s="28">
        <f t="shared" si="444"/>
        <v>0</v>
      </c>
      <c r="HQ202" s="28">
        <f t="shared" si="445"/>
        <v>1.0223212676099565</v>
      </c>
      <c r="HR202" s="28">
        <f t="shared" si="446"/>
        <v>0.43045106004629746</v>
      </c>
      <c r="HT202" s="4">
        <f>IFERROR(GR202/'McDonough &amp; Sun 1995 values'!C$2,)</f>
        <v>81.990678104056656</v>
      </c>
      <c r="HU202" s="4">
        <f>IFERROR(GS202/'McDonough &amp; Sun 1995 values'!D$2,)</f>
        <v>103.39793171528771</v>
      </c>
      <c r="HV202" s="4">
        <f>IFERROR(GT202/'McDonough &amp; Sun 1995 values'!E$2,)</f>
        <v>499.74715872799311</v>
      </c>
      <c r="HW202" s="4">
        <f>IFERROR(GU202/'McDonough &amp; Sun 1995 values'!F$2,)</f>
        <v>570.55069751419603</v>
      </c>
      <c r="HX202" s="4">
        <f>IFERROR(GV202/'McDonough &amp; Sun 1995 values'!G$2,)</f>
        <v>363.12681789619927</v>
      </c>
      <c r="HY202" s="4">
        <f>IFERROR(GW202/'McDonough &amp; Sun 1995 values'!H$2,)</f>
        <v>101.75235318365237</v>
      </c>
      <c r="HZ202" s="4">
        <f>IFERROR(GX202/'McDonough &amp; Sun 1995 values'!I$2,)</f>
        <v>213.77130346893827</v>
      </c>
      <c r="IA202" s="4">
        <f>IFERROR(GY202/'McDonough &amp; Sun 1995 values'!J$2,)</f>
        <v>253.4951151488454</v>
      </c>
      <c r="IB202" s="4">
        <f>IFERROR(GZ202/'McDonough &amp; Sun 1995 values'!K$2,)</f>
        <v>239.13947780349855</v>
      </c>
      <c r="IC202" s="4">
        <f>IFERROR(HA202/'McDonough &amp; Sun 1995 values'!L$2,)</f>
        <v>96.04840817450966</v>
      </c>
      <c r="ID202" s="4">
        <f>IFERROR(HB202/'McDonough &amp; Sun 1995 values'!M$2,)</f>
        <v>52.747201747799245</v>
      </c>
      <c r="IE202" s="4">
        <f>IFERROR(HC202/'McDonough &amp; Sun 1995 values'!N$2,)</f>
        <v>15.492993555686462</v>
      </c>
      <c r="IF202" s="4">
        <f>IFERROR(HD202/'McDonough &amp; Sun 1995 values'!O$2,)</f>
        <v>29.744168249199152</v>
      </c>
      <c r="IG202" s="4">
        <f>IFERROR(HE202/'McDonough &amp; Sun 1995 values'!P$2,)</f>
        <v>4.9035373219559739</v>
      </c>
      <c r="IH202" s="4">
        <f>IFERROR(HF202/'McDonough &amp; Sun 1995 values'!Q$2,)</f>
        <v>2.4716712811845705</v>
      </c>
      <c r="II202" s="4">
        <f>IFERROR(HG202/'McDonough &amp; Sun 1995 values'!R$2,)</f>
        <v>3.9304281316132159</v>
      </c>
      <c r="IJ202" s="4">
        <f>IFERROR(HH202/'McDonough &amp; Sun 1995 values'!S$2,)</f>
        <v>4.8914893187079258</v>
      </c>
      <c r="IK202" s="4">
        <f>IFERROR(HI202/'McDonough &amp; Sun 1995 values'!T$2,)</f>
        <v>1.4614795845762774</v>
      </c>
      <c r="IL202" s="4">
        <f>IFERROR(HJ202/'McDonough &amp; Sun 1995 values'!U$2,)</f>
        <v>4.8465307771756834</v>
      </c>
      <c r="IM202" s="4">
        <f>IFERROR(HK202/'McDonough &amp; Sun 1995 values'!V$2,)</f>
        <v>0</v>
      </c>
      <c r="IN202" s="4">
        <f>IFERROR(HL202/'McDonough &amp; Sun 1995 values'!W$2,)</f>
        <v>1.1974714207519401</v>
      </c>
      <c r="IO202" s="4">
        <f>IFERROR(HM202/'McDonough &amp; Sun 1995 values'!X$2,)</f>
        <v>1.3764423431713</v>
      </c>
      <c r="IP202" s="4">
        <f>IFERROR(HN202/'McDonough &amp; Sun 1995 values'!Y$2,)</f>
        <v>1.4444666444506626</v>
      </c>
      <c r="IQ202" s="4">
        <f>IFERROR(HO202/'McDonough &amp; Sun 1995 values'!Z$2,)</f>
        <v>2.5797580653459611</v>
      </c>
      <c r="IR202" s="4">
        <f>IFERROR(HP202/'McDonough &amp; Sun 1995 values'!AA$2,)</f>
        <v>0</v>
      </c>
      <c r="IS202" s="4">
        <f>IFERROR(HQ202/'McDonough &amp; Sun 1995 values'!AB$2,)</f>
        <v>2.318188815442078</v>
      </c>
      <c r="IT202" s="4">
        <f>IFERROR(HR202/'McDonough &amp; Sun 1995 values'!AC$2,)</f>
        <v>6.3770527414266285</v>
      </c>
    </row>
    <row r="203" spans="1:254">
      <c r="A203" s="16" t="s">
        <v>641</v>
      </c>
      <c r="B203" s="16" t="s">
        <v>24</v>
      </c>
      <c r="C203" s="16" t="str">
        <f t="shared" si="461"/>
        <v>silicic</v>
      </c>
      <c r="D203" s="16" t="s">
        <v>110</v>
      </c>
      <c r="E203" s="16" t="s">
        <v>237</v>
      </c>
      <c r="F203" s="16" t="s">
        <v>639</v>
      </c>
      <c r="G203" s="16" t="s">
        <v>640</v>
      </c>
      <c r="H203" s="27">
        <v>0</v>
      </c>
      <c r="I203" s="16" t="s">
        <v>712</v>
      </c>
      <c r="J203" s="16" t="s">
        <v>635</v>
      </c>
      <c r="K203" s="16" t="s">
        <v>642</v>
      </c>
      <c r="L203" s="16">
        <v>0</v>
      </c>
      <c r="M203" s="16" t="s">
        <v>630</v>
      </c>
      <c r="N203" s="16" t="s">
        <v>1084</v>
      </c>
      <c r="O203" s="26">
        <v>50.4</v>
      </c>
      <c r="P203" s="26">
        <v>1.37</v>
      </c>
      <c r="Q203" s="26"/>
      <c r="R203" s="26">
        <v>11.3</v>
      </c>
      <c r="S203" s="26">
        <v>1.64</v>
      </c>
      <c r="T203" s="26">
        <v>3.37</v>
      </c>
      <c r="U203" s="26"/>
      <c r="V203" s="26">
        <v>18.100000000000001</v>
      </c>
      <c r="W203" s="26">
        <v>7.02</v>
      </c>
      <c r="X203" s="26">
        <v>5.34</v>
      </c>
      <c r="Y203" s="26"/>
      <c r="Z203" s="26">
        <v>1.17</v>
      </c>
      <c r="AA203" s="26"/>
      <c r="AB203" s="26"/>
      <c r="AC203" s="26"/>
      <c r="AD203" s="26">
        <v>0.3</v>
      </c>
      <c r="AE203" s="26"/>
      <c r="AF203" s="26"/>
      <c r="AG203" s="26"/>
      <c r="AH203" s="26"/>
      <c r="AI203" s="26"/>
      <c r="AJ203" s="26">
        <f t="shared" si="462"/>
        <v>100.01</v>
      </c>
      <c r="AK203" s="26">
        <f t="shared" si="447"/>
        <v>50.429098087486025</v>
      </c>
      <c r="AL203" s="26">
        <f t="shared" si="448"/>
        <v>1.370790959917775</v>
      </c>
      <c r="AM203" s="26">
        <f t="shared" si="449"/>
        <v>11.306523975964129</v>
      </c>
      <c r="AN203" s="26">
        <f t="shared" si="450"/>
        <v>1.6409468425293068</v>
      </c>
      <c r="AO203" s="26">
        <f t="shared" si="451"/>
        <v>3.3719456459291255</v>
      </c>
      <c r="AP203" s="26">
        <f t="shared" si="452"/>
        <v>18.110449908402721</v>
      </c>
      <c r="AQ203" s="26">
        <f t="shared" si="453"/>
        <v>0</v>
      </c>
      <c r="AR203" s="26">
        <f t="shared" si="454"/>
        <v>7.0240529478998379</v>
      </c>
      <c r="AS203" s="26">
        <f t="shared" si="455"/>
        <v>5.3430830116503047</v>
      </c>
      <c r="AT203" s="26">
        <f t="shared" si="456"/>
        <v>1.1706754913166397</v>
      </c>
      <c r="AU203" s="26">
        <f t="shared" si="457"/>
        <v>0.30017320290170246</v>
      </c>
      <c r="AV203" s="26">
        <f t="shared" si="463"/>
        <v>100.06774007399757</v>
      </c>
      <c r="AW203" s="16"/>
      <c r="AX203" s="16"/>
      <c r="AY203" s="16"/>
      <c r="AZ203" s="16"/>
      <c r="BA203" s="26"/>
      <c r="BB203" s="26">
        <v>0.28000000000000003</v>
      </c>
      <c r="BC203" s="26">
        <f>1-BD203</f>
        <v>0.28000000000000003</v>
      </c>
      <c r="BD203" s="26">
        <f>1-BB203</f>
        <v>0.72</v>
      </c>
      <c r="BE203" s="25">
        <v>-6.5625</v>
      </c>
      <c r="BF203" s="16"/>
      <c r="BG203" s="16" t="s">
        <v>1506</v>
      </c>
      <c r="BH203" s="16">
        <v>0</v>
      </c>
      <c r="BI203" s="16">
        <v>0.9</v>
      </c>
      <c r="BJ203" s="16"/>
      <c r="BK203" s="18"/>
      <c r="BL203" s="18"/>
      <c r="BM203" s="18"/>
      <c r="BN203" s="18">
        <v>42.42</v>
      </c>
      <c r="BO203" s="18">
        <v>29.03</v>
      </c>
      <c r="BP203" s="18">
        <v>21.71</v>
      </c>
      <c r="BQ203" s="18">
        <v>13.49</v>
      </c>
      <c r="BR203" s="18">
        <v>148.49</v>
      </c>
      <c r="BS203" s="18">
        <v>139.4</v>
      </c>
      <c r="BT203" s="18">
        <v>15.02</v>
      </c>
      <c r="BU203" s="18">
        <v>2.08</v>
      </c>
      <c r="BV203" s="18">
        <v>1.77</v>
      </c>
      <c r="BW203" s="18">
        <v>18.86</v>
      </c>
      <c r="BX203" s="18">
        <v>1.9E-2</v>
      </c>
      <c r="BY203" s="18">
        <v>0.218</v>
      </c>
      <c r="BZ203" s="18">
        <v>1.0900000000000001</v>
      </c>
      <c r="CA203" s="18">
        <v>1.9E-2</v>
      </c>
      <c r="CB203" s="18">
        <v>0.03</v>
      </c>
      <c r="CC203" s="18">
        <v>0</v>
      </c>
      <c r="CD203" s="18"/>
      <c r="CE203" s="18">
        <v>0</v>
      </c>
      <c r="CF203" s="18"/>
      <c r="CG203" s="18">
        <v>0</v>
      </c>
      <c r="CH203" s="18">
        <v>0.51500000000000001</v>
      </c>
      <c r="CI203" s="18">
        <v>2.5499999999999998</v>
      </c>
      <c r="CJ203" s="18">
        <v>2.4E-2</v>
      </c>
      <c r="CK203" s="18">
        <v>0.5</v>
      </c>
      <c r="CL203" s="18"/>
      <c r="CM203" s="18">
        <v>1.0880000000000001</v>
      </c>
      <c r="CN203" s="18"/>
      <c r="CO203" s="18"/>
      <c r="CP203" s="18"/>
      <c r="CQ203" s="18"/>
      <c r="CR203" s="18">
        <v>1.2E-2</v>
      </c>
      <c r="CS203" s="18">
        <v>18.04</v>
      </c>
      <c r="CT203" s="18">
        <v>9.5000000000000001E-2</v>
      </c>
      <c r="CU203" s="18">
        <v>0.81299999999999994</v>
      </c>
      <c r="CV203" s="18">
        <v>0.93700000000000006</v>
      </c>
      <c r="CW203" s="18">
        <v>8.6999999999999994E-2</v>
      </c>
      <c r="CX203" s="18">
        <v>0.246</v>
      </c>
      <c r="CY203" s="18">
        <v>3.6999999999999998E-2</v>
      </c>
      <c r="CZ203" s="18">
        <v>6.0000000000000001E-3</v>
      </c>
      <c r="DA203" s="18">
        <v>1.7999999999999999E-2</v>
      </c>
      <c r="DB203" s="18">
        <v>1.2E-2</v>
      </c>
      <c r="DC203" s="18">
        <v>4.0000000000000001E-3</v>
      </c>
      <c r="DD203" s="18">
        <v>1.2999999999999999E-2</v>
      </c>
      <c r="DE203" s="18"/>
      <c r="DF203" s="18">
        <v>1.7000000000000001E-2</v>
      </c>
      <c r="DG203" s="18">
        <v>4.0000000000000001E-3</v>
      </c>
      <c r="DH203" s="18">
        <v>1.4999999999999999E-2</v>
      </c>
      <c r="DI203" s="18">
        <v>2.8000000000000001E-2</v>
      </c>
      <c r="DJ203" s="18">
        <v>3.7999999999999999E-2</v>
      </c>
      <c r="DK203" s="18">
        <v>8.2000000000000003E-2</v>
      </c>
      <c r="DL203" s="18">
        <v>0.17199999999999999</v>
      </c>
      <c r="DM203" s="18">
        <v>2.7E-2</v>
      </c>
      <c r="DN203" s="18"/>
      <c r="DO203" s="18"/>
      <c r="DP203" s="18"/>
      <c r="DQ203" s="18"/>
      <c r="DR203" s="18"/>
      <c r="DS203" s="18"/>
      <c r="DT203" s="18"/>
      <c r="DU203" s="18"/>
      <c r="DV203" s="28"/>
      <c r="DW203" s="28"/>
      <c r="DX203" s="28"/>
      <c r="DY203" s="28"/>
      <c r="DZ203" s="28"/>
      <c r="EA203" s="28"/>
      <c r="EB203" s="28"/>
      <c r="EC203" s="28"/>
      <c r="ED203" s="28"/>
      <c r="EE203" s="28"/>
      <c r="EF203" s="28"/>
      <c r="EG203" s="28"/>
      <c r="EH203" s="28"/>
      <c r="EI203" s="28"/>
      <c r="EJ203" s="18"/>
      <c r="EK203" s="18"/>
      <c r="EL203" s="18">
        <f>IFERROR(CR203/'McDonough &amp; Sun 1995 values'!C$2,)</f>
        <v>0.5714285714285714</v>
      </c>
      <c r="EM203" s="18">
        <f>IFERROR(CH203/'McDonough &amp; Sun 1995 values'!D$2,)</f>
        <v>0.85833333333333339</v>
      </c>
      <c r="EN203" s="18">
        <f>IFERROR(CS203/'McDonough &amp; Sun 1995 values'!E$2,)</f>
        <v>2.7333333333333334</v>
      </c>
      <c r="EO203" s="18">
        <f>IFERROR(DL203/'McDonough &amp; Sun 1995 values'!F$2,)</f>
        <v>2.1635220125786163</v>
      </c>
      <c r="EP203" s="18">
        <f>IFERROR(DM203/'McDonough &amp; Sun 1995 values'!G$2,)</f>
        <v>1.330049261083744</v>
      </c>
      <c r="EQ203" s="18">
        <f>IFERROR(BR203/'McDonough &amp; Sun 1995 values'!H$2,)</f>
        <v>0.61870833333333342</v>
      </c>
      <c r="ER203" s="18">
        <f>IFERROR(DI203/'McDonough &amp; Sun 1995 values'!I$2,)</f>
        <v>0.7567567567567568</v>
      </c>
      <c r="ES203" s="18">
        <f>IFERROR(CM203/'McDonough &amp; Sun 1995 values'!J$2,)</f>
        <v>1.6534954407294833</v>
      </c>
      <c r="ET203" s="18">
        <f>IFERROR(CU203/'McDonough &amp; Sun 1995 values'!K$2,)</f>
        <v>1.2546296296296295</v>
      </c>
      <c r="EU203" s="18">
        <f>IFERROR(CV203/'McDonough &amp; Sun 1995 values'!L$2,)</f>
        <v>0.55940298507462694</v>
      </c>
      <c r="EV203" s="18">
        <f>IFERROR(CW203/'McDonough &amp; Sun 1995 values'!M$2,)</f>
        <v>0.34251968503937003</v>
      </c>
      <c r="EW203" s="18">
        <f>IFERROR(CI203/'McDonough &amp; Sun 1995 values'!N$2,)</f>
        <v>0.12814070351758794</v>
      </c>
      <c r="EX203" s="18">
        <f>IFERROR(CX203/'McDonough &amp; Sun 1995 values'!O$2,)</f>
        <v>0.1968</v>
      </c>
      <c r="EY203" s="18">
        <f>IFERROR(CY203/'McDonough &amp; Sun 1995 values'!P$2,)</f>
        <v>9.113300492610836E-2</v>
      </c>
      <c r="EZ203" s="18">
        <f>IFERROR(DH203/'McDonough &amp; Sun 1995 values'!Q$2,)</f>
        <v>5.3003533568904596E-2</v>
      </c>
      <c r="FA203" s="18">
        <f>IFERROR(CK203/'McDonough &amp; Sun 1995 values'!R$2,)</f>
        <v>4.7619047619047616E-2</v>
      </c>
      <c r="FB203" s="18">
        <f>IFERROR(CZ203/'McDonough &amp; Sun 1995 values'!S$2,)</f>
        <v>3.896103896103896E-2</v>
      </c>
      <c r="FC203" s="18">
        <f>IFERROR(BT203/'McDonough &amp; Sun 1995 values'!T$2,)</f>
        <v>1.2464730290456432E-2</v>
      </c>
      <c r="FD203" s="18">
        <f>IFERROR(DA203/'McDonough &amp; Sun 1995 values'!U$2,)</f>
        <v>3.3088235294117641E-2</v>
      </c>
      <c r="FE203" s="18">
        <f>IFERROR(DN203/'McDonough &amp; Sun 1995 values'!V$2,)</f>
        <v>0</v>
      </c>
      <c r="FF203" s="18">
        <f>IFERROR(DB203/'McDonough &amp; Sun 1995 values'!W$2,)</f>
        <v>1.7804154302670624E-2</v>
      </c>
      <c r="FG203" s="18">
        <f>IFERROR(CJ203/'McDonough &amp; Sun 1995 values'!X$2,)</f>
        <v>5.5813953488372094E-3</v>
      </c>
      <c r="FH203" s="18">
        <f>IFERROR(DC203/'McDonough &amp; Sun 1995 values'!Y$2,)</f>
        <v>2.684563758389262E-2</v>
      </c>
      <c r="FI203" s="18">
        <f>IFERROR(DD203/'McDonough &amp; Sun 1995 values'!Z$2,)</f>
        <v>2.9680365296803651E-2</v>
      </c>
      <c r="FJ203" s="18">
        <f>IFERROR(DE203/'McDonough &amp; Sun 1995 values'!AA$2,)</f>
        <v>0</v>
      </c>
      <c r="FK203" s="18">
        <f>IFERROR(DF203/'McDonough &amp; Sun 1995 values'!AB$2,)</f>
        <v>3.8548752834467126E-2</v>
      </c>
      <c r="FL203" s="18">
        <f>IFERROR(DG203/'McDonough &amp; Sun 1995 values'!AC$2,)</f>
        <v>5.9259259259259255E-2</v>
      </c>
      <c r="FN203" s="28">
        <f t="shared" si="458"/>
        <v>2.1497193256118159</v>
      </c>
      <c r="FO203" s="4">
        <f t="shared" si="391"/>
        <v>2.0550617283950614</v>
      </c>
      <c r="FP203" s="4">
        <f t="shared" si="392"/>
        <v>1.3084535701072881</v>
      </c>
      <c r="FQ203" s="4">
        <f t="shared" si="393"/>
        <v>1.626648031679478</v>
      </c>
      <c r="FR203" s="4">
        <f t="shared" si="394"/>
        <v>0.7587741693899781</v>
      </c>
      <c r="FS203" s="4">
        <f t="shared" si="395"/>
        <v>1.6579034391534389</v>
      </c>
      <c r="FT203" s="4">
        <f t="shared" si="396"/>
        <v>1.5020833333333334</v>
      </c>
      <c r="FU203" s="4">
        <f t="shared" si="397"/>
        <v>0.45767090620031797</v>
      </c>
      <c r="FV203" s="4">
        <f t="shared" si="398"/>
        <v>0.52252252252252263</v>
      </c>
      <c r="FW203" s="4">
        <f t="shared" si="399"/>
        <v>0.89841269841269833</v>
      </c>
      <c r="FX203" s="4">
        <f t="shared" si="400"/>
        <v>0.62728465586025006</v>
      </c>
      <c r="FY203" s="4">
        <f t="shared" si="401"/>
        <v>0.49355071906442466</v>
      </c>
      <c r="FZ203" s="4">
        <f t="shared" si="402"/>
        <v>0.70950568819435123</v>
      </c>
      <c r="GA203" s="4">
        <f t="shared" si="403"/>
        <v>0.37411193900537176</v>
      </c>
      <c r="GB203" s="4">
        <f t="shared" si="404"/>
        <v>0.42751842751842756</v>
      </c>
      <c r="GC203" s="4">
        <f t="shared" si="405"/>
        <v>0.66574202496532586</v>
      </c>
      <c r="GD203" s="4">
        <f t="shared" si="406"/>
        <v>1.2633720930232559</v>
      </c>
      <c r="GE203" s="4">
        <f t="shared" si="407"/>
        <v>3.1844660194174756</v>
      </c>
      <c r="GF203" s="4">
        <f t="shared" si="408"/>
        <v>4.4178059128560845</v>
      </c>
      <c r="GG203" s="4">
        <f t="shared" si="409"/>
        <v>1.6530637254901961</v>
      </c>
      <c r="GH203" s="4">
        <f t="shared" si="410"/>
        <v>3.6629416773094938</v>
      </c>
      <c r="GI203" s="4">
        <f t="shared" si="411"/>
        <v>13.767017017017018</v>
      </c>
      <c r="GJ203" s="4">
        <f t="shared" si="412"/>
        <v>70.46836419753086</v>
      </c>
      <c r="GK203" s="4">
        <f t="shared" si="413"/>
        <v>32.546568627450974</v>
      </c>
      <c r="GL203" s="4">
        <f t="shared" si="414"/>
        <v>3.8203030879462303</v>
      </c>
      <c r="GM203" s="4">
        <f t="shared" si="415"/>
        <v>2.5206081699945044</v>
      </c>
      <c r="GN203" s="4">
        <f t="shared" si="416"/>
        <v>1.3179151852308797</v>
      </c>
      <c r="GO203" s="4">
        <f t="shared" si="417"/>
        <v>1.2431836091410557</v>
      </c>
      <c r="GP203" s="4">
        <f t="shared" si="418"/>
        <v>0.46517700617283952</v>
      </c>
      <c r="GQ203" s="27">
        <f t="shared" si="419"/>
        <v>44354.925301342373</v>
      </c>
      <c r="GR203" s="28">
        <f t="shared" si="420"/>
        <v>3.5844777669614682</v>
      </c>
      <c r="GS203" s="28">
        <f t="shared" si="421"/>
        <v>153.83383749876302</v>
      </c>
      <c r="GT203" s="28">
        <f t="shared" si="422"/>
        <v>5388.6649096654073</v>
      </c>
      <c r="GU203" s="28">
        <f t="shared" si="423"/>
        <v>51.377514659781042</v>
      </c>
      <c r="GV203" s="28">
        <f t="shared" si="424"/>
        <v>8.065074975663304</v>
      </c>
      <c r="GW203" s="28">
        <f t="shared" si="425"/>
        <v>44354.925301342373</v>
      </c>
      <c r="GX203" s="28">
        <f t="shared" si="426"/>
        <v>8.3637814562434265</v>
      </c>
      <c r="GY203" s="28">
        <f t="shared" si="427"/>
        <v>324.99265087117317</v>
      </c>
      <c r="GZ203" s="28">
        <f t="shared" si="428"/>
        <v>242.84836871163947</v>
      </c>
      <c r="HA203" s="28">
        <f t="shared" si="429"/>
        <v>279.88797230357471</v>
      </c>
      <c r="HB203" s="28">
        <f t="shared" si="430"/>
        <v>25.987463810470643</v>
      </c>
      <c r="HC203" s="28">
        <f t="shared" si="431"/>
        <v>761.70152547931195</v>
      </c>
      <c r="HD203" s="28">
        <f t="shared" si="432"/>
        <v>73.481794222710107</v>
      </c>
      <c r="HE203" s="28">
        <f t="shared" si="433"/>
        <v>11.052139781464527</v>
      </c>
      <c r="HF203" s="28">
        <f t="shared" si="434"/>
        <v>4.4805972087018349</v>
      </c>
      <c r="HG203" s="28">
        <f t="shared" si="435"/>
        <v>149.35324029006117</v>
      </c>
      <c r="HH203" s="28">
        <f t="shared" si="436"/>
        <v>1.7922388834807341</v>
      </c>
      <c r="HI203" s="28">
        <f t="shared" si="437"/>
        <v>4486.571338313438</v>
      </c>
      <c r="HJ203" s="28">
        <f t="shared" si="438"/>
        <v>5.3767166504422024</v>
      </c>
      <c r="HK203" s="28">
        <f t="shared" si="439"/>
        <v>0</v>
      </c>
      <c r="HL203" s="28">
        <f t="shared" si="440"/>
        <v>3.5844777669614682</v>
      </c>
      <c r="HM203" s="28">
        <f t="shared" si="441"/>
        <v>7.1689555339229365</v>
      </c>
      <c r="HN203" s="28">
        <f t="shared" si="442"/>
        <v>1.1948259223204896</v>
      </c>
      <c r="HO203" s="28">
        <f t="shared" si="443"/>
        <v>3.8831842475415908</v>
      </c>
      <c r="HP203" s="28">
        <f t="shared" si="444"/>
        <v>0</v>
      </c>
      <c r="HQ203" s="28">
        <f t="shared" si="445"/>
        <v>5.0780101698620808</v>
      </c>
      <c r="HR203" s="28">
        <f t="shared" si="446"/>
        <v>1.1948259223204896</v>
      </c>
      <c r="HT203" s="4">
        <f>IFERROR(GR203/'McDonough &amp; Sun 1995 values'!C$2,)</f>
        <v>170.68941747435562</v>
      </c>
      <c r="HU203" s="4">
        <f>IFERROR(GS203/'McDonough &amp; Sun 1995 values'!D$2,)</f>
        <v>256.38972916460506</v>
      </c>
      <c r="HV203" s="4">
        <f>IFERROR(GT203/'McDonough &amp; Sun 1995 values'!E$2,)</f>
        <v>816.46438025233454</v>
      </c>
      <c r="HW203" s="4">
        <f>IFERROR(GU203/'McDonough &amp; Sun 1995 values'!F$2,)</f>
        <v>646.2580460349817</v>
      </c>
      <c r="HX203" s="4">
        <f>IFERROR(GV203/'McDonough &amp; Sun 1995 values'!G$2,)</f>
        <v>397.29433377651748</v>
      </c>
      <c r="HY203" s="4">
        <f>IFERROR(GW203/'McDonough &amp; Sun 1995 values'!H$2,)</f>
        <v>184.81218875559321</v>
      </c>
      <c r="HZ203" s="4">
        <f>IFERROR(GX203/'McDonough &amp; Sun 1995 values'!I$2,)</f>
        <v>226.04814746603856</v>
      </c>
      <c r="IA203" s="4">
        <f>IFERROR(GY203/'McDonough &amp; Sun 1995 values'!J$2,)</f>
        <v>493.90980375558229</v>
      </c>
      <c r="IB203" s="4">
        <f>IFERROR(GZ203/'McDonough &amp; Sun 1995 values'!K$2,)</f>
        <v>374.76600109820902</v>
      </c>
      <c r="IC203" s="4">
        <f>IFERROR(HA203/'McDonough &amp; Sun 1995 values'!L$2,)</f>
        <v>167.09729689765655</v>
      </c>
      <c r="ID203" s="4">
        <f>IFERROR(HB203/'McDonough &amp; Sun 1995 values'!M$2,)</f>
        <v>102.31284964752221</v>
      </c>
      <c r="IE203" s="4">
        <f>IFERROR(HC203/'McDonough &amp; Sun 1995 values'!N$2,)</f>
        <v>38.276458566799597</v>
      </c>
      <c r="IF203" s="4">
        <f>IFERROR(HD203/'McDonough &amp; Sun 1995 values'!O$2,)</f>
        <v>58.785435378168089</v>
      </c>
      <c r="IG203" s="4">
        <f>IFERROR(HE203/'McDonough &amp; Sun 1995 values'!P$2,)</f>
        <v>27.222019166168785</v>
      </c>
      <c r="IH203" s="4">
        <f>IFERROR(HF203/'McDonough &amp; Sun 1995 values'!Q$2,)</f>
        <v>15.832498970677863</v>
      </c>
      <c r="II203" s="4">
        <f>IFERROR(HG203/'McDonough &amp; Sun 1995 values'!R$2,)</f>
        <v>14.224118122862969</v>
      </c>
      <c r="IJ203" s="4">
        <f>IFERROR(HH203/'McDonough &amp; Sun 1995 values'!S$2,)</f>
        <v>11.637914827796974</v>
      </c>
      <c r="IK203" s="4">
        <f>IFERROR(HI203/'McDonough &amp; Sun 1995 values'!T$2,)</f>
        <v>3.7232957164426872</v>
      </c>
      <c r="IL203" s="4">
        <f>IFERROR(HJ203/'McDonough &amp; Sun 1995 values'!U$2,)</f>
        <v>9.8836703133128712</v>
      </c>
      <c r="IM203" s="4">
        <f>IFERROR(HK203/'McDonough &amp; Sun 1995 values'!V$2,)</f>
        <v>0</v>
      </c>
      <c r="IN203" s="4">
        <f>IFERROR(HL203/'McDonough &amp; Sun 1995 values'!W$2,)</f>
        <v>5.3182162714561843</v>
      </c>
      <c r="IO203" s="4">
        <f>IFERROR(HM203/'McDonough &amp; Sun 1995 values'!X$2,)</f>
        <v>1.6671989613774272</v>
      </c>
      <c r="IP203" s="4">
        <f>IFERROR(HN203/'McDonough &amp; Sun 1995 values'!Y$2,)</f>
        <v>8.0189659216140239</v>
      </c>
      <c r="IQ203" s="4">
        <f>IFERROR(HO203/'McDonough &amp; Sun 1995 values'!Z$2,)</f>
        <v>8.865717460140619</v>
      </c>
      <c r="IR203" s="4">
        <f>IFERROR(HP203/'McDonough &amp; Sun 1995 values'!AA$2,)</f>
        <v>0</v>
      </c>
      <c r="IS203" s="4">
        <f>IFERROR(HQ203/'McDonough &amp; Sun 1995 values'!AB$2,)</f>
        <v>11.514762289936691</v>
      </c>
      <c r="IT203" s="4">
        <f>IFERROR(HR203/'McDonough &amp; Sun 1995 values'!AC$2,)</f>
        <v>17.701124775118362</v>
      </c>
    </row>
    <row r="204" spans="1:254">
      <c r="A204" s="16" t="s">
        <v>641</v>
      </c>
      <c r="B204" s="16" t="s">
        <v>24</v>
      </c>
      <c r="C204" s="16" t="str">
        <f t="shared" si="461"/>
        <v>silicic</v>
      </c>
      <c r="D204" s="16" t="s">
        <v>110</v>
      </c>
      <c r="E204" s="16" t="s">
        <v>237</v>
      </c>
      <c r="F204" s="16" t="s">
        <v>639</v>
      </c>
      <c r="G204" s="16" t="s">
        <v>640</v>
      </c>
      <c r="H204" s="27">
        <v>0</v>
      </c>
      <c r="I204" s="16" t="s">
        <v>712</v>
      </c>
      <c r="J204" s="16" t="s">
        <v>635</v>
      </c>
      <c r="K204" s="16" t="s">
        <v>642</v>
      </c>
      <c r="L204" s="16">
        <v>0</v>
      </c>
      <c r="M204" s="16" t="s">
        <v>629</v>
      </c>
      <c r="N204" s="16" t="s">
        <v>1084</v>
      </c>
      <c r="O204" s="26">
        <v>45.5</v>
      </c>
      <c r="P204" s="26">
        <v>2.68</v>
      </c>
      <c r="Q204" s="26"/>
      <c r="R204" s="26">
        <v>9.94</v>
      </c>
      <c r="S204" s="26">
        <v>5.16</v>
      </c>
      <c r="T204" s="26">
        <v>5.14</v>
      </c>
      <c r="U204" s="26"/>
      <c r="V204" s="26">
        <v>20.100000000000001</v>
      </c>
      <c r="W204" s="26">
        <v>5.71</v>
      </c>
      <c r="X204" s="26">
        <v>3.37</v>
      </c>
      <c r="Y204" s="26"/>
      <c r="Z204" s="26">
        <v>1.26</v>
      </c>
      <c r="AA204" s="26"/>
      <c r="AB204" s="26"/>
      <c r="AC204" s="26"/>
      <c r="AD204" s="26">
        <v>1.1000000000000001</v>
      </c>
      <c r="AE204" s="26"/>
      <c r="AF204" s="26"/>
      <c r="AG204" s="26"/>
      <c r="AH204" s="26"/>
      <c r="AI204" s="26"/>
      <c r="AJ204" s="26">
        <f t="shared" si="462"/>
        <v>99.960000000000008</v>
      </c>
      <c r="AK204" s="26">
        <f t="shared" si="447"/>
        <v>45.631526923018164</v>
      </c>
      <c r="AL204" s="26">
        <f t="shared" si="448"/>
        <v>2.6877470803008503</v>
      </c>
      <c r="AM204" s="26">
        <f t="shared" si="449"/>
        <v>9.9687335739516598</v>
      </c>
      <c r="AN204" s="26">
        <f t="shared" si="450"/>
        <v>5.1749160202807412</v>
      </c>
      <c r="AO204" s="26">
        <f t="shared" si="451"/>
        <v>5.1548582062486448</v>
      </c>
      <c r="AP204" s="26">
        <f t="shared" si="452"/>
        <v>20.158103102256376</v>
      </c>
      <c r="AQ204" s="26">
        <f t="shared" si="453"/>
        <v>0</v>
      </c>
      <c r="AR204" s="26">
        <f t="shared" si="454"/>
        <v>5.7265059061633785</v>
      </c>
      <c r="AS204" s="26">
        <f t="shared" si="455"/>
        <v>3.3797416644081584</v>
      </c>
      <c r="AT204" s="26">
        <f t="shared" si="456"/>
        <v>1.2636422840220416</v>
      </c>
      <c r="AU204" s="26">
        <f t="shared" si="457"/>
        <v>1.1031797717652745</v>
      </c>
      <c r="AV204" s="26">
        <f t="shared" si="463"/>
        <v>100.24895453241528</v>
      </c>
      <c r="AW204" s="16"/>
      <c r="AX204" s="16"/>
      <c r="AY204" s="16"/>
      <c r="AZ204" s="16"/>
      <c r="BA204" s="26"/>
      <c r="BB204" s="26">
        <v>0.36</v>
      </c>
      <c r="BC204" s="26">
        <f>1-BD204</f>
        <v>0.36</v>
      </c>
      <c r="BD204" s="26">
        <f>1-BB204</f>
        <v>0.64</v>
      </c>
      <c r="BE204" s="25"/>
      <c r="BF204" s="16"/>
      <c r="BG204" s="16"/>
      <c r="BH204" s="16"/>
      <c r="BI204" s="16"/>
      <c r="BJ204" s="16"/>
      <c r="BK204" s="18"/>
      <c r="BL204" s="18"/>
      <c r="BM204" s="18"/>
      <c r="BN204" s="18">
        <v>5.27</v>
      </c>
      <c r="BO204" s="18">
        <v>5.0599999999999996</v>
      </c>
      <c r="BP204" s="18">
        <v>6.9</v>
      </c>
      <c r="BQ204" s="18">
        <v>5.69</v>
      </c>
      <c r="BR204" s="18">
        <v>22.25</v>
      </c>
      <c r="BS204" s="18">
        <v>21.47</v>
      </c>
      <c r="BT204" s="18">
        <v>5.3</v>
      </c>
      <c r="BU204" s="18">
        <v>1.63</v>
      </c>
      <c r="BV204" s="18">
        <v>0.182</v>
      </c>
      <c r="BW204" s="18">
        <v>5.38</v>
      </c>
      <c r="BX204" s="18">
        <v>2.1999999999999999E-2</v>
      </c>
      <c r="BY204" s="18">
        <v>4.3999999999999997E-2</v>
      </c>
      <c r="BZ204" s="18">
        <v>0.46</v>
      </c>
      <c r="CA204" s="18">
        <v>7.0000000000000001E-3</v>
      </c>
      <c r="CB204" s="18">
        <v>1.2E-2</v>
      </c>
      <c r="CC204" s="18">
        <v>0</v>
      </c>
      <c r="CD204" s="18"/>
      <c r="CE204" s="18">
        <v>0</v>
      </c>
      <c r="CF204" s="18"/>
      <c r="CG204" s="18">
        <v>0</v>
      </c>
      <c r="CH204" s="18">
        <v>7.5999999999999998E-2</v>
      </c>
      <c r="CI204" s="18">
        <v>0.311</v>
      </c>
      <c r="CJ204" s="18">
        <v>5.0000000000000001E-3</v>
      </c>
      <c r="CK204" s="18">
        <v>0.105</v>
      </c>
      <c r="CL204" s="18"/>
      <c r="CM204" s="18">
        <v>0.17799999999999999</v>
      </c>
      <c r="CN204" s="18"/>
      <c r="CO204" s="18"/>
      <c r="CP204" s="18"/>
      <c r="CQ204" s="18"/>
      <c r="CR204" s="18">
        <v>5.0000000000000001E-3</v>
      </c>
      <c r="CS204" s="18">
        <v>2.75</v>
      </c>
      <c r="CT204" s="18">
        <v>2.7E-2</v>
      </c>
      <c r="CU204" s="18">
        <v>0.105</v>
      </c>
      <c r="CV204" s="18">
        <v>0.13200000000000001</v>
      </c>
      <c r="CW204" s="18">
        <v>1.4999999999999999E-2</v>
      </c>
      <c r="CX204" s="18">
        <v>3.7999999999999999E-2</v>
      </c>
      <c r="CY204" s="18">
        <v>1.7000000000000001E-2</v>
      </c>
      <c r="CZ204" s="18">
        <v>5.0000000000000001E-3</v>
      </c>
      <c r="DA204" s="18">
        <v>1.7000000000000001E-2</v>
      </c>
      <c r="DB204" s="18">
        <v>1.0999999999999999E-2</v>
      </c>
      <c r="DC204" s="18">
        <v>3.0000000000000001E-3</v>
      </c>
      <c r="DD204" s="18">
        <v>1.4E-2</v>
      </c>
      <c r="DE204" s="18"/>
      <c r="DF204" s="18">
        <v>1.4999999999999999E-2</v>
      </c>
      <c r="DG204" s="18">
        <v>3.0000000000000001E-3</v>
      </c>
      <c r="DH204" s="18">
        <v>0.01</v>
      </c>
      <c r="DI204" s="18">
        <v>8.0000000000000002E-3</v>
      </c>
      <c r="DJ204" s="18">
        <v>0.02</v>
      </c>
      <c r="DK204" s="18">
        <v>1.6E-2</v>
      </c>
      <c r="DL204" s="18">
        <v>2.9000000000000001E-2</v>
      </c>
      <c r="DM204" s="18">
        <v>5.0000000000000001E-3</v>
      </c>
      <c r="DN204" s="18"/>
      <c r="DO204" s="18"/>
      <c r="DP204" s="18"/>
      <c r="DQ204" s="18"/>
      <c r="DR204" s="18"/>
      <c r="DS204" s="18"/>
      <c r="DT204" s="18"/>
      <c r="DU204" s="18"/>
      <c r="DV204" s="28"/>
      <c r="DW204" s="28"/>
      <c r="DX204" s="28"/>
      <c r="DY204" s="28"/>
      <c r="DZ204" s="28"/>
      <c r="EA204" s="28"/>
      <c r="EB204" s="28"/>
      <c r="EC204" s="28"/>
      <c r="ED204" s="28"/>
      <c r="EE204" s="28"/>
      <c r="EF204" s="28"/>
      <c r="EG204" s="28"/>
      <c r="EH204" s="28"/>
      <c r="EI204" s="28"/>
      <c r="EJ204" s="18"/>
      <c r="EK204" s="18"/>
      <c r="EL204" s="18">
        <f>IFERROR(CR204/'McDonough &amp; Sun 1995 values'!C$2,)</f>
        <v>0.23809523809523808</v>
      </c>
      <c r="EM204" s="18">
        <f>IFERROR(CH204/'McDonough &amp; Sun 1995 values'!D$2,)</f>
        <v>0.12666666666666668</v>
      </c>
      <c r="EN204" s="18">
        <f>IFERROR(CS204/'McDonough &amp; Sun 1995 values'!E$2,)</f>
        <v>0.41666666666666669</v>
      </c>
      <c r="EO204" s="18">
        <f>IFERROR(DL204/'McDonough &amp; Sun 1995 values'!F$2,)</f>
        <v>0.36477987421383651</v>
      </c>
      <c r="EP204" s="18">
        <f>IFERROR(DM204/'McDonough &amp; Sun 1995 values'!G$2,)</f>
        <v>0.24630541871921185</v>
      </c>
      <c r="EQ204" s="18">
        <f>IFERROR(BR204/'McDonough &amp; Sun 1995 values'!H$2,)</f>
        <v>9.2708333333333337E-2</v>
      </c>
      <c r="ER204" s="18">
        <f>IFERROR(DI204/'McDonough &amp; Sun 1995 values'!I$2,)</f>
        <v>0.21621621621621623</v>
      </c>
      <c r="ES204" s="18">
        <f>IFERROR(CM204/'McDonough &amp; Sun 1995 values'!J$2,)</f>
        <v>0.27051671732522792</v>
      </c>
      <c r="ET204" s="18">
        <f>IFERROR(CU204/'McDonough &amp; Sun 1995 values'!K$2,)</f>
        <v>0.16203703703703703</v>
      </c>
      <c r="EU204" s="18">
        <f>IFERROR(CV204/'McDonough &amp; Sun 1995 values'!L$2,)</f>
        <v>7.8805970149253737E-2</v>
      </c>
      <c r="EV204" s="18">
        <f>IFERROR(CW204/'McDonough &amp; Sun 1995 values'!M$2,)</f>
        <v>5.905511811023622E-2</v>
      </c>
      <c r="EW204" s="18">
        <f>IFERROR(CI204/'McDonough &amp; Sun 1995 values'!N$2,)</f>
        <v>1.562814070351759E-2</v>
      </c>
      <c r="EX204" s="18">
        <f>IFERROR(CX204/'McDonough &amp; Sun 1995 values'!O$2,)</f>
        <v>3.04E-2</v>
      </c>
      <c r="EY204" s="18">
        <f>IFERROR(CY204/'McDonough &amp; Sun 1995 values'!P$2,)</f>
        <v>4.1871921182266007E-2</v>
      </c>
      <c r="EZ204" s="18">
        <f>IFERROR(DH204/'McDonough &amp; Sun 1995 values'!Q$2,)</f>
        <v>3.5335689045936397E-2</v>
      </c>
      <c r="FA204" s="18">
        <f>IFERROR(CK204/'McDonough &amp; Sun 1995 values'!R$2,)</f>
        <v>0.01</v>
      </c>
      <c r="FB204" s="18">
        <f>IFERROR(CZ204/'McDonough &amp; Sun 1995 values'!S$2,)</f>
        <v>3.2467532467532471E-2</v>
      </c>
      <c r="FC204" s="18">
        <f>IFERROR(BT204/'McDonough &amp; Sun 1995 values'!T$2,)</f>
        <v>4.3983402489626558E-3</v>
      </c>
      <c r="FD204" s="18">
        <f>IFERROR(DA204/'McDonough &amp; Sun 1995 values'!U$2,)</f>
        <v>3.125E-2</v>
      </c>
      <c r="FE204" s="18">
        <f>IFERROR(DN204/'McDonough &amp; Sun 1995 values'!V$2,)</f>
        <v>0</v>
      </c>
      <c r="FF204" s="18">
        <f>IFERROR(DB204/'McDonough &amp; Sun 1995 values'!W$2,)</f>
        <v>1.6320474777448069E-2</v>
      </c>
      <c r="FG204" s="18">
        <f>IFERROR(CJ204/'McDonough &amp; Sun 1995 values'!X$2,)</f>
        <v>1.1627906976744186E-3</v>
      </c>
      <c r="FH204" s="18">
        <f>IFERROR(DC204/'McDonough &amp; Sun 1995 values'!Y$2,)</f>
        <v>2.0134228187919465E-2</v>
      </c>
      <c r="FI204" s="18">
        <f>IFERROR(DD204/'McDonough &amp; Sun 1995 values'!Z$2,)</f>
        <v>3.1963470319634701E-2</v>
      </c>
      <c r="FJ204" s="18">
        <f>IFERROR(DE204/'McDonough &amp; Sun 1995 values'!AA$2,)</f>
        <v>0</v>
      </c>
      <c r="FK204" s="18">
        <f>IFERROR(DF204/'McDonough &amp; Sun 1995 values'!AB$2,)</f>
        <v>3.4013605442176867E-2</v>
      </c>
      <c r="FL204" s="18">
        <f>IFERROR(DG204/'McDonough &amp; Sun 1995 values'!AC$2,)</f>
        <v>4.4444444444444439E-2</v>
      </c>
      <c r="FN204" s="28">
        <f t="shared" si="458"/>
        <v>2.6567775502297009</v>
      </c>
      <c r="FO204" s="4">
        <f t="shared" si="391"/>
        <v>1.6916666666666664</v>
      </c>
      <c r="FP204" s="4">
        <f t="shared" si="392"/>
        <v>1.3484559395095757</v>
      </c>
      <c r="FQ204" s="4">
        <f t="shared" si="393"/>
        <v>1.4810062893081761</v>
      </c>
      <c r="FR204" s="4">
        <f t="shared" si="394"/>
        <v>0.59899084477736175</v>
      </c>
      <c r="FS204" s="4">
        <f t="shared" si="395"/>
        <v>0.74942129629629628</v>
      </c>
      <c r="FT204" s="4">
        <f t="shared" si="396"/>
        <v>0.53200000000000003</v>
      </c>
      <c r="FU204" s="4">
        <f t="shared" si="397"/>
        <v>0.79927118129365338</v>
      </c>
      <c r="FV204" s="4">
        <f t="shared" si="398"/>
        <v>0.23882352941176471</v>
      </c>
      <c r="FW204" s="4">
        <f t="shared" si="399"/>
        <v>0.28299999999999997</v>
      </c>
      <c r="FX204" s="4">
        <f t="shared" si="400"/>
        <v>0.88803827751196174</v>
      </c>
      <c r="FY204" s="4">
        <f t="shared" si="401"/>
        <v>0.36884317315191156</v>
      </c>
      <c r="FZ204" s="4">
        <f t="shared" si="402"/>
        <v>0.89755863362716692</v>
      </c>
      <c r="GA204" s="4">
        <f t="shared" si="403"/>
        <v>0.26463651591289789</v>
      </c>
      <c r="GB204" s="4">
        <f t="shared" si="404"/>
        <v>0.77540106951871668</v>
      </c>
      <c r="GC204" s="4">
        <f t="shared" si="405"/>
        <v>1.8796992481203005</v>
      </c>
      <c r="GD204" s="4">
        <f t="shared" si="406"/>
        <v>1.1422413793103448</v>
      </c>
      <c r="GE204" s="4">
        <f t="shared" si="407"/>
        <v>3.2894736842105261</v>
      </c>
      <c r="GF204" s="4">
        <f t="shared" si="408"/>
        <v>4.4943820224719104</v>
      </c>
      <c r="GG204" s="4">
        <f t="shared" si="409"/>
        <v>1.5402621722846446</v>
      </c>
      <c r="GH204" s="4">
        <f t="shared" si="410"/>
        <v>2.7438271604938271</v>
      </c>
      <c r="GI204" s="4">
        <f t="shared" si="411"/>
        <v>3.8698257080610023</v>
      </c>
      <c r="GJ204" s="4">
        <f t="shared" si="412"/>
        <v>9.92845117845118</v>
      </c>
      <c r="GK204" s="4">
        <f t="shared" si="413"/>
        <v>4.7638888888888893</v>
      </c>
      <c r="GL204" s="4">
        <f t="shared" si="414"/>
        <v>2.2735849056603774</v>
      </c>
      <c r="GM204" s="4">
        <f t="shared" si="415"/>
        <v>2.8798411122144985</v>
      </c>
      <c r="GN204" s="4">
        <f t="shared" si="416"/>
        <v>1.6694745983499781</v>
      </c>
      <c r="GO204" s="4">
        <f t="shared" si="417"/>
        <v>1.0982978723404253</v>
      </c>
      <c r="GP204" s="4">
        <f t="shared" si="418"/>
        <v>0.37639583333333332</v>
      </c>
      <c r="GQ204" s="27">
        <f t="shared" si="419"/>
        <v>28056.496359085504</v>
      </c>
      <c r="GR204" s="28">
        <f t="shared" si="420"/>
        <v>6.3048306424911251</v>
      </c>
      <c r="GS204" s="28">
        <f t="shared" si="421"/>
        <v>95.833425765865087</v>
      </c>
      <c r="GT204" s="28">
        <f t="shared" si="422"/>
        <v>3467.6568533701184</v>
      </c>
      <c r="GU204" s="28">
        <f t="shared" si="423"/>
        <v>36.568017726448524</v>
      </c>
      <c r="GV204" s="28">
        <f t="shared" si="424"/>
        <v>6.3048306424911251</v>
      </c>
      <c r="GW204" s="28">
        <f t="shared" si="425"/>
        <v>28056.496359085504</v>
      </c>
      <c r="GX204" s="28">
        <f t="shared" si="426"/>
        <v>10.0877290279858</v>
      </c>
      <c r="GY204" s="28">
        <f t="shared" si="427"/>
        <v>224.45197087268403</v>
      </c>
      <c r="GZ204" s="28">
        <f t="shared" si="428"/>
        <v>132.4014434923136</v>
      </c>
      <c r="HA204" s="28">
        <f t="shared" si="429"/>
        <v>166.4475289617657</v>
      </c>
      <c r="HB204" s="28">
        <f t="shared" si="430"/>
        <v>18.914491927473374</v>
      </c>
      <c r="HC204" s="28">
        <f t="shared" si="431"/>
        <v>392.16046596294791</v>
      </c>
      <c r="HD204" s="28">
        <f t="shared" si="432"/>
        <v>47.916712882932543</v>
      </c>
      <c r="HE204" s="28">
        <f t="shared" si="433"/>
        <v>21.436424184469825</v>
      </c>
      <c r="HF204" s="28">
        <f t="shared" si="434"/>
        <v>12.60966128498225</v>
      </c>
      <c r="HG204" s="28">
        <f t="shared" si="435"/>
        <v>132.4014434923136</v>
      </c>
      <c r="HH204" s="28">
        <f t="shared" si="436"/>
        <v>6.3048306424911251</v>
      </c>
      <c r="HI204" s="28">
        <f t="shared" si="437"/>
        <v>6683.1204810405925</v>
      </c>
      <c r="HJ204" s="28">
        <f t="shared" si="438"/>
        <v>21.436424184469825</v>
      </c>
      <c r="HK204" s="28">
        <f t="shared" si="439"/>
        <v>0</v>
      </c>
      <c r="HL204" s="28">
        <f t="shared" si="440"/>
        <v>13.870627413480474</v>
      </c>
      <c r="HM204" s="28">
        <f t="shared" si="441"/>
        <v>6.3048306424911251</v>
      </c>
      <c r="HN204" s="28">
        <f t="shared" si="442"/>
        <v>3.7828983854946752</v>
      </c>
      <c r="HO204" s="28">
        <f t="shared" si="443"/>
        <v>17.653525798975149</v>
      </c>
      <c r="HP204" s="28">
        <f t="shared" si="444"/>
        <v>0</v>
      </c>
      <c r="HQ204" s="28">
        <f t="shared" si="445"/>
        <v>18.914491927473374</v>
      </c>
      <c r="HR204" s="28">
        <f t="shared" si="446"/>
        <v>3.7828983854946752</v>
      </c>
      <c r="HT204" s="4">
        <f>IFERROR(GR204/'McDonough &amp; Sun 1995 values'!C$2,)</f>
        <v>300.23003059481545</v>
      </c>
      <c r="HU204" s="4">
        <f>IFERROR(GS204/'McDonough &amp; Sun 1995 values'!D$2,)</f>
        <v>159.72237627644182</v>
      </c>
      <c r="HV204" s="4">
        <f>IFERROR(GT204/'McDonough &amp; Sun 1995 values'!E$2,)</f>
        <v>525.4025535409271</v>
      </c>
      <c r="HW204" s="4">
        <f>IFERROR(GU204/'McDonough &amp; Sun 1995 values'!F$2,)</f>
        <v>459.97506574149088</v>
      </c>
      <c r="HX204" s="4">
        <f>IFERROR(GV204/'McDonough &amp; Sun 1995 values'!G$2,)</f>
        <v>310.58279027049878</v>
      </c>
      <c r="HY204" s="4">
        <f>IFERROR(GW204/'McDonough &amp; Sun 1995 values'!H$2,)</f>
        <v>116.90206816285627</v>
      </c>
      <c r="HZ204" s="4">
        <f>IFERROR(GX204/'McDonough &amp; Sun 1995 values'!I$2,)</f>
        <v>272.6413250806973</v>
      </c>
      <c r="IA204" s="4">
        <f>IFERROR(GY204/'McDonough &amp; Sun 1995 values'!J$2,)</f>
        <v>341.11241773964139</v>
      </c>
      <c r="IB204" s="4">
        <f>IFERROR(GZ204/'McDonough &amp; Sun 1995 values'!K$2,)</f>
        <v>204.32321526591605</v>
      </c>
      <c r="IC204" s="4">
        <f>IFERROR(HA204/'McDonough &amp; Sun 1995 values'!L$2,)</f>
        <v>99.37165908165116</v>
      </c>
      <c r="ID204" s="4">
        <f>IFERROR(HB204/'McDonough &amp; Sun 1995 values'!M$2,)</f>
        <v>74.466503651469978</v>
      </c>
      <c r="IE204" s="4">
        <f>IFERROR(HC204/'McDonough &amp; Sun 1995 values'!N$2,)</f>
        <v>19.706556078540096</v>
      </c>
      <c r="IF204" s="4">
        <f>IFERROR(HD204/'McDonough &amp; Sun 1995 values'!O$2,)</f>
        <v>38.333370306346033</v>
      </c>
      <c r="IG204" s="4">
        <f>IFERROR(HE204/'McDonough &amp; Sun 1995 values'!P$2,)</f>
        <v>52.799074345984785</v>
      </c>
      <c r="IH204" s="4">
        <f>IFERROR(HF204/'McDonough &amp; Sun 1995 values'!Q$2,)</f>
        <v>44.557107014071562</v>
      </c>
      <c r="II204" s="4">
        <f>IFERROR(HG204/'McDonough &amp; Sun 1995 values'!R$2,)</f>
        <v>12.609661284982248</v>
      </c>
      <c r="IJ204" s="4">
        <f>IFERROR(HH204/'McDonough &amp; Sun 1995 values'!S$2,)</f>
        <v>40.94045871747484</v>
      </c>
      <c r="IK204" s="4">
        <f>IFERROR(HI204/'McDonough &amp; Sun 1995 values'!T$2,)</f>
        <v>5.5461580755523592</v>
      </c>
      <c r="IL204" s="4">
        <f>IFERROR(HJ204/'McDonough &amp; Sun 1995 values'!U$2,)</f>
        <v>39.405191515569527</v>
      </c>
      <c r="IM204" s="4">
        <f>IFERROR(HK204/'McDonough &amp; Sun 1995 values'!V$2,)</f>
        <v>0</v>
      </c>
      <c r="IN204" s="4">
        <f>IFERROR(HL204/'McDonough &amp; Sun 1995 values'!W$2,)</f>
        <v>20.579565895371623</v>
      </c>
      <c r="IO204" s="4">
        <f>IFERROR(HM204/'McDonough &amp; Sun 1995 values'!X$2,)</f>
        <v>1.4662396843002616</v>
      </c>
      <c r="IP204" s="4">
        <f>IFERROR(HN204/'McDonough &amp; Sun 1995 values'!Y$2,)</f>
        <v>25.388579768420641</v>
      </c>
      <c r="IQ204" s="4">
        <f>IFERROR(HO204/'McDonough &amp; Sun 1995 values'!Z$2,)</f>
        <v>40.304853422317692</v>
      </c>
      <c r="IR204" s="4">
        <f>IFERROR(HP204/'McDonough &amp; Sun 1995 values'!AA$2,)</f>
        <v>0</v>
      </c>
      <c r="IS204" s="4">
        <f>IFERROR(HQ204/'McDonough &amp; Sun 1995 values'!AB$2,)</f>
        <v>42.890004370687926</v>
      </c>
      <c r="IT204" s="4">
        <f>IFERROR(HR204/'McDonough &amp; Sun 1995 values'!AC$2,)</f>
        <v>56.042939044365554</v>
      </c>
    </row>
    <row r="205" spans="1:254">
      <c r="A205" s="16" t="s">
        <v>641</v>
      </c>
      <c r="B205" s="16" t="s">
        <v>24</v>
      </c>
      <c r="C205" s="16" t="str">
        <f t="shared" si="461"/>
        <v>silicic</v>
      </c>
      <c r="D205" s="16" t="s">
        <v>110</v>
      </c>
      <c r="E205" s="16" t="s">
        <v>237</v>
      </c>
      <c r="F205" s="16" t="s">
        <v>639</v>
      </c>
      <c r="G205" s="16" t="s">
        <v>640</v>
      </c>
      <c r="H205" s="27">
        <v>0</v>
      </c>
      <c r="I205" s="16" t="s">
        <v>712</v>
      </c>
      <c r="J205" s="16" t="s">
        <v>635</v>
      </c>
      <c r="K205" s="16" t="s">
        <v>642</v>
      </c>
      <c r="L205" s="16">
        <v>0</v>
      </c>
      <c r="M205" s="16" t="s">
        <v>631</v>
      </c>
      <c r="N205" s="16" t="s">
        <v>1084</v>
      </c>
      <c r="O205" s="26">
        <v>60.5</v>
      </c>
      <c r="P205" s="26">
        <v>4.88</v>
      </c>
      <c r="Q205" s="26"/>
      <c r="R205" s="26">
        <v>12.5</v>
      </c>
      <c r="S205" s="26">
        <v>1.91</v>
      </c>
      <c r="T205" s="26">
        <v>1.75</v>
      </c>
      <c r="U205" s="26"/>
      <c r="V205" s="26">
        <v>8.77</v>
      </c>
      <c r="W205" s="26">
        <v>3.12</v>
      </c>
      <c r="X205" s="26">
        <v>5.33</v>
      </c>
      <c r="Y205" s="26"/>
      <c r="Z205" s="26">
        <v>0.78</v>
      </c>
      <c r="AA205" s="26"/>
      <c r="AB205" s="26"/>
      <c r="AC205" s="26"/>
      <c r="AD205" s="26">
        <v>0.39</v>
      </c>
      <c r="AE205" s="26"/>
      <c r="AF205" s="26"/>
      <c r="AG205" s="26"/>
      <c r="AH205" s="26"/>
      <c r="AI205" s="26"/>
      <c r="AJ205" s="26">
        <f t="shared" si="462"/>
        <v>99.929999999999993</v>
      </c>
      <c r="AK205" s="26">
        <f t="shared" si="447"/>
        <v>60.595748119348528</v>
      </c>
      <c r="AL205" s="26">
        <f t="shared" si="448"/>
        <v>4.8877231540896</v>
      </c>
      <c r="AM205" s="26">
        <f t="shared" si="449"/>
        <v>12.519782669286887</v>
      </c>
      <c r="AN205" s="26">
        <f t="shared" si="450"/>
        <v>1.9130227918670362</v>
      </c>
      <c r="AO205" s="26">
        <f t="shared" si="451"/>
        <v>1.7527695737001641</v>
      </c>
      <c r="AP205" s="26">
        <f t="shared" si="452"/>
        <v>8.7838795207716789</v>
      </c>
      <c r="AQ205" s="26">
        <f t="shared" si="453"/>
        <v>0</v>
      </c>
      <c r="AR205" s="26">
        <f t="shared" si="454"/>
        <v>3.1249377542540069</v>
      </c>
      <c r="AS205" s="26">
        <f t="shared" si="455"/>
        <v>5.3384353301839287</v>
      </c>
      <c r="AT205" s="26">
        <f t="shared" si="456"/>
        <v>0.78123443856350172</v>
      </c>
      <c r="AU205" s="26">
        <f t="shared" si="457"/>
        <v>0.39061721928175086</v>
      </c>
      <c r="AV205" s="26">
        <f t="shared" si="463"/>
        <v>100.08815057134707</v>
      </c>
      <c r="AW205" s="16"/>
      <c r="AX205" s="16"/>
      <c r="AY205" s="16"/>
      <c r="AZ205" s="16"/>
      <c r="BA205" s="26"/>
      <c r="BB205" s="26"/>
      <c r="BC205" s="26"/>
      <c r="BD205" s="26"/>
      <c r="BE205" s="25"/>
      <c r="BF205" s="16"/>
      <c r="BG205" s="16"/>
      <c r="BH205" s="16"/>
      <c r="BI205" s="16"/>
      <c r="BJ205" s="16"/>
      <c r="BK205" s="18"/>
      <c r="BL205" s="18"/>
      <c r="BM205" s="18"/>
      <c r="BN205" s="18">
        <v>11.68</v>
      </c>
      <c r="BO205" s="18">
        <v>4.76</v>
      </c>
      <c r="BP205" s="18">
        <v>27.57</v>
      </c>
      <c r="BQ205" s="18">
        <v>5.66</v>
      </c>
      <c r="BR205" s="18">
        <v>35.01</v>
      </c>
      <c r="BS205" s="18">
        <v>42.82</v>
      </c>
      <c r="BT205" s="18">
        <v>6.97</v>
      </c>
      <c r="BU205" s="18">
        <v>1.69</v>
      </c>
      <c r="BV205" s="18">
        <v>0.45700000000000002</v>
      </c>
      <c r="BW205" s="18">
        <v>6.4</v>
      </c>
      <c r="BX205" s="18">
        <v>6.5000000000000002E-2</v>
      </c>
      <c r="BY205" s="18">
        <v>0.11700000000000001</v>
      </c>
      <c r="BZ205" s="18">
        <v>1.1000000000000001</v>
      </c>
      <c r="CA205" s="18">
        <v>0.01</v>
      </c>
      <c r="CB205" s="18">
        <v>0.02</v>
      </c>
      <c r="CC205" s="18">
        <v>0</v>
      </c>
      <c r="CD205" s="18"/>
      <c r="CE205" s="18">
        <v>0</v>
      </c>
      <c r="CF205" s="18"/>
      <c r="CG205" s="18">
        <v>0</v>
      </c>
      <c r="CH205" s="18">
        <v>9.8000000000000004E-2</v>
      </c>
      <c r="CI205" s="18">
        <v>0.55900000000000005</v>
      </c>
      <c r="CJ205" s="18">
        <v>0.01</v>
      </c>
      <c r="CK205" s="18">
        <v>0.47799999999999998</v>
      </c>
      <c r="CL205" s="18"/>
      <c r="CM205" s="18">
        <v>0.216</v>
      </c>
      <c r="CN205" s="18"/>
      <c r="CO205" s="18"/>
      <c r="CP205" s="18"/>
      <c r="CQ205" s="18"/>
      <c r="CR205" s="18">
        <v>4.0000000000000001E-3</v>
      </c>
      <c r="CS205" s="18">
        <v>2.21</v>
      </c>
      <c r="CT205" s="18">
        <v>4.5999999999999999E-2</v>
      </c>
      <c r="CU205" s="18">
        <v>8.8999999999999996E-2</v>
      </c>
      <c r="CV205" s="18">
        <v>0.107</v>
      </c>
      <c r="CW205" s="18">
        <v>1.2999999999999999E-2</v>
      </c>
      <c r="CX205" s="18">
        <v>4.4999999999999998E-2</v>
      </c>
      <c r="CY205" s="18">
        <v>2.5000000000000001E-2</v>
      </c>
      <c r="CZ205" s="18">
        <v>8.0000000000000002E-3</v>
      </c>
      <c r="DA205" s="18">
        <v>2.5000000000000001E-2</v>
      </c>
      <c r="DB205" s="18">
        <v>1.6E-2</v>
      </c>
      <c r="DC205" s="18">
        <v>3.0000000000000001E-3</v>
      </c>
      <c r="DD205" s="18">
        <v>1.7000000000000001E-2</v>
      </c>
      <c r="DE205" s="18"/>
      <c r="DF205" s="18">
        <v>1.9E-2</v>
      </c>
      <c r="DG205" s="18">
        <v>4.0000000000000001E-3</v>
      </c>
      <c r="DH205" s="18">
        <v>2.1000000000000001E-2</v>
      </c>
      <c r="DI205" s="18">
        <v>1.6E-2</v>
      </c>
      <c r="DJ205" s="18">
        <v>2.8000000000000001E-2</v>
      </c>
      <c r="DK205" s="18">
        <v>3.3000000000000002E-2</v>
      </c>
      <c r="DL205" s="18">
        <v>1.2999999999999999E-2</v>
      </c>
      <c r="DM205" s="18">
        <v>6.0000000000000001E-3</v>
      </c>
      <c r="DN205" s="18"/>
      <c r="DO205" s="18"/>
      <c r="DP205" s="18"/>
      <c r="DQ205" s="18"/>
      <c r="DR205" s="18"/>
      <c r="DS205" s="18"/>
      <c r="DT205" s="18"/>
      <c r="DU205" s="18"/>
      <c r="DV205" s="28"/>
      <c r="DW205" s="28"/>
      <c r="DX205" s="28"/>
      <c r="DY205" s="28"/>
      <c r="DZ205" s="28"/>
      <c r="EA205" s="28"/>
      <c r="EB205" s="28"/>
      <c r="EC205" s="28"/>
      <c r="ED205" s="28"/>
      <c r="EE205" s="28"/>
      <c r="EF205" s="28"/>
      <c r="EG205" s="28"/>
      <c r="EH205" s="28"/>
      <c r="EI205" s="28"/>
      <c r="EJ205" s="18"/>
      <c r="EK205" s="18"/>
      <c r="EL205" s="18">
        <f>IFERROR(CR205/'McDonough &amp; Sun 1995 values'!C$2,)</f>
        <v>0.19047619047619047</v>
      </c>
      <c r="EM205" s="18">
        <f>IFERROR(CH205/'McDonough &amp; Sun 1995 values'!D$2,)</f>
        <v>0.16333333333333336</v>
      </c>
      <c r="EN205" s="18">
        <f>IFERROR(CS205/'McDonough &amp; Sun 1995 values'!E$2,)</f>
        <v>0.33484848484848484</v>
      </c>
      <c r="EO205" s="18">
        <f>IFERROR(DL205/'McDonough &amp; Sun 1995 values'!F$2,)</f>
        <v>0.16352201257861634</v>
      </c>
      <c r="EP205" s="18">
        <f>IFERROR(DM205/'McDonough &amp; Sun 1995 values'!G$2,)</f>
        <v>0.29556650246305421</v>
      </c>
      <c r="EQ205" s="18">
        <f>IFERROR(BR205/'McDonough &amp; Sun 1995 values'!H$2,)</f>
        <v>0.145875</v>
      </c>
      <c r="ER205" s="18">
        <f>IFERROR(DI205/'McDonough &amp; Sun 1995 values'!I$2,)</f>
        <v>0.43243243243243246</v>
      </c>
      <c r="ES205" s="18">
        <f>IFERROR(CM205/'McDonough &amp; Sun 1995 values'!J$2,)</f>
        <v>0.32826747720364741</v>
      </c>
      <c r="ET205" s="18">
        <f>IFERROR(CU205/'McDonough &amp; Sun 1995 values'!K$2,)</f>
        <v>0.13734567901234568</v>
      </c>
      <c r="EU205" s="18">
        <f>IFERROR(CV205/'McDonough &amp; Sun 1995 values'!L$2,)</f>
        <v>6.3880597014925364E-2</v>
      </c>
      <c r="EV205" s="18">
        <f>IFERROR(CW205/'McDonough &amp; Sun 1995 values'!M$2,)</f>
        <v>5.1181102362204724E-2</v>
      </c>
      <c r="EW205" s="18">
        <f>IFERROR(CI205/'McDonough &amp; Sun 1995 values'!N$2,)</f>
        <v>2.8090452261306537E-2</v>
      </c>
      <c r="EX205" s="18">
        <f>IFERROR(CX205/'McDonough &amp; Sun 1995 values'!O$2,)</f>
        <v>3.5999999999999997E-2</v>
      </c>
      <c r="EY205" s="18">
        <f>IFERROR(CY205/'McDonough &amp; Sun 1995 values'!P$2,)</f>
        <v>6.1576354679802957E-2</v>
      </c>
      <c r="EZ205" s="18">
        <f>IFERROR(DH205/'McDonough &amp; Sun 1995 values'!Q$2,)</f>
        <v>7.4204946996466445E-2</v>
      </c>
      <c r="FA205" s="18">
        <f>IFERROR(CK205/'McDonough &amp; Sun 1995 values'!R$2,)</f>
        <v>4.5523809523809522E-2</v>
      </c>
      <c r="FB205" s="18">
        <f>IFERROR(CZ205/'McDonough &amp; Sun 1995 values'!S$2,)</f>
        <v>5.1948051948051951E-2</v>
      </c>
      <c r="FC205" s="18">
        <f>IFERROR(BT205/'McDonough &amp; Sun 1995 values'!T$2,)</f>
        <v>5.7842323651452277E-3</v>
      </c>
      <c r="FD205" s="18">
        <f>IFERROR(DA205/'McDonough &amp; Sun 1995 values'!U$2,)</f>
        <v>4.5955882352941173E-2</v>
      </c>
      <c r="FE205" s="18">
        <f>IFERROR(DN205/'McDonough &amp; Sun 1995 values'!V$2,)</f>
        <v>0</v>
      </c>
      <c r="FF205" s="18">
        <f>IFERROR(DB205/'McDonough &amp; Sun 1995 values'!W$2,)</f>
        <v>2.3738872403560828E-2</v>
      </c>
      <c r="FG205" s="18">
        <f>IFERROR(CJ205/'McDonough &amp; Sun 1995 values'!X$2,)</f>
        <v>2.3255813953488372E-3</v>
      </c>
      <c r="FH205" s="18">
        <f>IFERROR(DC205/'McDonough &amp; Sun 1995 values'!Y$2,)</f>
        <v>2.0134228187919465E-2</v>
      </c>
      <c r="FI205" s="18">
        <f>IFERROR(DD205/'McDonough &amp; Sun 1995 values'!Z$2,)</f>
        <v>3.8812785388127859E-2</v>
      </c>
      <c r="FJ205" s="18">
        <f>IFERROR(DE205/'McDonough &amp; Sun 1995 values'!AA$2,)</f>
        <v>0</v>
      </c>
      <c r="FK205" s="18">
        <f>IFERROR(DF205/'McDonough &amp; Sun 1995 values'!AB$2,)</f>
        <v>4.3083900226757371E-2</v>
      </c>
      <c r="FL205" s="18">
        <f>IFERROR(DG205/'McDonough &amp; Sun 1995 values'!AC$2,)</f>
        <v>5.9259259259259255E-2</v>
      </c>
      <c r="FN205" s="28">
        <f t="shared" si="458"/>
        <v>2.0261628275102259</v>
      </c>
      <c r="FO205" s="4">
        <f t="shared" si="391"/>
        <v>1.1329040404040402</v>
      </c>
      <c r="FP205" s="4">
        <f t="shared" si="392"/>
        <v>0.49813650128115533</v>
      </c>
      <c r="FQ205" s="4">
        <f t="shared" si="393"/>
        <v>0.55324947589098528</v>
      </c>
      <c r="FR205" s="4">
        <f t="shared" si="394"/>
        <v>0.41839563328760859</v>
      </c>
      <c r="FS205" s="4">
        <f t="shared" si="395"/>
        <v>0.31761188271604934</v>
      </c>
      <c r="FT205" s="4">
        <f t="shared" si="396"/>
        <v>0.85750000000000015</v>
      </c>
      <c r="FU205" s="4">
        <f t="shared" si="397"/>
        <v>1.3173173173173174</v>
      </c>
      <c r="FV205" s="4">
        <f t="shared" si="398"/>
        <v>0.73930666666666667</v>
      </c>
      <c r="FW205" s="4">
        <f t="shared" si="399"/>
        <v>0.61348752834467102</v>
      </c>
      <c r="FX205" s="4">
        <f t="shared" si="400"/>
        <v>0.96618564593301448</v>
      </c>
      <c r="FY205" s="4">
        <f t="shared" si="401"/>
        <v>0.65441412287503387</v>
      </c>
      <c r="FZ205" s="4">
        <f t="shared" si="402"/>
        <v>0.97654379338635755</v>
      </c>
      <c r="GA205" s="4">
        <f t="shared" si="403"/>
        <v>0.54884422110552777</v>
      </c>
      <c r="GB205" s="4">
        <f t="shared" si="404"/>
        <v>0.84363636363636363</v>
      </c>
      <c r="GC205" s="4">
        <f t="shared" si="405"/>
        <v>1.1661807580174925</v>
      </c>
      <c r="GD205" s="4">
        <f t="shared" si="406"/>
        <v>2.0477272727272728</v>
      </c>
      <c r="GE205" s="4">
        <f t="shared" si="407"/>
        <v>2.0500927643784781</v>
      </c>
      <c r="GF205" s="4">
        <f t="shared" si="408"/>
        <v>2.2954480538028093</v>
      </c>
      <c r="GG205" s="4">
        <f t="shared" si="409"/>
        <v>1.0200476992143659</v>
      </c>
      <c r="GH205" s="4">
        <f t="shared" si="410"/>
        <v>2.6835232668566</v>
      </c>
      <c r="GI205" s="4">
        <f t="shared" si="411"/>
        <v>2.2304938271604939</v>
      </c>
      <c r="GJ205" s="4">
        <f t="shared" si="412"/>
        <v>5.7856867283950626</v>
      </c>
      <c r="GK205" s="4">
        <f t="shared" si="413"/>
        <v>3.1878654970760234</v>
      </c>
      <c r="GL205" s="4">
        <f t="shared" si="414"/>
        <v>7.8703286192525796</v>
      </c>
      <c r="GM205" s="4">
        <f t="shared" si="415"/>
        <v>1.0011551790527529</v>
      </c>
      <c r="GN205" s="4">
        <f t="shared" si="416"/>
        <v>2.3900823059321743</v>
      </c>
      <c r="GO205" s="4">
        <f t="shared" si="417"/>
        <v>1.1106382978723404</v>
      </c>
      <c r="GP205" s="4">
        <f t="shared" si="418"/>
        <v>0.49354374999999995</v>
      </c>
      <c r="GQ205" s="27">
        <f t="shared" si="419"/>
        <v>44316.34316368588</v>
      </c>
      <c r="GR205" s="28">
        <f t="shared" si="420"/>
        <v>5.0632782820549425</v>
      </c>
      <c r="GS205" s="28">
        <f t="shared" si="421"/>
        <v>124.0503179103461</v>
      </c>
      <c r="GT205" s="28">
        <f t="shared" si="422"/>
        <v>2797.4612508353557</v>
      </c>
      <c r="GU205" s="28">
        <f t="shared" si="423"/>
        <v>16.455654416678563</v>
      </c>
      <c r="GV205" s="28">
        <f t="shared" si="424"/>
        <v>7.5949174230824141</v>
      </c>
      <c r="GW205" s="28">
        <f t="shared" si="425"/>
        <v>44316.34316368588</v>
      </c>
      <c r="GX205" s="28">
        <f t="shared" si="426"/>
        <v>20.25311312821977</v>
      </c>
      <c r="GY205" s="28">
        <f t="shared" si="427"/>
        <v>273.41702723096688</v>
      </c>
      <c r="GZ205" s="28">
        <f t="shared" si="428"/>
        <v>112.65794177572246</v>
      </c>
      <c r="HA205" s="28">
        <f t="shared" si="429"/>
        <v>135.4426940449697</v>
      </c>
      <c r="HB205" s="28">
        <f t="shared" si="430"/>
        <v>16.455654416678563</v>
      </c>
      <c r="HC205" s="28">
        <f t="shared" si="431"/>
        <v>707.59313991717829</v>
      </c>
      <c r="HD205" s="28">
        <f t="shared" si="432"/>
        <v>56.961880673118102</v>
      </c>
      <c r="HE205" s="28">
        <f t="shared" si="433"/>
        <v>31.645489262843395</v>
      </c>
      <c r="HF205" s="28">
        <f t="shared" si="434"/>
        <v>26.582210980788449</v>
      </c>
      <c r="HG205" s="28">
        <f t="shared" si="435"/>
        <v>605.06175470556559</v>
      </c>
      <c r="HH205" s="28">
        <f t="shared" si="436"/>
        <v>10.126556564109885</v>
      </c>
      <c r="HI205" s="28">
        <f t="shared" si="437"/>
        <v>8822.7624064807369</v>
      </c>
      <c r="HJ205" s="28">
        <f t="shared" si="438"/>
        <v>31.645489262843395</v>
      </c>
      <c r="HK205" s="28">
        <f t="shared" si="439"/>
        <v>0</v>
      </c>
      <c r="HL205" s="28">
        <f t="shared" si="440"/>
        <v>20.25311312821977</v>
      </c>
      <c r="HM205" s="28">
        <f t="shared" si="441"/>
        <v>12.658195705137356</v>
      </c>
      <c r="HN205" s="28">
        <f t="shared" si="442"/>
        <v>3.7974587115412071</v>
      </c>
      <c r="HO205" s="28">
        <f t="shared" si="443"/>
        <v>21.518932698733508</v>
      </c>
      <c r="HP205" s="28">
        <f t="shared" si="444"/>
        <v>0</v>
      </c>
      <c r="HQ205" s="28">
        <f t="shared" si="445"/>
        <v>24.050571839760977</v>
      </c>
      <c r="HR205" s="28">
        <f t="shared" si="446"/>
        <v>5.0632782820549425</v>
      </c>
      <c r="HT205" s="4">
        <f>IFERROR(GR205/'McDonough &amp; Sun 1995 values'!C$2,)</f>
        <v>241.10848962166392</v>
      </c>
      <c r="HU205" s="4">
        <f>IFERROR(GS205/'McDonough &amp; Sun 1995 values'!D$2,)</f>
        <v>206.75052985057684</v>
      </c>
      <c r="HV205" s="4">
        <f>IFERROR(GT205/'McDonough &amp; Sun 1995 values'!E$2,)</f>
        <v>423.85776527808423</v>
      </c>
      <c r="HW205" s="4">
        <f>IFERROR(GU205/'McDonough &amp; Sun 1995 values'!F$2,)</f>
        <v>206.98936373180581</v>
      </c>
      <c r="HX205" s="4">
        <f>IFERROR(GV205/'McDonough &amp; Sun 1995 values'!G$2,)</f>
        <v>374.1338632060303</v>
      </c>
      <c r="HY205" s="4">
        <f>IFERROR(GW205/'McDonough &amp; Sun 1995 values'!H$2,)</f>
        <v>184.65142984869118</v>
      </c>
      <c r="HZ205" s="4">
        <f>IFERROR(GX205/'McDonough &amp; Sun 1995 values'!I$2,)</f>
        <v>547.38143589783169</v>
      </c>
      <c r="IA205" s="4">
        <f>IFERROR(GY205/'McDonough &amp; Sun 1995 values'!J$2,)</f>
        <v>415.52739700754842</v>
      </c>
      <c r="IB205" s="4">
        <f>IFERROR(GZ205/'McDonough &amp; Sun 1995 values'!K$2,)</f>
        <v>173.85484841932478</v>
      </c>
      <c r="IC205" s="4">
        <f>IFERROR(HA205/'McDonough &amp; Sun 1995 values'!L$2,)</f>
        <v>80.861309877593854</v>
      </c>
      <c r="ID205" s="4">
        <f>IFERROR(HB205/'McDonough &amp; Sun 1995 values'!M$2,)</f>
        <v>64.786041010545517</v>
      </c>
      <c r="IE205" s="4">
        <f>IFERROR(HC205/'McDonough &amp; Sun 1995 values'!N$2,)</f>
        <v>35.557444216943637</v>
      </c>
      <c r="IF205" s="4">
        <f>IFERROR(HD205/'McDonough &amp; Sun 1995 values'!O$2,)</f>
        <v>45.569504538494485</v>
      </c>
      <c r="IG205" s="4">
        <f>IFERROR(HE205/'McDonough &amp; Sun 1995 values'!P$2,)</f>
        <v>77.944554834589638</v>
      </c>
      <c r="IH205" s="4">
        <f>IFERROR(HF205/'McDonough &amp; Sun 1995 values'!Q$2,)</f>
        <v>93.930074137061666</v>
      </c>
      <c r="II205" s="4">
        <f>IFERROR(HG205/'McDonough &amp; Sun 1995 values'!R$2,)</f>
        <v>57.624929019577678</v>
      </c>
      <c r="IJ205" s="4">
        <f>IFERROR(HH205/'McDonough &amp; Sun 1995 values'!S$2,)</f>
        <v>65.756860805908346</v>
      </c>
      <c r="IK205" s="4">
        <f>IFERROR(HI205/'McDonough &amp; Sun 1995 values'!T$2,)</f>
        <v>7.3217945281997814</v>
      </c>
      <c r="IL205" s="4">
        <f>IFERROR(HJ205/'McDonough &amp; Sun 1995 values'!U$2,)</f>
        <v>58.171855262579768</v>
      </c>
      <c r="IM205" s="4">
        <f>IFERROR(HK205/'McDonough &amp; Sun 1995 values'!V$2,)</f>
        <v>0</v>
      </c>
      <c r="IN205" s="4">
        <f>IFERROR(HL205/'McDonough &amp; Sun 1995 values'!W$2,)</f>
        <v>30.049129270355738</v>
      </c>
      <c r="IO205" s="4">
        <f>IFERROR(HM205/'McDonough &amp; Sun 1995 values'!X$2,)</f>
        <v>2.9437664430551993</v>
      </c>
      <c r="IP205" s="4">
        <f>IFERROR(HN205/'McDonough &amp; Sun 1995 values'!Y$2,)</f>
        <v>25.486300077457766</v>
      </c>
      <c r="IQ205" s="4">
        <f>IFERROR(HO205/'McDonough &amp; Sun 1995 values'!Z$2,)</f>
        <v>49.129983330441796</v>
      </c>
      <c r="IR205" s="4">
        <f>IFERROR(HP205/'McDonough &amp; Sun 1995 values'!AA$2,)</f>
        <v>0</v>
      </c>
      <c r="IS205" s="4">
        <f>IFERROR(HQ205/'McDonough &amp; Sun 1995 values'!AB$2,)</f>
        <v>54.53644408109065</v>
      </c>
      <c r="IT205" s="4">
        <f>IFERROR(HR205/'McDonough &amp; Sun 1995 values'!AC$2,)</f>
        <v>75.011530104517661</v>
      </c>
    </row>
    <row r="206" spans="1:254">
      <c r="A206" s="16" t="s">
        <v>641</v>
      </c>
      <c r="B206" s="16" t="s">
        <v>24</v>
      </c>
      <c r="C206" s="16" t="str">
        <f t="shared" si="461"/>
        <v>silicic</v>
      </c>
      <c r="D206" s="16" t="s">
        <v>110</v>
      </c>
      <c r="E206" s="16" t="s">
        <v>237</v>
      </c>
      <c r="F206" s="16" t="s">
        <v>639</v>
      </c>
      <c r="G206" s="16" t="s">
        <v>640</v>
      </c>
      <c r="H206" s="27">
        <v>0</v>
      </c>
      <c r="I206" s="16" t="s">
        <v>712</v>
      </c>
      <c r="J206" s="16" t="s">
        <v>635</v>
      </c>
      <c r="K206" s="16" t="s">
        <v>642</v>
      </c>
      <c r="L206" s="16">
        <v>0</v>
      </c>
      <c r="M206" s="16" t="s">
        <v>627</v>
      </c>
      <c r="N206" s="16" t="s">
        <v>1084</v>
      </c>
      <c r="O206" s="26">
        <v>49.7</v>
      </c>
      <c r="P206" s="26">
        <v>0.24</v>
      </c>
      <c r="Q206" s="26"/>
      <c r="R206" s="26">
        <v>11.2</v>
      </c>
      <c r="S206" s="26">
        <v>3.72</v>
      </c>
      <c r="T206" s="26">
        <v>11.1</v>
      </c>
      <c r="U206" s="26"/>
      <c r="V206" s="26">
        <v>12</v>
      </c>
      <c r="W206" s="26">
        <v>10.6</v>
      </c>
      <c r="X206" s="26">
        <v>0.85</v>
      </c>
      <c r="Y206" s="26"/>
      <c r="Z206" s="26">
        <v>0.53</v>
      </c>
      <c r="AA206" s="26"/>
      <c r="AB206" s="26"/>
      <c r="AC206" s="26"/>
      <c r="AD206" s="26">
        <v>0</v>
      </c>
      <c r="AE206" s="26"/>
      <c r="AF206" s="26"/>
      <c r="AG206" s="26"/>
      <c r="AH206" s="26"/>
      <c r="AI206" s="26"/>
      <c r="AJ206" s="26">
        <f t="shared" si="462"/>
        <v>99.939999999999984</v>
      </c>
      <c r="AK206" s="26">
        <f t="shared" si="447"/>
        <v>49.729837902741657</v>
      </c>
      <c r="AL206" s="26">
        <f t="shared" si="448"/>
        <v>0.24014408645187119</v>
      </c>
      <c r="AM206" s="26">
        <f t="shared" si="449"/>
        <v>11.206724034420654</v>
      </c>
      <c r="AN206" s="26">
        <f t="shared" si="450"/>
        <v>3.7222333400040033</v>
      </c>
      <c r="AO206" s="26">
        <f t="shared" si="451"/>
        <v>11.106663998399041</v>
      </c>
      <c r="AP206" s="26">
        <f t="shared" si="452"/>
        <v>12.007204322593559</v>
      </c>
      <c r="AQ206" s="26">
        <f t="shared" si="453"/>
        <v>0</v>
      </c>
      <c r="AR206" s="26">
        <f t="shared" si="454"/>
        <v>10.606363818290976</v>
      </c>
      <c r="AS206" s="26">
        <f t="shared" si="455"/>
        <v>0.85051030618371026</v>
      </c>
      <c r="AT206" s="26">
        <f t="shared" si="456"/>
        <v>0.5303181909145489</v>
      </c>
      <c r="AU206" s="26">
        <f t="shared" si="457"/>
        <v>0</v>
      </c>
      <c r="AV206" s="26">
        <f t="shared" si="463"/>
        <v>100</v>
      </c>
      <c r="AW206" s="16"/>
      <c r="AX206" s="16"/>
      <c r="AY206" s="16"/>
      <c r="AZ206" s="16"/>
      <c r="BA206" s="26"/>
      <c r="BB206" s="26">
        <v>0.06</v>
      </c>
      <c r="BC206" s="26">
        <f t="shared" ref="BC206:BC223" si="464">1-BD206</f>
        <v>6.0000000000000053E-2</v>
      </c>
      <c r="BD206" s="26">
        <f t="shared" ref="BD206:BD223" si="465">1-BB206</f>
        <v>0.94</v>
      </c>
      <c r="BE206" s="25"/>
      <c r="BF206" s="16"/>
      <c r="BG206" s="16"/>
      <c r="BH206" s="16"/>
      <c r="BI206" s="16"/>
      <c r="BJ206" s="16"/>
      <c r="BK206" s="18"/>
      <c r="BL206" s="18"/>
      <c r="BM206" s="18"/>
      <c r="BN206" s="18">
        <v>239.8</v>
      </c>
      <c r="BO206" s="18">
        <v>239.25</v>
      </c>
      <c r="BP206" s="18">
        <v>200.44</v>
      </c>
      <c r="BQ206" s="18">
        <v>20.46</v>
      </c>
      <c r="BR206" s="18">
        <v>197.53</v>
      </c>
      <c r="BS206" s="18">
        <v>428.76</v>
      </c>
      <c r="BT206" s="18">
        <v>27.13</v>
      </c>
      <c r="BU206" s="18">
        <v>2.48</v>
      </c>
      <c r="BV206" s="18">
        <v>5.12</v>
      </c>
      <c r="BW206" s="18">
        <v>115.46</v>
      </c>
      <c r="BX206" s="18">
        <v>5.8999999999999997E-2</v>
      </c>
      <c r="BY206" s="18">
        <v>0.22800000000000001</v>
      </c>
      <c r="BZ206" s="18">
        <v>2.2599999999999998</v>
      </c>
      <c r="CA206" s="18">
        <v>7.3999999999999996E-2</v>
      </c>
      <c r="CB206" s="18">
        <v>7.8E-2</v>
      </c>
      <c r="CC206" s="18">
        <v>0</v>
      </c>
      <c r="CD206" s="18"/>
      <c r="CE206" s="18">
        <v>0</v>
      </c>
      <c r="CF206" s="18"/>
      <c r="CG206" s="18">
        <v>0</v>
      </c>
      <c r="CH206" s="18">
        <v>0.748</v>
      </c>
      <c r="CI206" s="18">
        <v>5.64</v>
      </c>
      <c r="CJ206" s="18">
        <v>5.0999999999999997E-2</v>
      </c>
      <c r="CK206" s="18">
        <v>0.35899999999999999</v>
      </c>
      <c r="CL206" s="18"/>
      <c r="CM206" s="18">
        <v>1.375</v>
      </c>
      <c r="CN206" s="18"/>
      <c r="CO206" s="18"/>
      <c r="CP206" s="18"/>
      <c r="CQ206" s="18"/>
      <c r="CR206" s="18">
        <v>1.7999999999999999E-2</v>
      </c>
      <c r="CS206" s="18">
        <v>29.7</v>
      </c>
      <c r="CT206" s="18">
        <v>0.84</v>
      </c>
      <c r="CU206" s="18">
        <v>1.69</v>
      </c>
      <c r="CV206" s="18">
        <v>2.0299999999999998</v>
      </c>
      <c r="CW206" s="18">
        <v>0.19400000000000001</v>
      </c>
      <c r="CX206" s="18">
        <v>0.61899999999999999</v>
      </c>
      <c r="CY206" s="18">
        <v>4.5999999999999999E-2</v>
      </c>
      <c r="CZ206" s="18">
        <v>1.4E-2</v>
      </c>
      <c r="DA206" s="18">
        <v>4.8000000000000001E-2</v>
      </c>
      <c r="DB206" s="18">
        <v>1.7000000000000001E-2</v>
      </c>
      <c r="DC206" s="18">
        <v>3.0000000000000001E-3</v>
      </c>
      <c r="DD206" s="18">
        <v>1.2999999999999999E-2</v>
      </c>
      <c r="DE206" s="18"/>
      <c r="DF206" s="18">
        <v>1.7000000000000001E-2</v>
      </c>
      <c r="DG206" s="18">
        <v>3.0000000000000001E-3</v>
      </c>
      <c r="DH206" s="18">
        <v>1.2999999999999999E-2</v>
      </c>
      <c r="DI206" s="18">
        <v>4.4999999999999998E-2</v>
      </c>
      <c r="DJ206" s="18">
        <v>4.5999999999999999E-2</v>
      </c>
      <c r="DK206" s="18">
        <v>0.15</v>
      </c>
      <c r="DL206" s="18">
        <v>0.316</v>
      </c>
      <c r="DM206" s="18">
        <v>4.9000000000000002E-2</v>
      </c>
      <c r="DN206" s="18"/>
      <c r="DO206" s="18"/>
      <c r="DP206" s="18"/>
      <c r="DQ206" s="18"/>
      <c r="DR206" s="18"/>
      <c r="DS206" s="18"/>
      <c r="DT206" s="18"/>
      <c r="DU206" s="18"/>
      <c r="DV206" s="28"/>
      <c r="DW206" s="28"/>
      <c r="DX206" s="28"/>
      <c r="DY206" s="28"/>
      <c r="DZ206" s="28"/>
      <c r="EA206" s="28"/>
      <c r="EB206" s="28"/>
      <c r="EC206" s="28"/>
      <c r="ED206" s="28"/>
      <c r="EE206" s="28"/>
      <c r="EF206" s="28"/>
      <c r="EG206" s="28"/>
      <c r="EH206" s="28"/>
      <c r="EI206" s="28"/>
      <c r="EJ206" s="18"/>
      <c r="EK206" s="18"/>
      <c r="EL206" s="18">
        <f>IFERROR(CR206/'McDonough &amp; Sun 1995 values'!C$2,)</f>
        <v>0.85714285714285698</v>
      </c>
      <c r="EM206" s="18">
        <f>IFERROR(CH206/'McDonough &amp; Sun 1995 values'!D$2,)</f>
        <v>1.2466666666666668</v>
      </c>
      <c r="EN206" s="18">
        <f>IFERROR(CS206/'McDonough &amp; Sun 1995 values'!E$2,)</f>
        <v>4.5</v>
      </c>
      <c r="EO206" s="18">
        <f>IFERROR(DL206/'McDonough &amp; Sun 1995 values'!F$2,)</f>
        <v>3.9748427672955975</v>
      </c>
      <c r="EP206" s="18">
        <f>IFERROR(DM206/'McDonough &amp; Sun 1995 values'!G$2,)</f>
        <v>2.4137931034482762</v>
      </c>
      <c r="EQ206" s="18">
        <f>IFERROR(BR206/'McDonough &amp; Sun 1995 values'!H$2,)</f>
        <v>0.82304166666666667</v>
      </c>
      <c r="ER206" s="18">
        <f>IFERROR(DI206/'McDonough &amp; Sun 1995 values'!I$2,)</f>
        <v>1.2162162162162162</v>
      </c>
      <c r="ES206" s="18">
        <f>IFERROR(CM206/'McDonough &amp; Sun 1995 values'!J$2,)</f>
        <v>2.0896656534954405</v>
      </c>
      <c r="ET206" s="18">
        <f>IFERROR(CU206/'McDonough &amp; Sun 1995 values'!K$2,)</f>
        <v>2.6080246913580245</v>
      </c>
      <c r="EU206" s="18">
        <f>IFERROR(CV206/'McDonough &amp; Sun 1995 values'!L$2,)</f>
        <v>1.2119402985074625</v>
      </c>
      <c r="EV206" s="18">
        <f>IFERROR(CW206/'McDonough &amp; Sun 1995 values'!M$2,)</f>
        <v>0.76377952755905509</v>
      </c>
      <c r="EW206" s="18">
        <f>IFERROR(CI206/'McDonough &amp; Sun 1995 values'!N$2,)</f>
        <v>0.28341708542713567</v>
      </c>
      <c r="EX206" s="18">
        <f>IFERROR(CX206/'McDonough &amp; Sun 1995 values'!O$2,)</f>
        <v>0.49519999999999997</v>
      </c>
      <c r="EY206" s="18">
        <f>IFERROR(CY206/'McDonough &amp; Sun 1995 values'!P$2,)</f>
        <v>0.11330049261083742</v>
      </c>
      <c r="EZ206" s="18">
        <f>IFERROR(DH206/'McDonough &amp; Sun 1995 values'!Q$2,)</f>
        <v>4.5936395759717315E-2</v>
      </c>
      <c r="FA206" s="18">
        <f>IFERROR(CK206/'McDonough &amp; Sun 1995 values'!R$2,)</f>
        <v>3.4190476190476188E-2</v>
      </c>
      <c r="FB206" s="18">
        <f>IFERROR(CZ206/'McDonough &amp; Sun 1995 values'!S$2,)</f>
        <v>9.0909090909090912E-2</v>
      </c>
      <c r="FC206" s="18">
        <f>IFERROR(BT206/'McDonough &amp; Sun 1995 values'!T$2,)</f>
        <v>2.2514522821576764E-2</v>
      </c>
      <c r="FD206" s="18">
        <f>IFERROR(DA206/'McDonough &amp; Sun 1995 values'!U$2,)</f>
        <v>8.8235294117647051E-2</v>
      </c>
      <c r="FE206" s="18">
        <f>IFERROR(DN206/'McDonough &amp; Sun 1995 values'!V$2,)</f>
        <v>0</v>
      </c>
      <c r="FF206" s="18">
        <f>IFERROR(DB206/'McDonough &amp; Sun 1995 values'!W$2,)</f>
        <v>2.5222551928783383E-2</v>
      </c>
      <c r="FG206" s="18">
        <f>IFERROR(CJ206/'McDonough &amp; Sun 1995 values'!X$2,)</f>
        <v>1.186046511627907E-2</v>
      </c>
      <c r="FH206" s="18">
        <f>IFERROR(DC206/'McDonough &amp; Sun 1995 values'!Y$2,)</f>
        <v>2.0134228187919465E-2</v>
      </c>
      <c r="FI206" s="18">
        <f>IFERROR(DD206/'McDonough &amp; Sun 1995 values'!Z$2,)</f>
        <v>2.9680365296803651E-2</v>
      </c>
      <c r="FJ206" s="18">
        <f>IFERROR(DE206/'McDonough &amp; Sun 1995 values'!AA$2,)</f>
        <v>0</v>
      </c>
      <c r="FK206" s="18">
        <f>IFERROR(DF206/'McDonough &amp; Sun 1995 values'!AB$2,)</f>
        <v>3.8548752834467126E-2</v>
      </c>
      <c r="FL206" s="18">
        <f>IFERROR(DG206/'McDonough &amp; Sun 1995 values'!AC$2,)</f>
        <v>4.4444444444444439E-2</v>
      </c>
      <c r="FN206" s="28">
        <f t="shared" si="458"/>
        <v>2.932771451564756</v>
      </c>
      <c r="FO206" s="4">
        <f t="shared" si="391"/>
        <v>1.8642857142857139</v>
      </c>
      <c r="FP206" s="4">
        <f t="shared" si="392"/>
        <v>1.9021429388221842</v>
      </c>
      <c r="FQ206" s="4">
        <f t="shared" si="393"/>
        <v>1.6467205750224616</v>
      </c>
      <c r="FR206" s="4">
        <f t="shared" si="394"/>
        <v>1.2480583613916947</v>
      </c>
      <c r="FS206" s="4">
        <f t="shared" si="395"/>
        <v>2.1443758573388201</v>
      </c>
      <c r="FT206" s="4">
        <f t="shared" si="396"/>
        <v>1.4544444444444449</v>
      </c>
      <c r="FU206" s="4">
        <f t="shared" si="397"/>
        <v>0.58201474201474213</v>
      </c>
      <c r="FV206" s="4">
        <f t="shared" si="398"/>
        <v>0.30176811594202901</v>
      </c>
      <c r="FW206" s="4">
        <f t="shared" si="399"/>
        <v>0.74430036630036622</v>
      </c>
      <c r="FX206" s="4">
        <f t="shared" si="400"/>
        <v>0.90216325730344427</v>
      </c>
      <c r="FY206" s="4">
        <f t="shared" si="401"/>
        <v>0.4608416287843845</v>
      </c>
      <c r="FZ206" s="4">
        <f t="shared" si="402"/>
        <v>0.90922265185068951</v>
      </c>
      <c r="GA206" s="4">
        <f t="shared" si="403"/>
        <v>0.37107185411594051</v>
      </c>
      <c r="GB206" s="4">
        <f t="shared" si="404"/>
        <v>0.80237154150197643</v>
      </c>
      <c r="GC206" s="4">
        <f t="shared" si="405"/>
        <v>0.68754774637127558</v>
      </c>
      <c r="GD206" s="4">
        <f t="shared" si="406"/>
        <v>1.1321202531645569</v>
      </c>
      <c r="GE206" s="4">
        <f t="shared" si="407"/>
        <v>3.6096256684491976</v>
      </c>
      <c r="GF206" s="4">
        <f t="shared" si="408"/>
        <v>5.4675239204171522</v>
      </c>
      <c r="GG206" s="4">
        <f t="shared" si="409"/>
        <v>2.1534545454545455</v>
      </c>
      <c r="GH206" s="4">
        <f t="shared" si="410"/>
        <v>3.4146302660048362</v>
      </c>
      <c r="GI206" s="4">
        <f t="shared" si="411"/>
        <v>23.018652710681696</v>
      </c>
      <c r="GJ206" s="4">
        <f t="shared" si="412"/>
        <v>103.40050835148874</v>
      </c>
      <c r="GK206" s="4">
        <f t="shared" si="413"/>
        <v>67.655228758169926</v>
      </c>
      <c r="GL206" s="4">
        <f t="shared" si="414"/>
        <v>1.5185965281800149</v>
      </c>
      <c r="GM206" s="4">
        <f t="shared" si="415"/>
        <v>3.1883765513066287</v>
      </c>
      <c r="GN206" s="4">
        <f t="shared" si="416"/>
        <v>0.80124458193197967</v>
      </c>
      <c r="GO206" s="4">
        <f t="shared" si="417"/>
        <v>0.86571862787668241</v>
      </c>
      <c r="GP206" s="4">
        <f t="shared" si="418"/>
        <v>0.34097440476190471</v>
      </c>
      <c r="GQ206" s="27">
        <f t="shared" si="419"/>
        <v>7060.403332035914</v>
      </c>
      <c r="GR206" s="28">
        <f t="shared" si="420"/>
        <v>0.64338206842832202</v>
      </c>
      <c r="GS206" s="28">
        <f t="shared" si="421"/>
        <v>26.736099288021382</v>
      </c>
      <c r="GT206" s="28">
        <f t="shared" si="422"/>
        <v>1061.5804129067315</v>
      </c>
      <c r="GU206" s="28">
        <f t="shared" si="423"/>
        <v>11.294929645741654</v>
      </c>
      <c r="GV206" s="28">
        <f t="shared" si="424"/>
        <v>1.7514289640548766</v>
      </c>
      <c r="GW206" s="28">
        <f t="shared" si="425"/>
        <v>7060.403332035914</v>
      </c>
      <c r="GX206" s="28">
        <f t="shared" si="426"/>
        <v>1.608455171070805</v>
      </c>
      <c r="GY206" s="28">
        <f t="shared" si="427"/>
        <v>49.147241338274604</v>
      </c>
      <c r="GZ206" s="28">
        <f t="shared" si="428"/>
        <v>60.406427535770234</v>
      </c>
      <c r="HA206" s="28">
        <f t="shared" si="429"/>
        <v>72.559199939416317</v>
      </c>
      <c r="HB206" s="28">
        <f t="shared" si="430"/>
        <v>6.9342289597274709</v>
      </c>
      <c r="HC206" s="28">
        <f t="shared" si="431"/>
        <v>201.59304810754088</v>
      </c>
      <c r="HD206" s="28">
        <f t="shared" si="432"/>
        <v>22.125194464285077</v>
      </c>
      <c r="HE206" s="28">
        <f t="shared" si="433"/>
        <v>1.644198619316823</v>
      </c>
      <c r="HF206" s="28">
        <f t="shared" si="434"/>
        <v>0.4646648271982326</v>
      </c>
      <c r="HG206" s="28">
        <f t="shared" si="435"/>
        <v>12.831897920320422</v>
      </c>
      <c r="HH206" s="28">
        <f t="shared" si="436"/>
        <v>0.50040827544425048</v>
      </c>
      <c r="HI206" s="28">
        <f t="shared" si="437"/>
        <v>969.71975091446541</v>
      </c>
      <c r="HJ206" s="28">
        <f t="shared" si="438"/>
        <v>1.7156855158088589</v>
      </c>
      <c r="HK206" s="28">
        <f t="shared" si="439"/>
        <v>0</v>
      </c>
      <c r="HL206" s="28">
        <f t="shared" si="440"/>
        <v>0.60763862018230419</v>
      </c>
      <c r="HM206" s="28">
        <f t="shared" si="441"/>
        <v>1.8229158605469122</v>
      </c>
      <c r="HN206" s="28">
        <f t="shared" si="442"/>
        <v>0.10723034473805368</v>
      </c>
      <c r="HO206" s="28">
        <f t="shared" si="443"/>
        <v>0.4646648271982326</v>
      </c>
      <c r="HP206" s="28">
        <f t="shared" si="444"/>
        <v>0</v>
      </c>
      <c r="HQ206" s="28">
        <f t="shared" si="445"/>
        <v>0.60763862018230419</v>
      </c>
      <c r="HR206" s="28">
        <f t="shared" si="446"/>
        <v>0.10723034473805368</v>
      </c>
      <c r="HT206" s="4">
        <f>IFERROR(GR206/'McDonough &amp; Sun 1995 values'!C$2,)</f>
        <v>30.637241353729618</v>
      </c>
      <c r="HU206" s="4">
        <f>IFERROR(GS206/'McDonough &amp; Sun 1995 values'!D$2,)</f>
        <v>44.560165480035636</v>
      </c>
      <c r="HV206" s="4">
        <f>IFERROR(GT206/'McDonough &amp; Sun 1995 values'!E$2,)</f>
        <v>160.84551710708052</v>
      </c>
      <c r="HW206" s="4">
        <f>IFERROR(GU206/'McDonough &amp; Sun 1995 values'!F$2,)</f>
        <v>142.07458673888871</v>
      </c>
      <c r="HX206" s="4">
        <f>IFERROR(GV206/'McDonough &amp; Sun 1995 values'!G$2,)</f>
        <v>86.277288869698353</v>
      </c>
      <c r="HY206" s="4">
        <f>IFERROR(GW206/'McDonough &amp; Sun 1995 values'!H$2,)</f>
        <v>29.418347216816308</v>
      </c>
      <c r="HZ206" s="4">
        <f>IFERROR(GX206/'McDonough &amp; Sun 1995 values'!I$2,)</f>
        <v>43.47176138029203</v>
      </c>
      <c r="IA206" s="4">
        <f>IFERROR(GY206/'McDonough &amp; Sun 1995 values'!J$2,)</f>
        <v>74.691856137195444</v>
      </c>
      <c r="IB206" s="4">
        <f>IFERROR(GZ206/'McDonough &amp; Sun 1995 values'!K$2,)</f>
        <v>93.219795579892335</v>
      </c>
      <c r="IC206" s="4">
        <f>IFERROR(HA206/'McDonough &amp; Sun 1995 values'!L$2,)</f>
        <v>43.318925336964966</v>
      </c>
      <c r="ID206" s="4">
        <f>IFERROR(HB206/'McDonough &amp; Sun 1995 values'!M$2,)</f>
        <v>27.300114014675081</v>
      </c>
      <c r="IE206" s="4">
        <f>IFERROR(HC206/'McDonough &amp; Sun 1995 values'!N$2,)</f>
        <v>10.130303925002055</v>
      </c>
      <c r="IF206" s="4">
        <f>IFERROR(HD206/'McDonough &amp; Sun 1995 values'!O$2,)</f>
        <v>17.700155571428063</v>
      </c>
      <c r="IG206" s="4">
        <f>IFERROR(HE206/'McDonough &amp; Sun 1995 values'!P$2,)</f>
        <v>4.0497502938838004</v>
      </c>
      <c r="IH206" s="4">
        <f>IFERROR(HF206/'McDonough &amp; Sun 1995 values'!Q$2,)</f>
        <v>1.6419251844460518</v>
      </c>
      <c r="II206" s="4">
        <f>IFERROR(HG206/'McDonough &amp; Sun 1995 values'!R$2,)</f>
        <v>1.2220855162209925</v>
      </c>
      <c r="IJ206" s="4">
        <f>IFERROR(HH206/'McDonough &amp; Sun 1995 values'!S$2,)</f>
        <v>3.2494043860016264</v>
      </c>
      <c r="IK206" s="4">
        <f>IFERROR(HI206/'McDonough &amp; Sun 1995 values'!T$2,)</f>
        <v>0.80474668125681781</v>
      </c>
      <c r="IL206" s="4">
        <f>IFERROR(HJ206/'McDonough &amp; Sun 1995 values'!U$2,)</f>
        <v>3.1538336687662842</v>
      </c>
      <c r="IM206" s="4">
        <f>IFERROR(HK206/'McDonough &amp; Sun 1995 values'!V$2,)</f>
        <v>0</v>
      </c>
      <c r="IN206" s="4">
        <f>IFERROR(HL206/'McDonough &amp; Sun 1995 values'!W$2,)</f>
        <v>0.90154097949896761</v>
      </c>
      <c r="IO206" s="4">
        <f>IFERROR(HM206/'McDonough &amp; Sun 1995 values'!X$2,)</f>
        <v>0.42393392105742145</v>
      </c>
      <c r="IP206" s="4">
        <f>IFERROR(HN206/'McDonough &amp; Sun 1995 values'!Y$2,)</f>
        <v>0.71966674320841395</v>
      </c>
      <c r="IQ206" s="4">
        <f>IFERROR(HO206/'McDonough &amp; Sun 1995 values'!Z$2,)</f>
        <v>1.0608786009092068</v>
      </c>
      <c r="IR206" s="4">
        <f>IFERROR(HP206/'McDonough &amp; Sun 1995 values'!AA$2,)</f>
        <v>0</v>
      </c>
      <c r="IS206" s="4">
        <f>IFERROR(HQ206/'McDonough &amp; Sun 1995 values'!AB$2,)</f>
        <v>1.3778653518873112</v>
      </c>
      <c r="IT206" s="4">
        <f>IFERROR(HR206/'McDonough &amp; Sun 1995 values'!AC$2,)</f>
        <v>1.5885976998230174</v>
      </c>
    </row>
    <row r="207" spans="1:254">
      <c r="A207" s="16" t="s">
        <v>641</v>
      </c>
      <c r="B207" s="16" t="s">
        <v>24</v>
      </c>
      <c r="C207" s="16" t="str">
        <f t="shared" si="461"/>
        <v>silicic</v>
      </c>
      <c r="D207" s="16" t="s">
        <v>110</v>
      </c>
      <c r="E207" s="16" t="s">
        <v>237</v>
      </c>
      <c r="F207" s="16" t="s">
        <v>639</v>
      </c>
      <c r="G207" s="16" t="s">
        <v>640</v>
      </c>
      <c r="H207" s="27">
        <v>0</v>
      </c>
      <c r="I207" s="16" t="s">
        <v>712</v>
      </c>
      <c r="J207" s="16" t="s">
        <v>635</v>
      </c>
      <c r="K207" s="16" t="s">
        <v>642</v>
      </c>
      <c r="L207" s="16">
        <v>0</v>
      </c>
      <c r="M207" s="16" t="s">
        <v>605</v>
      </c>
      <c r="N207" s="16" t="s">
        <v>1084</v>
      </c>
      <c r="O207" s="26">
        <v>50.2</v>
      </c>
      <c r="P207" s="26">
        <v>1.1000000000000001</v>
      </c>
      <c r="Q207" s="26">
        <v>1.54</v>
      </c>
      <c r="R207" s="26">
        <v>7.85</v>
      </c>
      <c r="S207" s="26">
        <v>3.87</v>
      </c>
      <c r="T207" s="26">
        <v>18.100000000000001</v>
      </c>
      <c r="U207" s="26"/>
      <c r="V207" s="26">
        <v>9.82</v>
      </c>
      <c r="W207" s="26">
        <v>1.3</v>
      </c>
      <c r="X207" s="26">
        <v>6.16</v>
      </c>
      <c r="Y207" s="26"/>
      <c r="Z207" s="26"/>
      <c r="AA207" s="26"/>
      <c r="AB207" s="26"/>
      <c r="AC207" s="26"/>
      <c r="AD207" s="26">
        <v>0.03</v>
      </c>
      <c r="AE207" s="26"/>
      <c r="AF207" s="26"/>
      <c r="AG207" s="26"/>
      <c r="AH207" s="26"/>
      <c r="AI207" s="26"/>
      <c r="AJ207" s="26">
        <f t="shared" si="462"/>
        <v>98.429999999999993</v>
      </c>
      <c r="AK207" s="26">
        <f t="shared" si="447"/>
        <v>51.004219278677191</v>
      </c>
      <c r="AL207" s="26">
        <f t="shared" si="448"/>
        <v>1.1176223347917311</v>
      </c>
      <c r="AM207" s="26">
        <f t="shared" si="449"/>
        <v>7.9757593891955345</v>
      </c>
      <c r="AN207" s="26">
        <f t="shared" si="450"/>
        <v>3.931998577858181</v>
      </c>
      <c r="AO207" s="26">
        <f t="shared" si="451"/>
        <v>18.389967508845757</v>
      </c>
      <c r="AP207" s="26">
        <f t="shared" si="452"/>
        <v>9.9773193887770901</v>
      </c>
      <c r="AQ207" s="26">
        <f t="shared" si="453"/>
        <v>0</v>
      </c>
      <c r="AR207" s="26">
        <f t="shared" si="454"/>
        <v>1.3208263956629549</v>
      </c>
      <c r="AS207" s="26">
        <f t="shared" si="455"/>
        <v>6.2586850748336937</v>
      </c>
      <c r="AT207" s="26">
        <f t="shared" si="456"/>
        <v>0</v>
      </c>
      <c r="AU207" s="26">
        <f t="shared" si="457"/>
        <v>3.048060913068357E-2</v>
      </c>
      <c r="AV207" s="26">
        <f t="shared" si="463"/>
        <v>100.00687855777281</v>
      </c>
      <c r="AW207" s="16"/>
      <c r="AX207" s="16"/>
      <c r="AY207" s="16"/>
      <c r="AZ207" s="16"/>
      <c r="BA207" s="26"/>
      <c r="BB207" s="26">
        <v>0.17</v>
      </c>
      <c r="BC207" s="26">
        <f t="shared" si="464"/>
        <v>0.17000000000000004</v>
      </c>
      <c r="BD207" s="26">
        <f t="shared" si="465"/>
        <v>0.83</v>
      </c>
      <c r="BE207" s="25">
        <v>-2.35</v>
      </c>
      <c r="BF207" s="16"/>
      <c r="BG207" s="16" t="s">
        <v>608</v>
      </c>
      <c r="BH207" s="16" t="s">
        <v>607</v>
      </c>
      <c r="BI207" s="16">
        <v>0</v>
      </c>
      <c r="BJ207" s="16"/>
      <c r="BK207" s="18"/>
      <c r="BL207" s="18"/>
      <c r="BM207" s="18"/>
      <c r="BN207" s="18">
        <v>44.09</v>
      </c>
      <c r="BO207" s="18">
        <v>1120.5899999999999</v>
      </c>
      <c r="BP207" s="18">
        <v>391.07</v>
      </c>
      <c r="BQ207" s="18">
        <v>52.66</v>
      </c>
      <c r="BR207" s="18">
        <v>629.12</v>
      </c>
      <c r="BS207" s="18">
        <v>136.11000000000001</v>
      </c>
      <c r="BT207" s="18">
        <v>2.82</v>
      </c>
      <c r="BU207" s="18">
        <v>24.19</v>
      </c>
      <c r="BV207" s="18">
        <v>4.55</v>
      </c>
      <c r="BW207" s="18">
        <v>133.28</v>
      </c>
      <c r="BX207" s="18">
        <v>4.51</v>
      </c>
      <c r="BY207" s="18">
        <v>0.73299999999999998</v>
      </c>
      <c r="BZ207" s="18">
        <v>2.82</v>
      </c>
      <c r="CA207" s="18">
        <v>0.40400000000000003</v>
      </c>
      <c r="CB207" s="18">
        <v>6.9000000000000006E-2</v>
      </c>
      <c r="CC207" s="18">
        <v>0</v>
      </c>
      <c r="CD207" s="18">
        <v>0</v>
      </c>
      <c r="CE207" s="18">
        <v>0</v>
      </c>
      <c r="CF207" s="18"/>
      <c r="CG207" s="18">
        <v>0</v>
      </c>
      <c r="CH207" s="18">
        <v>3.17</v>
      </c>
      <c r="CI207" s="18">
        <v>8.84</v>
      </c>
      <c r="CJ207" s="18">
        <v>1.0999999999999999E-2</v>
      </c>
      <c r="CK207" s="18">
        <v>0.03</v>
      </c>
      <c r="CL207" s="18"/>
      <c r="CM207" s="18">
        <v>4.74</v>
      </c>
      <c r="CN207" s="18"/>
      <c r="CO207" s="18"/>
      <c r="CP207" s="18"/>
      <c r="CQ207" s="18"/>
      <c r="CR207" s="18">
        <v>3.4000000000000002E-2</v>
      </c>
      <c r="CS207" s="18">
        <v>123.11</v>
      </c>
      <c r="CT207" s="18">
        <v>0.215</v>
      </c>
      <c r="CU207" s="18">
        <v>10.29</v>
      </c>
      <c r="CV207" s="18">
        <v>7.3</v>
      </c>
      <c r="CW207" s="18">
        <v>0.47599999999999998</v>
      </c>
      <c r="CX207" s="18">
        <v>1.0229999999999999</v>
      </c>
      <c r="CY207" s="18">
        <v>1.9E-2</v>
      </c>
      <c r="CZ207" s="18">
        <v>0.01</v>
      </c>
      <c r="DA207" s="18">
        <v>2.1999999999999999E-2</v>
      </c>
      <c r="DB207" s="18">
        <v>7.0000000000000001E-3</v>
      </c>
      <c r="DC207" s="18">
        <v>2E-3</v>
      </c>
      <c r="DD207" s="18">
        <v>8.0000000000000002E-3</v>
      </c>
      <c r="DE207" s="18"/>
      <c r="DF207" s="18">
        <v>8.9999999999999993E-3</v>
      </c>
      <c r="DG207" s="18">
        <v>2E-3</v>
      </c>
      <c r="DH207" s="18">
        <v>8.0000000000000002E-3</v>
      </c>
      <c r="DI207" s="18">
        <v>0.13200000000000001</v>
      </c>
      <c r="DJ207" s="18">
        <v>0.95899999999999996</v>
      </c>
      <c r="DK207" s="18">
        <v>0.44500000000000001</v>
      </c>
      <c r="DL207" s="18">
        <v>9.09</v>
      </c>
      <c r="DM207" s="18">
        <v>0.63900000000000001</v>
      </c>
      <c r="DN207" s="18"/>
      <c r="DO207" s="18"/>
      <c r="DP207" s="18"/>
      <c r="DQ207" s="18"/>
      <c r="DR207" s="18"/>
      <c r="DS207" s="18"/>
      <c r="DT207" s="18"/>
      <c r="DU207" s="18"/>
      <c r="DV207" s="28"/>
      <c r="DW207" s="28"/>
      <c r="DX207" s="28"/>
      <c r="DY207" s="28"/>
      <c r="DZ207" s="28"/>
      <c r="EA207" s="28"/>
      <c r="EB207" s="28"/>
      <c r="EC207" s="28"/>
      <c r="ED207" s="28"/>
      <c r="EE207" s="28"/>
      <c r="EF207" s="28"/>
      <c r="EG207" s="28"/>
      <c r="EH207" s="28"/>
      <c r="EI207" s="28"/>
      <c r="EJ207" s="18"/>
      <c r="EK207" s="18"/>
      <c r="EL207" s="18">
        <f>IFERROR(CR207/'McDonough &amp; Sun 1995 values'!C$2,)</f>
        <v>1.6190476190476191</v>
      </c>
      <c r="EM207" s="18">
        <f>IFERROR(CH207/'McDonough &amp; Sun 1995 values'!D$2,)</f>
        <v>5.2833333333333332</v>
      </c>
      <c r="EN207" s="18">
        <f>IFERROR(CS207/'McDonough &amp; Sun 1995 values'!E$2,)</f>
        <v>18.653030303030302</v>
      </c>
      <c r="EO207" s="18">
        <f>IFERROR(DL207/'McDonough &amp; Sun 1995 values'!F$2,)</f>
        <v>114.33962264150944</v>
      </c>
      <c r="EP207" s="18">
        <f>IFERROR(DM207/'McDonough &amp; Sun 1995 values'!G$2,)</f>
        <v>31.477832512315274</v>
      </c>
      <c r="EQ207" s="18">
        <f>IFERROR(BR207/'McDonough &amp; Sun 1995 values'!H$2,)</f>
        <v>2.6213333333333333</v>
      </c>
      <c r="ER207" s="18">
        <f>IFERROR(DI207/'McDonough &amp; Sun 1995 values'!I$2,)</f>
        <v>3.567567567567568</v>
      </c>
      <c r="ES207" s="18">
        <f>IFERROR(CM207/'McDonough &amp; Sun 1995 values'!J$2,)</f>
        <v>7.2036474164133741</v>
      </c>
      <c r="ET207" s="18">
        <f>IFERROR(CU207/'McDonough &amp; Sun 1995 values'!K$2,)</f>
        <v>15.879629629629628</v>
      </c>
      <c r="EU207" s="18">
        <f>IFERROR(CV207/'McDonough &amp; Sun 1995 values'!L$2,)</f>
        <v>4.3582089552238807</v>
      </c>
      <c r="EV207" s="18">
        <f>IFERROR(CW207/'McDonough &amp; Sun 1995 values'!M$2,)</f>
        <v>1.8740157480314958</v>
      </c>
      <c r="EW207" s="18">
        <f>IFERROR(CI207/'McDonough &amp; Sun 1995 values'!N$2,)</f>
        <v>0.44422110552763822</v>
      </c>
      <c r="EX207" s="18">
        <f>IFERROR(CX207/'McDonough &amp; Sun 1995 values'!O$2,)</f>
        <v>0.81839999999999991</v>
      </c>
      <c r="EY207" s="18">
        <f>IFERROR(CY207/'McDonough &amp; Sun 1995 values'!P$2,)</f>
        <v>4.6798029556650245E-2</v>
      </c>
      <c r="EZ207" s="18">
        <f>IFERROR(DH207/'McDonough &amp; Sun 1995 values'!Q$2,)</f>
        <v>2.826855123674912E-2</v>
      </c>
      <c r="FA207" s="18">
        <f>IFERROR(CK207/'McDonough &amp; Sun 1995 values'!R$2,)</f>
        <v>2.8571428571428571E-3</v>
      </c>
      <c r="FB207" s="18">
        <f>IFERROR(CZ207/'McDonough &amp; Sun 1995 values'!S$2,)</f>
        <v>6.4935064935064943E-2</v>
      </c>
      <c r="FC207" s="18">
        <f>IFERROR(BT207/'McDonough &amp; Sun 1995 values'!T$2,)</f>
        <v>2.3402489626556016E-3</v>
      </c>
      <c r="FD207" s="18">
        <f>IFERROR(DA207/'McDonough &amp; Sun 1995 values'!U$2,)</f>
        <v>4.044117647058823E-2</v>
      </c>
      <c r="FE207" s="18">
        <f>IFERROR(DN207/'McDonough &amp; Sun 1995 values'!V$2,)</f>
        <v>0</v>
      </c>
      <c r="FF207" s="18">
        <f>IFERROR(DB207/'McDonough &amp; Sun 1995 values'!W$2,)</f>
        <v>1.0385756676557863E-2</v>
      </c>
      <c r="FG207" s="18">
        <f>IFERROR(CJ207/'McDonough &amp; Sun 1995 values'!X$2,)</f>
        <v>2.5581395348837207E-3</v>
      </c>
      <c r="FH207" s="18">
        <f>IFERROR(DC207/'McDonough &amp; Sun 1995 values'!Y$2,)</f>
        <v>1.342281879194631E-2</v>
      </c>
      <c r="FI207" s="18">
        <f>IFERROR(DD207/'McDonough &amp; Sun 1995 values'!Z$2,)</f>
        <v>1.8264840182648401E-2</v>
      </c>
      <c r="FJ207" s="18">
        <f>IFERROR(DE207/'McDonough &amp; Sun 1995 values'!AA$2,)</f>
        <v>0</v>
      </c>
      <c r="FK207" s="18">
        <f>IFERROR(DF207/'McDonough &amp; Sun 1995 values'!AB$2,)</f>
        <v>2.0408163265306121E-2</v>
      </c>
      <c r="FL207" s="18">
        <f>IFERROR(DG207/'McDonough &amp; Sun 1995 values'!AC$2,)</f>
        <v>2.9629629629629627E-2</v>
      </c>
      <c r="FN207" s="28">
        <f t="shared" si="458"/>
        <v>12.008328781402064</v>
      </c>
      <c r="FO207" s="4">
        <f t="shared" si="391"/>
        <v>0.59257670602741019</v>
      </c>
      <c r="FP207" s="4">
        <f t="shared" si="392"/>
        <v>15.872462383568188</v>
      </c>
      <c r="FQ207" s="4">
        <f t="shared" si="393"/>
        <v>3.6323855080166529</v>
      </c>
      <c r="FR207" s="4">
        <f t="shared" si="394"/>
        <v>2.2043874042819187</v>
      </c>
      <c r="FS207" s="4">
        <f t="shared" si="395"/>
        <v>4.4511083052749711</v>
      </c>
      <c r="FT207" s="4">
        <f t="shared" si="396"/>
        <v>3.263235294117647</v>
      </c>
      <c r="FU207" s="4">
        <f t="shared" si="397"/>
        <v>0.49524461170030792</v>
      </c>
      <c r="FV207" s="4">
        <f t="shared" si="398"/>
        <v>6.1052631578947372E-2</v>
      </c>
      <c r="FW207" s="4">
        <f t="shared" si="399"/>
        <v>0.10107142857142856</v>
      </c>
      <c r="FX207" s="4">
        <f t="shared" si="400"/>
        <v>1.4886670315360375</v>
      </c>
      <c r="FY207" s="4">
        <f t="shared" si="401"/>
        <v>0.35869866489558971</v>
      </c>
      <c r="FZ207" s="4">
        <f t="shared" si="402"/>
        <v>1.4926349449090952</v>
      </c>
      <c r="GA207" s="4">
        <f t="shared" si="403"/>
        <v>0.23704235463029438</v>
      </c>
      <c r="GB207" s="4">
        <f t="shared" si="404"/>
        <v>1.3875598086124403</v>
      </c>
      <c r="GC207" s="4">
        <f t="shared" si="405"/>
        <v>0.3064443442992339</v>
      </c>
      <c r="GD207" s="4">
        <f t="shared" si="406"/>
        <v>0.16313706370637063</v>
      </c>
      <c r="GE207" s="4">
        <f t="shared" si="407"/>
        <v>3.5305420131918552</v>
      </c>
      <c r="GF207" s="4">
        <f t="shared" si="408"/>
        <v>7.1158559141773789</v>
      </c>
      <c r="GG207" s="4">
        <f t="shared" si="409"/>
        <v>2.5893869070451347</v>
      </c>
      <c r="GH207" s="4">
        <f t="shared" si="410"/>
        <v>8.4735838779956421</v>
      </c>
      <c r="GI207" s="4">
        <f t="shared" si="411"/>
        <v>339.32261208576995</v>
      </c>
      <c r="GJ207" s="4">
        <f t="shared" si="412"/>
        <v>1528.9814814814813</v>
      </c>
      <c r="GK207" s="4">
        <f t="shared" si="413"/>
        <v>778.10185185185185</v>
      </c>
      <c r="GL207" s="4">
        <f t="shared" si="414"/>
        <v>1.2208713272543059</v>
      </c>
      <c r="GM207" s="4">
        <f t="shared" si="415"/>
        <v>21.641568954228916</v>
      </c>
      <c r="GN207" s="4">
        <f t="shared" si="416"/>
        <v>0.45364077024643995</v>
      </c>
      <c r="GO207" s="4">
        <f t="shared" si="417"/>
        <v>0.22884826690640295</v>
      </c>
      <c r="GP207" s="4">
        <f t="shared" si="418"/>
        <v>8.3275534689619193E-2</v>
      </c>
      <c r="GQ207" s="27">
        <f t="shared" si="419"/>
        <v>51955.679590523934</v>
      </c>
      <c r="GR207" s="28">
        <f t="shared" si="420"/>
        <v>2.807879428531622</v>
      </c>
      <c r="GS207" s="28">
        <f t="shared" si="421"/>
        <v>261.79346436603646</v>
      </c>
      <c r="GT207" s="28">
        <f t="shared" si="422"/>
        <v>10167.001071956704</v>
      </c>
      <c r="GU207" s="28">
        <f t="shared" si="423"/>
        <v>750.69482368683646</v>
      </c>
      <c r="GV207" s="28">
        <f t="shared" si="424"/>
        <v>52.771616318579596</v>
      </c>
      <c r="GW207" s="28">
        <f t="shared" si="425"/>
        <v>51955.679590523934</v>
      </c>
      <c r="GX207" s="28">
        <f t="shared" si="426"/>
        <v>10.901178957828648</v>
      </c>
      <c r="GY207" s="28">
        <f t="shared" si="427"/>
        <v>391.4514262129378</v>
      </c>
      <c r="GZ207" s="28">
        <f t="shared" si="428"/>
        <v>849.79645057618768</v>
      </c>
      <c r="HA207" s="28">
        <f t="shared" si="429"/>
        <v>602.86823024355397</v>
      </c>
      <c r="HB207" s="28">
        <f t="shared" si="430"/>
        <v>39.310311999442703</v>
      </c>
      <c r="HC207" s="28">
        <f t="shared" si="431"/>
        <v>730.04865141822154</v>
      </c>
      <c r="HD207" s="28">
        <f t="shared" si="432"/>
        <v>84.484136923172017</v>
      </c>
      <c r="HE207" s="28">
        <f t="shared" si="433"/>
        <v>1.5691090924147297</v>
      </c>
      <c r="HF207" s="28">
        <f t="shared" si="434"/>
        <v>0.66067751259567564</v>
      </c>
      <c r="HG207" s="28">
        <f t="shared" si="435"/>
        <v>2.4775406722337836</v>
      </c>
      <c r="HH207" s="28">
        <f t="shared" si="436"/>
        <v>0.82584689074459461</v>
      </c>
      <c r="HI207" s="28">
        <f t="shared" si="437"/>
        <v>232.88882318997565</v>
      </c>
      <c r="HJ207" s="28">
        <f t="shared" si="438"/>
        <v>1.816863159638108</v>
      </c>
      <c r="HK207" s="28">
        <f t="shared" si="439"/>
        <v>0</v>
      </c>
      <c r="HL207" s="28">
        <f t="shared" si="440"/>
        <v>0.57809282352121616</v>
      </c>
      <c r="HM207" s="28">
        <f t="shared" si="441"/>
        <v>0.90843157981905398</v>
      </c>
      <c r="HN207" s="28">
        <f t="shared" si="442"/>
        <v>0.16516937814891891</v>
      </c>
      <c r="HO207" s="28">
        <f t="shared" si="443"/>
        <v>0.66067751259567564</v>
      </c>
      <c r="HP207" s="28">
        <f t="shared" si="444"/>
        <v>0</v>
      </c>
      <c r="HQ207" s="28">
        <f t="shared" si="445"/>
        <v>0.74326220167013513</v>
      </c>
      <c r="HR207" s="28">
        <f t="shared" si="446"/>
        <v>0.16516937814891891</v>
      </c>
      <c r="HT207" s="4">
        <f>IFERROR(GR207/'McDonough &amp; Sun 1995 values'!C$2,)</f>
        <v>133.70854421579151</v>
      </c>
      <c r="HU207" s="4">
        <f>IFERROR(GS207/'McDonough &amp; Sun 1995 values'!D$2,)</f>
        <v>436.32244061006077</v>
      </c>
      <c r="HV207" s="4">
        <f>IFERROR(GT207/'McDonough &amp; Sun 1995 values'!E$2,)</f>
        <v>1540.4547078722278</v>
      </c>
      <c r="HW207" s="4">
        <f>IFERROR(GU207/'McDonough &amp; Sun 1995 values'!F$2,)</f>
        <v>9442.7021847400811</v>
      </c>
      <c r="HX207" s="4">
        <f>IFERROR(GV207/'McDonough &amp; Sun 1995 values'!G$2,)</f>
        <v>2599.5870107674682</v>
      </c>
      <c r="HY207" s="4">
        <f>IFERROR(GW207/'McDonough &amp; Sun 1995 values'!H$2,)</f>
        <v>216.48199829384973</v>
      </c>
      <c r="HZ207" s="4">
        <f>IFERROR(GX207/'McDonough &amp; Sun 1995 values'!I$2,)</f>
        <v>294.6264583196932</v>
      </c>
      <c r="IA207" s="4">
        <f>IFERROR(GY207/'McDonough &amp; Sun 1995 values'!J$2,)</f>
        <v>594.91098208653159</v>
      </c>
      <c r="IB207" s="4">
        <f>IFERROR(GZ207/'McDonough &amp; Sun 1995 values'!K$2,)</f>
        <v>1311.4142755805365</v>
      </c>
      <c r="IC207" s="4">
        <f>IFERROR(HA207/'McDonough &amp; Sun 1995 values'!L$2,)</f>
        <v>359.92133148868891</v>
      </c>
      <c r="ID207" s="4">
        <f>IFERROR(HB207/'McDonough &amp; Sun 1995 values'!M$2,)</f>
        <v>154.76500787182167</v>
      </c>
      <c r="IE207" s="4">
        <f>IFERROR(HC207/'McDonough &amp; Sun 1995 values'!N$2,)</f>
        <v>36.685861880312643</v>
      </c>
      <c r="IF207" s="4">
        <f>IFERROR(HD207/'McDonough &amp; Sun 1995 values'!O$2,)</f>
        <v>67.58730953853761</v>
      </c>
      <c r="IG207" s="4">
        <f>IFERROR(HE207/'McDonough &amp; Sun 1995 values'!P$2,)</f>
        <v>3.8648007202333243</v>
      </c>
      <c r="IH207" s="4">
        <f>IFERROR(HF207/'McDonough &amp; Sun 1995 values'!Q$2,)</f>
        <v>2.3345495144723523</v>
      </c>
      <c r="II207" s="4">
        <f>IFERROR(HG207/'McDonough &amp; Sun 1995 values'!R$2,)</f>
        <v>0.23595625449845559</v>
      </c>
      <c r="IJ207" s="4">
        <f>IFERROR(HH207/'McDonough &amp; Sun 1995 values'!S$2,)</f>
        <v>5.3626421476921733</v>
      </c>
      <c r="IK207" s="4">
        <f>IFERROR(HI207/'McDonough &amp; Sun 1995 values'!T$2,)</f>
        <v>0.19326873293773913</v>
      </c>
      <c r="IL207" s="4">
        <f>IFERROR(HJ207/'McDonough &amp; Sun 1995 values'!U$2,)</f>
        <v>3.3398219846288746</v>
      </c>
      <c r="IM207" s="4">
        <f>IFERROR(HK207/'McDonough &amp; Sun 1995 values'!V$2,)</f>
        <v>0</v>
      </c>
      <c r="IN207" s="4">
        <f>IFERROR(HL207/'McDonough &amp; Sun 1995 values'!W$2,)</f>
        <v>0.85770448593652249</v>
      </c>
      <c r="IO207" s="4">
        <f>IFERROR(HM207/'McDonough &amp; Sun 1995 values'!X$2,)</f>
        <v>0.21126315809745441</v>
      </c>
      <c r="IP207" s="4">
        <f>IFERROR(HN207/'McDonough &amp; Sun 1995 values'!Y$2,)</f>
        <v>1.1085193164356975</v>
      </c>
      <c r="IQ207" s="4">
        <f>IFERROR(HO207/'McDonough &amp; Sun 1995 values'!Z$2,)</f>
        <v>1.5083961474787115</v>
      </c>
      <c r="IR207" s="4">
        <f>IFERROR(HP207/'McDonough &amp; Sun 1995 values'!AA$2,)</f>
        <v>0</v>
      </c>
      <c r="IS207" s="4">
        <f>IFERROR(HQ207/'McDonough &amp; Sun 1995 values'!AB$2,)</f>
        <v>1.6854018178461114</v>
      </c>
      <c r="IT207" s="4">
        <f>IFERROR(HR207/'McDonough &amp; Sun 1995 values'!AC$2,)</f>
        <v>2.4469537503543539</v>
      </c>
    </row>
    <row r="208" spans="1:254">
      <c r="A208" s="16" t="s">
        <v>641</v>
      </c>
      <c r="B208" s="16" t="s">
        <v>24</v>
      </c>
      <c r="C208" s="16" t="str">
        <f t="shared" si="461"/>
        <v>silicic</v>
      </c>
      <c r="D208" s="16" t="s">
        <v>110</v>
      </c>
      <c r="E208" s="16" t="s">
        <v>237</v>
      </c>
      <c r="F208" s="16" t="s">
        <v>639</v>
      </c>
      <c r="G208" s="16" t="s">
        <v>640</v>
      </c>
      <c r="H208" s="27">
        <v>0</v>
      </c>
      <c r="I208" s="16" t="s">
        <v>712</v>
      </c>
      <c r="J208" s="16" t="s">
        <v>635</v>
      </c>
      <c r="K208" s="16" t="s">
        <v>642</v>
      </c>
      <c r="L208" s="16">
        <v>0</v>
      </c>
      <c r="M208" s="16" t="s">
        <v>632</v>
      </c>
      <c r="N208" s="16" t="s">
        <v>1084</v>
      </c>
      <c r="O208" s="26">
        <v>64.7</v>
      </c>
      <c r="P208" s="26">
        <v>3.03</v>
      </c>
      <c r="Q208" s="26"/>
      <c r="R208" s="26">
        <v>9.5500000000000007</v>
      </c>
      <c r="S208" s="26">
        <v>3.01</v>
      </c>
      <c r="T208" s="26">
        <v>2.4500000000000002</v>
      </c>
      <c r="U208" s="26"/>
      <c r="V208" s="26">
        <v>5.67</v>
      </c>
      <c r="W208" s="26">
        <v>2.62</v>
      </c>
      <c r="X208" s="26">
        <v>7.56</v>
      </c>
      <c r="Y208" s="26"/>
      <c r="Z208" s="26">
        <v>1.34</v>
      </c>
      <c r="AA208" s="26"/>
      <c r="AB208" s="26"/>
      <c r="AC208" s="26"/>
      <c r="AD208" s="26">
        <v>0.08</v>
      </c>
      <c r="AE208" s="26"/>
      <c r="AF208" s="26"/>
      <c r="AG208" s="26"/>
      <c r="AH208" s="26"/>
      <c r="AI208" s="26"/>
      <c r="AJ208" s="26">
        <f t="shared" si="462"/>
        <v>100.01000000000002</v>
      </c>
      <c r="AK208" s="26">
        <f t="shared" si="447"/>
        <v>64.705211096690576</v>
      </c>
      <c r="AL208" s="26">
        <f t="shared" si="448"/>
        <v>3.030244043631722</v>
      </c>
      <c r="AM208" s="26">
        <f t="shared" si="449"/>
        <v>9.5507691804234138</v>
      </c>
      <c r="AN208" s="26">
        <f t="shared" si="450"/>
        <v>3.0102424327826673</v>
      </c>
      <c r="AO208" s="26">
        <f t="shared" si="451"/>
        <v>2.4501973290091481</v>
      </c>
      <c r="AP208" s="26">
        <f t="shared" si="452"/>
        <v>5.6704566757068857</v>
      </c>
      <c r="AQ208" s="26">
        <f t="shared" si="453"/>
        <v>0</v>
      </c>
      <c r="AR208" s="26">
        <f t="shared" si="454"/>
        <v>2.6202110212261096</v>
      </c>
      <c r="AS208" s="26">
        <f t="shared" si="455"/>
        <v>7.5606089009425146</v>
      </c>
      <c r="AT208" s="26">
        <f t="shared" si="456"/>
        <v>1.340107926886636</v>
      </c>
      <c r="AU208" s="26">
        <f t="shared" si="457"/>
        <v>8.0006443396217083E-2</v>
      </c>
      <c r="AV208" s="26">
        <f t="shared" si="463"/>
        <v>100.01805505069588</v>
      </c>
      <c r="AW208" s="16"/>
      <c r="AX208" s="16"/>
      <c r="AY208" s="16"/>
      <c r="AZ208" s="16"/>
      <c r="BA208" s="26"/>
      <c r="BB208" s="26">
        <v>0.44</v>
      </c>
      <c r="BC208" s="26">
        <f t="shared" si="464"/>
        <v>0.43999999999999995</v>
      </c>
      <c r="BD208" s="26">
        <f t="shared" si="465"/>
        <v>0.56000000000000005</v>
      </c>
      <c r="BE208" s="25">
        <v>-5.2888888888888896</v>
      </c>
      <c r="BF208" s="16"/>
      <c r="BG208" s="16" t="s">
        <v>1500</v>
      </c>
      <c r="BH208" s="16" t="s">
        <v>615</v>
      </c>
      <c r="BI208" s="16">
        <v>0.1</v>
      </c>
      <c r="BJ208" s="16"/>
      <c r="BK208" s="18"/>
      <c r="BL208" s="18"/>
      <c r="BM208" s="18"/>
      <c r="BN208" s="18">
        <v>37.409999999999997</v>
      </c>
      <c r="BO208" s="18">
        <v>20.84</v>
      </c>
      <c r="BP208" s="18">
        <v>47.95</v>
      </c>
      <c r="BQ208" s="18">
        <v>7.19</v>
      </c>
      <c r="BR208" s="18">
        <v>67.900000000000006</v>
      </c>
      <c r="BS208" s="18">
        <v>56.32</v>
      </c>
      <c r="BT208" s="18">
        <v>15.56</v>
      </c>
      <c r="BU208" s="18">
        <v>1.58</v>
      </c>
      <c r="BV208" s="18">
        <v>1.03</v>
      </c>
      <c r="BW208" s="18">
        <v>38.630000000000003</v>
      </c>
      <c r="BX208" s="18">
        <v>0.03</v>
      </c>
      <c r="BY208" s="18">
        <v>5.3999999999999999E-2</v>
      </c>
      <c r="BZ208" s="18">
        <v>1.18</v>
      </c>
      <c r="CA208" s="18">
        <v>1.2E-2</v>
      </c>
      <c r="CB208" s="18">
        <v>2.1999999999999999E-2</v>
      </c>
      <c r="CC208" s="18">
        <v>0</v>
      </c>
      <c r="CD208" s="18">
        <v>0</v>
      </c>
      <c r="CE208" s="18">
        <v>0</v>
      </c>
      <c r="CF208" s="18"/>
      <c r="CG208" s="18">
        <v>0</v>
      </c>
      <c r="CH208" s="18">
        <v>0.152</v>
      </c>
      <c r="CI208" s="18">
        <v>0.83399999999999996</v>
      </c>
      <c r="CJ208" s="18">
        <v>0.02</v>
      </c>
      <c r="CK208" s="18">
        <v>0.28799999999999998</v>
      </c>
      <c r="CL208" s="18"/>
      <c r="CM208" s="18">
        <v>0.91900000000000004</v>
      </c>
      <c r="CN208" s="18"/>
      <c r="CO208" s="18"/>
      <c r="CP208" s="18"/>
      <c r="CQ208" s="18"/>
      <c r="CR208" s="18">
        <v>4.0000000000000001E-3</v>
      </c>
      <c r="CS208" s="18">
        <v>5.87</v>
      </c>
      <c r="CT208" s="18">
        <v>9.4E-2</v>
      </c>
      <c r="CU208" s="18">
        <v>0.26400000000000001</v>
      </c>
      <c r="CV208" s="18">
        <v>0.28399999999999997</v>
      </c>
      <c r="CW208" s="18">
        <v>0.02</v>
      </c>
      <c r="CX208" s="18">
        <v>0.06</v>
      </c>
      <c r="CY208" s="18">
        <v>2.1000000000000001E-2</v>
      </c>
      <c r="CZ208" s="18">
        <v>6.0000000000000001E-3</v>
      </c>
      <c r="DA208" s="18">
        <v>1.7999999999999999E-2</v>
      </c>
      <c r="DB208" s="18">
        <v>1.0999999999999999E-2</v>
      </c>
      <c r="DC208" s="18">
        <v>5.0000000000000001E-3</v>
      </c>
      <c r="DD208" s="18">
        <v>1.2999999999999999E-2</v>
      </c>
      <c r="DE208" s="18"/>
      <c r="DF208" s="18">
        <v>1.7000000000000001E-2</v>
      </c>
      <c r="DG208" s="18">
        <v>4.0000000000000001E-3</v>
      </c>
      <c r="DH208" s="18">
        <v>0.01</v>
      </c>
      <c r="DI208" s="18">
        <v>4.4999999999999998E-2</v>
      </c>
      <c r="DJ208" s="18">
        <v>2.1000000000000001E-2</v>
      </c>
      <c r="DK208" s="18">
        <v>4.5999999999999999E-2</v>
      </c>
      <c r="DL208" s="18">
        <v>7.2999999999999995E-2</v>
      </c>
      <c r="DM208" s="18">
        <v>1.2E-2</v>
      </c>
      <c r="DN208" s="18"/>
      <c r="DO208" s="18"/>
      <c r="DP208" s="18"/>
      <c r="DQ208" s="18"/>
      <c r="DR208" s="18"/>
      <c r="DS208" s="18"/>
      <c r="DT208" s="18"/>
      <c r="DU208" s="18"/>
      <c r="DV208" s="28"/>
      <c r="DW208" s="28"/>
      <c r="DX208" s="28"/>
      <c r="DY208" s="28"/>
      <c r="DZ208" s="28"/>
      <c r="EA208" s="28"/>
      <c r="EB208" s="28"/>
      <c r="EC208" s="28"/>
      <c r="ED208" s="28"/>
      <c r="EE208" s="28"/>
      <c r="EF208" s="28"/>
      <c r="EG208" s="28"/>
      <c r="EH208" s="28"/>
      <c r="EI208" s="28"/>
      <c r="EJ208" s="18"/>
      <c r="EK208" s="18"/>
      <c r="EL208" s="18">
        <f>IFERROR(CR208/'McDonough &amp; Sun 1995 values'!C$2,)</f>
        <v>0.19047619047619047</v>
      </c>
      <c r="EM208" s="18">
        <f>IFERROR(CH208/'McDonough &amp; Sun 1995 values'!D$2,)</f>
        <v>0.25333333333333335</v>
      </c>
      <c r="EN208" s="18">
        <f>IFERROR(CS208/'McDonough &amp; Sun 1995 values'!E$2,)</f>
        <v>0.8893939393939394</v>
      </c>
      <c r="EO208" s="18">
        <f>IFERROR(DL208/'McDonough &amp; Sun 1995 values'!F$2,)</f>
        <v>0.91823899371069173</v>
      </c>
      <c r="EP208" s="18">
        <f>IFERROR(DM208/'McDonough &amp; Sun 1995 values'!G$2,)</f>
        <v>0.59113300492610843</v>
      </c>
      <c r="EQ208" s="18">
        <f>IFERROR(BR208/'McDonough &amp; Sun 1995 values'!H$2,)</f>
        <v>0.28291666666666671</v>
      </c>
      <c r="ER208" s="18">
        <f>IFERROR(DI208/'McDonough &amp; Sun 1995 values'!I$2,)</f>
        <v>1.2162162162162162</v>
      </c>
      <c r="ES208" s="18">
        <f>IFERROR(CM208/'McDonough &amp; Sun 1995 values'!J$2,)</f>
        <v>1.3966565349544073</v>
      </c>
      <c r="ET208" s="18">
        <f>IFERROR(CU208/'McDonough &amp; Sun 1995 values'!K$2,)</f>
        <v>0.40740740740740744</v>
      </c>
      <c r="EU208" s="18">
        <f>IFERROR(CV208/'McDonough &amp; Sun 1995 values'!L$2,)</f>
        <v>0.16955223880597012</v>
      </c>
      <c r="EV208" s="18">
        <f>IFERROR(CW208/'McDonough &amp; Sun 1995 values'!M$2,)</f>
        <v>7.874015748031496E-2</v>
      </c>
      <c r="EW208" s="18">
        <f>IFERROR(CI208/'McDonough &amp; Sun 1995 values'!N$2,)</f>
        <v>4.1909547738693466E-2</v>
      </c>
      <c r="EX208" s="18">
        <f>IFERROR(CX208/'McDonough &amp; Sun 1995 values'!O$2,)</f>
        <v>4.8000000000000001E-2</v>
      </c>
      <c r="EY208" s="18">
        <f>IFERROR(CY208/'McDonough &amp; Sun 1995 values'!P$2,)</f>
        <v>5.1724137931034482E-2</v>
      </c>
      <c r="EZ208" s="18">
        <f>IFERROR(DH208/'McDonough &amp; Sun 1995 values'!Q$2,)</f>
        <v>3.5335689045936397E-2</v>
      </c>
      <c r="FA208" s="18">
        <f>IFERROR(CK208/'McDonough &amp; Sun 1995 values'!R$2,)</f>
        <v>2.7428571428571427E-2</v>
      </c>
      <c r="FB208" s="18">
        <f>IFERROR(CZ208/'McDonough &amp; Sun 1995 values'!S$2,)</f>
        <v>3.896103896103896E-2</v>
      </c>
      <c r="FC208" s="18">
        <f>IFERROR(BT208/'McDonough &amp; Sun 1995 values'!T$2,)</f>
        <v>1.291286307053942E-2</v>
      </c>
      <c r="FD208" s="18">
        <f>IFERROR(DA208/'McDonough &amp; Sun 1995 values'!U$2,)</f>
        <v>3.3088235294117641E-2</v>
      </c>
      <c r="FE208" s="18">
        <f>IFERROR(DN208/'McDonough &amp; Sun 1995 values'!V$2,)</f>
        <v>0</v>
      </c>
      <c r="FF208" s="18">
        <f>IFERROR(DB208/'McDonough &amp; Sun 1995 values'!W$2,)</f>
        <v>1.6320474777448069E-2</v>
      </c>
      <c r="FG208" s="18">
        <f>IFERROR(CJ208/'McDonough &amp; Sun 1995 values'!X$2,)</f>
        <v>4.6511627906976744E-3</v>
      </c>
      <c r="FH208" s="18">
        <f>IFERROR(DC208/'McDonough &amp; Sun 1995 values'!Y$2,)</f>
        <v>3.3557046979865772E-2</v>
      </c>
      <c r="FI208" s="18">
        <f>IFERROR(DD208/'McDonough &amp; Sun 1995 values'!Z$2,)</f>
        <v>2.9680365296803651E-2</v>
      </c>
      <c r="FJ208" s="18">
        <f>IFERROR(DE208/'McDonough &amp; Sun 1995 values'!AA$2,)</f>
        <v>0</v>
      </c>
      <c r="FK208" s="18">
        <f>IFERROR(DF208/'McDonough &amp; Sun 1995 values'!AB$2,)</f>
        <v>3.8548752834467126E-2</v>
      </c>
      <c r="FL208" s="18">
        <f>IFERROR(DG208/'McDonough &amp; Sun 1995 values'!AC$2,)</f>
        <v>5.9259259259259255E-2</v>
      </c>
      <c r="FN208" s="28">
        <f t="shared" si="458"/>
        <v>2.0894244651291016</v>
      </c>
      <c r="FO208" s="4">
        <f t="shared" si="391"/>
        <v>1.5045580808080807</v>
      </c>
      <c r="FP208" s="4">
        <f t="shared" si="392"/>
        <v>0.65745512280917862</v>
      </c>
      <c r="FQ208" s="4">
        <f t="shared" si="393"/>
        <v>1.5533542976939201</v>
      </c>
      <c r="FR208" s="4">
        <f t="shared" si="394"/>
        <v>0.29170193043968889</v>
      </c>
      <c r="FS208" s="4">
        <f t="shared" si="395"/>
        <v>0.33497942386831275</v>
      </c>
      <c r="FT208" s="4">
        <f t="shared" si="396"/>
        <v>1.3300000000000003</v>
      </c>
      <c r="FU208" s="4">
        <f t="shared" si="397"/>
        <v>0.87080551716025056</v>
      </c>
      <c r="FV208" s="4">
        <f t="shared" si="398"/>
        <v>0.53028571428571425</v>
      </c>
      <c r="FW208" s="4">
        <f t="shared" si="399"/>
        <v>0.77622857142857138</v>
      </c>
      <c r="FX208" s="4">
        <f t="shared" si="400"/>
        <v>0.91875837167316998</v>
      </c>
      <c r="FY208" s="4">
        <f t="shared" si="401"/>
        <v>0.68170144727037585</v>
      </c>
      <c r="FZ208" s="4">
        <f t="shared" si="402"/>
        <v>0.94177486690127443</v>
      </c>
      <c r="GA208" s="4">
        <f t="shared" si="403"/>
        <v>0.53225125628140701</v>
      </c>
      <c r="GB208" s="4">
        <f t="shared" si="404"/>
        <v>0.75324675324675328</v>
      </c>
      <c r="GC208" s="4">
        <f t="shared" si="405"/>
        <v>0.75187969924812015</v>
      </c>
      <c r="GD208" s="4">
        <f t="shared" si="406"/>
        <v>0.96858655043586561</v>
      </c>
      <c r="GE208" s="4">
        <f t="shared" si="407"/>
        <v>3.5107655502392343</v>
      </c>
      <c r="GF208" s="4">
        <f t="shared" si="408"/>
        <v>3.1436604632480916</v>
      </c>
      <c r="GG208" s="4">
        <f t="shared" si="409"/>
        <v>0.63680218946813072</v>
      </c>
      <c r="GH208" s="4">
        <f t="shared" si="410"/>
        <v>5.1740740740740749</v>
      </c>
      <c r="GI208" s="4">
        <f t="shared" si="411"/>
        <v>7.8765432098765435</v>
      </c>
      <c r="GJ208" s="4">
        <f t="shared" si="412"/>
        <v>24.962962962962969</v>
      </c>
      <c r="GK208" s="4">
        <f t="shared" si="413"/>
        <v>10.568627450980392</v>
      </c>
      <c r="GL208" s="4">
        <f t="shared" si="414"/>
        <v>2.1241278002203448</v>
      </c>
      <c r="GM208" s="4">
        <f t="shared" si="415"/>
        <v>3.6246276067527301</v>
      </c>
      <c r="GN208" s="4">
        <f t="shared" si="416"/>
        <v>3.4281569494335451</v>
      </c>
      <c r="GO208" s="4">
        <f t="shared" si="417"/>
        <v>2.3626773049645386</v>
      </c>
      <c r="GP208" s="4">
        <f t="shared" si="418"/>
        <v>0.47860069444444447</v>
      </c>
      <c r="GQ208" s="27">
        <f t="shared" si="419"/>
        <v>62763.434949963601</v>
      </c>
      <c r="GR208" s="28">
        <f t="shared" si="420"/>
        <v>3.6974041207636876</v>
      </c>
      <c r="GS208" s="28">
        <f t="shared" si="421"/>
        <v>140.50135658902013</v>
      </c>
      <c r="GT208" s="28">
        <f t="shared" si="422"/>
        <v>5425.9405472207118</v>
      </c>
      <c r="GU208" s="28">
        <f t="shared" si="423"/>
        <v>67.477625203937293</v>
      </c>
      <c r="GV208" s="28">
        <f t="shared" si="424"/>
        <v>11.092212362291063</v>
      </c>
      <c r="GW208" s="28">
        <f t="shared" si="425"/>
        <v>62763.434949963601</v>
      </c>
      <c r="GX208" s="28">
        <f t="shared" si="426"/>
        <v>41.595796358591485</v>
      </c>
      <c r="GY208" s="28">
        <f t="shared" si="427"/>
        <v>849.47859674545725</v>
      </c>
      <c r="GZ208" s="28">
        <f t="shared" si="428"/>
        <v>244.02867197040339</v>
      </c>
      <c r="HA208" s="28">
        <f t="shared" si="429"/>
        <v>262.51569257422176</v>
      </c>
      <c r="HB208" s="28">
        <f t="shared" si="430"/>
        <v>18.487020603818436</v>
      </c>
      <c r="HC208" s="28">
        <f t="shared" si="431"/>
        <v>770.90875917922881</v>
      </c>
      <c r="HD208" s="28">
        <f t="shared" si="432"/>
        <v>55.461061811455309</v>
      </c>
      <c r="HE208" s="28">
        <f t="shared" si="433"/>
        <v>19.41137163400936</v>
      </c>
      <c r="HF208" s="28">
        <f t="shared" si="434"/>
        <v>9.2435103019092182</v>
      </c>
      <c r="HG208" s="28">
        <f t="shared" si="435"/>
        <v>266.2130966949855</v>
      </c>
      <c r="HH208" s="28">
        <f t="shared" si="436"/>
        <v>5.5461061811455314</v>
      </c>
      <c r="HI208" s="28">
        <f t="shared" si="437"/>
        <v>14382.902029770745</v>
      </c>
      <c r="HJ208" s="28">
        <f t="shared" si="438"/>
        <v>16.638318543436593</v>
      </c>
      <c r="HK208" s="28">
        <f t="shared" si="439"/>
        <v>0</v>
      </c>
      <c r="HL208" s="28">
        <f t="shared" si="440"/>
        <v>10.16786133210014</v>
      </c>
      <c r="HM208" s="28">
        <f t="shared" si="441"/>
        <v>18.487020603818436</v>
      </c>
      <c r="HN208" s="28">
        <f t="shared" si="442"/>
        <v>4.6217551509546091</v>
      </c>
      <c r="HO208" s="28">
        <f t="shared" si="443"/>
        <v>12.016563392481983</v>
      </c>
      <c r="HP208" s="28">
        <f t="shared" si="444"/>
        <v>0</v>
      </c>
      <c r="HQ208" s="28">
        <f t="shared" si="445"/>
        <v>15.713967513245674</v>
      </c>
      <c r="HR208" s="28">
        <f t="shared" si="446"/>
        <v>3.6974041207636876</v>
      </c>
      <c r="HT208" s="4">
        <f>IFERROR(GR208/'McDonough &amp; Sun 1995 values'!C$2,)</f>
        <v>176.06686289350893</v>
      </c>
      <c r="HU208" s="4">
        <f>IFERROR(GS208/'McDonough &amp; Sun 1995 values'!D$2,)</f>
        <v>234.16892764836689</v>
      </c>
      <c r="HV208" s="4">
        <f>IFERROR(GT208/'McDonough &amp; Sun 1995 values'!E$2,)</f>
        <v>822.11220412435034</v>
      </c>
      <c r="HW208" s="4">
        <f>IFERROR(GU208/'McDonough &amp; Sun 1995 values'!F$2,)</f>
        <v>848.77515979795339</v>
      </c>
      <c r="HX208" s="4">
        <f>IFERROR(GV208/'McDonough &amp; Sun 1995 values'!G$2,)</f>
        <v>546.41440208330368</v>
      </c>
      <c r="HY208" s="4">
        <f>IFERROR(GW208/'McDonough &amp; Sun 1995 values'!H$2,)</f>
        <v>261.51431229151501</v>
      </c>
      <c r="HZ208" s="4">
        <f>IFERROR(GX208/'McDonough &amp; Sun 1995 values'!I$2,)</f>
        <v>1124.2107123943645</v>
      </c>
      <c r="IA208" s="4">
        <f>IFERROR(GY208/'McDonough &amp; Sun 1995 values'!J$2,)</f>
        <v>1291.0009069079897</v>
      </c>
      <c r="IB208" s="4">
        <f>IFERROR(GZ208/'McDonough &amp; Sun 1995 values'!K$2,)</f>
        <v>376.5874567444497</v>
      </c>
      <c r="IC208" s="4">
        <f>IFERROR(HA208/'McDonough &amp; Sun 1995 values'!L$2,)</f>
        <v>156.72578661147568</v>
      </c>
      <c r="ID208" s="4">
        <f>IFERROR(HB208/'McDonough &amp; Sun 1995 values'!M$2,)</f>
        <v>72.783545684324551</v>
      </c>
      <c r="IE208" s="4">
        <f>IFERROR(HC208/'McDonough &amp; Sun 1995 values'!N$2,)</f>
        <v>38.739133627096926</v>
      </c>
      <c r="IF208" s="4">
        <f>IFERROR(HD208/'McDonough &amp; Sun 1995 values'!O$2,)</f>
        <v>44.368849449164244</v>
      </c>
      <c r="IG208" s="4">
        <f>IFERROR(HE208/'McDonough &amp; Sun 1995 values'!P$2,)</f>
        <v>47.811260182289061</v>
      </c>
      <c r="IH208" s="4">
        <f>IFERROR(HF208/'McDonough &amp; Sun 1995 values'!Q$2,)</f>
        <v>32.662580572117385</v>
      </c>
      <c r="II208" s="4">
        <f>IFERROR(HG208/'McDonough &amp; Sun 1995 values'!R$2,)</f>
        <v>25.353628256665285</v>
      </c>
      <c r="IJ208" s="4">
        <f>IFERROR(HH208/'McDonough &amp; Sun 1995 values'!S$2,)</f>
        <v>36.01367650094501</v>
      </c>
      <c r="IK208" s="4">
        <f>IFERROR(HI208/'McDonough &amp; Sun 1995 values'!T$2,)</f>
        <v>11.936018281967423</v>
      </c>
      <c r="IL208" s="4">
        <f>IFERROR(HJ208/'McDonough &amp; Sun 1995 values'!U$2,)</f>
        <v>30.585144381317264</v>
      </c>
      <c r="IM208" s="4">
        <f>IFERROR(HK208/'McDonough &amp; Sun 1995 values'!V$2,)</f>
        <v>0</v>
      </c>
      <c r="IN208" s="4">
        <f>IFERROR(HL208/'McDonough &amp; Sun 1995 values'!W$2,)</f>
        <v>15.085847673739078</v>
      </c>
      <c r="IO208" s="4">
        <f>IFERROR(HM208/'McDonough &amp; Sun 1995 values'!X$2,)</f>
        <v>4.2993071171670785</v>
      </c>
      <c r="IP208" s="4">
        <f>IFERROR(HN208/'McDonough &amp; Sun 1995 values'!Y$2,)</f>
        <v>31.018490946004089</v>
      </c>
      <c r="IQ208" s="4">
        <f>IFERROR(HO208/'McDonough &amp; Sun 1995 values'!Z$2,)</f>
        <v>27.435076238543338</v>
      </c>
      <c r="IR208" s="4">
        <f>IFERROR(HP208/'McDonough &amp; Sun 1995 values'!AA$2,)</f>
        <v>0</v>
      </c>
      <c r="IS208" s="4">
        <f>IFERROR(HQ208/'McDonough &amp; Sun 1995 values'!AB$2,)</f>
        <v>35.632579395114909</v>
      </c>
      <c r="IT208" s="4">
        <f>IFERROR(HR208/'McDonough &amp; Sun 1995 values'!AC$2,)</f>
        <v>54.776357344647224</v>
      </c>
    </row>
    <row r="209" spans="1:254">
      <c r="A209" s="16" t="s">
        <v>641</v>
      </c>
      <c r="B209" s="16" t="s">
        <v>24</v>
      </c>
      <c r="C209" s="16" t="str">
        <f t="shared" si="461"/>
        <v>silicic</v>
      </c>
      <c r="D209" s="16" t="s">
        <v>110</v>
      </c>
      <c r="E209" s="16" t="s">
        <v>237</v>
      </c>
      <c r="F209" s="16" t="s">
        <v>639</v>
      </c>
      <c r="G209" s="16" t="s">
        <v>640</v>
      </c>
      <c r="H209" s="27">
        <v>0</v>
      </c>
      <c r="I209" s="16" t="s">
        <v>712</v>
      </c>
      <c r="J209" s="16" t="s">
        <v>635</v>
      </c>
      <c r="K209" s="16" t="s">
        <v>642</v>
      </c>
      <c r="L209" s="16">
        <v>0</v>
      </c>
      <c r="M209" s="16" t="s">
        <v>628</v>
      </c>
      <c r="N209" s="16" t="s">
        <v>1084</v>
      </c>
      <c r="O209" s="26">
        <v>59.2</v>
      </c>
      <c r="P209" s="26">
        <v>2.72</v>
      </c>
      <c r="Q209" s="26"/>
      <c r="R209" s="26">
        <v>12.82</v>
      </c>
      <c r="S209" s="26">
        <v>1.48</v>
      </c>
      <c r="T209" s="26">
        <v>1.89</v>
      </c>
      <c r="U209" s="26"/>
      <c r="V209" s="26">
        <v>5.74</v>
      </c>
      <c r="W209" s="26">
        <v>0.73</v>
      </c>
      <c r="X209" s="26">
        <v>8.57</v>
      </c>
      <c r="Y209" s="26"/>
      <c r="Z209" s="26">
        <v>6.43</v>
      </c>
      <c r="AA209" s="26"/>
      <c r="AB209" s="26">
        <v>0.46</v>
      </c>
      <c r="AC209" s="26"/>
      <c r="AD209" s="26">
        <v>0</v>
      </c>
      <c r="AE209" s="26"/>
      <c r="AF209" s="26"/>
      <c r="AG209" s="26"/>
      <c r="AH209" s="26"/>
      <c r="AI209" s="26"/>
      <c r="AJ209" s="26">
        <f t="shared" si="462"/>
        <v>100.04</v>
      </c>
      <c r="AK209" s="26">
        <f t="shared" si="447"/>
        <v>59.176329468212721</v>
      </c>
      <c r="AL209" s="26">
        <f t="shared" si="448"/>
        <v>2.7189124350259894</v>
      </c>
      <c r="AM209" s="26">
        <f t="shared" si="449"/>
        <v>12.814874050379849</v>
      </c>
      <c r="AN209" s="26">
        <f t="shared" si="450"/>
        <v>1.4794082367053178</v>
      </c>
      <c r="AO209" s="26">
        <f t="shared" si="451"/>
        <v>1.8892443022790881</v>
      </c>
      <c r="AP209" s="26">
        <f t="shared" si="452"/>
        <v>5.7377049180327866</v>
      </c>
      <c r="AQ209" s="26">
        <f t="shared" si="453"/>
        <v>0.45981607357057175</v>
      </c>
      <c r="AR209" s="26">
        <f t="shared" si="454"/>
        <v>0.72970811675329861</v>
      </c>
      <c r="AS209" s="26">
        <f t="shared" si="455"/>
        <v>8.5665733706517386</v>
      </c>
      <c r="AT209" s="26">
        <f t="shared" si="456"/>
        <v>6.4274290283886444</v>
      </c>
      <c r="AU209" s="26">
        <f t="shared" si="457"/>
        <v>0</v>
      </c>
      <c r="AV209" s="26">
        <f t="shared" si="463"/>
        <v>100</v>
      </c>
      <c r="AW209" s="16"/>
      <c r="AX209" s="16"/>
      <c r="AY209" s="16"/>
      <c r="AZ209" s="16"/>
      <c r="BA209" s="26"/>
      <c r="BB209" s="26">
        <v>0.28000000000000003</v>
      </c>
      <c r="BC209" s="26">
        <f t="shared" si="464"/>
        <v>0.28000000000000003</v>
      </c>
      <c r="BD209" s="26">
        <f t="shared" si="465"/>
        <v>0.72</v>
      </c>
      <c r="BE209" s="25">
        <v>-4.5399999999999991</v>
      </c>
      <c r="BF209" s="16"/>
      <c r="BG209" s="16" t="s">
        <v>609</v>
      </c>
      <c r="BH209" s="16" t="s">
        <v>606</v>
      </c>
      <c r="BI209" s="16" t="s">
        <v>610</v>
      </c>
      <c r="BJ209" s="16"/>
      <c r="BK209" s="18"/>
      <c r="BL209" s="18"/>
      <c r="BM209" s="18"/>
      <c r="BN209" s="18">
        <v>46.1</v>
      </c>
      <c r="BO209" s="18">
        <v>45.13</v>
      </c>
      <c r="BP209" s="18">
        <v>198.38</v>
      </c>
      <c r="BQ209" s="18">
        <v>24.43</v>
      </c>
      <c r="BR209" s="18">
        <v>448.53</v>
      </c>
      <c r="BS209" s="18">
        <v>168.13</v>
      </c>
      <c r="BT209" s="18">
        <v>57.79</v>
      </c>
      <c r="BU209" s="18">
        <v>2.19</v>
      </c>
      <c r="BV209" s="18">
        <v>0.999</v>
      </c>
      <c r="BW209" s="18">
        <v>50.15</v>
      </c>
      <c r="BX209" s="18">
        <v>0.39600000000000002</v>
      </c>
      <c r="BY209" s="18">
        <v>0.307</v>
      </c>
      <c r="BZ209" s="18">
        <v>2.37</v>
      </c>
      <c r="CA209" s="18">
        <v>4.5999999999999999E-2</v>
      </c>
      <c r="CB209" s="18">
        <v>0.11600000000000001</v>
      </c>
      <c r="CC209" s="18">
        <v>0</v>
      </c>
      <c r="CD209" s="18">
        <v>0</v>
      </c>
      <c r="CE209" s="18">
        <v>0</v>
      </c>
      <c r="CF209" s="18"/>
      <c r="CG209" s="18">
        <v>0</v>
      </c>
      <c r="CH209" s="18">
        <v>1.2030000000000001</v>
      </c>
      <c r="CI209" s="18">
        <v>7.88</v>
      </c>
      <c r="CJ209" s="18">
        <v>6.2E-2</v>
      </c>
      <c r="CK209" s="18">
        <v>1.46</v>
      </c>
      <c r="CL209" s="18"/>
      <c r="CM209" s="18">
        <v>1.55</v>
      </c>
      <c r="CN209" s="18"/>
      <c r="CO209" s="18"/>
      <c r="CP209" s="18"/>
      <c r="CQ209" s="18"/>
      <c r="CR209" s="18">
        <v>1.6E-2</v>
      </c>
      <c r="CS209" s="18">
        <v>24.31</v>
      </c>
      <c r="CT209" s="18">
        <v>0.20399999999999999</v>
      </c>
      <c r="CU209" s="18">
        <v>1.1759999999999999</v>
      </c>
      <c r="CV209" s="18">
        <v>1.55</v>
      </c>
      <c r="CW209" s="18">
        <v>0.16800000000000001</v>
      </c>
      <c r="CX209" s="18">
        <v>0.55300000000000005</v>
      </c>
      <c r="CY209" s="18">
        <v>5.5E-2</v>
      </c>
      <c r="CZ209" s="18">
        <v>1.9E-2</v>
      </c>
      <c r="DA209" s="18">
        <v>3.9E-2</v>
      </c>
      <c r="DB209" s="18">
        <v>2.5000000000000001E-2</v>
      </c>
      <c r="DC209" s="18">
        <v>2E-3</v>
      </c>
      <c r="DD209" s="18">
        <v>8.0000000000000002E-3</v>
      </c>
      <c r="DE209" s="18"/>
      <c r="DF209" s="18">
        <v>8.9999999999999993E-3</v>
      </c>
      <c r="DG209" s="18">
        <v>2E-3</v>
      </c>
      <c r="DH209" s="18">
        <v>4.7E-2</v>
      </c>
      <c r="DI209" s="18">
        <v>7.6999999999999999E-2</v>
      </c>
      <c r="DJ209" s="18">
        <v>4.8000000000000001E-2</v>
      </c>
      <c r="DK209" s="18">
        <v>0.11700000000000001</v>
      </c>
      <c r="DL209" s="18">
        <v>0.16400000000000001</v>
      </c>
      <c r="DM209" s="18">
        <v>3.4000000000000002E-2</v>
      </c>
      <c r="DN209" s="18"/>
      <c r="DO209" s="18"/>
      <c r="DP209" s="18"/>
      <c r="DQ209" s="18"/>
      <c r="DR209" s="18"/>
      <c r="DS209" s="18"/>
      <c r="DT209" s="18"/>
      <c r="DU209" s="18"/>
      <c r="DV209" s="28"/>
      <c r="DW209" s="28"/>
      <c r="DX209" s="28"/>
      <c r="DY209" s="28"/>
      <c r="DZ209" s="28"/>
      <c r="EA209" s="28"/>
      <c r="EB209" s="28"/>
      <c r="EC209" s="28"/>
      <c r="ED209" s="28"/>
      <c r="EE209" s="28"/>
      <c r="EF209" s="28"/>
      <c r="EG209" s="28"/>
      <c r="EH209" s="28"/>
      <c r="EI209" s="28"/>
      <c r="EJ209" s="18"/>
      <c r="EK209" s="18"/>
      <c r="EL209" s="18">
        <f>IFERROR(CR209/'McDonough &amp; Sun 1995 values'!C$2,)</f>
        <v>0.76190476190476186</v>
      </c>
      <c r="EM209" s="18">
        <f>IFERROR(CH209/'McDonough &amp; Sun 1995 values'!D$2,)</f>
        <v>2.0050000000000003</v>
      </c>
      <c r="EN209" s="18">
        <f>IFERROR(CS209/'McDonough &amp; Sun 1995 values'!E$2,)</f>
        <v>3.6833333333333331</v>
      </c>
      <c r="EO209" s="18">
        <f>IFERROR(DL209/'McDonough &amp; Sun 1995 values'!F$2,)</f>
        <v>2.0628930817610063</v>
      </c>
      <c r="EP209" s="18">
        <f>IFERROR(DM209/'McDonough &amp; Sun 1995 values'!G$2,)</f>
        <v>1.6748768472906406</v>
      </c>
      <c r="EQ209" s="18">
        <f>IFERROR(BR209/'McDonough &amp; Sun 1995 values'!H$2,)</f>
        <v>1.8688749999999998</v>
      </c>
      <c r="ER209" s="18">
        <f>IFERROR(DI209/'McDonough &amp; Sun 1995 values'!I$2,)</f>
        <v>2.0810810810810811</v>
      </c>
      <c r="ES209" s="18">
        <f>IFERROR(CM209/'McDonough &amp; Sun 1995 values'!J$2,)</f>
        <v>2.3556231003039514</v>
      </c>
      <c r="ET209" s="18">
        <f>IFERROR(CU209/'McDonough &amp; Sun 1995 values'!K$2,)</f>
        <v>1.8148148148148147</v>
      </c>
      <c r="EU209" s="18">
        <f>IFERROR(CV209/'McDonough &amp; Sun 1995 values'!L$2,)</f>
        <v>0.92537313432835822</v>
      </c>
      <c r="EV209" s="18">
        <f>IFERROR(CW209/'McDonough &amp; Sun 1995 values'!M$2,)</f>
        <v>0.66141732283464572</v>
      </c>
      <c r="EW209" s="18">
        <f>IFERROR(CI209/'McDonough &amp; Sun 1995 values'!N$2,)</f>
        <v>0.39597989949748746</v>
      </c>
      <c r="EX209" s="18">
        <f>IFERROR(CX209/'McDonough &amp; Sun 1995 values'!O$2,)</f>
        <v>0.44240000000000002</v>
      </c>
      <c r="EY209" s="18">
        <f>IFERROR(CY209/'McDonough &amp; Sun 1995 values'!P$2,)</f>
        <v>0.1354679802955665</v>
      </c>
      <c r="EZ209" s="18">
        <f>IFERROR(DH209/'McDonough &amp; Sun 1995 values'!Q$2,)</f>
        <v>0.16607773851590107</v>
      </c>
      <c r="FA209" s="18">
        <f>IFERROR(CK209/'McDonough &amp; Sun 1995 values'!R$2,)</f>
        <v>0.13904761904761903</v>
      </c>
      <c r="FB209" s="18">
        <f>IFERROR(CZ209/'McDonough &amp; Sun 1995 values'!S$2,)</f>
        <v>0.12337662337662338</v>
      </c>
      <c r="FC209" s="18">
        <f>IFERROR(BT209/'McDonough &amp; Sun 1995 values'!T$2,)</f>
        <v>4.7958506224066388E-2</v>
      </c>
      <c r="FD209" s="18">
        <f>IFERROR(DA209/'McDonough &amp; Sun 1995 values'!U$2,)</f>
        <v>7.169117647058823E-2</v>
      </c>
      <c r="FE209" s="18">
        <f>IFERROR(DN209/'McDonough &amp; Sun 1995 values'!V$2,)</f>
        <v>0</v>
      </c>
      <c r="FF209" s="18">
        <f>IFERROR(DB209/'McDonough &amp; Sun 1995 values'!W$2,)</f>
        <v>3.7091988130563795E-2</v>
      </c>
      <c r="FG209" s="18">
        <f>IFERROR(CJ209/'McDonough &amp; Sun 1995 values'!X$2,)</f>
        <v>1.4418604651162792E-2</v>
      </c>
      <c r="FH209" s="18">
        <f>IFERROR(DC209/'McDonough &amp; Sun 1995 values'!Y$2,)</f>
        <v>1.342281879194631E-2</v>
      </c>
      <c r="FI209" s="18">
        <f>IFERROR(DD209/'McDonough &amp; Sun 1995 values'!Z$2,)</f>
        <v>1.8264840182648401E-2</v>
      </c>
      <c r="FJ209" s="18">
        <f>IFERROR(DE209/'McDonough &amp; Sun 1995 values'!AA$2,)</f>
        <v>0</v>
      </c>
      <c r="FK209" s="18">
        <f>IFERROR(DF209/'McDonough &amp; Sun 1995 values'!AB$2,)</f>
        <v>2.0408163265306121E-2</v>
      </c>
      <c r="FL209" s="18">
        <f>IFERROR(DG209/'McDonough &amp; Sun 1995 values'!AC$2,)</f>
        <v>2.9629629629629627E-2</v>
      </c>
      <c r="FN209" s="28">
        <f t="shared" si="458"/>
        <v>0.89619522294997833</v>
      </c>
      <c r="FO209" s="4">
        <f t="shared" si="391"/>
        <v>2.1991666666666663</v>
      </c>
      <c r="FP209" s="4">
        <f t="shared" si="392"/>
        <v>0.8757313856766078</v>
      </c>
      <c r="FQ209" s="4">
        <f t="shared" si="393"/>
        <v>1.2316685164631889</v>
      </c>
      <c r="FR209" s="4">
        <f t="shared" si="394"/>
        <v>0.7704181600955794</v>
      </c>
      <c r="FS209" s="4">
        <f t="shared" si="395"/>
        <v>0.87205387205387197</v>
      </c>
      <c r="FT209" s="4">
        <f t="shared" si="396"/>
        <v>2.6315625000000007</v>
      </c>
      <c r="FU209" s="4">
        <f t="shared" si="397"/>
        <v>0.88345248474280735</v>
      </c>
      <c r="FV209" s="4">
        <f t="shared" si="398"/>
        <v>1.0264242424242422</v>
      </c>
      <c r="FW209" s="4">
        <f t="shared" si="399"/>
        <v>0.83724417426545072</v>
      </c>
      <c r="FX209" s="4">
        <f t="shared" si="400"/>
        <v>1.1911288431811229</v>
      </c>
      <c r="FY209" s="4">
        <f t="shared" si="401"/>
        <v>0.7320281791421015</v>
      </c>
      <c r="FZ209" s="4">
        <f t="shared" si="402"/>
        <v>1.2519347620113375</v>
      </c>
      <c r="GA209" s="4">
        <f t="shared" si="403"/>
        <v>0.5986838956688203</v>
      </c>
      <c r="GB209" s="4">
        <f t="shared" si="404"/>
        <v>0.91074380165289259</v>
      </c>
      <c r="GC209" s="4">
        <f t="shared" si="405"/>
        <v>0.38000237501484374</v>
      </c>
      <c r="GD209" s="4">
        <f t="shared" si="406"/>
        <v>1.7855182926829267</v>
      </c>
      <c r="GE209" s="4">
        <f t="shared" si="407"/>
        <v>1.8370739817123853</v>
      </c>
      <c r="GF209" s="4">
        <f t="shared" si="408"/>
        <v>1.9708826611374937</v>
      </c>
      <c r="GG209" s="4">
        <f t="shared" si="409"/>
        <v>1.5636344086021505</v>
      </c>
      <c r="GH209" s="4">
        <f t="shared" si="410"/>
        <v>2.7438271604938267</v>
      </c>
      <c r="GI209" s="4">
        <f t="shared" si="411"/>
        <v>13.396632996632995</v>
      </c>
      <c r="GJ209" s="4">
        <f t="shared" si="412"/>
        <v>48.927407407407408</v>
      </c>
      <c r="GK209" s="4">
        <f t="shared" si="413"/>
        <v>88.925925925925924</v>
      </c>
      <c r="GL209" s="4">
        <f t="shared" si="414"/>
        <v>2.8993317347703917</v>
      </c>
      <c r="GM209" s="4">
        <f t="shared" si="415"/>
        <v>1.0288743549930204</v>
      </c>
      <c r="GN209" s="4">
        <f t="shared" si="416"/>
        <v>1.2979964022082999</v>
      </c>
      <c r="GO209" s="4">
        <f t="shared" si="417"/>
        <v>1.4064455569461827</v>
      </c>
      <c r="GP209" s="4">
        <f t="shared" si="418"/>
        <v>1.1158283088235292</v>
      </c>
      <c r="GQ209" s="27">
        <f t="shared" si="419"/>
        <v>71114.321285149999</v>
      </c>
      <c r="GR209" s="28">
        <f t="shared" si="420"/>
        <v>2.5367960684065731</v>
      </c>
      <c r="GS209" s="28">
        <f t="shared" si="421"/>
        <v>190.7353543933192</v>
      </c>
      <c r="GT209" s="28">
        <f t="shared" si="422"/>
        <v>3854.3445264352363</v>
      </c>
      <c r="GU209" s="28">
        <f t="shared" si="423"/>
        <v>26.002159701167372</v>
      </c>
      <c r="GV209" s="28">
        <f t="shared" si="424"/>
        <v>5.3906916453639679</v>
      </c>
      <c r="GW209" s="28">
        <f t="shared" si="425"/>
        <v>71114.321285149999</v>
      </c>
      <c r="GX209" s="28">
        <f t="shared" si="426"/>
        <v>12.20833107920663</v>
      </c>
      <c r="GY209" s="28">
        <f t="shared" si="427"/>
        <v>245.75211912688675</v>
      </c>
      <c r="GZ209" s="28">
        <f t="shared" si="428"/>
        <v>186.45451102788309</v>
      </c>
      <c r="HA209" s="28">
        <f t="shared" si="429"/>
        <v>245.75211912688675</v>
      </c>
      <c r="HB209" s="28">
        <f t="shared" si="430"/>
        <v>26.636358718269015</v>
      </c>
      <c r="HC209" s="28">
        <f t="shared" si="431"/>
        <v>1249.3720636902372</v>
      </c>
      <c r="HD209" s="28">
        <f t="shared" si="432"/>
        <v>87.678014114302186</v>
      </c>
      <c r="HE209" s="28">
        <f t="shared" si="433"/>
        <v>8.7202364851475949</v>
      </c>
      <c r="HF209" s="28">
        <f t="shared" si="434"/>
        <v>7.4518384509443072</v>
      </c>
      <c r="HG209" s="28">
        <f t="shared" si="435"/>
        <v>231.48264124209976</v>
      </c>
      <c r="HH209" s="28">
        <f t="shared" si="436"/>
        <v>3.0124453312328048</v>
      </c>
      <c r="HI209" s="28">
        <f t="shared" si="437"/>
        <v>9162.5902995759898</v>
      </c>
      <c r="HJ209" s="28">
        <f t="shared" si="438"/>
        <v>6.1834404167410213</v>
      </c>
      <c r="HK209" s="28">
        <f t="shared" si="439"/>
        <v>0</v>
      </c>
      <c r="HL209" s="28">
        <f t="shared" si="440"/>
        <v>3.9637438568852699</v>
      </c>
      <c r="HM209" s="28">
        <f t="shared" si="441"/>
        <v>9.830084765075469</v>
      </c>
      <c r="HN209" s="28">
        <f t="shared" si="442"/>
        <v>0.31709950855082164</v>
      </c>
      <c r="HO209" s="28">
        <f t="shared" si="443"/>
        <v>1.2683980342032866</v>
      </c>
      <c r="HP209" s="28">
        <f t="shared" si="444"/>
        <v>0</v>
      </c>
      <c r="HQ209" s="28">
        <f t="shared" si="445"/>
        <v>1.426947788478697</v>
      </c>
      <c r="HR209" s="28">
        <f t="shared" si="446"/>
        <v>0.31709950855082164</v>
      </c>
      <c r="HT209" s="4">
        <f>IFERROR(GR209/'McDonough &amp; Sun 1995 values'!C$2,)</f>
        <v>120.79981278126537</v>
      </c>
      <c r="HU209" s="4">
        <f>IFERROR(GS209/'McDonough &amp; Sun 1995 values'!D$2,)</f>
        <v>317.8922573221987</v>
      </c>
      <c r="HV209" s="4">
        <f>IFERROR(GT209/'McDonough &amp; Sun 1995 values'!E$2,)</f>
        <v>583.99159491442981</v>
      </c>
      <c r="HW209" s="4">
        <f>IFERROR(GU209/'McDonough &amp; Sun 1995 values'!F$2,)</f>
        <v>327.07119120965245</v>
      </c>
      <c r="HX209" s="4">
        <f>IFERROR(GV209/'McDonough &amp; Sun 1995 values'!G$2,)</f>
        <v>265.5513125795058</v>
      </c>
      <c r="HY209" s="4">
        <f>IFERROR(GW209/'McDonough &amp; Sun 1995 values'!H$2,)</f>
        <v>296.30967202145831</v>
      </c>
      <c r="HZ209" s="4">
        <f>IFERROR(GX209/'McDonough &amp; Sun 1995 values'!I$2,)</f>
        <v>329.95489403261166</v>
      </c>
      <c r="IA209" s="4">
        <f>IFERROR(GY209/'McDonough &amp; Sun 1995 values'!J$2,)</f>
        <v>373.48346371867285</v>
      </c>
      <c r="IB209" s="4">
        <f>IFERROR(GZ209/'McDonough &amp; Sun 1995 values'!K$2,)</f>
        <v>287.73844294426402</v>
      </c>
      <c r="IC209" s="4">
        <f>IFERROR(HA209/'McDonough &amp; Sun 1995 values'!L$2,)</f>
        <v>146.71768306082791</v>
      </c>
      <c r="ID209" s="4">
        <f>IFERROR(HB209/'McDonough &amp; Sun 1995 values'!M$2,)</f>
        <v>104.86755400893313</v>
      </c>
      <c r="IE209" s="4">
        <f>IFERROR(HC209/'McDonough &amp; Sun 1995 values'!N$2,)</f>
        <v>62.782515763328504</v>
      </c>
      <c r="IF209" s="4">
        <f>IFERROR(HD209/'McDonough &amp; Sun 1995 values'!O$2,)</f>
        <v>70.142411291441746</v>
      </c>
      <c r="IG209" s="4">
        <f>IFERROR(HE209/'McDonough &amp; Sun 1995 values'!P$2,)</f>
        <v>21.478414988048261</v>
      </c>
      <c r="IH209" s="4">
        <f>IFERROR(HF209/'McDonough &amp; Sun 1995 values'!Q$2,)</f>
        <v>26.33158463231204</v>
      </c>
      <c r="II209" s="4">
        <f>IFERROR(HG209/'McDonough &amp; Sun 1995 values'!R$2,)</f>
        <v>22.045965832580929</v>
      </c>
      <c r="IJ209" s="4">
        <f>IFERROR(HH209/'McDonough &amp; Sun 1995 values'!S$2,)</f>
        <v>19.561333319693539</v>
      </c>
      <c r="IK209" s="4">
        <f>IFERROR(HI209/'McDonough &amp; Sun 1995 values'!T$2,)</f>
        <v>7.6038093772414852</v>
      </c>
      <c r="IL209" s="4">
        <f>IFERROR(HJ209/'McDonough &amp; Sun 1995 values'!U$2,)</f>
        <v>11.366618413126876</v>
      </c>
      <c r="IM209" s="4">
        <f>IFERROR(HK209/'McDonough &amp; Sun 1995 values'!V$2,)</f>
        <v>0</v>
      </c>
      <c r="IN209" s="4">
        <f>IFERROR(HL209/'McDonough &amp; Sun 1995 values'!W$2,)</f>
        <v>5.8809256036873441</v>
      </c>
      <c r="IO209" s="4">
        <f>IFERROR(HM209/'McDonough &amp; Sun 1995 values'!X$2,)</f>
        <v>2.2860662244361558</v>
      </c>
      <c r="IP209" s="4">
        <f>IFERROR(HN209/'McDonough &amp; Sun 1995 values'!Y$2,)</f>
        <v>2.1281846211464539</v>
      </c>
      <c r="IQ209" s="4">
        <f>IFERROR(HO209/'McDonough &amp; Sun 1995 values'!Z$2,)</f>
        <v>2.8958859228385538</v>
      </c>
      <c r="IR209" s="4">
        <f>IFERROR(HP209/'McDonough &amp; Sun 1995 values'!AA$2,)</f>
        <v>0</v>
      </c>
      <c r="IS209" s="4">
        <f>IFERROR(HQ209/'McDonough &amp; Sun 1995 values'!AB$2,)</f>
        <v>3.2357092709267503</v>
      </c>
      <c r="IT209" s="4">
        <f>IFERROR(HR209/'McDonough &amp; Sun 1995 values'!AC$2,)</f>
        <v>4.6977704970492091</v>
      </c>
    </row>
    <row r="210" spans="1:254">
      <c r="A210" s="16" t="s">
        <v>641</v>
      </c>
      <c r="B210" s="16" t="s">
        <v>24</v>
      </c>
      <c r="C210" s="16" t="str">
        <f t="shared" si="461"/>
        <v>silicic</v>
      </c>
      <c r="D210" s="16" t="s">
        <v>110</v>
      </c>
      <c r="E210" s="16" t="s">
        <v>237</v>
      </c>
      <c r="F210" s="16" t="s">
        <v>639</v>
      </c>
      <c r="G210" s="16" t="s">
        <v>640</v>
      </c>
      <c r="H210" s="27">
        <v>0</v>
      </c>
      <c r="I210" s="16" t="s">
        <v>712</v>
      </c>
      <c r="J210" s="16" t="s">
        <v>635</v>
      </c>
      <c r="K210" s="16" t="s">
        <v>642</v>
      </c>
      <c r="L210" s="16" t="s">
        <v>160</v>
      </c>
      <c r="M210" s="16" t="s">
        <v>621</v>
      </c>
      <c r="N210" s="16" t="s">
        <v>1084</v>
      </c>
      <c r="O210" s="26">
        <v>41.8</v>
      </c>
      <c r="P210" s="26">
        <v>0.11</v>
      </c>
      <c r="Q210" s="26"/>
      <c r="R210" s="26">
        <v>22.1</v>
      </c>
      <c r="S210" s="26">
        <v>6.36</v>
      </c>
      <c r="T210" s="26">
        <v>6.65</v>
      </c>
      <c r="U210" s="26">
        <v>0.06</v>
      </c>
      <c r="V210" s="26">
        <v>19.899999999999999</v>
      </c>
      <c r="W210" s="26">
        <v>0.78</v>
      </c>
      <c r="X210" s="26">
        <v>1.92</v>
      </c>
      <c r="Y210" s="26"/>
      <c r="Z210" s="26">
        <v>0.43</v>
      </c>
      <c r="AA210" s="26"/>
      <c r="AB210" s="26"/>
      <c r="AC210" s="26"/>
      <c r="AD210" s="26">
        <v>0</v>
      </c>
      <c r="AE210" s="26"/>
      <c r="AF210" s="26"/>
      <c r="AG210" s="26"/>
      <c r="AH210" s="26"/>
      <c r="AI210" s="26"/>
      <c r="AJ210" s="26">
        <f t="shared" si="462"/>
        <v>100.05</v>
      </c>
      <c r="AK210" s="26">
        <f t="shared" si="447"/>
        <v>41.779110444777615</v>
      </c>
      <c r="AL210" s="26">
        <f t="shared" si="448"/>
        <v>0.10994502748625688</v>
      </c>
      <c r="AM210" s="26">
        <f t="shared" si="449"/>
        <v>22.08895552223888</v>
      </c>
      <c r="AN210" s="26">
        <f t="shared" si="450"/>
        <v>6.3568215892053983</v>
      </c>
      <c r="AO210" s="26">
        <f t="shared" si="451"/>
        <v>6.6466766616691668</v>
      </c>
      <c r="AP210" s="26">
        <f t="shared" si="452"/>
        <v>19.890054972513742</v>
      </c>
      <c r="AQ210" s="26">
        <f t="shared" si="453"/>
        <v>0</v>
      </c>
      <c r="AR210" s="26">
        <f t="shared" si="454"/>
        <v>0.77961019490254879</v>
      </c>
      <c r="AS210" s="26">
        <f t="shared" si="455"/>
        <v>1.9190404797601197</v>
      </c>
      <c r="AT210" s="26">
        <f t="shared" si="456"/>
        <v>0.42978510744627685</v>
      </c>
      <c r="AU210" s="26">
        <f t="shared" si="457"/>
        <v>0</v>
      </c>
      <c r="AV210" s="26">
        <f t="shared" si="463"/>
        <v>99.999999999999986</v>
      </c>
      <c r="AW210" s="16"/>
      <c r="AX210" s="16"/>
      <c r="AY210" s="16"/>
      <c r="AZ210" s="16"/>
      <c r="BA210" s="26"/>
      <c r="BB210" s="26">
        <v>0.11</v>
      </c>
      <c r="BC210" s="26">
        <f t="shared" si="464"/>
        <v>0.10999999999999999</v>
      </c>
      <c r="BD210" s="26">
        <f t="shared" si="465"/>
        <v>0.89</v>
      </c>
      <c r="BE210" s="25">
        <v>-5.0833333333333304</v>
      </c>
      <c r="BF210" s="16"/>
      <c r="BG210" s="16" t="s">
        <v>1508</v>
      </c>
      <c r="BH210" s="16"/>
      <c r="BI210" s="16"/>
      <c r="BJ210" s="16"/>
      <c r="BK210" s="18"/>
      <c r="BL210" s="18"/>
      <c r="BM210" s="18"/>
      <c r="BN210" s="18">
        <v>57.33</v>
      </c>
      <c r="BO210" s="18">
        <v>44.95</v>
      </c>
      <c r="BP210" s="18">
        <v>10.29</v>
      </c>
      <c r="BQ210" s="18">
        <v>16.16</v>
      </c>
      <c r="BR210" s="18">
        <v>125.04</v>
      </c>
      <c r="BS210" s="18">
        <v>152.97</v>
      </c>
      <c r="BT210" s="18">
        <v>11.28</v>
      </c>
      <c r="BU210" s="18">
        <v>2</v>
      </c>
      <c r="BV210" s="18">
        <v>2.0699999999999998</v>
      </c>
      <c r="BW210" s="18">
        <v>45.61</v>
      </c>
      <c r="BX210" s="18">
        <v>2.8000000000000001E-2</v>
      </c>
      <c r="BY210" s="18">
        <v>0.16500000000000001</v>
      </c>
      <c r="BZ210" s="18">
        <v>1.29</v>
      </c>
      <c r="CA210" s="18">
        <v>2.5999999999999999E-2</v>
      </c>
      <c r="CB210" s="18">
        <v>1.4E-2</v>
      </c>
      <c r="CC210" s="18">
        <v>0</v>
      </c>
      <c r="CD210" s="18">
        <v>0</v>
      </c>
      <c r="CE210" s="18">
        <v>0</v>
      </c>
      <c r="CF210" s="18">
        <v>0</v>
      </c>
      <c r="CG210" s="18">
        <v>0</v>
      </c>
      <c r="CH210" s="18">
        <v>0.38300000000000001</v>
      </c>
      <c r="CI210" s="18">
        <v>3.46</v>
      </c>
      <c r="CJ210" s="18">
        <v>4.2000000000000003E-2</v>
      </c>
      <c r="CK210" s="18">
        <v>0.188</v>
      </c>
      <c r="CL210" s="18"/>
      <c r="CM210" s="18">
        <v>0.61799999999999999</v>
      </c>
      <c r="CN210" s="18"/>
      <c r="CO210" s="18"/>
      <c r="CP210" s="18"/>
      <c r="CQ210" s="18"/>
      <c r="CR210" s="18">
        <v>1.0999999999999999E-2</v>
      </c>
      <c r="CS210" s="18">
        <v>19.38</v>
      </c>
      <c r="CT210" s="18">
        <v>0.08</v>
      </c>
      <c r="CU210" s="18">
        <v>1.0900000000000001</v>
      </c>
      <c r="CV210" s="18">
        <v>1.24</v>
      </c>
      <c r="CW210" s="18">
        <v>0.121</v>
      </c>
      <c r="CX210" s="18">
        <v>0.35499999999999998</v>
      </c>
      <c r="CY210" s="18">
        <v>5.7000000000000002E-2</v>
      </c>
      <c r="CZ210" s="18">
        <v>0.01</v>
      </c>
      <c r="DA210" s="18">
        <v>1.7000000000000001E-2</v>
      </c>
      <c r="DB210" s="18">
        <v>0.01</v>
      </c>
      <c r="DC210" s="18">
        <v>3.0000000000000001E-3</v>
      </c>
      <c r="DD210" s="18">
        <v>1.2E-2</v>
      </c>
      <c r="DE210" s="18"/>
      <c r="DF210" s="18">
        <v>1.6E-2</v>
      </c>
      <c r="DG210" s="18">
        <v>3.0000000000000001E-3</v>
      </c>
      <c r="DH210" s="18">
        <v>1.0999999999999999E-2</v>
      </c>
      <c r="DI210" s="18">
        <v>7.0000000000000001E-3</v>
      </c>
      <c r="DJ210" s="18">
        <v>4.1000000000000002E-2</v>
      </c>
      <c r="DK210" s="18">
        <v>8.8999999999999996E-2</v>
      </c>
      <c r="DL210" s="18">
        <v>0.23499999999999999</v>
      </c>
      <c r="DM210" s="18">
        <v>4.1000000000000002E-2</v>
      </c>
      <c r="DN210" s="18"/>
      <c r="DO210" s="18"/>
      <c r="DP210" s="18"/>
      <c r="DQ210" s="18"/>
      <c r="DR210" s="18"/>
      <c r="DS210" s="18"/>
      <c r="DT210" s="18"/>
      <c r="DU210" s="18"/>
      <c r="DV210" s="28"/>
      <c r="DW210" s="28"/>
      <c r="DX210" s="28"/>
      <c r="DY210" s="28"/>
      <c r="DZ210" s="28"/>
      <c r="EA210" s="28"/>
      <c r="EB210" s="28"/>
      <c r="EC210" s="28"/>
      <c r="ED210" s="28"/>
      <c r="EE210" s="28"/>
      <c r="EF210" s="28"/>
      <c r="EG210" s="28"/>
      <c r="EH210" s="28"/>
      <c r="EI210" s="28"/>
      <c r="EJ210" s="18"/>
      <c r="EK210" s="18"/>
      <c r="EL210" s="18">
        <f>IFERROR(CR210/'McDonough &amp; Sun 1995 values'!C$2,)</f>
        <v>0.52380952380952372</v>
      </c>
      <c r="EM210" s="18">
        <f>IFERROR(CH210/'McDonough &amp; Sun 1995 values'!D$2,)</f>
        <v>0.63833333333333342</v>
      </c>
      <c r="EN210" s="18">
        <f>IFERROR(CS210/'McDonough &amp; Sun 1995 values'!E$2,)</f>
        <v>2.9363636363636365</v>
      </c>
      <c r="EO210" s="18">
        <f>IFERROR(DL210/'McDonough &amp; Sun 1995 values'!F$2,)</f>
        <v>2.9559748427672954</v>
      </c>
      <c r="EP210" s="18">
        <f>IFERROR(DM210/'McDonough &amp; Sun 1995 values'!G$2,)</f>
        <v>2.0197044334975374</v>
      </c>
      <c r="EQ210" s="18">
        <f>IFERROR(BR210/'McDonough &amp; Sun 1995 values'!H$2,)</f>
        <v>0.52100000000000002</v>
      </c>
      <c r="ER210" s="18">
        <f>IFERROR(DI210/'McDonough &amp; Sun 1995 values'!I$2,)</f>
        <v>0.1891891891891892</v>
      </c>
      <c r="ES210" s="18">
        <f>IFERROR(CM210/'McDonough &amp; Sun 1995 values'!J$2,)</f>
        <v>0.93920972644376899</v>
      </c>
      <c r="ET210" s="18">
        <f>IFERROR(CU210/'McDonough &amp; Sun 1995 values'!K$2,)</f>
        <v>1.6820987654320989</v>
      </c>
      <c r="EU210" s="18">
        <f>IFERROR(CV210/'McDonough &amp; Sun 1995 values'!L$2,)</f>
        <v>0.74029850746268655</v>
      </c>
      <c r="EV210" s="18">
        <f>IFERROR(CW210/'McDonough &amp; Sun 1995 values'!M$2,)</f>
        <v>0.4763779527559055</v>
      </c>
      <c r="EW210" s="18">
        <f>IFERROR(CI210/'McDonough &amp; Sun 1995 values'!N$2,)</f>
        <v>0.17386934673366836</v>
      </c>
      <c r="EX210" s="18">
        <f>IFERROR(CX210/'McDonough &amp; Sun 1995 values'!O$2,)</f>
        <v>0.28399999999999997</v>
      </c>
      <c r="EY210" s="18">
        <f>IFERROR(CY210/'McDonough &amp; Sun 1995 values'!P$2,)</f>
        <v>0.14039408866995073</v>
      </c>
      <c r="EZ210" s="18">
        <f>IFERROR(DH210/'McDonough &amp; Sun 1995 values'!Q$2,)</f>
        <v>3.8869257950530034E-2</v>
      </c>
      <c r="FA210" s="18">
        <f>IFERROR(CK210/'McDonough &amp; Sun 1995 values'!R$2,)</f>
        <v>1.7904761904761906E-2</v>
      </c>
      <c r="FB210" s="18">
        <f>IFERROR(CZ210/'McDonough &amp; Sun 1995 values'!S$2,)</f>
        <v>6.4935064935064943E-2</v>
      </c>
      <c r="FC210" s="18">
        <f>IFERROR(BT210/'McDonough &amp; Sun 1995 values'!T$2,)</f>
        <v>9.3609958506224063E-3</v>
      </c>
      <c r="FD210" s="18">
        <f>IFERROR(DA210/'McDonough &amp; Sun 1995 values'!U$2,)</f>
        <v>3.125E-2</v>
      </c>
      <c r="FE210" s="18">
        <f>IFERROR(DN210/'McDonough &amp; Sun 1995 values'!V$2,)</f>
        <v>0</v>
      </c>
      <c r="FF210" s="18">
        <f>IFERROR(DB210/'McDonough &amp; Sun 1995 values'!W$2,)</f>
        <v>1.4836795252225518E-2</v>
      </c>
      <c r="FG210" s="18">
        <f>IFERROR(CJ210/'McDonough &amp; Sun 1995 values'!X$2,)</f>
        <v>9.7674418604651175E-3</v>
      </c>
      <c r="FH210" s="18">
        <f>IFERROR(DC210/'McDonough &amp; Sun 1995 values'!Y$2,)</f>
        <v>2.0134228187919465E-2</v>
      </c>
      <c r="FI210" s="18">
        <f>IFERROR(DD210/'McDonough &amp; Sun 1995 values'!Z$2,)</f>
        <v>2.7397260273972605E-2</v>
      </c>
      <c r="FJ210" s="18">
        <f>IFERROR(DE210/'McDonough &amp; Sun 1995 values'!AA$2,)</f>
        <v>0</v>
      </c>
      <c r="FK210" s="18">
        <f>IFERROR(DF210/'McDonough &amp; Sun 1995 values'!AB$2,)</f>
        <v>3.6281179138321996E-2</v>
      </c>
      <c r="FL210" s="18">
        <f>IFERROR(DG210/'McDonough &amp; Sun 1995 values'!AC$2,)</f>
        <v>4.4444444444444439E-2</v>
      </c>
      <c r="FN210" s="28">
        <f t="shared" si="458"/>
        <v>3.8765920028743519</v>
      </c>
      <c r="FO210" s="4">
        <f t="shared" ref="FO210:FO233" si="466">IFERROR(EN210/EP210,)</f>
        <v>1.4538580931263856</v>
      </c>
      <c r="FP210" s="4">
        <f t="shared" ref="FP210:FP233" si="467">IFERROR(EO210/ES210,)</f>
        <v>3.147300075308868</v>
      </c>
      <c r="FQ210" s="4">
        <f t="shared" ref="FQ210:FQ233" si="468">IFERROR(EO210/EP210,)</f>
        <v>1.4635680319067337</v>
      </c>
      <c r="FR210" s="4">
        <f t="shared" ref="FR210:FR233" si="469">IFERROR(ET210/ES210,)</f>
        <v>1.7909724719325584</v>
      </c>
      <c r="FS210" s="4">
        <f t="shared" ref="FS210:FS233" si="470">IFERROR(ET210/ER210,)</f>
        <v>8.8910934744268086</v>
      </c>
      <c r="FT210" s="4">
        <f t="shared" ref="FT210:FT233" si="471">IFERROR(EM210/EL210,)</f>
        <v>1.218636363636364</v>
      </c>
      <c r="FU210" s="4">
        <f t="shared" ref="FU210:FU233" si="472">IFERROR(ER210/ES210,)</f>
        <v>0.20143444415289077</v>
      </c>
      <c r="FV210" s="4">
        <f t="shared" ref="FV210:FV233" si="473">IFERROR(FA210/EY210,)</f>
        <v>0.12753216374269008</v>
      </c>
      <c r="FW210" s="4">
        <f t="shared" ref="FW210:FW233" si="474">IFERROR(FA210/EZ210,)</f>
        <v>0.46064069264069268</v>
      </c>
      <c r="FX210" s="4">
        <f t="shared" ref="FX210:FX233" si="475">IFERROR(FB210/(0.5*FD210+0.5*EY210),)</f>
        <v>0.75662454137790469</v>
      </c>
      <c r="FY210" s="4">
        <f t="shared" ref="FY210:FY233" si="476">IFERROR(EW210/SQRT(EV210*EX210),)</f>
        <v>0.47270263750483871</v>
      </c>
      <c r="FZ210" s="4">
        <f t="shared" ref="FZ210:FZ233" si="477">IFERROR(FB210/SQRT(EY210*FD210),)</f>
        <v>0.98034707472287996</v>
      </c>
      <c r="GA210" s="4">
        <f t="shared" ref="GA210:GA233" si="478">IFERROR(EW210/EV210,)</f>
        <v>0.36498193446571703</v>
      </c>
      <c r="GB210" s="4">
        <f t="shared" ref="GB210:GB233" si="479">IFERROR(FB210/EY210,)</f>
        <v>0.46251993620414678</v>
      </c>
      <c r="GC210" s="4">
        <f t="shared" ref="GC210:GC233" si="480">IFERROR(EL210/EM210,)</f>
        <v>0.82058933233867937</v>
      </c>
      <c r="GD210" s="4">
        <f t="shared" ref="GD210:GD233" si="481">IFERROR(EN210/EO210,)</f>
        <v>0.99336557059961328</v>
      </c>
      <c r="GE210" s="4">
        <f t="shared" ref="GE210:GE233" si="482">IFERROR(EN210/EM210,)</f>
        <v>4.600047472110135</v>
      </c>
      <c r="GF210" s="4">
        <f t="shared" ref="GF210:GF233" si="483">IFERROR(EN210/EQ210,)</f>
        <v>5.6360146571279008</v>
      </c>
      <c r="GG210" s="4">
        <f t="shared" ref="GG210:GG233" si="484">IFERROR(EN210/ES210,)</f>
        <v>3.1264195351573996</v>
      </c>
      <c r="GH210" s="4">
        <f t="shared" ref="GH210:GH233" si="485">IFERROR(ET210/EV210,)</f>
        <v>3.5310172431384554</v>
      </c>
      <c r="GI210" s="4">
        <f t="shared" ref="GI210:GI233" si="486">IFERROR(ET210/EY210,)</f>
        <v>11.981264890621617</v>
      </c>
      <c r="GJ210" s="4">
        <f t="shared" ref="GJ210:GJ233" si="487">IFERROR(ET210/FF210,)</f>
        <v>113.37345679012347</v>
      </c>
      <c r="GK210" s="4">
        <f t="shared" ref="GK210:GK233" si="488">IFERROR(ET210/FK210,)</f>
        <v>46.362847222222221</v>
      </c>
      <c r="GL210" s="4">
        <f t="shared" ref="GL210:GL233" si="489">IFERROR(FA210/FC210,)</f>
        <v>1.912698412698413</v>
      </c>
      <c r="GM210" s="4">
        <f t="shared" ref="GM210:GM233" si="490">IFERROR(EO210/EM210,)</f>
        <v>4.6307699886693916</v>
      </c>
      <c r="GN210" s="4">
        <f t="shared" ref="GN210:GN233" si="491">IFERROR(ES210/ET210,)</f>
        <v>0.55835587406932319</v>
      </c>
      <c r="GO210" s="4">
        <f t="shared" ref="GO210:GO233" si="492">IFERROR(ES210/EP210,)</f>
        <v>0.46502335236118308</v>
      </c>
      <c r="GP210" s="4">
        <f t="shared" ref="GP210:GP233" si="493">IFERROR(EQ210/EP210,)</f>
        <v>0.25795853658536583</v>
      </c>
      <c r="GQ210" s="27">
        <f t="shared" ref="GQ210:GQ233" si="494">AS210*10000/1.20462</f>
        <v>15930.670914978331</v>
      </c>
      <c r="GR210" s="28">
        <f t="shared" ref="GR210:GR233" si="495">IFERROR(CR210/$BR210*$GQ210,"")</f>
        <v>1.4014505763336662</v>
      </c>
      <c r="GS210" s="28">
        <f t="shared" ref="GS210:GS233" si="496">IFERROR(CH210/$BR210*$GQ210,"")</f>
        <v>48.795960975981288</v>
      </c>
      <c r="GT210" s="28">
        <f t="shared" ref="GT210:GT233" si="497">IFERROR(CS210/$BR210*$GQ210,"")</f>
        <v>2469.1011063042224</v>
      </c>
      <c r="GU210" s="28">
        <f t="shared" ref="GU210:GU233" si="498">IFERROR(DL210/$BR210*$GQ210,"")</f>
        <v>29.940080494401052</v>
      </c>
      <c r="GV210" s="28">
        <f t="shared" ref="GV210:GV233" si="499">IFERROR(DM210/$BR210*$GQ210,"")</f>
        <v>5.2235885117891199</v>
      </c>
      <c r="GW210" s="28">
        <f t="shared" ref="GW210:GW233" si="500">IFERROR(BR210/$BR210*$GQ210,"")</f>
        <v>15930.670914978331</v>
      </c>
      <c r="GX210" s="28">
        <f t="shared" ref="GX210:GX233" si="501">IFERROR(DI210/$BR210*$GQ210,"")</f>
        <v>0.89183218493960581</v>
      </c>
      <c r="GY210" s="28">
        <f t="shared" ref="GY210:GY233" si="502">IFERROR(CM210/$BR210*$GQ210,"")</f>
        <v>78.736041470382347</v>
      </c>
      <c r="GZ210" s="28">
        <f t="shared" ref="GZ210:GZ233" si="503">IFERROR(CU210/$BR210*$GQ210,"")</f>
        <v>138.8710116548815</v>
      </c>
      <c r="HA210" s="28">
        <f t="shared" ref="HA210:HA233" si="504">IFERROR(CV210/$BR210*$GQ210,"")</f>
        <v>157.98170133215874</v>
      </c>
      <c r="HB210" s="28">
        <f t="shared" ref="HB210:HB233" si="505">IFERROR(CW210/$BR210*$GQ210,"")</f>
        <v>15.415956339670329</v>
      </c>
      <c r="HC210" s="28">
        <f t="shared" ref="HC210:HC233" si="506">IFERROR(CI210/$BR210*$GQ210,"")</f>
        <v>440.8199085558623</v>
      </c>
      <c r="HD210" s="28">
        <f t="shared" ref="HD210:HD233" si="507">IFERROR(CX210/$BR210*$GQ210,"")</f>
        <v>45.228632236222865</v>
      </c>
      <c r="HE210" s="28">
        <f t="shared" ref="HE210:HE233" si="508">IFERROR(CY210/$BR210*$GQ210,"")</f>
        <v>7.2620620773653615</v>
      </c>
      <c r="HF210" s="28">
        <f t="shared" ref="HF210:HF233" si="509">IFERROR(DH210/$BR210*$GQ210,"")</f>
        <v>1.4014505763336662</v>
      </c>
      <c r="HG210" s="28">
        <f t="shared" ref="HG210:HG233" si="510">IFERROR(CK210/$BR210*$GQ210,"")</f>
        <v>23.952064395520843</v>
      </c>
      <c r="HH210" s="28">
        <f t="shared" ref="HH210:HH233" si="511">IFERROR(CZ210/$BR210*$GQ210,"")</f>
        <v>1.2740459784851512</v>
      </c>
      <c r="HI210" s="28">
        <f t="shared" ref="HI210:HI233" si="512">IFERROR(BT210/$BR210*$GQ210,"")</f>
        <v>1437.1238637312504</v>
      </c>
      <c r="HJ210" s="28">
        <f t="shared" ref="HJ210:HJ233" si="513">IFERROR(DA210/$BR210*$GQ210,"")</f>
        <v>2.165878163424757</v>
      </c>
      <c r="HK210" s="28">
        <f t="shared" ref="HK210:HK233" si="514">IFERROR(DN210/$BR210*$GQ210,"")</f>
        <v>0</v>
      </c>
      <c r="HL210" s="28">
        <f t="shared" ref="HL210:HL233" si="515">IFERROR(DB210/$BR210*$GQ210,"")</f>
        <v>1.2740459784851512</v>
      </c>
      <c r="HM210" s="28">
        <f t="shared" ref="HM210:HM233" si="516">IFERROR(CJ210/$BR210*$GQ210,"")</f>
        <v>5.3509931096376357</v>
      </c>
      <c r="HN210" s="28">
        <f t="shared" ref="HN210:HN233" si="517">IFERROR(DC210/$BR210*$GQ210,"")</f>
        <v>0.38221379354554536</v>
      </c>
      <c r="HO210" s="28">
        <f t="shared" ref="HO210:HO233" si="518">IFERROR(DD210/$BR210*$GQ210,"")</f>
        <v>1.5288551741821814</v>
      </c>
      <c r="HP210" s="28">
        <f t="shared" ref="HP210:HP233" si="519">IFERROR(DE210/$BR210*$GQ210,"")</f>
        <v>0</v>
      </c>
      <c r="HQ210" s="28">
        <f t="shared" ref="HQ210:HQ233" si="520">IFERROR(DF210/$BR210*$GQ210,"")</f>
        <v>2.038473565576242</v>
      </c>
      <c r="HR210" s="28">
        <f t="shared" ref="HR210:HR233" si="521">IFERROR(DG210/$BR210*$GQ210,"")</f>
        <v>0.38221379354554536</v>
      </c>
      <c r="HT210" s="4">
        <f>IFERROR(GR210/'McDonough &amp; Sun 1995 values'!C$2,)</f>
        <v>66.735741730174581</v>
      </c>
      <c r="HU210" s="4">
        <f>IFERROR(GS210/'McDonough &amp; Sun 1995 values'!D$2,)</f>
        <v>81.32660162663548</v>
      </c>
      <c r="HV210" s="4">
        <f>IFERROR(GT210/'McDonough &amp; Sun 1995 values'!E$2,)</f>
        <v>374.10622822791248</v>
      </c>
      <c r="HW210" s="4">
        <f>IFERROR(GU210/'McDonough &amp; Sun 1995 values'!F$2,)</f>
        <v>376.60478609309496</v>
      </c>
      <c r="HX210" s="4">
        <f>IFERROR(GV210/'McDonough &amp; Sun 1995 values'!G$2,)</f>
        <v>257.31963112261678</v>
      </c>
      <c r="HY210" s="4">
        <f>IFERROR(GW210/'McDonough &amp; Sun 1995 values'!H$2,)</f>
        <v>66.377795479076383</v>
      </c>
      <c r="HZ210" s="4">
        <f>IFERROR(GX210/'McDonough &amp; Sun 1995 values'!I$2,)</f>
        <v>24.103572565935295</v>
      </c>
      <c r="IA210" s="4">
        <f>IFERROR(GY210/'McDonough &amp; Sun 1995 values'!J$2,)</f>
        <v>119.65963749298228</v>
      </c>
      <c r="IB210" s="4">
        <f>IFERROR(GZ210/'McDonough &amp; Sun 1995 values'!K$2,)</f>
        <v>214.30711675136033</v>
      </c>
      <c r="IC210" s="4">
        <f>IFERROR(HA210/'McDonough &amp; Sun 1995 values'!L$2,)</f>
        <v>94.317433631139536</v>
      </c>
      <c r="ID210" s="4">
        <f>IFERROR(HB210/'McDonough &amp; Sun 1995 values'!M$2,)</f>
        <v>60.692741494765073</v>
      </c>
      <c r="IE210" s="4">
        <f>IFERROR(HC210/'McDonough &amp; Sun 1995 values'!N$2,)</f>
        <v>22.151754198787053</v>
      </c>
      <c r="IF210" s="4">
        <f>IFERROR(HD210/'McDonough &amp; Sun 1995 values'!O$2,)</f>
        <v>36.182905788978289</v>
      </c>
      <c r="IG210" s="4">
        <f>IFERROR(HE210/'McDonough &amp; Sun 1995 values'!P$2,)</f>
        <v>17.886852407303845</v>
      </c>
      <c r="IH210" s="4">
        <f>IFERROR(HF210/'McDonough &amp; Sun 1995 values'!Q$2,)</f>
        <v>4.9521221778574782</v>
      </c>
      <c r="II210" s="4">
        <f>IFERROR(HG210/'McDonough &amp; Sun 1995 values'!R$2,)</f>
        <v>2.281148990049604</v>
      </c>
      <c r="IJ210" s="4">
        <f>IFERROR(HH210/'McDonough &amp; Sun 1995 values'!S$2,)</f>
        <v>8.2730258343191636</v>
      </c>
      <c r="IK210" s="4">
        <f>IFERROR(HI210/'McDonough &amp; Sun 1995 values'!T$2,)</f>
        <v>1.1926339118101663</v>
      </c>
      <c r="IL210" s="4">
        <f>IFERROR(HJ210/'McDonough &amp; Sun 1995 values'!U$2,)</f>
        <v>3.9813936827660972</v>
      </c>
      <c r="IM210" s="4">
        <f>IFERROR(HK210/'McDonough &amp; Sun 1995 values'!V$2,)</f>
        <v>0</v>
      </c>
      <c r="IN210" s="4">
        <f>IFERROR(HL210/'McDonough &amp; Sun 1995 values'!W$2,)</f>
        <v>1.8902759324705507</v>
      </c>
      <c r="IO210" s="4">
        <f>IFERROR(HM210/'McDonough &amp; Sun 1995 values'!X$2,)</f>
        <v>1.2444170022413108</v>
      </c>
      <c r="IP210" s="4">
        <f>IFERROR(HN210/'McDonough &amp; Sun 1995 values'!Y$2,)</f>
        <v>2.5651932452721167</v>
      </c>
      <c r="IQ210" s="4">
        <f>IFERROR(HO210/'McDonough &amp; Sun 1995 values'!Z$2,)</f>
        <v>3.4905369273565787</v>
      </c>
      <c r="IR210" s="4">
        <f>IFERROR(HP210/'McDonough &amp; Sun 1995 values'!AA$2,)</f>
        <v>0</v>
      </c>
      <c r="IS210" s="4">
        <f>IFERROR(HQ210/'McDonough &amp; Sun 1995 values'!AB$2,)</f>
        <v>4.6223890375878502</v>
      </c>
      <c r="IT210" s="4">
        <f>IFERROR(HR210/'McDonough &amp; Sun 1995 values'!AC$2,)</f>
        <v>5.662426571045116</v>
      </c>
    </row>
    <row r="211" spans="1:254">
      <c r="A211" s="16" t="s">
        <v>672</v>
      </c>
      <c r="B211" s="16" t="s">
        <v>24</v>
      </c>
      <c r="C211" s="16" t="str">
        <f t="shared" si="461"/>
        <v>silicic</v>
      </c>
      <c r="D211" s="16" t="s">
        <v>1723</v>
      </c>
      <c r="E211" s="16" t="s">
        <v>237</v>
      </c>
      <c r="F211" s="16" t="s">
        <v>29</v>
      </c>
      <c r="G211" s="16" t="s">
        <v>595</v>
      </c>
      <c r="H211" s="27">
        <v>360</v>
      </c>
      <c r="I211" s="16" t="s">
        <v>735</v>
      </c>
      <c r="J211" s="16" t="s">
        <v>1496</v>
      </c>
      <c r="K211" s="16">
        <v>0</v>
      </c>
      <c r="L211" s="16">
        <v>0</v>
      </c>
      <c r="M211" s="16" t="s">
        <v>105</v>
      </c>
      <c r="N211" s="16">
        <v>20</v>
      </c>
      <c r="O211" s="26">
        <v>45.54</v>
      </c>
      <c r="P211" s="26">
        <v>4.46</v>
      </c>
      <c r="Q211" s="26">
        <v>0.21</v>
      </c>
      <c r="R211" s="26">
        <v>12.63</v>
      </c>
      <c r="S211" s="26">
        <v>10.51</v>
      </c>
      <c r="T211" s="26">
        <v>2.67</v>
      </c>
      <c r="U211" s="26">
        <v>0.52</v>
      </c>
      <c r="V211" s="26">
        <v>2.4900000000000002</v>
      </c>
      <c r="W211" s="26">
        <v>1.53</v>
      </c>
      <c r="X211" s="26">
        <v>13.22</v>
      </c>
      <c r="Y211" s="26"/>
      <c r="Z211" s="26">
        <v>2.89</v>
      </c>
      <c r="AA211" s="26"/>
      <c r="AB211" s="26"/>
      <c r="AC211" s="26"/>
      <c r="AD211" s="26">
        <v>2.42</v>
      </c>
      <c r="AE211" s="26"/>
      <c r="AF211" s="26">
        <v>0.91</v>
      </c>
      <c r="AG211" s="26"/>
      <c r="AH211" s="26"/>
      <c r="AI211" s="26"/>
      <c r="AJ211" s="26">
        <f t="shared" si="462"/>
        <v>98.36</v>
      </c>
      <c r="AK211" s="26">
        <f t="shared" ref="AK211:AK236" si="522">100*(O211/($AJ211-$AD211*8/35.45))</f>
        <v>46.557810204579546</v>
      </c>
      <c r="AL211" s="26">
        <f t="shared" ref="AL211:AL236" si="523">100*(P211/($AJ211-$AD211*8/35.45))</f>
        <v>4.5596801386127535</v>
      </c>
      <c r="AM211" s="26">
        <f t="shared" ref="AM211:AM236" si="524">100*(R211/($AJ211-$AD211*8/35.45))</f>
        <v>12.912278060690378</v>
      </c>
      <c r="AN211" s="26">
        <f t="shared" ref="AN211:AN236" si="525">100*(S211/($AJ211-$AD211*8/35.45))</f>
        <v>10.744896470139022</v>
      </c>
      <c r="AO211" s="26">
        <f t="shared" ref="AO211:AO236" si="526">100*(T211/($AJ211-$AD211*8/35.45))</f>
        <v>2.7296739843264688</v>
      </c>
      <c r="AP211" s="26">
        <f t="shared" ref="AP211:AP236" si="527">100*(V211/($AJ211-$AD211*8/35.45))</f>
        <v>2.5456510190909767</v>
      </c>
      <c r="AQ211" s="26">
        <f t="shared" ref="AQ211:AQ236" si="528">100*(AB211/($AJ211-$AD211*8/35.45))</f>
        <v>0</v>
      </c>
      <c r="AR211" s="26">
        <f t="shared" ref="AR211:AR236" si="529">100*(W211/($AJ211-$AD211*8/35.45))</f>
        <v>1.5641952045016845</v>
      </c>
      <c r="AS211" s="26">
        <f t="shared" ref="AS211:AS236" si="530">100*(X211/($AJ211-$AD211*8/35.45))</f>
        <v>13.515464446740047</v>
      </c>
      <c r="AT211" s="26">
        <f t="shared" ref="AT211:AT236" si="531">100*(Z211/($AJ211-$AD211*8/35.45))</f>
        <v>2.9545909418365155</v>
      </c>
      <c r="AU211" s="26">
        <f t="shared" ref="AU211:AU236" si="532">100*(AD211/($AJ211-$AD211*8/35.45))</f>
        <v>2.4740865326105075</v>
      </c>
      <c r="AV211" s="26">
        <f t="shared" si="463"/>
        <v>100.55832700312791</v>
      </c>
      <c r="AW211" s="16"/>
      <c r="AX211" s="16"/>
      <c r="AY211" s="16"/>
      <c r="AZ211" s="16"/>
      <c r="BA211" s="26"/>
      <c r="BB211" s="26">
        <v>0.48</v>
      </c>
      <c r="BC211" s="26">
        <f t="shared" si="464"/>
        <v>0.48</v>
      </c>
      <c r="BD211" s="26">
        <f t="shared" si="465"/>
        <v>0.52</v>
      </c>
      <c r="BE211" s="25">
        <v>-4.5999999999999996</v>
      </c>
      <c r="BF211" s="16"/>
      <c r="BG211" s="16">
        <v>35</v>
      </c>
      <c r="BH211" s="16"/>
      <c r="BI211" s="16"/>
      <c r="BJ211" s="16"/>
      <c r="BK211" s="18"/>
      <c r="BL211" s="18"/>
      <c r="BM211" s="18"/>
      <c r="BN211" s="18">
        <v>23</v>
      </c>
      <c r="BO211" s="18">
        <v>56</v>
      </c>
      <c r="BP211" s="18">
        <v>25</v>
      </c>
      <c r="BQ211" s="18"/>
      <c r="BR211" s="18">
        <v>24</v>
      </c>
      <c r="BS211" s="18">
        <v>73</v>
      </c>
      <c r="BT211" s="18">
        <v>3</v>
      </c>
      <c r="BU211" s="18"/>
      <c r="BV211" s="18">
        <v>0.99</v>
      </c>
      <c r="BW211" s="18">
        <v>349</v>
      </c>
      <c r="BX211" s="18">
        <v>2.0920000000000001</v>
      </c>
      <c r="BY211" s="18">
        <v>3.21</v>
      </c>
      <c r="BZ211" s="18"/>
      <c r="CA211" s="18">
        <v>0.34699999999999998</v>
      </c>
      <c r="CB211" s="18">
        <v>2.4E-2</v>
      </c>
      <c r="CC211" s="18"/>
      <c r="CD211" s="18"/>
      <c r="CE211" s="18"/>
      <c r="CF211" s="18"/>
      <c r="CG211" s="18"/>
      <c r="CH211" s="18">
        <v>0.05</v>
      </c>
      <c r="CI211" s="18">
        <v>0.2</v>
      </c>
      <c r="CJ211" s="18">
        <v>5.0000000000000001E-3</v>
      </c>
      <c r="CK211" s="18">
        <v>0.20599999999999999</v>
      </c>
      <c r="CL211" s="18"/>
      <c r="CM211" s="18">
        <v>7.5999999999999998E-2</v>
      </c>
      <c r="CN211" s="18"/>
      <c r="CO211" s="18"/>
      <c r="CP211" s="18"/>
      <c r="CQ211" s="18"/>
      <c r="CR211" s="18">
        <v>4.0000000000000001E-3</v>
      </c>
      <c r="CS211" s="18">
        <v>2.0299999999999998</v>
      </c>
      <c r="CT211" s="18">
        <v>7.03</v>
      </c>
      <c r="CU211" s="18">
        <v>5.7000000000000002E-2</v>
      </c>
      <c r="CV211" s="18">
        <v>7.9000000000000001E-2</v>
      </c>
      <c r="CW211" s="18">
        <v>8.0000000000000002E-3</v>
      </c>
      <c r="CX211" s="18">
        <v>3.2000000000000001E-2</v>
      </c>
      <c r="CY211" s="18">
        <v>1.7999999999999999E-2</v>
      </c>
      <c r="CZ211" s="18">
        <v>4.0000000000000001E-3</v>
      </c>
      <c r="DA211" s="18">
        <v>3.0000000000000001E-3</v>
      </c>
      <c r="DB211" s="18">
        <v>4.0000000000000001E-3</v>
      </c>
      <c r="DC211" s="18">
        <v>1E-3</v>
      </c>
      <c r="DD211" s="18" t="s">
        <v>1366</v>
      </c>
      <c r="DE211" s="18"/>
      <c r="DF211" s="18" t="s">
        <v>1366</v>
      </c>
      <c r="DG211" s="18" t="s">
        <v>1366</v>
      </c>
      <c r="DH211" s="18">
        <v>6.0000000000000001E-3</v>
      </c>
      <c r="DI211" s="18">
        <v>6.0000000000000001E-3</v>
      </c>
      <c r="DJ211" s="18"/>
      <c r="DK211" s="18">
        <v>2.23</v>
      </c>
      <c r="DL211" s="18">
        <v>7.0000000000000001E-3</v>
      </c>
      <c r="DM211" s="18">
        <v>3.0000000000000001E-3</v>
      </c>
      <c r="DN211" s="18"/>
      <c r="DO211" s="18"/>
      <c r="DP211" s="18"/>
      <c r="DQ211" s="18"/>
      <c r="DR211" s="18"/>
      <c r="DS211" s="18"/>
      <c r="DT211" s="18"/>
      <c r="DU211" s="18"/>
      <c r="DV211" s="28"/>
      <c r="DW211" s="28"/>
      <c r="DX211" s="28"/>
      <c r="DY211" s="28"/>
      <c r="DZ211" s="28"/>
      <c r="EA211" s="28"/>
      <c r="EB211" s="28"/>
      <c r="EC211" s="28"/>
      <c r="ED211" s="28"/>
      <c r="EE211" s="28"/>
      <c r="EF211" s="28"/>
      <c r="EG211" s="28"/>
      <c r="EH211" s="28"/>
      <c r="EI211" s="28"/>
      <c r="EJ211" s="18"/>
      <c r="EK211" s="18"/>
      <c r="EL211" s="18">
        <f>IFERROR(CR211/'McDonough &amp; Sun 1995 values'!C$2,)</f>
        <v>0.19047619047619047</v>
      </c>
      <c r="EM211" s="18">
        <f>IFERROR(CH211/'McDonough &amp; Sun 1995 values'!D$2,)</f>
        <v>8.3333333333333343E-2</v>
      </c>
      <c r="EN211" s="18">
        <f>IFERROR(CS211/'McDonough &amp; Sun 1995 values'!E$2,)</f>
        <v>0.30757575757575756</v>
      </c>
      <c r="EO211" s="18">
        <f>IFERROR(DL211/'McDonough &amp; Sun 1995 values'!F$2,)</f>
        <v>8.8050314465408799E-2</v>
      </c>
      <c r="EP211" s="18">
        <f>IFERROR(DM211/'McDonough &amp; Sun 1995 values'!G$2,)</f>
        <v>0.14778325123152711</v>
      </c>
      <c r="EQ211" s="18">
        <f>IFERROR(BR211/'McDonough &amp; Sun 1995 values'!H$2,)</f>
        <v>0.1</v>
      </c>
      <c r="ER211" s="18">
        <f>IFERROR(DI211/'McDonough &amp; Sun 1995 values'!I$2,)</f>
        <v>0.16216216216216217</v>
      </c>
      <c r="ES211" s="18">
        <f>IFERROR(CM211/'McDonough &amp; Sun 1995 values'!J$2,)</f>
        <v>0.11550151975683889</v>
      </c>
      <c r="ET211" s="18">
        <f>IFERROR(CU211/'McDonough &amp; Sun 1995 values'!K$2,)</f>
        <v>8.7962962962962965E-2</v>
      </c>
      <c r="EU211" s="18">
        <f>IFERROR(CV211/'McDonough &amp; Sun 1995 values'!L$2,)</f>
        <v>4.7164179104477615E-2</v>
      </c>
      <c r="EV211" s="18">
        <f>IFERROR(CW211/'McDonough &amp; Sun 1995 values'!M$2,)</f>
        <v>3.1496062992125984E-2</v>
      </c>
      <c r="EW211" s="18">
        <f>IFERROR(CI211/'McDonough &amp; Sun 1995 values'!N$2,)</f>
        <v>1.0050251256281409E-2</v>
      </c>
      <c r="EX211" s="18">
        <f>IFERROR(CX211/'McDonough &amp; Sun 1995 values'!O$2,)</f>
        <v>2.5600000000000001E-2</v>
      </c>
      <c r="EY211" s="18">
        <f>IFERROR(CY211/'McDonough &amp; Sun 1995 values'!P$2,)</f>
        <v>4.4334975369458123E-2</v>
      </c>
      <c r="EZ211" s="18">
        <f>IFERROR(DH211/'McDonough &amp; Sun 1995 values'!Q$2,)</f>
        <v>2.1201413427561839E-2</v>
      </c>
      <c r="FA211" s="18">
        <f>IFERROR(CK211/'McDonough &amp; Sun 1995 values'!R$2,)</f>
        <v>1.9619047619047619E-2</v>
      </c>
      <c r="FB211" s="18">
        <f>IFERROR(CZ211/'McDonough &amp; Sun 1995 values'!S$2,)</f>
        <v>2.5974025974025976E-2</v>
      </c>
      <c r="FC211" s="18">
        <f>IFERROR(BT211/'McDonough &amp; Sun 1995 values'!T$2,)</f>
        <v>2.4896265560165973E-3</v>
      </c>
      <c r="FD211" s="18">
        <f>IFERROR(DA211/'McDonough &amp; Sun 1995 values'!U$2,)</f>
        <v>5.5147058823529407E-3</v>
      </c>
      <c r="FE211" s="18">
        <f>IFERROR(DN211/'McDonough &amp; Sun 1995 values'!V$2,)</f>
        <v>0</v>
      </c>
      <c r="FF211" s="18">
        <f>IFERROR(DB211/'McDonough &amp; Sun 1995 values'!W$2,)</f>
        <v>5.9347181008902071E-3</v>
      </c>
      <c r="FG211" s="18">
        <f>IFERROR(CJ211/'McDonough &amp; Sun 1995 values'!X$2,)</f>
        <v>1.1627906976744186E-3</v>
      </c>
      <c r="FH211" s="18">
        <f>IFERROR(DC211/'McDonough &amp; Sun 1995 values'!Y$2,)</f>
        <v>6.7114093959731551E-3</v>
      </c>
      <c r="FI211" s="18">
        <f>IFERROR(DD211/'McDonough &amp; Sun 1995 values'!Z$2,)</f>
        <v>0</v>
      </c>
      <c r="FJ211" s="18">
        <f>IFERROR(DE211/'McDonough &amp; Sun 1995 values'!AA$2,)</f>
        <v>0</v>
      </c>
      <c r="FK211" s="18">
        <f>IFERROR(DF211/'McDonough &amp; Sun 1995 values'!AB$2,)</f>
        <v>0</v>
      </c>
      <c r="FL211" s="18">
        <f>IFERROR(DG211/'McDonough &amp; Sun 1995 values'!AC$2,)</f>
        <v>0</v>
      </c>
      <c r="FN211" s="28">
        <f t="shared" si="458"/>
        <v>1.4778325123152709</v>
      </c>
      <c r="FO211" s="4">
        <f t="shared" si="466"/>
        <v>2.0812626262626259</v>
      </c>
      <c r="FP211" s="4">
        <f t="shared" si="467"/>
        <v>0.76233035418735517</v>
      </c>
      <c r="FQ211" s="4">
        <f t="shared" si="468"/>
        <v>0.59580712788259949</v>
      </c>
      <c r="FR211" s="4">
        <f t="shared" si="469"/>
        <v>0.76157407407407418</v>
      </c>
      <c r="FS211" s="4">
        <f t="shared" si="470"/>
        <v>0.54243827160493829</v>
      </c>
      <c r="FT211" s="4">
        <f t="shared" si="471"/>
        <v>0.43750000000000006</v>
      </c>
      <c r="FU211" s="4">
        <f t="shared" si="472"/>
        <v>1.4039829302987199</v>
      </c>
      <c r="FV211" s="4">
        <f t="shared" si="473"/>
        <v>0.44251851851851859</v>
      </c>
      <c r="FW211" s="4">
        <f t="shared" si="474"/>
        <v>0.92536507936507928</v>
      </c>
      <c r="FX211" s="4">
        <f t="shared" si="475"/>
        <v>1.042093964164809</v>
      </c>
      <c r="FY211" s="4">
        <f t="shared" si="476"/>
        <v>0.35393931123067363</v>
      </c>
      <c r="FZ211" s="4">
        <f t="shared" si="477"/>
        <v>1.661134725887818</v>
      </c>
      <c r="GA211" s="4">
        <f t="shared" si="478"/>
        <v>0.31909547738693472</v>
      </c>
      <c r="GB211" s="4">
        <f t="shared" si="479"/>
        <v>0.58585858585858597</v>
      </c>
      <c r="GC211" s="4">
        <f t="shared" si="480"/>
        <v>2.2857142857142851</v>
      </c>
      <c r="GD211" s="4">
        <f t="shared" si="481"/>
        <v>3.4931818181818182</v>
      </c>
      <c r="GE211" s="4">
        <f t="shared" si="482"/>
        <v>3.6909090909090905</v>
      </c>
      <c r="GF211" s="4">
        <f t="shared" si="483"/>
        <v>3.0757575757575752</v>
      </c>
      <c r="GG211" s="4">
        <f t="shared" si="484"/>
        <v>2.6629585326953751</v>
      </c>
      <c r="GH211" s="4">
        <f t="shared" si="485"/>
        <v>2.792824074074074</v>
      </c>
      <c r="GI211" s="4">
        <f t="shared" si="486"/>
        <v>1.9840534979423872</v>
      </c>
      <c r="GJ211" s="4">
        <f t="shared" si="487"/>
        <v>14.821759259259261</v>
      </c>
      <c r="GK211" s="4">
        <f t="shared" si="488"/>
        <v>0</v>
      </c>
      <c r="GL211" s="4">
        <f t="shared" si="489"/>
        <v>7.8803174603174613</v>
      </c>
      <c r="GM211" s="4">
        <f t="shared" si="490"/>
        <v>1.0566037735849054</v>
      </c>
      <c r="GN211" s="4">
        <f t="shared" si="491"/>
        <v>1.3130699088145894</v>
      </c>
      <c r="GO211" s="4">
        <f t="shared" si="492"/>
        <v>0.78156028368794306</v>
      </c>
      <c r="GP211" s="4">
        <f t="shared" si="493"/>
        <v>0.67666666666666664</v>
      </c>
      <c r="GQ211" s="27">
        <f t="shared" si="494"/>
        <v>112196.91227723304</v>
      </c>
      <c r="GR211" s="28">
        <f t="shared" si="495"/>
        <v>18.699485379538839</v>
      </c>
      <c r="GS211" s="28">
        <f t="shared" si="496"/>
        <v>233.74356724423549</v>
      </c>
      <c r="GT211" s="28">
        <f t="shared" si="497"/>
        <v>9489.9888301159608</v>
      </c>
      <c r="GU211" s="28">
        <f t="shared" si="498"/>
        <v>32.724099414192978</v>
      </c>
      <c r="GV211" s="28">
        <f t="shared" si="499"/>
        <v>14.024614034654132</v>
      </c>
      <c r="GW211" s="28">
        <f t="shared" si="500"/>
        <v>112196.91227723304</v>
      </c>
      <c r="GX211" s="28">
        <f t="shared" si="501"/>
        <v>28.049228069308263</v>
      </c>
      <c r="GY211" s="28">
        <f t="shared" si="502"/>
        <v>355.29022221123796</v>
      </c>
      <c r="GZ211" s="28">
        <f t="shared" si="503"/>
        <v>266.46766665842847</v>
      </c>
      <c r="HA211" s="28">
        <f t="shared" si="504"/>
        <v>369.31483624589208</v>
      </c>
      <c r="HB211" s="28">
        <f t="shared" si="505"/>
        <v>37.398970759077677</v>
      </c>
      <c r="HC211" s="28">
        <f t="shared" si="506"/>
        <v>934.97426897694197</v>
      </c>
      <c r="HD211" s="28">
        <f t="shared" si="507"/>
        <v>149.59588303631071</v>
      </c>
      <c r="HE211" s="28">
        <f t="shared" si="508"/>
        <v>84.147684207924769</v>
      </c>
      <c r="HF211" s="28">
        <f t="shared" si="509"/>
        <v>28.049228069308263</v>
      </c>
      <c r="HG211" s="28">
        <f t="shared" si="510"/>
        <v>963.02349704625033</v>
      </c>
      <c r="HH211" s="28">
        <f t="shared" si="511"/>
        <v>18.699485379538839</v>
      </c>
      <c r="HI211" s="28">
        <f t="shared" si="512"/>
        <v>14024.614034654131</v>
      </c>
      <c r="HJ211" s="28">
        <f t="shared" si="513"/>
        <v>14.024614034654132</v>
      </c>
      <c r="HK211" s="28">
        <f t="shared" si="514"/>
        <v>0</v>
      </c>
      <c r="HL211" s="28">
        <f t="shared" si="515"/>
        <v>18.699485379538839</v>
      </c>
      <c r="HM211" s="28">
        <f t="shared" si="516"/>
        <v>23.374356724423553</v>
      </c>
      <c r="HN211" s="28">
        <f t="shared" si="517"/>
        <v>4.6748713448847097</v>
      </c>
      <c r="HO211" s="28" t="str">
        <f t="shared" si="518"/>
        <v/>
      </c>
      <c r="HP211" s="28">
        <f t="shared" si="519"/>
        <v>0</v>
      </c>
      <c r="HQ211" s="28" t="str">
        <f t="shared" si="520"/>
        <v/>
      </c>
      <c r="HR211" s="28" t="str">
        <f t="shared" si="521"/>
        <v/>
      </c>
      <c r="HT211" s="4">
        <f>IFERROR(GR211/'McDonough &amp; Sun 1995 values'!C$2,)</f>
        <v>890.45168473994465</v>
      </c>
      <c r="HU211" s="4">
        <f>IFERROR(GS211/'McDonough &amp; Sun 1995 values'!D$2,)</f>
        <v>389.57261207372585</v>
      </c>
      <c r="HV211" s="4">
        <f>IFERROR(GT211/'McDonough &amp; Sun 1995 values'!E$2,)</f>
        <v>1437.8770954721153</v>
      </c>
      <c r="HW211" s="4">
        <f>IFERROR(GU211/'McDonough &amp; Sun 1995 values'!F$2,)</f>
        <v>411.6238920024274</v>
      </c>
      <c r="HX211" s="4">
        <f>IFERROR(GV211/'McDonough &amp; Sun 1995 values'!G$2,)</f>
        <v>690.86768643616415</v>
      </c>
      <c r="HY211" s="4">
        <f>IFERROR(GW211/'McDonough &amp; Sun 1995 values'!H$2,)</f>
        <v>467.48713448847104</v>
      </c>
      <c r="HZ211" s="4">
        <f>IFERROR(GX211/'McDonough &amp; Sun 1995 values'!I$2,)</f>
        <v>758.08724511643959</v>
      </c>
      <c r="IA211" s="4">
        <f>IFERROR(GY211/'McDonough &amp; Sun 1995 values'!J$2,)</f>
        <v>539.95474500188141</v>
      </c>
      <c r="IB211" s="4">
        <f>IFERROR(GZ211/'McDonough &amp; Sun 1995 values'!K$2,)</f>
        <v>411.21553496671061</v>
      </c>
      <c r="IC211" s="4">
        <f>IFERROR(HA211/'McDonough &amp; Sun 1995 values'!L$2,)</f>
        <v>220.48646940053257</v>
      </c>
      <c r="ID211" s="4">
        <f>IFERROR(HB211/'McDonough &amp; Sun 1995 values'!M$2,)</f>
        <v>147.24004235857353</v>
      </c>
      <c r="IE211" s="4">
        <f>IFERROR(HC211/'McDonough &amp; Sun 1995 values'!N$2,)</f>
        <v>46.983631606881509</v>
      </c>
      <c r="IF211" s="4">
        <f>IFERROR(HD211/'McDonough &amp; Sun 1995 values'!O$2,)</f>
        <v>119.67670642904856</v>
      </c>
      <c r="IG211" s="4">
        <f>IFERROR(HE211/'McDonough &amp; Sun 1995 values'!P$2,)</f>
        <v>207.26030593084917</v>
      </c>
      <c r="IH211" s="4">
        <f>IFERROR(HF211/'McDonough &amp; Sun 1995 values'!Q$2,)</f>
        <v>99.113880103562778</v>
      </c>
      <c r="II211" s="4">
        <f>IFERROR(HG211/'McDonough &amp; Sun 1995 values'!R$2,)</f>
        <v>91.71652352821431</v>
      </c>
      <c r="IJ211" s="4">
        <f>IFERROR(HH211/'McDonough &amp; Sun 1995 values'!S$2,)</f>
        <v>121.42522973726518</v>
      </c>
      <c r="IK211" s="4">
        <f>IFERROR(HI211/'McDonough &amp; Sun 1995 values'!T$2,)</f>
        <v>11.638683846186</v>
      </c>
      <c r="IL211" s="4">
        <f>IFERROR(HJ211/'McDonough &amp; Sun 1995 values'!U$2,)</f>
        <v>25.780540504878918</v>
      </c>
      <c r="IM211" s="4">
        <f>IFERROR(HK211/'McDonough &amp; Sun 1995 values'!V$2,)</f>
        <v>0</v>
      </c>
      <c r="IN211" s="4">
        <f>IFERROR(HL211/'McDonough &amp; Sun 1995 values'!W$2,)</f>
        <v>27.744043589820233</v>
      </c>
      <c r="IO211" s="4">
        <f>IFERROR(HM211/'McDonough &amp; Sun 1995 values'!X$2,)</f>
        <v>5.4358969126566405</v>
      </c>
      <c r="IP211" s="4">
        <f>IFERROR(HN211/'McDonough &amp; Sun 1995 values'!Y$2,)</f>
        <v>31.3749754690249</v>
      </c>
      <c r="IQ211" s="4">
        <f>IFERROR(HO211/'McDonough &amp; Sun 1995 values'!Z$2,)</f>
        <v>0</v>
      </c>
      <c r="IR211" s="4">
        <f>IFERROR(HP211/'McDonough &amp; Sun 1995 values'!AA$2,)</f>
        <v>0</v>
      </c>
      <c r="IS211" s="4">
        <f>IFERROR(HQ211/'McDonough &amp; Sun 1995 values'!AB$2,)</f>
        <v>0</v>
      </c>
      <c r="IT211" s="4">
        <f>IFERROR(HR211/'McDonough &amp; Sun 1995 values'!AC$2,)</f>
        <v>0</v>
      </c>
    </row>
    <row r="212" spans="1:254">
      <c r="A212" s="16" t="s">
        <v>672</v>
      </c>
      <c r="B212" s="16" t="s">
        <v>24</v>
      </c>
      <c r="C212" s="16" t="str">
        <f t="shared" si="461"/>
        <v>silicic</v>
      </c>
      <c r="D212" s="16" t="s">
        <v>1723</v>
      </c>
      <c r="E212" s="16" t="s">
        <v>237</v>
      </c>
      <c r="F212" s="16" t="s">
        <v>29</v>
      </c>
      <c r="G212" s="16" t="s">
        <v>595</v>
      </c>
      <c r="H212" s="27">
        <v>360</v>
      </c>
      <c r="I212" s="16" t="s">
        <v>735</v>
      </c>
      <c r="J212" s="16" t="s">
        <v>1496</v>
      </c>
      <c r="K212" s="16">
        <v>0</v>
      </c>
      <c r="L212" s="16">
        <v>0</v>
      </c>
      <c r="M212" s="16" t="s">
        <v>106</v>
      </c>
      <c r="N212" s="16">
        <v>20</v>
      </c>
      <c r="O212" s="26">
        <v>42.93</v>
      </c>
      <c r="P212" s="26">
        <v>5.19</v>
      </c>
      <c r="Q212" s="26">
        <v>0.15</v>
      </c>
      <c r="R212" s="26">
        <v>10.56</v>
      </c>
      <c r="S212" s="26">
        <v>19.34</v>
      </c>
      <c r="T212" s="26">
        <v>3.63</v>
      </c>
      <c r="U212" s="26">
        <v>0.37</v>
      </c>
      <c r="V212" s="26">
        <v>3.37</v>
      </c>
      <c r="W212" s="26">
        <v>1.35</v>
      </c>
      <c r="X212" s="26">
        <v>9.1</v>
      </c>
      <c r="Y212" s="26"/>
      <c r="Z212" s="26">
        <v>2.2799999999999998</v>
      </c>
      <c r="AA212" s="26"/>
      <c r="AB212" s="26"/>
      <c r="AC212" s="26"/>
      <c r="AD212" s="26">
        <v>0.92</v>
      </c>
      <c r="AE212" s="26"/>
      <c r="AF212" s="26">
        <v>0.8</v>
      </c>
      <c r="AG212" s="26"/>
      <c r="AH212" s="26"/>
      <c r="AI212" s="26"/>
      <c r="AJ212" s="26">
        <f t="shared" si="462"/>
        <v>98.669999999999987</v>
      </c>
      <c r="AK212" s="26">
        <f t="shared" si="522"/>
        <v>43.600406991393619</v>
      </c>
      <c r="AL212" s="26">
        <f t="shared" si="523"/>
        <v>5.2710485042006265</v>
      </c>
      <c r="AM212" s="26">
        <f t="shared" si="524"/>
        <v>10.72490793918278</v>
      </c>
      <c r="AN212" s="26">
        <f t="shared" si="525"/>
        <v>19.642018896192699</v>
      </c>
      <c r="AO212" s="26">
        <f t="shared" si="526"/>
        <v>3.6866871040940796</v>
      </c>
      <c r="AP212" s="26">
        <f t="shared" si="527"/>
        <v>3.422626870742989</v>
      </c>
      <c r="AQ212" s="26">
        <f t="shared" si="528"/>
        <v>0</v>
      </c>
      <c r="AR212" s="26">
        <f t="shared" si="529"/>
        <v>1.3710819808614347</v>
      </c>
      <c r="AS212" s="26">
        <f t="shared" si="530"/>
        <v>9.2421081672881886</v>
      </c>
      <c r="AT212" s="26">
        <f t="shared" si="531"/>
        <v>2.3156051232326451</v>
      </c>
      <c r="AU212" s="26">
        <f t="shared" si="532"/>
        <v>0.93436697955001469</v>
      </c>
      <c r="AV212" s="26">
        <f t="shared" si="463"/>
        <v>100.21085855673908</v>
      </c>
      <c r="AW212" s="16"/>
      <c r="AX212" s="16"/>
      <c r="AY212" s="16"/>
      <c r="AZ212" s="16"/>
      <c r="BA212" s="26"/>
      <c r="BB212" s="26">
        <v>0.18</v>
      </c>
      <c r="BC212" s="26">
        <f t="shared" si="464"/>
        <v>0.17999999999999994</v>
      </c>
      <c r="BD212" s="26">
        <f t="shared" si="465"/>
        <v>0.82000000000000006</v>
      </c>
      <c r="BE212" s="25"/>
      <c r="BF212" s="16"/>
      <c r="BG212" s="16">
        <v>838</v>
      </c>
      <c r="BH212" s="16">
        <v>24</v>
      </c>
      <c r="BI212" s="16"/>
      <c r="BJ212" s="16"/>
      <c r="BK212" s="18"/>
      <c r="BL212" s="18"/>
      <c r="BM212" s="18"/>
      <c r="BN212" s="18">
        <v>73</v>
      </c>
      <c r="BO212" s="18">
        <v>69</v>
      </c>
      <c r="BP212" s="18">
        <v>141</v>
      </c>
      <c r="BQ212" s="18"/>
      <c r="BR212" s="18">
        <v>361</v>
      </c>
      <c r="BS212" s="18">
        <v>203</v>
      </c>
      <c r="BT212" s="18">
        <v>98.97</v>
      </c>
      <c r="BU212" s="18"/>
      <c r="BV212" s="18">
        <v>3.68</v>
      </c>
      <c r="BW212" s="18">
        <v>294</v>
      </c>
      <c r="BX212" s="18">
        <v>0.252</v>
      </c>
      <c r="BY212" s="18">
        <v>0.51</v>
      </c>
      <c r="BZ212" s="18"/>
      <c r="CA212" s="18">
        <v>0.14599999999999999</v>
      </c>
      <c r="CB212" s="18">
        <v>5.2999999999999999E-2</v>
      </c>
      <c r="CC212" s="18"/>
      <c r="CD212" s="18"/>
      <c r="CE212" s="18"/>
      <c r="CF212" s="18"/>
      <c r="CG212" s="18"/>
      <c r="CH212" s="18">
        <v>1.9</v>
      </c>
      <c r="CI212" s="18">
        <v>4.91</v>
      </c>
      <c r="CJ212" s="18">
        <v>0.16300000000000001</v>
      </c>
      <c r="CK212" s="18">
        <v>2.2589999999999999</v>
      </c>
      <c r="CL212" s="18"/>
      <c r="CM212" s="18">
        <v>1.7889999999999999</v>
      </c>
      <c r="CN212" s="18"/>
      <c r="CO212" s="18"/>
      <c r="CP212" s="18"/>
      <c r="CQ212" s="18"/>
      <c r="CR212" s="18">
        <v>2.4E-2</v>
      </c>
      <c r="CS212" s="18">
        <v>9.44</v>
      </c>
      <c r="CT212" s="18">
        <v>0.223</v>
      </c>
      <c r="CU212" s="18">
        <v>0.68</v>
      </c>
      <c r="CV212" s="18">
        <v>1.06</v>
      </c>
      <c r="CW212" s="18">
        <v>0.13</v>
      </c>
      <c r="CX212" s="18">
        <v>0.49</v>
      </c>
      <c r="CY212" s="18">
        <v>7.2999999999999995E-2</v>
      </c>
      <c r="CZ212" s="18">
        <v>2.1000000000000001E-2</v>
      </c>
      <c r="DA212" s="18">
        <v>5.8999999999999997E-2</v>
      </c>
      <c r="DB212" s="18">
        <v>3.9E-2</v>
      </c>
      <c r="DC212" s="18">
        <v>7.0000000000000001E-3</v>
      </c>
      <c r="DD212" s="18">
        <v>1.4E-2</v>
      </c>
      <c r="DE212" s="18"/>
      <c r="DF212" s="18">
        <v>0.01</v>
      </c>
      <c r="DG212" s="18">
        <v>2E-3</v>
      </c>
      <c r="DH212" s="18">
        <v>6.7000000000000004E-2</v>
      </c>
      <c r="DI212" s="18">
        <v>7.5999999999999998E-2</v>
      </c>
      <c r="DJ212" s="18"/>
      <c r="DK212" s="18">
        <v>0.111</v>
      </c>
      <c r="DL212" s="18">
        <v>0.126</v>
      </c>
      <c r="DM212" s="18">
        <v>3.2000000000000001E-2</v>
      </c>
      <c r="DN212" s="18"/>
      <c r="DO212" s="18"/>
      <c r="DP212" s="18"/>
      <c r="DQ212" s="18"/>
      <c r="DR212" s="18"/>
      <c r="DS212" s="18"/>
      <c r="DT212" s="18"/>
      <c r="DU212" s="18"/>
      <c r="DV212" s="28"/>
      <c r="DW212" s="28"/>
      <c r="DX212" s="28"/>
      <c r="DY212" s="28"/>
      <c r="DZ212" s="28"/>
      <c r="EA212" s="28"/>
      <c r="EB212" s="28"/>
      <c r="EC212" s="28"/>
      <c r="ED212" s="28"/>
      <c r="EE212" s="28"/>
      <c r="EF212" s="28"/>
      <c r="EG212" s="28"/>
      <c r="EH212" s="28"/>
      <c r="EI212" s="28"/>
      <c r="EJ212" s="18"/>
      <c r="EK212" s="18"/>
      <c r="EL212" s="18">
        <f>IFERROR(CR212/'McDonough &amp; Sun 1995 values'!C$2,)</f>
        <v>1.1428571428571428</v>
      </c>
      <c r="EM212" s="18">
        <f>IFERROR(CH212/'McDonough &amp; Sun 1995 values'!D$2,)</f>
        <v>3.1666666666666665</v>
      </c>
      <c r="EN212" s="18">
        <f>IFERROR(CS212/'McDonough &amp; Sun 1995 values'!E$2,)</f>
        <v>1.4303030303030304</v>
      </c>
      <c r="EO212" s="18">
        <f>IFERROR(DL212/'McDonough &amp; Sun 1995 values'!F$2,)</f>
        <v>1.5849056603773586</v>
      </c>
      <c r="EP212" s="18">
        <f>IFERROR(DM212/'McDonough &amp; Sun 1995 values'!G$2,)</f>
        <v>1.5763546798029557</v>
      </c>
      <c r="EQ212" s="18">
        <f>IFERROR(BR212/'McDonough &amp; Sun 1995 values'!H$2,)</f>
        <v>1.5041666666666667</v>
      </c>
      <c r="ER212" s="18">
        <f>IFERROR(DI212/'McDonough &amp; Sun 1995 values'!I$2,)</f>
        <v>2.0540540540540539</v>
      </c>
      <c r="ES212" s="18">
        <f>IFERROR(CM212/'McDonough &amp; Sun 1995 values'!J$2,)</f>
        <v>2.7188449848024314</v>
      </c>
      <c r="ET212" s="18">
        <f>IFERROR(CU212/'McDonough &amp; Sun 1995 values'!K$2,)</f>
        <v>1.0493827160493827</v>
      </c>
      <c r="EU212" s="18">
        <f>IFERROR(CV212/'McDonough &amp; Sun 1995 values'!L$2,)</f>
        <v>0.63283582089552237</v>
      </c>
      <c r="EV212" s="18">
        <f>IFERROR(CW212/'McDonough &amp; Sun 1995 values'!M$2,)</f>
        <v>0.51181102362204722</v>
      </c>
      <c r="EW212" s="18">
        <f>IFERROR(CI212/'McDonough &amp; Sun 1995 values'!N$2,)</f>
        <v>0.24673366834170857</v>
      </c>
      <c r="EX212" s="18">
        <f>IFERROR(CX212/'McDonough &amp; Sun 1995 values'!O$2,)</f>
        <v>0.39200000000000002</v>
      </c>
      <c r="EY212" s="18">
        <f>IFERROR(CY212/'McDonough &amp; Sun 1995 values'!P$2,)</f>
        <v>0.17980295566502461</v>
      </c>
      <c r="EZ212" s="18">
        <f>IFERROR(DH212/'McDonough &amp; Sun 1995 values'!Q$2,)</f>
        <v>0.2367491166077739</v>
      </c>
      <c r="FA212" s="18">
        <f>IFERROR(CK212/'McDonough &amp; Sun 1995 values'!R$2,)</f>
        <v>0.21514285714285714</v>
      </c>
      <c r="FB212" s="18">
        <f>IFERROR(CZ212/'McDonough &amp; Sun 1995 values'!S$2,)</f>
        <v>0.13636363636363638</v>
      </c>
      <c r="FC212" s="18">
        <f>IFERROR(BT212/'McDonough &amp; Sun 1995 values'!T$2,)</f>
        <v>8.213278008298755E-2</v>
      </c>
      <c r="FD212" s="18">
        <f>IFERROR(DA212/'McDonough &amp; Sun 1995 values'!U$2,)</f>
        <v>0.10845588235294117</v>
      </c>
      <c r="FE212" s="18">
        <f>IFERROR(DN212/'McDonough &amp; Sun 1995 values'!V$2,)</f>
        <v>0</v>
      </c>
      <c r="FF212" s="18">
        <f>IFERROR(DB212/'McDonough &amp; Sun 1995 values'!W$2,)</f>
        <v>5.7863501483679525E-2</v>
      </c>
      <c r="FG212" s="18">
        <f>IFERROR(CJ212/'McDonough &amp; Sun 1995 values'!X$2,)</f>
        <v>3.7906976744186048E-2</v>
      </c>
      <c r="FH212" s="18">
        <f>IFERROR(DC212/'McDonough &amp; Sun 1995 values'!Y$2,)</f>
        <v>4.6979865771812082E-2</v>
      </c>
      <c r="FI212" s="18">
        <f>IFERROR(DD212/'McDonough &amp; Sun 1995 values'!Z$2,)</f>
        <v>3.1963470319634701E-2</v>
      </c>
      <c r="FJ212" s="18">
        <f>IFERROR(DE212/'McDonough &amp; Sun 1995 values'!AA$2,)</f>
        <v>0</v>
      </c>
      <c r="FK212" s="18">
        <f>IFERROR(DF212/'McDonough &amp; Sun 1995 values'!AB$2,)</f>
        <v>2.2675736961451247E-2</v>
      </c>
      <c r="FL212" s="18">
        <f>IFERROR(DG212/'McDonough &amp; Sun 1995 values'!AC$2,)</f>
        <v>2.9629629629629627E-2</v>
      </c>
      <c r="FN212" s="28">
        <f t="shared" si="458"/>
        <v>1.0479920308939319</v>
      </c>
      <c r="FO212" s="4">
        <f t="shared" si="466"/>
        <v>0.90734848484848485</v>
      </c>
      <c r="FP212" s="4">
        <f t="shared" si="467"/>
        <v>0.58293344020587035</v>
      </c>
      <c r="FQ212" s="4">
        <f t="shared" si="468"/>
        <v>1.0054245283018868</v>
      </c>
      <c r="FR212" s="4">
        <f t="shared" si="469"/>
        <v>0.38596636509809606</v>
      </c>
      <c r="FS212" s="4">
        <f t="shared" si="470"/>
        <v>0.51088369070825213</v>
      </c>
      <c r="FT212" s="4">
        <f t="shared" si="471"/>
        <v>2.7708333333333335</v>
      </c>
      <c r="FU212" s="4">
        <f t="shared" si="472"/>
        <v>0.75548774039551014</v>
      </c>
      <c r="FV212" s="4">
        <f t="shared" si="473"/>
        <v>1.1965479452054797</v>
      </c>
      <c r="FW212" s="4">
        <f t="shared" si="474"/>
        <v>0.90873773987206807</v>
      </c>
      <c r="FX212" s="4">
        <f t="shared" si="475"/>
        <v>0.94611937868935359</v>
      </c>
      <c r="FY212" s="4">
        <f t="shared" si="476"/>
        <v>0.55084646198408704</v>
      </c>
      <c r="FZ212" s="4">
        <f t="shared" si="477"/>
        <v>0.97650305125183801</v>
      </c>
      <c r="GA212" s="4">
        <f t="shared" si="478"/>
        <v>0.48207962891379985</v>
      </c>
      <c r="GB212" s="4">
        <f t="shared" si="479"/>
        <v>0.75840597758406003</v>
      </c>
      <c r="GC212" s="4">
        <f t="shared" si="480"/>
        <v>0.36090225563909772</v>
      </c>
      <c r="GD212" s="4">
        <f t="shared" si="481"/>
        <v>0.90245310245310251</v>
      </c>
      <c r="GE212" s="4">
        <f t="shared" si="482"/>
        <v>0.4516746411483254</v>
      </c>
      <c r="GF212" s="4">
        <f t="shared" si="483"/>
        <v>0.95089398136489556</v>
      </c>
      <c r="GG212" s="4">
        <f t="shared" si="484"/>
        <v>0.52607009163744778</v>
      </c>
      <c r="GH212" s="4">
        <f t="shared" si="485"/>
        <v>2.050332383665717</v>
      </c>
      <c r="GI212" s="4">
        <f t="shared" si="486"/>
        <v>5.8362929139184851</v>
      </c>
      <c r="GJ212" s="4">
        <f t="shared" si="487"/>
        <v>18.13548591326369</v>
      </c>
      <c r="GK212" s="4">
        <f t="shared" si="488"/>
        <v>46.277777777777779</v>
      </c>
      <c r="GL212" s="4">
        <f t="shared" si="489"/>
        <v>2.6194517819252585</v>
      </c>
      <c r="GM212" s="4">
        <f t="shared" si="490"/>
        <v>0.50049652432969216</v>
      </c>
      <c r="GN212" s="4">
        <f t="shared" si="491"/>
        <v>2.5908993384587875</v>
      </c>
      <c r="GO212" s="4">
        <f t="shared" si="492"/>
        <v>1.7247672872340423</v>
      </c>
      <c r="GP212" s="4">
        <f t="shared" si="493"/>
        <v>0.95420572916666657</v>
      </c>
      <c r="GQ212" s="27">
        <f t="shared" si="494"/>
        <v>76722.187638327348</v>
      </c>
      <c r="GR212" s="28">
        <f t="shared" si="495"/>
        <v>5.1006440535176072</v>
      </c>
      <c r="GS212" s="28">
        <f t="shared" si="496"/>
        <v>403.80098757014395</v>
      </c>
      <c r="GT212" s="28">
        <f t="shared" si="497"/>
        <v>2006.2533277169255</v>
      </c>
      <c r="GU212" s="28">
        <f t="shared" si="498"/>
        <v>26.778381280967441</v>
      </c>
      <c r="GV212" s="28">
        <f t="shared" si="499"/>
        <v>6.8008587380234768</v>
      </c>
      <c r="GW212" s="28">
        <f t="shared" si="500"/>
        <v>76722.187638327348</v>
      </c>
      <c r="GX212" s="28">
        <f t="shared" si="501"/>
        <v>16.152039502805756</v>
      </c>
      <c r="GY212" s="28">
        <f t="shared" si="502"/>
        <v>380.210508822625</v>
      </c>
      <c r="GZ212" s="28">
        <f t="shared" si="503"/>
        <v>144.51824818299889</v>
      </c>
      <c r="HA212" s="28">
        <f t="shared" si="504"/>
        <v>225.27844569702771</v>
      </c>
      <c r="HB212" s="28">
        <f t="shared" si="505"/>
        <v>27.628488623220377</v>
      </c>
      <c r="HC212" s="28">
        <f t="shared" si="506"/>
        <v>1043.5067626154773</v>
      </c>
      <c r="HD212" s="28">
        <f t="shared" si="507"/>
        <v>104.13814942598448</v>
      </c>
      <c r="HE212" s="28">
        <f t="shared" si="508"/>
        <v>15.514458996116057</v>
      </c>
      <c r="HF212" s="28">
        <f t="shared" si="509"/>
        <v>14.239297982736655</v>
      </c>
      <c r="HG212" s="28">
        <f t="shared" si="510"/>
        <v>480.09812153734481</v>
      </c>
      <c r="HH212" s="28">
        <f t="shared" si="511"/>
        <v>4.4630635468279074</v>
      </c>
      <c r="HI212" s="28">
        <f t="shared" si="512"/>
        <v>21033.780915693234</v>
      </c>
      <c r="HJ212" s="28">
        <f t="shared" si="513"/>
        <v>12.539083298230786</v>
      </c>
      <c r="HK212" s="28">
        <f t="shared" si="514"/>
        <v>0</v>
      </c>
      <c r="HL212" s="28">
        <f t="shared" si="515"/>
        <v>8.2885465869661132</v>
      </c>
      <c r="HM212" s="28">
        <f t="shared" si="516"/>
        <v>34.641874196807088</v>
      </c>
      <c r="HN212" s="28">
        <f t="shared" si="517"/>
        <v>1.4876878489426357</v>
      </c>
      <c r="HO212" s="28">
        <f t="shared" si="518"/>
        <v>2.9753756978852715</v>
      </c>
      <c r="HP212" s="28">
        <f t="shared" si="519"/>
        <v>0</v>
      </c>
      <c r="HQ212" s="28">
        <f t="shared" si="520"/>
        <v>2.1252683556323366</v>
      </c>
      <c r="HR212" s="28">
        <f t="shared" si="521"/>
        <v>0.4250536711264673</v>
      </c>
      <c r="HT212" s="4">
        <f>IFERROR(GR212/'McDonough &amp; Sun 1995 values'!C$2,)</f>
        <v>242.887812072267</v>
      </c>
      <c r="HU212" s="4">
        <f>IFERROR(GS212/'McDonough &amp; Sun 1995 values'!D$2,)</f>
        <v>673.00164595023989</v>
      </c>
      <c r="HV212" s="4">
        <f>IFERROR(GT212/'McDonough &amp; Sun 1995 values'!E$2,)</f>
        <v>303.97777692680688</v>
      </c>
      <c r="HW212" s="4">
        <f>IFERROR(GU212/'McDonough &amp; Sun 1995 values'!F$2,)</f>
        <v>336.83498466625713</v>
      </c>
      <c r="HX212" s="4">
        <f>IFERROR(GV212/'McDonough &amp; Sun 1995 values'!G$2,)</f>
        <v>335.01767182381661</v>
      </c>
      <c r="HY212" s="4">
        <f>IFERROR(GW212/'McDonough &amp; Sun 1995 values'!H$2,)</f>
        <v>319.67578182636396</v>
      </c>
      <c r="HZ212" s="4">
        <f>IFERROR(GX212/'McDonough &amp; Sun 1995 values'!I$2,)</f>
        <v>436.54160818393939</v>
      </c>
      <c r="IA212" s="4">
        <f>IFERROR(GY212/'McDonough &amp; Sun 1995 values'!J$2,)</f>
        <v>577.82752100702885</v>
      </c>
      <c r="IB212" s="4">
        <f>IFERROR(GZ212/'McDonough &amp; Sun 1995 values'!K$2,)</f>
        <v>223.02198793672667</v>
      </c>
      <c r="IC212" s="4">
        <f>IFERROR(HA212/'McDonough &amp; Sun 1995 values'!L$2,)</f>
        <v>134.49459444598668</v>
      </c>
      <c r="ID212" s="4">
        <f>IFERROR(HB212/'McDonough &amp; Sun 1995 values'!M$2,)</f>
        <v>108.77357725677314</v>
      </c>
      <c r="IE212" s="4">
        <f>IFERROR(HC212/'McDonough &amp; Sun 1995 values'!N$2,)</f>
        <v>52.437525759571727</v>
      </c>
      <c r="IF212" s="4">
        <f>IFERROR(HD212/'McDonough &amp; Sun 1995 values'!O$2,)</f>
        <v>83.310519540787581</v>
      </c>
      <c r="IG212" s="4">
        <f>IFERROR(HE212/'McDonough &amp; Sun 1995 values'!P$2,)</f>
        <v>38.212953192404079</v>
      </c>
      <c r="IH212" s="4">
        <f>IFERROR(HF212/'McDonough &amp; Sun 1995 values'!Q$2,)</f>
        <v>50.31554057504119</v>
      </c>
      <c r="II212" s="4">
        <f>IFERROR(HG212/'McDonough &amp; Sun 1995 values'!R$2,)</f>
        <v>45.723630622604269</v>
      </c>
      <c r="IJ212" s="4">
        <f>IFERROR(HH212/'McDonough &amp; Sun 1995 values'!S$2,)</f>
        <v>28.980932122259141</v>
      </c>
      <c r="IK212" s="4">
        <f>IFERROR(HI212/'McDonough &amp; Sun 1995 values'!T$2,)</f>
        <v>17.455419847048326</v>
      </c>
      <c r="IL212" s="4">
        <f>IFERROR(HJ212/'McDonough &amp; Sun 1995 values'!U$2,)</f>
        <v>23.049785474688942</v>
      </c>
      <c r="IM212" s="4">
        <f>IFERROR(HK212/'McDonough &amp; Sun 1995 values'!V$2,)</f>
        <v>0</v>
      </c>
      <c r="IN212" s="4">
        <f>IFERROR(HL212/'McDonough &amp; Sun 1995 values'!W$2,)</f>
        <v>12.297546864934885</v>
      </c>
      <c r="IO212" s="4">
        <f>IFERROR(HM212/'McDonough &amp; Sun 1995 values'!X$2,)</f>
        <v>8.0562498132109504</v>
      </c>
      <c r="IP212" s="4">
        <f>IFERROR(HN212/'McDonough &amp; Sun 1995 values'!Y$2,)</f>
        <v>9.9844822076686963</v>
      </c>
      <c r="IQ212" s="4">
        <f>IFERROR(HO212/'McDonough &amp; Sun 1995 values'!Z$2,)</f>
        <v>6.7930952006513046</v>
      </c>
      <c r="IR212" s="4">
        <f>IFERROR(HP212/'McDonough &amp; Sun 1995 values'!AA$2,)</f>
        <v>0</v>
      </c>
      <c r="IS212" s="4">
        <f>IFERROR(HQ212/'McDonough &amp; Sun 1995 values'!AB$2,)</f>
        <v>4.8192026204814891</v>
      </c>
      <c r="IT212" s="4">
        <f>IFERROR(HR212/'McDonough &amp; Sun 1995 values'!AC$2,)</f>
        <v>6.2970914240958118</v>
      </c>
    </row>
    <row r="213" spans="1:254">
      <c r="A213" s="16" t="s">
        <v>672</v>
      </c>
      <c r="B213" s="16" t="s">
        <v>24</v>
      </c>
      <c r="C213" s="16" t="str">
        <f t="shared" si="461"/>
        <v>silicic</v>
      </c>
      <c r="D213" s="16" t="s">
        <v>1723</v>
      </c>
      <c r="E213" s="16" t="s">
        <v>237</v>
      </c>
      <c r="F213" s="16" t="s">
        <v>29</v>
      </c>
      <c r="G213" s="16" t="s">
        <v>595</v>
      </c>
      <c r="H213" s="27">
        <v>360</v>
      </c>
      <c r="I213" s="16" t="s">
        <v>735</v>
      </c>
      <c r="J213" s="16" t="s">
        <v>1496</v>
      </c>
      <c r="K213" s="16">
        <v>0</v>
      </c>
      <c r="L213" s="16">
        <v>0</v>
      </c>
      <c r="M213" s="16" t="s">
        <v>107</v>
      </c>
      <c r="N213" s="16">
        <v>20</v>
      </c>
      <c r="O213" s="26">
        <v>46.11</v>
      </c>
      <c r="P213" s="26">
        <v>5.24</v>
      </c>
      <c r="Q213" s="26">
        <v>0.13</v>
      </c>
      <c r="R213" s="26">
        <v>11.7</v>
      </c>
      <c r="S213" s="26">
        <v>13.88</v>
      </c>
      <c r="T213" s="26">
        <v>3.92</v>
      </c>
      <c r="U213" s="26">
        <v>0.31</v>
      </c>
      <c r="V213" s="26">
        <v>2.58</v>
      </c>
      <c r="W213" s="26">
        <v>1.01</v>
      </c>
      <c r="X213" s="26">
        <v>11.19</v>
      </c>
      <c r="Y213" s="26"/>
      <c r="Z213" s="26">
        <v>1.94</v>
      </c>
      <c r="AA213" s="26"/>
      <c r="AB213" s="26"/>
      <c r="AC213" s="26"/>
      <c r="AD213" s="26">
        <v>1.41</v>
      </c>
      <c r="AE213" s="26"/>
      <c r="AF213" s="26">
        <v>0.6</v>
      </c>
      <c r="AG213" s="26"/>
      <c r="AH213" s="26"/>
      <c r="AI213" s="26"/>
      <c r="AJ213" s="26">
        <f t="shared" si="462"/>
        <v>98.97999999999999</v>
      </c>
      <c r="AK213" s="26">
        <f t="shared" si="522"/>
        <v>46.735410761956693</v>
      </c>
      <c r="AL213" s="26">
        <f t="shared" si="523"/>
        <v>5.3110724873704855</v>
      </c>
      <c r="AM213" s="26">
        <f t="shared" si="524"/>
        <v>11.858692385922648</v>
      </c>
      <c r="AN213" s="26">
        <f t="shared" si="525"/>
        <v>14.068260710821058</v>
      </c>
      <c r="AO213" s="26">
        <f t="shared" si="526"/>
        <v>3.9731687310099817</v>
      </c>
      <c r="AP213" s="26">
        <f t="shared" si="527"/>
        <v>2.6149937056137125</v>
      </c>
      <c r="AQ213" s="26">
        <f t="shared" si="528"/>
        <v>0</v>
      </c>
      <c r="AR213" s="26">
        <f t="shared" si="529"/>
        <v>1.023699086306143</v>
      </c>
      <c r="AS213" s="26">
        <f t="shared" si="530"/>
        <v>11.341775025510636</v>
      </c>
      <c r="AT213" s="26">
        <f t="shared" si="531"/>
        <v>1.9663130964692255</v>
      </c>
      <c r="AU213" s="26">
        <f t="shared" si="532"/>
        <v>1.4291244670214471</v>
      </c>
      <c r="AV213" s="26">
        <f t="shared" si="463"/>
        <v>100.32251045800203</v>
      </c>
      <c r="AW213" s="16"/>
      <c r="AX213" s="16"/>
      <c r="AY213" s="16"/>
      <c r="AZ213" s="16"/>
      <c r="BA213" s="26"/>
      <c r="BB213" s="26">
        <v>0.24</v>
      </c>
      <c r="BC213" s="26">
        <f t="shared" si="464"/>
        <v>0.24</v>
      </c>
      <c r="BD213" s="26">
        <f t="shared" si="465"/>
        <v>0.76</v>
      </c>
      <c r="BE213" s="25">
        <v>-5.2</v>
      </c>
      <c r="BF213" s="16"/>
      <c r="BG213" s="16">
        <v>209</v>
      </c>
      <c r="BH213" s="16"/>
      <c r="BI213" s="16"/>
      <c r="BJ213" s="16"/>
      <c r="BK213" s="18"/>
      <c r="BL213" s="18"/>
      <c r="BM213" s="18"/>
      <c r="BN213" s="18">
        <v>23</v>
      </c>
      <c r="BO213" s="18">
        <v>39</v>
      </c>
      <c r="BP213" s="18">
        <v>65</v>
      </c>
      <c r="BQ213" s="18"/>
      <c r="BR213" s="18">
        <v>215</v>
      </c>
      <c r="BS213" s="18">
        <v>47</v>
      </c>
      <c r="BT213" s="18">
        <v>38.01</v>
      </c>
      <c r="BU213" s="18"/>
      <c r="BV213" s="18">
        <v>0.86</v>
      </c>
      <c r="BW213" s="18">
        <v>97</v>
      </c>
      <c r="BX213" s="18">
        <v>0.70199999999999996</v>
      </c>
      <c r="BY213" s="18">
        <v>0.434</v>
      </c>
      <c r="BZ213" s="18"/>
      <c r="CA213" s="18">
        <v>5.3999999999999999E-2</v>
      </c>
      <c r="CB213" s="18">
        <v>8.2000000000000003E-2</v>
      </c>
      <c r="CC213" s="18"/>
      <c r="CD213" s="18"/>
      <c r="CE213" s="18"/>
      <c r="CF213" s="18"/>
      <c r="CG213" s="18"/>
      <c r="CH213" s="18">
        <v>0.77</v>
      </c>
      <c r="CI213" s="18">
        <v>1.79</v>
      </c>
      <c r="CJ213" s="18">
        <v>2.5000000000000001E-2</v>
      </c>
      <c r="CK213" s="18">
        <v>0.88900000000000001</v>
      </c>
      <c r="CL213" s="18"/>
      <c r="CM213" s="18">
        <v>1.129</v>
      </c>
      <c r="CN213" s="18"/>
      <c r="CO213" s="18"/>
      <c r="CP213" s="18"/>
      <c r="CQ213" s="18"/>
      <c r="CR213" s="18">
        <v>1.2999999999999999E-2</v>
      </c>
      <c r="CS213" s="18">
        <v>7.63</v>
      </c>
      <c r="CT213" s="18">
        <v>0.13500000000000001</v>
      </c>
      <c r="CU213" s="18">
        <v>0.33500000000000002</v>
      </c>
      <c r="CV213" s="18">
        <v>0.47199999999999998</v>
      </c>
      <c r="CW213" s="18">
        <v>6.0999999999999999E-2</v>
      </c>
      <c r="CX213" s="18">
        <v>0.223</v>
      </c>
      <c r="CY213" s="18">
        <v>1.7999999999999999E-2</v>
      </c>
      <c r="CZ213" s="18">
        <v>8.9999999999999993E-3</v>
      </c>
      <c r="DA213" s="18">
        <v>1.4E-2</v>
      </c>
      <c r="DB213" s="18">
        <v>0.02</v>
      </c>
      <c r="DC213" s="18">
        <v>2E-3</v>
      </c>
      <c r="DD213" s="18" t="s">
        <v>1366</v>
      </c>
      <c r="DE213" s="18"/>
      <c r="DF213" s="18">
        <v>1.2E-2</v>
      </c>
      <c r="DG213" s="18">
        <v>2E-3</v>
      </c>
      <c r="DH213" s="18">
        <v>4.7E-2</v>
      </c>
      <c r="DI213" s="18">
        <v>0.05</v>
      </c>
      <c r="DJ213" s="18"/>
      <c r="DK213" s="18">
        <v>9.9000000000000005E-2</v>
      </c>
      <c r="DL213" s="18">
        <v>5.8000000000000003E-2</v>
      </c>
      <c r="DM213" s="18">
        <v>1.7000000000000001E-2</v>
      </c>
      <c r="DN213" s="18"/>
      <c r="DO213" s="18"/>
      <c r="DP213" s="18"/>
      <c r="DQ213" s="18"/>
      <c r="DR213" s="18"/>
      <c r="DS213" s="18"/>
      <c r="DT213" s="18"/>
      <c r="DU213" s="18"/>
      <c r="DV213" s="28"/>
      <c r="DW213" s="28"/>
      <c r="DX213" s="28"/>
      <c r="DY213" s="28"/>
      <c r="DZ213" s="28"/>
      <c r="EA213" s="28"/>
      <c r="EB213" s="28"/>
      <c r="EC213" s="28"/>
      <c r="ED213" s="28"/>
      <c r="EE213" s="28"/>
      <c r="EF213" s="28"/>
      <c r="EG213" s="28"/>
      <c r="EH213" s="28"/>
      <c r="EI213" s="28"/>
      <c r="EJ213" s="18"/>
      <c r="EK213" s="18"/>
      <c r="EL213" s="18">
        <f>IFERROR(CR213/'McDonough &amp; Sun 1995 values'!C$2,)</f>
        <v>0.61904761904761896</v>
      </c>
      <c r="EM213" s="18">
        <f>IFERROR(CH213/'McDonough &amp; Sun 1995 values'!D$2,)</f>
        <v>1.2833333333333334</v>
      </c>
      <c r="EN213" s="18">
        <f>IFERROR(CS213/'McDonough &amp; Sun 1995 values'!E$2,)</f>
        <v>1.156060606060606</v>
      </c>
      <c r="EO213" s="18">
        <f>IFERROR(DL213/'McDonough &amp; Sun 1995 values'!F$2,)</f>
        <v>0.72955974842767302</v>
      </c>
      <c r="EP213" s="18">
        <f>IFERROR(DM213/'McDonough &amp; Sun 1995 values'!G$2,)</f>
        <v>0.83743842364532028</v>
      </c>
      <c r="EQ213" s="18">
        <f>IFERROR(BR213/'McDonough &amp; Sun 1995 values'!H$2,)</f>
        <v>0.89583333333333337</v>
      </c>
      <c r="ER213" s="18">
        <f>IFERROR(DI213/'McDonough &amp; Sun 1995 values'!I$2,)</f>
        <v>1.3513513513513515</v>
      </c>
      <c r="ES213" s="18">
        <f>IFERROR(CM213/'McDonough &amp; Sun 1995 values'!J$2,)</f>
        <v>1.71580547112462</v>
      </c>
      <c r="ET213" s="18">
        <f>IFERROR(CU213/'McDonough &amp; Sun 1995 values'!K$2,)</f>
        <v>0.51697530864197527</v>
      </c>
      <c r="EU213" s="18">
        <f>IFERROR(CV213/'McDonough &amp; Sun 1995 values'!L$2,)</f>
        <v>0.28179104477611938</v>
      </c>
      <c r="EV213" s="18">
        <f>IFERROR(CW213/'McDonough &amp; Sun 1995 values'!M$2,)</f>
        <v>0.24015748031496062</v>
      </c>
      <c r="EW213" s="18">
        <f>IFERROR(CI213/'McDonough &amp; Sun 1995 values'!N$2,)</f>
        <v>8.9949748743718597E-2</v>
      </c>
      <c r="EX213" s="18">
        <f>IFERROR(CX213/'McDonough &amp; Sun 1995 values'!O$2,)</f>
        <v>0.1784</v>
      </c>
      <c r="EY213" s="18">
        <f>IFERROR(CY213/'McDonough &amp; Sun 1995 values'!P$2,)</f>
        <v>4.4334975369458123E-2</v>
      </c>
      <c r="EZ213" s="18">
        <f>IFERROR(DH213/'McDonough &amp; Sun 1995 values'!Q$2,)</f>
        <v>0.16607773851590107</v>
      </c>
      <c r="FA213" s="18">
        <f>IFERROR(CK213/'McDonough &amp; Sun 1995 values'!R$2,)</f>
        <v>8.4666666666666668E-2</v>
      </c>
      <c r="FB213" s="18">
        <f>IFERROR(CZ213/'McDonough &amp; Sun 1995 values'!S$2,)</f>
        <v>5.844155844155844E-2</v>
      </c>
      <c r="FC213" s="18">
        <f>IFERROR(BT213/'McDonough &amp; Sun 1995 values'!T$2,)</f>
        <v>3.154356846473029E-2</v>
      </c>
      <c r="FD213" s="18">
        <f>IFERROR(DA213/'McDonough &amp; Sun 1995 values'!U$2,)</f>
        <v>2.5735294117647058E-2</v>
      </c>
      <c r="FE213" s="18">
        <f>IFERROR(DN213/'McDonough &amp; Sun 1995 values'!V$2,)</f>
        <v>0</v>
      </c>
      <c r="FF213" s="18">
        <f>IFERROR(DB213/'McDonough &amp; Sun 1995 values'!W$2,)</f>
        <v>2.9673590504451036E-2</v>
      </c>
      <c r="FG213" s="18">
        <f>IFERROR(CJ213/'McDonough &amp; Sun 1995 values'!X$2,)</f>
        <v>5.8139534883720938E-3</v>
      </c>
      <c r="FH213" s="18">
        <f>IFERROR(DC213/'McDonough &amp; Sun 1995 values'!Y$2,)</f>
        <v>1.342281879194631E-2</v>
      </c>
      <c r="FI213" s="18">
        <f>IFERROR(DD213/'McDonough &amp; Sun 1995 values'!Z$2,)</f>
        <v>0</v>
      </c>
      <c r="FJ213" s="18">
        <f>IFERROR(DE213/'McDonough &amp; Sun 1995 values'!AA$2,)</f>
        <v>0</v>
      </c>
      <c r="FK213" s="18">
        <f>IFERROR(DF213/'McDonough &amp; Sun 1995 values'!AB$2,)</f>
        <v>2.7210884353741496E-2</v>
      </c>
      <c r="FL213" s="18">
        <f>IFERROR(DG213/'McDonough &amp; Sun 1995 values'!AC$2,)</f>
        <v>2.9629629629629627E-2</v>
      </c>
      <c r="FN213" s="28">
        <f t="shared" si="458"/>
        <v>0.934814984534311</v>
      </c>
      <c r="FO213" s="4">
        <f t="shared" si="466"/>
        <v>1.3804723707664881</v>
      </c>
      <c r="FP213" s="4">
        <f t="shared" si="467"/>
        <v>0.42519956994278907</v>
      </c>
      <c r="FQ213" s="4">
        <f t="shared" si="468"/>
        <v>0.87118017018128002</v>
      </c>
      <c r="FR213" s="4">
        <f t="shared" si="469"/>
        <v>0.30130181849992893</v>
      </c>
      <c r="FS213" s="4">
        <f t="shared" si="470"/>
        <v>0.38256172839506164</v>
      </c>
      <c r="FT213" s="4">
        <f t="shared" si="471"/>
        <v>2.0730769230769237</v>
      </c>
      <c r="FU213" s="4">
        <f t="shared" si="472"/>
        <v>0.78759007014100035</v>
      </c>
      <c r="FV213" s="4">
        <f t="shared" si="473"/>
        <v>1.9097037037037039</v>
      </c>
      <c r="FW213" s="4">
        <f t="shared" si="474"/>
        <v>0.50980141843971627</v>
      </c>
      <c r="FX213" s="4">
        <f t="shared" si="475"/>
        <v>1.668084306492164</v>
      </c>
      <c r="FY213" s="4">
        <f t="shared" si="476"/>
        <v>0.43456472500300075</v>
      </c>
      <c r="FZ213" s="4">
        <f t="shared" si="477"/>
        <v>1.7301509073642483</v>
      </c>
      <c r="GA213" s="4">
        <f t="shared" si="478"/>
        <v>0.37454485542466431</v>
      </c>
      <c r="GB213" s="4">
        <f t="shared" si="479"/>
        <v>1.3181818181818183</v>
      </c>
      <c r="GC213" s="4">
        <f t="shared" si="480"/>
        <v>0.48237476808905372</v>
      </c>
      <c r="GD213" s="4">
        <f t="shared" si="481"/>
        <v>1.5846003134796236</v>
      </c>
      <c r="GE213" s="4">
        <f t="shared" si="482"/>
        <v>0.90082644628099162</v>
      </c>
      <c r="GF213" s="4">
        <f t="shared" si="483"/>
        <v>1.2904862579281182</v>
      </c>
      <c r="GG213" s="4">
        <f t="shared" si="484"/>
        <v>0.67377137182274471</v>
      </c>
      <c r="GH213" s="4">
        <f t="shared" si="485"/>
        <v>2.1526512851649464</v>
      </c>
      <c r="GI213" s="4">
        <f t="shared" si="486"/>
        <v>11.660665294924556</v>
      </c>
      <c r="GJ213" s="4">
        <f t="shared" si="487"/>
        <v>17.42206790123457</v>
      </c>
      <c r="GK213" s="4">
        <f t="shared" si="488"/>
        <v>18.998842592592592</v>
      </c>
      <c r="GL213" s="4">
        <f t="shared" si="489"/>
        <v>2.6841182145049549</v>
      </c>
      <c r="GM213" s="4">
        <f t="shared" si="490"/>
        <v>0.56848811565792701</v>
      </c>
      <c r="GN213" s="4">
        <f t="shared" si="491"/>
        <v>3.3189311799664294</v>
      </c>
      <c r="GO213" s="4">
        <f t="shared" si="492"/>
        <v>2.0488735919899872</v>
      </c>
      <c r="GP213" s="4">
        <f t="shared" si="493"/>
        <v>1.0697303921568626</v>
      </c>
      <c r="GQ213" s="27">
        <f t="shared" si="494"/>
        <v>94152.305503068477</v>
      </c>
      <c r="GR213" s="28">
        <f t="shared" si="495"/>
        <v>5.6929301001855359</v>
      </c>
      <c r="GS213" s="28">
        <f t="shared" si="496"/>
        <v>337.19662901098945</v>
      </c>
      <c r="GT213" s="28">
        <f t="shared" si="497"/>
        <v>3341.312051108895</v>
      </c>
      <c r="GU213" s="28">
        <f t="shared" si="498"/>
        <v>25.399226600827777</v>
      </c>
      <c r="GV213" s="28">
        <f t="shared" si="499"/>
        <v>7.4446009002426239</v>
      </c>
      <c r="GW213" s="28">
        <f t="shared" si="500"/>
        <v>94152.305503068477</v>
      </c>
      <c r="GX213" s="28">
        <f t="shared" si="501"/>
        <v>21.895885000713601</v>
      </c>
      <c r="GY213" s="28">
        <f t="shared" si="502"/>
        <v>494.40908331611303</v>
      </c>
      <c r="GZ213" s="28">
        <f t="shared" si="503"/>
        <v>146.70242950478112</v>
      </c>
      <c r="HA213" s="28">
        <f t="shared" si="504"/>
        <v>206.69715440673636</v>
      </c>
      <c r="HB213" s="28">
        <f t="shared" si="505"/>
        <v>26.712979700870591</v>
      </c>
      <c r="HC213" s="28">
        <f t="shared" si="506"/>
        <v>783.87268302554685</v>
      </c>
      <c r="HD213" s="28">
        <f t="shared" si="507"/>
        <v>97.655647103182645</v>
      </c>
      <c r="HE213" s="28">
        <f t="shared" si="508"/>
        <v>7.882518600256895</v>
      </c>
      <c r="HF213" s="28">
        <f t="shared" si="509"/>
        <v>20.582131900670781</v>
      </c>
      <c r="HG213" s="28">
        <f t="shared" si="510"/>
        <v>389.30883531268785</v>
      </c>
      <c r="HH213" s="28">
        <f t="shared" si="511"/>
        <v>3.9412593001284475</v>
      </c>
      <c r="HI213" s="28">
        <f t="shared" si="512"/>
        <v>16645.251777542479</v>
      </c>
      <c r="HJ213" s="28">
        <f t="shared" si="513"/>
        <v>6.1308478001998088</v>
      </c>
      <c r="HK213" s="28">
        <f t="shared" si="514"/>
        <v>0</v>
      </c>
      <c r="HL213" s="28">
        <f t="shared" si="515"/>
        <v>8.7583540002854399</v>
      </c>
      <c r="HM213" s="28">
        <f t="shared" si="516"/>
        <v>10.947942500356801</v>
      </c>
      <c r="HN213" s="28">
        <f t="shared" si="517"/>
        <v>0.87583540002854399</v>
      </c>
      <c r="HO213" s="28" t="str">
        <f t="shared" si="518"/>
        <v/>
      </c>
      <c r="HP213" s="28">
        <f t="shared" si="519"/>
        <v>0</v>
      </c>
      <c r="HQ213" s="28">
        <f t="shared" si="520"/>
        <v>5.2550124001712639</v>
      </c>
      <c r="HR213" s="28">
        <f t="shared" si="521"/>
        <v>0.87583540002854399</v>
      </c>
      <c r="HT213" s="4">
        <f>IFERROR(GR213/'McDonough &amp; Sun 1995 values'!C$2,)</f>
        <v>271.09190953264454</v>
      </c>
      <c r="HU213" s="4">
        <f>IFERROR(GS213/'McDonough &amp; Sun 1995 values'!D$2,)</f>
        <v>561.9943816849825</v>
      </c>
      <c r="HV213" s="4">
        <f>IFERROR(GT213/'McDonough &amp; Sun 1995 values'!E$2,)</f>
        <v>506.25940168316595</v>
      </c>
      <c r="HW213" s="4">
        <f>IFERROR(GU213/'McDonough &amp; Sun 1995 values'!F$2,)</f>
        <v>319.48712705443745</v>
      </c>
      <c r="HX213" s="4">
        <f>IFERROR(GV213/'McDonough &amp; Sun 1995 values'!G$2,)</f>
        <v>366.72910838633618</v>
      </c>
      <c r="HY213" s="4">
        <f>IFERROR(GW213/'McDonough &amp; Sun 1995 values'!H$2,)</f>
        <v>392.30127292945201</v>
      </c>
      <c r="HZ213" s="4">
        <f>IFERROR(GX213/'McDonough &amp; Sun 1995 values'!I$2,)</f>
        <v>591.78067569496227</v>
      </c>
      <c r="IA213" s="4">
        <f>IFERROR(GY213/'McDonough &amp; Sun 1995 values'!J$2,)</f>
        <v>751.38158558679788</v>
      </c>
      <c r="IB213" s="4">
        <f>IFERROR(GZ213/'McDonough &amp; Sun 1995 values'!K$2,)</f>
        <v>226.39263812466223</v>
      </c>
      <c r="IC213" s="4">
        <f>IFERROR(HA213/'McDonough &amp; Sun 1995 values'!L$2,)</f>
        <v>123.40128621297693</v>
      </c>
      <c r="ID213" s="4">
        <f>IFERROR(HB213/'McDonough &amp; Sun 1995 values'!M$2,)</f>
        <v>105.16921142075036</v>
      </c>
      <c r="IE213" s="4">
        <f>IFERROR(HC213/'McDonough &amp; Sun 1995 values'!N$2,)</f>
        <v>39.390587086710902</v>
      </c>
      <c r="IF213" s="4">
        <f>IFERROR(HD213/'McDonough &amp; Sun 1995 values'!O$2,)</f>
        <v>78.124517682546113</v>
      </c>
      <c r="IG213" s="4">
        <f>IFERROR(HE213/'McDonough &amp; Sun 1995 values'!P$2,)</f>
        <v>19.415070443982497</v>
      </c>
      <c r="IH213" s="4">
        <f>IFERROR(HF213/'McDonough &amp; Sun 1995 values'!Q$2,)</f>
        <v>72.72838127445506</v>
      </c>
      <c r="II213" s="4">
        <f>IFERROR(HG213/'McDonough &amp; Sun 1995 values'!R$2,)</f>
        <v>37.077031934541701</v>
      </c>
      <c r="IJ213" s="4">
        <f>IFERROR(HH213/'McDonough &amp; Sun 1995 values'!S$2,)</f>
        <v>25.592592857976932</v>
      </c>
      <c r="IK213" s="4">
        <f>IFERROR(HI213/'McDonough &amp; Sun 1995 values'!T$2,)</f>
        <v>13.81348695231741</v>
      </c>
      <c r="IL213" s="4">
        <f>IFERROR(HJ213/'McDonough &amp; Sun 1995 values'!U$2,)</f>
        <v>11.269940809190825</v>
      </c>
      <c r="IM213" s="4">
        <f>IFERROR(HK213/'McDonough &amp; Sun 1995 values'!V$2,)</f>
        <v>0</v>
      </c>
      <c r="IN213" s="4">
        <f>IFERROR(HL213/'McDonough &amp; Sun 1995 values'!W$2,)</f>
        <v>12.994590504874539</v>
      </c>
      <c r="IO213" s="4">
        <f>IFERROR(HM213/'McDonough &amp; Sun 1995 values'!X$2,)</f>
        <v>2.5460331396178608</v>
      </c>
      <c r="IP213" s="4">
        <f>IFERROR(HN213/'McDonough &amp; Sun 1995 values'!Y$2,)</f>
        <v>5.8780899330774767</v>
      </c>
      <c r="IQ213" s="4">
        <f>IFERROR(HO213/'McDonough &amp; Sun 1995 values'!Z$2,)</f>
        <v>0</v>
      </c>
      <c r="IR213" s="4">
        <f>IFERROR(HP213/'McDonough &amp; Sun 1995 values'!AA$2,)</f>
        <v>0</v>
      </c>
      <c r="IS213" s="4">
        <f>IFERROR(HQ213/'McDonough &amp; Sun 1995 values'!AB$2,)</f>
        <v>11.916127891544816</v>
      </c>
      <c r="IT213" s="4">
        <f>IFERROR(HR213/'McDonough &amp; Sun 1995 values'!AC$2,)</f>
        <v>12.975339259682132</v>
      </c>
    </row>
    <row r="214" spans="1:254">
      <c r="A214" s="16" t="s">
        <v>672</v>
      </c>
      <c r="B214" s="16" t="s">
        <v>24</v>
      </c>
      <c r="C214" s="16" t="str">
        <f t="shared" si="461"/>
        <v>silicic</v>
      </c>
      <c r="D214" s="16" t="s">
        <v>1723</v>
      </c>
      <c r="E214" s="16" t="s">
        <v>237</v>
      </c>
      <c r="F214" s="16" t="s">
        <v>29</v>
      </c>
      <c r="G214" s="16" t="s">
        <v>595</v>
      </c>
      <c r="H214" s="27">
        <v>360</v>
      </c>
      <c r="I214" s="16" t="s">
        <v>735</v>
      </c>
      <c r="J214" s="16" t="s">
        <v>1496</v>
      </c>
      <c r="K214" s="16">
        <v>0</v>
      </c>
      <c r="L214" s="16">
        <v>0</v>
      </c>
      <c r="M214" s="16" t="s">
        <v>108</v>
      </c>
      <c r="N214" s="16">
        <v>24</v>
      </c>
      <c r="O214" s="26">
        <v>48.91</v>
      </c>
      <c r="P214" s="26">
        <v>4.51</v>
      </c>
      <c r="Q214" s="26">
        <v>0.13</v>
      </c>
      <c r="R214" s="26">
        <v>14.13</v>
      </c>
      <c r="S214" s="26">
        <v>10.1</v>
      </c>
      <c r="T214" s="26">
        <v>3.26</v>
      </c>
      <c r="U214" s="26">
        <v>0.26</v>
      </c>
      <c r="V214" s="26">
        <v>2.71</v>
      </c>
      <c r="W214" s="26">
        <v>0.61</v>
      </c>
      <c r="X214" s="26">
        <v>11.43</v>
      </c>
      <c r="Y214" s="26"/>
      <c r="Z214" s="26">
        <v>2.74</v>
      </c>
      <c r="AA214" s="26"/>
      <c r="AB214" s="26"/>
      <c r="AC214" s="26"/>
      <c r="AD214" s="26">
        <v>0.69</v>
      </c>
      <c r="AE214" s="26"/>
      <c r="AF214" s="26">
        <v>0.52</v>
      </c>
      <c r="AG214" s="26"/>
      <c r="AH214" s="26"/>
      <c r="AI214" s="26"/>
      <c r="AJ214" s="26">
        <f t="shared" si="462"/>
        <v>99.089999999999989</v>
      </c>
      <c r="AK214" s="26">
        <f t="shared" si="522"/>
        <v>49.436854626049318</v>
      </c>
      <c r="AL214" s="26">
        <f t="shared" si="523"/>
        <v>4.5585813609380992</v>
      </c>
      <c r="AM214" s="26">
        <f t="shared" si="524"/>
        <v>14.282207235045533</v>
      </c>
      <c r="AN214" s="26">
        <f t="shared" si="525"/>
        <v>10.208796395892417</v>
      </c>
      <c r="AO214" s="26">
        <f t="shared" si="526"/>
        <v>3.2951164604563639</v>
      </c>
      <c r="AP214" s="26">
        <f t="shared" si="527"/>
        <v>2.7391919042444011</v>
      </c>
      <c r="AQ214" s="26">
        <f t="shared" si="528"/>
        <v>0</v>
      </c>
      <c r="AR214" s="26">
        <f t="shared" si="529"/>
        <v>0.6165708714350866</v>
      </c>
      <c r="AS214" s="26">
        <f t="shared" si="530"/>
        <v>11.553123050004983</v>
      </c>
      <c r="AT214" s="26">
        <f t="shared" si="531"/>
        <v>2.7695150618559627</v>
      </c>
      <c r="AU214" s="26">
        <f t="shared" si="532"/>
        <v>0.69743262506591763</v>
      </c>
      <c r="AV214" s="26">
        <f t="shared" si="463"/>
        <v>100.1573895909881</v>
      </c>
      <c r="AW214" s="16"/>
      <c r="AX214" s="16"/>
      <c r="AY214" s="16"/>
      <c r="AZ214" s="16"/>
      <c r="BA214" s="26"/>
      <c r="BB214" s="26">
        <v>0.24</v>
      </c>
      <c r="BC214" s="26">
        <f t="shared" si="464"/>
        <v>0.24</v>
      </c>
      <c r="BD214" s="26">
        <f t="shared" si="465"/>
        <v>0.76</v>
      </c>
      <c r="BE214" s="16"/>
      <c r="BF214" s="16"/>
      <c r="BG214" s="16"/>
      <c r="BH214" s="16"/>
      <c r="BI214" s="16"/>
      <c r="BJ214" s="16"/>
      <c r="BK214" s="18"/>
      <c r="BL214" s="18"/>
      <c r="BM214" s="18"/>
      <c r="BN214" s="18">
        <v>25</v>
      </c>
      <c r="BO214" s="18">
        <v>55</v>
      </c>
      <c r="BP214" s="18">
        <v>112</v>
      </c>
      <c r="BQ214" s="18"/>
      <c r="BR214" s="18">
        <v>214</v>
      </c>
      <c r="BS214" s="18">
        <v>130</v>
      </c>
      <c r="BT214" s="18">
        <v>55.81</v>
      </c>
      <c r="BU214" s="18"/>
      <c r="BV214" s="18">
        <v>1.83</v>
      </c>
      <c r="BW214" s="18">
        <v>131</v>
      </c>
      <c r="BX214" s="18">
        <v>0.30299999999999999</v>
      </c>
      <c r="BY214" s="18">
        <v>7.6999999999999999E-2</v>
      </c>
      <c r="BZ214" s="18"/>
      <c r="CA214" s="18">
        <v>7.1999999999999995E-2</v>
      </c>
      <c r="CB214" s="18">
        <v>0.255</v>
      </c>
      <c r="CC214" s="18"/>
      <c r="CD214" s="18"/>
      <c r="CE214" s="18"/>
      <c r="CF214" s="18"/>
      <c r="CG214" s="18"/>
      <c r="CH214" s="18">
        <v>0.75</v>
      </c>
      <c r="CI214" s="18">
        <v>4.45</v>
      </c>
      <c r="CJ214" s="18">
        <v>7.0000000000000007E-2</v>
      </c>
      <c r="CK214" s="18">
        <v>2.06</v>
      </c>
      <c r="CL214" s="18"/>
      <c r="CM214" s="18">
        <v>0.23599999999999999</v>
      </c>
      <c r="CN214" s="18"/>
      <c r="CO214" s="18"/>
      <c r="CP214" s="18"/>
      <c r="CQ214" s="18"/>
      <c r="CR214" s="18">
        <v>7.0000000000000001E-3</v>
      </c>
      <c r="CS214" s="18">
        <v>10.46</v>
      </c>
      <c r="CT214" s="18">
        <v>0.223</v>
      </c>
      <c r="CU214" s="18">
        <v>0.45100000000000001</v>
      </c>
      <c r="CV214" s="18">
        <v>0.76500000000000001</v>
      </c>
      <c r="CW214" s="18">
        <v>0.114</v>
      </c>
      <c r="CX214" s="18">
        <v>0.52900000000000003</v>
      </c>
      <c r="CY214" s="18">
        <v>6.6000000000000003E-2</v>
      </c>
      <c r="CZ214" s="18">
        <v>2.3E-2</v>
      </c>
      <c r="DA214" s="18">
        <v>1.7000000000000001E-2</v>
      </c>
      <c r="DB214" s="18">
        <v>2.1000000000000001E-2</v>
      </c>
      <c r="DC214" s="18">
        <v>5.0000000000000001E-3</v>
      </c>
      <c r="DD214" s="18" t="s">
        <v>1366</v>
      </c>
      <c r="DE214" s="18"/>
      <c r="DF214" s="18">
        <v>1.4999999999999999E-2</v>
      </c>
      <c r="DG214" s="18" t="s">
        <v>1366</v>
      </c>
      <c r="DH214" s="18">
        <v>6.0999999999999999E-2</v>
      </c>
      <c r="DI214" s="18">
        <v>5.0000000000000001E-3</v>
      </c>
      <c r="DJ214" s="18"/>
      <c r="DK214" s="18">
        <v>8.6999999999999994E-2</v>
      </c>
      <c r="DL214" s="18">
        <v>5.7000000000000002E-2</v>
      </c>
      <c r="DM214" s="18">
        <v>1.2E-2</v>
      </c>
      <c r="DN214" s="18"/>
      <c r="DO214" s="18"/>
      <c r="DP214" s="18"/>
      <c r="DQ214" s="18"/>
      <c r="DR214" s="18"/>
      <c r="DS214" s="18"/>
      <c r="DT214" s="18"/>
      <c r="DU214" s="18"/>
      <c r="DV214" s="28"/>
      <c r="DW214" s="28"/>
      <c r="DX214" s="28"/>
      <c r="DY214" s="28"/>
      <c r="DZ214" s="28"/>
      <c r="EA214" s="28"/>
      <c r="EB214" s="28"/>
      <c r="EC214" s="28"/>
      <c r="ED214" s="28"/>
      <c r="EE214" s="28"/>
      <c r="EF214" s="28"/>
      <c r="EG214" s="28"/>
      <c r="EH214" s="28"/>
      <c r="EI214" s="28"/>
      <c r="EJ214" s="18"/>
      <c r="EK214" s="18"/>
      <c r="EL214" s="18">
        <f>IFERROR(CR214/'McDonough &amp; Sun 1995 values'!C$2,)</f>
        <v>0.33333333333333331</v>
      </c>
      <c r="EM214" s="18">
        <f>IFERROR(CH214/'McDonough &amp; Sun 1995 values'!D$2,)</f>
        <v>1.25</v>
      </c>
      <c r="EN214" s="18">
        <f>IFERROR(CS214/'McDonough &amp; Sun 1995 values'!E$2,)</f>
        <v>1.5848484848484852</v>
      </c>
      <c r="EO214" s="18">
        <f>IFERROR(DL214/'McDonough &amp; Sun 1995 values'!F$2,)</f>
        <v>0.71698113207547176</v>
      </c>
      <c r="EP214" s="18">
        <f>IFERROR(DM214/'McDonough &amp; Sun 1995 values'!G$2,)</f>
        <v>0.59113300492610843</v>
      </c>
      <c r="EQ214" s="18">
        <f>IFERROR(BR214/'McDonough &amp; Sun 1995 values'!H$2,)</f>
        <v>0.89166666666666672</v>
      </c>
      <c r="ER214" s="18">
        <f>IFERROR(DI214/'McDonough &amp; Sun 1995 values'!I$2,)</f>
        <v>0.13513513513513514</v>
      </c>
      <c r="ES214" s="18">
        <f>IFERROR(CM214/'McDonough &amp; Sun 1995 values'!J$2,)</f>
        <v>0.35866261398176286</v>
      </c>
      <c r="ET214" s="18">
        <f>IFERROR(CU214/'McDonough &amp; Sun 1995 values'!K$2,)</f>
        <v>0.69598765432098764</v>
      </c>
      <c r="EU214" s="18">
        <f>IFERROR(CV214/'McDonough &amp; Sun 1995 values'!L$2,)</f>
        <v>0.45671641791044776</v>
      </c>
      <c r="EV214" s="18">
        <f>IFERROR(CW214/'McDonough &amp; Sun 1995 values'!M$2,)</f>
        <v>0.44881889763779531</v>
      </c>
      <c r="EW214" s="18">
        <f>IFERROR(CI214/'McDonough &amp; Sun 1995 values'!N$2,)</f>
        <v>0.22361809045226133</v>
      </c>
      <c r="EX214" s="18">
        <f>IFERROR(CX214/'McDonough &amp; Sun 1995 values'!O$2,)</f>
        <v>0.42320000000000002</v>
      </c>
      <c r="EY214" s="18">
        <f>IFERROR(CY214/'McDonough &amp; Sun 1995 values'!P$2,)</f>
        <v>0.1625615763546798</v>
      </c>
      <c r="EZ214" s="18">
        <f>IFERROR(DH214/'McDonough &amp; Sun 1995 values'!Q$2,)</f>
        <v>0.21554770318021202</v>
      </c>
      <c r="FA214" s="18">
        <f>IFERROR(CK214/'McDonough &amp; Sun 1995 values'!R$2,)</f>
        <v>0.19619047619047619</v>
      </c>
      <c r="FB214" s="18">
        <f>IFERROR(CZ214/'McDonough &amp; Sun 1995 values'!S$2,)</f>
        <v>0.14935064935064934</v>
      </c>
      <c r="FC214" s="18">
        <f>IFERROR(BT214/'McDonough &amp; Sun 1995 values'!T$2,)</f>
        <v>4.6315352697095441E-2</v>
      </c>
      <c r="FD214" s="18">
        <f>IFERROR(DA214/'McDonough &amp; Sun 1995 values'!U$2,)</f>
        <v>3.125E-2</v>
      </c>
      <c r="FE214" s="18">
        <f>IFERROR(DN214/'McDonough &amp; Sun 1995 values'!V$2,)</f>
        <v>0</v>
      </c>
      <c r="FF214" s="18">
        <f>IFERROR(DB214/'McDonough &amp; Sun 1995 values'!W$2,)</f>
        <v>3.1157270029673591E-2</v>
      </c>
      <c r="FG214" s="18">
        <f>IFERROR(CJ214/'McDonough &amp; Sun 1995 values'!X$2,)</f>
        <v>1.6279069767441864E-2</v>
      </c>
      <c r="FH214" s="18">
        <f>IFERROR(DC214/'McDonough &amp; Sun 1995 values'!Y$2,)</f>
        <v>3.3557046979865772E-2</v>
      </c>
      <c r="FI214" s="18">
        <f>IFERROR(DD214/'McDonough &amp; Sun 1995 values'!Z$2,)</f>
        <v>0</v>
      </c>
      <c r="FJ214" s="18">
        <f>IFERROR(DE214/'McDonough &amp; Sun 1995 values'!AA$2,)</f>
        <v>0</v>
      </c>
      <c r="FK214" s="18">
        <f>IFERROR(DF214/'McDonough &amp; Sun 1995 values'!AB$2,)</f>
        <v>3.4013605442176867E-2</v>
      </c>
      <c r="FL214" s="18">
        <f>IFERROR(DG214/'McDonough &amp; Sun 1995 values'!AC$2,)</f>
        <v>0</v>
      </c>
      <c r="FN214" s="28">
        <f t="shared" si="458"/>
        <v>0.66295290272086926</v>
      </c>
      <c r="FO214" s="4">
        <f t="shared" si="466"/>
        <v>2.6810353535353539</v>
      </c>
      <c r="FP214" s="4">
        <f t="shared" si="467"/>
        <v>1.999040614007036</v>
      </c>
      <c r="FQ214" s="4">
        <f t="shared" si="468"/>
        <v>1.2128930817610062</v>
      </c>
      <c r="FR214" s="4">
        <f t="shared" si="469"/>
        <v>1.9405079514542793</v>
      </c>
      <c r="FS214" s="4">
        <f t="shared" si="470"/>
        <v>5.1503086419753084</v>
      </c>
      <c r="FT214" s="4">
        <f t="shared" si="471"/>
        <v>3.75</v>
      </c>
      <c r="FU214" s="4">
        <f t="shared" si="472"/>
        <v>0.37677508016491074</v>
      </c>
      <c r="FV214" s="4">
        <f t="shared" si="473"/>
        <v>1.2068686868686869</v>
      </c>
      <c r="FW214" s="4">
        <f t="shared" si="474"/>
        <v>0.91019516003122558</v>
      </c>
      <c r="FX214" s="4">
        <f t="shared" si="475"/>
        <v>1.5411943100584879</v>
      </c>
      <c r="FY214" s="4">
        <f t="shared" si="476"/>
        <v>0.5130958921444958</v>
      </c>
      <c r="FZ214" s="4">
        <f t="shared" si="477"/>
        <v>2.0954299807080035</v>
      </c>
      <c r="GA214" s="4">
        <f t="shared" si="478"/>
        <v>0.49823679802521381</v>
      </c>
      <c r="GB214" s="4">
        <f t="shared" si="479"/>
        <v>0.91873278236914602</v>
      </c>
      <c r="GC214" s="4">
        <f t="shared" si="480"/>
        <v>0.26666666666666666</v>
      </c>
      <c r="GD214" s="4">
        <f t="shared" si="481"/>
        <v>2.2104465709728869</v>
      </c>
      <c r="GE214" s="4">
        <f t="shared" si="482"/>
        <v>1.267878787878788</v>
      </c>
      <c r="GF214" s="4">
        <f t="shared" si="483"/>
        <v>1.7774001699235347</v>
      </c>
      <c r="GG214" s="4">
        <f t="shared" si="484"/>
        <v>4.4187724704673874</v>
      </c>
      <c r="GH214" s="4">
        <f t="shared" si="485"/>
        <v>1.5507093350660601</v>
      </c>
      <c r="GI214" s="4">
        <f t="shared" si="486"/>
        <v>4.2813786008230457</v>
      </c>
      <c r="GJ214" s="4">
        <f t="shared" si="487"/>
        <v>22.337889476778365</v>
      </c>
      <c r="GK214" s="4">
        <f t="shared" si="488"/>
        <v>20.462037037037039</v>
      </c>
      <c r="GL214" s="4">
        <f t="shared" si="489"/>
        <v>4.2359706828440027</v>
      </c>
      <c r="GM214" s="4">
        <f t="shared" si="490"/>
        <v>0.57358490566037745</v>
      </c>
      <c r="GN214" s="4">
        <f t="shared" si="491"/>
        <v>0.51532898860350851</v>
      </c>
      <c r="GO214" s="4">
        <f t="shared" si="492"/>
        <v>0.60673758865248206</v>
      </c>
      <c r="GP214" s="4">
        <f t="shared" si="493"/>
        <v>1.5084027777777778</v>
      </c>
      <c r="GQ214" s="27">
        <f t="shared" si="494"/>
        <v>95906.784297164108</v>
      </c>
      <c r="GR214" s="28">
        <f t="shared" si="495"/>
        <v>3.1371378041128444</v>
      </c>
      <c r="GS214" s="28">
        <f t="shared" si="496"/>
        <v>336.12190758351909</v>
      </c>
      <c r="GT214" s="28">
        <f t="shared" si="497"/>
        <v>4687.7802044314794</v>
      </c>
      <c r="GU214" s="28">
        <f t="shared" si="498"/>
        <v>25.54526497634745</v>
      </c>
      <c r="GV214" s="28">
        <f t="shared" si="499"/>
        <v>5.377950521336305</v>
      </c>
      <c r="GW214" s="28">
        <f t="shared" si="500"/>
        <v>95906.784297164108</v>
      </c>
      <c r="GX214" s="28">
        <f t="shared" si="501"/>
        <v>2.2408127172234602</v>
      </c>
      <c r="GY214" s="28">
        <f t="shared" si="502"/>
        <v>105.76636025294734</v>
      </c>
      <c r="GZ214" s="28">
        <f t="shared" si="503"/>
        <v>202.12130709355614</v>
      </c>
      <c r="HA214" s="28">
        <f t="shared" si="504"/>
        <v>342.84434573518945</v>
      </c>
      <c r="HB214" s="28">
        <f t="shared" si="505"/>
        <v>51.090529952694901</v>
      </c>
      <c r="HC214" s="28">
        <f t="shared" si="506"/>
        <v>1994.3233183288799</v>
      </c>
      <c r="HD214" s="28">
        <f t="shared" si="507"/>
        <v>237.07798548224216</v>
      </c>
      <c r="HE214" s="28">
        <f t="shared" si="508"/>
        <v>29.578727867349677</v>
      </c>
      <c r="HF214" s="28">
        <f t="shared" si="509"/>
        <v>27.337915150126218</v>
      </c>
      <c r="HG214" s="28">
        <f t="shared" si="510"/>
        <v>923.21483949606579</v>
      </c>
      <c r="HH214" s="28">
        <f t="shared" si="511"/>
        <v>10.307738499227918</v>
      </c>
      <c r="HI214" s="28">
        <f t="shared" si="512"/>
        <v>25011.951549648267</v>
      </c>
      <c r="HJ214" s="28">
        <f t="shared" si="513"/>
        <v>7.6187632385597661</v>
      </c>
      <c r="HK214" s="28">
        <f t="shared" si="514"/>
        <v>0</v>
      </c>
      <c r="HL214" s="28">
        <f t="shared" si="515"/>
        <v>9.4114134123385345</v>
      </c>
      <c r="HM214" s="28">
        <f t="shared" si="516"/>
        <v>31.371378041128448</v>
      </c>
      <c r="HN214" s="28">
        <f t="shared" si="517"/>
        <v>2.2408127172234602</v>
      </c>
      <c r="HO214" s="28" t="str">
        <f t="shared" si="518"/>
        <v/>
      </c>
      <c r="HP214" s="28">
        <f t="shared" si="519"/>
        <v>0</v>
      </c>
      <c r="HQ214" s="28">
        <f t="shared" si="520"/>
        <v>6.7224381516703815</v>
      </c>
      <c r="HR214" s="28" t="str">
        <f t="shared" si="521"/>
        <v/>
      </c>
      <c r="HT214" s="4">
        <f>IFERROR(GR214/'McDonough &amp; Sun 1995 values'!C$2,)</f>
        <v>149.38751448156401</v>
      </c>
      <c r="HU214" s="4">
        <f>IFERROR(GS214/'McDonough &amp; Sun 1995 values'!D$2,)</f>
        <v>560.20317930586521</v>
      </c>
      <c r="HV214" s="4">
        <f>IFERROR(GT214/'McDonough &amp; Sun 1995 values'!E$2,)</f>
        <v>710.26972794416361</v>
      </c>
      <c r="HW214" s="4">
        <f>IFERROR(GU214/'McDonough &amp; Sun 1995 values'!F$2,)</f>
        <v>321.32408775279811</v>
      </c>
      <c r="HX214" s="4">
        <f>IFERROR(GV214/'McDonough &amp; Sun 1995 values'!G$2,)</f>
        <v>264.92367100178842</v>
      </c>
      <c r="HY214" s="4">
        <f>IFERROR(GW214/'McDonough &amp; Sun 1995 values'!H$2,)</f>
        <v>399.61160123818377</v>
      </c>
      <c r="HZ214" s="4">
        <f>IFERROR(GX214/'McDonough &amp; Sun 1995 values'!I$2,)</f>
        <v>60.562505870904332</v>
      </c>
      <c r="IA214" s="4">
        <f>IFERROR(GY214/'McDonough &amp; Sun 1995 values'!J$2,)</f>
        <v>160.73914932058864</v>
      </c>
      <c r="IB214" s="4">
        <f>IFERROR(GZ214/'McDonough &amp; Sun 1995 values'!K$2,)</f>
        <v>311.91559736659894</v>
      </c>
      <c r="IC214" s="4">
        <f>IFERROR(HA214/'McDonough &amp; Sun 1995 values'!L$2,)</f>
        <v>204.6831914836952</v>
      </c>
      <c r="ID214" s="4">
        <f>IFERROR(HB214/'McDonough &amp; Sun 1995 values'!M$2,)</f>
        <v>201.14381871139724</v>
      </c>
      <c r="IE214" s="4">
        <f>IFERROR(HC214/'McDonough &amp; Sun 1995 values'!N$2,)</f>
        <v>100.21725217733065</v>
      </c>
      <c r="IF214" s="4">
        <f>IFERROR(HD214/'McDonough &amp; Sun 1995 values'!O$2,)</f>
        <v>189.66238838579372</v>
      </c>
      <c r="IG214" s="4">
        <f>IFERROR(HE214/'McDonough &amp; Sun 1995 values'!P$2,)</f>
        <v>72.854009525491804</v>
      </c>
      <c r="IH214" s="4">
        <f>IFERROR(HF214/'McDonough &amp; Sun 1995 values'!Q$2,)</f>
        <v>96.600406890905376</v>
      </c>
      <c r="II214" s="4">
        <f>IFERROR(HG214/'McDonough &amp; Sun 1995 values'!R$2,)</f>
        <v>87.925222809149119</v>
      </c>
      <c r="IJ214" s="4">
        <f>IFERROR(HH214/'McDonough &amp; Sun 1995 values'!S$2,)</f>
        <v>66.933366878103371</v>
      </c>
      <c r="IK214" s="4">
        <f>IFERROR(HI214/'McDonough &amp; Sun 1995 values'!T$2,)</f>
        <v>20.756806265268271</v>
      </c>
      <c r="IL214" s="4">
        <f>IFERROR(HJ214/'McDonough &amp; Sun 1995 values'!U$2,)</f>
        <v>14.005079482646629</v>
      </c>
      <c r="IM214" s="4">
        <f>IFERROR(HK214/'McDonough &amp; Sun 1995 values'!V$2,)</f>
        <v>0</v>
      </c>
      <c r="IN214" s="4">
        <f>IFERROR(HL214/'McDonough &amp; Sun 1995 values'!W$2,)</f>
        <v>13.963521383291594</v>
      </c>
      <c r="IO214" s="4">
        <f>IFERROR(HM214/'McDonough &amp; Sun 1995 values'!X$2,)</f>
        <v>7.2956693118903369</v>
      </c>
      <c r="IP214" s="4">
        <f>IFERROR(HN214/'McDonough &amp; Sun 1995 values'!Y$2,)</f>
        <v>15.039011524989666</v>
      </c>
      <c r="IQ214" s="4">
        <f>IFERROR(HO214/'McDonough &amp; Sun 1995 values'!Z$2,)</f>
        <v>0</v>
      </c>
      <c r="IR214" s="4">
        <f>IFERROR(HP214/'McDonough &amp; Sun 1995 values'!AA$2,)</f>
        <v>0</v>
      </c>
      <c r="IS214" s="4">
        <f>IFERROR(HQ214/'McDonough &amp; Sun 1995 values'!AB$2,)</f>
        <v>15.243623926690207</v>
      </c>
      <c r="IT214" s="4">
        <f>IFERROR(HR214/'McDonough &amp; Sun 1995 values'!AC$2,)</f>
        <v>0</v>
      </c>
    </row>
    <row r="215" spans="1:254">
      <c r="A215" s="16" t="s">
        <v>672</v>
      </c>
      <c r="B215" s="16" t="s">
        <v>24</v>
      </c>
      <c r="C215" s="16" t="str">
        <f t="shared" si="461"/>
        <v>silicic</v>
      </c>
      <c r="D215" s="16" t="s">
        <v>1723</v>
      </c>
      <c r="E215" s="16" t="s">
        <v>237</v>
      </c>
      <c r="F215" s="16" t="s">
        <v>29</v>
      </c>
      <c r="G215" s="16" t="s">
        <v>595</v>
      </c>
      <c r="H215" s="27">
        <v>360</v>
      </c>
      <c r="I215" s="16" t="s">
        <v>735</v>
      </c>
      <c r="J215" s="16" t="s">
        <v>1496</v>
      </c>
      <c r="K215" s="16">
        <v>0</v>
      </c>
      <c r="L215" s="16">
        <v>0</v>
      </c>
      <c r="M215" s="16" t="s">
        <v>111</v>
      </c>
      <c r="N215" s="16">
        <v>24</v>
      </c>
      <c r="O215" s="26">
        <v>52.48</v>
      </c>
      <c r="P215" s="26">
        <v>3.52</v>
      </c>
      <c r="Q215" s="26">
        <v>0.23</v>
      </c>
      <c r="R215" s="26">
        <v>16.420000000000002</v>
      </c>
      <c r="S215" s="26">
        <v>7.05</v>
      </c>
      <c r="T215" s="26">
        <v>3.31</v>
      </c>
      <c r="U215" s="26">
        <v>0.16</v>
      </c>
      <c r="V215" s="26">
        <v>1.61</v>
      </c>
      <c r="W215" s="26">
        <v>0.69</v>
      </c>
      <c r="X215" s="26">
        <v>10.64</v>
      </c>
      <c r="Y215" s="26"/>
      <c r="Z215" s="26">
        <v>2.63</v>
      </c>
      <c r="AA215" s="26"/>
      <c r="AB215" s="26"/>
      <c r="AC215" s="26"/>
      <c r="AD215" s="26">
        <v>0.79</v>
      </c>
      <c r="AE215" s="26"/>
      <c r="AF215" s="26">
        <v>0.47</v>
      </c>
      <c r="AG215" s="26"/>
      <c r="AH215" s="26"/>
      <c r="AI215" s="26"/>
      <c r="AJ215" s="26">
        <f t="shared" si="462"/>
        <v>99.14</v>
      </c>
      <c r="AK215" s="26">
        <f t="shared" si="522"/>
        <v>53.030605784801452</v>
      </c>
      <c r="AL215" s="26">
        <f t="shared" si="523"/>
        <v>3.5569308758098543</v>
      </c>
      <c r="AM215" s="26">
        <f t="shared" si="524"/>
        <v>16.592274142272103</v>
      </c>
      <c r="AN215" s="26">
        <f t="shared" si="525"/>
        <v>7.1239666688805308</v>
      </c>
      <c r="AO215" s="26">
        <f t="shared" si="526"/>
        <v>3.3447276133325619</v>
      </c>
      <c r="AP215" s="26">
        <f t="shared" si="527"/>
        <v>1.6268916789925754</v>
      </c>
      <c r="AQ215" s="26">
        <f t="shared" si="528"/>
        <v>0</v>
      </c>
      <c r="AR215" s="26">
        <f t="shared" si="529"/>
        <v>0.69723929099681792</v>
      </c>
      <c r="AS215" s="26">
        <f t="shared" si="530"/>
        <v>10.75163196551615</v>
      </c>
      <c r="AT215" s="26">
        <f t="shared" si="531"/>
        <v>2.6575932395965669</v>
      </c>
      <c r="AU215" s="26">
        <f t="shared" si="532"/>
        <v>0.79828846360505257</v>
      </c>
      <c r="AV215" s="26">
        <f t="shared" si="463"/>
        <v>100.18014972380367</v>
      </c>
      <c r="AW215" s="16"/>
      <c r="AX215" s="16"/>
      <c r="AY215" s="16"/>
      <c r="AZ215" s="16"/>
      <c r="BA215" s="26"/>
      <c r="BB215" s="26">
        <v>0.43</v>
      </c>
      <c r="BC215" s="26">
        <f t="shared" si="464"/>
        <v>0.42999999999999994</v>
      </c>
      <c r="BD215" s="26">
        <f t="shared" si="465"/>
        <v>0.57000000000000006</v>
      </c>
      <c r="BE215" s="16"/>
      <c r="BF215" s="16"/>
      <c r="BG215" s="16"/>
      <c r="BH215" s="16"/>
      <c r="BI215" s="16"/>
      <c r="BJ215" s="16"/>
      <c r="BK215" s="18"/>
      <c r="BL215" s="18"/>
      <c r="BM215" s="18"/>
      <c r="BN215" s="18">
        <v>43</v>
      </c>
      <c r="BO215" s="18">
        <v>103</v>
      </c>
      <c r="BP215" s="18">
        <v>265</v>
      </c>
      <c r="BQ215" s="18"/>
      <c r="BR215" s="18">
        <v>417</v>
      </c>
      <c r="BS215" s="18">
        <v>79</v>
      </c>
      <c r="BT215" s="18">
        <v>71.040000000000006</v>
      </c>
      <c r="BU215" s="18"/>
      <c r="BV215" s="18">
        <v>1.38</v>
      </c>
      <c r="BW215" s="18">
        <v>117</v>
      </c>
      <c r="BX215" s="18">
        <v>0.107</v>
      </c>
      <c r="BY215" s="18">
        <v>0.122</v>
      </c>
      <c r="BZ215" s="18"/>
      <c r="CA215" s="18">
        <v>4.5999999999999999E-2</v>
      </c>
      <c r="CB215" s="18">
        <v>0.51400000000000001</v>
      </c>
      <c r="CC215" s="18"/>
      <c r="CD215" s="18"/>
      <c r="CE215" s="18"/>
      <c r="CF215" s="18"/>
      <c r="CG215" s="18"/>
      <c r="CH215" s="18">
        <v>2.6</v>
      </c>
      <c r="CI215" s="18">
        <v>2.25</v>
      </c>
      <c r="CJ215" s="18">
        <v>3.4000000000000002E-2</v>
      </c>
      <c r="CK215" s="18">
        <v>1.95</v>
      </c>
      <c r="CL215" s="18"/>
      <c r="CM215" s="18">
        <v>1.077</v>
      </c>
      <c r="CN215" s="18"/>
      <c r="CO215" s="18"/>
      <c r="CP215" s="18"/>
      <c r="CQ215" s="18"/>
      <c r="CR215" s="18">
        <v>2.5000000000000001E-2</v>
      </c>
      <c r="CS215" s="18">
        <v>26.13</v>
      </c>
      <c r="CT215" s="18">
        <v>0.21099999999999999</v>
      </c>
      <c r="CU215" s="18">
        <v>0.5</v>
      </c>
      <c r="CV215" s="18">
        <v>0.57499999999999996</v>
      </c>
      <c r="CW215" s="18">
        <v>4.5999999999999999E-2</v>
      </c>
      <c r="CX215" s="18">
        <v>0.16700000000000001</v>
      </c>
      <c r="CY215" s="18">
        <v>1.7999999999999999E-2</v>
      </c>
      <c r="CZ215" s="18" t="s">
        <v>1366</v>
      </c>
      <c r="DA215" s="18" t="s">
        <v>1366</v>
      </c>
      <c r="DB215" s="18">
        <v>1.0999999999999999E-2</v>
      </c>
      <c r="DC215" s="18">
        <v>4.0000000000000001E-3</v>
      </c>
      <c r="DD215" s="18" t="s">
        <v>1366</v>
      </c>
      <c r="DE215" s="18"/>
      <c r="DF215" s="18" t="s">
        <v>1366</v>
      </c>
      <c r="DG215" s="18" t="s">
        <v>1366</v>
      </c>
      <c r="DH215" s="18">
        <v>7.3999999999999996E-2</v>
      </c>
      <c r="DI215" s="18">
        <v>3.1E-2</v>
      </c>
      <c r="DJ215" s="18"/>
      <c r="DK215" s="18">
        <v>8.2000000000000003E-2</v>
      </c>
      <c r="DL215" s="18">
        <v>0.1</v>
      </c>
      <c r="DM215" s="18">
        <v>2.5000000000000001E-2</v>
      </c>
      <c r="DN215" s="18"/>
      <c r="DO215" s="18"/>
      <c r="DP215" s="18"/>
      <c r="DQ215" s="18"/>
      <c r="DR215" s="18"/>
      <c r="DS215" s="18"/>
      <c r="DT215" s="18"/>
      <c r="DU215" s="18"/>
      <c r="DV215" s="28"/>
      <c r="DW215" s="28"/>
      <c r="DX215" s="28"/>
      <c r="DY215" s="28"/>
      <c r="DZ215" s="28"/>
      <c r="EA215" s="28"/>
      <c r="EB215" s="28"/>
      <c r="EC215" s="28"/>
      <c r="ED215" s="28"/>
      <c r="EE215" s="28"/>
      <c r="EF215" s="28"/>
      <c r="EG215" s="28"/>
      <c r="EH215" s="28"/>
      <c r="EI215" s="28"/>
      <c r="EJ215" s="18"/>
      <c r="EK215" s="18"/>
      <c r="EL215" s="18">
        <f>IFERROR(CR215/'McDonough &amp; Sun 1995 values'!C$2,)</f>
        <v>1.1904761904761905</v>
      </c>
      <c r="EM215" s="18">
        <f>IFERROR(CH215/'McDonough &amp; Sun 1995 values'!D$2,)</f>
        <v>4.3333333333333339</v>
      </c>
      <c r="EN215" s="18">
        <f>IFERROR(CS215/'McDonough &amp; Sun 1995 values'!E$2,)</f>
        <v>3.959090909090909</v>
      </c>
      <c r="EO215" s="18">
        <f>IFERROR(DL215/'McDonough &amp; Sun 1995 values'!F$2,)</f>
        <v>1.2578616352201257</v>
      </c>
      <c r="EP215" s="18">
        <f>IFERROR(DM215/'McDonough &amp; Sun 1995 values'!G$2,)</f>
        <v>1.2315270935960592</v>
      </c>
      <c r="EQ215" s="18">
        <f>IFERROR(BR215/'McDonough &amp; Sun 1995 values'!H$2,)</f>
        <v>1.7375</v>
      </c>
      <c r="ER215" s="18">
        <f>IFERROR(DI215/'McDonough &amp; Sun 1995 values'!I$2,)</f>
        <v>0.83783783783783783</v>
      </c>
      <c r="ES215" s="18">
        <f>IFERROR(CM215/'McDonough &amp; Sun 1995 values'!J$2,)</f>
        <v>1.6367781155015195</v>
      </c>
      <c r="ET215" s="18">
        <f>IFERROR(CU215/'McDonough &amp; Sun 1995 values'!K$2,)</f>
        <v>0.77160493827160492</v>
      </c>
      <c r="EU215" s="18">
        <f>IFERROR(CV215/'McDonough &amp; Sun 1995 values'!L$2,)</f>
        <v>0.34328358208955223</v>
      </c>
      <c r="EV215" s="18">
        <f>IFERROR(CW215/'McDonough &amp; Sun 1995 values'!M$2,)</f>
        <v>0.18110236220472439</v>
      </c>
      <c r="EW215" s="18">
        <f>IFERROR(CI215/'McDonough &amp; Sun 1995 values'!N$2,)</f>
        <v>0.11306532663316583</v>
      </c>
      <c r="EX215" s="18">
        <f>IFERROR(CX215/'McDonough &amp; Sun 1995 values'!O$2,)</f>
        <v>0.1336</v>
      </c>
      <c r="EY215" s="18">
        <f>IFERROR(CY215/'McDonough &amp; Sun 1995 values'!P$2,)</f>
        <v>4.4334975369458123E-2</v>
      </c>
      <c r="EZ215" s="18">
        <f>IFERROR(DH215/'McDonough &amp; Sun 1995 values'!Q$2,)</f>
        <v>0.26148409893992935</v>
      </c>
      <c r="FA215" s="18">
        <f>IFERROR(CK215/'McDonough &amp; Sun 1995 values'!R$2,)</f>
        <v>0.18571428571428572</v>
      </c>
      <c r="FB215" s="18">
        <f>IFERROR(CZ215/'McDonough &amp; Sun 1995 values'!S$2,)</f>
        <v>0</v>
      </c>
      <c r="FC215" s="18">
        <f>IFERROR(BT215/'McDonough &amp; Sun 1995 values'!T$2,)</f>
        <v>5.8954356846473037E-2</v>
      </c>
      <c r="FD215" s="18">
        <f>IFERROR(DA215/'McDonough &amp; Sun 1995 values'!U$2,)</f>
        <v>0</v>
      </c>
      <c r="FE215" s="18">
        <f>IFERROR(DN215/'McDonough &amp; Sun 1995 values'!V$2,)</f>
        <v>0</v>
      </c>
      <c r="FF215" s="18">
        <f>IFERROR(DB215/'McDonough &amp; Sun 1995 values'!W$2,)</f>
        <v>1.6320474777448069E-2</v>
      </c>
      <c r="FG215" s="18">
        <f>IFERROR(CJ215/'McDonough &amp; Sun 1995 values'!X$2,)</f>
        <v>7.9069767441860474E-3</v>
      </c>
      <c r="FH215" s="18">
        <f>IFERROR(DC215/'McDonough &amp; Sun 1995 values'!Y$2,)</f>
        <v>2.684563758389262E-2</v>
      </c>
      <c r="FI215" s="18">
        <f>IFERROR(DD215/'McDonough &amp; Sun 1995 values'!Z$2,)</f>
        <v>0</v>
      </c>
      <c r="FJ215" s="18">
        <f>IFERROR(DE215/'McDonough &amp; Sun 1995 values'!AA$2,)</f>
        <v>0</v>
      </c>
      <c r="FK215" s="18">
        <f>IFERROR(DF215/'McDonough &amp; Sun 1995 values'!AB$2,)</f>
        <v>0</v>
      </c>
      <c r="FL215" s="18">
        <f>IFERROR(DG215/'McDonough &amp; Sun 1995 values'!AC$2,)</f>
        <v>0</v>
      </c>
      <c r="FN215" s="28">
        <f t="shared" si="458"/>
        <v>0.70879257185384703</v>
      </c>
      <c r="FO215" s="4">
        <f t="shared" si="466"/>
        <v>3.2147818181818182</v>
      </c>
      <c r="FP215" s="4">
        <f t="shared" si="467"/>
        <v>0.76849856636475655</v>
      </c>
      <c r="FQ215" s="4">
        <f t="shared" si="468"/>
        <v>1.0213836477987421</v>
      </c>
      <c r="FR215" s="4">
        <f t="shared" si="469"/>
        <v>0.47141694464504746</v>
      </c>
      <c r="FS215" s="4">
        <f t="shared" si="470"/>
        <v>0.92094782954998011</v>
      </c>
      <c r="FT215" s="4">
        <f t="shared" si="471"/>
        <v>3.6400000000000006</v>
      </c>
      <c r="FU215" s="4">
        <f t="shared" si="472"/>
        <v>0.51188235589349806</v>
      </c>
      <c r="FV215" s="4">
        <f t="shared" si="473"/>
        <v>4.18888888888889</v>
      </c>
      <c r="FW215" s="4">
        <f t="shared" si="474"/>
        <v>0.71023166023166018</v>
      </c>
      <c r="FX215" s="4">
        <f t="shared" si="475"/>
        <v>0</v>
      </c>
      <c r="FY215" s="4">
        <f t="shared" si="476"/>
        <v>0.72688240282316086</v>
      </c>
      <c r="FZ215" s="4">
        <f t="shared" si="477"/>
        <v>0</v>
      </c>
      <c r="GA215" s="4">
        <f t="shared" si="478"/>
        <v>0.62431723836574182</v>
      </c>
      <c r="GB215" s="4">
        <f t="shared" si="479"/>
        <v>0</v>
      </c>
      <c r="GC215" s="4">
        <f t="shared" si="480"/>
        <v>0.27472527472527469</v>
      </c>
      <c r="GD215" s="4">
        <f t="shared" si="481"/>
        <v>3.1474772727272726</v>
      </c>
      <c r="GE215" s="4">
        <f t="shared" si="482"/>
        <v>0.91363636363636347</v>
      </c>
      <c r="GF215" s="4">
        <f t="shared" si="483"/>
        <v>2.2786134728580771</v>
      </c>
      <c r="GG215" s="4">
        <f t="shared" si="484"/>
        <v>2.4188317717565631</v>
      </c>
      <c r="GH215" s="4">
        <f t="shared" si="485"/>
        <v>4.2606011808910367</v>
      </c>
      <c r="GI215" s="4">
        <f t="shared" si="486"/>
        <v>17.403978052126202</v>
      </c>
      <c r="GJ215" s="4">
        <f t="shared" si="487"/>
        <v>47.278338945005615</v>
      </c>
      <c r="GK215" s="4">
        <f t="shared" si="488"/>
        <v>0</v>
      </c>
      <c r="GL215" s="4">
        <f t="shared" si="489"/>
        <v>3.1501367438867436</v>
      </c>
      <c r="GM215" s="4">
        <f t="shared" si="490"/>
        <v>0.29027576197387511</v>
      </c>
      <c r="GN215" s="4">
        <f t="shared" si="491"/>
        <v>2.1212644376899692</v>
      </c>
      <c r="GO215" s="4">
        <f t="shared" si="492"/>
        <v>1.3290638297872337</v>
      </c>
      <c r="GP215" s="4">
        <f t="shared" si="493"/>
        <v>1.4108499999999999</v>
      </c>
      <c r="GQ215" s="27">
        <f t="shared" si="494"/>
        <v>89253.30781089596</v>
      </c>
      <c r="GR215" s="28">
        <f t="shared" si="495"/>
        <v>5.3509177344661847</v>
      </c>
      <c r="GS215" s="28">
        <f t="shared" si="496"/>
        <v>556.49544438448322</v>
      </c>
      <c r="GT215" s="28">
        <f t="shared" si="497"/>
        <v>5592.7792160640556</v>
      </c>
      <c r="GU215" s="28">
        <f t="shared" si="498"/>
        <v>21.403670937864739</v>
      </c>
      <c r="GV215" s="28">
        <f t="shared" si="499"/>
        <v>5.3509177344661847</v>
      </c>
      <c r="GW215" s="28">
        <f t="shared" si="500"/>
        <v>89253.30781089596</v>
      </c>
      <c r="GX215" s="28">
        <f t="shared" si="501"/>
        <v>6.6351379907380688</v>
      </c>
      <c r="GY215" s="28">
        <f t="shared" si="502"/>
        <v>230.51753600080323</v>
      </c>
      <c r="GZ215" s="28">
        <f t="shared" si="503"/>
        <v>107.01835468932369</v>
      </c>
      <c r="HA215" s="28">
        <f t="shared" si="504"/>
        <v>123.07110789272224</v>
      </c>
      <c r="HB215" s="28">
        <f t="shared" si="505"/>
        <v>9.8456886314177794</v>
      </c>
      <c r="HC215" s="28">
        <f t="shared" si="506"/>
        <v>481.58259610195665</v>
      </c>
      <c r="HD215" s="28">
        <f t="shared" si="507"/>
        <v>35.744130466234111</v>
      </c>
      <c r="HE215" s="28">
        <f t="shared" si="508"/>
        <v>3.8526607688156527</v>
      </c>
      <c r="HF215" s="28">
        <f t="shared" si="509"/>
        <v>15.838716494019904</v>
      </c>
      <c r="HG215" s="28">
        <f t="shared" si="510"/>
        <v>417.37158328836239</v>
      </c>
      <c r="HH215" s="28" t="str">
        <f t="shared" si="511"/>
        <v/>
      </c>
      <c r="HI215" s="28">
        <f t="shared" si="512"/>
        <v>15205.167834259111</v>
      </c>
      <c r="HJ215" s="28" t="str">
        <f t="shared" si="513"/>
        <v/>
      </c>
      <c r="HK215" s="28">
        <f t="shared" si="514"/>
        <v>0</v>
      </c>
      <c r="HL215" s="28">
        <f t="shared" si="515"/>
        <v>2.3544038031651211</v>
      </c>
      <c r="HM215" s="28">
        <f t="shared" si="516"/>
        <v>7.2772481188740112</v>
      </c>
      <c r="HN215" s="28">
        <f t="shared" si="517"/>
        <v>0.85614683751458964</v>
      </c>
      <c r="HO215" s="28" t="str">
        <f t="shared" si="518"/>
        <v/>
      </c>
      <c r="HP215" s="28">
        <f t="shared" si="519"/>
        <v>0</v>
      </c>
      <c r="HQ215" s="28" t="str">
        <f t="shared" si="520"/>
        <v/>
      </c>
      <c r="HR215" s="28" t="str">
        <f t="shared" si="521"/>
        <v/>
      </c>
      <c r="HT215" s="4">
        <f>IFERROR(GR215/'McDonough &amp; Sun 1995 values'!C$2,)</f>
        <v>254.80560640315164</v>
      </c>
      <c r="HU215" s="4">
        <f>IFERROR(GS215/'McDonough &amp; Sun 1995 values'!D$2,)</f>
        <v>927.49240730747204</v>
      </c>
      <c r="HV215" s="4">
        <f>IFERROR(GT215/'McDonough &amp; Sun 1995 values'!E$2,)</f>
        <v>847.3907903127357</v>
      </c>
      <c r="HW215" s="4">
        <f>IFERROR(GU215/'McDonough &amp; Sun 1995 values'!F$2,)</f>
        <v>269.22856525616021</v>
      </c>
      <c r="HX215" s="4">
        <f>IFERROR(GV215/'McDonough &amp; Sun 1995 values'!G$2,)</f>
        <v>263.59200662395</v>
      </c>
      <c r="HY215" s="4">
        <f>IFERROR(GW215/'McDonough &amp; Sun 1995 values'!H$2,)</f>
        <v>371.88878254539981</v>
      </c>
      <c r="HZ215" s="4">
        <f>IFERROR(GX215/'McDonough &amp; Sun 1995 values'!I$2,)</f>
        <v>179.32805380373159</v>
      </c>
      <c r="IA215" s="4">
        <f>IFERROR(GY215/'McDonough &amp; Sun 1995 values'!J$2,)</f>
        <v>350.33060182492892</v>
      </c>
      <c r="IB215" s="4">
        <f>IFERROR(GZ215/'McDonough &amp; Sun 1995 values'!K$2,)</f>
        <v>165.15178192796864</v>
      </c>
      <c r="IC215" s="4">
        <f>IFERROR(HA215/'McDonough &amp; Sun 1995 values'!L$2,)</f>
        <v>73.475288294162524</v>
      </c>
      <c r="ID215" s="4">
        <f>IFERROR(HB215/'McDonough &amp; Sun 1995 values'!M$2,)</f>
        <v>38.762553666999132</v>
      </c>
      <c r="IE215" s="4">
        <f>IFERROR(HC215/'McDonough &amp; Sun 1995 values'!N$2,)</f>
        <v>24.200130457384759</v>
      </c>
      <c r="IF215" s="4">
        <f>IFERROR(HD215/'McDonough &amp; Sun 1995 values'!O$2,)</f>
        <v>28.59530437298729</v>
      </c>
      <c r="IG215" s="4">
        <f>IFERROR(HE215/'McDonough &amp; Sun 1995 values'!P$2,)</f>
        <v>9.4893122384621975</v>
      </c>
      <c r="IH215" s="4">
        <f>IFERROR(HF215/'McDonough &amp; Sun 1995 values'!Q$2,)</f>
        <v>55.96719609194313</v>
      </c>
      <c r="II215" s="4">
        <f>IFERROR(HG215/'McDonough &amp; Sun 1995 values'!R$2,)</f>
        <v>39.749674598891659</v>
      </c>
      <c r="IJ215" s="4">
        <f>IFERROR(HH215/'McDonough &amp; Sun 1995 values'!S$2,)</f>
        <v>0</v>
      </c>
      <c r="IK215" s="4">
        <f>IFERROR(HI215/'McDonough &amp; Sun 1995 values'!T$2,)</f>
        <v>12.618396542953619</v>
      </c>
      <c r="IL215" s="4">
        <f>IFERROR(HJ215/'McDonough &amp; Sun 1995 values'!U$2,)</f>
        <v>0</v>
      </c>
      <c r="IM215" s="4">
        <f>IFERROR(HK215/'McDonough &amp; Sun 1995 values'!V$2,)</f>
        <v>0</v>
      </c>
      <c r="IN215" s="4">
        <f>IFERROR(HL215/'McDonough &amp; Sun 1995 values'!W$2,)</f>
        <v>3.4931807168621973</v>
      </c>
      <c r="IO215" s="4">
        <f>IFERROR(HM215/'McDonough &amp; Sun 1995 values'!X$2,)</f>
        <v>1.6923832834590724</v>
      </c>
      <c r="IP215" s="4">
        <f>IFERROR(HN215/'McDonough &amp; Sun 1995 values'!Y$2,)</f>
        <v>5.7459519296281183</v>
      </c>
      <c r="IQ215" s="4">
        <f>IFERROR(HO215/'McDonough &amp; Sun 1995 values'!Z$2,)</f>
        <v>0</v>
      </c>
      <c r="IR215" s="4">
        <f>IFERROR(HP215/'McDonough &amp; Sun 1995 values'!AA$2,)</f>
        <v>0</v>
      </c>
      <c r="IS215" s="4">
        <f>IFERROR(HQ215/'McDonough &amp; Sun 1995 values'!AB$2,)</f>
        <v>0</v>
      </c>
      <c r="IT215" s="4">
        <f>IFERROR(HR215/'McDonough &amp; Sun 1995 values'!AC$2,)</f>
        <v>0</v>
      </c>
    </row>
    <row r="216" spans="1:254">
      <c r="A216" s="16" t="s">
        <v>672</v>
      </c>
      <c r="B216" s="16" t="s">
        <v>24</v>
      </c>
      <c r="C216" s="16" t="str">
        <f t="shared" si="461"/>
        <v>silicic</v>
      </c>
      <c r="D216" s="16" t="s">
        <v>1723</v>
      </c>
      <c r="E216" s="16" t="s">
        <v>237</v>
      </c>
      <c r="F216" s="16" t="s">
        <v>29</v>
      </c>
      <c r="G216" s="16" t="s">
        <v>595</v>
      </c>
      <c r="H216" s="27">
        <v>360</v>
      </c>
      <c r="I216" s="16" t="s">
        <v>735</v>
      </c>
      <c r="J216" s="16" t="s">
        <v>1496</v>
      </c>
      <c r="K216" s="16">
        <v>0</v>
      </c>
      <c r="L216" s="16">
        <v>0</v>
      </c>
      <c r="M216" s="16" t="s">
        <v>112</v>
      </c>
      <c r="N216" s="16">
        <v>24</v>
      </c>
      <c r="O216" s="26">
        <v>50.72</v>
      </c>
      <c r="P216" s="26">
        <v>3.08</v>
      </c>
      <c r="Q216" s="26">
        <v>0.55000000000000004</v>
      </c>
      <c r="R216" s="26">
        <v>16.75</v>
      </c>
      <c r="S216" s="26">
        <v>4.99</v>
      </c>
      <c r="T216" s="26">
        <v>1.69</v>
      </c>
      <c r="U216" s="26">
        <v>0.37</v>
      </c>
      <c r="V216" s="26">
        <v>0.86</v>
      </c>
      <c r="W216" s="26">
        <v>2.1800000000000002</v>
      </c>
      <c r="X216" s="26">
        <v>12.73</v>
      </c>
      <c r="Y216" s="26"/>
      <c r="Z216" s="26">
        <v>3.4</v>
      </c>
      <c r="AA216" s="26"/>
      <c r="AB216" s="26"/>
      <c r="AC216" s="26"/>
      <c r="AD216" s="26">
        <v>1.73</v>
      </c>
      <c r="AE216" s="26"/>
      <c r="AF216" s="26">
        <v>0.95</v>
      </c>
      <c r="AG216" s="26"/>
      <c r="AH216" s="26"/>
      <c r="AI216" s="26"/>
      <c r="AJ216" s="26">
        <f t="shared" si="462"/>
        <v>98.13000000000001</v>
      </c>
      <c r="AK216" s="26">
        <f t="shared" si="522"/>
        <v>51.892993918816835</v>
      </c>
      <c r="AL216" s="26">
        <f t="shared" si="523"/>
        <v>3.1512307032719997</v>
      </c>
      <c r="AM216" s="26">
        <f t="shared" si="524"/>
        <v>17.13737476617078</v>
      </c>
      <c r="AN216" s="26">
        <f t="shared" si="525"/>
        <v>5.1054029900413243</v>
      </c>
      <c r="AO216" s="26">
        <f t="shared" si="526"/>
        <v>1.7290843793927531</v>
      </c>
      <c r="AP216" s="26">
        <f t="shared" si="527"/>
        <v>0.87988909247205194</v>
      </c>
      <c r="AQ216" s="26">
        <f t="shared" si="528"/>
        <v>0</v>
      </c>
      <c r="AR216" s="26">
        <f t="shared" si="529"/>
        <v>2.2304165367314805</v>
      </c>
      <c r="AS216" s="26">
        <f t="shared" si="530"/>
        <v>13.024404822289792</v>
      </c>
      <c r="AT216" s="26">
        <f t="shared" si="531"/>
        <v>3.4786312958197403</v>
      </c>
      <c r="AU216" s="26">
        <f t="shared" si="532"/>
        <v>1.7700094534612207</v>
      </c>
      <c r="AV216" s="26">
        <f t="shared" si="463"/>
        <v>100.399437958468</v>
      </c>
      <c r="AW216" s="16"/>
      <c r="AX216" s="16"/>
      <c r="AY216" s="16"/>
      <c r="AZ216" s="16"/>
      <c r="BA216" s="26"/>
      <c r="BB216" s="26">
        <v>0.65</v>
      </c>
      <c r="BC216" s="26">
        <f t="shared" si="464"/>
        <v>0.65</v>
      </c>
      <c r="BD216" s="26">
        <f t="shared" si="465"/>
        <v>0.35</v>
      </c>
      <c r="BE216" s="16"/>
      <c r="BF216" s="16"/>
      <c r="BG216" s="16"/>
      <c r="BH216" s="16"/>
      <c r="BI216" s="16"/>
      <c r="BJ216" s="16"/>
      <c r="BK216" s="18"/>
      <c r="BL216" s="18"/>
      <c r="BM216" s="18"/>
      <c r="BN216" s="18">
        <v>3</v>
      </c>
      <c r="BO216" s="18">
        <v>5</v>
      </c>
      <c r="BP216" s="18">
        <v>41</v>
      </c>
      <c r="BQ216" s="18"/>
      <c r="BR216" s="18">
        <v>73</v>
      </c>
      <c r="BS216" s="18">
        <v>35</v>
      </c>
      <c r="BT216" s="18">
        <v>8.8699999999999992</v>
      </c>
      <c r="BU216" s="18"/>
      <c r="BV216" s="18">
        <v>0.17</v>
      </c>
      <c r="BW216" s="18">
        <v>14</v>
      </c>
      <c r="BX216" s="18">
        <v>0.13200000000000001</v>
      </c>
      <c r="BY216" s="18"/>
      <c r="BZ216" s="18"/>
      <c r="CA216" s="18">
        <v>8.9999999999999993E-3</v>
      </c>
      <c r="CB216" s="18">
        <v>0.03</v>
      </c>
      <c r="CC216" s="18"/>
      <c r="CD216" s="18"/>
      <c r="CE216" s="18"/>
      <c r="CF216" s="18"/>
      <c r="CG216" s="18"/>
      <c r="CH216" s="18">
        <v>0.49</v>
      </c>
      <c r="CI216" s="18">
        <v>0.23</v>
      </c>
      <c r="CJ216" s="18">
        <v>4.0000000000000001E-3</v>
      </c>
      <c r="CK216" s="18">
        <v>0.28999999999999998</v>
      </c>
      <c r="CL216" s="18"/>
      <c r="CM216" s="18">
        <v>8.5000000000000006E-2</v>
      </c>
      <c r="CN216" s="18"/>
      <c r="CO216" s="18"/>
      <c r="CP216" s="18"/>
      <c r="CQ216" s="18"/>
      <c r="CR216" s="18">
        <v>5.0000000000000001E-3</v>
      </c>
      <c r="CS216" s="18">
        <v>2.42</v>
      </c>
      <c r="CT216" s="18">
        <v>3.2000000000000001E-2</v>
      </c>
      <c r="CU216" s="18">
        <v>4.4999999999999998E-2</v>
      </c>
      <c r="CV216" s="18">
        <v>4.7E-2</v>
      </c>
      <c r="CW216" s="18">
        <v>6.0000000000000001E-3</v>
      </c>
      <c r="CX216" s="18" t="s">
        <v>1366</v>
      </c>
      <c r="CY216" s="18" t="s">
        <v>1366</v>
      </c>
      <c r="CZ216" s="18" t="s">
        <v>1366</v>
      </c>
      <c r="DA216" s="18" t="s">
        <v>1366</v>
      </c>
      <c r="DB216" s="18">
        <v>8.9999999999999993E-3</v>
      </c>
      <c r="DC216" s="18" t="s">
        <v>1366</v>
      </c>
      <c r="DD216" s="18" t="s">
        <v>1366</v>
      </c>
      <c r="DE216" s="18"/>
      <c r="DF216" s="18" t="s">
        <v>1366</v>
      </c>
      <c r="DG216" s="18" t="s">
        <v>1366</v>
      </c>
      <c r="DH216" s="18">
        <v>1.7000000000000001E-2</v>
      </c>
      <c r="DI216" s="18">
        <v>6.0000000000000001E-3</v>
      </c>
      <c r="DJ216" s="18"/>
      <c r="DK216" s="18">
        <v>2.1000000000000001E-2</v>
      </c>
      <c r="DL216" s="18">
        <v>1.9E-2</v>
      </c>
      <c r="DM216" s="18" t="s">
        <v>1366</v>
      </c>
      <c r="DN216" s="18"/>
      <c r="DO216" s="18"/>
      <c r="DP216" s="18"/>
      <c r="DQ216" s="18"/>
      <c r="DR216" s="18"/>
      <c r="DS216" s="18"/>
      <c r="DT216" s="18"/>
      <c r="DU216" s="18"/>
      <c r="DV216" s="28"/>
      <c r="DW216" s="28"/>
      <c r="DX216" s="28"/>
      <c r="DY216" s="28"/>
      <c r="DZ216" s="28"/>
      <c r="EA216" s="28"/>
      <c r="EB216" s="28"/>
      <c r="EC216" s="28"/>
      <c r="ED216" s="28"/>
      <c r="EE216" s="28"/>
      <c r="EF216" s="28"/>
      <c r="EG216" s="28"/>
      <c r="EH216" s="28"/>
      <c r="EI216" s="28"/>
      <c r="EJ216" s="18"/>
      <c r="EK216" s="18"/>
      <c r="EL216" s="18">
        <f>IFERROR(CR216/'McDonough &amp; Sun 1995 values'!C$2,)</f>
        <v>0.23809523809523808</v>
      </c>
      <c r="EM216" s="18">
        <f>IFERROR(CH216/'McDonough &amp; Sun 1995 values'!D$2,)</f>
        <v>0.81666666666666665</v>
      </c>
      <c r="EN216" s="18">
        <f>IFERROR(CS216/'McDonough &amp; Sun 1995 values'!E$2,)</f>
        <v>0.3666666666666667</v>
      </c>
      <c r="EO216" s="18">
        <f>IFERROR(DL216/'McDonough &amp; Sun 1995 values'!F$2,)</f>
        <v>0.2389937106918239</v>
      </c>
      <c r="EP216" s="18">
        <f>IFERROR(DM216/'McDonough &amp; Sun 1995 values'!G$2,)</f>
        <v>0</v>
      </c>
      <c r="EQ216" s="18">
        <f>IFERROR(BR216/'McDonough &amp; Sun 1995 values'!H$2,)</f>
        <v>0.30416666666666664</v>
      </c>
      <c r="ER216" s="18">
        <f>IFERROR(DI216/'McDonough &amp; Sun 1995 values'!I$2,)</f>
        <v>0.16216216216216217</v>
      </c>
      <c r="ES216" s="18">
        <f>IFERROR(CM216/'McDonough &amp; Sun 1995 values'!J$2,)</f>
        <v>0.12917933130699089</v>
      </c>
      <c r="ET216" s="18">
        <f>IFERROR(CU216/'McDonough &amp; Sun 1995 values'!K$2,)</f>
        <v>6.9444444444444434E-2</v>
      </c>
      <c r="EU216" s="18">
        <f>IFERROR(CV216/'McDonough &amp; Sun 1995 values'!L$2,)</f>
        <v>2.8059701492537312E-2</v>
      </c>
      <c r="EV216" s="18">
        <f>IFERROR(CW216/'McDonough &amp; Sun 1995 values'!M$2,)</f>
        <v>2.3622047244094488E-2</v>
      </c>
      <c r="EW216" s="18">
        <f>IFERROR(CI216/'McDonough &amp; Sun 1995 values'!N$2,)</f>
        <v>1.155778894472362E-2</v>
      </c>
      <c r="EX216" s="18">
        <f>IFERROR(CX216/'McDonough &amp; Sun 1995 values'!O$2,)</f>
        <v>0</v>
      </c>
      <c r="EY216" s="18">
        <f>IFERROR(CY216/'McDonough &amp; Sun 1995 values'!P$2,)</f>
        <v>0</v>
      </c>
      <c r="EZ216" s="18">
        <f>IFERROR(DH216/'McDonough &amp; Sun 1995 values'!Q$2,)</f>
        <v>6.0070671378091883E-2</v>
      </c>
      <c r="FA216" s="18">
        <f>IFERROR(CK216/'McDonough &amp; Sun 1995 values'!R$2,)</f>
        <v>2.7619047619047616E-2</v>
      </c>
      <c r="FB216" s="18">
        <f>IFERROR(CZ216/'McDonough &amp; Sun 1995 values'!S$2,)</f>
        <v>0</v>
      </c>
      <c r="FC216" s="18">
        <f>IFERROR(BT216/'McDonough &amp; Sun 1995 values'!T$2,)</f>
        <v>7.3609958506224062E-3</v>
      </c>
      <c r="FD216" s="18">
        <f>IFERROR(DA216/'McDonough &amp; Sun 1995 values'!U$2,)</f>
        <v>0</v>
      </c>
      <c r="FE216" s="18">
        <f>IFERROR(DN216/'McDonough &amp; Sun 1995 values'!V$2,)</f>
        <v>0</v>
      </c>
      <c r="FF216" s="18">
        <f>IFERROR(DB216/'McDonough &amp; Sun 1995 values'!W$2,)</f>
        <v>1.3353115727002965E-2</v>
      </c>
      <c r="FG216" s="18">
        <f>IFERROR(CJ216/'McDonough &amp; Sun 1995 values'!X$2,)</f>
        <v>9.3023255813953494E-4</v>
      </c>
      <c r="FH216" s="18">
        <f>IFERROR(DC216/'McDonough &amp; Sun 1995 values'!Y$2,)</f>
        <v>0</v>
      </c>
      <c r="FI216" s="18">
        <f>IFERROR(DD216/'McDonough &amp; Sun 1995 values'!Z$2,)</f>
        <v>0</v>
      </c>
      <c r="FJ216" s="18">
        <f>IFERROR(DE216/'McDonough &amp; Sun 1995 values'!AA$2,)</f>
        <v>0</v>
      </c>
      <c r="FK216" s="18">
        <f>IFERROR(DF216/'McDonough &amp; Sun 1995 values'!AB$2,)</f>
        <v>0</v>
      </c>
      <c r="FL216" s="18">
        <f>IFERROR(DG216/'McDonough &amp; Sun 1995 values'!AC$2,)</f>
        <v>0</v>
      </c>
      <c r="FN216" s="28">
        <f t="shared" si="458"/>
        <v>0</v>
      </c>
      <c r="FO216" s="4">
        <f t="shared" si="466"/>
        <v>0</v>
      </c>
      <c r="FP216" s="4">
        <f t="shared" si="467"/>
        <v>1.8500924898261191</v>
      </c>
      <c r="FQ216" s="4">
        <f t="shared" si="468"/>
        <v>0</v>
      </c>
      <c r="FR216" s="4">
        <f t="shared" si="469"/>
        <v>0.5375816993464051</v>
      </c>
      <c r="FS216" s="4">
        <f t="shared" si="470"/>
        <v>0.42824074074074064</v>
      </c>
      <c r="FT216" s="4">
        <f t="shared" si="471"/>
        <v>3.43</v>
      </c>
      <c r="FU216" s="4">
        <f t="shared" si="472"/>
        <v>1.2553259141494435</v>
      </c>
      <c r="FV216" s="4">
        <f t="shared" si="473"/>
        <v>0</v>
      </c>
      <c r="FW216" s="4">
        <f t="shared" si="474"/>
        <v>0.4597759103641455</v>
      </c>
      <c r="FX216" s="4">
        <f t="shared" si="475"/>
        <v>0</v>
      </c>
      <c r="FY216" s="4">
        <f t="shared" si="476"/>
        <v>0</v>
      </c>
      <c r="FZ216" s="4">
        <f t="shared" si="477"/>
        <v>0</v>
      </c>
      <c r="GA216" s="4">
        <f t="shared" si="478"/>
        <v>0.48927973199329994</v>
      </c>
      <c r="GB216" s="4">
        <f t="shared" si="479"/>
        <v>0</v>
      </c>
      <c r="GC216" s="4">
        <f t="shared" si="480"/>
        <v>0.29154518950437319</v>
      </c>
      <c r="GD216" s="4">
        <f t="shared" si="481"/>
        <v>1.5342105263157897</v>
      </c>
      <c r="GE216" s="4">
        <f t="shared" si="482"/>
        <v>0.44897959183673475</v>
      </c>
      <c r="GF216" s="4">
        <f t="shared" si="483"/>
        <v>1.2054794520547947</v>
      </c>
      <c r="GG216" s="4">
        <f t="shared" si="484"/>
        <v>2.8384313725490196</v>
      </c>
      <c r="GH216" s="4">
        <f t="shared" si="485"/>
        <v>2.9398148148148144</v>
      </c>
      <c r="GI216" s="4">
        <f t="shared" si="486"/>
        <v>0</v>
      </c>
      <c r="GJ216" s="4">
        <f t="shared" si="487"/>
        <v>5.2006172839506171</v>
      </c>
      <c r="GK216" s="4">
        <f t="shared" si="488"/>
        <v>0</v>
      </c>
      <c r="GL216" s="4">
        <f t="shared" si="489"/>
        <v>3.75208031352338</v>
      </c>
      <c r="GM216" s="4">
        <f t="shared" si="490"/>
        <v>0.29264536003080477</v>
      </c>
      <c r="GN216" s="4">
        <f t="shared" si="491"/>
        <v>1.8601823708206691</v>
      </c>
      <c r="GO216" s="4">
        <f t="shared" si="492"/>
        <v>0</v>
      </c>
      <c r="GP216" s="4">
        <f t="shared" si="493"/>
        <v>0</v>
      </c>
      <c r="GQ216" s="27">
        <f t="shared" si="494"/>
        <v>108120.44314630167</v>
      </c>
      <c r="GR216" s="28">
        <f t="shared" si="495"/>
        <v>7.4055098045412091</v>
      </c>
      <c r="GS216" s="28">
        <f t="shared" si="496"/>
        <v>725.73996084503858</v>
      </c>
      <c r="GT216" s="28">
        <f t="shared" si="497"/>
        <v>3584.2667453979457</v>
      </c>
      <c r="GU216" s="28">
        <f t="shared" si="498"/>
        <v>28.140937257256596</v>
      </c>
      <c r="GV216" s="28" t="str">
        <f t="shared" si="499"/>
        <v/>
      </c>
      <c r="GW216" s="28">
        <f t="shared" si="500"/>
        <v>108120.44314630167</v>
      </c>
      <c r="GX216" s="28">
        <f t="shared" si="501"/>
        <v>8.8866117654494516</v>
      </c>
      <c r="GY216" s="28">
        <f t="shared" si="502"/>
        <v>125.89366667720059</v>
      </c>
      <c r="GZ216" s="28">
        <f t="shared" si="503"/>
        <v>66.649588240870884</v>
      </c>
      <c r="HA216" s="28">
        <f t="shared" si="504"/>
        <v>69.611792162687365</v>
      </c>
      <c r="HB216" s="28">
        <f t="shared" si="505"/>
        <v>8.8866117654494516</v>
      </c>
      <c r="HC216" s="28">
        <f t="shared" si="506"/>
        <v>340.65345100889567</v>
      </c>
      <c r="HD216" s="28" t="str">
        <f t="shared" si="507"/>
        <v/>
      </c>
      <c r="HE216" s="28" t="str">
        <f t="shared" si="508"/>
        <v/>
      </c>
      <c r="HF216" s="28">
        <f t="shared" si="509"/>
        <v>25.178733335440118</v>
      </c>
      <c r="HG216" s="28">
        <f t="shared" si="510"/>
        <v>429.5195686633902</v>
      </c>
      <c r="HH216" s="28" t="str">
        <f t="shared" si="511"/>
        <v/>
      </c>
      <c r="HI216" s="28">
        <f t="shared" si="512"/>
        <v>13137.374393256106</v>
      </c>
      <c r="HJ216" s="28" t="str">
        <f t="shared" si="513"/>
        <v/>
      </c>
      <c r="HK216" s="28">
        <f t="shared" si="514"/>
        <v>0</v>
      </c>
      <c r="HL216" s="28">
        <f t="shared" si="515"/>
        <v>13.329917648174177</v>
      </c>
      <c r="HM216" s="28">
        <f t="shared" si="516"/>
        <v>5.9244078436329684</v>
      </c>
      <c r="HN216" s="28" t="str">
        <f t="shared" si="517"/>
        <v/>
      </c>
      <c r="HO216" s="28" t="str">
        <f t="shared" si="518"/>
        <v/>
      </c>
      <c r="HP216" s="28">
        <f t="shared" si="519"/>
        <v>0</v>
      </c>
      <c r="HQ216" s="28" t="str">
        <f t="shared" si="520"/>
        <v/>
      </c>
      <c r="HR216" s="28" t="str">
        <f t="shared" si="521"/>
        <v/>
      </c>
      <c r="HT216" s="4">
        <f>IFERROR(GR216/'McDonough &amp; Sun 1995 values'!C$2,)</f>
        <v>352.64332402577185</v>
      </c>
      <c r="HU216" s="4">
        <f>IFERROR(GS216/'McDonough &amp; Sun 1995 values'!D$2,)</f>
        <v>1209.5666014083977</v>
      </c>
      <c r="HV216" s="4">
        <f>IFERROR(GT216/'McDonough &amp; Sun 1995 values'!E$2,)</f>
        <v>543.07071899968878</v>
      </c>
      <c r="HW216" s="4">
        <f>IFERROR(GU216/'McDonough &amp; Sun 1995 values'!F$2,)</f>
        <v>353.9740535503974</v>
      </c>
      <c r="HX216" s="4">
        <f>IFERROR(GV216/'McDonough &amp; Sun 1995 values'!G$2,)</f>
        <v>0</v>
      </c>
      <c r="HY216" s="4">
        <f>IFERROR(GW216/'McDonough &amp; Sun 1995 values'!H$2,)</f>
        <v>450.50184644292364</v>
      </c>
      <c r="HZ216" s="4">
        <f>IFERROR(GX216/'McDonough &amp; Sun 1995 values'!I$2,)</f>
        <v>240.17869636349872</v>
      </c>
      <c r="IA216" s="4">
        <f>IFERROR(GY216/'McDonough &amp; Sun 1995 values'!J$2,)</f>
        <v>191.32776090759967</v>
      </c>
      <c r="IB216" s="4">
        <f>IFERROR(GZ216/'McDonough &amp; Sun 1995 values'!K$2,)</f>
        <v>102.85430284085012</v>
      </c>
      <c r="IC216" s="4">
        <f>IFERROR(HA216/'McDonough &amp; Sun 1995 values'!L$2,)</f>
        <v>41.559278903096931</v>
      </c>
      <c r="ID216" s="4">
        <f>IFERROR(HB216/'McDonough &amp; Sun 1995 values'!M$2,)</f>
        <v>34.986660493895478</v>
      </c>
      <c r="IE216" s="4">
        <f>IFERROR(HC216/'McDonough &amp; Sun 1995 values'!N$2,)</f>
        <v>17.118263869793754</v>
      </c>
      <c r="IF216" s="4">
        <f>IFERROR(HD216/'McDonough &amp; Sun 1995 values'!O$2,)</f>
        <v>0</v>
      </c>
      <c r="IG216" s="4">
        <f>IFERROR(HE216/'McDonough &amp; Sun 1995 values'!P$2,)</f>
        <v>0</v>
      </c>
      <c r="IH216" s="4">
        <f>IFERROR(HF216/'McDonough &amp; Sun 1995 values'!Q$2,)</f>
        <v>88.970789171166501</v>
      </c>
      <c r="II216" s="4">
        <f>IFERROR(HG216/'McDonough &amp; Sun 1995 values'!R$2,)</f>
        <v>40.906625586989541</v>
      </c>
      <c r="IJ216" s="4">
        <f>IFERROR(HH216/'McDonough &amp; Sun 1995 values'!S$2,)</f>
        <v>0</v>
      </c>
      <c r="IK216" s="4">
        <f>IFERROR(HI216/'McDonough &amp; Sun 1995 values'!T$2,)</f>
        <v>10.902385388594279</v>
      </c>
      <c r="IL216" s="4">
        <f>IFERROR(HJ216/'McDonough &amp; Sun 1995 values'!U$2,)</f>
        <v>0</v>
      </c>
      <c r="IM216" s="4">
        <f>IFERROR(HK216/'McDonough &amp; Sun 1995 values'!V$2,)</f>
        <v>0</v>
      </c>
      <c r="IN216" s="4">
        <f>IFERROR(HL216/'McDonough &amp; Sun 1995 values'!W$2,)</f>
        <v>19.77732588749878</v>
      </c>
      <c r="IO216" s="4">
        <f>IFERROR(HM216/'McDonough &amp; Sun 1995 values'!X$2,)</f>
        <v>1.3777692659611556</v>
      </c>
      <c r="IP216" s="4">
        <f>IFERROR(HN216/'McDonough &amp; Sun 1995 values'!Y$2,)</f>
        <v>0</v>
      </c>
      <c r="IQ216" s="4">
        <f>IFERROR(HO216/'McDonough &amp; Sun 1995 values'!Z$2,)</f>
        <v>0</v>
      </c>
      <c r="IR216" s="4">
        <f>IFERROR(HP216/'McDonough &amp; Sun 1995 values'!AA$2,)</f>
        <v>0</v>
      </c>
      <c r="IS216" s="4">
        <f>IFERROR(HQ216/'McDonough &amp; Sun 1995 values'!AB$2,)</f>
        <v>0</v>
      </c>
      <c r="IT216" s="4">
        <f>IFERROR(HR216/'McDonough &amp; Sun 1995 values'!AC$2,)</f>
        <v>0</v>
      </c>
    </row>
    <row r="217" spans="1:254">
      <c r="A217" s="16" t="s">
        <v>844</v>
      </c>
      <c r="B217" s="16" t="s">
        <v>24</v>
      </c>
      <c r="C217" s="16" t="str">
        <f t="shared" si="461"/>
        <v>silicic</v>
      </c>
      <c r="D217" s="16" t="s">
        <v>1721</v>
      </c>
      <c r="E217" s="16" t="s">
        <v>237</v>
      </c>
      <c r="F217" s="16" t="s">
        <v>238</v>
      </c>
      <c r="G217" s="16" t="s">
        <v>595</v>
      </c>
      <c r="H217" s="27">
        <v>355</v>
      </c>
      <c r="I217" s="16" t="s">
        <v>712</v>
      </c>
      <c r="J217" s="16">
        <v>0</v>
      </c>
      <c r="K217" s="16" t="s">
        <v>488</v>
      </c>
      <c r="L217" s="16">
        <v>0</v>
      </c>
      <c r="M217" s="16" t="s">
        <v>481</v>
      </c>
      <c r="N217" s="16">
        <v>22</v>
      </c>
      <c r="O217" s="26">
        <v>69.3</v>
      </c>
      <c r="P217" s="26">
        <v>1.49</v>
      </c>
      <c r="Q217" s="26"/>
      <c r="R217" s="26">
        <v>12.6</v>
      </c>
      <c r="S217" s="26">
        <v>3.05</v>
      </c>
      <c r="T217" s="26">
        <v>1.04</v>
      </c>
      <c r="U217" s="26"/>
      <c r="V217" s="26">
        <v>0.52</v>
      </c>
      <c r="W217" s="26">
        <v>0.53</v>
      </c>
      <c r="X217" s="26">
        <v>11.2</v>
      </c>
      <c r="Y217" s="26"/>
      <c r="Z217" s="26"/>
      <c r="AA217" s="26"/>
      <c r="AB217" s="26"/>
      <c r="AC217" s="26"/>
      <c r="AD217" s="26">
        <v>0</v>
      </c>
      <c r="AE217" s="26"/>
      <c r="AF217" s="26">
        <v>0.31</v>
      </c>
      <c r="AG217" s="26"/>
      <c r="AH217" s="26"/>
      <c r="AI217" s="26"/>
      <c r="AJ217" s="26">
        <f t="shared" si="462"/>
        <v>99.72999999999999</v>
      </c>
      <c r="AK217" s="26">
        <f t="shared" si="522"/>
        <v>69.48761656472476</v>
      </c>
      <c r="AL217" s="26">
        <f t="shared" si="523"/>
        <v>1.4940338915070692</v>
      </c>
      <c r="AM217" s="26">
        <f t="shared" si="524"/>
        <v>12.63411210267723</v>
      </c>
      <c r="AN217" s="26">
        <f t="shared" si="525"/>
        <v>3.0582572946956788</v>
      </c>
      <c r="AO217" s="26">
        <f t="shared" si="526"/>
        <v>1.0428156021257395</v>
      </c>
      <c r="AP217" s="26">
        <f t="shared" si="527"/>
        <v>0.52140780106286977</v>
      </c>
      <c r="AQ217" s="26">
        <f t="shared" si="528"/>
        <v>0</v>
      </c>
      <c r="AR217" s="26">
        <f t="shared" si="529"/>
        <v>0.53143487416023272</v>
      </c>
      <c r="AS217" s="26">
        <f t="shared" si="530"/>
        <v>11.230321869046426</v>
      </c>
      <c r="AT217" s="26">
        <f t="shared" si="531"/>
        <v>0</v>
      </c>
      <c r="AU217" s="26">
        <f t="shared" si="532"/>
        <v>0</v>
      </c>
      <c r="AV217" s="26">
        <f t="shared" si="463"/>
        <v>100</v>
      </c>
      <c r="AW217" s="16"/>
      <c r="AX217" s="16"/>
      <c r="AY217" s="16"/>
      <c r="AZ217" s="16"/>
      <c r="BA217" s="26"/>
      <c r="BB217" s="26">
        <v>0.88</v>
      </c>
      <c r="BC217" s="26">
        <f t="shared" si="464"/>
        <v>0.88</v>
      </c>
      <c r="BD217" s="26">
        <f t="shared" si="465"/>
        <v>0.12</v>
      </c>
      <c r="BE217" s="16"/>
      <c r="BF217" s="16"/>
      <c r="BG217" s="16"/>
      <c r="BH217" s="16"/>
      <c r="BI217" s="16"/>
      <c r="BJ217" s="16"/>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c r="DS217" s="18"/>
      <c r="DT217" s="18"/>
      <c r="DU217" s="18"/>
      <c r="DV217" s="28"/>
      <c r="DW217" s="28"/>
      <c r="DX217" s="28"/>
      <c r="DY217" s="28"/>
      <c r="DZ217" s="28"/>
      <c r="EA217" s="28"/>
      <c r="EB217" s="28"/>
      <c r="EC217" s="28"/>
      <c r="ED217" s="28"/>
      <c r="EE217" s="28"/>
      <c r="EF217" s="28"/>
      <c r="EG217" s="28"/>
      <c r="EH217" s="28"/>
      <c r="EI217" s="28"/>
      <c r="EJ217" s="18"/>
      <c r="EK217" s="18"/>
      <c r="EL217" s="18">
        <f>IFERROR(CR217/'McDonough &amp; Sun 1995 values'!C$2,)</f>
        <v>0</v>
      </c>
      <c r="EM217" s="18">
        <f>IFERROR(CH217/'McDonough &amp; Sun 1995 values'!D$2,)</f>
        <v>0</v>
      </c>
      <c r="EN217" s="18">
        <f>IFERROR(CS217/'McDonough &amp; Sun 1995 values'!E$2,)</f>
        <v>0</v>
      </c>
      <c r="EO217" s="18">
        <f>IFERROR(DL217/'McDonough &amp; Sun 1995 values'!F$2,)</f>
        <v>0</v>
      </c>
      <c r="EP217" s="18">
        <f>IFERROR(DM217/'McDonough &amp; Sun 1995 values'!G$2,)</f>
        <v>0</v>
      </c>
      <c r="EQ217" s="18">
        <f>IFERROR(BR217/'McDonough &amp; Sun 1995 values'!H$2,)</f>
        <v>0</v>
      </c>
      <c r="ER217" s="18">
        <f>IFERROR(DI217/'McDonough &amp; Sun 1995 values'!I$2,)</f>
        <v>0</v>
      </c>
      <c r="ES217" s="18">
        <f>IFERROR(CM217/'McDonough &amp; Sun 1995 values'!J$2,)</f>
        <v>0</v>
      </c>
      <c r="ET217" s="18">
        <f>IFERROR(CU217/'McDonough &amp; Sun 1995 values'!K$2,)</f>
        <v>0</v>
      </c>
      <c r="EU217" s="18">
        <f>IFERROR(CV217/'McDonough &amp; Sun 1995 values'!L$2,)</f>
        <v>0</v>
      </c>
      <c r="EV217" s="18">
        <f>IFERROR(CW217/'McDonough &amp; Sun 1995 values'!M$2,)</f>
        <v>0</v>
      </c>
      <c r="EW217" s="18">
        <f>IFERROR(CI217/'McDonough &amp; Sun 1995 values'!N$2,)</f>
        <v>0</v>
      </c>
      <c r="EX217" s="18">
        <f>IFERROR(CX217/'McDonough &amp; Sun 1995 values'!O$2,)</f>
        <v>0</v>
      </c>
      <c r="EY217" s="18">
        <f>IFERROR(CY217/'McDonough &amp; Sun 1995 values'!P$2,)</f>
        <v>0</v>
      </c>
      <c r="EZ217" s="18">
        <f>IFERROR(DH217/'McDonough &amp; Sun 1995 values'!Q$2,)</f>
        <v>0</v>
      </c>
      <c r="FA217" s="18">
        <f>IFERROR(CK217/'McDonough &amp; Sun 1995 values'!R$2,)</f>
        <v>0</v>
      </c>
      <c r="FB217" s="18">
        <f>IFERROR(CZ217/'McDonough &amp; Sun 1995 values'!S$2,)</f>
        <v>0</v>
      </c>
      <c r="FC217" s="18">
        <f>IFERROR(BT217/'McDonough &amp; Sun 1995 values'!T$2,)</f>
        <v>0</v>
      </c>
      <c r="FD217" s="18">
        <f>IFERROR(DA217/'McDonough &amp; Sun 1995 values'!U$2,)</f>
        <v>0</v>
      </c>
      <c r="FE217" s="18">
        <f>IFERROR(DN217/'McDonough &amp; Sun 1995 values'!V$2,)</f>
        <v>0</v>
      </c>
      <c r="FF217" s="18">
        <f>IFERROR(DB217/'McDonough &amp; Sun 1995 values'!W$2,)</f>
        <v>0</v>
      </c>
      <c r="FG217" s="18">
        <f>IFERROR(CJ217/'McDonough &amp; Sun 1995 values'!X$2,)</f>
        <v>0</v>
      </c>
      <c r="FH217" s="18">
        <f>IFERROR(DC217/'McDonough &amp; Sun 1995 values'!Y$2,)</f>
        <v>0</v>
      </c>
      <c r="FI217" s="18">
        <f>IFERROR(DD217/'McDonough &amp; Sun 1995 values'!Z$2,)</f>
        <v>0</v>
      </c>
      <c r="FJ217" s="18">
        <f>IFERROR(DE217/'McDonough &amp; Sun 1995 values'!AA$2,)</f>
        <v>0</v>
      </c>
      <c r="FK217" s="18">
        <f>IFERROR(DF217/'McDonough &amp; Sun 1995 values'!AB$2,)</f>
        <v>0</v>
      </c>
      <c r="FL217" s="18">
        <f>IFERROR(DG217/'McDonough &amp; Sun 1995 values'!AC$2,)</f>
        <v>0</v>
      </c>
      <c r="FN217" s="28">
        <f t="shared" si="458"/>
        <v>0</v>
      </c>
      <c r="FO217" s="4">
        <f t="shared" si="466"/>
        <v>0</v>
      </c>
      <c r="FP217" s="4">
        <f t="shared" si="467"/>
        <v>0</v>
      </c>
      <c r="FQ217" s="4">
        <f t="shared" si="468"/>
        <v>0</v>
      </c>
      <c r="FR217" s="4">
        <f t="shared" si="469"/>
        <v>0</v>
      </c>
      <c r="FS217" s="4">
        <f t="shared" si="470"/>
        <v>0</v>
      </c>
      <c r="FT217" s="4">
        <f t="shared" si="471"/>
        <v>0</v>
      </c>
      <c r="FU217" s="4">
        <f t="shared" si="472"/>
        <v>0</v>
      </c>
      <c r="FV217" s="4">
        <f t="shared" si="473"/>
        <v>0</v>
      </c>
      <c r="FW217" s="4">
        <f t="shared" si="474"/>
        <v>0</v>
      </c>
      <c r="FX217" s="4">
        <f t="shared" si="475"/>
        <v>0</v>
      </c>
      <c r="FY217" s="4">
        <f t="shared" si="476"/>
        <v>0</v>
      </c>
      <c r="FZ217" s="4">
        <f t="shared" si="477"/>
        <v>0</v>
      </c>
      <c r="GA217" s="4">
        <f t="shared" si="478"/>
        <v>0</v>
      </c>
      <c r="GB217" s="4">
        <f t="shared" si="479"/>
        <v>0</v>
      </c>
      <c r="GC217" s="4">
        <f t="shared" si="480"/>
        <v>0</v>
      </c>
      <c r="GD217" s="4">
        <f t="shared" si="481"/>
        <v>0</v>
      </c>
      <c r="GE217" s="4">
        <f t="shared" si="482"/>
        <v>0</v>
      </c>
      <c r="GF217" s="4">
        <f t="shared" si="483"/>
        <v>0</v>
      </c>
      <c r="GG217" s="4">
        <f t="shared" si="484"/>
        <v>0</v>
      </c>
      <c r="GH217" s="4">
        <f t="shared" si="485"/>
        <v>0</v>
      </c>
      <c r="GI217" s="4">
        <f t="shared" si="486"/>
        <v>0</v>
      </c>
      <c r="GJ217" s="4">
        <f t="shared" si="487"/>
        <v>0</v>
      </c>
      <c r="GK217" s="4">
        <f t="shared" si="488"/>
        <v>0</v>
      </c>
      <c r="GL217" s="4">
        <f t="shared" si="489"/>
        <v>0</v>
      </c>
      <c r="GM217" s="4">
        <f t="shared" si="490"/>
        <v>0</v>
      </c>
      <c r="GN217" s="4">
        <f t="shared" si="491"/>
        <v>0</v>
      </c>
      <c r="GO217" s="4">
        <f t="shared" si="492"/>
        <v>0</v>
      </c>
      <c r="GP217" s="4">
        <f t="shared" si="493"/>
        <v>0</v>
      </c>
      <c r="GQ217" s="27">
        <f t="shared" si="494"/>
        <v>93227.091273982049</v>
      </c>
      <c r="GR217" s="28" t="str">
        <f t="shared" si="495"/>
        <v/>
      </c>
      <c r="GS217" s="28" t="str">
        <f t="shared" si="496"/>
        <v/>
      </c>
      <c r="GT217" s="28" t="str">
        <f t="shared" si="497"/>
        <v/>
      </c>
      <c r="GU217" s="28" t="str">
        <f t="shared" si="498"/>
        <v/>
      </c>
      <c r="GV217" s="28" t="str">
        <f t="shared" si="499"/>
        <v/>
      </c>
      <c r="GW217" s="28" t="str">
        <f t="shared" si="500"/>
        <v/>
      </c>
      <c r="GX217" s="28" t="str">
        <f t="shared" si="501"/>
        <v/>
      </c>
      <c r="GY217" s="28" t="str">
        <f t="shared" si="502"/>
        <v/>
      </c>
      <c r="GZ217" s="28" t="str">
        <f t="shared" si="503"/>
        <v/>
      </c>
      <c r="HA217" s="28" t="str">
        <f t="shared" si="504"/>
        <v/>
      </c>
      <c r="HB217" s="28" t="str">
        <f t="shared" si="505"/>
        <v/>
      </c>
      <c r="HC217" s="28" t="str">
        <f t="shared" si="506"/>
        <v/>
      </c>
      <c r="HD217" s="28" t="str">
        <f t="shared" si="507"/>
        <v/>
      </c>
      <c r="HE217" s="28" t="str">
        <f t="shared" si="508"/>
        <v/>
      </c>
      <c r="HF217" s="28" t="str">
        <f t="shared" si="509"/>
        <v/>
      </c>
      <c r="HG217" s="28" t="str">
        <f t="shared" si="510"/>
        <v/>
      </c>
      <c r="HH217" s="28" t="str">
        <f t="shared" si="511"/>
        <v/>
      </c>
      <c r="HI217" s="28" t="str">
        <f t="shared" si="512"/>
        <v/>
      </c>
      <c r="HJ217" s="28" t="str">
        <f t="shared" si="513"/>
        <v/>
      </c>
      <c r="HK217" s="28" t="str">
        <f t="shared" si="514"/>
        <v/>
      </c>
      <c r="HL217" s="28" t="str">
        <f t="shared" si="515"/>
        <v/>
      </c>
      <c r="HM217" s="28" t="str">
        <f t="shared" si="516"/>
        <v/>
      </c>
      <c r="HN217" s="28" t="str">
        <f t="shared" si="517"/>
        <v/>
      </c>
      <c r="HO217" s="28" t="str">
        <f t="shared" si="518"/>
        <v/>
      </c>
      <c r="HP217" s="28" t="str">
        <f t="shared" si="519"/>
        <v/>
      </c>
      <c r="HQ217" s="28" t="str">
        <f t="shared" si="520"/>
        <v/>
      </c>
      <c r="HR217" s="28" t="str">
        <f t="shared" si="521"/>
        <v/>
      </c>
      <c r="HT217" s="4">
        <f>IFERROR(GR217/'McDonough &amp; Sun 1995 values'!C$2,)</f>
        <v>0</v>
      </c>
      <c r="HU217" s="4">
        <f>IFERROR(GS217/'McDonough &amp; Sun 1995 values'!D$2,)</f>
        <v>0</v>
      </c>
      <c r="HV217" s="4">
        <f>IFERROR(GT217/'McDonough &amp; Sun 1995 values'!E$2,)</f>
        <v>0</v>
      </c>
      <c r="HW217" s="4">
        <f>IFERROR(GU217/'McDonough &amp; Sun 1995 values'!F$2,)</f>
        <v>0</v>
      </c>
      <c r="HX217" s="4">
        <f>IFERROR(GV217/'McDonough &amp; Sun 1995 values'!G$2,)</f>
        <v>0</v>
      </c>
      <c r="HY217" s="4">
        <f>IFERROR(GW217/'McDonough &amp; Sun 1995 values'!H$2,)</f>
        <v>0</v>
      </c>
      <c r="HZ217" s="4">
        <f>IFERROR(GX217/'McDonough &amp; Sun 1995 values'!I$2,)</f>
        <v>0</v>
      </c>
      <c r="IA217" s="4">
        <f>IFERROR(GY217/'McDonough &amp; Sun 1995 values'!J$2,)</f>
        <v>0</v>
      </c>
      <c r="IB217" s="4">
        <f>IFERROR(GZ217/'McDonough &amp; Sun 1995 values'!K$2,)</f>
        <v>0</v>
      </c>
      <c r="IC217" s="4">
        <f>IFERROR(HA217/'McDonough &amp; Sun 1995 values'!L$2,)</f>
        <v>0</v>
      </c>
      <c r="ID217" s="4">
        <f>IFERROR(HB217/'McDonough &amp; Sun 1995 values'!M$2,)</f>
        <v>0</v>
      </c>
      <c r="IE217" s="4">
        <f>IFERROR(HC217/'McDonough &amp; Sun 1995 values'!N$2,)</f>
        <v>0</v>
      </c>
      <c r="IF217" s="4">
        <f>IFERROR(HD217/'McDonough &amp; Sun 1995 values'!O$2,)</f>
        <v>0</v>
      </c>
      <c r="IG217" s="4">
        <f>IFERROR(HE217/'McDonough &amp; Sun 1995 values'!P$2,)</f>
        <v>0</v>
      </c>
      <c r="IH217" s="4">
        <f>IFERROR(HF217/'McDonough &amp; Sun 1995 values'!Q$2,)</f>
        <v>0</v>
      </c>
      <c r="II217" s="4">
        <f>IFERROR(HG217/'McDonough &amp; Sun 1995 values'!R$2,)</f>
        <v>0</v>
      </c>
      <c r="IJ217" s="4">
        <f>IFERROR(HH217/'McDonough &amp; Sun 1995 values'!S$2,)</f>
        <v>0</v>
      </c>
      <c r="IK217" s="4">
        <f>IFERROR(HI217/'McDonough &amp; Sun 1995 values'!T$2,)</f>
        <v>0</v>
      </c>
      <c r="IL217" s="4">
        <f>IFERROR(HJ217/'McDonough &amp; Sun 1995 values'!U$2,)</f>
        <v>0</v>
      </c>
      <c r="IM217" s="4">
        <f>IFERROR(HK217/'McDonough &amp; Sun 1995 values'!V$2,)</f>
        <v>0</v>
      </c>
      <c r="IN217" s="4">
        <f>IFERROR(HL217/'McDonough &amp; Sun 1995 values'!W$2,)</f>
        <v>0</v>
      </c>
      <c r="IO217" s="4">
        <f>IFERROR(HM217/'McDonough &amp; Sun 1995 values'!X$2,)</f>
        <v>0</v>
      </c>
      <c r="IP217" s="4">
        <f>IFERROR(HN217/'McDonough &amp; Sun 1995 values'!Y$2,)</f>
        <v>0</v>
      </c>
      <c r="IQ217" s="4">
        <f>IFERROR(HO217/'McDonough &amp; Sun 1995 values'!Z$2,)</f>
        <v>0</v>
      </c>
      <c r="IR217" s="4">
        <f>IFERROR(HP217/'McDonough &amp; Sun 1995 values'!AA$2,)</f>
        <v>0</v>
      </c>
      <c r="IS217" s="4">
        <f>IFERROR(HQ217/'McDonough &amp; Sun 1995 values'!AB$2,)</f>
        <v>0</v>
      </c>
      <c r="IT217" s="4">
        <f>IFERROR(HR217/'McDonough &amp; Sun 1995 values'!AC$2,)</f>
        <v>0</v>
      </c>
    </row>
    <row r="218" spans="1:254">
      <c r="A218" s="16" t="s">
        <v>844</v>
      </c>
      <c r="B218" s="16" t="s">
        <v>24</v>
      </c>
      <c r="C218" s="16" t="str">
        <f t="shared" si="461"/>
        <v>silicic</v>
      </c>
      <c r="D218" s="16" t="s">
        <v>1721</v>
      </c>
      <c r="E218" s="16" t="s">
        <v>237</v>
      </c>
      <c r="F218" s="16" t="s">
        <v>238</v>
      </c>
      <c r="G218" s="16" t="s">
        <v>595</v>
      </c>
      <c r="H218" s="27">
        <v>355</v>
      </c>
      <c r="I218" s="16" t="s">
        <v>712</v>
      </c>
      <c r="J218" s="16">
        <v>0</v>
      </c>
      <c r="K218" s="16" t="s">
        <v>488</v>
      </c>
      <c r="L218" s="16">
        <v>0</v>
      </c>
      <c r="M218" s="16" t="s">
        <v>485</v>
      </c>
      <c r="N218" s="16">
        <v>24</v>
      </c>
      <c r="O218" s="26">
        <v>45.5</v>
      </c>
      <c r="P218" s="26">
        <v>4.9800000000000004</v>
      </c>
      <c r="Q218" s="26"/>
      <c r="R218" s="26">
        <v>5.82</v>
      </c>
      <c r="S218" s="26">
        <v>11.8</v>
      </c>
      <c r="T218" s="26">
        <v>9.26</v>
      </c>
      <c r="U218" s="26"/>
      <c r="V218" s="26">
        <v>7.48</v>
      </c>
      <c r="W218" s="26">
        <v>1.68</v>
      </c>
      <c r="X218" s="26">
        <v>11</v>
      </c>
      <c r="Y218" s="26"/>
      <c r="Z218" s="26">
        <v>2.2999999999999998</v>
      </c>
      <c r="AA218" s="26"/>
      <c r="AB218" s="26"/>
      <c r="AC218" s="26"/>
      <c r="AD218" s="26">
        <v>0.4</v>
      </c>
      <c r="AE218" s="26"/>
      <c r="AF218" s="26">
        <v>0.18</v>
      </c>
      <c r="AG218" s="26"/>
      <c r="AH218" s="26"/>
      <c r="AI218" s="26"/>
      <c r="AJ218" s="26">
        <f t="shared" si="462"/>
        <v>100.22000000000003</v>
      </c>
      <c r="AK218" s="26">
        <f t="shared" si="522"/>
        <v>45.441048411383925</v>
      </c>
      <c r="AL218" s="26">
        <f t="shared" si="523"/>
        <v>4.9735477162349877</v>
      </c>
      <c r="AM218" s="26">
        <f t="shared" si="524"/>
        <v>5.812459379214383</v>
      </c>
      <c r="AN218" s="26">
        <f t="shared" si="525"/>
        <v>11.784711456139126</v>
      </c>
      <c r="AO218" s="26">
        <f t="shared" si="526"/>
        <v>9.2480023799871454</v>
      </c>
      <c r="AP218" s="26">
        <f t="shared" si="527"/>
        <v>7.4703086179593789</v>
      </c>
      <c r="AQ218" s="26">
        <f t="shared" si="528"/>
        <v>0</v>
      </c>
      <c r="AR218" s="26">
        <f t="shared" si="529"/>
        <v>1.6778233259587911</v>
      </c>
      <c r="AS218" s="26">
        <f t="shared" si="530"/>
        <v>10.98574796758732</v>
      </c>
      <c r="AT218" s="26">
        <f t="shared" si="531"/>
        <v>2.2970200295864398</v>
      </c>
      <c r="AU218" s="26">
        <f t="shared" si="532"/>
        <v>0.39948174427590261</v>
      </c>
      <c r="AV218" s="26">
        <f t="shared" si="463"/>
        <v>100.09015102832738</v>
      </c>
      <c r="AW218" s="16"/>
      <c r="AX218" s="16"/>
      <c r="AY218" s="16"/>
      <c r="AZ218" s="16"/>
      <c r="BA218" s="26"/>
      <c r="BB218" s="26">
        <v>0.32</v>
      </c>
      <c r="BC218" s="26">
        <f t="shared" si="464"/>
        <v>0.32000000000000006</v>
      </c>
      <c r="BD218" s="26">
        <f t="shared" si="465"/>
        <v>0.67999999999999994</v>
      </c>
      <c r="BE218" s="16"/>
      <c r="BF218" s="16"/>
      <c r="BG218" s="16"/>
      <c r="BH218" s="16"/>
      <c r="BI218" s="16"/>
      <c r="BJ218" s="16"/>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c r="DS218" s="18"/>
      <c r="DT218" s="18"/>
      <c r="DU218" s="18"/>
      <c r="DV218" s="28"/>
      <c r="DW218" s="28"/>
      <c r="DX218" s="28"/>
      <c r="DY218" s="28"/>
      <c r="DZ218" s="28"/>
      <c r="EA218" s="28"/>
      <c r="EB218" s="28"/>
      <c r="EC218" s="28"/>
      <c r="ED218" s="28"/>
      <c r="EE218" s="28"/>
      <c r="EF218" s="28"/>
      <c r="EG218" s="28"/>
      <c r="EH218" s="28"/>
      <c r="EI218" s="28"/>
      <c r="EJ218" s="18"/>
      <c r="EK218" s="18"/>
      <c r="EL218" s="18">
        <f>IFERROR(CR218/'McDonough &amp; Sun 1995 values'!C$2,)</f>
        <v>0</v>
      </c>
      <c r="EM218" s="18">
        <f>IFERROR(CH218/'McDonough &amp; Sun 1995 values'!D$2,)</f>
        <v>0</v>
      </c>
      <c r="EN218" s="18">
        <f>IFERROR(CS218/'McDonough &amp; Sun 1995 values'!E$2,)</f>
        <v>0</v>
      </c>
      <c r="EO218" s="18">
        <f>IFERROR(DL218/'McDonough &amp; Sun 1995 values'!F$2,)</f>
        <v>0</v>
      </c>
      <c r="EP218" s="18">
        <f>IFERROR(DM218/'McDonough &amp; Sun 1995 values'!G$2,)</f>
        <v>0</v>
      </c>
      <c r="EQ218" s="18">
        <f>IFERROR(BR218/'McDonough &amp; Sun 1995 values'!H$2,)</f>
        <v>0</v>
      </c>
      <c r="ER218" s="18">
        <f>IFERROR(DI218/'McDonough &amp; Sun 1995 values'!I$2,)</f>
        <v>0</v>
      </c>
      <c r="ES218" s="18">
        <f>IFERROR(CM218/'McDonough &amp; Sun 1995 values'!J$2,)</f>
        <v>0</v>
      </c>
      <c r="ET218" s="18">
        <f>IFERROR(CU218/'McDonough &amp; Sun 1995 values'!K$2,)</f>
        <v>0</v>
      </c>
      <c r="EU218" s="18">
        <f>IFERROR(CV218/'McDonough &amp; Sun 1995 values'!L$2,)</f>
        <v>0</v>
      </c>
      <c r="EV218" s="18">
        <f>IFERROR(CW218/'McDonough &amp; Sun 1995 values'!M$2,)</f>
        <v>0</v>
      </c>
      <c r="EW218" s="18">
        <f>IFERROR(CI218/'McDonough &amp; Sun 1995 values'!N$2,)</f>
        <v>0</v>
      </c>
      <c r="EX218" s="18">
        <f>IFERROR(CX218/'McDonough &amp; Sun 1995 values'!O$2,)</f>
        <v>0</v>
      </c>
      <c r="EY218" s="18">
        <f>IFERROR(CY218/'McDonough &amp; Sun 1995 values'!P$2,)</f>
        <v>0</v>
      </c>
      <c r="EZ218" s="18">
        <f>IFERROR(DH218/'McDonough &amp; Sun 1995 values'!Q$2,)</f>
        <v>0</v>
      </c>
      <c r="FA218" s="18">
        <f>IFERROR(CK218/'McDonough &amp; Sun 1995 values'!R$2,)</f>
        <v>0</v>
      </c>
      <c r="FB218" s="18">
        <f>IFERROR(CZ218/'McDonough &amp; Sun 1995 values'!S$2,)</f>
        <v>0</v>
      </c>
      <c r="FC218" s="18">
        <f>IFERROR(BT218/'McDonough &amp; Sun 1995 values'!T$2,)</f>
        <v>0</v>
      </c>
      <c r="FD218" s="18">
        <f>IFERROR(DA218/'McDonough &amp; Sun 1995 values'!U$2,)</f>
        <v>0</v>
      </c>
      <c r="FE218" s="18">
        <f>IFERROR(DN218/'McDonough &amp; Sun 1995 values'!V$2,)</f>
        <v>0</v>
      </c>
      <c r="FF218" s="18">
        <f>IFERROR(DB218/'McDonough &amp; Sun 1995 values'!W$2,)</f>
        <v>0</v>
      </c>
      <c r="FG218" s="18">
        <f>IFERROR(CJ218/'McDonough &amp; Sun 1995 values'!X$2,)</f>
        <v>0</v>
      </c>
      <c r="FH218" s="18">
        <f>IFERROR(DC218/'McDonough &amp; Sun 1995 values'!Y$2,)</f>
        <v>0</v>
      </c>
      <c r="FI218" s="18">
        <f>IFERROR(DD218/'McDonough &amp; Sun 1995 values'!Z$2,)</f>
        <v>0</v>
      </c>
      <c r="FJ218" s="18">
        <f>IFERROR(DE218/'McDonough &amp; Sun 1995 values'!AA$2,)</f>
        <v>0</v>
      </c>
      <c r="FK218" s="18">
        <f>IFERROR(DF218/'McDonough &amp; Sun 1995 values'!AB$2,)</f>
        <v>0</v>
      </c>
      <c r="FL218" s="18">
        <f>IFERROR(DG218/'McDonough &amp; Sun 1995 values'!AC$2,)</f>
        <v>0</v>
      </c>
      <c r="FN218" s="28">
        <f t="shared" si="458"/>
        <v>0</v>
      </c>
      <c r="FO218" s="4">
        <f t="shared" si="466"/>
        <v>0</v>
      </c>
      <c r="FP218" s="4">
        <f t="shared" si="467"/>
        <v>0</v>
      </c>
      <c r="FQ218" s="4">
        <f t="shared" si="468"/>
        <v>0</v>
      </c>
      <c r="FR218" s="4">
        <f t="shared" si="469"/>
        <v>0</v>
      </c>
      <c r="FS218" s="4">
        <f t="shared" si="470"/>
        <v>0</v>
      </c>
      <c r="FT218" s="4">
        <f t="shared" si="471"/>
        <v>0</v>
      </c>
      <c r="FU218" s="4">
        <f t="shared" si="472"/>
        <v>0</v>
      </c>
      <c r="FV218" s="4">
        <f t="shared" si="473"/>
        <v>0</v>
      </c>
      <c r="FW218" s="4">
        <f t="shared" si="474"/>
        <v>0</v>
      </c>
      <c r="FX218" s="4">
        <f t="shared" si="475"/>
        <v>0</v>
      </c>
      <c r="FY218" s="4">
        <f t="shared" si="476"/>
        <v>0</v>
      </c>
      <c r="FZ218" s="4">
        <f t="shared" si="477"/>
        <v>0</v>
      </c>
      <c r="GA218" s="4">
        <f t="shared" si="478"/>
        <v>0</v>
      </c>
      <c r="GB218" s="4">
        <f t="shared" si="479"/>
        <v>0</v>
      </c>
      <c r="GC218" s="4">
        <f t="shared" si="480"/>
        <v>0</v>
      </c>
      <c r="GD218" s="4">
        <f t="shared" si="481"/>
        <v>0</v>
      </c>
      <c r="GE218" s="4">
        <f t="shared" si="482"/>
        <v>0</v>
      </c>
      <c r="GF218" s="4">
        <f t="shared" si="483"/>
        <v>0</v>
      </c>
      <c r="GG218" s="4">
        <f t="shared" si="484"/>
        <v>0</v>
      </c>
      <c r="GH218" s="4">
        <f t="shared" si="485"/>
        <v>0</v>
      </c>
      <c r="GI218" s="4">
        <f t="shared" si="486"/>
        <v>0</v>
      </c>
      <c r="GJ218" s="4">
        <f t="shared" si="487"/>
        <v>0</v>
      </c>
      <c r="GK218" s="4">
        <f t="shared" si="488"/>
        <v>0</v>
      </c>
      <c r="GL218" s="4">
        <f t="shared" si="489"/>
        <v>0</v>
      </c>
      <c r="GM218" s="4">
        <f t="shared" si="490"/>
        <v>0</v>
      </c>
      <c r="GN218" s="4">
        <f t="shared" si="491"/>
        <v>0</v>
      </c>
      <c r="GO218" s="4">
        <f t="shared" si="492"/>
        <v>0</v>
      </c>
      <c r="GP218" s="4">
        <f t="shared" si="493"/>
        <v>0</v>
      </c>
      <c r="GQ218" s="27">
        <f t="shared" si="494"/>
        <v>91196.792080384854</v>
      </c>
      <c r="GR218" s="28" t="str">
        <f t="shared" si="495"/>
        <v/>
      </c>
      <c r="GS218" s="28" t="str">
        <f t="shared" si="496"/>
        <v/>
      </c>
      <c r="GT218" s="28" t="str">
        <f t="shared" si="497"/>
        <v/>
      </c>
      <c r="GU218" s="28" t="str">
        <f t="shared" si="498"/>
        <v/>
      </c>
      <c r="GV218" s="28" t="str">
        <f t="shared" si="499"/>
        <v/>
      </c>
      <c r="GW218" s="28" t="str">
        <f t="shared" si="500"/>
        <v/>
      </c>
      <c r="GX218" s="28" t="str">
        <f t="shared" si="501"/>
        <v/>
      </c>
      <c r="GY218" s="28" t="str">
        <f t="shared" si="502"/>
        <v/>
      </c>
      <c r="GZ218" s="28" t="str">
        <f t="shared" si="503"/>
        <v/>
      </c>
      <c r="HA218" s="28" t="str">
        <f t="shared" si="504"/>
        <v/>
      </c>
      <c r="HB218" s="28" t="str">
        <f t="shared" si="505"/>
        <v/>
      </c>
      <c r="HC218" s="28" t="str">
        <f t="shared" si="506"/>
        <v/>
      </c>
      <c r="HD218" s="28" t="str">
        <f t="shared" si="507"/>
        <v/>
      </c>
      <c r="HE218" s="28" t="str">
        <f t="shared" si="508"/>
        <v/>
      </c>
      <c r="HF218" s="28" t="str">
        <f t="shared" si="509"/>
        <v/>
      </c>
      <c r="HG218" s="28" t="str">
        <f t="shared" si="510"/>
        <v/>
      </c>
      <c r="HH218" s="28" t="str">
        <f t="shared" si="511"/>
        <v/>
      </c>
      <c r="HI218" s="28" t="str">
        <f t="shared" si="512"/>
        <v/>
      </c>
      <c r="HJ218" s="28" t="str">
        <f t="shared" si="513"/>
        <v/>
      </c>
      <c r="HK218" s="28" t="str">
        <f t="shared" si="514"/>
        <v/>
      </c>
      <c r="HL218" s="28" t="str">
        <f t="shared" si="515"/>
        <v/>
      </c>
      <c r="HM218" s="28" t="str">
        <f t="shared" si="516"/>
        <v/>
      </c>
      <c r="HN218" s="28" t="str">
        <f t="shared" si="517"/>
        <v/>
      </c>
      <c r="HO218" s="28" t="str">
        <f t="shared" si="518"/>
        <v/>
      </c>
      <c r="HP218" s="28" t="str">
        <f t="shared" si="519"/>
        <v/>
      </c>
      <c r="HQ218" s="28" t="str">
        <f t="shared" si="520"/>
        <v/>
      </c>
      <c r="HR218" s="28" t="str">
        <f t="shared" si="521"/>
        <v/>
      </c>
      <c r="HT218" s="4">
        <f>IFERROR(GR218/'McDonough &amp; Sun 1995 values'!C$2,)</f>
        <v>0</v>
      </c>
      <c r="HU218" s="4">
        <f>IFERROR(GS218/'McDonough &amp; Sun 1995 values'!D$2,)</f>
        <v>0</v>
      </c>
      <c r="HV218" s="4">
        <f>IFERROR(GT218/'McDonough &amp; Sun 1995 values'!E$2,)</f>
        <v>0</v>
      </c>
      <c r="HW218" s="4">
        <f>IFERROR(GU218/'McDonough &amp; Sun 1995 values'!F$2,)</f>
        <v>0</v>
      </c>
      <c r="HX218" s="4">
        <f>IFERROR(GV218/'McDonough &amp; Sun 1995 values'!G$2,)</f>
        <v>0</v>
      </c>
      <c r="HY218" s="4">
        <f>IFERROR(GW218/'McDonough &amp; Sun 1995 values'!H$2,)</f>
        <v>0</v>
      </c>
      <c r="HZ218" s="4">
        <f>IFERROR(GX218/'McDonough &amp; Sun 1995 values'!I$2,)</f>
        <v>0</v>
      </c>
      <c r="IA218" s="4">
        <f>IFERROR(GY218/'McDonough &amp; Sun 1995 values'!J$2,)</f>
        <v>0</v>
      </c>
      <c r="IB218" s="4">
        <f>IFERROR(GZ218/'McDonough &amp; Sun 1995 values'!K$2,)</f>
        <v>0</v>
      </c>
      <c r="IC218" s="4">
        <f>IFERROR(HA218/'McDonough &amp; Sun 1995 values'!L$2,)</f>
        <v>0</v>
      </c>
      <c r="ID218" s="4">
        <f>IFERROR(HB218/'McDonough &amp; Sun 1995 values'!M$2,)</f>
        <v>0</v>
      </c>
      <c r="IE218" s="4">
        <f>IFERROR(HC218/'McDonough &amp; Sun 1995 values'!N$2,)</f>
        <v>0</v>
      </c>
      <c r="IF218" s="4">
        <f>IFERROR(HD218/'McDonough &amp; Sun 1995 values'!O$2,)</f>
        <v>0</v>
      </c>
      <c r="IG218" s="4">
        <f>IFERROR(HE218/'McDonough &amp; Sun 1995 values'!P$2,)</f>
        <v>0</v>
      </c>
      <c r="IH218" s="4">
        <f>IFERROR(HF218/'McDonough &amp; Sun 1995 values'!Q$2,)</f>
        <v>0</v>
      </c>
      <c r="II218" s="4">
        <f>IFERROR(HG218/'McDonough &amp; Sun 1995 values'!R$2,)</f>
        <v>0</v>
      </c>
      <c r="IJ218" s="4">
        <f>IFERROR(HH218/'McDonough &amp; Sun 1995 values'!S$2,)</f>
        <v>0</v>
      </c>
      <c r="IK218" s="4">
        <f>IFERROR(HI218/'McDonough &amp; Sun 1995 values'!T$2,)</f>
        <v>0</v>
      </c>
      <c r="IL218" s="4">
        <f>IFERROR(HJ218/'McDonough &amp; Sun 1995 values'!U$2,)</f>
        <v>0</v>
      </c>
      <c r="IM218" s="4">
        <f>IFERROR(HK218/'McDonough &amp; Sun 1995 values'!V$2,)</f>
        <v>0</v>
      </c>
      <c r="IN218" s="4">
        <f>IFERROR(HL218/'McDonough &amp; Sun 1995 values'!W$2,)</f>
        <v>0</v>
      </c>
      <c r="IO218" s="4">
        <f>IFERROR(HM218/'McDonough &amp; Sun 1995 values'!X$2,)</f>
        <v>0</v>
      </c>
      <c r="IP218" s="4">
        <f>IFERROR(HN218/'McDonough &amp; Sun 1995 values'!Y$2,)</f>
        <v>0</v>
      </c>
      <c r="IQ218" s="4">
        <f>IFERROR(HO218/'McDonough &amp; Sun 1995 values'!Z$2,)</f>
        <v>0</v>
      </c>
      <c r="IR218" s="4">
        <f>IFERROR(HP218/'McDonough &amp; Sun 1995 values'!AA$2,)</f>
        <v>0</v>
      </c>
      <c r="IS218" s="4">
        <f>IFERROR(HQ218/'McDonough &amp; Sun 1995 values'!AB$2,)</f>
        <v>0</v>
      </c>
      <c r="IT218" s="4">
        <f>IFERROR(HR218/'McDonough &amp; Sun 1995 values'!AC$2,)</f>
        <v>0</v>
      </c>
    </row>
    <row r="219" spans="1:254">
      <c r="A219" s="16" t="s">
        <v>836</v>
      </c>
      <c r="B219" s="16" t="s">
        <v>24</v>
      </c>
      <c r="C219" s="16" t="str">
        <f t="shared" si="461"/>
        <v>silicic</v>
      </c>
      <c r="D219" s="16" t="s">
        <v>1705</v>
      </c>
      <c r="E219" s="16" t="s">
        <v>237</v>
      </c>
      <c r="F219" s="16" t="s">
        <v>163</v>
      </c>
      <c r="G219" s="16" t="s">
        <v>595</v>
      </c>
      <c r="H219" s="27">
        <v>355</v>
      </c>
      <c r="I219" s="16" t="s">
        <v>1148</v>
      </c>
      <c r="J219" s="3" t="s">
        <v>635</v>
      </c>
      <c r="K219" s="16" t="s">
        <v>128</v>
      </c>
      <c r="L219" s="16" t="s">
        <v>1509</v>
      </c>
      <c r="M219" s="16" t="s">
        <v>377</v>
      </c>
      <c r="N219" s="16">
        <v>22</v>
      </c>
      <c r="O219" s="26">
        <v>50.1</v>
      </c>
      <c r="P219" s="26">
        <v>3.63</v>
      </c>
      <c r="Q219" s="26"/>
      <c r="R219" s="26">
        <v>5.28</v>
      </c>
      <c r="S219" s="26">
        <v>14.2</v>
      </c>
      <c r="T219" s="26">
        <v>7.37</v>
      </c>
      <c r="U219" s="26"/>
      <c r="V219" s="26">
        <v>4.24</v>
      </c>
      <c r="W219" s="26">
        <v>2.19</v>
      </c>
      <c r="X219" s="26">
        <v>11.4</v>
      </c>
      <c r="Y219" s="26"/>
      <c r="Z219" s="26">
        <v>0.97</v>
      </c>
      <c r="AA219" s="26"/>
      <c r="AB219" s="26"/>
      <c r="AC219" s="26"/>
      <c r="AD219" s="26">
        <v>0.74</v>
      </c>
      <c r="AE219" s="26"/>
      <c r="AF219" s="26"/>
      <c r="AG219" s="26"/>
      <c r="AH219" s="26"/>
      <c r="AI219" s="26"/>
      <c r="AJ219" s="26">
        <f t="shared" si="462"/>
        <v>100.12</v>
      </c>
      <c r="AK219" s="26">
        <f t="shared" si="522"/>
        <v>50.123555950412801</v>
      </c>
      <c r="AL219" s="26">
        <f t="shared" si="523"/>
        <v>3.6317067485029635</v>
      </c>
      <c r="AM219" s="26">
        <f t="shared" si="524"/>
        <v>5.2824825432770384</v>
      </c>
      <c r="AN219" s="26">
        <f t="shared" si="525"/>
        <v>14.206676536843549</v>
      </c>
      <c r="AO219" s="26">
        <f t="shared" si="526"/>
        <v>7.3734652166575323</v>
      </c>
      <c r="AP219" s="26">
        <f t="shared" si="527"/>
        <v>4.241993557480046</v>
      </c>
      <c r="AQ219" s="26">
        <f t="shared" si="528"/>
        <v>0</v>
      </c>
      <c r="AR219" s="26">
        <f t="shared" si="529"/>
        <v>2.1910296912455896</v>
      </c>
      <c r="AS219" s="26">
        <f t="shared" si="530"/>
        <v>11.405360036620877</v>
      </c>
      <c r="AT219" s="26">
        <f t="shared" si="531"/>
        <v>0.97045607329142547</v>
      </c>
      <c r="AU219" s="26">
        <f t="shared" si="532"/>
        <v>0.74034793220170603</v>
      </c>
      <c r="AV219" s="26">
        <f t="shared" si="463"/>
        <v>100.16707428653353</v>
      </c>
      <c r="AW219" s="16"/>
      <c r="AX219" s="16"/>
      <c r="AY219" s="16"/>
      <c r="AZ219" s="16"/>
      <c r="BA219" s="26"/>
      <c r="BB219" s="26">
        <v>0.32</v>
      </c>
      <c r="BC219" s="26">
        <f t="shared" si="464"/>
        <v>0.32000000000000006</v>
      </c>
      <c r="BD219" s="26">
        <f t="shared" si="465"/>
        <v>0.67999999999999994</v>
      </c>
      <c r="BE219" s="25">
        <v>-3.6500000000000004</v>
      </c>
      <c r="BF219" s="16"/>
      <c r="BG219" s="16" t="s">
        <v>1094</v>
      </c>
      <c r="BH219" s="16"/>
      <c r="BI219" s="16" t="s">
        <v>1095</v>
      </c>
      <c r="BJ219" s="16"/>
      <c r="BK219" s="18"/>
      <c r="BL219" s="18"/>
      <c r="BM219" s="18"/>
      <c r="BN219" s="18"/>
      <c r="BO219" s="18"/>
      <c r="BP219" s="18"/>
      <c r="BQ219" s="18"/>
      <c r="BR219" s="18">
        <v>195414</v>
      </c>
      <c r="BS219" s="18"/>
      <c r="BT219" s="18">
        <v>34112</v>
      </c>
      <c r="BU219" s="18"/>
      <c r="BV219" s="18"/>
      <c r="BW219" s="18"/>
      <c r="BX219" s="18"/>
      <c r="BY219" s="18"/>
      <c r="BZ219" s="18"/>
      <c r="CA219" s="18"/>
      <c r="CB219" s="18"/>
      <c r="CC219" s="18"/>
      <c r="CD219" s="18"/>
      <c r="CE219" s="18"/>
      <c r="CF219" s="18"/>
      <c r="CG219" s="18"/>
      <c r="CH219" s="18">
        <v>500</v>
      </c>
      <c r="CI219" s="18">
        <v>3000</v>
      </c>
      <c r="CJ219" s="18">
        <v>302</v>
      </c>
      <c r="CK219" s="18">
        <v>1851</v>
      </c>
      <c r="CL219" s="18"/>
      <c r="CM219" s="18">
        <v>604</v>
      </c>
      <c r="CN219" s="18"/>
      <c r="CO219" s="18"/>
      <c r="CP219" s="18"/>
      <c r="CQ219" s="18"/>
      <c r="CR219" s="18"/>
      <c r="CS219" s="18">
        <v>16082</v>
      </c>
      <c r="CT219" s="18"/>
      <c r="CU219" s="18">
        <v>741</v>
      </c>
      <c r="CV219" s="18">
        <v>980</v>
      </c>
      <c r="CW219" s="18">
        <v>91.2</v>
      </c>
      <c r="CX219" s="18">
        <v>314</v>
      </c>
      <c r="CY219" s="18">
        <v>88.8</v>
      </c>
      <c r="CZ219" s="18">
        <v>24.8</v>
      </c>
      <c r="DA219" s="18">
        <v>88.8</v>
      </c>
      <c r="DB219" s="18">
        <v>77</v>
      </c>
      <c r="DC219" s="18">
        <v>15.6</v>
      </c>
      <c r="DD219" s="18">
        <v>38.799999999999997</v>
      </c>
      <c r="DE219" s="18"/>
      <c r="DF219" s="18">
        <v>20.399999999999999</v>
      </c>
      <c r="DG219" s="18">
        <v>2.29</v>
      </c>
      <c r="DH219" s="18">
        <v>81</v>
      </c>
      <c r="DI219" s="18">
        <v>30.6</v>
      </c>
      <c r="DJ219" s="18"/>
      <c r="DK219" s="18"/>
      <c r="DL219" s="18">
        <v>94.5</v>
      </c>
      <c r="DM219" s="18">
        <v>16.8</v>
      </c>
      <c r="DN219" s="18">
        <v>12.6</v>
      </c>
      <c r="DO219" s="18"/>
      <c r="DP219" s="18"/>
      <c r="DQ219" s="18"/>
      <c r="DR219" s="18"/>
      <c r="DS219" s="18"/>
      <c r="DT219" s="18"/>
      <c r="DU219" s="18"/>
      <c r="DV219" s="28"/>
      <c r="DW219" s="28"/>
      <c r="DX219" s="28"/>
      <c r="DY219" s="28"/>
      <c r="DZ219" s="28"/>
      <c r="EA219" s="28"/>
      <c r="EB219" s="28"/>
      <c r="EC219" s="28"/>
      <c r="ED219" s="28"/>
      <c r="EE219" s="28"/>
      <c r="EF219" s="28"/>
      <c r="EG219" s="28"/>
      <c r="EH219" s="28"/>
      <c r="EI219" s="28"/>
      <c r="EJ219" s="18"/>
      <c r="EK219" s="18"/>
      <c r="EL219" s="18">
        <f>IFERROR(CR219/'McDonough &amp; Sun 1995 values'!C$2,)</f>
        <v>0</v>
      </c>
      <c r="EM219" s="18">
        <f>IFERROR(CH219/'McDonough &amp; Sun 1995 values'!D$2,)</f>
        <v>833.33333333333337</v>
      </c>
      <c r="EN219" s="18">
        <f>IFERROR(CS219/'McDonough &amp; Sun 1995 values'!E$2,)</f>
        <v>2436.666666666667</v>
      </c>
      <c r="EO219" s="18">
        <f>IFERROR(DL219/'McDonough &amp; Sun 1995 values'!F$2,)</f>
        <v>1188.6792452830189</v>
      </c>
      <c r="EP219" s="18">
        <f>IFERROR(DM219/'McDonough &amp; Sun 1995 values'!G$2,)</f>
        <v>827.58620689655186</v>
      </c>
      <c r="EQ219" s="18">
        <f>IFERROR(BR219/'McDonough &amp; Sun 1995 values'!H$2,)</f>
        <v>814.22500000000002</v>
      </c>
      <c r="ER219" s="18">
        <f>IFERROR(DI219/'McDonough &amp; Sun 1995 values'!I$2,)</f>
        <v>827.02702702702709</v>
      </c>
      <c r="ES219" s="18">
        <f>IFERROR(CM219/'McDonough &amp; Sun 1995 values'!J$2,)</f>
        <v>917.93313069908811</v>
      </c>
      <c r="ET219" s="18">
        <f>IFERROR(CU219/'McDonough &amp; Sun 1995 values'!K$2,)</f>
        <v>1143.5185185185185</v>
      </c>
      <c r="EU219" s="18">
        <f>IFERROR(CV219/'McDonough &amp; Sun 1995 values'!L$2,)</f>
        <v>585.07462686567158</v>
      </c>
      <c r="EV219" s="18">
        <f>IFERROR(CW219/'McDonough &amp; Sun 1995 values'!M$2,)</f>
        <v>359.05511811023621</v>
      </c>
      <c r="EW219" s="18">
        <f>IFERROR(CI219/'McDonough &amp; Sun 1995 values'!N$2,)</f>
        <v>150.75376884422113</v>
      </c>
      <c r="EX219" s="18">
        <f>IFERROR(CX219/'McDonough &amp; Sun 1995 values'!O$2,)</f>
        <v>251.2</v>
      </c>
      <c r="EY219" s="18">
        <f>IFERROR(CY219/'McDonough &amp; Sun 1995 values'!P$2,)</f>
        <v>218.71921182266007</v>
      </c>
      <c r="EZ219" s="18">
        <f>IFERROR(DH219/'McDonough &amp; Sun 1995 values'!Q$2,)</f>
        <v>286.21908127208485</v>
      </c>
      <c r="FA219" s="18">
        <f>IFERROR(CK219/'McDonough &amp; Sun 1995 values'!R$2,)</f>
        <v>176.28571428571428</v>
      </c>
      <c r="FB219" s="18">
        <f>IFERROR(CZ219/'McDonough &amp; Sun 1995 values'!S$2,)</f>
        <v>161.03896103896105</v>
      </c>
      <c r="FC219" s="18">
        <f>IFERROR(BT219/'McDonough &amp; Sun 1995 values'!T$2,)</f>
        <v>28.308713692946057</v>
      </c>
      <c r="FD219" s="18">
        <f>IFERROR(DA219/'McDonough &amp; Sun 1995 values'!U$2,)</f>
        <v>163.23529411764704</v>
      </c>
      <c r="FE219" s="18">
        <f>IFERROR(DN219/'McDonough &amp; Sun 1995 values'!V$2,)</f>
        <v>127.27272727272727</v>
      </c>
      <c r="FF219" s="18">
        <f>IFERROR(DB219/'McDonough &amp; Sun 1995 values'!W$2,)</f>
        <v>114.24332344213649</v>
      </c>
      <c r="FG219" s="18">
        <f>IFERROR(CJ219/'McDonough &amp; Sun 1995 values'!X$2,)</f>
        <v>70.232558139534888</v>
      </c>
      <c r="FH219" s="18">
        <f>IFERROR(DC219/'McDonough &amp; Sun 1995 values'!Y$2,)</f>
        <v>104.69798657718121</v>
      </c>
      <c r="FI219" s="18">
        <f>IFERROR(DD219/'McDonough &amp; Sun 1995 values'!Z$2,)</f>
        <v>88.584474885844742</v>
      </c>
      <c r="FJ219" s="18">
        <f>IFERROR(DE219/'McDonough &amp; Sun 1995 values'!AA$2,)</f>
        <v>0</v>
      </c>
      <c r="FK219" s="18">
        <f>IFERROR(DF219/'McDonough &amp; Sun 1995 values'!AB$2,)</f>
        <v>46.258503401360542</v>
      </c>
      <c r="FL219" s="18">
        <f>IFERROR(DG219/'McDonough &amp; Sun 1995 values'!AC$2,)</f>
        <v>33.925925925925924</v>
      </c>
      <c r="FN219" s="28">
        <f t="shared" si="458"/>
        <v>1.0164097232295151</v>
      </c>
      <c r="FO219" s="4">
        <f t="shared" si="466"/>
        <v>2.9443055555555553</v>
      </c>
      <c r="FP219" s="4">
        <f t="shared" si="467"/>
        <v>1.29495189304011</v>
      </c>
      <c r="FQ219" s="4">
        <f t="shared" si="468"/>
        <v>1.436320754716981</v>
      </c>
      <c r="FR219" s="4">
        <f t="shared" si="469"/>
        <v>1.2457536178562669</v>
      </c>
      <c r="FS219" s="4">
        <f t="shared" si="470"/>
        <v>1.3826857903655287</v>
      </c>
      <c r="FT219" s="4">
        <f t="shared" si="471"/>
        <v>0</v>
      </c>
      <c r="FU219" s="4">
        <f t="shared" si="472"/>
        <v>0.90096652944335076</v>
      </c>
      <c r="FV219" s="4">
        <f t="shared" si="473"/>
        <v>0.80599099099099103</v>
      </c>
      <c r="FW219" s="4">
        <f t="shared" si="474"/>
        <v>0.61591181657848315</v>
      </c>
      <c r="FX219" s="4">
        <f t="shared" si="475"/>
        <v>0.84323634639424128</v>
      </c>
      <c r="FY219" s="4">
        <f t="shared" si="476"/>
        <v>0.50197004323627203</v>
      </c>
      <c r="FZ219" s="4">
        <f t="shared" si="477"/>
        <v>0.85227639625498541</v>
      </c>
      <c r="GA219" s="4">
        <f t="shared" si="478"/>
        <v>0.41986247024596673</v>
      </c>
      <c r="GB219" s="4">
        <f t="shared" si="479"/>
        <v>0.73628173628173643</v>
      </c>
      <c r="GC219" s="4">
        <f t="shared" si="480"/>
        <v>0</v>
      </c>
      <c r="GD219" s="4">
        <f t="shared" si="481"/>
        <v>2.0498941798941801</v>
      </c>
      <c r="GE219" s="4">
        <f t="shared" si="482"/>
        <v>2.9240000000000004</v>
      </c>
      <c r="GF219" s="4">
        <f t="shared" si="483"/>
        <v>2.9926207948253456</v>
      </c>
      <c r="GG219" s="4">
        <f t="shared" si="484"/>
        <v>2.6545143487858724</v>
      </c>
      <c r="GH219" s="4">
        <f t="shared" si="485"/>
        <v>3.1847993827160495</v>
      </c>
      <c r="GI219" s="4">
        <f t="shared" si="486"/>
        <v>5.2282490824157497</v>
      </c>
      <c r="GJ219" s="4">
        <f t="shared" si="487"/>
        <v>10.009499759499761</v>
      </c>
      <c r="GK219" s="4">
        <f t="shared" si="488"/>
        <v>24.720179738562091</v>
      </c>
      <c r="GL219" s="4">
        <f t="shared" si="489"/>
        <v>6.2272597829000267</v>
      </c>
      <c r="GM219" s="4">
        <f t="shared" si="490"/>
        <v>1.4264150943396225</v>
      </c>
      <c r="GN219" s="4">
        <f t="shared" si="491"/>
        <v>0.80272694830365598</v>
      </c>
      <c r="GO219" s="4">
        <f t="shared" si="492"/>
        <v>1.1091691995947313</v>
      </c>
      <c r="GP219" s="4">
        <f t="shared" si="493"/>
        <v>0.98385520833333318</v>
      </c>
      <c r="GQ219" s="27">
        <f t="shared" si="494"/>
        <v>94680.148400498729</v>
      </c>
      <c r="GR219" s="28">
        <f t="shared" si="495"/>
        <v>0</v>
      </c>
      <c r="GS219" s="28">
        <f t="shared" si="496"/>
        <v>242.2552846789348</v>
      </c>
      <c r="GT219" s="28">
        <f t="shared" si="497"/>
        <v>7791.8989764132593</v>
      </c>
      <c r="GU219" s="28">
        <f t="shared" si="498"/>
        <v>45.786248804318674</v>
      </c>
      <c r="GV219" s="28">
        <f t="shared" si="499"/>
        <v>8.13977756521221</v>
      </c>
      <c r="GW219" s="28">
        <f t="shared" si="500"/>
        <v>94680.148400498729</v>
      </c>
      <c r="GX219" s="28">
        <f t="shared" si="501"/>
        <v>14.82602342235081</v>
      </c>
      <c r="GY219" s="28">
        <f t="shared" si="502"/>
        <v>292.64438389215326</v>
      </c>
      <c r="GZ219" s="28">
        <f t="shared" si="503"/>
        <v>359.02233189418138</v>
      </c>
      <c r="HA219" s="28">
        <f t="shared" si="504"/>
        <v>474.82035797071222</v>
      </c>
      <c r="HB219" s="28">
        <f t="shared" si="505"/>
        <v>44.187363925437708</v>
      </c>
      <c r="HC219" s="28">
        <f t="shared" si="506"/>
        <v>1453.5317080736088</v>
      </c>
      <c r="HD219" s="28">
        <f t="shared" si="507"/>
        <v>152.13631877837105</v>
      </c>
      <c r="HE219" s="28">
        <f t="shared" si="508"/>
        <v>43.024538558978819</v>
      </c>
      <c r="HF219" s="28">
        <f t="shared" si="509"/>
        <v>39.245356117987441</v>
      </c>
      <c r="HG219" s="28">
        <f t="shared" si="510"/>
        <v>896.82906388141657</v>
      </c>
      <c r="HH219" s="28">
        <f t="shared" si="511"/>
        <v>12.015862120075166</v>
      </c>
      <c r="HI219" s="28">
        <f t="shared" si="512"/>
        <v>16527.624541935646</v>
      </c>
      <c r="HJ219" s="28">
        <f t="shared" si="513"/>
        <v>43.024538558978819</v>
      </c>
      <c r="HK219" s="28">
        <f t="shared" si="514"/>
        <v>6.1048331739091575</v>
      </c>
      <c r="HL219" s="28">
        <f t="shared" si="515"/>
        <v>37.307313840555956</v>
      </c>
      <c r="HM219" s="28">
        <f t="shared" si="516"/>
        <v>146.32219194607663</v>
      </c>
      <c r="HN219" s="28">
        <f t="shared" si="517"/>
        <v>7.558364881982766</v>
      </c>
      <c r="HO219" s="28">
        <f t="shared" si="518"/>
        <v>18.799010091085339</v>
      </c>
      <c r="HP219" s="28">
        <f t="shared" si="519"/>
        <v>0</v>
      </c>
      <c r="HQ219" s="28">
        <f t="shared" si="520"/>
        <v>9.8840156149005391</v>
      </c>
      <c r="HR219" s="28">
        <f t="shared" si="521"/>
        <v>1.1095292038295212</v>
      </c>
      <c r="HT219" s="4">
        <f>IFERROR(GR219/'McDonough &amp; Sun 1995 values'!C$2,)</f>
        <v>0</v>
      </c>
      <c r="HU219" s="4">
        <f>IFERROR(GS219/'McDonough &amp; Sun 1995 values'!D$2,)</f>
        <v>403.75880779822467</v>
      </c>
      <c r="HV219" s="4">
        <f>IFERROR(GT219/'McDonough &amp; Sun 1995 values'!E$2,)</f>
        <v>1180.5907540020091</v>
      </c>
      <c r="HW219" s="4">
        <f>IFERROR(GU219/'McDonough &amp; Sun 1995 values'!F$2,)</f>
        <v>575.92765791595821</v>
      </c>
      <c r="HX219" s="4">
        <f>IFERROR(GV219/'McDonough &amp; Sun 1995 values'!G$2,)</f>
        <v>400.97426429616803</v>
      </c>
      <c r="HY219" s="4">
        <f>IFERROR(GW219/'McDonough &amp; Sun 1995 values'!H$2,)</f>
        <v>394.50061833541139</v>
      </c>
      <c r="HZ219" s="4">
        <f>IFERROR(GX219/'McDonough &amp; Sun 1995 values'!I$2,)</f>
        <v>400.70333573921107</v>
      </c>
      <c r="IA219" s="4">
        <f>IFERROR(GY219/'McDonough &amp; Sun 1995 values'!J$2,)</f>
        <v>444.74830378746691</v>
      </c>
      <c r="IB219" s="4">
        <f>IFERROR(GZ219/'McDonough &amp; Sun 1995 values'!K$2,)</f>
        <v>554.04680847867496</v>
      </c>
      <c r="IC219" s="4">
        <f>IFERROR(HA219/'McDonough &amp; Sun 1995 values'!L$2,)</f>
        <v>283.47484057952965</v>
      </c>
      <c r="ID219" s="4">
        <f>IFERROR(HB219/'McDonough &amp; Sun 1995 values'!M$2,)</f>
        <v>173.96599970644766</v>
      </c>
      <c r="IE219" s="4">
        <f>IFERROR(HC219/'McDonough &amp; Sun 1995 values'!N$2,)</f>
        <v>73.04179437555824</v>
      </c>
      <c r="IF219" s="4">
        <f>IFERROR(HD219/'McDonough &amp; Sun 1995 values'!O$2,)</f>
        <v>121.70905502269684</v>
      </c>
      <c r="IG219" s="4">
        <f>IFERROR(HE219/'McDonough &amp; Sun 1995 values'!P$2,)</f>
        <v>105.97176984970152</v>
      </c>
      <c r="IH219" s="4">
        <f>IFERROR(HF219/'McDonough &amp; Sun 1995 values'!Q$2,)</f>
        <v>138.67617002822419</v>
      </c>
      <c r="II219" s="4">
        <f>IFERROR(HG219/'McDonough &amp; Sun 1995 values'!R$2,)</f>
        <v>85.412291798230143</v>
      </c>
      <c r="IJ219" s="4">
        <f>IFERROR(HH219/'McDonough &amp; Sun 1995 values'!S$2,)</f>
        <v>78.025078701786796</v>
      </c>
      <c r="IK219" s="4">
        <f>IFERROR(HI219/'McDonough &amp; Sun 1995 values'!T$2,)</f>
        <v>13.715870989158212</v>
      </c>
      <c r="IL219" s="4">
        <f>IFERROR(HJ219/'McDonough &amp; Sun 1995 values'!U$2,)</f>
        <v>79.089225292240471</v>
      </c>
      <c r="IM219" s="4">
        <f>IFERROR(HK219/'McDonough &amp; Sun 1995 values'!V$2,)</f>
        <v>61.664981554637954</v>
      </c>
      <c r="IN219" s="4">
        <f>IFERROR(HL219/'McDonough &amp; Sun 1995 values'!W$2,)</f>
        <v>55.3520976862848</v>
      </c>
      <c r="IO219" s="4">
        <f>IFERROR(HM219/'McDonough &amp; Sun 1995 values'!X$2,)</f>
        <v>34.028416731645727</v>
      </c>
      <c r="IP219" s="4">
        <f>IFERROR(HN219/'McDonough &amp; Sun 1995 values'!Y$2,)</f>
        <v>50.72728108713266</v>
      </c>
      <c r="IQ219" s="4">
        <f>IFERROR(HO219/'McDonough &amp; Sun 1995 values'!Z$2,)</f>
        <v>42.92011436320854</v>
      </c>
      <c r="IR219" s="4">
        <f>IFERROR(HP219/'McDonough &amp; Sun 1995 values'!AA$2,)</f>
        <v>0</v>
      </c>
      <c r="IS219" s="4">
        <f>IFERROR(HQ219/'McDonough &amp; Sun 1995 values'!AB$2,)</f>
        <v>22.412733820636142</v>
      </c>
      <c r="IT219" s="4">
        <f>IFERROR(HR219/'McDonough &amp; Sun 1995 values'!AC$2,)</f>
        <v>16.437469686363276</v>
      </c>
    </row>
    <row r="220" spans="1:254">
      <c r="A220" s="16" t="s">
        <v>836</v>
      </c>
      <c r="B220" s="16" t="s">
        <v>24</v>
      </c>
      <c r="C220" s="16" t="str">
        <f t="shared" si="461"/>
        <v>silicic</v>
      </c>
      <c r="D220" s="16" t="s">
        <v>1705</v>
      </c>
      <c r="E220" s="16" t="s">
        <v>237</v>
      </c>
      <c r="F220" s="16" t="s">
        <v>163</v>
      </c>
      <c r="G220" s="16" t="s">
        <v>595</v>
      </c>
      <c r="H220" s="27">
        <v>355</v>
      </c>
      <c r="I220" s="16" t="s">
        <v>1148</v>
      </c>
      <c r="J220" s="3" t="s">
        <v>635</v>
      </c>
      <c r="K220" s="16" t="s">
        <v>128</v>
      </c>
      <c r="L220" s="16" t="s">
        <v>1509</v>
      </c>
      <c r="M220" s="16" t="s">
        <v>378</v>
      </c>
      <c r="N220" s="16">
        <v>20</v>
      </c>
      <c r="O220" s="26">
        <v>60</v>
      </c>
      <c r="P220" s="26">
        <v>3.94</v>
      </c>
      <c r="Q220" s="26"/>
      <c r="R220" s="26">
        <v>6.75</v>
      </c>
      <c r="S220" s="26">
        <v>9.7200000000000006</v>
      </c>
      <c r="T220" s="26">
        <v>3.1</v>
      </c>
      <c r="U220" s="26"/>
      <c r="V220" s="26">
        <v>1.4</v>
      </c>
      <c r="W220" s="26">
        <v>1.25</v>
      </c>
      <c r="X220" s="26">
        <v>11.9</v>
      </c>
      <c r="Y220" s="26"/>
      <c r="Z220" s="26">
        <v>0.98</v>
      </c>
      <c r="AA220" s="26"/>
      <c r="AB220" s="26">
        <v>0.17</v>
      </c>
      <c r="AC220" s="26"/>
      <c r="AD220" s="26">
        <v>0.72</v>
      </c>
      <c r="AE220" s="26"/>
      <c r="AF220" s="26"/>
      <c r="AG220" s="26"/>
      <c r="AH220" s="26"/>
      <c r="AI220" s="26"/>
      <c r="AJ220" s="26">
        <f t="shared" si="462"/>
        <v>99.93</v>
      </c>
      <c r="AK220" s="26">
        <f t="shared" si="522"/>
        <v>60.139814465703559</v>
      </c>
      <c r="AL220" s="26">
        <f t="shared" si="523"/>
        <v>3.9491811499145331</v>
      </c>
      <c r="AM220" s="26">
        <f t="shared" si="524"/>
        <v>6.7657291273916496</v>
      </c>
      <c r="AN220" s="26">
        <f t="shared" si="525"/>
        <v>9.7426499434439755</v>
      </c>
      <c r="AO220" s="26">
        <f t="shared" si="526"/>
        <v>3.1072237473946838</v>
      </c>
      <c r="AP220" s="26">
        <f t="shared" si="527"/>
        <v>1.4032623375330828</v>
      </c>
      <c r="AQ220" s="26">
        <f t="shared" si="528"/>
        <v>0.17039614098616007</v>
      </c>
      <c r="AR220" s="26">
        <f t="shared" si="529"/>
        <v>1.252912801368824</v>
      </c>
      <c r="AS220" s="26">
        <f t="shared" si="530"/>
        <v>11.927729869031205</v>
      </c>
      <c r="AT220" s="26">
        <f t="shared" si="531"/>
        <v>0.98228363627315807</v>
      </c>
      <c r="AU220" s="26">
        <f t="shared" si="532"/>
        <v>0.72167777358844265</v>
      </c>
      <c r="AV220" s="26">
        <f t="shared" si="463"/>
        <v>100.16286099262926</v>
      </c>
      <c r="AW220" s="16"/>
      <c r="AX220" s="16"/>
      <c r="AY220" s="16"/>
      <c r="AZ220" s="16"/>
      <c r="BA220" s="26"/>
      <c r="BB220" s="26">
        <v>0.55000000000000004</v>
      </c>
      <c r="BC220" s="26">
        <f t="shared" si="464"/>
        <v>0.55000000000000004</v>
      </c>
      <c r="BD220" s="26">
        <f t="shared" si="465"/>
        <v>0.44999999999999996</v>
      </c>
      <c r="BE220" s="25">
        <v>-3</v>
      </c>
      <c r="BF220" s="16"/>
      <c r="BG220" s="16" t="s">
        <v>1096</v>
      </c>
      <c r="BH220" s="16"/>
      <c r="BI220" s="16" t="s">
        <v>1097</v>
      </c>
      <c r="BJ220" s="16"/>
      <c r="BK220" s="18"/>
      <c r="BL220" s="18"/>
      <c r="BM220" s="18"/>
      <c r="BN220" s="18"/>
      <c r="BO220" s="18"/>
      <c r="BP220" s="18"/>
      <c r="BQ220" s="18"/>
      <c r="BR220" s="18">
        <v>117276</v>
      </c>
      <c r="BS220" s="18"/>
      <c r="BT220" s="18">
        <v>27998</v>
      </c>
      <c r="BU220" s="18"/>
      <c r="BV220" s="18"/>
      <c r="BW220" s="18"/>
      <c r="BX220" s="18"/>
      <c r="BY220" s="18"/>
      <c r="BZ220" s="18"/>
      <c r="CA220" s="18"/>
      <c r="CB220" s="18"/>
      <c r="CC220" s="18"/>
      <c r="CD220" s="18"/>
      <c r="CE220" s="18"/>
      <c r="CF220" s="18"/>
      <c r="CG220" s="18"/>
      <c r="CH220" s="18">
        <v>277</v>
      </c>
      <c r="CI220" s="18">
        <v>737</v>
      </c>
      <c r="CJ220" s="18">
        <v>82.1</v>
      </c>
      <c r="CK220" s="18">
        <v>1842</v>
      </c>
      <c r="CL220" s="18"/>
      <c r="CM220" s="18">
        <v>109</v>
      </c>
      <c r="CN220" s="18"/>
      <c r="CO220" s="18"/>
      <c r="CP220" s="18"/>
      <c r="CQ220" s="18"/>
      <c r="CR220" s="18"/>
      <c r="CS220" s="18">
        <v>9443</v>
      </c>
      <c r="CT220" s="18"/>
      <c r="CU220" s="18">
        <v>420</v>
      </c>
      <c r="CV220" s="18">
        <v>436</v>
      </c>
      <c r="CW220" s="18">
        <v>34</v>
      </c>
      <c r="CX220" s="18">
        <v>98.3</v>
      </c>
      <c r="CY220" s="18">
        <v>28.1</v>
      </c>
      <c r="CZ220" s="18">
        <v>8.7899999999999991</v>
      </c>
      <c r="DA220" s="18">
        <v>34.9</v>
      </c>
      <c r="DB220" s="18">
        <v>18.3</v>
      </c>
      <c r="DC220" s="18">
        <v>3.29</v>
      </c>
      <c r="DD220" s="18">
        <v>8.7799999999999994</v>
      </c>
      <c r="DE220" s="18"/>
      <c r="DF220" s="18">
        <v>4.1500000000000004</v>
      </c>
      <c r="DG220" s="18">
        <v>0.83199999999999996</v>
      </c>
      <c r="DH220" s="18">
        <v>58.3</v>
      </c>
      <c r="DI220" s="18">
        <v>4.96</v>
      </c>
      <c r="DJ220" s="18"/>
      <c r="DK220" s="18"/>
      <c r="DL220" s="18">
        <v>80.5</v>
      </c>
      <c r="DM220" s="18">
        <v>16</v>
      </c>
      <c r="DN220" s="18">
        <v>4.24</v>
      </c>
      <c r="DO220" s="18"/>
      <c r="DP220" s="18"/>
      <c r="DQ220" s="18"/>
      <c r="DR220" s="18"/>
      <c r="DS220" s="18"/>
      <c r="DT220" s="18"/>
      <c r="DU220" s="18"/>
      <c r="DV220" s="28"/>
      <c r="DW220" s="28"/>
      <c r="DX220" s="28"/>
      <c r="DY220" s="28"/>
      <c r="DZ220" s="28"/>
      <c r="EA220" s="28"/>
      <c r="EB220" s="28"/>
      <c r="EC220" s="28"/>
      <c r="ED220" s="28"/>
      <c r="EE220" s="28"/>
      <c r="EF220" s="28"/>
      <c r="EG220" s="28"/>
      <c r="EH220" s="28"/>
      <c r="EI220" s="28"/>
      <c r="EJ220" s="18"/>
      <c r="EK220" s="18"/>
      <c r="EL220" s="18">
        <f>IFERROR(CR220/'McDonough &amp; Sun 1995 values'!C$2,)</f>
        <v>0</v>
      </c>
      <c r="EM220" s="18">
        <f>IFERROR(CH220/'McDonough &amp; Sun 1995 values'!D$2,)</f>
        <v>461.66666666666669</v>
      </c>
      <c r="EN220" s="18">
        <f>IFERROR(CS220/'McDonough &amp; Sun 1995 values'!E$2,)</f>
        <v>1430.7575757575758</v>
      </c>
      <c r="EO220" s="18">
        <f>IFERROR(DL220/'McDonough &amp; Sun 1995 values'!F$2,)</f>
        <v>1012.5786163522013</v>
      </c>
      <c r="EP220" s="18">
        <f>IFERROR(DM220/'McDonough &amp; Sun 1995 values'!G$2,)</f>
        <v>788.17733990147792</v>
      </c>
      <c r="EQ220" s="18">
        <f>IFERROR(BR220/'McDonough &amp; Sun 1995 values'!H$2,)</f>
        <v>488.65</v>
      </c>
      <c r="ER220" s="18">
        <f>IFERROR(DI220/'McDonough &amp; Sun 1995 values'!I$2,)</f>
        <v>134.05405405405406</v>
      </c>
      <c r="ES220" s="18">
        <f>IFERROR(CM220/'McDonough &amp; Sun 1995 values'!J$2,)</f>
        <v>165.65349544072947</v>
      </c>
      <c r="ET220" s="18">
        <f>IFERROR(CU220/'McDonough &amp; Sun 1995 values'!K$2,)</f>
        <v>648.14814814814815</v>
      </c>
      <c r="EU220" s="18">
        <f>IFERROR(CV220/'McDonough &amp; Sun 1995 values'!L$2,)</f>
        <v>260.29850746268659</v>
      </c>
      <c r="EV220" s="18">
        <f>IFERROR(CW220/'McDonough &amp; Sun 1995 values'!M$2,)</f>
        <v>133.85826771653544</v>
      </c>
      <c r="EW220" s="18">
        <f>IFERROR(CI220/'McDonough &amp; Sun 1995 values'!N$2,)</f>
        <v>37.035175879396988</v>
      </c>
      <c r="EX220" s="18">
        <f>IFERROR(CX220/'McDonough &amp; Sun 1995 values'!O$2,)</f>
        <v>78.64</v>
      </c>
      <c r="EY220" s="18">
        <f>IFERROR(CY220/'McDonough &amp; Sun 1995 values'!P$2,)</f>
        <v>69.21182266009852</v>
      </c>
      <c r="EZ220" s="18">
        <f>IFERROR(DH220/'McDonough &amp; Sun 1995 values'!Q$2,)</f>
        <v>206.0070671378092</v>
      </c>
      <c r="FA220" s="18">
        <f>IFERROR(CK220/'McDonough &amp; Sun 1995 values'!R$2,)</f>
        <v>175.42857142857142</v>
      </c>
      <c r="FB220" s="18">
        <f>IFERROR(CZ220/'McDonough &amp; Sun 1995 values'!S$2,)</f>
        <v>57.077922077922075</v>
      </c>
      <c r="FC220" s="18">
        <f>IFERROR(BT220/'McDonough &amp; Sun 1995 values'!T$2,)</f>
        <v>23.234854771784232</v>
      </c>
      <c r="FD220" s="18">
        <f>IFERROR(DA220/'McDonough &amp; Sun 1995 values'!U$2,)</f>
        <v>64.15441176470587</v>
      </c>
      <c r="FE220" s="18">
        <f>IFERROR(DN220/'McDonough &amp; Sun 1995 values'!V$2,)</f>
        <v>42.828282828282831</v>
      </c>
      <c r="FF220" s="18">
        <f>IFERROR(DB220/'McDonough &amp; Sun 1995 values'!W$2,)</f>
        <v>27.151335311572698</v>
      </c>
      <c r="FG220" s="18">
        <f>IFERROR(CJ220/'McDonough &amp; Sun 1995 values'!X$2,)</f>
        <v>19.093023255813954</v>
      </c>
      <c r="FH220" s="18">
        <f>IFERROR(DC220/'McDonough &amp; Sun 1995 values'!Y$2,)</f>
        <v>22.080536912751679</v>
      </c>
      <c r="FI220" s="18">
        <f>IFERROR(DD220/'McDonough &amp; Sun 1995 values'!Z$2,)</f>
        <v>20.045662100456621</v>
      </c>
      <c r="FJ220" s="18">
        <f>IFERROR(DE220/'McDonough &amp; Sun 1995 values'!AA$2,)</f>
        <v>0</v>
      </c>
      <c r="FK220" s="18">
        <f>IFERROR(DF220/'McDonough &amp; Sun 1995 values'!AB$2,)</f>
        <v>9.4104308390022684</v>
      </c>
      <c r="FL220" s="18">
        <f>IFERROR(DG220/'McDonough &amp; Sun 1995 values'!AC$2,)</f>
        <v>12.325925925925924</v>
      </c>
      <c r="FN220" s="28">
        <f t="shared" si="458"/>
        <v>1.6129690778706189</v>
      </c>
      <c r="FO220" s="4">
        <f t="shared" si="466"/>
        <v>1.815273674242424</v>
      </c>
      <c r="FP220" s="4">
        <f t="shared" si="467"/>
        <v>6.1126305464197106</v>
      </c>
      <c r="FQ220" s="4">
        <f t="shared" si="468"/>
        <v>1.2847091194968552</v>
      </c>
      <c r="FR220" s="4">
        <f t="shared" si="469"/>
        <v>3.9126741420319404</v>
      </c>
      <c r="FS220" s="4">
        <f t="shared" si="470"/>
        <v>4.834976105137395</v>
      </c>
      <c r="FT220" s="4">
        <f t="shared" si="471"/>
        <v>0</v>
      </c>
      <c r="FU220" s="4">
        <f t="shared" si="472"/>
        <v>0.8092437391519961</v>
      </c>
      <c r="FV220" s="4">
        <f t="shared" si="473"/>
        <v>2.5346619217081852</v>
      </c>
      <c r="FW220" s="4">
        <f t="shared" si="474"/>
        <v>0.85156579269786803</v>
      </c>
      <c r="FX220" s="4">
        <f t="shared" si="475"/>
        <v>0.85595761662003289</v>
      </c>
      <c r="FY220" s="4">
        <f t="shared" si="476"/>
        <v>0.36096912675870763</v>
      </c>
      <c r="FZ220" s="4">
        <f t="shared" si="477"/>
        <v>0.85657372294665557</v>
      </c>
      <c r="GA220" s="4">
        <f t="shared" si="478"/>
        <v>0.27667454921667162</v>
      </c>
      <c r="GB220" s="4">
        <f t="shared" si="479"/>
        <v>0.82468456810093815</v>
      </c>
      <c r="GC220" s="4">
        <f t="shared" si="480"/>
        <v>0</v>
      </c>
      <c r="GD220" s="4">
        <f t="shared" si="481"/>
        <v>1.4129841897233202</v>
      </c>
      <c r="GE220" s="4">
        <f t="shared" si="482"/>
        <v>3.0991138825073841</v>
      </c>
      <c r="GF220" s="4">
        <f t="shared" si="483"/>
        <v>2.927980304425613</v>
      </c>
      <c r="GG220" s="4">
        <f t="shared" si="484"/>
        <v>8.6370503197108714</v>
      </c>
      <c r="GH220" s="4">
        <f t="shared" si="485"/>
        <v>4.8420479302832247</v>
      </c>
      <c r="GI220" s="4">
        <f t="shared" si="486"/>
        <v>9.3647027810728876</v>
      </c>
      <c r="GJ220" s="4">
        <f t="shared" si="487"/>
        <v>23.87168589354382</v>
      </c>
      <c r="GK220" s="4">
        <f t="shared" si="488"/>
        <v>68.875502008032129</v>
      </c>
      <c r="GL220" s="4">
        <f t="shared" si="489"/>
        <v>7.5502331799210145</v>
      </c>
      <c r="GM220" s="4">
        <f t="shared" si="490"/>
        <v>2.1933110823513382</v>
      </c>
      <c r="GN220" s="4">
        <f t="shared" si="491"/>
        <v>0.2555796786799826</v>
      </c>
      <c r="GO220" s="4">
        <f t="shared" si="492"/>
        <v>0.2101728723404255</v>
      </c>
      <c r="GP220" s="4">
        <f t="shared" si="493"/>
        <v>0.61997468749999995</v>
      </c>
      <c r="GQ220" s="27">
        <f t="shared" si="494"/>
        <v>99016.535247889013</v>
      </c>
      <c r="GR220" s="28">
        <f t="shared" si="495"/>
        <v>0</v>
      </c>
      <c r="GS220" s="28">
        <f t="shared" si="496"/>
        <v>233.87206473332358</v>
      </c>
      <c r="GT220" s="28">
        <f t="shared" si="497"/>
        <v>7972.7577880027957</v>
      </c>
      <c r="GU220" s="28">
        <f t="shared" si="498"/>
        <v>67.966430364738443</v>
      </c>
      <c r="GV220" s="28">
        <f t="shared" si="499"/>
        <v>13.508855724668511</v>
      </c>
      <c r="GW220" s="28">
        <f t="shared" si="500"/>
        <v>99016.535247889013</v>
      </c>
      <c r="GX220" s="28">
        <f t="shared" si="501"/>
        <v>4.1877452746472379</v>
      </c>
      <c r="GY220" s="28">
        <f t="shared" si="502"/>
        <v>92.029079624304231</v>
      </c>
      <c r="GZ220" s="28">
        <f t="shared" si="503"/>
        <v>354.60746277254839</v>
      </c>
      <c r="HA220" s="28">
        <f t="shared" si="504"/>
        <v>368.11631849721692</v>
      </c>
      <c r="HB220" s="28">
        <f t="shared" si="505"/>
        <v>28.706318414920581</v>
      </c>
      <c r="HC220" s="28">
        <f t="shared" si="506"/>
        <v>622.25166681754331</v>
      </c>
      <c r="HD220" s="28">
        <f t="shared" si="507"/>
        <v>82.995032358432155</v>
      </c>
      <c r="HE220" s="28">
        <f t="shared" si="508"/>
        <v>23.724927866449072</v>
      </c>
      <c r="HF220" s="28">
        <f t="shared" si="509"/>
        <v>49.222893046760881</v>
      </c>
      <c r="HG220" s="28">
        <f t="shared" si="510"/>
        <v>1555.2070153024624</v>
      </c>
      <c r="HH220" s="28">
        <f t="shared" si="511"/>
        <v>7.4214276137397617</v>
      </c>
      <c r="HI220" s="28">
        <f t="shared" si="512"/>
        <v>23638.808911204309</v>
      </c>
      <c r="HJ220" s="28">
        <f t="shared" si="513"/>
        <v>29.466191549433184</v>
      </c>
      <c r="HK220" s="28">
        <f t="shared" si="514"/>
        <v>3.579846767037155</v>
      </c>
      <c r="HL220" s="28">
        <f t="shared" si="515"/>
        <v>15.450753735089609</v>
      </c>
      <c r="HM220" s="28">
        <f t="shared" si="516"/>
        <v>69.317315937205279</v>
      </c>
      <c r="HN220" s="28">
        <f t="shared" si="517"/>
        <v>2.7777584583849624</v>
      </c>
      <c r="HO220" s="28">
        <f t="shared" si="518"/>
        <v>7.4129845789118445</v>
      </c>
      <c r="HP220" s="28">
        <f t="shared" si="519"/>
        <v>0</v>
      </c>
      <c r="HQ220" s="28">
        <f t="shared" si="520"/>
        <v>3.5038594535858949</v>
      </c>
      <c r="HR220" s="28">
        <f t="shared" si="521"/>
        <v>0.70246049768276253</v>
      </c>
      <c r="HT220" s="4">
        <f>IFERROR(GR220/'McDonough &amp; Sun 1995 values'!C$2,)</f>
        <v>0</v>
      </c>
      <c r="HU220" s="4">
        <f>IFERROR(GS220/'McDonough &amp; Sun 1995 values'!D$2,)</f>
        <v>389.7867745555393</v>
      </c>
      <c r="HV220" s="4">
        <f>IFERROR(GT220/'McDonough &amp; Sun 1995 values'!E$2,)</f>
        <v>1207.9936042428478</v>
      </c>
      <c r="HW220" s="4">
        <f>IFERROR(GU220/'McDonough &amp; Sun 1995 values'!F$2,)</f>
        <v>854.92365238664706</v>
      </c>
      <c r="HX220" s="4">
        <f>IFERROR(GV220/'McDonough &amp; Sun 1995 values'!G$2,)</f>
        <v>665.46087313637986</v>
      </c>
      <c r="HY220" s="4">
        <f>IFERROR(GW220/'McDonough &amp; Sun 1995 values'!H$2,)</f>
        <v>412.56889686620423</v>
      </c>
      <c r="HZ220" s="4">
        <f>IFERROR(GX220/'McDonough &amp; Sun 1995 values'!I$2,)</f>
        <v>113.18230472019563</v>
      </c>
      <c r="IA220" s="4">
        <f>IFERROR(GY220/'McDonough &amp; Sun 1995 values'!J$2,)</f>
        <v>139.86182313724046</v>
      </c>
      <c r="IB220" s="4">
        <f>IFERROR(GZ220/'McDonough &amp; Sun 1995 values'!K$2,)</f>
        <v>547.23373884652528</v>
      </c>
      <c r="IC220" s="4">
        <f>IFERROR(HA220/'McDonough &amp; Sun 1995 values'!L$2,)</f>
        <v>219.7709364162489</v>
      </c>
      <c r="ID220" s="4">
        <f>IFERROR(HB220/'McDonough &amp; Sun 1995 values'!M$2,)</f>
        <v>113.01700163354559</v>
      </c>
      <c r="IE220" s="4">
        <f>IFERROR(HC220/'McDonough &amp; Sun 1995 values'!N$2,)</f>
        <v>31.268927980781072</v>
      </c>
      <c r="IF220" s="4">
        <f>IFERROR(HD220/'McDonough &amp; Sun 1995 values'!O$2,)</f>
        <v>66.396025886745718</v>
      </c>
      <c r="IG220" s="4">
        <f>IFERROR(HE220/'McDonough &amp; Sun 1995 values'!P$2,)</f>
        <v>58.435782922288347</v>
      </c>
      <c r="IH220" s="4">
        <f>IFERROR(HF220/'McDonough &amp; Sun 1995 values'!Q$2,)</f>
        <v>173.93248426417273</v>
      </c>
      <c r="II220" s="4">
        <f>IFERROR(HG220/'McDonough &amp; Sun 1995 values'!R$2,)</f>
        <v>148.11495383832977</v>
      </c>
      <c r="IJ220" s="4">
        <f>IFERROR(HH220/'McDonough &amp; Sun 1995 values'!S$2,)</f>
        <v>48.191088400907546</v>
      </c>
      <c r="IK220" s="4">
        <f>IFERROR(HI220/'McDonough &amp; Sun 1995 values'!T$2,)</f>
        <v>19.617268805978679</v>
      </c>
      <c r="IL220" s="4">
        <f>IFERROR(HJ220/'McDonough &amp; Sun 1995 values'!U$2,)</f>
        <v>54.165793289399232</v>
      </c>
      <c r="IM220" s="4">
        <f>IFERROR(HK220/'McDonough &amp; Sun 1995 values'!V$2,)</f>
        <v>36.160068353910653</v>
      </c>
      <c r="IN220" s="4">
        <f>IFERROR(HL220/'McDonough &amp; Sun 1995 values'!W$2,)</f>
        <v>22.923966966008322</v>
      </c>
      <c r="IO220" s="4">
        <f>IFERROR(HM220/'McDonough &amp; Sun 1995 values'!X$2,)</f>
        <v>16.120306031908203</v>
      </c>
      <c r="IP220" s="4">
        <f>IFERROR(HN220/'McDonough &amp; Sun 1995 values'!Y$2,)</f>
        <v>18.642674217348741</v>
      </c>
      <c r="IQ220" s="4">
        <f>IFERROR(HO220/'McDonough &amp; Sun 1995 values'!Z$2,)</f>
        <v>16.924622326282751</v>
      </c>
      <c r="IR220" s="4">
        <f>IFERROR(HP220/'McDonough &amp; Sun 1995 values'!AA$2,)</f>
        <v>0</v>
      </c>
      <c r="IS220" s="4">
        <f>IFERROR(HQ220/'McDonough &amp; Sun 1995 values'!AB$2,)</f>
        <v>7.9452595319408044</v>
      </c>
      <c r="IT220" s="4">
        <f>IFERROR(HR220/'McDonough &amp; Sun 1995 values'!AC$2,)</f>
        <v>10.406822187892777</v>
      </c>
    </row>
    <row r="221" spans="1:254">
      <c r="A221" s="16" t="s">
        <v>836</v>
      </c>
      <c r="B221" s="16" t="s">
        <v>24</v>
      </c>
      <c r="C221" s="16" t="str">
        <f t="shared" si="461"/>
        <v>silicic</v>
      </c>
      <c r="D221" s="16" t="s">
        <v>1705</v>
      </c>
      <c r="E221" s="16" t="s">
        <v>237</v>
      </c>
      <c r="F221" s="16" t="s">
        <v>163</v>
      </c>
      <c r="G221" s="16" t="s">
        <v>595</v>
      </c>
      <c r="H221" s="27">
        <v>355</v>
      </c>
      <c r="I221" s="16" t="s">
        <v>1148</v>
      </c>
      <c r="J221" s="3" t="s">
        <v>635</v>
      </c>
      <c r="K221" s="16" t="s">
        <v>128</v>
      </c>
      <c r="L221" s="16" t="s">
        <v>1509</v>
      </c>
      <c r="M221" s="16" t="s">
        <v>381</v>
      </c>
      <c r="N221" s="16">
        <v>16</v>
      </c>
      <c r="O221" s="26">
        <v>58.4</v>
      </c>
      <c r="P221" s="26">
        <v>2.15</v>
      </c>
      <c r="Q221" s="26"/>
      <c r="R221" s="26">
        <v>8.6999999999999993</v>
      </c>
      <c r="S221" s="26">
        <v>8.92</v>
      </c>
      <c r="T221" s="26">
        <v>3.98</v>
      </c>
      <c r="U221" s="26"/>
      <c r="V221" s="26">
        <v>1.49</v>
      </c>
      <c r="W221" s="26">
        <v>0.35</v>
      </c>
      <c r="X221" s="26">
        <v>12.1</v>
      </c>
      <c r="Y221" s="26"/>
      <c r="Z221" s="26">
        <v>1.36</v>
      </c>
      <c r="AA221" s="26"/>
      <c r="AB221" s="26">
        <v>1.73</v>
      </c>
      <c r="AC221" s="26"/>
      <c r="AD221" s="26">
        <v>0.85</v>
      </c>
      <c r="AE221" s="26"/>
      <c r="AF221" s="26"/>
      <c r="AG221" s="26"/>
      <c r="AH221" s="26"/>
      <c r="AI221" s="26"/>
      <c r="AJ221" s="26">
        <f t="shared" si="462"/>
        <v>100.02999999999999</v>
      </c>
      <c r="AK221" s="26">
        <f t="shared" si="522"/>
        <v>58.494655738404347</v>
      </c>
      <c r="AL221" s="26">
        <f t="shared" si="523"/>
        <v>2.1534847574926257</v>
      </c>
      <c r="AM221" s="26">
        <f t="shared" si="524"/>
        <v>8.7141011117143456</v>
      </c>
      <c r="AN221" s="26">
        <f t="shared" si="525"/>
        <v>8.9344576915507989</v>
      </c>
      <c r="AO221" s="26">
        <f t="shared" si="526"/>
        <v>3.9864508534049534</v>
      </c>
      <c r="AP221" s="26">
        <f t="shared" si="527"/>
        <v>1.4924150179832614</v>
      </c>
      <c r="AQ221" s="26">
        <f t="shared" si="528"/>
        <v>1.7328040141684848</v>
      </c>
      <c r="AR221" s="26">
        <f t="shared" si="529"/>
        <v>0.35056728610345067</v>
      </c>
      <c r="AS221" s="26">
        <f t="shared" si="530"/>
        <v>12.119611891005009</v>
      </c>
      <c r="AT221" s="26">
        <f t="shared" si="531"/>
        <v>1.3622043117162657</v>
      </c>
      <c r="AU221" s="26">
        <f t="shared" si="532"/>
        <v>0.8513776948226659</v>
      </c>
      <c r="AV221" s="26">
        <f t="shared" si="463"/>
        <v>100.19213036836622</v>
      </c>
      <c r="AW221" s="16"/>
      <c r="AX221" s="16"/>
      <c r="AY221" s="16"/>
      <c r="AZ221" s="16"/>
      <c r="BA221" s="26"/>
      <c r="BB221" s="26">
        <v>0.5</v>
      </c>
      <c r="BC221" s="26">
        <f t="shared" si="464"/>
        <v>0.5</v>
      </c>
      <c r="BD221" s="26">
        <f t="shared" si="465"/>
        <v>0.5</v>
      </c>
      <c r="BE221" s="25">
        <v>-4.75</v>
      </c>
      <c r="BF221" s="16"/>
      <c r="BG221" s="16" t="s">
        <v>1102</v>
      </c>
      <c r="BH221" s="16"/>
      <c r="BI221" s="16" t="s">
        <v>1103</v>
      </c>
      <c r="BJ221" s="16"/>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c r="DS221" s="18"/>
      <c r="DT221" s="18"/>
      <c r="DU221" s="18"/>
      <c r="DV221" s="28"/>
      <c r="DW221" s="28"/>
      <c r="DX221" s="28"/>
      <c r="DY221" s="28"/>
      <c r="DZ221" s="28"/>
      <c r="EA221" s="28"/>
      <c r="EB221" s="28"/>
      <c r="EC221" s="28"/>
      <c r="ED221" s="28"/>
      <c r="EE221" s="28"/>
      <c r="EF221" s="28"/>
      <c r="EG221" s="28"/>
      <c r="EH221" s="28"/>
      <c r="EI221" s="28"/>
      <c r="EJ221" s="18"/>
      <c r="EK221" s="18"/>
      <c r="EL221" s="18">
        <f>IFERROR(CR221/'McDonough &amp; Sun 1995 values'!C$2,)</f>
        <v>0</v>
      </c>
      <c r="EM221" s="18">
        <f>IFERROR(CH221/'McDonough &amp; Sun 1995 values'!D$2,)</f>
        <v>0</v>
      </c>
      <c r="EN221" s="18">
        <f>IFERROR(CS221/'McDonough &amp; Sun 1995 values'!E$2,)</f>
        <v>0</v>
      </c>
      <c r="EO221" s="18">
        <f>IFERROR(DL221/'McDonough &amp; Sun 1995 values'!F$2,)</f>
        <v>0</v>
      </c>
      <c r="EP221" s="18">
        <f>IFERROR(DM221/'McDonough &amp; Sun 1995 values'!G$2,)</f>
        <v>0</v>
      </c>
      <c r="EQ221" s="18">
        <f>IFERROR(BR221/'McDonough &amp; Sun 1995 values'!H$2,)</f>
        <v>0</v>
      </c>
      <c r="ER221" s="18">
        <f>IFERROR(DI221/'McDonough &amp; Sun 1995 values'!I$2,)</f>
        <v>0</v>
      </c>
      <c r="ES221" s="18">
        <f>IFERROR(CM221/'McDonough &amp; Sun 1995 values'!J$2,)</f>
        <v>0</v>
      </c>
      <c r="ET221" s="18">
        <f>IFERROR(CU221/'McDonough &amp; Sun 1995 values'!K$2,)</f>
        <v>0</v>
      </c>
      <c r="EU221" s="18">
        <f>IFERROR(CV221/'McDonough &amp; Sun 1995 values'!L$2,)</f>
        <v>0</v>
      </c>
      <c r="EV221" s="18">
        <f>IFERROR(CW221/'McDonough &amp; Sun 1995 values'!M$2,)</f>
        <v>0</v>
      </c>
      <c r="EW221" s="18">
        <f>IFERROR(CI221/'McDonough &amp; Sun 1995 values'!N$2,)</f>
        <v>0</v>
      </c>
      <c r="EX221" s="18">
        <f>IFERROR(CX221/'McDonough &amp; Sun 1995 values'!O$2,)</f>
        <v>0</v>
      </c>
      <c r="EY221" s="18">
        <f>IFERROR(CY221/'McDonough &amp; Sun 1995 values'!P$2,)</f>
        <v>0</v>
      </c>
      <c r="EZ221" s="18">
        <f>IFERROR(DH221/'McDonough &amp; Sun 1995 values'!Q$2,)</f>
        <v>0</v>
      </c>
      <c r="FA221" s="18">
        <f>IFERROR(CK221/'McDonough &amp; Sun 1995 values'!R$2,)</f>
        <v>0</v>
      </c>
      <c r="FB221" s="18">
        <f>IFERROR(CZ221/'McDonough &amp; Sun 1995 values'!S$2,)</f>
        <v>0</v>
      </c>
      <c r="FC221" s="18">
        <f>IFERROR(BT221/'McDonough &amp; Sun 1995 values'!T$2,)</f>
        <v>0</v>
      </c>
      <c r="FD221" s="18">
        <f>IFERROR(DA221/'McDonough &amp; Sun 1995 values'!U$2,)</f>
        <v>0</v>
      </c>
      <c r="FE221" s="18">
        <f>IFERROR(DN221/'McDonough &amp; Sun 1995 values'!V$2,)</f>
        <v>0</v>
      </c>
      <c r="FF221" s="18">
        <f>IFERROR(DB221/'McDonough &amp; Sun 1995 values'!W$2,)</f>
        <v>0</v>
      </c>
      <c r="FG221" s="18">
        <f>IFERROR(CJ221/'McDonough &amp; Sun 1995 values'!X$2,)</f>
        <v>0</v>
      </c>
      <c r="FH221" s="18">
        <f>IFERROR(DC221/'McDonough &amp; Sun 1995 values'!Y$2,)</f>
        <v>0</v>
      </c>
      <c r="FI221" s="18">
        <f>IFERROR(DD221/'McDonough &amp; Sun 1995 values'!Z$2,)</f>
        <v>0</v>
      </c>
      <c r="FJ221" s="18">
        <f>IFERROR(DE221/'McDonough &amp; Sun 1995 values'!AA$2,)</f>
        <v>0</v>
      </c>
      <c r="FK221" s="18">
        <f>IFERROR(DF221/'McDonough &amp; Sun 1995 values'!AB$2,)</f>
        <v>0</v>
      </c>
      <c r="FL221" s="18">
        <f>IFERROR(DG221/'McDonough &amp; Sun 1995 values'!AC$2,)</f>
        <v>0</v>
      </c>
      <c r="FN221" s="28">
        <f t="shared" si="458"/>
        <v>0</v>
      </c>
      <c r="FO221" s="4">
        <f t="shared" si="466"/>
        <v>0</v>
      </c>
      <c r="FP221" s="4">
        <f t="shared" si="467"/>
        <v>0</v>
      </c>
      <c r="FQ221" s="4">
        <f t="shared" si="468"/>
        <v>0</v>
      </c>
      <c r="FR221" s="4">
        <f t="shared" si="469"/>
        <v>0</v>
      </c>
      <c r="FS221" s="4">
        <f t="shared" si="470"/>
        <v>0</v>
      </c>
      <c r="FT221" s="4">
        <f t="shared" si="471"/>
        <v>0</v>
      </c>
      <c r="FU221" s="4">
        <f t="shared" si="472"/>
        <v>0</v>
      </c>
      <c r="FV221" s="4">
        <f t="shared" si="473"/>
        <v>0</v>
      </c>
      <c r="FW221" s="4">
        <f t="shared" si="474"/>
        <v>0</v>
      </c>
      <c r="FX221" s="4">
        <f t="shared" si="475"/>
        <v>0</v>
      </c>
      <c r="FY221" s="4">
        <f t="shared" si="476"/>
        <v>0</v>
      </c>
      <c r="FZ221" s="4">
        <f t="shared" si="477"/>
        <v>0</v>
      </c>
      <c r="GA221" s="4">
        <f t="shared" si="478"/>
        <v>0</v>
      </c>
      <c r="GB221" s="4">
        <f t="shared" si="479"/>
        <v>0</v>
      </c>
      <c r="GC221" s="4">
        <f t="shared" si="480"/>
        <v>0</v>
      </c>
      <c r="GD221" s="4">
        <f t="shared" si="481"/>
        <v>0</v>
      </c>
      <c r="GE221" s="4">
        <f t="shared" si="482"/>
        <v>0</v>
      </c>
      <c r="GF221" s="4">
        <f t="shared" si="483"/>
        <v>0</v>
      </c>
      <c r="GG221" s="4">
        <f t="shared" si="484"/>
        <v>0</v>
      </c>
      <c r="GH221" s="4">
        <f t="shared" si="485"/>
        <v>0</v>
      </c>
      <c r="GI221" s="4">
        <f t="shared" si="486"/>
        <v>0</v>
      </c>
      <c r="GJ221" s="4">
        <f t="shared" si="487"/>
        <v>0</v>
      </c>
      <c r="GK221" s="4">
        <f t="shared" si="488"/>
        <v>0</v>
      </c>
      <c r="GL221" s="4">
        <f t="shared" si="489"/>
        <v>0</v>
      </c>
      <c r="GM221" s="4">
        <f t="shared" si="490"/>
        <v>0</v>
      </c>
      <c r="GN221" s="4">
        <f t="shared" si="491"/>
        <v>0</v>
      </c>
      <c r="GO221" s="4">
        <f t="shared" si="492"/>
        <v>0</v>
      </c>
      <c r="GP221" s="4">
        <f t="shared" si="493"/>
        <v>0</v>
      </c>
      <c r="GQ221" s="27">
        <f t="shared" si="494"/>
        <v>100609.41949332577</v>
      </c>
      <c r="GR221" s="28" t="str">
        <f t="shared" si="495"/>
        <v/>
      </c>
      <c r="GS221" s="28" t="str">
        <f t="shared" si="496"/>
        <v/>
      </c>
      <c r="GT221" s="28" t="str">
        <f t="shared" si="497"/>
        <v/>
      </c>
      <c r="GU221" s="28" t="str">
        <f t="shared" si="498"/>
        <v/>
      </c>
      <c r="GV221" s="28" t="str">
        <f t="shared" si="499"/>
        <v/>
      </c>
      <c r="GW221" s="28" t="str">
        <f t="shared" si="500"/>
        <v/>
      </c>
      <c r="GX221" s="28" t="str">
        <f t="shared" si="501"/>
        <v/>
      </c>
      <c r="GY221" s="28" t="str">
        <f t="shared" si="502"/>
        <v/>
      </c>
      <c r="GZ221" s="28" t="str">
        <f t="shared" si="503"/>
        <v/>
      </c>
      <c r="HA221" s="28" t="str">
        <f t="shared" si="504"/>
        <v/>
      </c>
      <c r="HB221" s="28" t="str">
        <f t="shared" si="505"/>
        <v/>
      </c>
      <c r="HC221" s="28" t="str">
        <f t="shared" si="506"/>
        <v/>
      </c>
      <c r="HD221" s="28" t="str">
        <f t="shared" si="507"/>
        <v/>
      </c>
      <c r="HE221" s="28" t="str">
        <f t="shared" si="508"/>
        <v/>
      </c>
      <c r="HF221" s="28" t="str">
        <f t="shared" si="509"/>
        <v/>
      </c>
      <c r="HG221" s="28" t="str">
        <f t="shared" si="510"/>
        <v/>
      </c>
      <c r="HH221" s="28" t="str">
        <f t="shared" si="511"/>
        <v/>
      </c>
      <c r="HI221" s="28" t="str">
        <f t="shared" si="512"/>
        <v/>
      </c>
      <c r="HJ221" s="28" t="str">
        <f t="shared" si="513"/>
        <v/>
      </c>
      <c r="HK221" s="28" t="str">
        <f t="shared" si="514"/>
        <v/>
      </c>
      <c r="HL221" s="28" t="str">
        <f t="shared" si="515"/>
        <v/>
      </c>
      <c r="HM221" s="28" t="str">
        <f t="shared" si="516"/>
        <v/>
      </c>
      <c r="HN221" s="28" t="str">
        <f t="shared" si="517"/>
        <v/>
      </c>
      <c r="HO221" s="28" t="str">
        <f t="shared" si="518"/>
        <v/>
      </c>
      <c r="HP221" s="28" t="str">
        <f t="shared" si="519"/>
        <v/>
      </c>
      <c r="HQ221" s="28" t="str">
        <f t="shared" si="520"/>
        <v/>
      </c>
      <c r="HR221" s="28" t="str">
        <f t="shared" si="521"/>
        <v/>
      </c>
      <c r="HT221" s="4">
        <f>IFERROR(GR221/'McDonough &amp; Sun 1995 values'!C$2,)</f>
        <v>0</v>
      </c>
      <c r="HU221" s="4">
        <f>IFERROR(GS221/'McDonough &amp; Sun 1995 values'!D$2,)</f>
        <v>0</v>
      </c>
      <c r="HV221" s="4">
        <f>IFERROR(GT221/'McDonough &amp; Sun 1995 values'!E$2,)</f>
        <v>0</v>
      </c>
      <c r="HW221" s="4">
        <f>IFERROR(GU221/'McDonough &amp; Sun 1995 values'!F$2,)</f>
        <v>0</v>
      </c>
      <c r="HX221" s="4">
        <f>IFERROR(GV221/'McDonough &amp; Sun 1995 values'!G$2,)</f>
        <v>0</v>
      </c>
      <c r="HY221" s="4">
        <f>IFERROR(GW221/'McDonough &amp; Sun 1995 values'!H$2,)</f>
        <v>0</v>
      </c>
      <c r="HZ221" s="4">
        <f>IFERROR(GX221/'McDonough &amp; Sun 1995 values'!I$2,)</f>
        <v>0</v>
      </c>
      <c r="IA221" s="4">
        <f>IFERROR(GY221/'McDonough &amp; Sun 1995 values'!J$2,)</f>
        <v>0</v>
      </c>
      <c r="IB221" s="4">
        <f>IFERROR(GZ221/'McDonough &amp; Sun 1995 values'!K$2,)</f>
        <v>0</v>
      </c>
      <c r="IC221" s="4">
        <f>IFERROR(HA221/'McDonough &amp; Sun 1995 values'!L$2,)</f>
        <v>0</v>
      </c>
      <c r="ID221" s="4">
        <f>IFERROR(HB221/'McDonough &amp; Sun 1995 values'!M$2,)</f>
        <v>0</v>
      </c>
      <c r="IE221" s="4">
        <f>IFERROR(HC221/'McDonough &amp; Sun 1995 values'!N$2,)</f>
        <v>0</v>
      </c>
      <c r="IF221" s="4">
        <f>IFERROR(HD221/'McDonough &amp; Sun 1995 values'!O$2,)</f>
        <v>0</v>
      </c>
      <c r="IG221" s="4">
        <f>IFERROR(HE221/'McDonough &amp; Sun 1995 values'!P$2,)</f>
        <v>0</v>
      </c>
      <c r="IH221" s="4">
        <f>IFERROR(HF221/'McDonough &amp; Sun 1995 values'!Q$2,)</f>
        <v>0</v>
      </c>
      <c r="II221" s="4">
        <f>IFERROR(HG221/'McDonough &amp; Sun 1995 values'!R$2,)</f>
        <v>0</v>
      </c>
      <c r="IJ221" s="4">
        <f>IFERROR(HH221/'McDonough &amp; Sun 1995 values'!S$2,)</f>
        <v>0</v>
      </c>
      <c r="IK221" s="4">
        <f>IFERROR(HI221/'McDonough &amp; Sun 1995 values'!T$2,)</f>
        <v>0</v>
      </c>
      <c r="IL221" s="4">
        <f>IFERROR(HJ221/'McDonough &amp; Sun 1995 values'!U$2,)</f>
        <v>0</v>
      </c>
      <c r="IM221" s="4">
        <f>IFERROR(HK221/'McDonough &amp; Sun 1995 values'!V$2,)</f>
        <v>0</v>
      </c>
      <c r="IN221" s="4">
        <f>IFERROR(HL221/'McDonough &amp; Sun 1995 values'!W$2,)</f>
        <v>0</v>
      </c>
      <c r="IO221" s="4">
        <f>IFERROR(HM221/'McDonough &amp; Sun 1995 values'!X$2,)</f>
        <v>0</v>
      </c>
      <c r="IP221" s="4">
        <f>IFERROR(HN221/'McDonough &amp; Sun 1995 values'!Y$2,)</f>
        <v>0</v>
      </c>
      <c r="IQ221" s="4">
        <f>IFERROR(HO221/'McDonough &amp; Sun 1995 values'!Z$2,)</f>
        <v>0</v>
      </c>
      <c r="IR221" s="4">
        <f>IFERROR(HP221/'McDonough &amp; Sun 1995 values'!AA$2,)</f>
        <v>0</v>
      </c>
      <c r="IS221" s="4">
        <f>IFERROR(HQ221/'McDonough &amp; Sun 1995 values'!AB$2,)</f>
        <v>0</v>
      </c>
      <c r="IT221" s="4">
        <f>IFERROR(HR221/'McDonough &amp; Sun 1995 values'!AC$2,)</f>
        <v>0</v>
      </c>
    </row>
    <row r="222" spans="1:254">
      <c r="A222" s="16" t="s">
        <v>836</v>
      </c>
      <c r="B222" s="16" t="s">
        <v>24</v>
      </c>
      <c r="C222" s="16" t="str">
        <f t="shared" si="461"/>
        <v>silicic</v>
      </c>
      <c r="D222" s="16" t="s">
        <v>1705</v>
      </c>
      <c r="E222" s="16" t="s">
        <v>237</v>
      </c>
      <c r="F222" s="16" t="s">
        <v>163</v>
      </c>
      <c r="G222" s="16" t="s">
        <v>595</v>
      </c>
      <c r="H222" s="27">
        <v>355</v>
      </c>
      <c r="I222" s="16" t="s">
        <v>1148</v>
      </c>
      <c r="J222" s="3" t="s">
        <v>635</v>
      </c>
      <c r="K222" s="16" t="s">
        <v>128</v>
      </c>
      <c r="L222" s="16" t="s">
        <v>1509</v>
      </c>
      <c r="M222" s="16" t="s">
        <v>384</v>
      </c>
      <c r="N222" s="16">
        <v>25</v>
      </c>
      <c r="O222" s="26">
        <v>45.1</v>
      </c>
      <c r="P222" s="26">
        <v>3.83</v>
      </c>
      <c r="Q222" s="26"/>
      <c r="R222" s="26">
        <v>7.52</v>
      </c>
      <c r="S222" s="26">
        <v>10.4</v>
      </c>
      <c r="T222" s="26">
        <v>2.11</v>
      </c>
      <c r="U222" s="26"/>
      <c r="V222" s="26">
        <v>5.71</v>
      </c>
      <c r="W222" s="26">
        <v>1.03</v>
      </c>
      <c r="X222" s="26">
        <v>14.3</v>
      </c>
      <c r="Y222" s="26"/>
      <c r="Z222" s="26">
        <v>5.85</v>
      </c>
      <c r="AA222" s="26"/>
      <c r="AB222" s="26">
        <v>2.48</v>
      </c>
      <c r="AC222" s="26"/>
      <c r="AD222" s="26">
        <v>1.6</v>
      </c>
      <c r="AE222" s="26"/>
      <c r="AF222" s="26"/>
      <c r="AG222" s="26"/>
      <c r="AH222" s="26"/>
      <c r="AI222" s="26"/>
      <c r="AJ222" s="26">
        <f t="shared" si="462"/>
        <v>99.929999999999993</v>
      </c>
      <c r="AK222" s="26">
        <f t="shared" si="522"/>
        <v>45.295255131535285</v>
      </c>
      <c r="AL222" s="26">
        <f t="shared" si="523"/>
        <v>3.8465815333432398</v>
      </c>
      <c r="AM222" s="26">
        <f t="shared" si="524"/>
        <v>7.5525569531961265</v>
      </c>
      <c r="AN222" s="26">
        <f t="shared" si="525"/>
        <v>10.445025573569112</v>
      </c>
      <c r="AO222" s="26">
        <f t="shared" si="526"/>
        <v>2.1191349961760406</v>
      </c>
      <c r="AP222" s="26">
        <f t="shared" si="527"/>
        <v>5.7347207716422721</v>
      </c>
      <c r="AQ222" s="26">
        <f t="shared" si="528"/>
        <v>2.4907368675434034</v>
      </c>
      <c r="AR222" s="26">
        <f t="shared" si="529"/>
        <v>1.0344592635361716</v>
      </c>
      <c r="AS222" s="26">
        <f t="shared" si="530"/>
        <v>14.361910163657528</v>
      </c>
      <c r="AT222" s="26">
        <f t="shared" si="531"/>
        <v>5.8753268851326244</v>
      </c>
      <c r="AU222" s="26">
        <f t="shared" si="532"/>
        <v>1.6069270113183247</v>
      </c>
      <c r="AV222" s="26">
        <f t="shared" si="463"/>
        <v>100.36263515065012</v>
      </c>
      <c r="AW222" s="16"/>
      <c r="AX222" s="16"/>
      <c r="AY222" s="16"/>
      <c r="AZ222" s="16"/>
      <c r="BA222" s="26"/>
      <c r="BB222" s="26">
        <v>0.24</v>
      </c>
      <c r="BC222" s="26">
        <f t="shared" si="464"/>
        <v>0.24</v>
      </c>
      <c r="BD222" s="26">
        <f t="shared" si="465"/>
        <v>0.76</v>
      </c>
      <c r="BE222" s="25">
        <v>-4.6500000000000004</v>
      </c>
      <c r="BF222" s="16"/>
      <c r="BG222" s="16" t="s">
        <v>1108</v>
      </c>
      <c r="BH222" s="16"/>
      <c r="BI222" s="16" t="s">
        <v>1109</v>
      </c>
      <c r="BJ222" s="16"/>
      <c r="BK222" s="18"/>
      <c r="BL222" s="18"/>
      <c r="BM222" s="18"/>
      <c r="BN222" s="18"/>
      <c r="BO222" s="18"/>
      <c r="BP222" s="18"/>
      <c r="BQ222" s="18"/>
      <c r="BR222" s="18">
        <v>151191</v>
      </c>
      <c r="BS222" s="18"/>
      <c r="BT222" s="18">
        <v>31409</v>
      </c>
      <c r="BU222" s="18"/>
      <c r="BV222" s="18"/>
      <c r="BW222" s="18"/>
      <c r="BX222" s="18"/>
      <c r="BY222" s="18"/>
      <c r="BZ222" s="18"/>
      <c r="CA222" s="18"/>
      <c r="CB222" s="18"/>
      <c r="CC222" s="18"/>
      <c r="CD222" s="18"/>
      <c r="CE222" s="18"/>
      <c r="CF222" s="18"/>
      <c r="CG222" s="18"/>
      <c r="CH222" s="18">
        <v>486</v>
      </c>
      <c r="CI222" s="18">
        <v>3722</v>
      </c>
      <c r="CJ222" s="18">
        <v>88.7</v>
      </c>
      <c r="CK222" s="18">
        <v>790</v>
      </c>
      <c r="CL222" s="18"/>
      <c r="CM222" s="18">
        <v>206</v>
      </c>
      <c r="CN222" s="18"/>
      <c r="CO222" s="18"/>
      <c r="CP222" s="18"/>
      <c r="CQ222" s="18"/>
      <c r="CR222" s="18"/>
      <c r="CS222" s="18">
        <v>10745</v>
      </c>
      <c r="CT222" s="18"/>
      <c r="CU222" s="18">
        <v>789</v>
      </c>
      <c r="CV222" s="18">
        <v>1274</v>
      </c>
      <c r="CW222" s="18">
        <v>110</v>
      </c>
      <c r="CX222" s="18">
        <v>347</v>
      </c>
      <c r="CY222" s="18">
        <v>127</v>
      </c>
      <c r="CZ222" s="18">
        <v>23.4</v>
      </c>
      <c r="DA222" s="18">
        <v>46</v>
      </c>
      <c r="DB222" s="18">
        <v>29.2</v>
      </c>
      <c r="DC222" s="18">
        <v>5.19</v>
      </c>
      <c r="DD222" s="18">
        <v>10.9</v>
      </c>
      <c r="DE222" s="18"/>
      <c r="DF222" s="18">
        <v>14.7</v>
      </c>
      <c r="DG222" s="18" t="s">
        <v>1366</v>
      </c>
      <c r="DH222" s="18">
        <v>26.2</v>
      </c>
      <c r="DI222" s="18">
        <v>3.78</v>
      </c>
      <c r="DJ222" s="18"/>
      <c r="DK222" s="18"/>
      <c r="DL222" s="18">
        <v>110</v>
      </c>
      <c r="DM222" s="18">
        <v>23.2</v>
      </c>
      <c r="DN222" s="18">
        <v>7.04</v>
      </c>
      <c r="DO222" s="18"/>
      <c r="DP222" s="18"/>
      <c r="DQ222" s="18"/>
      <c r="DR222" s="18"/>
      <c r="DS222" s="18"/>
      <c r="DT222" s="18"/>
      <c r="DU222" s="18"/>
      <c r="DV222" s="28"/>
      <c r="DW222" s="28"/>
      <c r="DX222" s="28"/>
      <c r="DY222" s="28"/>
      <c r="DZ222" s="28"/>
      <c r="EA222" s="28"/>
      <c r="EB222" s="28"/>
      <c r="EC222" s="28"/>
      <c r="ED222" s="28"/>
      <c r="EE222" s="28"/>
      <c r="EF222" s="28"/>
      <c r="EG222" s="28"/>
      <c r="EH222" s="28"/>
      <c r="EI222" s="28"/>
      <c r="EJ222" s="18"/>
      <c r="EK222" s="18"/>
      <c r="EL222" s="18">
        <f>IFERROR(CR222/'McDonough &amp; Sun 1995 values'!C$2,)</f>
        <v>0</v>
      </c>
      <c r="EM222" s="18">
        <f>IFERROR(CH222/'McDonough &amp; Sun 1995 values'!D$2,)</f>
        <v>810</v>
      </c>
      <c r="EN222" s="18">
        <f>IFERROR(CS222/'McDonough &amp; Sun 1995 values'!E$2,)</f>
        <v>1628.0303030303032</v>
      </c>
      <c r="EO222" s="18">
        <f>IFERROR(DL222/'McDonough &amp; Sun 1995 values'!F$2,)</f>
        <v>1383.6477987421383</v>
      </c>
      <c r="EP222" s="18">
        <f>IFERROR(DM222/'McDonough &amp; Sun 1995 values'!G$2,)</f>
        <v>1142.8571428571429</v>
      </c>
      <c r="EQ222" s="18">
        <f>IFERROR(BR222/'McDonough &amp; Sun 1995 values'!H$2,)</f>
        <v>629.96249999999998</v>
      </c>
      <c r="ER222" s="18">
        <f>IFERROR(DI222/'McDonough &amp; Sun 1995 values'!I$2,)</f>
        <v>102.16216216216216</v>
      </c>
      <c r="ES222" s="18">
        <f>IFERROR(CM222/'McDonough &amp; Sun 1995 values'!J$2,)</f>
        <v>313.06990881458967</v>
      </c>
      <c r="ET222" s="18">
        <f>IFERROR(CU222/'McDonough &amp; Sun 1995 values'!K$2,)</f>
        <v>1217.5925925925926</v>
      </c>
      <c r="EU222" s="18">
        <f>IFERROR(CV222/'McDonough &amp; Sun 1995 values'!L$2,)</f>
        <v>760.59701492537306</v>
      </c>
      <c r="EV222" s="18">
        <f>IFERROR(CW222/'McDonough &amp; Sun 1995 values'!M$2,)</f>
        <v>433.07086614173227</v>
      </c>
      <c r="EW222" s="18">
        <f>IFERROR(CI222/'McDonough &amp; Sun 1995 values'!N$2,)</f>
        <v>187.035175879397</v>
      </c>
      <c r="EX222" s="18">
        <f>IFERROR(CX222/'McDonough &amp; Sun 1995 values'!O$2,)</f>
        <v>277.60000000000002</v>
      </c>
      <c r="EY222" s="18">
        <f>IFERROR(CY222/'McDonough &amp; Sun 1995 values'!P$2,)</f>
        <v>312.807881773399</v>
      </c>
      <c r="EZ222" s="18">
        <f>IFERROR(DH222/'McDonough &amp; Sun 1995 values'!Q$2,)</f>
        <v>92.579505300353361</v>
      </c>
      <c r="FA222" s="18">
        <f>IFERROR(CK222/'McDonough &amp; Sun 1995 values'!R$2,)</f>
        <v>75.238095238095241</v>
      </c>
      <c r="FB222" s="18">
        <f>IFERROR(CZ222/'McDonough &amp; Sun 1995 values'!S$2,)</f>
        <v>151.94805194805195</v>
      </c>
      <c r="FC222" s="18">
        <f>IFERROR(BT222/'McDonough &amp; Sun 1995 values'!T$2,)</f>
        <v>26.065560165975104</v>
      </c>
      <c r="FD222" s="18">
        <f>IFERROR(DA222/'McDonough &amp; Sun 1995 values'!U$2,)</f>
        <v>84.558823529411754</v>
      </c>
      <c r="FE222" s="18">
        <f>IFERROR(DN222/'McDonough &amp; Sun 1995 values'!V$2,)</f>
        <v>71.111111111111114</v>
      </c>
      <c r="FF222" s="18">
        <f>IFERROR(DB222/'McDonough &amp; Sun 1995 values'!W$2,)</f>
        <v>43.323442136498514</v>
      </c>
      <c r="FG222" s="18">
        <f>IFERROR(CJ222/'McDonough &amp; Sun 1995 values'!X$2,)</f>
        <v>20.627906976744189</v>
      </c>
      <c r="FH222" s="18">
        <f>IFERROR(DC222/'McDonough &amp; Sun 1995 values'!Y$2,)</f>
        <v>34.832214765100673</v>
      </c>
      <c r="FI222" s="18">
        <f>IFERROR(DD222/'McDonough &amp; Sun 1995 values'!Z$2,)</f>
        <v>24.88584474885845</v>
      </c>
      <c r="FJ222" s="18">
        <f>IFERROR(DE222/'McDonough &amp; Sun 1995 values'!AA$2,)</f>
        <v>0</v>
      </c>
      <c r="FK222" s="18">
        <f>IFERROR(DF222/'McDonough &amp; Sun 1995 values'!AB$2,)</f>
        <v>33.333333333333329</v>
      </c>
      <c r="FL222" s="18">
        <f>IFERROR(DG222/'McDonough &amp; Sun 1995 values'!AC$2,)</f>
        <v>0</v>
      </c>
      <c r="FN222" s="28">
        <f t="shared" si="458"/>
        <v>1.814166943043662</v>
      </c>
      <c r="FO222" s="4">
        <f t="shared" si="466"/>
        <v>1.4245265151515152</v>
      </c>
      <c r="FP222" s="4">
        <f t="shared" si="467"/>
        <v>4.4196128717103251</v>
      </c>
      <c r="FQ222" s="4">
        <f t="shared" si="468"/>
        <v>1.2106918238993709</v>
      </c>
      <c r="FR222" s="4">
        <f t="shared" si="469"/>
        <v>3.8892035239122618</v>
      </c>
      <c r="FS222" s="4">
        <f t="shared" si="470"/>
        <v>11.918234371938077</v>
      </c>
      <c r="FT222" s="4">
        <f t="shared" si="471"/>
        <v>0</v>
      </c>
      <c r="FU222" s="4">
        <f t="shared" si="472"/>
        <v>0.32632379952768303</v>
      </c>
      <c r="FV222" s="4">
        <f t="shared" si="473"/>
        <v>0.2405249343832021</v>
      </c>
      <c r="FW222" s="4">
        <f t="shared" si="474"/>
        <v>0.81268629589240271</v>
      </c>
      <c r="FX222" s="4">
        <f t="shared" si="475"/>
        <v>0.76477495431964237</v>
      </c>
      <c r="FY222" s="4">
        <f t="shared" si="476"/>
        <v>0.53942873490214183</v>
      </c>
      <c r="FZ222" s="4">
        <f t="shared" si="477"/>
        <v>0.93427951559265265</v>
      </c>
      <c r="GA222" s="4">
        <f t="shared" si="478"/>
        <v>0.43188122430333492</v>
      </c>
      <c r="GB222" s="4">
        <f t="shared" si="479"/>
        <v>0.48575518969219761</v>
      </c>
      <c r="GC222" s="4">
        <f t="shared" si="480"/>
        <v>0</v>
      </c>
      <c r="GD222" s="4">
        <f t="shared" si="481"/>
        <v>1.1766219008264465</v>
      </c>
      <c r="GE222" s="4">
        <f t="shared" si="482"/>
        <v>2.009913954358399</v>
      </c>
      <c r="GF222" s="4">
        <f t="shared" si="483"/>
        <v>2.5843289132770653</v>
      </c>
      <c r="GG222" s="4">
        <f t="shared" si="484"/>
        <v>5.2002132980288325</v>
      </c>
      <c r="GH222" s="4">
        <f t="shared" si="485"/>
        <v>2.8115319865319868</v>
      </c>
      <c r="GI222" s="4">
        <f t="shared" si="486"/>
        <v>3.8924613589967922</v>
      </c>
      <c r="GJ222" s="4">
        <f t="shared" si="487"/>
        <v>28.104705733130391</v>
      </c>
      <c r="GK222" s="4">
        <f t="shared" si="488"/>
        <v>36.527777777777786</v>
      </c>
      <c r="GL222" s="4">
        <f t="shared" si="489"/>
        <v>2.8864944685250968</v>
      </c>
      <c r="GM222" s="4">
        <f t="shared" si="490"/>
        <v>1.7082071589409116</v>
      </c>
      <c r="GN222" s="4">
        <f t="shared" si="491"/>
        <v>0.25712205438764779</v>
      </c>
      <c r="GO222" s="4">
        <f t="shared" si="492"/>
        <v>0.27393617021276595</v>
      </c>
      <c r="GP222" s="4">
        <f t="shared" si="493"/>
        <v>0.55121718749999993</v>
      </c>
      <c r="GQ222" s="27">
        <f t="shared" si="494"/>
        <v>119223.57393748674</v>
      </c>
      <c r="GR222" s="28">
        <f t="shared" si="495"/>
        <v>0</v>
      </c>
      <c r="GS222" s="28">
        <f t="shared" si="496"/>
        <v>383.24144250397546</v>
      </c>
      <c r="GT222" s="28">
        <f t="shared" si="497"/>
        <v>8473.1055549490047</v>
      </c>
      <c r="GU222" s="28">
        <f t="shared" si="498"/>
        <v>86.741890278677573</v>
      </c>
      <c r="GV222" s="28">
        <f t="shared" si="499"/>
        <v>18.294653222411998</v>
      </c>
      <c r="GW222" s="28">
        <f t="shared" si="500"/>
        <v>119223.57393748674</v>
      </c>
      <c r="GX222" s="28">
        <f t="shared" si="501"/>
        <v>2.9807667750309199</v>
      </c>
      <c r="GY222" s="28">
        <f t="shared" si="502"/>
        <v>162.44390361279616</v>
      </c>
      <c r="GZ222" s="28">
        <f t="shared" si="503"/>
        <v>622.17592208978738</v>
      </c>
      <c r="HA222" s="28">
        <f t="shared" si="504"/>
        <v>1004.6288019548657</v>
      </c>
      <c r="HB222" s="28">
        <f t="shared" si="505"/>
        <v>86.741890278677573</v>
      </c>
      <c r="HC222" s="28">
        <f t="shared" si="506"/>
        <v>2935.0301419748907</v>
      </c>
      <c r="HD222" s="28">
        <f t="shared" si="507"/>
        <v>273.63123569728288</v>
      </c>
      <c r="HE222" s="28">
        <f t="shared" si="508"/>
        <v>100.14745513992774</v>
      </c>
      <c r="HF222" s="28">
        <f t="shared" si="509"/>
        <v>20.660341139103203</v>
      </c>
      <c r="HG222" s="28">
        <f t="shared" si="510"/>
        <v>622.9644847286844</v>
      </c>
      <c r="HH222" s="28">
        <f t="shared" si="511"/>
        <v>18.452365750191412</v>
      </c>
      <c r="HI222" s="28">
        <f t="shared" si="512"/>
        <v>24767.963925118034</v>
      </c>
      <c r="HJ222" s="28">
        <f t="shared" si="513"/>
        <v>36.273881389265163</v>
      </c>
      <c r="HK222" s="28">
        <f t="shared" si="514"/>
        <v>5.5514809778353653</v>
      </c>
      <c r="HL222" s="28">
        <f t="shared" si="515"/>
        <v>23.02602905579441</v>
      </c>
      <c r="HM222" s="28">
        <f t="shared" si="516"/>
        <v>69.945506070170012</v>
      </c>
      <c r="HN222" s="28">
        <f t="shared" si="517"/>
        <v>4.0926400958757876</v>
      </c>
      <c r="HO222" s="28">
        <f t="shared" si="518"/>
        <v>8.5953327639780515</v>
      </c>
      <c r="HP222" s="28">
        <f t="shared" si="519"/>
        <v>0</v>
      </c>
      <c r="HQ222" s="28">
        <f t="shared" si="520"/>
        <v>11.591870791786912</v>
      </c>
      <c r="HR222" s="28" t="str">
        <f t="shared" si="521"/>
        <v/>
      </c>
      <c r="HT222" s="4">
        <f>IFERROR(GR222/'McDonough &amp; Sun 1995 values'!C$2,)</f>
        <v>0</v>
      </c>
      <c r="HU222" s="4">
        <f>IFERROR(GS222/'McDonough &amp; Sun 1995 values'!D$2,)</f>
        <v>638.73573750662581</v>
      </c>
      <c r="HV222" s="4">
        <f>IFERROR(GT222/'McDonough &amp; Sun 1995 values'!E$2,)</f>
        <v>1283.8038719619706</v>
      </c>
      <c r="HW222" s="4">
        <f>IFERROR(GU222/'McDonough &amp; Sun 1995 values'!F$2,)</f>
        <v>1091.092959480221</v>
      </c>
      <c r="HX222" s="4">
        <f>IFERROR(GV222/'McDonough &amp; Sun 1995 values'!G$2,)</f>
        <v>901.21444445379313</v>
      </c>
      <c r="HY222" s="4">
        <f>IFERROR(GW222/'McDonough &amp; Sun 1995 values'!H$2,)</f>
        <v>496.76489140619475</v>
      </c>
      <c r="HZ222" s="4">
        <f>IFERROR(GX222/'McDonough &amp; Sun 1995 values'!I$2,)</f>
        <v>80.561264190024872</v>
      </c>
      <c r="IA222" s="4">
        <f>IFERROR(GY222/'McDonough &amp; Sun 1995 values'!J$2,)</f>
        <v>246.8752334540975</v>
      </c>
      <c r="IB222" s="4">
        <f>IFERROR(GZ222/'McDonough &amp; Sun 1995 values'!K$2,)</f>
        <v>960.14802791633849</v>
      </c>
      <c r="IC222" s="4">
        <f>IFERROR(HA222/'McDonough &amp; Sun 1995 values'!L$2,)</f>
        <v>599.77838922678552</v>
      </c>
      <c r="ID222" s="4">
        <f>IFERROR(HB222/'McDonough &amp; Sun 1995 values'!M$2,)</f>
        <v>341.50350503416365</v>
      </c>
      <c r="IE222" s="4">
        <f>IFERROR(HC222/'McDonough &amp; Sun 1995 values'!N$2,)</f>
        <v>147.48895185803471</v>
      </c>
      <c r="IF222" s="4">
        <f>IFERROR(HD222/'McDonough &amp; Sun 1995 values'!O$2,)</f>
        <v>218.9049885578263</v>
      </c>
      <c r="IG222" s="4">
        <f>IFERROR(HE222/'McDonough &amp; Sun 1995 values'!P$2,)</f>
        <v>246.66860871903384</v>
      </c>
      <c r="IH222" s="4">
        <f>IFERROR(HF222/'McDonough &amp; Sun 1995 values'!Q$2,)</f>
        <v>73.004739007431823</v>
      </c>
      <c r="II222" s="4">
        <f>IFERROR(HG222/'McDonough &amp; Sun 1995 values'!R$2,)</f>
        <v>59.329950926541372</v>
      </c>
      <c r="IJ222" s="4">
        <f>IFERROR(HH222/'McDonough &amp; Sun 1995 values'!S$2,)</f>
        <v>119.82055681942475</v>
      </c>
      <c r="IK222" s="4">
        <f>IFERROR(HI222/'McDonough &amp; Sun 1995 values'!T$2,)</f>
        <v>20.554326908811646</v>
      </c>
      <c r="IL222" s="4">
        <f>IFERROR(HJ222/'McDonough &amp; Sun 1995 values'!U$2,)</f>
        <v>66.679929024384492</v>
      </c>
      <c r="IM222" s="4">
        <f>IFERROR(HK222/'McDonough &amp; Sun 1995 values'!V$2,)</f>
        <v>56.075565432680456</v>
      </c>
      <c r="IN222" s="4">
        <f>IFERROR(HL222/'McDonough &amp; Sun 1995 values'!W$2,)</f>
        <v>34.163247857261737</v>
      </c>
      <c r="IO222" s="4">
        <f>IFERROR(HM222/'McDonough &amp; Sun 1995 values'!X$2,)</f>
        <v>16.266396760504655</v>
      </c>
      <c r="IP222" s="4">
        <f>IFERROR(HN222/'McDonough &amp; Sun 1995 values'!Y$2,)</f>
        <v>27.467383193797232</v>
      </c>
      <c r="IQ222" s="4">
        <f>IFERROR(HO222/'McDonough &amp; Sun 1995 values'!Z$2,)</f>
        <v>19.624047406342584</v>
      </c>
      <c r="IR222" s="4">
        <f>IFERROR(HP222/'McDonough &amp; Sun 1995 values'!AA$2,)</f>
        <v>0</v>
      </c>
      <c r="IS222" s="4">
        <f>IFERROR(HQ222/'McDonough &amp; Sun 1995 values'!AB$2,)</f>
        <v>26.285421296568959</v>
      </c>
      <c r="IT222" s="4">
        <f>IFERROR(HR222/'McDonough &amp; Sun 1995 values'!AC$2,)</f>
        <v>0</v>
      </c>
    </row>
    <row r="223" spans="1:254">
      <c r="A223" s="16" t="s">
        <v>836</v>
      </c>
      <c r="B223" s="16" t="s">
        <v>24</v>
      </c>
      <c r="C223" s="16" t="str">
        <f t="shared" si="461"/>
        <v>silicic</v>
      </c>
      <c r="D223" s="16" t="s">
        <v>1705</v>
      </c>
      <c r="E223" s="16" t="s">
        <v>237</v>
      </c>
      <c r="F223" s="16" t="s">
        <v>163</v>
      </c>
      <c r="G223" s="16" t="s">
        <v>595</v>
      </c>
      <c r="H223" s="27">
        <v>355</v>
      </c>
      <c r="I223" s="16" t="s">
        <v>1148</v>
      </c>
      <c r="J223" s="3" t="s">
        <v>635</v>
      </c>
      <c r="K223" s="16" t="s">
        <v>128</v>
      </c>
      <c r="L223" s="16" t="s">
        <v>1509</v>
      </c>
      <c r="M223" s="16" t="s">
        <v>385</v>
      </c>
      <c r="N223" s="16">
        <v>15</v>
      </c>
      <c r="O223" s="26">
        <v>49.9</v>
      </c>
      <c r="P223" s="26">
        <v>4.74</v>
      </c>
      <c r="Q223" s="26"/>
      <c r="R223" s="26">
        <v>5.27</v>
      </c>
      <c r="S223" s="26">
        <v>17.100000000000001</v>
      </c>
      <c r="T223" s="26">
        <v>8.1199999999999992</v>
      </c>
      <c r="U223" s="26"/>
      <c r="V223" s="26">
        <v>1.97</v>
      </c>
      <c r="W223" s="26">
        <v>0.62</v>
      </c>
      <c r="X223" s="26">
        <v>9.7799999999999994</v>
      </c>
      <c r="Y223" s="26"/>
      <c r="Z223" s="26">
        <v>1.26</v>
      </c>
      <c r="AA223" s="26"/>
      <c r="AB223" s="26">
        <v>0.21</v>
      </c>
      <c r="AC223" s="26"/>
      <c r="AD223" s="26">
        <v>1.06</v>
      </c>
      <c r="AE223" s="26"/>
      <c r="AF223" s="26"/>
      <c r="AG223" s="26"/>
      <c r="AH223" s="26"/>
      <c r="AI223" s="26"/>
      <c r="AJ223" s="26">
        <f t="shared" si="462"/>
        <v>100.03</v>
      </c>
      <c r="AK223" s="26">
        <f t="shared" si="522"/>
        <v>50.004614732062159</v>
      </c>
      <c r="AL223" s="26">
        <f t="shared" si="523"/>
        <v>4.7499373513020968</v>
      </c>
      <c r="AM223" s="26">
        <f t="shared" si="524"/>
        <v>5.2810484897388283</v>
      </c>
      <c r="AN223" s="26">
        <f t="shared" si="525"/>
        <v>17.135849938241744</v>
      </c>
      <c r="AO223" s="26">
        <f t="shared" si="526"/>
        <v>8.1370234794457854</v>
      </c>
      <c r="AP223" s="26">
        <f t="shared" si="527"/>
        <v>1.9741300806044577</v>
      </c>
      <c r="AQ223" s="26">
        <f t="shared" si="528"/>
        <v>0.21044026239945995</v>
      </c>
      <c r="AR223" s="26">
        <f t="shared" si="529"/>
        <v>0.62129982232221515</v>
      </c>
      <c r="AS223" s="26">
        <f t="shared" si="530"/>
        <v>9.8005036488891353</v>
      </c>
      <c r="AT223" s="26">
        <f t="shared" si="531"/>
        <v>1.2626415743967601</v>
      </c>
      <c r="AU223" s="26">
        <f t="shared" si="532"/>
        <v>1.0622222768734648</v>
      </c>
      <c r="AV223" s="26">
        <f t="shared" si="463"/>
        <v>100.23971165627611</v>
      </c>
      <c r="AW223" s="16"/>
      <c r="AX223" s="16"/>
      <c r="AY223" s="16"/>
      <c r="AZ223" s="16"/>
      <c r="BA223" s="26"/>
      <c r="BB223" s="26">
        <v>0.65</v>
      </c>
      <c r="BC223" s="26">
        <f t="shared" si="464"/>
        <v>0.65</v>
      </c>
      <c r="BD223" s="26">
        <f t="shared" si="465"/>
        <v>0.35</v>
      </c>
      <c r="BE223" s="25">
        <v>-5.85</v>
      </c>
      <c r="BF223" s="16"/>
      <c r="BG223" s="16" t="s">
        <v>1110</v>
      </c>
      <c r="BH223" s="16"/>
      <c r="BI223" s="16" t="s">
        <v>1109</v>
      </c>
      <c r="BJ223" s="16"/>
      <c r="BK223" s="18"/>
      <c r="BL223" s="18"/>
      <c r="BM223" s="18"/>
      <c r="BN223" s="18"/>
      <c r="BO223" s="18"/>
      <c r="BP223" s="18"/>
      <c r="BQ223" s="18"/>
      <c r="BR223" s="18">
        <v>301637</v>
      </c>
      <c r="BS223" s="18"/>
      <c r="BT223" s="18">
        <v>30448</v>
      </c>
      <c r="BU223" s="18"/>
      <c r="BV223" s="18"/>
      <c r="BW223" s="18"/>
      <c r="BX223" s="18"/>
      <c r="BY223" s="18"/>
      <c r="BZ223" s="18"/>
      <c r="CA223" s="18"/>
      <c r="CB223" s="18"/>
      <c r="CC223" s="18"/>
      <c r="CD223" s="18"/>
      <c r="CE223" s="18"/>
      <c r="CF223" s="18"/>
      <c r="CG223" s="18"/>
      <c r="CH223" s="18">
        <v>1392</v>
      </c>
      <c r="CI223" s="18">
        <v>3399</v>
      </c>
      <c r="CJ223" s="18">
        <v>616</v>
      </c>
      <c r="CK223" s="18">
        <v>4176</v>
      </c>
      <c r="CL223" s="18"/>
      <c r="CM223" s="18">
        <v>165</v>
      </c>
      <c r="CN223" s="18"/>
      <c r="CO223" s="18"/>
      <c r="CP223" s="18"/>
      <c r="CQ223" s="18"/>
      <c r="CR223" s="18"/>
      <c r="CS223" s="18">
        <v>20561</v>
      </c>
      <c r="CT223" s="18"/>
      <c r="CU223" s="18">
        <v>1144</v>
      </c>
      <c r="CV223" s="18">
        <v>1588</v>
      </c>
      <c r="CW223" s="18">
        <v>108</v>
      </c>
      <c r="CX223" s="18">
        <v>648</v>
      </c>
      <c r="CY223" s="18">
        <v>180</v>
      </c>
      <c r="CZ223" s="18">
        <v>179</v>
      </c>
      <c r="DA223" s="18">
        <v>201</v>
      </c>
      <c r="DB223" s="18">
        <v>92.3</v>
      </c>
      <c r="DC223" s="18">
        <v>21.9</v>
      </c>
      <c r="DD223" s="18">
        <v>48.4</v>
      </c>
      <c r="DE223" s="18"/>
      <c r="DF223" s="18">
        <v>11.6</v>
      </c>
      <c r="DG223" s="18">
        <v>5.33</v>
      </c>
      <c r="DH223" s="18">
        <v>319</v>
      </c>
      <c r="DI223" s="18">
        <v>8.0299999999999994</v>
      </c>
      <c r="DJ223" s="18"/>
      <c r="DK223" s="18"/>
      <c r="DL223" s="18">
        <v>148</v>
      </c>
      <c r="DM223" s="18">
        <v>25.5</v>
      </c>
      <c r="DN223" s="18">
        <v>23.3</v>
      </c>
      <c r="DO223" s="18"/>
      <c r="DP223" s="18"/>
      <c r="DQ223" s="18"/>
      <c r="DR223" s="18"/>
      <c r="DS223" s="18"/>
      <c r="DT223" s="18"/>
      <c r="DU223" s="18"/>
      <c r="DV223" s="28"/>
      <c r="DW223" s="28"/>
      <c r="DX223" s="28"/>
      <c r="DY223" s="28"/>
      <c r="DZ223" s="28"/>
      <c r="EA223" s="28"/>
      <c r="EB223" s="28"/>
      <c r="EC223" s="28"/>
      <c r="ED223" s="28"/>
      <c r="EE223" s="28"/>
      <c r="EF223" s="28"/>
      <c r="EG223" s="28"/>
      <c r="EH223" s="28"/>
      <c r="EI223" s="28"/>
      <c r="EJ223" s="18"/>
      <c r="EK223" s="18"/>
      <c r="EL223" s="18">
        <f>IFERROR(CR223/'McDonough &amp; Sun 1995 values'!C$2,)</f>
        <v>0</v>
      </c>
      <c r="EM223" s="18">
        <f>IFERROR(CH223/'McDonough &amp; Sun 1995 values'!D$2,)</f>
        <v>2320</v>
      </c>
      <c r="EN223" s="18">
        <f>IFERROR(CS223/'McDonough &amp; Sun 1995 values'!E$2,)</f>
        <v>3115.3030303030305</v>
      </c>
      <c r="EO223" s="18">
        <f>IFERROR(DL223/'McDonough &amp; Sun 1995 values'!F$2,)</f>
        <v>1861.6352201257862</v>
      </c>
      <c r="EP223" s="18">
        <f>IFERROR(DM223/'McDonough &amp; Sun 1995 values'!G$2,)</f>
        <v>1256.1576354679803</v>
      </c>
      <c r="EQ223" s="18">
        <f>IFERROR(BR223/'McDonough &amp; Sun 1995 values'!H$2,)</f>
        <v>1256.8208333333334</v>
      </c>
      <c r="ER223" s="18">
        <f>IFERROR(DI223/'McDonough &amp; Sun 1995 values'!I$2,)</f>
        <v>217.02702702702703</v>
      </c>
      <c r="ES223" s="18">
        <f>IFERROR(CM223/'McDonough &amp; Sun 1995 values'!J$2,)</f>
        <v>250.75987841945289</v>
      </c>
      <c r="ET223" s="18">
        <f>IFERROR(CU223/'McDonough &amp; Sun 1995 values'!K$2,)</f>
        <v>1765.4320987654321</v>
      </c>
      <c r="EU223" s="18">
        <f>IFERROR(CV223/'McDonough &amp; Sun 1995 values'!L$2,)</f>
        <v>948.05970149253733</v>
      </c>
      <c r="EV223" s="18">
        <f>IFERROR(CW223/'McDonough &amp; Sun 1995 values'!M$2,)</f>
        <v>425.1968503937008</v>
      </c>
      <c r="EW223" s="18">
        <f>IFERROR(CI223/'McDonough &amp; Sun 1995 values'!N$2,)</f>
        <v>170.80402010050253</v>
      </c>
      <c r="EX223" s="18">
        <f>IFERROR(CX223/'McDonough &amp; Sun 1995 values'!O$2,)</f>
        <v>518.4</v>
      </c>
      <c r="EY223" s="18">
        <f>IFERROR(CY223/'McDonough &amp; Sun 1995 values'!P$2,)</f>
        <v>443.34975369458124</v>
      </c>
      <c r="EZ223" s="18">
        <f>IFERROR(DH223/'McDonough &amp; Sun 1995 values'!Q$2,)</f>
        <v>1127.208480565371</v>
      </c>
      <c r="FA223" s="18">
        <f>IFERROR(CK223/'McDonough &amp; Sun 1995 values'!R$2,)</f>
        <v>397.71428571428572</v>
      </c>
      <c r="FB223" s="18">
        <f>IFERROR(CZ223/'McDonough &amp; Sun 1995 values'!S$2,)</f>
        <v>1162.3376623376623</v>
      </c>
      <c r="FC223" s="18">
        <f>IFERROR(BT223/'McDonough &amp; Sun 1995 values'!T$2,)</f>
        <v>25.268049792531119</v>
      </c>
      <c r="FD223" s="18">
        <f>IFERROR(DA223/'McDonough &amp; Sun 1995 values'!U$2,)</f>
        <v>369.48529411764702</v>
      </c>
      <c r="FE223" s="18">
        <f>IFERROR(DN223/'McDonough &amp; Sun 1995 values'!V$2,)</f>
        <v>235.35353535353536</v>
      </c>
      <c r="FF223" s="18">
        <f>IFERROR(DB223/'McDonough &amp; Sun 1995 values'!W$2,)</f>
        <v>136.94362017804153</v>
      </c>
      <c r="FG223" s="18">
        <f>IFERROR(CJ223/'McDonough &amp; Sun 1995 values'!X$2,)</f>
        <v>143.25581395348837</v>
      </c>
      <c r="FH223" s="18">
        <f>IFERROR(DC223/'McDonough &amp; Sun 1995 values'!Y$2,)</f>
        <v>146.97986577181209</v>
      </c>
      <c r="FI223" s="18">
        <f>IFERROR(DD223/'McDonough &amp; Sun 1995 values'!Z$2,)</f>
        <v>110.50228310502283</v>
      </c>
      <c r="FJ223" s="18">
        <f>IFERROR(DE223/'McDonough &amp; Sun 1995 values'!AA$2,)</f>
        <v>0</v>
      </c>
      <c r="FK223" s="18">
        <f>IFERROR(DF223/'McDonough &amp; Sun 1995 values'!AB$2,)</f>
        <v>26.303854875283445</v>
      </c>
      <c r="FL223" s="18">
        <f>IFERROR(DG223/'McDonough &amp; Sun 1995 values'!AC$2,)</f>
        <v>78.962962962962962</v>
      </c>
      <c r="FN223" s="28">
        <f t="shared" si="458"/>
        <v>0.99947232107571438</v>
      </c>
      <c r="FO223" s="4">
        <f t="shared" si="466"/>
        <v>2.4800255496137851</v>
      </c>
      <c r="FP223" s="4">
        <f t="shared" si="467"/>
        <v>7.4239756051076808</v>
      </c>
      <c r="FQ223" s="4">
        <f t="shared" si="468"/>
        <v>1.4820076458256259</v>
      </c>
      <c r="FR223" s="4">
        <f t="shared" si="469"/>
        <v>7.0403292181069963</v>
      </c>
      <c r="FS223" s="4">
        <f t="shared" si="470"/>
        <v>8.1346186369017417</v>
      </c>
      <c r="FT223" s="4">
        <f t="shared" si="471"/>
        <v>0</v>
      </c>
      <c r="FU223" s="4">
        <f t="shared" si="472"/>
        <v>0.8654774774774775</v>
      </c>
      <c r="FV223" s="4">
        <f t="shared" si="473"/>
        <v>0.89706666666666679</v>
      </c>
      <c r="FW223" s="4">
        <f t="shared" si="474"/>
        <v>0.35283116883116883</v>
      </c>
      <c r="FX223" s="4">
        <f t="shared" si="475"/>
        <v>2.8599595095367296</v>
      </c>
      <c r="FY223" s="4">
        <f t="shared" si="476"/>
        <v>0.3638065989555947</v>
      </c>
      <c r="FZ223" s="4">
        <f t="shared" si="477"/>
        <v>2.8718416882220543</v>
      </c>
      <c r="GA223" s="4">
        <f t="shared" si="478"/>
        <v>0.40170575097710776</v>
      </c>
      <c r="GB223" s="4">
        <f t="shared" si="479"/>
        <v>2.6217171717171719</v>
      </c>
      <c r="GC223" s="4">
        <f t="shared" si="480"/>
        <v>0</v>
      </c>
      <c r="GD223" s="4">
        <f t="shared" si="481"/>
        <v>1.6734229115479116</v>
      </c>
      <c r="GE223" s="4">
        <f t="shared" si="482"/>
        <v>1.3428030303030303</v>
      </c>
      <c r="GF223" s="4">
        <f t="shared" si="483"/>
        <v>2.4787168923995639</v>
      </c>
      <c r="GG223" s="4">
        <f t="shared" si="484"/>
        <v>12.423450872359965</v>
      </c>
      <c r="GH223" s="4">
        <f t="shared" si="485"/>
        <v>4.1520347508001825</v>
      </c>
      <c r="GI223" s="4">
        <f t="shared" si="486"/>
        <v>3.9820301783264749</v>
      </c>
      <c r="GJ223" s="4">
        <f t="shared" si="487"/>
        <v>12.891671013736742</v>
      </c>
      <c r="GK223" s="4">
        <f t="shared" si="488"/>
        <v>67.116858237547902</v>
      </c>
      <c r="GL223" s="4">
        <f t="shared" si="489"/>
        <v>15.739809323624353</v>
      </c>
      <c r="GM223" s="4">
        <f t="shared" si="490"/>
        <v>0.8024289741921492</v>
      </c>
      <c r="GN223" s="4">
        <f t="shared" si="491"/>
        <v>0.14203881225157822</v>
      </c>
      <c r="GO223" s="4">
        <f t="shared" si="492"/>
        <v>0.19962453066332916</v>
      </c>
      <c r="GP223" s="4">
        <f t="shared" si="493"/>
        <v>1.0005279575163399</v>
      </c>
      <c r="GQ223" s="27">
        <f t="shared" si="494"/>
        <v>81357.636838912978</v>
      </c>
      <c r="GR223" s="28">
        <f t="shared" si="495"/>
        <v>0</v>
      </c>
      <c r="GS223" s="28">
        <f t="shared" si="496"/>
        <v>375.45072547388702</v>
      </c>
      <c r="GT223" s="28">
        <f t="shared" si="497"/>
        <v>5545.7200908538725</v>
      </c>
      <c r="GU223" s="28">
        <f t="shared" si="498"/>
        <v>39.918611616476497</v>
      </c>
      <c r="GV223" s="28">
        <f t="shared" si="499"/>
        <v>6.8778688933793966</v>
      </c>
      <c r="GW223" s="28">
        <f t="shared" si="500"/>
        <v>81357.636838912978</v>
      </c>
      <c r="GX223" s="28">
        <f t="shared" si="501"/>
        <v>2.1658544005426097</v>
      </c>
      <c r="GY223" s="28">
        <f t="shared" si="502"/>
        <v>44.503857545396095</v>
      </c>
      <c r="GZ223" s="28">
        <f t="shared" si="503"/>
        <v>308.56007898141291</v>
      </c>
      <c r="HA223" s="28">
        <f t="shared" si="504"/>
        <v>428.31591383084242</v>
      </c>
      <c r="HB223" s="28">
        <f t="shared" si="505"/>
        <v>29.129797666077444</v>
      </c>
      <c r="HC223" s="28">
        <f t="shared" si="506"/>
        <v>916.77946543515952</v>
      </c>
      <c r="HD223" s="28">
        <f t="shared" si="507"/>
        <v>174.77878599646465</v>
      </c>
      <c r="HE223" s="28">
        <f t="shared" si="508"/>
        <v>48.549662776795735</v>
      </c>
      <c r="HF223" s="28">
        <f t="shared" si="509"/>
        <v>86.040791254432449</v>
      </c>
      <c r="HG223" s="28">
        <f t="shared" si="510"/>
        <v>1126.3521764216612</v>
      </c>
      <c r="HH223" s="28">
        <f t="shared" si="511"/>
        <v>48.27994242803576</v>
      </c>
      <c r="HI223" s="28">
        <f t="shared" si="512"/>
        <v>8212.4451790437597</v>
      </c>
      <c r="HJ223" s="28">
        <f t="shared" si="513"/>
        <v>54.21379010075524</v>
      </c>
      <c r="HK223" s="28">
        <f t="shared" si="514"/>
        <v>6.2844841261074489</v>
      </c>
      <c r="HL223" s="28">
        <f t="shared" si="515"/>
        <v>24.895188190545813</v>
      </c>
      <c r="HM223" s="28">
        <f t="shared" si="516"/>
        <v>166.14773483614542</v>
      </c>
      <c r="HN223" s="28">
        <f t="shared" si="517"/>
        <v>5.9068756378434815</v>
      </c>
      <c r="HO223" s="28">
        <f t="shared" si="518"/>
        <v>13.054464879982854</v>
      </c>
      <c r="HP223" s="28">
        <f t="shared" si="519"/>
        <v>0</v>
      </c>
      <c r="HQ223" s="28">
        <f t="shared" si="520"/>
        <v>3.1287560456157251</v>
      </c>
      <c r="HR223" s="28">
        <f t="shared" si="521"/>
        <v>1.4376094588906738</v>
      </c>
      <c r="HT223" s="4">
        <f>IFERROR(GR223/'McDonough &amp; Sun 1995 values'!C$2,)</f>
        <v>0</v>
      </c>
      <c r="HU223" s="4">
        <f>IFERROR(GS223/'McDonough &amp; Sun 1995 values'!D$2,)</f>
        <v>625.75120912314503</v>
      </c>
      <c r="HV223" s="4">
        <f>IFERROR(GT223/'McDonough &amp; Sun 1995 values'!E$2,)</f>
        <v>840.2606198263444</v>
      </c>
      <c r="HW223" s="4">
        <f>IFERROR(GU223/'McDonough &amp; Sun 1995 values'!F$2,)</f>
        <v>502.12090083618233</v>
      </c>
      <c r="HX223" s="4">
        <f>IFERROR(GV223/'McDonough &amp; Sun 1995 values'!G$2,)</f>
        <v>338.81127553593086</v>
      </c>
      <c r="HY223" s="4">
        <f>IFERROR(GW223/'McDonough &amp; Sun 1995 values'!H$2,)</f>
        <v>338.99015349547074</v>
      </c>
      <c r="HZ223" s="4">
        <f>IFERROR(GX223/'McDonough &amp; Sun 1995 values'!I$2,)</f>
        <v>58.536605420070536</v>
      </c>
      <c r="IA223" s="4">
        <f>IFERROR(GY223/'McDonough &amp; Sun 1995 values'!J$2,)</f>
        <v>67.635041862304092</v>
      </c>
      <c r="IB223" s="4">
        <f>IFERROR(GZ223/'McDonough &amp; Sun 1995 values'!K$2,)</f>
        <v>476.17296139106929</v>
      </c>
      <c r="IC223" s="4">
        <f>IFERROR(HA223/'McDonough &amp; Sun 1995 values'!L$2,)</f>
        <v>255.71099333184623</v>
      </c>
      <c r="ID223" s="4">
        <f>IFERROR(HB223/'McDonough &amp; Sun 1995 values'!M$2,)</f>
        <v>114.68424277983246</v>
      </c>
      <c r="IE223" s="4">
        <f>IFERROR(HC223/'McDonough &amp; Sun 1995 values'!N$2,)</f>
        <v>46.069319871113549</v>
      </c>
      <c r="IF223" s="4">
        <f>IFERROR(HD223/'McDonough &amp; Sun 1995 values'!O$2,)</f>
        <v>139.82302879717173</v>
      </c>
      <c r="IG223" s="4">
        <f>IFERROR(HE223/'McDonough &amp; Sun 1995 values'!P$2,)</f>
        <v>119.58045018915205</v>
      </c>
      <c r="IH223" s="4">
        <f>IFERROR(HF223/'McDonough &amp; Sun 1995 values'!Q$2,)</f>
        <v>304.03106450329489</v>
      </c>
      <c r="II223" s="4">
        <f>IFERROR(HG223/'McDonough &amp; Sun 1995 values'!R$2,)</f>
        <v>107.27163584968201</v>
      </c>
      <c r="IJ223" s="4">
        <f>IFERROR(HH223/'McDonough &amp; Sun 1995 values'!S$2,)</f>
        <v>313.50611966256986</v>
      </c>
      <c r="IK223" s="4">
        <f>IFERROR(HI223/'McDonough &amp; Sun 1995 values'!T$2,)</f>
        <v>6.8153072025259416</v>
      </c>
      <c r="IL223" s="4">
        <f>IFERROR(HJ223/'McDonough &amp; Sun 1995 values'!U$2,)</f>
        <v>99.65770239109419</v>
      </c>
      <c r="IM223" s="4">
        <f>IFERROR(HK223/'McDonough &amp; Sun 1995 values'!V$2,)</f>
        <v>63.479637637448974</v>
      </c>
      <c r="IN223" s="4">
        <f>IFERROR(HL223/'McDonough &amp; Sun 1995 values'!W$2,)</f>
        <v>36.93648099487509</v>
      </c>
      <c r="IO223" s="4">
        <f>IFERROR(HM223/'McDonough &amp; Sun 1995 values'!X$2,)</f>
        <v>38.63900810142917</v>
      </c>
      <c r="IP223" s="4">
        <f>IFERROR(HN223/'McDonough &amp; Sun 1995 values'!Y$2,)</f>
        <v>39.643460656667663</v>
      </c>
      <c r="IQ223" s="4">
        <f>IFERROR(HO223/'McDonough &amp; Sun 1995 values'!Z$2,)</f>
        <v>29.804714337860396</v>
      </c>
      <c r="IR223" s="4">
        <f>IFERROR(HP223/'McDonough &amp; Sun 1995 values'!AA$2,)</f>
        <v>0</v>
      </c>
      <c r="IS223" s="4">
        <f>IFERROR(HQ223/'McDonough &amp; Sun 1995 values'!AB$2,)</f>
        <v>7.0946849106932541</v>
      </c>
      <c r="IT223" s="4">
        <f>IFERROR(HR223/'McDonough &amp; Sun 1995 values'!AC$2,)</f>
        <v>21.297917909491463</v>
      </c>
    </row>
    <row r="224" spans="1:254">
      <c r="A224" s="16" t="s">
        <v>836</v>
      </c>
      <c r="B224" s="16" t="s">
        <v>24</v>
      </c>
      <c r="C224" s="16" t="str">
        <f t="shared" si="461"/>
        <v>silicic</v>
      </c>
      <c r="D224" s="16" t="s">
        <v>1705</v>
      </c>
      <c r="E224" s="16" t="s">
        <v>237</v>
      </c>
      <c r="F224" s="16" t="s">
        <v>163</v>
      </c>
      <c r="G224" s="16" t="s">
        <v>595</v>
      </c>
      <c r="H224" s="27">
        <v>355</v>
      </c>
      <c r="I224" s="16" t="s">
        <v>1148</v>
      </c>
      <c r="J224" s="3" t="s">
        <v>635</v>
      </c>
      <c r="K224" s="16" t="s">
        <v>128</v>
      </c>
      <c r="L224" s="16" t="s">
        <v>1509</v>
      </c>
      <c r="M224" s="16" t="s">
        <v>386</v>
      </c>
      <c r="N224" s="16">
        <v>18</v>
      </c>
      <c r="O224" s="26">
        <v>63.6</v>
      </c>
      <c r="P224" s="26">
        <v>2.81</v>
      </c>
      <c r="Q224" s="26"/>
      <c r="R224" s="26">
        <v>9.8000000000000007</v>
      </c>
      <c r="S224" s="26">
        <v>7.39</v>
      </c>
      <c r="T224" s="26">
        <v>3.83</v>
      </c>
      <c r="U224" s="26"/>
      <c r="V224" s="26">
        <v>0.79</v>
      </c>
      <c r="W224" s="26">
        <v>0.51</v>
      </c>
      <c r="X224" s="26">
        <v>10.1</v>
      </c>
      <c r="Y224" s="26"/>
      <c r="Z224" s="26">
        <v>0.61</v>
      </c>
      <c r="AA224" s="26"/>
      <c r="AB224" s="26">
        <v>0.23</v>
      </c>
      <c r="AC224" s="26"/>
      <c r="AD224" s="26">
        <v>0.35</v>
      </c>
      <c r="AE224" s="26"/>
      <c r="AF224" s="26"/>
      <c r="AG224" s="26"/>
      <c r="AH224" s="26"/>
      <c r="AI224" s="26"/>
      <c r="AJ224" s="26">
        <f t="shared" si="462"/>
        <v>100.02</v>
      </c>
      <c r="AK224" s="26">
        <f t="shared" si="522"/>
        <v>63.637536273158581</v>
      </c>
      <c r="AL224" s="26">
        <f t="shared" si="523"/>
        <v>2.8116584422574786</v>
      </c>
      <c r="AM224" s="26">
        <f t="shared" si="524"/>
        <v>9.8057838911470778</v>
      </c>
      <c r="AN224" s="26">
        <f t="shared" si="525"/>
        <v>7.3943615260792752</v>
      </c>
      <c r="AO224" s="26">
        <f t="shared" si="526"/>
        <v>3.8322604390911534</v>
      </c>
      <c r="AP224" s="26">
        <f t="shared" si="527"/>
        <v>0.79046625244961133</v>
      </c>
      <c r="AQ224" s="26">
        <f t="shared" si="528"/>
        <v>0.23013574438406403</v>
      </c>
      <c r="AR224" s="26">
        <f t="shared" si="529"/>
        <v>0.51030099841683763</v>
      </c>
      <c r="AS224" s="26">
        <f t="shared" si="530"/>
        <v>10.105960949039334</v>
      </c>
      <c r="AT224" s="26">
        <f t="shared" si="531"/>
        <v>0.61036001771425674</v>
      </c>
      <c r="AU224" s="26">
        <f t="shared" si="532"/>
        <v>0.35020656754096702</v>
      </c>
      <c r="AV224" s="26">
        <f t="shared" si="463"/>
        <v>100.07903110127862</v>
      </c>
      <c r="AW224" s="16"/>
      <c r="AX224" s="16"/>
      <c r="AY224" s="16"/>
      <c r="AZ224" s="16"/>
      <c r="BA224" s="26"/>
      <c r="BB224" s="26"/>
      <c r="BC224" s="26"/>
      <c r="BD224" s="26"/>
      <c r="BE224" s="25">
        <v>-5.3000000000000007</v>
      </c>
      <c r="BF224" s="16"/>
      <c r="BG224" s="16" t="s">
        <v>1111</v>
      </c>
      <c r="BH224" s="16"/>
      <c r="BI224" s="16" t="s">
        <v>1112</v>
      </c>
      <c r="BJ224" s="16"/>
      <c r="BK224" s="18"/>
      <c r="BL224" s="18"/>
      <c r="BM224" s="18"/>
      <c r="BN224" s="18"/>
      <c r="BO224" s="18"/>
      <c r="BP224" s="18"/>
      <c r="BQ224" s="18"/>
      <c r="BR224" s="18">
        <v>130591</v>
      </c>
      <c r="BS224" s="18"/>
      <c r="BT224" s="18">
        <v>24112</v>
      </c>
      <c r="BU224" s="18"/>
      <c r="BV224" s="18"/>
      <c r="BW224" s="18"/>
      <c r="BX224" s="18"/>
      <c r="BY224" s="18"/>
      <c r="BZ224" s="18"/>
      <c r="CA224" s="18"/>
      <c r="CB224" s="18"/>
      <c r="CC224" s="18"/>
      <c r="CD224" s="18"/>
      <c r="CE224" s="18"/>
      <c r="CF224" s="18"/>
      <c r="CG224" s="18"/>
      <c r="CH224" s="18" t="s">
        <v>1366</v>
      </c>
      <c r="CI224" s="18">
        <v>1198</v>
      </c>
      <c r="CJ224" s="18">
        <v>47.3</v>
      </c>
      <c r="CK224" s="18">
        <v>275</v>
      </c>
      <c r="CL224" s="18"/>
      <c r="CM224" s="18">
        <v>366</v>
      </c>
      <c r="CN224" s="18"/>
      <c r="CO224" s="18"/>
      <c r="CP224" s="18"/>
      <c r="CQ224" s="18"/>
      <c r="CR224" s="18"/>
      <c r="CS224" s="18">
        <v>11607</v>
      </c>
      <c r="CT224" s="18"/>
      <c r="CU224" s="18">
        <v>505</v>
      </c>
      <c r="CV224" s="18">
        <v>487</v>
      </c>
      <c r="CW224" s="18">
        <v>38.700000000000003</v>
      </c>
      <c r="CX224" s="18">
        <v>140</v>
      </c>
      <c r="CY224" s="18">
        <v>31.3</v>
      </c>
      <c r="CZ224" s="18">
        <v>13.9</v>
      </c>
      <c r="DA224" s="18">
        <v>27.4</v>
      </c>
      <c r="DB224" s="18" t="s">
        <v>1366</v>
      </c>
      <c r="DC224" s="18">
        <v>2.46</v>
      </c>
      <c r="DD224" s="18">
        <v>7.1</v>
      </c>
      <c r="DE224" s="18"/>
      <c r="DF224" s="18" t="s">
        <v>1366</v>
      </c>
      <c r="DG224" s="18">
        <v>1.4</v>
      </c>
      <c r="DH224" s="18">
        <v>10.6</v>
      </c>
      <c r="DI224" s="18">
        <v>14.4</v>
      </c>
      <c r="DJ224" s="18"/>
      <c r="DK224" s="18"/>
      <c r="DL224" s="18">
        <v>79.099999999999994</v>
      </c>
      <c r="DM224" s="18">
        <v>20.3</v>
      </c>
      <c r="DN224" s="18">
        <v>3.45</v>
      </c>
      <c r="DO224" s="18"/>
      <c r="DP224" s="18"/>
      <c r="DQ224" s="18"/>
      <c r="DR224" s="18"/>
      <c r="DS224" s="18"/>
      <c r="DT224" s="18"/>
      <c r="DU224" s="18"/>
      <c r="DV224" s="28"/>
      <c r="DW224" s="28"/>
      <c r="DX224" s="28"/>
      <c r="DY224" s="28"/>
      <c r="DZ224" s="28"/>
      <c r="EA224" s="28"/>
      <c r="EB224" s="28"/>
      <c r="EC224" s="28"/>
      <c r="ED224" s="28"/>
      <c r="EE224" s="28"/>
      <c r="EF224" s="28"/>
      <c r="EG224" s="28"/>
      <c r="EH224" s="28"/>
      <c r="EI224" s="28"/>
      <c r="EJ224" s="18"/>
      <c r="EK224" s="18"/>
      <c r="EL224" s="18">
        <f>IFERROR(CR224/'McDonough &amp; Sun 1995 values'!C$2,)</f>
        <v>0</v>
      </c>
      <c r="EM224" s="18">
        <f>IFERROR(CH224/'McDonough &amp; Sun 1995 values'!D$2,)</f>
        <v>0</v>
      </c>
      <c r="EN224" s="18">
        <f>IFERROR(CS224/'McDonough &amp; Sun 1995 values'!E$2,)</f>
        <v>1758.6363636363637</v>
      </c>
      <c r="EO224" s="18">
        <f>IFERROR(DL224/'McDonough &amp; Sun 1995 values'!F$2,)</f>
        <v>994.96855345911945</v>
      </c>
      <c r="EP224" s="18">
        <f>IFERROR(DM224/'McDonough &amp; Sun 1995 values'!G$2,)</f>
        <v>1000.0000000000001</v>
      </c>
      <c r="EQ224" s="18">
        <f>IFERROR(BR224/'McDonough &amp; Sun 1995 values'!H$2,)</f>
        <v>544.12916666666672</v>
      </c>
      <c r="ER224" s="18">
        <f>IFERROR(DI224/'McDonough &amp; Sun 1995 values'!I$2,)</f>
        <v>389.18918918918922</v>
      </c>
      <c r="ES224" s="18">
        <f>IFERROR(CM224/'McDonough &amp; Sun 1995 values'!J$2,)</f>
        <v>556.23100303951367</v>
      </c>
      <c r="ET224" s="18">
        <f>IFERROR(CU224/'McDonough &amp; Sun 1995 values'!K$2,)</f>
        <v>779.32098765432102</v>
      </c>
      <c r="EU224" s="18">
        <f>IFERROR(CV224/'McDonough &amp; Sun 1995 values'!L$2,)</f>
        <v>290.74626865671644</v>
      </c>
      <c r="EV224" s="18">
        <f>IFERROR(CW224/'McDonough &amp; Sun 1995 values'!M$2,)</f>
        <v>152.36220472440945</v>
      </c>
      <c r="EW224" s="18">
        <f>IFERROR(CI224/'McDonough &amp; Sun 1995 values'!N$2,)</f>
        <v>60.201005025125632</v>
      </c>
      <c r="EX224" s="18">
        <f>IFERROR(CX224/'McDonough &amp; Sun 1995 values'!O$2,)</f>
        <v>112</v>
      </c>
      <c r="EY224" s="18">
        <f>IFERROR(CY224/'McDonough &amp; Sun 1995 values'!P$2,)</f>
        <v>77.093596059113295</v>
      </c>
      <c r="EZ224" s="18">
        <f>IFERROR(DH224/'McDonough &amp; Sun 1995 values'!Q$2,)</f>
        <v>37.455830388692583</v>
      </c>
      <c r="FA224" s="18">
        <f>IFERROR(CK224/'McDonough &amp; Sun 1995 values'!R$2,)</f>
        <v>26.19047619047619</v>
      </c>
      <c r="FB224" s="18">
        <f>IFERROR(CZ224/'McDonough &amp; Sun 1995 values'!S$2,)</f>
        <v>90.259740259740269</v>
      </c>
      <c r="FC224" s="18">
        <f>IFERROR(BT224/'McDonough &amp; Sun 1995 values'!T$2,)</f>
        <v>20.009958506224066</v>
      </c>
      <c r="FD224" s="18">
        <f>IFERROR(DA224/'McDonough &amp; Sun 1995 values'!U$2,)</f>
        <v>50.367647058823522</v>
      </c>
      <c r="FE224" s="18">
        <f>IFERROR(DN224/'McDonough &amp; Sun 1995 values'!V$2,)</f>
        <v>34.848484848484851</v>
      </c>
      <c r="FF224" s="18">
        <f>IFERROR(DB224/'McDonough &amp; Sun 1995 values'!W$2,)</f>
        <v>0</v>
      </c>
      <c r="FG224" s="18">
        <f>IFERROR(CJ224/'McDonough &amp; Sun 1995 values'!X$2,)</f>
        <v>11</v>
      </c>
      <c r="FH224" s="18">
        <f>IFERROR(DC224/'McDonough &amp; Sun 1995 values'!Y$2,)</f>
        <v>16.51006711409396</v>
      </c>
      <c r="FI224" s="18">
        <f>IFERROR(DD224/'McDonough &amp; Sun 1995 values'!Z$2,)</f>
        <v>16.210045662100455</v>
      </c>
      <c r="FJ224" s="18">
        <f>IFERROR(DE224/'McDonough &amp; Sun 1995 values'!AA$2,)</f>
        <v>0</v>
      </c>
      <c r="FK224" s="18">
        <f>IFERROR(DF224/'McDonough &amp; Sun 1995 values'!AB$2,)</f>
        <v>0</v>
      </c>
      <c r="FL224" s="18">
        <f>IFERROR(DG224/'McDonough &amp; Sun 1995 values'!AC$2,)</f>
        <v>20.740740740740737</v>
      </c>
      <c r="FN224" s="28">
        <f t="shared" si="458"/>
        <v>1.8377989294821235</v>
      </c>
      <c r="FO224" s="4">
        <f t="shared" si="466"/>
        <v>1.7586363636363636</v>
      </c>
      <c r="FP224" s="4">
        <f t="shared" si="467"/>
        <v>1.7887686015740454</v>
      </c>
      <c r="FQ224" s="4">
        <f t="shared" si="468"/>
        <v>0.99496855345911939</v>
      </c>
      <c r="FR224" s="4">
        <f t="shared" si="469"/>
        <v>1.4010743439249815</v>
      </c>
      <c r="FS224" s="4">
        <f t="shared" si="470"/>
        <v>2.0024219821673523</v>
      </c>
      <c r="FT224" s="4">
        <f t="shared" si="471"/>
        <v>0</v>
      </c>
      <c r="FU224" s="4">
        <f t="shared" si="472"/>
        <v>0.69968985378821447</v>
      </c>
      <c r="FV224" s="4">
        <f t="shared" si="473"/>
        <v>0.33972310969116082</v>
      </c>
      <c r="FW224" s="4">
        <f t="shared" si="474"/>
        <v>0.69923629829290201</v>
      </c>
      <c r="FX224" s="4">
        <f t="shared" si="475"/>
        <v>1.416269574214416</v>
      </c>
      <c r="FY224" s="4">
        <f t="shared" si="476"/>
        <v>0.46084630115909814</v>
      </c>
      <c r="FZ224" s="4">
        <f t="shared" si="477"/>
        <v>1.448468636337729</v>
      </c>
      <c r="GA224" s="4">
        <f t="shared" si="478"/>
        <v>0.39511770740004937</v>
      </c>
      <c r="GB224" s="4">
        <f t="shared" si="479"/>
        <v>1.1707812953819345</v>
      </c>
      <c r="GC224" s="4">
        <f t="shared" si="480"/>
        <v>0</v>
      </c>
      <c r="GD224" s="4">
        <f t="shared" si="481"/>
        <v>1.767529594299506</v>
      </c>
      <c r="GE224" s="4">
        <f t="shared" si="482"/>
        <v>0</v>
      </c>
      <c r="GF224" s="4">
        <f t="shared" si="483"/>
        <v>3.2320200264392436</v>
      </c>
      <c r="GG224" s="4">
        <f t="shared" si="484"/>
        <v>3.1617014406358672</v>
      </c>
      <c r="GH224" s="4">
        <f t="shared" si="485"/>
        <v>5.114923278144639</v>
      </c>
      <c r="GI224" s="4">
        <f t="shared" si="486"/>
        <v>10.108764248806848</v>
      </c>
      <c r="GJ224" s="4">
        <f t="shared" si="487"/>
        <v>0</v>
      </c>
      <c r="GK224" s="4">
        <f t="shared" si="488"/>
        <v>0</v>
      </c>
      <c r="GL224" s="4">
        <f t="shared" si="489"/>
        <v>1.3088720889815779</v>
      </c>
      <c r="GM224" s="4">
        <f t="shared" si="490"/>
        <v>0</v>
      </c>
      <c r="GN224" s="4">
        <f t="shared" si="491"/>
        <v>0.71373799993981157</v>
      </c>
      <c r="GO224" s="4">
        <f t="shared" si="492"/>
        <v>0.55623100303951356</v>
      </c>
      <c r="GP224" s="4">
        <f t="shared" si="493"/>
        <v>0.54412916666666666</v>
      </c>
      <c r="GQ224" s="27">
        <f t="shared" si="494"/>
        <v>83893.351837420385</v>
      </c>
      <c r="GR224" s="28">
        <f t="shared" si="495"/>
        <v>0</v>
      </c>
      <c r="GS224" s="28" t="str">
        <f t="shared" si="496"/>
        <v/>
      </c>
      <c r="GT224" s="28">
        <f t="shared" si="497"/>
        <v>7456.4873136505457</v>
      </c>
      <c r="GU224" s="28">
        <f t="shared" si="498"/>
        <v>50.814865728418894</v>
      </c>
      <c r="GV224" s="28">
        <f t="shared" si="499"/>
        <v>13.040983240036708</v>
      </c>
      <c r="GW224" s="28">
        <f t="shared" si="500"/>
        <v>83893.351837420385</v>
      </c>
      <c r="GX224" s="28">
        <f t="shared" si="501"/>
        <v>9.2507467318487002</v>
      </c>
      <c r="GY224" s="28">
        <f t="shared" si="502"/>
        <v>235.12314610115445</v>
      </c>
      <c r="GZ224" s="28">
        <f t="shared" si="503"/>
        <v>324.41854858219398</v>
      </c>
      <c r="HA224" s="28">
        <f t="shared" si="504"/>
        <v>312.85511516738313</v>
      </c>
      <c r="HB224" s="28">
        <f t="shared" si="505"/>
        <v>24.861381841843379</v>
      </c>
      <c r="HC224" s="28">
        <f t="shared" si="506"/>
        <v>769.61073505241268</v>
      </c>
      <c r="HD224" s="28">
        <f t="shared" si="507"/>
        <v>89.937815448529022</v>
      </c>
      <c r="HE224" s="28">
        <f t="shared" si="508"/>
        <v>20.107525882421132</v>
      </c>
      <c r="HF224" s="28">
        <f t="shared" si="509"/>
        <v>6.8095774553886264</v>
      </c>
      <c r="HG224" s="28">
        <f t="shared" si="510"/>
        <v>176.66356605961056</v>
      </c>
      <c r="HH224" s="28">
        <f t="shared" si="511"/>
        <v>8.9295402481039527</v>
      </c>
      <c r="HI224" s="28">
        <f t="shared" si="512"/>
        <v>15489.861472106655</v>
      </c>
      <c r="HJ224" s="28">
        <f t="shared" si="513"/>
        <v>17.60211530921211</v>
      </c>
      <c r="HK224" s="28">
        <f t="shared" si="514"/>
        <v>2.2163247378387512</v>
      </c>
      <c r="HL224" s="28" t="str">
        <f t="shared" si="515"/>
        <v/>
      </c>
      <c r="HM224" s="28">
        <f t="shared" si="516"/>
        <v>30.386133362253016</v>
      </c>
      <c r="HN224" s="28">
        <f t="shared" si="517"/>
        <v>1.5803359000241528</v>
      </c>
      <c r="HO224" s="28">
        <f t="shared" si="518"/>
        <v>4.5611320691754003</v>
      </c>
      <c r="HP224" s="28">
        <f t="shared" si="519"/>
        <v>0</v>
      </c>
      <c r="HQ224" s="28" t="str">
        <f t="shared" si="520"/>
        <v/>
      </c>
      <c r="HR224" s="28">
        <f t="shared" si="521"/>
        <v>0.89937815448529024</v>
      </c>
      <c r="HT224" s="4">
        <f>IFERROR(GR224/'McDonough &amp; Sun 1995 values'!C$2,)</f>
        <v>0</v>
      </c>
      <c r="HU224" s="4">
        <f>IFERROR(GS224/'McDonough &amp; Sun 1995 values'!D$2,)</f>
        <v>0</v>
      </c>
      <c r="HV224" s="4">
        <f>IFERROR(GT224/'McDonough &amp; Sun 1995 values'!E$2,)</f>
        <v>1129.7708050985675</v>
      </c>
      <c r="HW224" s="4">
        <f>IFERROR(GU224/'McDonough &amp; Sun 1995 values'!F$2,)</f>
        <v>639.18070098640112</v>
      </c>
      <c r="HX224" s="4">
        <f>IFERROR(GV224/'McDonough &amp; Sun 1995 values'!G$2,)</f>
        <v>642.41296748949298</v>
      </c>
      <c r="HY224" s="4">
        <f>IFERROR(GW224/'McDonough &amp; Sun 1995 values'!H$2,)</f>
        <v>349.55563265591826</v>
      </c>
      <c r="HZ224" s="4">
        <f>IFERROR(GX224/'McDonough &amp; Sun 1995 values'!I$2,)</f>
        <v>250.02018194185678</v>
      </c>
      <c r="IA224" s="4">
        <f>IFERROR(GY224/'McDonough &amp; Sun 1995 values'!J$2,)</f>
        <v>357.33000927227118</v>
      </c>
      <c r="IB224" s="4">
        <f>IFERROR(GZ224/'McDonough &amp; Sun 1995 values'!K$2,)</f>
        <v>500.6459083058549</v>
      </c>
      <c r="IC224" s="4">
        <f>IFERROR(HA224/'McDonough &amp; Sun 1995 values'!L$2,)</f>
        <v>186.77917323425859</v>
      </c>
      <c r="ID224" s="4">
        <f>IFERROR(HB224/'McDonough &amp; Sun 1995 values'!M$2,)</f>
        <v>97.879456070249518</v>
      </c>
      <c r="IE224" s="4">
        <f>IFERROR(HC224/'McDonough &amp; Sun 1995 values'!N$2,)</f>
        <v>38.673906284040839</v>
      </c>
      <c r="IF224" s="4">
        <f>IFERROR(HD224/'McDonough &amp; Sun 1995 values'!O$2,)</f>
        <v>71.950252358823221</v>
      </c>
      <c r="IG224" s="4">
        <f>IFERROR(HE224/'McDonough &amp; Sun 1995 values'!P$2,)</f>
        <v>49.525925818771256</v>
      </c>
      <c r="IH224" s="4">
        <f>IFERROR(HF224/'McDonough &amp; Sun 1995 values'!Q$2,)</f>
        <v>24.062111149783135</v>
      </c>
      <c r="II224" s="4">
        <f>IFERROR(HG224/'McDonough &amp; Sun 1995 values'!R$2,)</f>
        <v>16.825101529486719</v>
      </c>
      <c r="IJ224" s="4">
        <f>IFERROR(HH224/'McDonough &amp; Sun 1995 values'!S$2,)</f>
        <v>57.984027585090601</v>
      </c>
      <c r="IK224" s="4">
        <f>IFERROR(HI224/'McDonough &amp; Sun 1995 values'!T$2,)</f>
        <v>12.854656823325024</v>
      </c>
      <c r="IL224" s="4">
        <f>IFERROR(HJ224/'McDonough &amp; Sun 1995 values'!U$2,)</f>
        <v>32.356829612522255</v>
      </c>
      <c r="IM224" s="4">
        <f>IFERROR(HK224/'McDonough &amp; Sun 1995 values'!V$2,)</f>
        <v>22.387118564027787</v>
      </c>
      <c r="IN224" s="4">
        <f>IFERROR(HL224/'McDonough &amp; Sun 1995 values'!W$2,)</f>
        <v>0</v>
      </c>
      <c r="IO224" s="4">
        <f>IFERROR(HM224/'McDonough &amp; Sun 1995 values'!X$2,)</f>
        <v>7.0665426423844222</v>
      </c>
      <c r="IP224" s="4">
        <f>IFERROR(HN224/'McDonough &amp; Sun 1995 values'!Y$2,)</f>
        <v>10.60628120821579</v>
      </c>
      <c r="IQ224" s="4">
        <f>IFERROR(HO224/'McDonough &amp; Sun 1995 values'!Z$2,)</f>
        <v>10.413543536930138</v>
      </c>
      <c r="IR224" s="4">
        <f>IFERROR(HP224/'McDonough &amp; Sun 1995 values'!AA$2,)</f>
        <v>0</v>
      </c>
      <c r="IS224" s="4">
        <f>IFERROR(HQ224/'McDonough &amp; Sun 1995 values'!AB$2,)</f>
        <v>0</v>
      </c>
      <c r="IT224" s="4">
        <f>IFERROR(HR224/'McDonough &amp; Sun 1995 values'!AC$2,)</f>
        <v>13.324120807189484</v>
      </c>
    </row>
    <row r="225" spans="1:254">
      <c r="A225" s="16" t="s">
        <v>827</v>
      </c>
      <c r="B225" s="16" t="s">
        <v>24</v>
      </c>
      <c r="C225" s="16" t="str">
        <f t="shared" si="461"/>
        <v>silicic</v>
      </c>
      <c r="D225" s="16" t="s">
        <v>1718</v>
      </c>
      <c r="E225" s="16" t="s">
        <v>237</v>
      </c>
      <c r="F225" s="16" t="s">
        <v>163</v>
      </c>
      <c r="G225" s="16" t="s">
        <v>595</v>
      </c>
      <c r="H225" s="27">
        <v>355</v>
      </c>
      <c r="I225" s="16" t="s">
        <v>735</v>
      </c>
      <c r="J225" s="16">
        <v>0</v>
      </c>
      <c r="K225" s="16" t="s">
        <v>115</v>
      </c>
      <c r="L225" s="16">
        <v>0</v>
      </c>
      <c r="M225" s="16" t="s">
        <v>824</v>
      </c>
      <c r="N225" s="16">
        <v>31</v>
      </c>
      <c r="O225" s="26">
        <v>65.2</v>
      </c>
      <c r="P225" s="26">
        <v>1.7</v>
      </c>
      <c r="Q225" s="26"/>
      <c r="R225" s="26">
        <v>13.3</v>
      </c>
      <c r="S225" s="26">
        <v>1.2</v>
      </c>
      <c r="T225" s="26">
        <v>0.8</v>
      </c>
      <c r="U225" s="26"/>
      <c r="V225" s="26">
        <v>2.2000000000000002</v>
      </c>
      <c r="W225" s="26">
        <v>2.2999999999999998</v>
      </c>
      <c r="X225" s="26">
        <v>10.7</v>
      </c>
      <c r="Y225" s="26"/>
      <c r="Z225" s="26">
        <v>0.9</v>
      </c>
      <c r="AA225" s="26"/>
      <c r="AB225" s="26">
        <v>0.6</v>
      </c>
      <c r="AC225" s="26"/>
      <c r="AD225" s="26">
        <v>1</v>
      </c>
      <c r="AE225" s="26"/>
      <c r="AF225" s="26"/>
      <c r="AG225" s="26"/>
      <c r="AH225" s="26"/>
      <c r="AI225" s="26">
        <v>14.2</v>
      </c>
      <c r="AJ225" s="26">
        <f t="shared" si="462"/>
        <v>99.9</v>
      </c>
      <c r="AK225" s="26">
        <f t="shared" si="522"/>
        <v>65.413030589041043</v>
      </c>
      <c r="AL225" s="26">
        <f t="shared" si="523"/>
        <v>1.7055544785486161</v>
      </c>
      <c r="AM225" s="26">
        <f t="shared" si="524"/>
        <v>13.343455626292114</v>
      </c>
      <c r="AN225" s="26">
        <f t="shared" si="525"/>
        <v>1.2039208083872583</v>
      </c>
      <c r="AO225" s="26">
        <f t="shared" si="526"/>
        <v>0.80261387225817227</v>
      </c>
      <c r="AP225" s="26">
        <f t="shared" si="527"/>
        <v>2.2071881487099736</v>
      </c>
      <c r="AQ225" s="26">
        <f t="shared" si="528"/>
        <v>0.60196040419362917</v>
      </c>
      <c r="AR225" s="26">
        <f t="shared" si="529"/>
        <v>2.3075148827422449</v>
      </c>
      <c r="AS225" s="26">
        <f t="shared" si="530"/>
        <v>10.734960541453054</v>
      </c>
      <c r="AT225" s="26">
        <f t="shared" si="531"/>
        <v>0.90294060629044393</v>
      </c>
      <c r="AU225" s="26">
        <f t="shared" si="532"/>
        <v>1.0032673403227155</v>
      </c>
      <c r="AV225" s="26">
        <f t="shared" si="463"/>
        <v>100.22640729823927</v>
      </c>
      <c r="AW225" s="26"/>
      <c r="AX225" s="26"/>
      <c r="AY225" s="26"/>
      <c r="AZ225" s="26"/>
      <c r="BA225" s="26">
        <v>0.19</v>
      </c>
      <c r="BB225" s="26"/>
      <c r="BC225" s="26">
        <f>1-BA225</f>
        <v>0.81</v>
      </c>
      <c r="BD225" s="26">
        <f>1-BC225</f>
        <v>0.18999999999999995</v>
      </c>
      <c r="BE225" s="16"/>
      <c r="BF225" s="16"/>
      <c r="BG225" s="16"/>
      <c r="BH225" s="16"/>
      <c r="BI225" s="16"/>
      <c r="BJ225" s="16"/>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c r="DS225" s="18"/>
      <c r="DT225" s="18"/>
      <c r="DU225" s="18"/>
      <c r="DV225" s="28"/>
      <c r="DW225" s="28"/>
      <c r="DX225" s="28"/>
      <c r="DY225" s="28"/>
      <c r="DZ225" s="28"/>
      <c r="EA225" s="28"/>
      <c r="EB225" s="28"/>
      <c r="EC225" s="28"/>
      <c r="ED225" s="28"/>
      <c r="EE225" s="28"/>
      <c r="EF225" s="28"/>
      <c r="EG225" s="28"/>
      <c r="EH225" s="28"/>
      <c r="EI225" s="28"/>
      <c r="EJ225" s="18"/>
      <c r="EK225" s="18"/>
      <c r="EL225" s="18">
        <f>IFERROR(CR225/'McDonough &amp; Sun 1995 values'!C$2,)</f>
        <v>0</v>
      </c>
      <c r="EM225" s="18">
        <f>IFERROR(CH225/'McDonough &amp; Sun 1995 values'!D$2,)</f>
        <v>0</v>
      </c>
      <c r="EN225" s="18">
        <f>IFERROR(CS225/'McDonough &amp; Sun 1995 values'!E$2,)</f>
        <v>0</v>
      </c>
      <c r="EO225" s="18">
        <f>IFERROR(DL225/'McDonough &amp; Sun 1995 values'!F$2,)</f>
        <v>0</v>
      </c>
      <c r="EP225" s="18">
        <f>IFERROR(DM225/'McDonough &amp; Sun 1995 values'!G$2,)</f>
        <v>0</v>
      </c>
      <c r="EQ225" s="18">
        <f>IFERROR(BR225/'McDonough &amp; Sun 1995 values'!H$2,)</f>
        <v>0</v>
      </c>
      <c r="ER225" s="18">
        <f>IFERROR(DI225/'McDonough &amp; Sun 1995 values'!I$2,)</f>
        <v>0</v>
      </c>
      <c r="ES225" s="18">
        <f>IFERROR(CM225/'McDonough &amp; Sun 1995 values'!J$2,)</f>
        <v>0</v>
      </c>
      <c r="ET225" s="18">
        <f>IFERROR(CU225/'McDonough &amp; Sun 1995 values'!K$2,)</f>
        <v>0</v>
      </c>
      <c r="EU225" s="18">
        <f>IFERROR(CV225/'McDonough &amp; Sun 1995 values'!L$2,)</f>
        <v>0</v>
      </c>
      <c r="EV225" s="18">
        <f>IFERROR(CW225/'McDonough &amp; Sun 1995 values'!M$2,)</f>
        <v>0</v>
      </c>
      <c r="EW225" s="18">
        <f>IFERROR(CI225/'McDonough &amp; Sun 1995 values'!N$2,)</f>
        <v>0</v>
      </c>
      <c r="EX225" s="18">
        <f>IFERROR(CX225/'McDonough &amp; Sun 1995 values'!O$2,)</f>
        <v>0</v>
      </c>
      <c r="EY225" s="18">
        <f>IFERROR(CY225/'McDonough &amp; Sun 1995 values'!P$2,)</f>
        <v>0</v>
      </c>
      <c r="EZ225" s="18">
        <f>IFERROR(DH225/'McDonough &amp; Sun 1995 values'!Q$2,)</f>
        <v>0</v>
      </c>
      <c r="FA225" s="18">
        <f>IFERROR(CK225/'McDonough &amp; Sun 1995 values'!R$2,)</f>
        <v>0</v>
      </c>
      <c r="FB225" s="18">
        <f>IFERROR(CZ225/'McDonough &amp; Sun 1995 values'!S$2,)</f>
        <v>0</v>
      </c>
      <c r="FC225" s="18">
        <f>IFERROR(BT225/'McDonough &amp; Sun 1995 values'!T$2,)</f>
        <v>0</v>
      </c>
      <c r="FD225" s="18">
        <f>IFERROR(DA225/'McDonough &amp; Sun 1995 values'!U$2,)</f>
        <v>0</v>
      </c>
      <c r="FE225" s="18">
        <f>IFERROR(DN225/'McDonough &amp; Sun 1995 values'!V$2,)</f>
        <v>0</v>
      </c>
      <c r="FF225" s="18">
        <f>IFERROR(DB225/'McDonough &amp; Sun 1995 values'!W$2,)</f>
        <v>0</v>
      </c>
      <c r="FG225" s="18">
        <f>IFERROR(CJ225/'McDonough &amp; Sun 1995 values'!X$2,)</f>
        <v>0</v>
      </c>
      <c r="FH225" s="18">
        <f>IFERROR(DC225/'McDonough &amp; Sun 1995 values'!Y$2,)</f>
        <v>0</v>
      </c>
      <c r="FI225" s="18">
        <f>IFERROR(DD225/'McDonough &amp; Sun 1995 values'!Z$2,)</f>
        <v>0</v>
      </c>
      <c r="FJ225" s="18">
        <f>IFERROR(DE225/'McDonough &amp; Sun 1995 values'!AA$2,)</f>
        <v>0</v>
      </c>
      <c r="FK225" s="18">
        <f>IFERROR(DF225/'McDonough &amp; Sun 1995 values'!AB$2,)</f>
        <v>0</v>
      </c>
      <c r="FL225" s="18">
        <f>IFERROR(DG225/'McDonough &amp; Sun 1995 values'!AC$2,)</f>
        <v>0</v>
      </c>
      <c r="FN225" s="28">
        <f t="shared" si="458"/>
        <v>0</v>
      </c>
      <c r="FO225" s="4">
        <f t="shared" si="466"/>
        <v>0</v>
      </c>
      <c r="FP225" s="4">
        <f t="shared" si="467"/>
        <v>0</v>
      </c>
      <c r="FQ225" s="4">
        <f t="shared" si="468"/>
        <v>0</v>
      </c>
      <c r="FR225" s="4">
        <f t="shared" si="469"/>
        <v>0</v>
      </c>
      <c r="FS225" s="4">
        <f t="shared" si="470"/>
        <v>0</v>
      </c>
      <c r="FT225" s="4">
        <f t="shared" si="471"/>
        <v>0</v>
      </c>
      <c r="FU225" s="4">
        <f t="shared" si="472"/>
        <v>0</v>
      </c>
      <c r="FV225" s="4">
        <f t="shared" si="473"/>
        <v>0</v>
      </c>
      <c r="FW225" s="4">
        <f t="shared" si="474"/>
        <v>0</v>
      </c>
      <c r="FX225" s="4">
        <f t="shared" si="475"/>
        <v>0</v>
      </c>
      <c r="FY225" s="4">
        <f t="shared" si="476"/>
        <v>0</v>
      </c>
      <c r="FZ225" s="4">
        <f t="shared" si="477"/>
        <v>0</v>
      </c>
      <c r="GA225" s="4">
        <f t="shared" si="478"/>
        <v>0</v>
      </c>
      <c r="GB225" s="4">
        <f t="shared" si="479"/>
        <v>0</v>
      </c>
      <c r="GC225" s="4">
        <f t="shared" si="480"/>
        <v>0</v>
      </c>
      <c r="GD225" s="4">
        <f t="shared" si="481"/>
        <v>0</v>
      </c>
      <c r="GE225" s="4">
        <f t="shared" si="482"/>
        <v>0</v>
      </c>
      <c r="GF225" s="4">
        <f t="shared" si="483"/>
        <v>0</v>
      </c>
      <c r="GG225" s="4">
        <f t="shared" si="484"/>
        <v>0</v>
      </c>
      <c r="GH225" s="4">
        <f t="shared" si="485"/>
        <v>0</v>
      </c>
      <c r="GI225" s="4">
        <f t="shared" si="486"/>
        <v>0</v>
      </c>
      <c r="GJ225" s="4">
        <f t="shared" si="487"/>
        <v>0</v>
      </c>
      <c r="GK225" s="4">
        <f t="shared" si="488"/>
        <v>0</v>
      </c>
      <c r="GL225" s="4">
        <f t="shared" si="489"/>
        <v>0</v>
      </c>
      <c r="GM225" s="4">
        <f t="shared" si="490"/>
        <v>0</v>
      </c>
      <c r="GN225" s="4">
        <f t="shared" si="491"/>
        <v>0</v>
      </c>
      <c r="GO225" s="4">
        <f t="shared" si="492"/>
        <v>0</v>
      </c>
      <c r="GP225" s="4">
        <f t="shared" si="493"/>
        <v>0</v>
      </c>
      <c r="GQ225" s="27">
        <f t="shared" si="494"/>
        <v>89114.912100521775</v>
      </c>
      <c r="GR225" s="28" t="str">
        <f t="shared" si="495"/>
        <v/>
      </c>
      <c r="GS225" s="28" t="str">
        <f t="shared" si="496"/>
        <v/>
      </c>
      <c r="GT225" s="28" t="str">
        <f t="shared" si="497"/>
        <v/>
      </c>
      <c r="GU225" s="28" t="str">
        <f t="shared" si="498"/>
        <v/>
      </c>
      <c r="GV225" s="28" t="str">
        <f t="shared" si="499"/>
        <v/>
      </c>
      <c r="GW225" s="28" t="str">
        <f t="shared" si="500"/>
        <v/>
      </c>
      <c r="GX225" s="28" t="str">
        <f t="shared" si="501"/>
        <v/>
      </c>
      <c r="GY225" s="28" t="str">
        <f t="shared" si="502"/>
        <v/>
      </c>
      <c r="GZ225" s="28" t="str">
        <f t="shared" si="503"/>
        <v/>
      </c>
      <c r="HA225" s="28" t="str">
        <f t="shared" si="504"/>
        <v/>
      </c>
      <c r="HB225" s="28" t="str">
        <f t="shared" si="505"/>
        <v/>
      </c>
      <c r="HC225" s="28" t="str">
        <f t="shared" si="506"/>
        <v/>
      </c>
      <c r="HD225" s="28" t="str">
        <f t="shared" si="507"/>
        <v/>
      </c>
      <c r="HE225" s="28" t="str">
        <f t="shared" si="508"/>
        <v/>
      </c>
      <c r="HF225" s="28" t="str">
        <f t="shared" si="509"/>
        <v/>
      </c>
      <c r="HG225" s="28" t="str">
        <f t="shared" si="510"/>
        <v/>
      </c>
      <c r="HH225" s="28" t="str">
        <f t="shared" si="511"/>
        <v/>
      </c>
      <c r="HI225" s="28" t="str">
        <f t="shared" si="512"/>
        <v/>
      </c>
      <c r="HJ225" s="28" t="str">
        <f t="shared" si="513"/>
        <v/>
      </c>
      <c r="HK225" s="28" t="str">
        <f t="shared" si="514"/>
        <v/>
      </c>
      <c r="HL225" s="28" t="str">
        <f t="shared" si="515"/>
        <v/>
      </c>
      <c r="HM225" s="28" t="str">
        <f t="shared" si="516"/>
        <v/>
      </c>
      <c r="HN225" s="28" t="str">
        <f t="shared" si="517"/>
        <v/>
      </c>
      <c r="HO225" s="28" t="str">
        <f t="shared" si="518"/>
        <v/>
      </c>
      <c r="HP225" s="28" t="str">
        <f t="shared" si="519"/>
        <v/>
      </c>
      <c r="HQ225" s="28" t="str">
        <f t="shared" si="520"/>
        <v/>
      </c>
      <c r="HR225" s="28" t="str">
        <f t="shared" si="521"/>
        <v/>
      </c>
      <c r="HT225" s="4">
        <f>IFERROR(GR225/'McDonough &amp; Sun 1995 values'!C$2,)</f>
        <v>0</v>
      </c>
      <c r="HU225" s="4">
        <f>IFERROR(GS225/'McDonough &amp; Sun 1995 values'!D$2,)</f>
        <v>0</v>
      </c>
      <c r="HV225" s="4">
        <f>IFERROR(GT225/'McDonough &amp; Sun 1995 values'!E$2,)</f>
        <v>0</v>
      </c>
      <c r="HW225" s="4">
        <f>IFERROR(GU225/'McDonough &amp; Sun 1995 values'!F$2,)</f>
        <v>0</v>
      </c>
      <c r="HX225" s="4">
        <f>IFERROR(GV225/'McDonough &amp; Sun 1995 values'!G$2,)</f>
        <v>0</v>
      </c>
      <c r="HY225" s="4">
        <f>IFERROR(GW225/'McDonough &amp; Sun 1995 values'!H$2,)</f>
        <v>0</v>
      </c>
      <c r="HZ225" s="4">
        <f>IFERROR(GX225/'McDonough &amp; Sun 1995 values'!I$2,)</f>
        <v>0</v>
      </c>
      <c r="IA225" s="4">
        <f>IFERROR(GY225/'McDonough &amp; Sun 1995 values'!J$2,)</f>
        <v>0</v>
      </c>
      <c r="IB225" s="4">
        <f>IFERROR(GZ225/'McDonough &amp; Sun 1995 values'!K$2,)</f>
        <v>0</v>
      </c>
      <c r="IC225" s="4">
        <f>IFERROR(HA225/'McDonough &amp; Sun 1995 values'!L$2,)</f>
        <v>0</v>
      </c>
      <c r="ID225" s="4">
        <f>IFERROR(HB225/'McDonough &amp; Sun 1995 values'!M$2,)</f>
        <v>0</v>
      </c>
      <c r="IE225" s="4">
        <f>IFERROR(HC225/'McDonough &amp; Sun 1995 values'!N$2,)</f>
        <v>0</v>
      </c>
      <c r="IF225" s="4">
        <f>IFERROR(HD225/'McDonough &amp; Sun 1995 values'!O$2,)</f>
        <v>0</v>
      </c>
      <c r="IG225" s="4">
        <f>IFERROR(HE225/'McDonough &amp; Sun 1995 values'!P$2,)</f>
        <v>0</v>
      </c>
      <c r="IH225" s="4">
        <f>IFERROR(HF225/'McDonough &amp; Sun 1995 values'!Q$2,)</f>
        <v>0</v>
      </c>
      <c r="II225" s="4">
        <f>IFERROR(HG225/'McDonough &amp; Sun 1995 values'!R$2,)</f>
        <v>0</v>
      </c>
      <c r="IJ225" s="4">
        <f>IFERROR(HH225/'McDonough &amp; Sun 1995 values'!S$2,)</f>
        <v>0</v>
      </c>
      <c r="IK225" s="4">
        <f>IFERROR(HI225/'McDonough &amp; Sun 1995 values'!T$2,)</f>
        <v>0</v>
      </c>
      <c r="IL225" s="4">
        <f>IFERROR(HJ225/'McDonough &amp; Sun 1995 values'!U$2,)</f>
        <v>0</v>
      </c>
      <c r="IM225" s="4">
        <f>IFERROR(HK225/'McDonough &amp; Sun 1995 values'!V$2,)</f>
        <v>0</v>
      </c>
      <c r="IN225" s="4">
        <f>IFERROR(HL225/'McDonough &amp; Sun 1995 values'!W$2,)</f>
        <v>0</v>
      </c>
      <c r="IO225" s="4">
        <f>IFERROR(HM225/'McDonough &amp; Sun 1995 values'!X$2,)</f>
        <v>0</v>
      </c>
      <c r="IP225" s="4">
        <f>IFERROR(HN225/'McDonough &amp; Sun 1995 values'!Y$2,)</f>
        <v>0</v>
      </c>
      <c r="IQ225" s="4">
        <f>IFERROR(HO225/'McDonough &amp; Sun 1995 values'!Z$2,)</f>
        <v>0</v>
      </c>
      <c r="IR225" s="4">
        <f>IFERROR(HP225/'McDonough &amp; Sun 1995 values'!AA$2,)</f>
        <v>0</v>
      </c>
      <c r="IS225" s="4">
        <f>IFERROR(HQ225/'McDonough &amp; Sun 1995 values'!AB$2,)</f>
        <v>0</v>
      </c>
      <c r="IT225" s="4">
        <f>IFERROR(HR225/'McDonough &amp; Sun 1995 values'!AC$2,)</f>
        <v>0</v>
      </c>
    </row>
    <row r="226" spans="1:254">
      <c r="A226" s="16" t="s">
        <v>827</v>
      </c>
      <c r="B226" s="16" t="s">
        <v>24</v>
      </c>
      <c r="C226" s="16" t="str">
        <f t="shared" si="461"/>
        <v>silicic</v>
      </c>
      <c r="D226" s="16" t="s">
        <v>1718</v>
      </c>
      <c r="E226" s="16" t="s">
        <v>237</v>
      </c>
      <c r="F226" s="16" t="s">
        <v>163</v>
      </c>
      <c r="G226" s="16" t="s">
        <v>595</v>
      </c>
      <c r="H226" s="27">
        <v>355</v>
      </c>
      <c r="I226" s="16" t="s">
        <v>735</v>
      </c>
      <c r="J226" s="16" t="s">
        <v>596</v>
      </c>
      <c r="K226" s="16" t="s">
        <v>115</v>
      </c>
      <c r="L226" s="16">
        <v>0</v>
      </c>
      <c r="M226" s="16" t="s">
        <v>592</v>
      </c>
      <c r="N226" s="16">
        <v>17</v>
      </c>
      <c r="O226" s="26">
        <v>62.8</v>
      </c>
      <c r="P226" s="26">
        <v>0.6</v>
      </c>
      <c r="Q226" s="26"/>
      <c r="R226" s="26">
        <v>12.5</v>
      </c>
      <c r="S226" s="26">
        <v>2.9</v>
      </c>
      <c r="T226" s="26">
        <v>1.6</v>
      </c>
      <c r="U226" s="26"/>
      <c r="V226" s="26">
        <v>3.4</v>
      </c>
      <c r="W226" s="26">
        <v>0.01</v>
      </c>
      <c r="X226" s="26">
        <v>15.1</v>
      </c>
      <c r="Y226" s="26"/>
      <c r="Z226" s="26">
        <v>0.3</v>
      </c>
      <c r="AA226" s="26"/>
      <c r="AB226" s="26"/>
      <c r="AC226" s="26"/>
      <c r="AD226" s="26">
        <v>0.9</v>
      </c>
      <c r="AE226" s="26"/>
      <c r="AF226" s="26"/>
      <c r="AG226" s="26"/>
      <c r="AH226" s="26"/>
      <c r="AI226" s="26"/>
      <c r="AJ226" s="26">
        <f t="shared" si="462"/>
        <v>100.11000000000001</v>
      </c>
      <c r="AK226" s="26">
        <f t="shared" si="522"/>
        <v>62.858523146867753</v>
      </c>
      <c r="AL226" s="26">
        <f t="shared" si="523"/>
        <v>0.60055913834587027</v>
      </c>
      <c r="AM226" s="26">
        <f t="shared" si="524"/>
        <v>12.511648715538964</v>
      </c>
      <c r="AN226" s="26">
        <f t="shared" si="525"/>
        <v>2.9027025020050399</v>
      </c>
      <c r="AO226" s="26">
        <f t="shared" si="526"/>
        <v>1.6014910355889878</v>
      </c>
      <c r="AP226" s="26">
        <f t="shared" si="527"/>
        <v>3.4031684506265982</v>
      </c>
      <c r="AQ226" s="26">
        <f t="shared" si="528"/>
        <v>0</v>
      </c>
      <c r="AR226" s="26">
        <f t="shared" si="529"/>
        <v>1.0009318972431172E-2</v>
      </c>
      <c r="AS226" s="26">
        <f t="shared" si="530"/>
        <v>15.11407164837107</v>
      </c>
      <c r="AT226" s="26">
        <f t="shared" si="531"/>
        <v>0.30027956917293513</v>
      </c>
      <c r="AU226" s="26">
        <f t="shared" si="532"/>
        <v>0.90083870751880546</v>
      </c>
      <c r="AV226" s="26">
        <f t="shared" si="463"/>
        <v>100.20329223300845</v>
      </c>
      <c r="AW226" s="26">
        <v>1.9</v>
      </c>
      <c r="AX226" s="26">
        <v>7.8</v>
      </c>
      <c r="AY226" s="26"/>
      <c r="AZ226" s="26"/>
      <c r="BA226" s="26">
        <v>0.09</v>
      </c>
      <c r="BB226" s="26"/>
      <c r="BC226" s="26">
        <f>(AX226/18)/((AX226/18)+(AW226/44))</f>
        <v>0.90937996820349754</v>
      </c>
      <c r="BD226" s="26">
        <f>(AW226/44)/((AX226/18)+(AW226/44))</f>
        <v>9.0620031796502382E-2</v>
      </c>
      <c r="BE226" s="16"/>
      <c r="BF226" s="16"/>
      <c r="BG226" s="16"/>
      <c r="BH226" s="16"/>
      <c r="BI226" s="16"/>
      <c r="BJ226" s="16">
        <v>33</v>
      </c>
      <c r="BK226" s="18"/>
      <c r="BL226" s="18"/>
      <c r="BM226" s="18"/>
      <c r="BN226" s="18">
        <v>4.0999999999999996</v>
      </c>
      <c r="BO226" s="18">
        <v>0</v>
      </c>
      <c r="BP226" s="18">
        <v>0</v>
      </c>
      <c r="BQ226" s="18">
        <v>0</v>
      </c>
      <c r="BR226" s="18">
        <v>24.65</v>
      </c>
      <c r="BS226" s="18"/>
      <c r="BT226" s="18">
        <v>0</v>
      </c>
      <c r="BU226" s="18">
        <v>0.249</v>
      </c>
      <c r="BV226" s="18"/>
      <c r="BW226" s="18">
        <v>8.4</v>
      </c>
      <c r="BX226" s="18"/>
      <c r="BY226" s="18"/>
      <c r="BZ226" s="18">
        <v>3.0499999999999999E-2</v>
      </c>
      <c r="CA226" s="18">
        <v>1.21E-2</v>
      </c>
      <c r="CB226" s="18"/>
      <c r="CC226" s="18">
        <v>1.25E-3</v>
      </c>
      <c r="CD226" s="18">
        <v>0</v>
      </c>
      <c r="CE226" s="18">
        <v>3.0999999999999999E-3</v>
      </c>
      <c r="CF226" s="18"/>
      <c r="CG226" s="18">
        <v>3.0800000000000001E-2</v>
      </c>
      <c r="CH226" s="18">
        <v>2.5600000000000001E-2</v>
      </c>
      <c r="CI226" s="18">
        <v>1.38</v>
      </c>
      <c r="CJ226" s="18"/>
      <c r="CK226" s="18" t="s">
        <v>1321</v>
      </c>
      <c r="CL226" s="18" t="s">
        <v>1080</v>
      </c>
      <c r="CM226" s="18"/>
      <c r="CN226" s="18"/>
      <c r="CO226" s="18"/>
      <c r="CP226" s="18"/>
      <c r="CQ226" s="18"/>
      <c r="CR226" s="18">
        <v>8.3000000000000001E-4</v>
      </c>
      <c r="CS226" s="18">
        <v>1.1399999999999999</v>
      </c>
      <c r="CT226" s="18"/>
      <c r="CU226" s="18">
        <v>0.09</v>
      </c>
      <c r="CV226" s="18">
        <v>0.13</v>
      </c>
      <c r="CW226" s="18"/>
      <c r="CX226" s="18">
        <v>3.2000000000000001E-2</v>
      </c>
      <c r="CY226" s="18">
        <v>7.7000000000000002E-3</v>
      </c>
      <c r="CZ226" s="18">
        <v>1.4E-3</v>
      </c>
      <c r="DA226" s="18">
        <v>3.7000000000000002E-3</v>
      </c>
      <c r="DB226" s="18"/>
      <c r="DC226" s="18"/>
      <c r="DD226" s="18"/>
      <c r="DE226" s="18"/>
      <c r="DF226" s="18">
        <v>1E-3</v>
      </c>
      <c r="DG226" s="18" t="s">
        <v>34</v>
      </c>
      <c r="DH226" s="18">
        <v>2.15E-3</v>
      </c>
      <c r="DI226" s="18" t="s">
        <v>225</v>
      </c>
      <c r="DJ226" s="18"/>
      <c r="DK226" s="18"/>
      <c r="DL226" s="18">
        <v>9.300000000000001E-3</v>
      </c>
      <c r="DM226" s="18" t="s">
        <v>34</v>
      </c>
      <c r="DN226" s="18" t="s">
        <v>1080</v>
      </c>
      <c r="DO226" s="18"/>
      <c r="DP226" s="18">
        <v>7.1999999999999988E-5</v>
      </c>
      <c r="DQ226" s="18"/>
      <c r="DR226" s="18">
        <v>6.0000000000000002E-6</v>
      </c>
      <c r="DS226" s="18"/>
      <c r="DT226" s="18"/>
      <c r="DU226" s="18"/>
      <c r="DV226" s="28"/>
      <c r="DW226" s="28"/>
      <c r="DX226" s="28"/>
      <c r="DY226" s="28"/>
      <c r="DZ226" s="28"/>
      <c r="EA226" s="28"/>
      <c r="EB226" s="28"/>
      <c r="EC226" s="28"/>
      <c r="ED226" s="28"/>
      <c r="EE226" s="28"/>
      <c r="EF226" s="28"/>
      <c r="EG226" s="28"/>
      <c r="EH226" s="28"/>
      <c r="EI226" s="28"/>
      <c r="EJ226" s="18"/>
      <c r="EK226" s="18"/>
      <c r="EL226" s="18">
        <f>IFERROR(CR226/'McDonough &amp; Sun 1995 values'!C$2,)</f>
        <v>3.9523809523809524E-2</v>
      </c>
      <c r="EM226" s="18">
        <f>IFERROR(CH226/'McDonough &amp; Sun 1995 values'!D$2,)</f>
        <v>4.2666666666666672E-2</v>
      </c>
      <c r="EN226" s="18">
        <f>IFERROR(CS226/'McDonough &amp; Sun 1995 values'!E$2,)</f>
        <v>0.17272727272727273</v>
      </c>
      <c r="EO226" s="18">
        <f>IFERROR(DL226/'McDonough &amp; Sun 1995 values'!F$2,)</f>
        <v>0.11698113207547171</v>
      </c>
      <c r="EP226" s="18">
        <f>IFERROR(DM226/'McDonough &amp; Sun 1995 values'!G$2,)</f>
        <v>0</v>
      </c>
      <c r="EQ226" s="18">
        <f>IFERROR(BR226/'McDonough &amp; Sun 1995 values'!H$2,)</f>
        <v>0.10270833333333333</v>
      </c>
      <c r="ER226" s="18">
        <f>IFERROR(DI226/'McDonough &amp; Sun 1995 values'!I$2,)</f>
        <v>0</v>
      </c>
      <c r="ES226" s="18">
        <f>IFERROR(CM226/'McDonough &amp; Sun 1995 values'!J$2,)</f>
        <v>0</v>
      </c>
      <c r="ET226" s="18">
        <f>IFERROR(CU226/'McDonough &amp; Sun 1995 values'!K$2,)</f>
        <v>0.13888888888888887</v>
      </c>
      <c r="EU226" s="18">
        <f>IFERROR(CV226/'McDonough &amp; Sun 1995 values'!L$2,)</f>
        <v>7.7611940298507459E-2</v>
      </c>
      <c r="EV226" s="18">
        <f>IFERROR(CW226/'McDonough &amp; Sun 1995 values'!M$2,)</f>
        <v>0</v>
      </c>
      <c r="EW226" s="18">
        <f>IFERROR(CI226/'McDonough &amp; Sun 1995 values'!N$2,)</f>
        <v>6.9346733668341709E-2</v>
      </c>
      <c r="EX226" s="18">
        <f>IFERROR(CX226/'McDonough &amp; Sun 1995 values'!O$2,)</f>
        <v>2.5600000000000001E-2</v>
      </c>
      <c r="EY226" s="18">
        <f>IFERROR(CY226/'McDonough &amp; Sun 1995 values'!P$2,)</f>
        <v>1.896551724137931E-2</v>
      </c>
      <c r="EZ226" s="18">
        <f>IFERROR(DH226/'McDonough &amp; Sun 1995 values'!Q$2,)</f>
        <v>7.5971731448763258E-3</v>
      </c>
      <c r="FA226" s="18">
        <f>IFERROR(CK226/'McDonough &amp; Sun 1995 values'!R$2,)</f>
        <v>0</v>
      </c>
      <c r="FB226" s="18">
        <f>IFERROR(CZ226/'McDonough &amp; Sun 1995 values'!S$2,)</f>
        <v>9.0909090909090905E-3</v>
      </c>
      <c r="FC226" s="18">
        <f>IFERROR(BT226/'McDonough &amp; Sun 1995 values'!T$2,)</f>
        <v>0</v>
      </c>
      <c r="FD226" s="18">
        <f>IFERROR(DA226/'McDonough &amp; Sun 1995 values'!U$2,)</f>
        <v>6.8014705882352942E-3</v>
      </c>
      <c r="FE226" s="18">
        <f>IFERROR(DN226/'McDonough &amp; Sun 1995 values'!V$2,)</f>
        <v>0</v>
      </c>
      <c r="FF226" s="18">
        <f>IFERROR(DB226/'McDonough &amp; Sun 1995 values'!W$2,)</f>
        <v>0</v>
      </c>
      <c r="FG226" s="18">
        <f>IFERROR(CJ226/'McDonough &amp; Sun 1995 values'!X$2,)</f>
        <v>0</v>
      </c>
      <c r="FH226" s="18">
        <f>IFERROR(DC226/'McDonough &amp; Sun 1995 values'!Y$2,)</f>
        <v>0</v>
      </c>
      <c r="FI226" s="18">
        <f>IFERROR(DD226/'McDonough &amp; Sun 1995 values'!Z$2,)</f>
        <v>0</v>
      </c>
      <c r="FJ226" s="18">
        <f>IFERROR(DE226/'McDonough &amp; Sun 1995 values'!AA$2,)</f>
        <v>0</v>
      </c>
      <c r="FK226" s="18">
        <f>IFERROR(DF226/'McDonough &amp; Sun 1995 values'!AB$2,)</f>
        <v>2.2675736961451248E-3</v>
      </c>
      <c r="FL226" s="18">
        <f>IFERROR(DG226/'McDonough &amp; Sun 1995 values'!AC$2,)</f>
        <v>0</v>
      </c>
      <c r="FN226" s="28">
        <f t="shared" si="458"/>
        <v>0</v>
      </c>
      <c r="FO226" s="4">
        <f t="shared" si="466"/>
        <v>0</v>
      </c>
      <c r="FP226" s="4">
        <f t="shared" si="467"/>
        <v>0</v>
      </c>
      <c r="FQ226" s="4">
        <f t="shared" si="468"/>
        <v>0</v>
      </c>
      <c r="FR226" s="4">
        <f t="shared" si="469"/>
        <v>0</v>
      </c>
      <c r="FS226" s="4">
        <f t="shared" si="470"/>
        <v>0</v>
      </c>
      <c r="FT226" s="4">
        <f t="shared" si="471"/>
        <v>1.0795180722891569</v>
      </c>
      <c r="FU226" s="4">
        <f t="shared" si="472"/>
        <v>0</v>
      </c>
      <c r="FV226" s="4">
        <f t="shared" si="473"/>
        <v>0</v>
      </c>
      <c r="FW226" s="4">
        <f t="shared" si="474"/>
        <v>0</v>
      </c>
      <c r="FX226" s="4">
        <f t="shared" si="475"/>
        <v>0.70562451079056243</v>
      </c>
      <c r="FY226" s="4">
        <f t="shared" si="476"/>
        <v>0</v>
      </c>
      <c r="FZ226" s="4">
        <f t="shared" si="477"/>
        <v>0.80043036731509487</v>
      </c>
      <c r="GA226" s="4">
        <f t="shared" si="478"/>
        <v>0</v>
      </c>
      <c r="GB226" s="4">
        <f t="shared" si="479"/>
        <v>0.47933884297520657</v>
      </c>
      <c r="GC226" s="4">
        <f t="shared" si="480"/>
        <v>0.92633928571428559</v>
      </c>
      <c r="GD226" s="4">
        <f t="shared" si="481"/>
        <v>1.476539589442815</v>
      </c>
      <c r="GE226" s="4">
        <f t="shared" si="482"/>
        <v>4.0482954545454541</v>
      </c>
      <c r="GF226" s="4">
        <f t="shared" si="483"/>
        <v>1.6817259819288217</v>
      </c>
      <c r="GG226" s="4">
        <f t="shared" si="484"/>
        <v>0</v>
      </c>
      <c r="GH226" s="4">
        <f t="shared" si="485"/>
        <v>0</v>
      </c>
      <c r="GI226" s="4">
        <f t="shared" si="486"/>
        <v>7.3232323232323218</v>
      </c>
      <c r="GJ226" s="4">
        <f t="shared" si="487"/>
        <v>0</v>
      </c>
      <c r="GK226" s="4">
        <f t="shared" si="488"/>
        <v>61.249999999999986</v>
      </c>
      <c r="GL226" s="4">
        <f t="shared" si="489"/>
        <v>0</v>
      </c>
      <c r="GM226" s="4">
        <f t="shared" si="490"/>
        <v>2.7417452830188678</v>
      </c>
      <c r="GN226" s="4">
        <f t="shared" si="491"/>
        <v>0</v>
      </c>
      <c r="GO226" s="4">
        <f t="shared" si="492"/>
        <v>0</v>
      </c>
      <c r="GP226" s="4">
        <f t="shared" si="493"/>
        <v>0</v>
      </c>
      <c r="GQ226" s="27">
        <f t="shared" si="494"/>
        <v>125467.54701375596</v>
      </c>
      <c r="GR226" s="28">
        <f t="shared" si="495"/>
        <v>4.2246679116193686</v>
      </c>
      <c r="GS226" s="28">
        <f t="shared" si="496"/>
        <v>130.30301028609139</v>
      </c>
      <c r="GT226" s="28">
        <f t="shared" si="497"/>
        <v>5802.5559268025072</v>
      </c>
      <c r="GU226" s="28">
        <f t="shared" si="498"/>
        <v>47.336640455494141</v>
      </c>
      <c r="GV226" s="28" t="str">
        <f t="shared" si="499"/>
        <v/>
      </c>
      <c r="GW226" s="28">
        <f t="shared" si="500"/>
        <v>125467.54701375596</v>
      </c>
      <c r="GX226" s="28" t="str">
        <f t="shared" si="501"/>
        <v/>
      </c>
      <c r="GY226" s="28">
        <f t="shared" si="502"/>
        <v>0</v>
      </c>
      <c r="GZ226" s="28">
        <f t="shared" si="503"/>
        <v>458.09652053704002</v>
      </c>
      <c r="HA226" s="28">
        <f t="shared" si="504"/>
        <v>661.69497410905785</v>
      </c>
      <c r="HB226" s="28">
        <f t="shared" si="505"/>
        <v>0</v>
      </c>
      <c r="HC226" s="28">
        <f t="shared" si="506"/>
        <v>7024.1466482346132</v>
      </c>
      <c r="HD226" s="28">
        <f t="shared" si="507"/>
        <v>162.87876285761425</v>
      </c>
      <c r="HE226" s="28">
        <f t="shared" si="508"/>
        <v>39.192702312613427</v>
      </c>
      <c r="HF226" s="28">
        <f t="shared" si="509"/>
        <v>10.943416879495956</v>
      </c>
      <c r="HG226" s="28" t="str">
        <f t="shared" si="510"/>
        <v/>
      </c>
      <c r="HH226" s="28">
        <f t="shared" si="511"/>
        <v>7.1259458750206228</v>
      </c>
      <c r="HI226" s="28">
        <f t="shared" si="512"/>
        <v>0</v>
      </c>
      <c r="HJ226" s="28">
        <f t="shared" si="513"/>
        <v>18.83285695541165</v>
      </c>
      <c r="HK226" s="28" t="str">
        <f t="shared" si="514"/>
        <v/>
      </c>
      <c r="HL226" s="28">
        <f t="shared" si="515"/>
        <v>0</v>
      </c>
      <c r="HM226" s="28">
        <f t="shared" si="516"/>
        <v>0</v>
      </c>
      <c r="HN226" s="28">
        <f t="shared" si="517"/>
        <v>0</v>
      </c>
      <c r="HO226" s="28">
        <f t="shared" si="518"/>
        <v>0</v>
      </c>
      <c r="HP226" s="28">
        <f t="shared" si="519"/>
        <v>0</v>
      </c>
      <c r="HQ226" s="28">
        <f t="shared" si="520"/>
        <v>5.0899613393004453</v>
      </c>
      <c r="HR226" s="28" t="str">
        <f t="shared" si="521"/>
        <v/>
      </c>
      <c r="HT226" s="4">
        <f>IFERROR(GR226/'McDonough &amp; Sun 1995 values'!C$2,)</f>
        <v>201.17466245806517</v>
      </c>
      <c r="HU226" s="4">
        <f>IFERROR(GS226/'McDonough &amp; Sun 1995 values'!D$2,)</f>
        <v>217.17168381015233</v>
      </c>
      <c r="HV226" s="4">
        <f>IFERROR(GT226/'McDonough &amp; Sun 1995 values'!E$2,)</f>
        <v>879.17514042462233</v>
      </c>
      <c r="HW226" s="4">
        <f>IFERROR(GU226/'McDonough &amp; Sun 1995 values'!F$2,)</f>
        <v>595.42943969175019</v>
      </c>
      <c r="HX226" s="4">
        <f>IFERROR(GV226/'McDonough &amp; Sun 1995 values'!G$2,)</f>
        <v>0</v>
      </c>
      <c r="HY226" s="4">
        <f>IFERROR(GW226/'McDonough &amp; Sun 1995 values'!H$2,)</f>
        <v>522.78144589064982</v>
      </c>
      <c r="HZ226" s="4">
        <f>IFERROR(GX226/'McDonough &amp; Sun 1995 values'!I$2,)</f>
        <v>0</v>
      </c>
      <c r="IA226" s="4">
        <f>IFERROR(GY226/'McDonough &amp; Sun 1995 values'!J$2,)</f>
        <v>0</v>
      </c>
      <c r="IB226" s="4">
        <f>IFERROR(GZ226/'McDonough &amp; Sun 1995 values'!K$2,)</f>
        <v>706.93907490283948</v>
      </c>
      <c r="IC226" s="4">
        <f>IFERROR(HA226/'McDonough &amp; Sun 1995 values'!L$2,)</f>
        <v>395.04177558749723</v>
      </c>
      <c r="ID226" s="4">
        <f>IFERROR(HB226/'McDonough &amp; Sun 1995 values'!M$2,)</f>
        <v>0</v>
      </c>
      <c r="IE226" s="4">
        <f>IFERROR(HC226/'McDonough &amp; Sun 1995 values'!N$2,)</f>
        <v>352.97219337862379</v>
      </c>
      <c r="IF226" s="4">
        <f>IFERROR(HD226/'McDonough &amp; Sun 1995 values'!O$2,)</f>
        <v>130.30301028609139</v>
      </c>
      <c r="IG226" s="4">
        <f>IFERROR(HE226/'McDonough &amp; Sun 1995 values'!P$2,)</f>
        <v>96.533749538456718</v>
      </c>
      <c r="IH226" s="4">
        <f>IFERROR(HF226/'McDonough &amp; Sun 1995 values'!Q$2,)</f>
        <v>38.669317595392073</v>
      </c>
      <c r="II226" s="4">
        <f>IFERROR(HG226/'McDonough &amp; Sun 1995 values'!R$2,)</f>
        <v>0</v>
      </c>
      <c r="IJ226" s="4">
        <f>IFERROR(HH226/'McDonough &amp; Sun 1995 values'!S$2,)</f>
        <v>46.272375811822229</v>
      </c>
      <c r="IK226" s="4">
        <f>IFERROR(HI226/'McDonough &amp; Sun 1995 values'!T$2,)</f>
        <v>0</v>
      </c>
      <c r="IL226" s="4">
        <f>IFERROR(HJ226/'McDonough &amp; Sun 1995 values'!U$2,)</f>
        <v>34.61922234450671</v>
      </c>
      <c r="IM226" s="4">
        <f>IFERROR(HK226/'McDonough &amp; Sun 1995 values'!V$2,)</f>
        <v>0</v>
      </c>
      <c r="IN226" s="4">
        <f>IFERROR(HL226/'McDonough &amp; Sun 1995 values'!W$2,)</f>
        <v>0</v>
      </c>
      <c r="IO226" s="4">
        <f>IFERROR(HM226/'McDonough &amp; Sun 1995 values'!X$2,)</f>
        <v>0</v>
      </c>
      <c r="IP226" s="4">
        <f>IFERROR(HN226/'McDonough &amp; Sun 1995 values'!Y$2,)</f>
        <v>0</v>
      </c>
      <c r="IQ226" s="4">
        <f>IFERROR(HO226/'McDonough &amp; Sun 1995 values'!Z$2,)</f>
        <v>0</v>
      </c>
      <c r="IR226" s="4">
        <f>IFERROR(HP226/'McDonough &amp; Sun 1995 values'!AA$2,)</f>
        <v>0</v>
      </c>
      <c r="IS226" s="4">
        <f>IFERROR(HQ226/'McDonough &amp; Sun 1995 values'!AB$2,)</f>
        <v>11.541862447393299</v>
      </c>
      <c r="IT226" s="4">
        <f>IFERROR(HR226/'McDonough &amp; Sun 1995 values'!AC$2,)</f>
        <v>0</v>
      </c>
    </row>
    <row r="227" spans="1:254">
      <c r="A227" s="16" t="s">
        <v>670</v>
      </c>
      <c r="B227" s="16" t="s">
        <v>24</v>
      </c>
      <c r="C227" s="16" t="str">
        <f t="shared" si="461"/>
        <v>silicic</v>
      </c>
      <c r="D227" s="16" t="s">
        <v>1708</v>
      </c>
      <c r="E227" s="16" t="s">
        <v>237</v>
      </c>
      <c r="F227" s="16" t="s">
        <v>661</v>
      </c>
      <c r="G227" s="16" t="s">
        <v>595</v>
      </c>
      <c r="H227" s="27">
        <v>376</v>
      </c>
      <c r="I227" s="16" t="s">
        <v>712</v>
      </c>
      <c r="J227" s="16" t="s">
        <v>635</v>
      </c>
      <c r="K227" s="16" t="s">
        <v>662</v>
      </c>
      <c r="L227" s="16">
        <v>0</v>
      </c>
      <c r="M227" s="16" t="s">
        <v>660</v>
      </c>
      <c r="N227" s="16">
        <v>15</v>
      </c>
      <c r="O227" s="26">
        <v>49.3</v>
      </c>
      <c r="P227" s="26">
        <v>3</v>
      </c>
      <c r="Q227" s="26">
        <v>0.2</v>
      </c>
      <c r="R227" s="26">
        <v>7.11</v>
      </c>
      <c r="S227" s="26">
        <v>5.94</v>
      </c>
      <c r="T227" s="26">
        <v>8.64</v>
      </c>
      <c r="U227" s="26">
        <v>7.0000000000000007E-2</v>
      </c>
      <c r="V227" s="26">
        <v>5.84</v>
      </c>
      <c r="W227" s="26">
        <v>4.22</v>
      </c>
      <c r="X227" s="26">
        <v>8.2799999999999994</v>
      </c>
      <c r="Y227" s="26"/>
      <c r="Z227" s="26">
        <v>4.5199999999999996</v>
      </c>
      <c r="AA227" s="26"/>
      <c r="AB227" s="26">
        <v>1.02</v>
      </c>
      <c r="AC227" s="26"/>
      <c r="AD227" s="26">
        <v>0.76</v>
      </c>
      <c r="AE227" s="26"/>
      <c r="AF227" s="26">
        <v>0.44</v>
      </c>
      <c r="AG227" s="26"/>
      <c r="AH227" s="26"/>
      <c r="AI227" s="26"/>
      <c r="AJ227" s="26">
        <f t="shared" si="462"/>
        <v>98.63</v>
      </c>
      <c r="AK227" s="26">
        <f t="shared" si="522"/>
        <v>50.071862348613116</v>
      </c>
      <c r="AL227" s="26">
        <f t="shared" si="523"/>
        <v>3.0469693112746317</v>
      </c>
      <c r="AM227" s="26">
        <f t="shared" si="524"/>
        <v>7.2213172677208783</v>
      </c>
      <c r="AN227" s="26">
        <f t="shared" si="525"/>
        <v>6.0329992363237714</v>
      </c>
      <c r="AO227" s="26">
        <f t="shared" si="526"/>
        <v>8.7752716164709401</v>
      </c>
      <c r="AP227" s="26">
        <f t="shared" si="527"/>
        <v>5.9314335926146162</v>
      </c>
      <c r="AQ227" s="26">
        <f t="shared" si="528"/>
        <v>1.035969565833375</v>
      </c>
      <c r="AR227" s="26">
        <f t="shared" si="529"/>
        <v>4.2860701645263148</v>
      </c>
      <c r="AS227" s="26">
        <f t="shared" si="530"/>
        <v>8.4096352991179835</v>
      </c>
      <c r="AT227" s="26">
        <f t="shared" si="531"/>
        <v>4.5907670956537787</v>
      </c>
      <c r="AU227" s="26">
        <f t="shared" si="532"/>
        <v>0.77189889218957342</v>
      </c>
      <c r="AV227" s="26">
        <f t="shared" si="463"/>
        <v>100.17419439033895</v>
      </c>
      <c r="AW227" s="26"/>
      <c r="AX227" s="26"/>
      <c r="AY227" s="26"/>
      <c r="AZ227" s="26"/>
      <c r="BA227" s="26"/>
      <c r="BB227" s="26"/>
      <c r="BC227" s="26"/>
      <c r="BD227" s="26"/>
      <c r="BE227" s="16"/>
      <c r="BF227" s="16"/>
      <c r="BG227" s="16"/>
      <c r="BH227" s="16"/>
      <c r="BI227" s="16"/>
      <c r="BJ227" s="16"/>
      <c r="BK227" s="18"/>
      <c r="BL227" s="18"/>
      <c r="BM227" s="18"/>
      <c r="BN227" s="18"/>
      <c r="BO227" s="18"/>
      <c r="BP227" s="18"/>
      <c r="BQ227" s="18"/>
      <c r="BR227" s="18">
        <v>103356</v>
      </c>
      <c r="BS227" s="18"/>
      <c r="BT227" s="18">
        <v>24283</v>
      </c>
      <c r="BU227" s="18"/>
      <c r="BV227" s="18"/>
      <c r="BW227" s="18"/>
      <c r="BX227" s="18"/>
      <c r="BY227" s="18"/>
      <c r="BZ227" s="18"/>
      <c r="CA227" s="18"/>
      <c r="CB227" s="18"/>
      <c r="CC227" s="18"/>
      <c r="CD227" s="18"/>
      <c r="CE227" s="18"/>
      <c r="CF227" s="18"/>
      <c r="CG227" s="18"/>
      <c r="CH227" s="18">
        <v>364</v>
      </c>
      <c r="CI227" s="18">
        <v>5528</v>
      </c>
      <c r="CJ227" s="18">
        <v>52</v>
      </c>
      <c r="CK227" s="18">
        <v>996</v>
      </c>
      <c r="CL227" s="18"/>
      <c r="CM227" s="18">
        <v>96</v>
      </c>
      <c r="CN227" s="18"/>
      <c r="CO227" s="18"/>
      <c r="CP227" s="18"/>
      <c r="CQ227" s="18"/>
      <c r="CR227" s="18">
        <v>4</v>
      </c>
      <c r="CS227" s="18">
        <v>4307</v>
      </c>
      <c r="CT227" s="18"/>
      <c r="CU227" s="18">
        <v>331</v>
      </c>
      <c r="CV227" s="18">
        <v>534</v>
      </c>
      <c r="CW227" s="18">
        <v>59</v>
      </c>
      <c r="CX227" s="18">
        <v>251</v>
      </c>
      <c r="CY227" s="18">
        <v>48</v>
      </c>
      <c r="CZ227" s="18">
        <v>9</v>
      </c>
      <c r="DA227" s="18">
        <v>24</v>
      </c>
      <c r="DB227" s="18">
        <v>13</v>
      </c>
      <c r="DC227" s="18">
        <v>2</v>
      </c>
      <c r="DD227" s="18">
        <v>5</v>
      </c>
      <c r="DE227" s="18"/>
      <c r="DF227" s="18">
        <v>12</v>
      </c>
      <c r="DG227" s="18" t="s">
        <v>669</v>
      </c>
      <c r="DH227" s="18">
        <v>20</v>
      </c>
      <c r="DI227" s="18">
        <v>6</v>
      </c>
      <c r="DJ227" s="18"/>
      <c r="DK227" s="18"/>
      <c r="DL227" s="18">
        <v>19</v>
      </c>
      <c r="DM227" s="18">
        <v>3</v>
      </c>
      <c r="DN227" s="18"/>
      <c r="DO227" s="18"/>
      <c r="DP227" s="18"/>
      <c r="DQ227" s="18"/>
      <c r="DR227" s="18"/>
      <c r="DS227" s="18"/>
      <c r="DT227" s="18"/>
      <c r="DU227" s="18"/>
      <c r="DV227" s="28"/>
      <c r="DW227" s="28"/>
      <c r="DX227" s="28"/>
      <c r="DY227" s="28"/>
      <c r="DZ227" s="28"/>
      <c r="EA227" s="28"/>
      <c r="EB227" s="28"/>
      <c r="EC227" s="28"/>
      <c r="ED227" s="28"/>
      <c r="EE227" s="28"/>
      <c r="EF227" s="28"/>
      <c r="EG227" s="28"/>
      <c r="EH227" s="28"/>
      <c r="EI227" s="28"/>
      <c r="EJ227" s="18"/>
      <c r="EK227" s="18"/>
      <c r="EL227" s="18">
        <f>IFERROR(CR227/'McDonough &amp; Sun 1995 values'!C$2,)</f>
        <v>190.47619047619045</v>
      </c>
      <c r="EM227" s="18">
        <f>IFERROR(CH227/'McDonough &amp; Sun 1995 values'!D$2,)</f>
        <v>606.66666666666674</v>
      </c>
      <c r="EN227" s="18">
        <f>IFERROR(CS227/'McDonough &amp; Sun 1995 values'!E$2,)</f>
        <v>652.57575757575762</v>
      </c>
      <c r="EO227" s="18">
        <f>IFERROR(DL227/'McDonough &amp; Sun 1995 values'!F$2,)</f>
        <v>238.99371069182391</v>
      </c>
      <c r="EP227" s="18">
        <f>IFERROR(DM227/'McDonough &amp; Sun 1995 values'!G$2,)</f>
        <v>147.78325123152712</v>
      </c>
      <c r="EQ227" s="18">
        <f>IFERROR(BR227/'McDonough &amp; Sun 1995 values'!H$2,)</f>
        <v>430.65</v>
      </c>
      <c r="ER227" s="18">
        <f>IFERROR(DI227/'McDonough &amp; Sun 1995 values'!I$2,)</f>
        <v>162.16216216216216</v>
      </c>
      <c r="ES227" s="18">
        <f>IFERROR(CM227/'McDonough &amp; Sun 1995 values'!J$2,)</f>
        <v>145.89665653495439</v>
      </c>
      <c r="ET227" s="18">
        <f>IFERROR(CU227/'McDonough &amp; Sun 1995 values'!K$2,)</f>
        <v>510.80246913580243</v>
      </c>
      <c r="EU227" s="18">
        <f>IFERROR(CV227/'McDonough &amp; Sun 1995 values'!L$2,)</f>
        <v>318.80597014925371</v>
      </c>
      <c r="EV227" s="18">
        <f>IFERROR(CW227/'McDonough &amp; Sun 1995 values'!M$2,)</f>
        <v>232.28346456692913</v>
      </c>
      <c r="EW227" s="18">
        <f>IFERROR(CI227/'McDonough &amp; Sun 1995 values'!N$2,)</f>
        <v>277.7889447236181</v>
      </c>
      <c r="EX227" s="18">
        <f>IFERROR(CX227/'McDonough &amp; Sun 1995 values'!O$2,)</f>
        <v>200.8</v>
      </c>
      <c r="EY227" s="18">
        <f>IFERROR(CY227/'McDonough &amp; Sun 1995 values'!P$2,)</f>
        <v>118.22660098522167</v>
      </c>
      <c r="EZ227" s="18">
        <f>IFERROR(DH227/'McDonough &amp; Sun 1995 values'!Q$2,)</f>
        <v>70.671378091872796</v>
      </c>
      <c r="FA227" s="18">
        <f>IFERROR(CK227/'McDonough &amp; Sun 1995 values'!R$2,)</f>
        <v>94.857142857142861</v>
      </c>
      <c r="FB227" s="18">
        <f>IFERROR(CZ227/'McDonough &amp; Sun 1995 values'!S$2,)</f>
        <v>58.441558441558442</v>
      </c>
      <c r="FC227" s="18">
        <f>IFERROR(BT227/'McDonough &amp; Sun 1995 values'!T$2,)</f>
        <v>20.151867219917012</v>
      </c>
      <c r="FD227" s="18">
        <f>IFERROR(DA227/'McDonough &amp; Sun 1995 values'!U$2,)</f>
        <v>44.117647058823529</v>
      </c>
      <c r="FE227" s="18">
        <f>IFERROR(DN227/'McDonough &amp; Sun 1995 values'!V$2,)</f>
        <v>0</v>
      </c>
      <c r="FF227" s="18">
        <f>IFERROR(DB227/'McDonough &amp; Sun 1995 values'!W$2,)</f>
        <v>19.287833827893174</v>
      </c>
      <c r="FG227" s="18">
        <f>IFERROR(CJ227/'McDonough &amp; Sun 1995 values'!X$2,)</f>
        <v>12.093023255813954</v>
      </c>
      <c r="FH227" s="18">
        <f>IFERROR(DC227/'McDonough &amp; Sun 1995 values'!Y$2,)</f>
        <v>13.422818791946309</v>
      </c>
      <c r="FI227" s="18">
        <f>IFERROR(DD227/'McDonough &amp; Sun 1995 values'!Z$2,)</f>
        <v>11.415525114155251</v>
      </c>
      <c r="FJ227" s="18">
        <f>IFERROR(DE227/'McDonough &amp; Sun 1995 values'!AA$2,)</f>
        <v>0</v>
      </c>
      <c r="FK227" s="18">
        <f>IFERROR(DF227/'McDonough &amp; Sun 1995 values'!AB$2,)</f>
        <v>27.210884353741495</v>
      </c>
      <c r="FL227" s="18">
        <f>IFERROR(DG227/'McDonough &amp; Sun 1995 values'!AC$2,)</f>
        <v>0</v>
      </c>
      <c r="FN227" s="28">
        <f t="shared" si="458"/>
        <v>0.34316324447121127</v>
      </c>
      <c r="FO227" s="4">
        <f t="shared" si="466"/>
        <v>4.4157626262626257</v>
      </c>
      <c r="FP227" s="4">
        <f t="shared" si="467"/>
        <v>1.6381027253668765</v>
      </c>
      <c r="FQ227" s="4">
        <f t="shared" si="468"/>
        <v>1.6171907756813415</v>
      </c>
      <c r="FR227" s="4">
        <f t="shared" si="469"/>
        <v>3.5011252572016462</v>
      </c>
      <c r="FS227" s="4">
        <f t="shared" si="470"/>
        <v>3.1499485596707815</v>
      </c>
      <c r="FT227" s="4">
        <f t="shared" si="471"/>
        <v>3.1850000000000009</v>
      </c>
      <c r="FU227" s="4">
        <f t="shared" si="472"/>
        <v>1.1114864864864866</v>
      </c>
      <c r="FV227" s="4">
        <f t="shared" si="473"/>
        <v>0.80233333333333345</v>
      </c>
      <c r="FW227" s="4">
        <f t="shared" si="474"/>
        <v>1.3422285714285713</v>
      </c>
      <c r="FX227" s="4">
        <f t="shared" si="475"/>
        <v>0.71997079225994887</v>
      </c>
      <c r="FY227" s="4">
        <f t="shared" si="476"/>
        <v>1.2862457601507467</v>
      </c>
      <c r="FZ227" s="4">
        <f t="shared" si="477"/>
        <v>0.80920399034663459</v>
      </c>
      <c r="GA227" s="4">
        <f t="shared" si="478"/>
        <v>1.1959049484711695</v>
      </c>
      <c r="GB227" s="4">
        <f t="shared" si="479"/>
        <v>0.49431818181818188</v>
      </c>
      <c r="GC227" s="4">
        <f t="shared" si="480"/>
        <v>0.31397174254317106</v>
      </c>
      <c r="GD227" s="4">
        <f t="shared" si="481"/>
        <v>2.7305143540669858</v>
      </c>
      <c r="GE227" s="4">
        <f t="shared" si="482"/>
        <v>1.0756743256743255</v>
      </c>
      <c r="GF227" s="4">
        <f t="shared" si="483"/>
        <v>1.5153274296429993</v>
      </c>
      <c r="GG227" s="4">
        <f t="shared" si="484"/>
        <v>4.472863005050506</v>
      </c>
      <c r="GH227" s="4">
        <f t="shared" si="485"/>
        <v>2.1990479179744717</v>
      </c>
      <c r="GI227" s="4">
        <f t="shared" si="486"/>
        <v>4.3205375514403288</v>
      </c>
      <c r="GJ227" s="4">
        <f t="shared" si="487"/>
        <v>26.483143399810068</v>
      </c>
      <c r="GK227" s="4">
        <f t="shared" si="488"/>
        <v>18.77199074074074</v>
      </c>
      <c r="GL227" s="4">
        <f t="shared" si="489"/>
        <v>4.7071143245421547</v>
      </c>
      <c r="GM227" s="4">
        <f t="shared" si="490"/>
        <v>0.39394567696454486</v>
      </c>
      <c r="GN227" s="4">
        <f t="shared" si="491"/>
        <v>0.28562245750649684</v>
      </c>
      <c r="GO227" s="4">
        <f t="shared" si="492"/>
        <v>0.98723404255319125</v>
      </c>
      <c r="GP227" s="4">
        <f t="shared" si="493"/>
        <v>2.9140649999999995</v>
      </c>
      <c r="GQ227" s="27">
        <f t="shared" si="494"/>
        <v>69811.519808055513</v>
      </c>
      <c r="GR227" s="28">
        <f t="shared" si="495"/>
        <v>2.7017887614867262</v>
      </c>
      <c r="GS227" s="28">
        <f t="shared" si="496"/>
        <v>245.86277729529206</v>
      </c>
      <c r="GT227" s="28">
        <f t="shared" si="497"/>
        <v>2909.1510489308321</v>
      </c>
      <c r="GU227" s="28">
        <f t="shared" si="498"/>
        <v>12.833496617061948</v>
      </c>
      <c r="GV227" s="28">
        <f t="shared" si="499"/>
        <v>2.0263415711150445</v>
      </c>
      <c r="GW227" s="28">
        <f t="shared" si="500"/>
        <v>69811.519808055513</v>
      </c>
      <c r="GX227" s="28">
        <f t="shared" si="501"/>
        <v>4.0526831422300891</v>
      </c>
      <c r="GY227" s="28">
        <f t="shared" si="502"/>
        <v>64.842930275681425</v>
      </c>
      <c r="GZ227" s="28">
        <f t="shared" si="503"/>
        <v>223.57302001302656</v>
      </c>
      <c r="HA227" s="28">
        <f t="shared" si="504"/>
        <v>360.68879965847793</v>
      </c>
      <c r="HB227" s="28">
        <f t="shared" si="505"/>
        <v>39.85138423192921</v>
      </c>
      <c r="HC227" s="28">
        <f t="shared" si="506"/>
        <v>3733.8720683746551</v>
      </c>
      <c r="HD227" s="28">
        <f t="shared" si="507"/>
        <v>169.53724478329207</v>
      </c>
      <c r="HE227" s="28">
        <f t="shared" si="508"/>
        <v>32.421465137840713</v>
      </c>
      <c r="HF227" s="28">
        <f t="shared" si="509"/>
        <v>13.50894380743363</v>
      </c>
      <c r="HG227" s="28">
        <f t="shared" si="510"/>
        <v>672.74540161019479</v>
      </c>
      <c r="HH227" s="28">
        <f t="shared" si="511"/>
        <v>6.0790247133451336</v>
      </c>
      <c r="HI227" s="28">
        <f t="shared" si="512"/>
        <v>16401.884123795542</v>
      </c>
      <c r="HJ227" s="28">
        <f t="shared" si="513"/>
        <v>16.210732568920356</v>
      </c>
      <c r="HK227" s="28">
        <f t="shared" si="514"/>
        <v>0</v>
      </c>
      <c r="HL227" s="28">
        <f t="shared" si="515"/>
        <v>8.7808134748318611</v>
      </c>
      <c r="HM227" s="28">
        <f t="shared" si="516"/>
        <v>35.123253899327445</v>
      </c>
      <c r="HN227" s="28">
        <f t="shared" si="517"/>
        <v>1.3508943807433631</v>
      </c>
      <c r="HO227" s="28">
        <f t="shared" si="518"/>
        <v>3.3772359518584074</v>
      </c>
      <c r="HP227" s="28">
        <f t="shared" si="519"/>
        <v>0</v>
      </c>
      <c r="HQ227" s="28">
        <f t="shared" si="520"/>
        <v>8.1053662844601782</v>
      </c>
      <c r="HR227" s="28" t="str">
        <f t="shared" si="521"/>
        <v/>
      </c>
      <c r="HT227" s="4">
        <f>IFERROR(GR227/'McDonough &amp; Sun 1995 values'!C$2,)</f>
        <v>128.65660768984409</v>
      </c>
      <c r="HU227" s="4">
        <f>IFERROR(GS227/'McDonough &amp; Sun 1995 values'!D$2,)</f>
        <v>409.77129549215346</v>
      </c>
      <c r="HV227" s="4">
        <f>IFERROR(GT227/'McDonough &amp; Sun 1995 values'!E$2,)</f>
        <v>440.78046195921701</v>
      </c>
      <c r="HW227" s="4">
        <f>IFERROR(GU227/'McDonough &amp; Sun 1995 values'!F$2,)</f>
        <v>161.42763040329496</v>
      </c>
      <c r="HX227" s="4">
        <f>IFERROR(GV227/'McDonough &amp; Sun 1995 values'!G$2,)</f>
        <v>99.819781828327322</v>
      </c>
      <c r="HY227" s="4">
        <f>IFERROR(GW227/'McDonough &amp; Sun 1995 values'!H$2,)</f>
        <v>290.88133253356466</v>
      </c>
      <c r="HZ227" s="4">
        <f>IFERROR(GX227/'McDonough &amp; Sun 1995 values'!I$2,)</f>
        <v>109.53197681702945</v>
      </c>
      <c r="IA227" s="4">
        <f>IFERROR(GY227/'McDonough &amp; Sun 1995 values'!J$2,)</f>
        <v>98.545486741157177</v>
      </c>
      <c r="IB227" s="4">
        <f>IFERROR(GZ227/'McDonough &amp; Sun 1995 values'!K$2,)</f>
        <v>345.02009261269529</v>
      </c>
      <c r="IC227" s="4">
        <f>IFERROR(HA227/'McDonough &amp; Sun 1995 values'!L$2,)</f>
        <v>215.3365968110316</v>
      </c>
      <c r="ID227" s="4">
        <f>IFERROR(HB227/'McDonough &amp; Sun 1995 values'!M$2,)</f>
        <v>156.89521351153232</v>
      </c>
      <c r="IE227" s="4">
        <f>IFERROR(HC227/'McDonough &amp; Sun 1995 values'!N$2,)</f>
        <v>187.63176222988218</v>
      </c>
      <c r="IF227" s="4">
        <f>IFERROR(HD227/'McDonough &amp; Sun 1995 values'!O$2,)</f>
        <v>135.62979582663365</v>
      </c>
      <c r="IG227" s="4">
        <f>IFERROR(HE227/'McDonough &amp; Sun 1995 values'!P$2,)</f>
        <v>79.855825462661855</v>
      </c>
      <c r="IH227" s="4">
        <f>IFERROR(HF227/'McDonough &amp; Sun 1995 values'!Q$2,)</f>
        <v>47.734783771850289</v>
      </c>
      <c r="II227" s="4">
        <f>IFERROR(HG227/'McDonough &amp; Sun 1995 values'!R$2,)</f>
        <v>64.070990629542365</v>
      </c>
      <c r="IJ227" s="4">
        <f>IFERROR(HH227/'McDonough &amp; Sun 1995 values'!S$2,)</f>
        <v>39.474186450293075</v>
      </c>
      <c r="IK227" s="4">
        <f>IFERROR(HI227/'McDonough &amp; Sun 1995 values'!T$2,)</f>
        <v>13.611522094436134</v>
      </c>
      <c r="IL227" s="4">
        <f>IFERROR(HJ227/'McDonough &amp; Sun 1995 values'!U$2,)</f>
        <v>29.79914075169183</v>
      </c>
      <c r="IM227" s="4">
        <f>IFERROR(HK227/'McDonough &amp; Sun 1995 values'!V$2,)</f>
        <v>0</v>
      </c>
      <c r="IN227" s="4">
        <f>IFERROR(HL227/'McDonough &amp; Sun 1995 values'!W$2,)</f>
        <v>13.027913167406322</v>
      </c>
      <c r="IO227" s="4">
        <f>IFERROR(HM227/'McDonough &amp; Sun 1995 values'!X$2,)</f>
        <v>8.1681985812389417</v>
      </c>
      <c r="IP227" s="4">
        <f>IFERROR(HN227/'McDonough &amp; Sun 1995 values'!Y$2,)</f>
        <v>9.0664052398883435</v>
      </c>
      <c r="IQ227" s="4">
        <f>IFERROR(HO227/'McDonough &amp; Sun 1995 values'!Z$2,)</f>
        <v>7.7105843649735331</v>
      </c>
      <c r="IR227" s="4">
        <f>IFERROR(HP227/'McDonough &amp; Sun 1995 values'!AA$2,)</f>
        <v>0</v>
      </c>
      <c r="IS227" s="4">
        <f>IFERROR(HQ227/'McDonough &amp; Sun 1995 values'!AB$2,)</f>
        <v>18.379515384263442</v>
      </c>
      <c r="IT227" s="4">
        <f>IFERROR(HR227/'McDonough &amp; Sun 1995 values'!AC$2,)</f>
        <v>0</v>
      </c>
    </row>
    <row r="228" spans="1:254">
      <c r="A228" s="16" t="s">
        <v>1164</v>
      </c>
      <c r="B228" s="16" t="s">
        <v>24</v>
      </c>
      <c r="C228" s="16" t="str">
        <f t="shared" si="461"/>
        <v>silicic</v>
      </c>
      <c r="D228" s="16" t="s">
        <v>110</v>
      </c>
      <c r="E228" s="16" t="s">
        <v>171</v>
      </c>
      <c r="F228" s="16" t="s">
        <v>113</v>
      </c>
      <c r="G228" s="16" t="s">
        <v>595</v>
      </c>
      <c r="H228" s="27" t="s">
        <v>805</v>
      </c>
      <c r="I228" s="16" t="s">
        <v>735</v>
      </c>
      <c r="J228" s="16" t="s">
        <v>1311</v>
      </c>
      <c r="K228" s="16" t="s">
        <v>115</v>
      </c>
      <c r="L228" s="16" t="s">
        <v>114</v>
      </c>
      <c r="M228" s="16" t="s">
        <v>116</v>
      </c>
      <c r="N228" s="16">
        <v>20</v>
      </c>
      <c r="O228" s="26">
        <v>50</v>
      </c>
      <c r="P228" s="26">
        <v>2.8</v>
      </c>
      <c r="Q228" s="26"/>
      <c r="R228" s="26">
        <v>6.4</v>
      </c>
      <c r="S228" s="26">
        <v>4.5</v>
      </c>
      <c r="T228" s="26">
        <v>2.9</v>
      </c>
      <c r="U228" s="26"/>
      <c r="V228" s="26">
        <v>5.4</v>
      </c>
      <c r="W228" s="26">
        <v>3.2</v>
      </c>
      <c r="X228" s="26">
        <v>14.4</v>
      </c>
      <c r="Y228" s="26"/>
      <c r="Z228" s="26">
        <v>3.5</v>
      </c>
      <c r="AA228" s="26"/>
      <c r="AB228" s="26">
        <v>3.1</v>
      </c>
      <c r="AC228" s="26"/>
      <c r="AD228" s="26">
        <v>4.8</v>
      </c>
      <c r="AE228" s="26"/>
      <c r="AF228" s="26"/>
      <c r="AG228" s="26"/>
      <c r="AH228" s="26"/>
      <c r="AI228" s="26">
        <v>2.2000000000000002</v>
      </c>
      <c r="AJ228" s="26">
        <f t="shared" si="462"/>
        <v>101</v>
      </c>
      <c r="AK228" s="26">
        <f t="shared" si="522"/>
        <v>50.041642551629707</v>
      </c>
      <c r="AL228" s="26">
        <f t="shared" si="523"/>
        <v>2.8023319828912636</v>
      </c>
      <c r="AM228" s="26">
        <f t="shared" si="524"/>
        <v>6.4053302466086022</v>
      </c>
      <c r="AN228" s="26">
        <f t="shared" si="525"/>
        <v>4.5037478296466729</v>
      </c>
      <c r="AO228" s="26">
        <f t="shared" si="526"/>
        <v>2.902415267994523</v>
      </c>
      <c r="AP228" s="26">
        <f t="shared" si="527"/>
        <v>5.4044973955760085</v>
      </c>
      <c r="AQ228" s="26">
        <f t="shared" si="528"/>
        <v>3.1025818382010417</v>
      </c>
      <c r="AR228" s="26">
        <f t="shared" si="529"/>
        <v>3.2026651233043011</v>
      </c>
      <c r="AS228" s="26">
        <f t="shared" si="530"/>
        <v>14.411993054869354</v>
      </c>
      <c r="AT228" s="26">
        <f t="shared" si="531"/>
        <v>3.5029149786140792</v>
      </c>
      <c r="AU228" s="26">
        <f t="shared" si="532"/>
        <v>4.8039976849564514</v>
      </c>
      <c r="AV228" s="26">
        <f t="shared" si="463"/>
        <v>101.08411795429201</v>
      </c>
      <c r="AW228" s="26">
        <v>7.8</v>
      </c>
      <c r="AX228" s="26">
        <v>88</v>
      </c>
      <c r="AY228" s="94"/>
      <c r="AZ228" s="94"/>
      <c r="BA228" s="26">
        <v>3.5000000000000003E-2</v>
      </c>
      <c r="BB228" s="26"/>
      <c r="BC228" s="26">
        <f>(AX228/18)/((AX228/18)+(AW228/44))</f>
        <v>0.9650084737314325</v>
      </c>
      <c r="BD228" s="26">
        <f>(AW228/44)/((AX228/18)+(AW228/44))</f>
        <v>3.4991526268567434E-2</v>
      </c>
      <c r="BE228" s="16"/>
      <c r="BF228" s="16"/>
      <c r="BG228" s="16"/>
      <c r="BH228" s="16"/>
      <c r="BI228" s="16"/>
      <c r="BJ228" s="16">
        <v>0.42</v>
      </c>
      <c r="BK228" s="18"/>
      <c r="BL228" s="18"/>
      <c r="BM228" s="18"/>
      <c r="BN228" s="18"/>
      <c r="BO228" s="18"/>
      <c r="BP228" s="18">
        <v>0</v>
      </c>
      <c r="BQ228" s="18">
        <v>0</v>
      </c>
      <c r="BR228" s="18"/>
      <c r="BS228" s="18"/>
      <c r="BT228" s="18"/>
      <c r="BU228" s="18"/>
      <c r="BV228" s="18"/>
      <c r="BW228" s="18"/>
      <c r="BX228" s="18"/>
      <c r="BY228" s="18"/>
      <c r="BZ228" s="18"/>
      <c r="CA228" s="18"/>
      <c r="CB228" s="18"/>
      <c r="CC228" s="18"/>
      <c r="CD228" s="18"/>
      <c r="CE228" s="18"/>
      <c r="CF228" s="18"/>
      <c r="CG228" s="18"/>
      <c r="CH228" s="18">
        <v>0.53</v>
      </c>
      <c r="CI228" s="18">
        <v>1.3</v>
      </c>
      <c r="CJ228" s="18">
        <v>1.9199999999999998E-2</v>
      </c>
      <c r="CK228" s="18">
        <v>0.55000000000000004</v>
      </c>
      <c r="CL228" s="18"/>
      <c r="CM228" s="18">
        <v>0.11700000000000001</v>
      </c>
      <c r="CN228" s="18"/>
      <c r="CO228" s="18"/>
      <c r="CP228" s="18"/>
      <c r="CQ228" s="18"/>
      <c r="CR228" s="18">
        <v>1.0999999999999999E-2</v>
      </c>
      <c r="CS228" s="18">
        <v>27</v>
      </c>
      <c r="CT228" s="18"/>
      <c r="CU228" s="18">
        <v>0.70799999999999996</v>
      </c>
      <c r="CV228" s="18">
        <v>0.94</v>
      </c>
      <c r="CW228" s="18">
        <v>0.05</v>
      </c>
      <c r="CX228" s="18">
        <v>0.17</v>
      </c>
      <c r="CY228" s="18">
        <v>1.9E-2</v>
      </c>
      <c r="CZ228" s="18">
        <v>5.4999999999999997E-3</v>
      </c>
      <c r="DA228" s="18">
        <v>1.2E-2</v>
      </c>
      <c r="DB228" s="18">
        <v>4.7000000000000002E-3</v>
      </c>
      <c r="DC228" s="18"/>
      <c r="DD228" s="18"/>
      <c r="DE228" s="18"/>
      <c r="DF228" s="18"/>
      <c r="DG228" s="18"/>
      <c r="DH228" s="18">
        <v>1.7999999999999999E-2</v>
      </c>
      <c r="DI228" s="18">
        <v>0</v>
      </c>
      <c r="DJ228" s="18"/>
      <c r="DK228" s="18"/>
      <c r="DL228" s="18">
        <v>0.19</v>
      </c>
      <c r="DM228" s="18">
        <v>2.8000000000000001E-2</v>
      </c>
      <c r="DN228" s="18">
        <v>1.2999999999999999E-3</v>
      </c>
      <c r="DO228" s="18"/>
      <c r="DP228" s="18"/>
      <c r="DQ228" s="18"/>
      <c r="DR228" s="18"/>
      <c r="DS228" s="18"/>
      <c r="DT228" s="18">
        <v>1.2079</v>
      </c>
      <c r="DU228" s="18"/>
      <c r="DV228" s="28">
        <v>0.71202799999999999</v>
      </c>
      <c r="DW228" s="28">
        <v>5.0000000000000002E-5</v>
      </c>
      <c r="DX228" s="28">
        <v>0.71107200000000004</v>
      </c>
      <c r="DY228" s="28">
        <v>2.1000000000000001E-4</v>
      </c>
      <c r="DZ228" s="28"/>
      <c r="EA228" s="28"/>
      <c r="EB228" s="28"/>
      <c r="EC228" s="28"/>
      <c r="ED228" s="28"/>
      <c r="EE228" s="28"/>
      <c r="EF228" s="28"/>
      <c r="EG228" s="28"/>
      <c r="EH228" s="28"/>
      <c r="EI228" s="28"/>
      <c r="EJ228" s="18"/>
      <c r="EK228" s="18"/>
      <c r="EL228" s="18">
        <f>IFERROR(CR228/'McDonough &amp; Sun 1995 values'!C$2,)</f>
        <v>0.52380952380952372</v>
      </c>
      <c r="EM228" s="18">
        <f>IFERROR(CH228/'McDonough &amp; Sun 1995 values'!D$2,)</f>
        <v>0.88333333333333341</v>
      </c>
      <c r="EN228" s="18">
        <f>IFERROR(CS228/'McDonough &amp; Sun 1995 values'!E$2,)</f>
        <v>4.0909090909090908</v>
      </c>
      <c r="EO228" s="18">
        <f>IFERROR(DL228/'McDonough &amp; Sun 1995 values'!F$2,)</f>
        <v>2.3899371069182389</v>
      </c>
      <c r="EP228" s="18">
        <f>IFERROR(DM228/'McDonough &amp; Sun 1995 values'!G$2,)</f>
        <v>1.3793103448275863</v>
      </c>
      <c r="EQ228" s="18">
        <f>IFERROR(BR228/'McDonough &amp; Sun 1995 values'!H$2,)</f>
        <v>0</v>
      </c>
      <c r="ER228" s="18">
        <f>IFERROR(DI228/'McDonough &amp; Sun 1995 values'!I$2,)</f>
        <v>0</v>
      </c>
      <c r="ES228" s="18">
        <f>IFERROR(CM228/'McDonough &amp; Sun 1995 values'!J$2,)</f>
        <v>0.17781155015197569</v>
      </c>
      <c r="ET228" s="18">
        <f>IFERROR(CU228/'McDonough &amp; Sun 1995 values'!K$2,)</f>
        <v>1.0925925925925926</v>
      </c>
      <c r="EU228" s="18">
        <f>IFERROR(CV228/'McDonough &amp; Sun 1995 values'!L$2,)</f>
        <v>0.56119402985074618</v>
      </c>
      <c r="EV228" s="18">
        <f>IFERROR(CW228/'McDonough &amp; Sun 1995 values'!M$2,)</f>
        <v>0.19685039370078741</v>
      </c>
      <c r="EW228" s="18">
        <f>IFERROR(CI228/'McDonough &amp; Sun 1995 values'!N$2,)</f>
        <v>6.5326633165829151E-2</v>
      </c>
      <c r="EX228" s="18">
        <f>IFERROR(CX228/'McDonough &amp; Sun 1995 values'!O$2,)</f>
        <v>0.13600000000000001</v>
      </c>
      <c r="EY228" s="18">
        <f>IFERROR(CY228/'McDonough &amp; Sun 1995 values'!P$2,)</f>
        <v>4.6798029556650245E-2</v>
      </c>
      <c r="EZ228" s="18">
        <f>IFERROR(DH228/'McDonough &amp; Sun 1995 values'!Q$2,)</f>
        <v>6.360424028268552E-2</v>
      </c>
      <c r="FA228" s="18">
        <f>IFERROR(CK228/'McDonough &amp; Sun 1995 values'!R$2,)</f>
        <v>5.2380952380952382E-2</v>
      </c>
      <c r="FB228" s="18">
        <f>IFERROR(CZ228/'McDonough &amp; Sun 1995 values'!S$2,)</f>
        <v>3.5714285714285712E-2</v>
      </c>
      <c r="FC228" s="18">
        <f>IFERROR(BT228/'McDonough &amp; Sun 1995 values'!T$2,)</f>
        <v>0</v>
      </c>
      <c r="FD228" s="18">
        <f>IFERROR(DA228/'McDonough &amp; Sun 1995 values'!U$2,)</f>
        <v>2.2058823529411763E-2</v>
      </c>
      <c r="FE228" s="18">
        <f>IFERROR(DN228/'McDonough &amp; Sun 1995 values'!V$2,)</f>
        <v>1.3131313131313131E-2</v>
      </c>
      <c r="FF228" s="18">
        <f>IFERROR(DB228/'McDonough &amp; Sun 1995 values'!W$2,)</f>
        <v>6.9732937685459935E-3</v>
      </c>
      <c r="FG228" s="18">
        <f>IFERROR(CJ228/'McDonough &amp; Sun 1995 values'!X$2,)</f>
        <v>4.4651162790697672E-3</v>
      </c>
      <c r="FH228" s="18">
        <f>IFERROR(DC228/'McDonough &amp; Sun 1995 values'!Y$2,)</f>
        <v>0</v>
      </c>
      <c r="FI228" s="18">
        <f>IFERROR(DD228/'McDonough &amp; Sun 1995 values'!Z$2,)</f>
        <v>0</v>
      </c>
      <c r="FJ228" s="18">
        <f>IFERROR(DE228/'McDonough &amp; Sun 1995 values'!AA$2,)</f>
        <v>0</v>
      </c>
      <c r="FK228" s="18">
        <f>IFERROR(DF228/'McDonough &amp; Sun 1995 values'!AB$2,)</f>
        <v>0</v>
      </c>
      <c r="FL228" s="18">
        <f>IFERROR(DG228/'McDonough &amp; Sun 1995 values'!AC$2,)</f>
        <v>0</v>
      </c>
      <c r="FN228" s="28">
        <f t="shared" si="458"/>
        <v>0</v>
      </c>
      <c r="FO228" s="4">
        <f t="shared" si="466"/>
        <v>2.9659090909090908</v>
      </c>
      <c r="FP228" s="4">
        <f t="shared" si="467"/>
        <v>13.440842874805139</v>
      </c>
      <c r="FQ228" s="4">
        <f t="shared" si="468"/>
        <v>1.732704402515723</v>
      </c>
      <c r="FR228" s="4">
        <f t="shared" si="469"/>
        <v>6.1446660335549215</v>
      </c>
      <c r="FS228" s="4">
        <f t="shared" si="470"/>
        <v>0</v>
      </c>
      <c r="FT228" s="4">
        <f t="shared" si="471"/>
        <v>1.6863636363636367</v>
      </c>
      <c r="FU228" s="4">
        <f t="shared" si="472"/>
        <v>0</v>
      </c>
      <c r="FV228" s="4">
        <f t="shared" si="473"/>
        <v>1.1192982456140352</v>
      </c>
      <c r="FW228" s="4">
        <f t="shared" si="474"/>
        <v>0.82354497354497347</v>
      </c>
      <c r="FX228" s="4">
        <f t="shared" si="475"/>
        <v>1.0373487638085217</v>
      </c>
      <c r="FY228" s="4">
        <f t="shared" si="476"/>
        <v>0.39925712749150721</v>
      </c>
      <c r="FZ228" s="4">
        <f t="shared" si="477"/>
        <v>1.1115704981831236</v>
      </c>
      <c r="GA228" s="4">
        <f t="shared" si="478"/>
        <v>0.33185929648241208</v>
      </c>
      <c r="GB228" s="4">
        <f t="shared" si="479"/>
        <v>0.76315789473684204</v>
      </c>
      <c r="GC228" s="4">
        <f t="shared" si="480"/>
        <v>0.59299191374663063</v>
      </c>
      <c r="GD228" s="4">
        <f t="shared" si="481"/>
        <v>1.7117224880382775</v>
      </c>
      <c r="GE228" s="4">
        <f t="shared" si="482"/>
        <v>4.631217838765008</v>
      </c>
      <c r="GF228" s="4">
        <f t="shared" si="483"/>
        <v>0</v>
      </c>
      <c r="GG228" s="4">
        <f t="shared" si="484"/>
        <v>23.006993006993007</v>
      </c>
      <c r="GH228" s="4">
        <f t="shared" si="485"/>
        <v>5.55037037037037</v>
      </c>
      <c r="GI228" s="4">
        <f t="shared" si="486"/>
        <v>23.346978557504872</v>
      </c>
      <c r="GJ228" s="4">
        <f t="shared" si="487"/>
        <v>156.68242710795903</v>
      </c>
      <c r="GK228" s="4">
        <f t="shared" si="488"/>
        <v>0</v>
      </c>
      <c r="GL228" s="4">
        <f t="shared" si="489"/>
        <v>0</v>
      </c>
      <c r="GM228" s="4">
        <f t="shared" si="490"/>
        <v>2.7055891776432892</v>
      </c>
      <c r="GN228" s="4">
        <f t="shared" si="491"/>
        <v>0.16274277471536758</v>
      </c>
      <c r="GO228" s="4">
        <f t="shared" si="492"/>
        <v>0.12891337386018237</v>
      </c>
      <c r="GP228" s="4">
        <f t="shared" si="493"/>
        <v>0</v>
      </c>
      <c r="GQ228" s="27">
        <f t="shared" si="494"/>
        <v>119639.33070071354</v>
      </c>
      <c r="GR228" s="28" t="str">
        <f t="shared" si="495"/>
        <v/>
      </c>
      <c r="GS228" s="28" t="str">
        <f t="shared" si="496"/>
        <v/>
      </c>
      <c r="GT228" s="28" t="str">
        <f t="shared" si="497"/>
        <v/>
      </c>
      <c r="GU228" s="28" t="str">
        <f t="shared" si="498"/>
        <v/>
      </c>
      <c r="GV228" s="28" t="str">
        <f t="shared" si="499"/>
        <v/>
      </c>
      <c r="GW228" s="28" t="str">
        <f t="shared" si="500"/>
        <v/>
      </c>
      <c r="GX228" s="28" t="str">
        <f t="shared" si="501"/>
        <v/>
      </c>
      <c r="GY228" s="28" t="str">
        <f t="shared" si="502"/>
        <v/>
      </c>
      <c r="GZ228" s="28" t="str">
        <f t="shared" si="503"/>
        <v/>
      </c>
      <c r="HA228" s="28" t="str">
        <f t="shared" si="504"/>
        <v/>
      </c>
      <c r="HB228" s="28" t="str">
        <f t="shared" si="505"/>
        <v/>
      </c>
      <c r="HC228" s="28" t="str">
        <f t="shared" si="506"/>
        <v/>
      </c>
      <c r="HD228" s="28" t="str">
        <f t="shared" si="507"/>
        <v/>
      </c>
      <c r="HE228" s="28" t="str">
        <f t="shared" si="508"/>
        <v/>
      </c>
      <c r="HF228" s="28" t="str">
        <f t="shared" si="509"/>
        <v/>
      </c>
      <c r="HG228" s="28" t="str">
        <f t="shared" si="510"/>
        <v/>
      </c>
      <c r="HH228" s="28" t="str">
        <f t="shared" si="511"/>
        <v/>
      </c>
      <c r="HI228" s="28" t="str">
        <f t="shared" si="512"/>
        <v/>
      </c>
      <c r="HJ228" s="28" t="str">
        <f t="shared" si="513"/>
        <v/>
      </c>
      <c r="HK228" s="28" t="str">
        <f t="shared" si="514"/>
        <v/>
      </c>
      <c r="HL228" s="28" t="str">
        <f t="shared" si="515"/>
        <v/>
      </c>
      <c r="HM228" s="28" t="str">
        <f t="shared" si="516"/>
        <v/>
      </c>
      <c r="HN228" s="28" t="str">
        <f t="shared" si="517"/>
        <v/>
      </c>
      <c r="HO228" s="28" t="str">
        <f t="shared" si="518"/>
        <v/>
      </c>
      <c r="HP228" s="28" t="str">
        <f t="shared" si="519"/>
        <v/>
      </c>
      <c r="HQ228" s="28" t="str">
        <f t="shared" si="520"/>
        <v/>
      </c>
      <c r="HR228" s="28" t="str">
        <f t="shared" si="521"/>
        <v/>
      </c>
      <c r="HT228" s="4">
        <f>IFERROR(GR228/'McDonough &amp; Sun 1995 values'!C$2,)</f>
        <v>0</v>
      </c>
      <c r="HU228" s="4">
        <f>IFERROR(GS228/'McDonough &amp; Sun 1995 values'!D$2,)</f>
        <v>0</v>
      </c>
      <c r="HV228" s="4">
        <f>IFERROR(GT228/'McDonough &amp; Sun 1995 values'!E$2,)</f>
        <v>0</v>
      </c>
      <c r="HW228" s="4">
        <f>IFERROR(GU228/'McDonough &amp; Sun 1995 values'!F$2,)</f>
        <v>0</v>
      </c>
      <c r="HX228" s="4">
        <f>IFERROR(GV228/'McDonough &amp; Sun 1995 values'!G$2,)</f>
        <v>0</v>
      </c>
      <c r="HY228" s="4">
        <f>IFERROR(GW228/'McDonough &amp; Sun 1995 values'!H$2,)</f>
        <v>0</v>
      </c>
      <c r="HZ228" s="4">
        <f>IFERROR(GX228/'McDonough &amp; Sun 1995 values'!I$2,)</f>
        <v>0</v>
      </c>
      <c r="IA228" s="4">
        <f>IFERROR(GY228/'McDonough &amp; Sun 1995 values'!J$2,)</f>
        <v>0</v>
      </c>
      <c r="IB228" s="4">
        <f>IFERROR(GZ228/'McDonough &amp; Sun 1995 values'!K$2,)</f>
        <v>0</v>
      </c>
      <c r="IC228" s="4">
        <f>IFERROR(HA228/'McDonough &amp; Sun 1995 values'!L$2,)</f>
        <v>0</v>
      </c>
      <c r="ID228" s="4">
        <f>IFERROR(HB228/'McDonough &amp; Sun 1995 values'!M$2,)</f>
        <v>0</v>
      </c>
      <c r="IE228" s="4">
        <f>IFERROR(HC228/'McDonough &amp; Sun 1995 values'!N$2,)</f>
        <v>0</v>
      </c>
      <c r="IF228" s="4">
        <f>IFERROR(HD228/'McDonough &amp; Sun 1995 values'!O$2,)</f>
        <v>0</v>
      </c>
      <c r="IG228" s="4">
        <f>IFERROR(HE228/'McDonough &amp; Sun 1995 values'!P$2,)</f>
        <v>0</v>
      </c>
      <c r="IH228" s="4">
        <f>IFERROR(HF228/'McDonough &amp; Sun 1995 values'!Q$2,)</f>
        <v>0</v>
      </c>
      <c r="II228" s="4">
        <f>IFERROR(HG228/'McDonough &amp; Sun 1995 values'!R$2,)</f>
        <v>0</v>
      </c>
      <c r="IJ228" s="4">
        <f>IFERROR(HH228/'McDonough &amp; Sun 1995 values'!S$2,)</f>
        <v>0</v>
      </c>
      <c r="IK228" s="4">
        <f>IFERROR(HI228/'McDonough &amp; Sun 1995 values'!T$2,)</f>
        <v>0</v>
      </c>
      <c r="IL228" s="4">
        <f>IFERROR(HJ228/'McDonough &amp; Sun 1995 values'!U$2,)</f>
        <v>0</v>
      </c>
      <c r="IM228" s="4">
        <f>IFERROR(HK228/'McDonough &amp; Sun 1995 values'!V$2,)</f>
        <v>0</v>
      </c>
      <c r="IN228" s="4">
        <f>IFERROR(HL228/'McDonough &amp; Sun 1995 values'!W$2,)</f>
        <v>0</v>
      </c>
      <c r="IO228" s="4">
        <f>IFERROR(HM228/'McDonough &amp; Sun 1995 values'!X$2,)</f>
        <v>0</v>
      </c>
      <c r="IP228" s="4">
        <f>IFERROR(HN228/'McDonough &amp; Sun 1995 values'!Y$2,)</f>
        <v>0</v>
      </c>
      <c r="IQ228" s="4">
        <f>IFERROR(HO228/'McDonough &amp; Sun 1995 values'!Z$2,)</f>
        <v>0</v>
      </c>
      <c r="IR228" s="4">
        <f>IFERROR(HP228/'McDonough &amp; Sun 1995 values'!AA$2,)</f>
        <v>0</v>
      </c>
      <c r="IS228" s="4">
        <f>IFERROR(HQ228/'McDonough &amp; Sun 1995 values'!AB$2,)</f>
        <v>0</v>
      </c>
      <c r="IT228" s="4">
        <f>IFERROR(HR228/'McDonough &amp; Sun 1995 values'!AC$2,)</f>
        <v>0</v>
      </c>
    </row>
    <row r="229" spans="1:254">
      <c r="A229" s="16" t="s">
        <v>1164</v>
      </c>
      <c r="B229" s="16" t="s">
        <v>24</v>
      </c>
      <c r="C229" s="16" t="str">
        <f t="shared" si="461"/>
        <v>silicic</v>
      </c>
      <c r="D229" s="16" t="s">
        <v>110</v>
      </c>
      <c r="E229" s="16" t="s">
        <v>171</v>
      </c>
      <c r="F229" s="16" t="s">
        <v>113</v>
      </c>
      <c r="G229" s="16" t="s">
        <v>595</v>
      </c>
      <c r="H229" s="27" t="s">
        <v>805</v>
      </c>
      <c r="I229" s="16" t="s">
        <v>735</v>
      </c>
      <c r="J229" s="16" t="s">
        <v>1311</v>
      </c>
      <c r="K229" s="16" t="s">
        <v>117</v>
      </c>
      <c r="L229" s="16" t="s">
        <v>114</v>
      </c>
      <c r="M229" s="16" t="s">
        <v>118</v>
      </c>
      <c r="N229" s="16">
        <v>20</v>
      </c>
      <c r="O229" s="26">
        <v>43.7</v>
      </c>
      <c r="P229" s="26">
        <v>2.2000000000000002</v>
      </c>
      <c r="Q229" s="26"/>
      <c r="R229" s="26">
        <v>5.6</v>
      </c>
      <c r="S229" s="26">
        <v>5.9</v>
      </c>
      <c r="T229" s="26">
        <v>2.5</v>
      </c>
      <c r="U229" s="26"/>
      <c r="V229" s="26">
        <v>4.8</v>
      </c>
      <c r="W229" s="26">
        <v>2</v>
      </c>
      <c r="X229" s="26">
        <v>18.2</v>
      </c>
      <c r="Y229" s="26"/>
      <c r="Z229" s="26">
        <v>4</v>
      </c>
      <c r="AA229" s="26"/>
      <c r="AB229" s="26">
        <v>6.1</v>
      </c>
      <c r="AC229" s="26"/>
      <c r="AD229" s="26">
        <v>6.4</v>
      </c>
      <c r="AE229" s="26"/>
      <c r="AF229" s="26"/>
      <c r="AG229" s="26"/>
      <c r="AH229" s="26"/>
      <c r="AI229" s="26">
        <v>3.3</v>
      </c>
      <c r="AJ229" s="26">
        <f t="shared" si="462"/>
        <v>101.4</v>
      </c>
      <c r="AK229" s="26">
        <f t="shared" si="522"/>
        <v>43.719362312787325</v>
      </c>
      <c r="AL229" s="26">
        <f t="shared" si="523"/>
        <v>2.2009747617421538</v>
      </c>
      <c r="AM229" s="26">
        <f t="shared" si="524"/>
        <v>5.6024812117072997</v>
      </c>
      <c r="AN229" s="26">
        <f t="shared" si="525"/>
        <v>5.9026141337630493</v>
      </c>
      <c r="AO229" s="26">
        <f t="shared" si="526"/>
        <v>2.501107683797902</v>
      </c>
      <c r="AP229" s="26">
        <f t="shared" si="527"/>
        <v>4.8021267528919713</v>
      </c>
      <c r="AQ229" s="26">
        <f t="shared" si="528"/>
        <v>6.1027027484668803</v>
      </c>
      <c r="AR229" s="26">
        <f t="shared" si="529"/>
        <v>2.0008861470383215</v>
      </c>
      <c r="AS229" s="26">
        <f t="shared" si="530"/>
        <v>18.208063938048724</v>
      </c>
      <c r="AT229" s="26">
        <f t="shared" si="531"/>
        <v>4.0017722940766429</v>
      </c>
      <c r="AU229" s="26">
        <f t="shared" si="532"/>
        <v>6.402835670522629</v>
      </c>
      <c r="AV229" s="26">
        <f t="shared" si="463"/>
        <v>101.4449276548429</v>
      </c>
      <c r="AW229" s="26">
        <v>8.1</v>
      </c>
      <c r="AX229" s="26">
        <v>140.4</v>
      </c>
      <c r="AY229" s="94"/>
      <c r="AZ229" s="94"/>
      <c r="BA229" s="26">
        <v>2.3E-2</v>
      </c>
      <c r="BB229" s="26"/>
      <c r="BC229" s="26">
        <f>(AX229/18)/((AX229/18)+(AW229/44))</f>
        <v>0.97694278394534595</v>
      </c>
      <c r="BD229" s="26">
        <f>(AW229/44)/((AX229/18)+(AW229/44))</f>
        <v>2.3057216054654141E-2</v>
      </c>
      <c r="BE229" s="16"/>
      <c r="BF229" s="16"/>
      <c r="BG229" s="16"/>
      <c r="BH229" s="16"/>
      <c r="BI229" s="16"/>
      <c r="BJ229" s="16">
        <v>0.32</v>
      </c>
      <c r="BK229" s="18"/>
      <c r="BL229" s="18"/>
      <c r="BM229" s="18"/>
      <c r="BN229" s="18"/>
      <c r="BO229" s="18"/>
      <c r="BP229" s="18">
        <v>0</v>
      </c>
      <c r="BQ229" s="18">
        <v>0</v>
      </c>
      <c r="BR229" s="18"/>
      <c r="BS229" s="18"/>
      <c r="BT229" s="18"/>
      <c r="BU229" s="18"/>
      <c r="BV229" s="18"/>
      <c r="BW229" s="18"/>
      <c r="BX229" s="18"/>
      <c r="BY229" s="18"/>
      <c r="BZ229" s="18"/>
      <c r="CA229" s="18"/>
      <c r="CB229" s="18"/>
      <c r="CC229" s="18"/>
      <c r="CD229" s="18"/>
      <c r="CE229" s="18"/>
      <c r="CF229" s="18"/>
      <c r="CG229" s="18"/>
      <c r="CH229" s="18">
        <v>0.46</v>
      </c>
      <c r="CI229" s="18">
        <v>1.5</v>
      </c>
      <c r="CJ229" s="18">
        <v>1.9E-2</v>
      </c>
      <c r="CK229" s="18">
        <v>0</v>
      </c>
      <c r="CL229" s="18"/>
      <c r="CM229" s="18">
        <v>0.18</v>
      </c>
      <c r="CN229" s="18"/>
      <c r="CO229" s="18"/>
      <c r="CP229" s="18"/>
      <c r="CQ229" s="18"/>
      <c r="CR229" s="18">
        <v>6.4000000000000003E-3</v>
      </c>
      <c r="CS229" s="18">
        <v>19</v>
      </c>
      <c r="CT229" s="18"/>
      <c r="CU229" s="18">
        <v>0.52</v>
      </c>
      <c r="CV229" s="18">
        <v>0.61</v>
      </c>
      <c r="CW229" s="18">
        <v>4.7E-2</v>
      </c>
      <c r="CX229" s="18">
        <v>0.16</v>
      </c>
      <c r="CY229" s="18">
        <v>1.7999999999999999E-2</v>
      </c>
      <c r="CZ229" s="18">
        <v>6.7000000000000002E-3</v>
      </c>
      <c r="DA229" s="18">
        <v>1.6E-2</v>
      </c>
      <c r="DB229" s="18">
        <v>5.5999999999999999E-3</v>
      </c>
      <c r="DC229" s="18"/>
      <c r="DD229" s="18"/>
      <c r="DE229" s="18"/>
      <c r="DF229" s="18"/>
      <c r="DG229" s="18"/>
      <c r="DH229" s="18"/>
      <c r="DI229" s="18"/>
      <c r="DJ229" s="18"/>
      <c r="DK229" s="18"/>
      <c r="DL229" s="18">
        <v>0.13</v>
      </c>
      <c r="DM229" s="18">
        <v>1.7999999999999999E-2</v>
      </c>
      <c r="DN229" s="18">
        <v>1.1999999999999999E-3</v>
      </c>
      <c r="DO229" s="18"/>
      <c r="DP229" s="18"/>
      <c r="DQ229" s="18"/>
      <c r="DR229" s="18"/>
      <c r="DS229" s="18"/>
      <c r="DT229" s="18">
        <v>0.87580000000000002</v>
      </c>
      <c r="DU229" s="18"/>
      <c r="DV229" s="28">
        <v>0.70709</v>
      </c>
      <c r="DW229" s="28">
        <v>7.4999999999999993E-5</v>
      </c>
      <c r="DX229" s="28">
        <v>0.70639399999999997</v>
      </c>
      <c r="DY229" s="28">
        <v>1.8000000000000001E-4</v>
      </c>
      <c r="DZ229" s="28"/>
      <c r="EA229" s="28"/>
      <c r="EB229" s="28"/>
      <c r="EC229" s="28"/>
      <c r="ED229" s="28"/>
      <c r="EE229" s="28"/>
      <c r="EF229" s="28"/>
      <c r="EG229" s="28"/>
      <c r="EH229" s="28"/>
      <c r="EI229" s="28"/>
      <c r="EJ229" s="18"/>
      <c r="EK229" s="18"/>
      <c r="EL229" s="18">
        <f>IFERROR(CR229/'McDonough &amp; Sun 1995 values'!C$2,)</f>
        <v>0.30476190476190473</v>
      </c>
      <c r="EM229" s="18">
        <f>IFERROR(CH229/'McDonough &amp; Sun 1995 values'!D$2,)</f>
        <v>0.76666666666666672</v>
      </c>
      <c r="EN229" s="18">
        <f>IFERROR(CS229/'McDonough &amp; Sun 1995 values'!E$2,)</f>
        <v>2.8787878787878789</v>
      </c>
      <c r="EO229" s="18">
        <f>IFERROR(DL229/'McDonough &amp; Sun 1995 values'!F$2,)</f>
        <v>1.6352201257861636</v>
      </c>
      <c r="EP229" s="18">
        <f>IFERROR(DM229/'McDonough &amp; Sun 1995 values'!G$2,)</f>
        <v>0.88669950738916259</v>
      </c>
      <c r="EQ229" s="18">
        <f>IFERROR(BR229/'McDonough &amp; Sun 1995 values'!H$2,)</f>
        <v>0</v>
      </c>
      <c r="ER229" s="18">
        <f>IFERROR(DI229/'McDonough &amp; Sun 1995 values'!I$2,)</f>
        <v>0</v>
      </c>
      <c r="ES229" s="18">
        <f>IFERROR(CM229/'McDonough &amp; Sun 1995 values'!J$2,)</f>
        <v>0.2735562310030395</v>
      </c>
      <c r="ET229" s="18">
        <f>IFERROR(CU229/'McDonough &amp; Sun 1995 values'!K$2,)</f>
        <v>0.80246913580246915</v>
      </c>
      <c r="EU229" s="18">
        <f>IFERROR(CV229/'McDonough &amp; Sun 1995 values'!L$2,)</f>
        <v>0.36417910447761193</v>
      </c>
      <c r="EV229" s="18">
        <f>IFERROR(CW229/'McDonough &amp; Sun 1995 values'!M$2,)</f>
        <v>0.18503937007874016</v>
      </c>
      <c r="EW229" s="18">
        <f>IFERROR(CI229/'McDonough &amp; Sun 1995 values'!N$2,)</f>
        <v>7.537688442211056E-2</v>
      </c>
      <c r="EX229" s="18">
        <f>IFERROR(CX229/'McDonough &amp; Sun 1995 values'!O$2,)</f>
        <v>0.128</v>
      </c>
      <c r="EY229" s="18">
        <f>IFERROR(CY229/'McDonough &amp; Sun 1995 values'!P$2,)</f>
        <v>4.4334975369458123E-2</v>
      </c>
      <c r="EZ229" s="18">
        <f>IFERROR(DH229/'McDonough &amp; Sun 1995 values'!Q$2,)</f>
        <v>0</v>
      </c>
      <c r="FA229" s="18">
        <f>IFERROR(CK229/'McDonough &amp; Sun 1995 values'!R$2,)</f>
        <v>0</v>
      </c>
      <c r="FB229" s="18">
        <f>IFERROR(CZ229/'McDonough &amp; Sun 1995 values'!S$2,)</f>
        <v>4.3506493506493507E-2</v>
      </c>
      <c r="FC229" s="18">
        <f>IFERROR(BT229/'McDonough &amp; Sun 1995 values'!T$2,)</f>
        <v>0</v>
      </c>
      <c r="FD229" s="18">
        <f>IFERROR(DA229/'McDonough &amp; Sun 1995 values'!U$2,)</f>
        <v>2.9411764705882353E-2</v>
      </c>
      <c r="FE229" s="18">
        <f>IFERROR(DN229/'McDonough &amp; Sun 1995 values'!V$2,)</f>
        <v>1.2121212121212119E-2</v>
      </c>
      <c r="FF229" s="18">
        <f>IFERROR(DB229/'McDonough &amp; Sun 1995 values'!W$2,)</f>
        <v>8.3086053412462901E-3</v>
      </c>
      <c r="FG229" s="18">
        <f>IFERROR(CJ229/'McDonough &amp; Sun 1995 values'!X$2,)</f>
        <v>4.4186046511627908E-3</v>
      </c>
      <c r="FH229" s="18">
        <f>IFERROR(DC229/'McDonough &amp; Sun 1995 values'!Y$2,)</f>
        <v>0</v>
      </c>
      <c r="FI229" s="18">
        <f>IFERROR(DD229/'McDonough &amp; Sun 1995 values'!Z$2,)</f>
        <v>0</v>
      </c>
      <c r="FJ229" s="18">
        <f>IFERROR(DE229/'McDonough &amp; Sun 1995 values'!AA$2,)</f>
        <v>0</v>
      </c>
      <c r="FK229" s="18">
        <f>IFERROR(DF229/'McDonough &amp; Sun 1995 values'!AB$2,)</f>
        <v>0</v>
      </c>
      <c r="FL229" s="18">
        <f>IFERROR(DG229/'McDonough &amp; Sun 1995 values'!AC$2,)</f>
        <v>0</v>
      </c>
      <c r="FN229" s="28">
        <f t="shared" si="458"/>
        <v>0</v>
      </c>
      <c r="FO229" s="4">
        <f t="shared" si="466"/>
        <v>3.2466329966329965</v>
      </c>
      <c r="FP229" s="4">
        <f t="shared" si="467"/>
        <v>5.9776380153738655</v>
      </c>
      <c r="FQ229" s="4">
        <f t="shared" si="468"/>
        <v>1.8441649196366179</v>
      </c>
      <c r="FR229" s="4">
        <f t="shared" si="469"/>
        <v>2.9334705075445817</v>
      </c>
      <c r="FS229" s="4">
        <f t="shared" si="470"/>
        <v>0</v>
      </c>
      <c r="FT229" s="4">
        <f t="shared" si="471"/>
        <v>2.5156250000000004</v>
      </c>
      <c r="FU229" s="4">
        <f t="shared" si="472"/>
        <v>0</v>
      </c>
      <c r="FV229" s="4">
        <f t="shared" si="473"/>
        <v>0</v>
      </c>
      <c r="FW229" s="4">
        <f t="shared" si="474"/>
        <v>0</v>
      </c>
      <c r="FX229" s="4">
        <f t="shared" si="475"/>
        <v>1.1798892659403466</v>
      </c>
      <c r="FY229" s="4">
        <f t="shared" si="476"/>
        <v>0.48978009053781724</v>
      </c>
      <c r="FZ229" s="4">
        <f t="shared" si="477"/>
        <v>1.2048148300716561</v>
      </c>
      <c r="GA229" s="4">
        <f t="shared" si="478"/>
        <v>0.40735592857906555</v>
      </c>
      <c r="GB229" s="4">
        <f t="shared" si="479"/>
        <v>0.98131313131313147</v>
      </c>
      <c r="GC229" s="4">
        <f t="shared" si="480"/>
        <v>0.39751552795031048</v>
      </c>
      <c r="GD229" s="4">
        <f t="shared" si="481"/>
        <v>1.7604895104895104</v>
      </c>
      <c r="GE229" s="4">
        <f t="shared" si="482"/>
        <v>3.7549407114624507</v>
      </c>
      <c r="GF229" s="4">
        <f t="shared" si="483"/>
        <v>0</v>
      </c>
      <c r="GG229" s="4">
        <f t="shared" si="484"/>
        <v>10.523569023569024</v>
      </c>
      <c r="GH229" s="4">
        <f t="shared" si="485"/>
        <v>4.336748095613344</v>
      </c>
      <c r="GI229" s="4">
        <f t="shared" si="486"/>
        <v>18.100137174211252</v>
      </c>
      <c r="GJ229" s="4">
        <f t="shared" si="487"/>
        <v>96.582892416225761</v>
      </c>
      <c r="GK229" s="4">
        <f t="shared" si="488"/>
        <v>0</v>
      </c>
      <c r="GL229" s="4">
        <f t="shared" si="489"/>
        <v>0</v>
      </c>
      <c r="GM229" s="4">
        <f t="shared" si="490"/>
        <v>2.1328958162428218</v>
      </c>
      <c r="GN229" s="4">
        <f t="shared" si="491"/>
        <v>0.34089314940378768</v>
      </c>
      <c r="GO229" s="4">
        <f t="shared" si="492"/>
        <v>0.30851063829787229</v>
      </c>
      <c r="GP229" s="4">
        <f t="shared" si="493"/>
        <v>0</v>
      </c>
      <c r="GQ229" s="27">
        <f t="shared" si="494"/>
        <v>151151.93121522741</v>
      </c>
      <c r="GR229" s="28" t="str">
        <f t="shared" si="495"/>
        <v/>
      </c>
      <c r="GS229" s="28" t="str">
        <f t="shared" si="496"/>
        <v/>
      </c>
      <c r="GT229" s="28" t="str">
        <f t="shared" si="497"/>
        <v/>
      </c>
      <c r="GU229" s="28" t="str">
        <f t="shared" si="498"/>
        <v/>
      </c>
      <c r="GV229" s="28" t="str">
        <f t="shared" si="499"/>
        <v/>
      </c>
      <c r="GW229" s="28" t="str">
        <f t="shared" si="500"/>
        <v/>
      </c>
      <c r="GX229" s="28" t="str">
        <f t="shared" si="501"/>
        <v/>
      </c>
      <c r="GY229" s="28" t="str">
        <f t="shared" si="502"/>
        <v/>
      </c>
      <c r="GZ229" s="28" t="str">
        <f t="shared" si="503"/>
        <v/>
      </c>
      <c r="HA229" s="28" t="str">
        <f t="shared" si="504"/>
        <v/>
      </c>
      <c r="HB229" s="28" t="str">
        <f t="shared" si="505"/>
        <v/>
      </c>
      <c r="HC229" s="28" t="str">
        <f t="shared" si="506"/>
        <v/>
      </c>
      <c r="HD229" s="28" t="str">
        <f t="shared" si="507"/>
        <v/>
      </c>
      <c r="HE229" s="28" t="str">
        <f t="shared" si="508"/>
        <v/>
      </c>
      <c r="HF229" s="28" t="str">
        <f t="shared" si="509"/>
        <v/>
      </c>
      <c r="HG229" s="28" t="str">
        <f t="shared" si="510"/>
        <v/>
      </c>
      <c r="HH229" s="28" t="str">
        <f t="shared" si="511"/>
        <v/>
      </c>
      <c r="HI229" s="28" t="str">
        <f t="shared" si="512"/>
        <v/>
      </c>
      <c r="HJ229" s="28" t="str">
        <f t="shared" si="513"/>
        <v/>
      </c>
      <c r="HK229" s="28" t="str">
        <f t="shared" si="514"/>
        <v/>
      </c>
      <c r="HL229" s="28" t="str">
        <f t="shared" si="515"/>
        <v/>
      </c>
      <c r="HM229" s="28" t="str">
        <f t="shared" si="516"/>
        <v/>
      </c>
      <c r="HN229" s="28" t="str">
        <f t="shared" si="517"/>
        <v/>
      </c>
      <c r="HO229" s="28" t="str">
        <f t="shared" si="518"/>
        <v/>
      </c>
      <c r="HP229" s="28" t="str">
        <f t="shared" si="519"/>
        <v/>
      </c>
      <c r="HQ229" s="28" t="str">
        <f t="shared" si="520"/>
        <v/>
      </c>
      <c r="HR229" s="28" t="str">
        <f t="shared" si="521"/>
        <v/>
      </c>
      <c r="HT229" s="4">
        <f>IFERROR(GR229/'McDonough &amp; Sun 1995 values'!C$2,)</f>
        <v>0</v>
      </c>
      <c r="HU229" s="4">
        <f>IFERROR(GS229/'McDonough &amp; Sun 1995 values'!D$2,)</f>
        <v>0</v>
      </c>
      <c r="HV229" s="4">
        <f>IFERROR(GT229/'McDonough &amp; Sun 1995 values'!E$2,)</f>
        <v>0</v>
      </c>
      <c r="HW229" s="4">
        <f>IFERROR(GU229/'McDonough &amp; Sun 1995 values'!F$2,)</f>
        <v>0</v>
      </c>
      <c r="HX229" s="4">
        <f>IFERROR(GV229/'McDonough &amp; Sun 1995 values'!G$2,)</f>
        <v>0</v>
      </c>
      <c r="HY229" s="4">
        <f>IFERROR(GW229/'McDonough &amp; Sun 1995 values'!H$2,)</f>
        <v>0</v>
      </c>
      <c r="HZ229" s="4">
        <f>IFERROR(GX229/'McDonough &amp; Sun 1995 values'!I$2,)</f>
        <v>0</v>
      </c>
      <c r="IA229" s="4">
        <f>IFERROR(GY229/'McDonough &amp; Sun 1995 values'!J$2,)</f>
        <v>0</v>
      </c>
      <c r="IB229" s="4">
        <f>IFERROR(GZ229/'McDonough &amp; Sun 1995 values'!K$2,)</f>
        <v>0</v>
      </c>
      <c r="IC229" s="4">
        <f>IFERROR(HA229/'McDonough &amp; Sun 1995 values'!L$2,)</f>
        <v>0</v>
      </c>
      <c r="ID229" s="4">
        <f>IFERROR(HB229/'McDonough &amp; Sun 1995 values'!M$2,)</f>
        <v>0</v>
      </c>
      <c r="IE229" s="4">
        <f>IFERROR(HC229/'McDonough &amp; Sun 1995 values'!N$2,)</f>
        <v>0</v>
      </c>
      <c r="IF229" s="4">
        <f>IFERROR(HD229/'McDonough &amp; Sun 1995 values'!O$2,)</f>
        <v>0</v>
      </c>
      <c r="IG229" s="4">
        <f>IFERROR(HE229/'McDonough &amp; Sun 1995 values'!P$2,)</f>
        <v>0</v>
      </c>
      <c r="IH229" s="4">
        <f>IFERROR(HF229/'McDonough &amp; Sun 1995 values'!Q$2,)</f>
        <v>0</v>
      </c>
      <c r="II229" s="4">
        <f>IFERROR(HG229/'McDonough &amp; Sun 1995 values'!R$2,)</f>
        <v>0</v>
      </c>
      <c r="IJ229" s="4">
        <f>IFERROR(HH229/'McDonough &amp; Sun 1995 values'!S$2,)</f>
        <v>0</v>
      </c>
      <c r="IK229" s="4">
        <f>IFERROR(HI229/'McDonough &amp; Sun 1995 values'!T$2,)</f>
        <v>0</v>
      </c>
      <c r="IL229" s="4">
        <f>IFERROR(HJ229/'McDonough &amp; Sun 1995 values'!U$2,)</f>
        <v>0</v>
      </c>
      <c r="IM229" s="4">
        <f>IFERROR(HK229/'McDonough &amp; Sun 1995 values'!V$2,)</f>
        <v>0</v>
      </c>
      <c r="IN229" s="4">
        <f>IFERROR(HL229/'McDonough &amp; Sun 1995 values'!W$2,)</f>
        <v>0</v>
      </c>
      <c r="IO229" s="4">
        <f>IFERROR(HM229/'McDonough &amp; Sun 1995 values'!X$2,)</f>
        <v>0</v>
      </c>
      <c r="IP229" s="4">
        <f>IFERROR(HN229/'McDonough &amp; Sun 1995 values'!Y$2,)</f>
        <v>0</v>
      </c>
      <c r="IQ229" s="4">
        <f>IFERROR(HO229/'McDonough &amp; Sun 1995 values'!Z$2,)</f>
        <v>0</v>
      </c>
      <c r="IR229" s="4">
        <f>IFERROR(HP229/'McDonough &amp; Sun 1995 values'!AA$2,)</f>
        <v>0</v>
      </c>
      <c r="IS229" s="4">
        <f>IFERROR(HQ229/'McDonough &amp; Sun 1995 values'!AB$2,)</f>
        <v>0</v>
      </c>
      <c r="IT229" s="4">
        <f>IFERROR(HR229/'McDonough &amp; Sun 1995 values'!AC$2,)</f>
        <v>0</v>
      </c>
    </row>
    <row r="230" spans="1:254">
      <c r="A230" s="16" t="s">
        <v>1362</v>
      </c>
      <c r="B230" s="16" t="s">
        <v>24</v>
      </c>
      <c r="C230" s="16" t="str">
        <f t="shared" si="461"/>
        <v>silicic</v>
      </c>
      <c r="D230" s="16" t="s">
        <v>1265</v>
      </c>
      <c r="E230" s="16" t="s">
        <v>171</v>
      </c>
      <c r="F230" s="16" t="s">
        <v>1266</v>
      </c>
      <c r="G230" s="16" t="s">
        <v>595</v>
      </c>
      <c r="H230" s="27">
        <v>540</v>
      </c>
      <c r="I230" s="16" t="s">
        <v>735</v>
      </c>
      <c r="J230" s="16" t="s">
        <v>1311</v>
      </c>
      <c r="K230" s="16" t="s">
        <v>115</v>
      </c>
      <c r="L230" s="16">
        <v>0</v>
      </c>
      <c r="M230" s="16" t="s">
        <v>1495</v>
      </c>
      <c r="N230" s="16">
        <v>21</v>
      </c>
      <c r="O230" s="26">
        <v>50.401944803339759</v>
      </c>
      <c r="P230" s="26">
        <v>1.5580917603874884</v>
      </c>
      <c r="Q230" s="26"/>
      <c r="R230" s="26">
        <v>4.626766130786943</v>
      </c>
      <c r="S230" s="26">
        <v>6.3685543655240879</v>
      </c>
      <c r="T230" s="26">
        <v>5.4776410531881501</v>
      </c>
      <c r="U230" s="26"/>
      <c r="V230" s="26">
        <v>3.5923033228979993</v>
      </c>
      <c r="W230" s="26">
        <v>2.4809982773866026</v>
      </c>
      <c r="X230" s="26">
        <v>20.465139590970079</v>
      </c>
      <c r="Y230" s="26"/>
      <c r="Z230" s="26">
        <v>1.2373975635509287</v>
      </c>
      <c r="AA230" s="26"/>
      <c r="AB230" s="26">
        <v>1.2362494950015308</v>
      </c>
      <c r="AC230" s="26"/>
      <c r="AD230" s="26">
        <v>3.2995150612189446</v>
      </c>
      <c r="AE230" s="26"/>
      <c r="AF230" s="26"/>
      <c r="AG230" s="26"/>
      <c r="AH230" s="26"/>
      <c r="AI230" s="26"/>
      <c r="AJ230" s="26">
        <f t="shared" si="462"/>
        <v>100.74460142425252</v>
      </c>
      <c r="AK230" s="26">
        <f t="shared" si="522"/>
        <v>50.401944803339745</v>
      </c>
      <c r="AL230" s="26">
        <f t="shared" si="523"/>
        <v>1.5580917603874882</v>
      </c>
      <c r="AM230" s="26">
        <f t="shared" si="524"/>
        <v>4.626766130786943</v>
      </c>
      <c r="AN230" s="26">
        <f t="shared" si="525"/>
        <v>6.368554365524087</v>
      </c>
      <c r="AO230" s="26">
        <f t="shared" si="526"/>
        <v>5.4776410531881492</v>
      </c>
      <c r="AP230" s="26">
        <f t="shared" si="527"/>
        <v>3.5923033228979988</v>
      </c>
      <c r="AQ230" s="26">
        <f t="shared" si="528"/>
        <v>1.2362494950015306</v>
      </c>
      <c r="AR230" s="26">
        <f t="shared" si="529"/>
        <v>2.4809982773866022</v>
      </c>
      <c r="AS230" s="26">
        <f t="shared" si="530"/>
        <v>20.465139590970079</v>
      </c>
      <c r="AT230" s="26">
        <f t="shared" si="531"/>
        <v>1.2373975635509284</v>
      </c>
      <c r="AU230" s="26">
        <f t="shared" si="532"/>
        <v>3.2995150612189441</v>
      </c>
      <c r="AV230" s="26">
        <f t="shared" si="463"/>
        <v>100.74460142425251</v>
      </c>
      <c r="AW230" s="16"/>
      <c r="AX230" s="16"/>
      <c r="AY230" s="16"/>
      <c r="AZ230" s="16"/>
      <c r="BA230" s="26"/>
      <c r="BB230" s="26"/>
      <c r="BC230" s="26"/>
      <c r="BD230" s="2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v>0.315</v>
      </c>
      <c r="CI230" s="16">
        <v>3.5060000000000002</v>
      </c>
      <c r="CJ230" s="16">
        <v>2.1999999999999999E-2</v>
      </c>
      <c r="CK230" s="16">
        <v>7.0999999999999994E-2</v>
      </c>
      <c r="CL230" s="16"/>
      <c r="CM230" s="16">
        <v>0.54349999999999998</v>
      </c>
      <c r="CN230" s="16"/>
      <c r="CO230" s="16"/>
      <c r="CP230" s="16"/>
      <c r="CQ230" s="16"/>
      <c r="CR230" s="16"/>
      <c r="CS230" s="16">
        <v>9.3610000000000007</v>
      </c>
      <c r="CT230" s="16"/>
      <c r="CU230" s="16">
        <v>0.38600000000000001</v>
      </c>
      <c r="CV230" s="16">
        <v>0.65149999999999997</v>
      </c>
      <c r="CW230" s="16">
        <v>5.6000000000000001E-2</v>
      </c>
      <c r="CX230" s="16">
        <v>0.17499999999999999</v>
      </c>
      <c r="CY230" s="16">
        <v>1.55E-2</v>
      </c>
      <c r="CZ230" s="16">
        <v>5.0000000000000001E-3</v>
      </c>
      <c r="DA230" s="16">
        <v>2E-3</v>
      </c>
      <c r="DB230" s="16">
        <v>1E-3</v>
      </c>
      <c r="DC230" s="16"/>
      <c r="DD230" s="16"/>
      <c r="DE230" s="16"/>
      <c r="DF230" s="16">
        <v>0.01</v>
      </c>
      <c r="DG230" s="16"/>
      <c r="DH230" s="16"/>
      <c r="DI230" s="16"/>
      <c r="DJ230" s="16"/>
      <c r="DK230" s="16">
        <v>0.36099999999999999</v>
      </c>
      <c r="DL230" s="16">
        <v>8.3000000000000004E-2</v>
      </c>
      <c r="DM230" s="16">
        <v>1.4E-2</v>
      </c>
      <c r="DN230" s="16"/>
      <c r="DO230" s="16"/>
      <c r="DP230" s="16"/>
      <c r="DQ230" s="16"/>
      <c r="DR230" s="16"/>
      <c r="DS230" s="16"/>
      <c r="DT230" s="16"/>
      <c r="DU230" s="16"/>
      <c r="DV230" s="27"/>
      <c r="DW230" s="27"/>
      <c r="DX230" s="27"/>
      <c r="DY230" s="27"/>
      <c r="DZ230" s="27"/>
      <c r="EA230" s="27"/>
      <c r="EB230" s="27"/>
      <c r="EC230" s="27"/>
      <c r="ED230" s="27"/>
      <c r="EE230" s="27"/>
      <c r="EF230" s="27"/>
      <c r="EG230" s="27"/>
      <c r="EH230" s="27"/>
      <c r="EI230" s="27"/>
      <c r="EJ230" s="16"/>
      <c r="EK230" s="18"/>
      <c r="EL230" s="18">
        <f>IFERROR(CR230/'McDonough &amp; Sun 1995 values'!C$2,)</f>
        <v>0</v>
      </c>
      <c r="EM230" s="18">
        <f>IFERROR(CH230/'McDonough &amp; Sun 1995 values'!D$2,)</f>
        <v>0.52500000000000002</v>
      </c>
      <c r="EN230" s="18">
        <f>IFERROR(CS230/'McDonough &amp; Sun 1995 values'!E$2,)</f>
        <v>1.4183333333333334</v>
      </c>
      <c r="EO230" s="18">
        <f>IFERROR(DL230/'McDonough &amp; Sun 1995 values'!F$2,)</f>
        <v>1.0440251572327044</v>
      </c>
      <c r="EP230" s="18">
        <f>IFERROR(DM230/'McDonough &amp; Sun 1995 values'!G$2,)</f>
        <v>0.68965517241379315</v>
      </c>
      <c r="EQ230" s="18">
        <f>IFERROR(BR230/'McDonough &amp; Sun 1995 values'!H$2,)</f>
        <v>0</v>
      </c>
      <c r="ER230" s="18">
        <f>IFERROR(DI230/'McDonough &amp; Sun 1995 values'!I$2,)</f>
        <v>0</v>
      </c>
      <c r="ES230" s="18">
        <f>IFERROR(CM230/'McDonough &amp; Sun 1995 values'!J$2,)</f>
        <v>0.82598784194528874</v>
      </c>
      <c r="ET230" s="18">
        <f>IFERROR(CU230/'McDonough &amp; Sun 1995 values'!K$2,)</f>
        <v>0.59567901234567899</v>
      </c>
      <c r="EU230" s="18">
        <f>IFERROR(CV230/'McDonough &amp; Sun 1995 values'!L$2,)</f>
        <v>0.388955223880597</v>
      </c>
      <c r="EV230" s="18">
        <f>IFERROR(CW230/'McDonough &amp; Sun 1995 values'!M$2,)</f>
        <v>0.22047244094488189</v>
      </c>
      <c r="EW230" s="18">
        <f>IFERROR(CI230/'McDonough &amp; Sun 1995 values'!N$2,)</f>
        <v>0.17618090452261309</v>
      </c>
      <c r="EX230" s="18">
        <f>IFERROR(CX230/'McDonough &amp; Sun 1995 values'!O$2,)</f>
        <v>0.13999999999999999</v>
      </c>
      <c r="EY230" s="18">
        <f>IFERROR(CY230/'McDonough &amp; Sun 1995 values'!P$2,)</f>
        <v>3.8177339901477828E-2</v>
      </c>
      <c r="EZ230" s="18">
        <f>IFERROR(DH230/'McDonough &amp; Sun 1995 values'!Q$2,)</f>
        <v>0</v>
      </c>
      <c r="FA230" s="18">
        <f>IFERROR(CK230/'McDonough &amp; Sun 1995 values'!R$2,)</f>
        <v>6.7619047619047615E-3</v>
      </c>
      <c r="FB230" s="18">
        <f>IFERROR(CZ230/'McDonough &amp; Sun 1995 values'!S$2,)</f>
        <v>3.2467532467532471E-2</v>
      </c>
      <c r="FC230" s="18">
        <f>IFERROR(BT230/'McDonough &amp; Sun 1995 values'!T$2,)</f>
        <v>0</v>
      </c>
      <c r="FD230" s="18">
        <f>IFERROR(DA230/'McDonough &amp; Sun 1995 values'!U$2,)</f>
        <v>3.6764705882352941E-3</v>
      </c>
      <c r="FE230" s="18">
        <f>IFERROR(DN230/'McDonough &amp; Sun 1995 values'!V$2,)</f>
        <v>0</v>
      </c>
      <c r="FF230" s="18">
        <f>IFERROR(DB230/'McDonough &amp; Sun 1995 values'!W$2,)</f>
        <v>1.4836795252225518E-3</v>
      </c>
      <c r="FG230" s="18">
        <f>IFERROR(CJ230/'McDonough &amp; Sun 1995 values'!X$2,)</f>
        <v>5.1162790697674414E-3</v>
      </c>
      <c r="FH230" s="18">
        <f>IFERROR(DC230/'McDonough &amp; Sun 1995 values'!Y$2,)</f>
        <v>0</v>
      </c>
      <c r="FI230" s="18">
        <f>IFERROR(DD230/'McDonough &amp; Sun 1995 values'!Z$2,)</f>
        <v>0</v>
      </c>
      <c r="FJ230" s="18">
        <f>IFERROR(DE230/'McDonough &amp; Sun 1995 values'!AA$2,)</f>
        <v>0</v>
      </c>
      <c r="FK230" s="18">
        <f>IFERROR(DF230/'McDonough &amp; Sun 1995 values'!AB$2,)</f>
        <v>2.2675736961451247E-2</v>
      </c>
      <c r="FL230" s="18">
        <f>IFERROR(DG230/'McDonough &amp; Sun 1995 values'!AC$2,)</f>
        <v>0</v>
      </c>
      <c r="FM230" s="16"/>
      <c r="FN230" s="28">
        <f t="shared" si="458"/>
        <v>0</v>
      </c>
      <c r="FO230" s="4">
        <f t="shared" si="466"/>
        <v>2.0565833333333332</v>
      </c>
      <c r="FP230" s="4">
        <f t="shared" si="467"/>
        <v>1.2639715795015998</v>
      </c>
      <c r="FQ230" s="4">
        <f t="shared" si="468"/>
        <v>1.5138364779874212</v>
      </c>
      <c r="FR230" s="4">
        <f t="shared" si="469"/>
        <v>0.721171646961282</v>
      </c>
      <c r="FS230" s="4">
        <f t="shared" si="470"/>
        <v>0</v>
      </c>
      <c r="FT230" s="4">
        <f t="shared" si="471"/>
        <v>0</v>
      </c>
      <c r="FU230" s="4">
        <f t="shared" si="472"/>
        <v>0</v>
      </c>
      <c r="FV230" s="4">
        <f t="shared" si="473"/>
        <v>0.17711827956989248</v>
      </c>
      <c r="FW230" s="4">
        <f t="shared" si="474"/>
        <v>0</v>
      </c>
      <c r="FX230" s="4">
        <f t="shared" si="475"/>
        <v>1.5514731914558832</v>
      </c>
      <c r="FY230" s="4">
        <f t="shared" si="476"/>
        <v>1.0028077053389333</v>
      </c>
      <c r="FZ230" s="4">
        <f t="shared" si="477"/>
        <v>2.7405069211488944</v>
      </c>
      <c r="GA230" s="4">
        <f t="shared" si="478"/>
        <v>0.7991062455132808</v>
      </c>
      <c r="GB230" s="4">
        <f t="shared" si="479"/>
        <v>0.85043988269794746</v>
      </c>
      <c r="GC230" s="4">
        <f t="shared" si="480"/>
        <v>0</v>
      </c>
      <c r="GD230" s="4">
        <f t="shared" si="481"/>
        <v>1.3585240963855423</v>
      </c>
      <c r="GE230" s="4">
        <f t="shared" si="482"/>
        <v>2.7015873015873018</v>
      </c>
      <c r="GF230" s="4">
        <f t="shared" si="483"/>
        <v>0</v>
      </c>
      <c r="GG230" s="4">
        <f t="shared" si="484"/>
        <v>1.7171358478994174</v>
      </c>
      <c r="GH230" s="4">
        <f t="shared" si="485"/>
        <v>2.7018298059964727</v>
      </c>
      <c r="GI230" s="4">
        <f t="shared" si="486"/>
        <v>15.602947033054562</v>
      </c>
      <c r="GJ230" s="4">
        <f t="shared" si="487"/>
        <v>401.4876543209877</v>
      </c>
      <c r="GK230" s="4">
        <f t="shared" si="488"/>
        <v>26.269444444444442</v>
      </c>
      <c r="GL230" s="4">
        <f t="shared" si="489"/>
        <v>0</v>
      </c>
      <c r="GM230" s="4">
        <f t="shared" si="490"/>
        <v>1.9886193471099129</v>
      </c>
      <c r="GN230" s="4">
        <f t="shared" si="491"/>
        <v>1.3866324393278422</v>
      </c>
      <c r="GO230" s="4">
        <f t="shared" si="492"/>
        <v>1.1976823708206685</v>
      </c>
      <c r="GP230" s="4">
        <f t="shared" si="493"/>
        <v>0</v>
      </c>
      <c r="GQ230" s="27">
        <f t="shared" si="494"/>
        <v>169888.75820565884</v>
      </c>
      <c r="GR230" s="28" t="str">
        <f t="shared" si="495"/>
        <v/>
      </c>
      <c r="GS230" s="28" t="str">
        <f t="shared" si="496"/>
        <v/>
      </c>
      <c r="GT230" s="28" t="str">
        <f t="shared" si="497"/>
        <v/>
      </c>
      <c r="GU230" s="28" t="str">
        <f t="shared" si="498"/>
        <v/>
      </c>
      <c r="GV230" s="28" t="str">
        <f t="shared" si="499"/>
        <v/>
      </c>
      <c r="GW230" s="28" t="str">
        <f t="shared" si="500"/>
        <v/>
      </c>
      <c r="GX230" s="28" t="str">
        <f t="shared" si="501"/>
        <v/>
      </c>
      <c r="GY230" s="28" t="str">
        <f t="shared" si="502"/>
        <v/>
      </c>
      <c r="GZ230" s="28" t="str">
        <f t="shared" si="503"/>
        <v/>
      </c>
      <c r="HA230" s="28" t="str">
        <f t="shared" si="504"/>
        <v/>
      </c>
      <c r="HB230" s="28" t="str">
        <f t="shared" si="505"/>
        <v/>
      </c>
      <c r="HC230" s="28" t="str">
        <f t="shared" si="506"/>
        <v/>
      </c>
      <c r="HD230" s="28" t="str">
        <f t="shared" si="507"/>
        <v/>
      </c>
      <c r="HE230" s="28" t="str">
        <f t="shared" si="508"/>
        <v/>
      </c>
      <c r="HF230" s="28" t="str">
        <f t="shared" si="509"/>
        <v/>
      </c>
      <c r="HG230" s="28" t="str">
        <f t="shared" si="510"/>
        <v/>
      </c>
      <c r="HH230" s="28" t="str">
        <f t="shared" si="511"/>
        <v/>
      </c>
      <c r="HI230" s="28" t="str">
        <f t="shared" si="512"/>
        <v/>
      </c>
      <c r="HJ230" s="28" t="str">
        <f t="shared" si="513"/>
        <v/>
      </c>
      <c r="HK230" s="28" t="str">
        <f t="shared" si="514"/>
        <v/>
      </c>
      <c r="HL230" s="28" t="str">
        <f t="shared" si="515"/>
        <v/>
      </c>
      <c r="HM230" s="28" t="str">
        <f t="shared" si="516"/>
        <v/>
      </c>
      <c r="HN230" s="28" t="str">
        <f t="shared" si="517"/>
        <v/>
      </c>
      <c r="HO230" s="28" t="str">
        <f t="shared" si="518"/>
        <v/>
      </c>
      <c r="HP230" s="28" t="str">
        <f t="shared" si="519"/>
        <v/>
      </c>
      <c r="HQ230" s="28" t="str">
        <f t="shared" si="520"/>
        <v/>
      </c>
      <c r="HR230" s="28" t="str">
        <f t="shared" si="521"/>
        <v/>
      </c>
      <c r="HT230" s="4">
        <f>IFERROR(GR230/'McDonough &amp; Sun 1995 values'!C$2,)</f>
        <v>0</v>
      </c>
      <c r="HU230" s="4">
        <f>IFERROR(GS230/'McDonough &amp; Sun 1995 values'!D$2,)</f>
        <v>0</v>
      </c>
      <c r="HV230" s="4">
        <f>IFERROR(GT230/'McDonough &amp; Sun 1995 values'!E$2,)</f>
        <v>0</v>
      </c>
      <c r="HW230" s="4">
        <f>IFERROR(GU230/'McDonough &amp; Sun 1995 values'!F$2,)</f>
        <v>0</v>
      </c>
      <c r="HX230" s="4">
        <f>IFERROR(GV230/'McDonough &amp; Sun 1995 values'!G$2,)</f>
        <v>0</v>
      </c>
      <c r="HY230" s="4">
        <f>IFERROR(GW230/'McDonough &amp; Sun 1995 values'!H$2,)</f>
        <v>0</v>
      </c>
      <c r="HZ230" s="4">
        <f>IFERROR(GX230/'McDonough &amp; Sun 1995 values'!I$2,)</f>
        <v>0</v>
      </c>
      <c r="IA230" s="4">
        <f>IFERROR(GY230/'McDonough &amp; Sun 1995 values'!J$2,)</f>
        <v>0</v>
      </c>
      <c r="IB230" s="4">
        <f>IFERROR(GZ230/'McDonough &amp; Sun 1995 values'!K$2,)</f>
        <v>0</v>
      </c>
      <c r="IC230" s="4">
        <f>IFERROR(HA230/'McDonough &amp; Sun 1995 values'!L$2,)</f>
        <v>0</v>
      </c>
      <c r="ID230" s="4">
        <f>IFERROR(HB230/'McDonough &amp; Sun 1995 values'!M$2,)</f>
        <v>0</v>
      </c>
      <c r="IE230" s="4">
        <f>IFERROR(HC230/'McDonough &amp; Sun 1995 values'!N$2,)</f>
        <v>0</v>
      </c>
      <c r="IF230" s="4">
        <f>IFERROR(HD230/'McDonough &amp; Sun 1995 values'!O$2,)</f>
        <v>0</v>
      </c>
      <c r="IG230" s="4">
        <f>IFERROR(HE230/'McDonough &amp; Sun 1995 values'!P$2,)</f>
        <v>0</v>
      </c>
      <c r="IH230" s="4">
        <f>IFERROR(HF230/'McDonough &amp; Sun 1995 values'!Q$2,)</f>
        <v>0</v>
      </c>
      <c r="II230" s="4">
        <f>IFERROR(HG230/'McDonough &amp; Sun 1995 values'!R$2,)</f>
        <v>0</v>
      </c>
      <c r="IJ230" s="4">
        <f>IFERROR(HH230/'McDonough &amp; Sun 1995 values'!S$2,)</f>
        <v>0</v>
      </c>
      <c r="IK230" s="4">
        <f>IFERROR(HI230/'McDonough &amp; Sun 1995 values'!T$2,)</f>
        <v>0</v>
      </c>
      <c r="IL230" s="4">
        <f>IFERROR(HJ230/'McDonough &amp; Sun 1995 values'!U$2,)</f>
        <v>0</v>
      </c>
      <c r="IM230" s="4">
        <f>IFERROR(HK230/'McDonough &amp; Sun 1995 values'!V$2,)</f>
        <v>0</v>
      </c>
      <c r="IN230" s="4">
        <f>IFERROR(HL230/'McDonough &amp; Sun 1995 values'!W$2,)</f>
        <v>0</v>
      </c>
      <c r="IO230" s="4">
        <f>IFERROR(HM230/'McDonough &amp; Sun 1995 values'!X$2,)</f>
        <v>0</v>
      </c>
      <c r="IP230" s="4">
        <f>IFERROR(HN230/'McDonough &amp; Sun 1995 values'!Y$2,)</f>
        <v>0</v>
      </c>
      <c r="IQ230" s="4">
        <f>IFERROR(HO230/'McDonough &amp; Sun 1995 values'!Z$2,)</f>
        <v>0</v>
      </c>
      <c r="IR230" s="4">
        <f>IFERROR(HP230/'McDonough &amp; Sun 1995 values'!AA$2,)</f>
        <v>0</v>
      </c>
      <c r="IS230" s="4">
        <f>IFERROR(HQ230/'McDonough &amp; Sun 1995 values'!AB$2,)</f>
        <v>0</v>
      </c>
      <c r="IT230" s="4">
        <f>IFERROR(HR230/'McDonough &amp; Sun 1995 values'!AC$2,)</f>
        <v>0</v>
      </c>
    </row>
    <row r="231" spans="1:254">
      <c r="A231" s="16" t="s">
        <v>1362</v>
      </c>
      <c r="B231" s="16" t="s">
        <v>24</v>
      </c>
      <c r="C231" s="16" t="str">
        <f t="shared" si="461"/>
        <v>silicic</v>
      </c>
      <c r="D231" s="16" t="s">
        <v>1265</v>
      </c>
      <c r="E231" s="16" t="s">
        <v>171</v>
      </c>
      <c r="F231" s="16" t="s">
        <v>1266</v>
      </c>
      <c r="G231" s="16" t="s">
        <v>595</v>
      </c>
      <c r="H231" s="27">
        <v>540</v>
      </c>
      <c r="I231" s="16" t="s">
        <v>735</v>
      </c>
      <c r="J231" s="16" t="s">
        <v>1311</v>
      </c>
      <c r="K231" s="16" t="s">
        <v>115</v>
      </c>
      <c r="L231" s="16">
        <v>0</v>
      </c>
      <c r="M231" s="16" t="s">
        <v>1261</v>
      </c>
      <c r="N231" s="16">
        <v>34</v>
      </c>
      <c r="O231" s="26">
        <v>51.766863939329809</v>
      </c>
      <c r="P231" s="26">
        <v>3.030314532295793</v>
      </c>
      <c r="Q231" s="26"/>
      <c r="R231" s="26">
        <v>6.6462314088279841</v>
      </c>
      <c r="S231" s="26">
        <v>3.8196746779546733</v>
      </c>
      <c r="T231" s="26">
        <v>3.052518190700503</v>
      </c>
      <c r="U231" s="26"/>
      <c r="V231" s="26">
        <v>4.4287147063654144</v>
      </c>
      <c r="W231" s="26">
        <v>2.041925903937662</v>
      </c>
      <c r="X231" s="26">
        <v>20.266456501120992</v>
      </c>
      <c r="Y231" s="26"/>
      <c r="Z231" s="26">
        <v>2.2822878155169102</v>
      </c>
      <c r="AA231" s="26"/>
      <c r="AB231" s="26">
        <v>0.24640864708679727</v>
      </c>
      <c r="AC231" s="26"/>
      <c r="AD231" s="26">
        <v>1.9528978942929849</v>
      </c>
      <c r="AE231" s="26"/>
      <c r="AF231" s="26"/>
      <c r="AG231" s="26"/>
      <c r="AH231" s="26"/>
      <c r="AI231" s="26"/>
      <c r="AJ231" s="26">
        <f t="shared" si="462"/>
        <v>99.534294217429533</v>
      </c>
      <c r="AK231" s="26">
        <f t="shared" si="522"/>
        <v>52.240379182328347</v>
      </c>
      <c r="AL231" s="26">
        <f t="shared" si="523"/>
        <v>3.0580330381686567</v>
      </c>
      <c r="AM231" s="26">
        <f t="shared" si="524"/>
        <v>6.7070249675079934</v>
      </c>
      <c r="AN231" s="26">
        <f t="shared" si="525"/>
        <v>3.8546135180865928</v>
      </c>
      <c r="AO231" s="26">
        <f t="shared" si="526"/>
        <v>3.0804397950403182</v>
      </c>
      <c r="AP231" s="26">
        <f t="shared" si="527"/>
        <v>4.4692244796214027</v>
      </c>
      <c r="AQ231" s="26">
        <f t="shared" si="528"/>
        <v>0.24866256477705939</v>
      </c>
      <c r="AR231" s="26">
        <f t="shared" si="529"/>
        <v>2.0606035476466036</v>
      </c>
      <c r="AS231" s="26">
        <f t="shared" si="530"/>
        <v>20.451835242357753</v>
      </c>
      <c r="AT231" s="26">
        <f t="shared" si="531"/>
        <v>2.3031640669897375</v>
      </c>
      <c r="AU231" s="26">
        <f t="shared" si="532"/>
        <v>1.9707611923682022</v>
      </c>
      <c r="AV231" s="26">
        <f t="shared" si="463"/>
        <v>100.44474159489268</v>
      </c>
      <c r="AW231" s="16">
        <v>0</v>
      </c>
      <c r="AX231" s="16">
        <v>0</v>
      </c>
      <c r="AY231" s="16"/>
      <c r="AZ231" s="16"/>
      <c r="BA231" s="26"/>
      <c r="BB231" s="26"/>
      <c r="BC231" s="26"/>
      <c r="BD231" s="26"/>
      <c r="BE231" s="16"/>
      <c r="BF231" s="16"/>
      <c r="BG231" s="16"/>
      <c r="BH231" s="16"/>
      <c r="BI231" s="16"/>
      <c r="BJ231" s="16"/>
      <c r="BK231" s="18"/>
      <c r="BL231" s="18"/>
      <c r="BM231" s="18"/>
      <c r="BN231" s="18"/>
      <c r="BO231" s="18"/>
      <c r="BP231" s="18"/>
      <c r="BQ231" s="18"/>
      <c r="BR231" s="18"/>
      <c r="BS231" s="18"/>
      <c r="BT231" s="18">
        <v>106.5</v>
      </c>
      <c r="BU231" s="18"/>
      <c r="BV231" s="18"/>
      <c r="BW231" s="18"/>
      <c r="BX231" s="18"/>
      <c r="BY231" s="18"/>
      <c r="BZ231" s="18"/>
      <c r="CA231" s="18"/>
      <c r="CB231" s="18"/>
      <c r="CC231" s="18"/>
      <c r="CD231" s="18"/>
      <c r="CE231" s="18"/>
      <c r="CF231" s="18"/>
      <c r="CG231" s="18"/>
      <c r="CH231" s="18">
        <v>9.5980000000000008</v>
      </c>
      <c r="CI231" s="18">
        <v>755.1</v>
      </c>
      <c r="CJ231" s="18">
        <v>11.44</v>
      </c>
      <c r="CK231" s="18">
        <v>20.16</v>
      </c>
      <c r="CL231" s="18"/>
      <c r="CM231" s="18">
        <v>1.2569999999999999</v>
      </c>
      <c r="CN231" s="18"/>
      <c r="CO231" s="18"/>
      <c r="CP231" s="18"/>
      <c r="CQ231" s="18"/>
      <c r="CR231" s="18"/>
      <c r="CS231" s="18">
        <v>190</v>
      </c>
      <c r="CT231" s="18"/>
      <c r="CU231" s="18">
        <v>15.87</v>
      </c>
      <c r="CV231" s="18">
        <v>29.29</v>
      </c>
      <c r="CW231" s="18">
        <v>3.5179999999999998</v>
      </c>
      <c r="CX231" s="18">
        <v>13.49</v>
      </c>
      <c r="CY231" s="18">
        <v>2.661</v>
      </c>
      <c r="CZ231" s="18">
        <v>0.51300000000000001</v>
      </c>
      <c r="DA231" s="18">
        <v>2.5720000000000001</v>
      </c>
      <c r="DB231" s="18">
        <v>2.0430000000000001</v>
      </c>
      <c r="DC231" s="18"/>
      <c r="DD231" s="18">
        <v>1.0389999999999999</v>
      </c>
      <c r="DE231" s="18"/>
      <c r="DF231" s="18">
        <v>0.99199999999999999</v>
      </c>
      <c r="DG231" s="18">
        <v>0.16</v>
      </c>
      <c r="DH231" s="18">
        <v>0.43099999999999999</v>
      </c>
      <c r="DI231" s="18"/>
      <c r="DJ231" s="18"/>
      <c r="DK231" s="18">
        <v>18.170000000000002</v>
      </c>
      <c r="DL231" s="18">
        <v>3.073</v>
      </c>
      <c r="DM231" s="18">
        <v>0.999</v>
      </c>
      <c r="DN231" s="18">
        <v>0.36699999999999999</v>
      </c>
      <c r="DO231" s="18"/>
      <c r="DP231" s="18"/>
      <c r="DQ231" s="18"/>
      <c r="DR231" s="18"/>
      <c r="DS231" s="18"/>
      <c r="DT231" s="18"/>
      <c r="DU231" s="18"/>
      <c r="DV231" s="28">
        <v>0.70848999999999995</v>
      </c>
      <c r="DW231" s="28">
        <v>1.0000000000000001E-5</v>
      </c>
      <c r="DX231" s="28">
        <v>0.70821000000000001</v>
      </c>
      <c r="DY231" s="28"/>
      <c r="DZ231" s="28">
        <v>61.65</v>
      </c>
      <c r="EA231" s="28"/>
      <c r="EB231" s="28"/>
      <c r="EC231" s="28"/>
      <c r="ED231" s="28"/>
      <c r="EE231" s="28"/>
      <c r="EF231" s="28"/>
      <c r="EG231" s="28"/>
      <c r="EH231" s="28"/>
      <c r="EI231" s="28"/>
      <c r="EJ231" s="18"/>
      <c r="EK231" s="18"/>
      <c r="EL231" s="18">
        <f>IFERROR(CR231/'McDonough &amp; Sun 1995 values'!C$2,)</f>
        <v>0</v>
      </c>
      <c r="EM231" s="18">
        <f>IFERROR(CH231/'McDonough &amp; Sun 1995 values'!D$2,)</f>
        <v>15.996666666666668</v>
      </c>
      <c r="EN231" s="18">
        <f>IFERROR(CS231/'McDonough &amp; Sun 1995 values'!E$2,)</f>
        <v>28.787878787878789</v>
      </c>
      <c r="EO231" s="18">
        <f>IFERROR(DL231/'McDonough &amp; Sun 1995 values'!F$2,)</f>
        <v>38.654088050314463</v>
      </c>
      <c r="EP231" s="18">
        <f>IFERROR(DM231/'McDonough &amp; Sun 1995 values'!G$2,)</f>
        <v>49.211822660098527</v>
      </c>
      <c r="EQ231" s="18">
        <f>IFERROR(BR231/'McDonough &amp; Sun 1995 values'!H$2,)</f>
        <v>0</v>
      </c>
      <c r="ER231" s="18">
        <f>IFERROR(DI231/'McDonough &amp; Sun 1995 values'!I$2,)</f>
        <v>0</v>
      </c>
      <c r="ES231" s="18">
        <f>IFERROR(CM231/'McDonough &amp; Sun 1995 values'!J$2,)</f>
        <v>1.910334346504559</v>
      </c>
      <c r="ET231" s="18">
        <f>IFERROR(CU231/'McDonough &amp; Sun 1995 values'!K$2,)</f>
        <v>24.49074074074074</v>
      </c>
      <c r="EU231" s="18">
        <f>IFERROR(CV231/'McDonough &amp; Sun 1995 values'!L$2,)</f>
        <v>17.486567164179103</v>
      </c>
      <c r="EV231" s="18">
        <f>IFERROR(CW231/'McDonough &amp; Sun 1995 values'!M$2,)</f>
        <v>13.8503937007874</v>
      </c>
      <c r="EW231" s="18">
        <f>IFERROR(CI231/'McDonough &amp; Sun 1995 values'!N$2,)</f>
        <v>37.944723618090457</v>
      </c>
      <c r="EX231" s="18">
        <f>IFERROR(CX231/'McDonough &amp; Sun 1995 values'!O$2,)</f>
        <v>10.792</v>
      </c>
      <c r="EY231" s="18">
        <f>IFERROR(CY231/'McDonough &amp; Sun 1995 values'!P$2,)</f>
        <v>6.554187192118226</v>
      </c>
      <c r="EZ231" s="18">
        <f>IFERROR(DH231/'McDonough &amp; Sun 1995 values'!Q$2,)</f>
        <v>1.5229681978798588</v>
      </c>
      <c r="FA231" s="18">
        <f>IFERROR(CK231/'McDonough &amp; Sun 1995 values'!R$2,)</f>
        <v>1.92</v>
      </c>
      <c r="FB231" s="18">
        <f>IFERROR(CZ231/'McDonough &amp; Sun 1995 values'!S$2,)</f>
        <v>3.3311688311688314</v>
      </c>
      <c r="FC231" s="18">
        <f>IFERROR(BT231/'McDonough &amp; Sun 1995 values'!T$2,)</f>
        <v>8.8381742738589217E-2</v>
      </c>
      <c r="FD231" s="18">
        <f>IFERROR(DA231/'McDonough &amp; Sun 1995 values'!U$2,)</f>
        <v>4.7279411764705879</v>
      </c>
      <c r="FE231" s="18">
        <f>IFERROR(DN231/'McDonough &amp; Sun 1995 values'!V$2,)</f>
        <v>3.7070707070707067</v>
      </c>
      <c r="FF231" s="18">
        <f>IFERROR(DB231/'McDonough &amp; Sun 1995 values'!W$2,)</f>
        <v>3.0311572700296736</v>
      </c>
      <c r="FG231" s="18">
        <f>IFERROR(CJ231/'McDonough &amp; Sun 1995 values'!X$2,)</f>
        <v>2.6604651162790698</v>
      </c>
      <c r="FH231" s="18">
        <f>IFERROR(DC231/'McDonough &amp; Sun 1995 values'!Y$2,)</f>
        <v>0</v>
      </c>
      <c r="FI231" s="18">
        <f>IFERROR(DD231/'McDonough &amp; Sun 1995 values'!Z$2,)</f>
        <v>2.372146118721461</v>
      </c>
      <c r="FJ231" s="18">
        <f>IFERROR(DE231/'McDonough &amp; Sun 1995 values'!AA$2,)</f>
        <v>0</v>
      </c>
      <c r="FK231" s="18">
        <f>IFERROR(DF231/'McDonough &amp; Sun 1995 values'!AB$2,)</f>
        <v>2.2494331065759638</v>
      </c>
      <c r="FL231" s="18">
        <f>IFERROR(DG231/'McDonough &amp; Sun 1995 values'!AC$2,)</f>
        <v>2.3703703703703702</v>
      </c>
      <c r="FN231" s="28">
        <f t="shared" si="458"/>
        <v>0</v>
      </c>
      <c r="FO231" s="4">
        <f t="shared" si="466"/>
        <v>0.58497891831225157</v>
      </c>
      <c r="FP231" s="4">
        <f t="shared" si="467"/>
        <v>20.234200427292699</v>
      </c>
      <c r="FQ231" s="4">
        <f t="shared" si="468"/>
        <v>0.78546345087225578</v>
      </c>
      <c r="FR231" s="4">
        <f t="shared" si="469"/>
        <v>12.820133180117271</v>
      </c>
      <c r="FS231" s="4">
        <f t="shared" si="470"/>
        <v>0</v>
      </c>
      <c r="FT231" s="4">
        <f t="shared" si="471"/>
        <v>0</v>
      </c>
      <c r="FU231" s="4">
        <f t="shared" si="472"/>
        <v>0</v>
      </c>
      <c r="FV231" s="4">
        <f t="shared" si="473"/>
        <v>0.29294250281848933</v>
      </c>
      <c r="FW231" s="4">
        <f t="shared" si="474"/>
        <v>1.2606960556844546</v>
      </c>
      <c r="FX231" s="4">
        <f t="shared" si="475"/>
        <v>0.59052134886947738</v>
      </c>
      <c r="FY231" s="4">
        <f t="shared" si="476"/>
        <v>3.1036258917329191</v>
      </c>
      <c r="FZ231" s="4">
        <f t="shared" si="477"/>
        <v>0.59841323683832437</v>
      </c>
      <c r="GA231" s="4">
        <f t="shared" si="478"/>
        <v>2.7396133595778784</v>
      </c>
      <c r="GB231" s="4">
        <f t="shared" si="479"/>
        <v>0.50825048682996832</v>
      </c>
      <c r="GC231" s="4">
        <f t="shared" si="480"/>
        <v>0</v>
      </c>
      <c r="GD231" s="4">
        <f t="shared" si="481"/>
        <v>0.74475638256959453</v>
      </c>
      <c r="GE231" s="4">
        <f t="shared" si="482"/>
        <v>1.799617344522533</v>
      </c>
      <c r="GF231" s="4">
        <f t="shared" si="483"/>
        <v>0</v>
      </c>
      <c r="GG231" s="4">
        <f t="shared" si="484"/>
        <v>15.069549914418651</v>
      </c>
      <c r="GH231" s="4">
        <f t="shared" si="485"/>
        <v>1.7682342661023731</v>
      </c>
      <c r="GI231" s="4">
        <f t="shared" si="486"/>
        <v>3.7366556710788208</v>
      </c>
      <c r="GJ231" s="4">
        <f t="shared" si="487"/>
        <v>8.0796667935679185</v>
      </c>
      <c r="GK231" s="4">
        <f t="shared" si="488"/>
        <v>10.887516801075268</v>
      </c>
      <c r="GL231" s="4">
        <f t="shared" si="489"/>
        <v>21.72394366197183</v>
      </c>
      <c r="GM231" s="4">
        <f t="shared" si="490"/>
        <v>2.4163839164605831</v>
      </c>
      <c r="GN231" s="4">
        <f t="shared" si="491"/>
        <v>7.8002309800564232E-2</v>
      </c>
      <c r="GO231" s="4">
        <f t="shared" si="492"/>
        <v>3.8818605839882427E-2</v>
      </c>
      <c r="GP231" s="4">
        <f t="shared" si="493"/>
        <v>0</v>
      </c>
      <c r="GQ231" s="27">
        <f t="shared" si="494"/>
        <v>169778.31384467924</v>
      </c>
      <c r="GR231" s="28" t="str">
        <f t="shared" si="495"/>
        <v/>
      </c>
      <c r="GS231" s="28" t="str">
        <f t="shared" si="496"/>
        <v/>
      </c>
      <c r="GT231" s="28" t="str">
        <f t="shared" si="497"/>
        <v/>
      </c>
      <c r="GU231" s="28" t="str">
        <f t="shared" si="498"/>
        <v/>
      </c>
      <c r="GV231" s="28" t="str">
        <f t="shared" si="499"/>
        <v/>
      </c>
      <c r="GW231" s="28" t="str">
        <f t="shared" si="500"/>
        <v/>
      </c>
      <c r="GX231" s="28" t="str">
        <f t="shared" si="501"/>
        <v/>
      </c>
      <c r="GY231" s="28" t="str">
        <f t="shared" si="502"/>
        <v/>
      </c>
      <c r="GZ231" s="28" t="str">
        <f t="shared" si="503"/>
        <v/>
      </c>
      <c r="HA231" s="28" t="str">
        <f t="shared" si="504"/>
        <v/>
      </c>
      <c r="HB231" s="28" t="str">
        <f t="shared" si="505"/>
        <v/>
      </c>
      <c r="HC231" s="28" t="str">
        <f t="shared" si="506"/>
        <v/>
      </c>
      <c r="HD231" s="28" t="str">
        <f t="shared" si="507"/>
        <v/>
      </c>
      <c r="HE231" s="28" t="str">
        <f t="shared" si="508"/>
        <v/>
      </c>
      <c r="HF231" s="28" t="str">
        <f t="shared" si="509"/>
        <v/>
      </c>
      <c r="HG231" s="28" t="str">
        <f t="shared" si="510"/>
        <v/>
      </c>
      <c r="HH231" s="28" t="str">
        <f t="shared" si="511"/>
        <v/>
      </c>
      <c r="HI231" s="28" t="str">
        <f t="shared" si="512"/>
        <v/>
      </c>
      <c r="HJ231" s="28" t="str">
        <f t="shared" si="513"/>
        <v/>
      </c>
      <c r="HK231" s="28" t="str">
        <f t="shared" si="514"/>
        <v/>
      </c>
      <c r="HL231" s="28" t="str">
        <f t="shared" si="515"/>
        <v/>
      </c>
      <c r="HM231" s="28" t="str">
        <f t="shared" si="516"/>
        <v/>
      </c>
      <c r="HN231" s="28" t="str">
        <f t="shared" si="517"/>
        <v/>
      </c>
      <c r="HO231" s="28" t="str">
        <f t="shared" si="518"/>
        <v/>
      </c>
      <c r="HP231" s="28" t="str">
        <f t="shared" si="519"/>
        <v/>
      </c>
      <c r="HQ231" s="28" t="str">
        <f t="shared" si="520"/>
        <v/>
      </c>
      <c r="HR231" s="28" t="str">
        <f t="shared" si="521"/>
        <v/>
      </c>
      <c r="HT231" s="4">
        <f>IFERROR(GR231/'McDonough &amp; Sun 1995 values'!C$2,)</f>
        <v>0</v>
      </c>
      <c r="HU231" s="4">
        <f>IFERROR(GS231/'McDonough &amp; Sun 1995 values'!D$2,)</f>
        <v>0</v>
      </c>
      <c r="HV231" s="4">
        <f>IFERROR(GT231/'McDonough &amp; Sun 1995 values'!E$2,)</f>
        <v>0</v>
      </c>
      <c r="HW231" s="4">
        <f>IFERROR(GU231/'McDonough &amp; Sun 1995 values'!F$2,)</f>
        <v>0</v>
      </c>
      <c r="HX231" s="4">
        <f>IFERROR(GV231/'McDonough &amp; Sun 1995 values'!G$2,)</f>
        <v>0</v>
      </c>
      <c r="HY231" s="4">
        <f>IFERROR(GW231/'McDonough &amp; Sun 1995 values'!H$2,)</f>
        <v>0</v>
      </c>
      <c r="HZ231" s="4">
        <f>IFERROR(GX231/'McDonough &amp; Sun 1995 values'!I$2,)</f>
        <v>0</v>
      </c>
      <c r="IA231" s="4">
        <f>IFERROR(GY231/'McDonough &amp; Sun 1995 values'!J$2,)</f>
        <v>0</v>
      </c>
      <c r="IB231" s="4">
        <f>IFERROR(GZ231/'McDonough &amp; Sun 1995 values'!K$2,)</f>
        <v>0</v>
      </c>
      <c r="IC231" s="4">
        <f>IFERROR(HA231/'McDonough &amp; Sun 1995 values'!L$2,)</f>
        <v>0</v>
      </c>
      <c r="ID231" s="4">
        <f>IFERROR(HB231/'McDonough &amp; Sun 1995 values'!M$2,)</f>
        <v>0</v>
      </c>
      <c r="IE231" s="4">
        <f>IFERROR(HC231/'McDonough &amp; Sun 1995 values'!N$2,)</f>
        <v>0</v>
      </c>
      <c r="IF231" s="4">
        <f>IFERROR(HD231/'McDonough &amp; Sun 1995 values'!O$2,)</f>
        <v>0</v>
      </c>
      <c r="IG231" s="4">
        <f>IFERROR(HE231/'McDonough &amp; Sun 1995 values'!P$2,)</f>
        <v>0</v>
      </c>
      <c r="IH231" s="4">
        <f>IFERROR(HF231/'McDonough &amp; Sun 1995 values'!Q$2,)</f>
        <v>0</v>
      </c>
      <c r="II231" s="4">
        <f>IFERROR(HG231/'McDonough &amp; Sun 1995 values'!R$2,)</f>
        <v>0</v>
      </c>
      <c r="IJ231" s="4">
        <f>IFERROR(HH231/'McDonough &amp; Sun 1995 values'!S$2,)</f>
        <v>0</v>
      </c>
      <c r="IK231" s="4">
        <f>IFERROR(HI231/'McDonough &amp; Sun 1995 values'!T$2,)</f>
        <v>0</v>
      </c>
      <c r="IL231" s="4">
        <f>IFERROR(HJ231/'McDonough &amp; Sun 1995 values'!U$2,)</f>
        <v>0</v>
      </c>
      <c r="IM231" s="4">
        <f>IFERROR(HK231/'McDonough &amp; Sun 1995 values'!V$2,)</f>
        <v>0</v>
      </c>
      <c r="IN231" s="4">
        <f>IFERROR(HL231/'McDonough &amp; Sun 1995 values'!W$2,)</f>
        <v>0</v>
      </c>
      <c r="IO231" s="4">
        <f>IFERROR(HM231/'McDonough &amp; Sun 1995 values'!X$2,)</f>
        <v>0</v>
      </c>
      <c r="IP231" s="4">
        <f>IFERROR(HN231/'McDonough &amp; Sun 1995 values'!Y$2,)</f>
        <v>0</v>
      </c>
      <c r="IQ231" s="4">
        <f>IFERROR(HO231/'McDonough &amp; Sun 1995 values'!Z$2,)</f>
        <v>0</v>
      </c>
      <c r="IR231" s="4">
        <f>IFERROR(HP231/'McDonough &amp; Sun 1995 values'!AA$2,)</f>
        <v>0</v>
      </c>
      <c r="IS231" s="4">
        <f>IFERROR(HQ231/'McDonough &amp; Sun 1995 values'!AB$2,)</f>
        <v>0</v>
      </c>
      <c r="IT231" s="4">
        <f>IFERROR(HR231/'McDonough &amp; Sun 1995 values'!AC$2,)</f>
        <v>0</v>
      </c>
    </row>
    <row r="232" spans="1:254">
      <c r="A232" s="16" t="s">
        <v>1181</v>
      </c>
      <c r="B232" s="16" t="s">
        <v>24</v>
      </c>
      <c r="C232" s="16" t="str">
        <f t="shared" si="461"/>
        <v>silicic</v>
      </c>
      <c r="D232" s="16" t="s">
        <v>110</v>
      </c>
      <c r="E232" s="16" t="s">
        <v>801</v>
      </c>
      <c r="F232" s="16" t="s">
        <v>800</v>
      </c>
      <c r="G232" s="16" t="s">
        <v>829</v>
      </c>
      <c r="H232" s="27">
        <v>0</v>
      </c>
      <c r="I232" s="16" t="s">
        <v>712</v>
      </c>
      <c r="J232" s="16" t="s">
        <v>635</v>
      </c>
      <c r="K232" s="16" t="s">
        <v>1169</v>
      </c>
      <c r="L232" s="16" t="s">
        <v>789</v>
      </c>
      <c r="M232" s="16" t="s">
        <v>786</v>
      </c>
      <c r="N232" s="16">
        <v>52</v>
      </c>
      <c r="O232" s="26">
        <v>51.912139497224452</v>
      </c>
      <c r="P232" s="26">
        <v>1.7627810038252805</v>
      </c>
      <c r="Q232" s="26">
        <v>0.76019556344181227</v>
      </c>
      <c r="R232" s="26">
        <v>7.3327700169222947</v>
      </c>
      <c r="S232" s="26">
        <v>4.3048087712385827</v>
      </c>
      <c r="T232" s="26">
        <v>2.0894249289221722</v>
      </c>
      <c r="U232" s="26">
        <v>0.58647450727913852</v>
      </c>
      <c r="V232" s="26">
        <v>5.7629608331521514</v>
      </c>
      <c r="W232" s="26">
        <v>3.5227971774911362</v>
      </c>
      <c r="X232" s="26">
        <v>15.056384869754291</v>
      </c>
      <c r="Y232" s="26"/>
      <c r="Z232" s="26">
        <v>3.0964983471296788</v>
      </c>
      <c r="AA232" s="26">
        <v>2.2658109332217644</v>
      </c>
      <c r="AB232" s="26">
        <v>3.6252729176137843</v>
      </c>
      <c r="AC232" s="26"/>
      <c r="AD232" s="26">
        <v>1.9804632037737606</v>
      </c>
      <c r="AE232" s="26"/>
      <c r="AF232" s="26"/>
      <c r="AG232" s="26"/>
      <c r="AH232" s="26"/>
      <c r="AI232" s="26">
        <v>5.3</v>
      </c>
      <c r="AJ232" s="26">
        <f t="shared" si="462"/>
        <v>100.4463015670476</v>
      </c>
      <c r="AK232" s="26">
        <f t="shared" si="522"/>
        <v>51.912466275998057</v>
      </c>
      <c r="AL232" s="26">
        <f t="shared" si="523"/>
        <v>1.7627921002551357</v>
      </c>
      <c r="AM232" s="26">
        <f t="shared" si="524"/>
        <v>7.3328161755591079</v>
      </c>
      <c r="AN232" s="26">
        <f t="shared" si="525"/>
        <v>4.3048358693344131</v>
      </c>
      <c r="AO232" s="26">
        <f t="shared" si="526"/>
        <v>2.0894380815242886</v>
      </c>
      <c r="AP232" s="26">
        <f t="shared" si="527"/>
        <v>5.7629971100864408</v>
      </c>
      <c r="AQ232" s="26">
        <f t="shared" si="528"/>
        <v>3.6252957381380293</v>
      </c>
      <c r="AR232" s="26">
        <f t="shared" si="529"/>
        <v>3.5228193529466747</v>
      </c>
      <c r="AS232" s="26">
        <f t="shared" si="530"/>
        <v>15.056479647334839</v>
      </c>
      <c r="AT232" s="26">
        <f t="shared" si="531"/>
        <v>3.096517839100962</v>
      </c>
      <c r="AU232" s="26">
        <f t="shared" si="532"/>
        <v>1.9804756704789122</v>
      </c>
      <c r="AV232" s="26">
        <f t="shared" si="463"/>
        <v>100.44693386075687</v>
      </c>
      <c r="AW232" s="26">
        <v>5.5</v>
      </c>
      <c r="AX232" s="26">
        <v>22.9</v>
      </c>
      <c r="AY232" s="94"/>
      <c r="AZ232" s="94"/>
      <c r="BA232" s="26">
        <v>0.09</v>
      </c>
      <c r="BB232" s="26"/>
      <c r="BC232" s="26">
        <f>(AX232/18)/((AX232/18)+(AW232/44))</f>
        <v>0.91053677932405563</v>
      </c>
      <c r="BD232" s="26">
        <f>(AW232/44)/((AX232/18)+(AW232/44))</f>
        <v>8.9463220675944338E-2</v>
      </c>
      <c r="BE232" s="16"/>
      <c r="BF232" s="16"/>
      <c r="BG232" s="16"/>
      <c r="BH232" s="16"/>
      <c r="BI232" s="16"/>
      <c r="BJ232" s="16"/>
      <c r="BK232" s="18"/>
      <c r="BL232" s="18"/>
      <c r="BM232" s="18"/>
      <c r="BN232" s="18"/>
      <c r="BO232" s="18"/>
      <c r="BP232" s="18"/>
      <c r="BQ232" s="18"/>
      <c r="BR232" s="18">
        <v>114</v>
      </c>
      <c r="BS232" s="18"/>
      <c r="BT232" s="18">
        <v>9.1</v>
      </c>
      <c r="BU232" s="18"/>
      <c r="BV232" s="18"/>
      <c r="BW232" s="18"/>
      <c r="BX232" s="18"/>
      <c r="BY232" s="18"/>
      <c r="BZ232" s="18"/>
      <c r="CA232" s="18"/>
      <c r="CB232" s="18"/>
      <c r="CC232" s="18"/>
      <c r="CD232" s="18"/>
      <c r="CE232" s="18"/>
      <c r="CF232" s="18"/>
      <c r="CG232" s="18"/>
      <c r="CH232" s="18">
        <v>0.28999999999999998</v>
      </c>
      <c r="CI232" s="18">
        <v>3</v>
      </c>
      <c r="CJ232" s="18">
        <v>1.4999999999999999E-2</v>
      </c>
      <c r="CK232" s="18">
        <v>0.61</v>
      </c>
      <c r="CL232" s="18"/>
      <c r="CM232" s="18">
        <v>0.12</v>
      </c>
      <c r="CN232" s="18"/>
      <c r="CO232" s="18"/>
      <c r="CP232" s="18"/>
      <c r="CQ232" s="18"/>
      <c r="CR232" s="18">
        <v>8.9999999999999993E-3</v>
      </c>
      <c r="CS232" s="18">
        <v>26</v>
      </c>
      <c r="CT232" s="18"/>
      <c r="CU232" s="18">
        <v>1.17</v>
      </c>
      <c r="CV232" s="18">
        <v>1.31</v>
      </c>
      <c r="CW232" s="18">
        <v>0.11600000000000001</v>
      </c>
      <c r="CX232" s="18">
        <v>0.36</v>
      </c>
      <c r="CY232" s="18">
        <v>2.7E-2</v>
      </c>
      <c r="CZ232" s="18">
        <v>7.0000000000000001E-3</v>
      </c>
      <c r="DA232" s="18">
        <v>2.1000000000000001E-2</v>
      </c>
      <c r="DB232" s="18">
        <v>7.0000000000000001E-3</v>
      </c>
      <c r="DC232" s="18">
        <v>2E-3</v>
      </c>
      <c r="DD232" s="18"/>
      <c r="DE232" s="18"/>
      <c r="DF232" s="18">
        <v>0</v>
      </c>
      <c r="DG232" s="18">
        <v>1E-3</v>
      </c>
      <c r="DH232" s="18">
        <v>1.6E-2</v>
      </c>
      <c r="DI232" s="18">
        <v>3.0000000000000001E-3</v>
      </c>
      <c r="DJ232" s="18"/>
      <c r="DK232" s="18">
        <v>0</v>
      </c>
      <c r="DL232" s="18">
        <v>0.23</v>
      </c>
      <c r="DM232" s="18">
        <v>0.04</v>
      </c>
      <c r="DN232" s="18">
        <v>0</v>
      </c>
      <c r="DO232" s="18"/>
      <c r="DP232" s="18"/>
      <c r="DQ232" s="18"/>
      <c r="DR232" s="18"/>
      <c r="DS232" s="18"/>
      <c r="DT232" s="18"/>
      <c r="DU232" s="18"/>
      <c r="DV232" s="28"/>
      <c r="DW232" s="28"/>
      <c r="DX232" s="28"/>
      <c r="DY232" s="28"/>
      <c r="DZ232" s="28"/>
      <c r="EA232" s="28"/>
      <c r="EB232" s="28"/>
      <c r="EC232" s="28"/>
      <c r="ED232" s="28"/>
      <c r="EE232" s="28"/>
      <c r="EF232" s="28"/>
      <c r="EG232" s="28"/>
      <c r="EH232" s="28"/>
      <c r="EI232" s="28"/>
      <c r="EJ232" s="18"/>
      <c r="EK232" s="18"/>
      <c r="EL232" s="18">
        <f>IFERROR(CR232/'McDonough &amp; Sun 1995 values'!C$2,)</f>
        <v>0.42857142857142849</v>
      </c>
      <c r="EM232" s="18">
        <f>IFERROR(CH232/'McDonough &amp; Sun 1995 values'!D$2,)</f>
        <v>0.48333333333333334</v>
      </c>
      <c r="EN232" s="18">
        <f>IFERROR(CS232/'McDonough &amp; Sun 1995 values'!E$2,)</f>
        <v>3.9393939393939394</v>
      </c>
      <c r="EO232" s="18">
        <f>IFERROR(DL232/'McDonough &amp; Sun 1995 values'!F$2,)</f>
        <v>2.8930817610062896</v>
      </c>
      <c r="EP232" s="18">
        <f>IFERROR(DM232/'McDonough &amp; Sun 1995 values'!G$2,)</f>
        <v>1.9704433497536948</v>
      </c>
      <c r="EQ232" s="18">
        <f>IFERROR(BR232/'McDonough &amp; Sun 1995 values'!H$2,)</f>
        <v>0.47499999999999998</v>
      </c>
      <c r="ER232" s="18">
        <f>IFERROR(DI232/'McDonough &amp; Sun 1995 values'!I$2,)</f>
        <v>8.1081081081081086E-2</v>
      </c>
      <c r="ES232" s="18">
        <f>IFERROR(CM232/'McDonough &amp; Sun 1995 values'!J$2,)</f>
        <v>0.18237082066869301</v>
      </c>
      <c r="ET232" s="18">
        <f>IFERROR(CU232/'McDonough &amp; Sun 1995 values'!K$2,)</f>
        <v>1.8055555555555554</v>
      </c>
      <c r="EU232" s="18">
        <f>IFERROR(CV232/'McDonough &amp; Sun 1995 values'!L$2,)</f>
        <v>0.78208955223880594</v>
      </c>
      <c r="EV232" s="18">
        <f>IFERROR(CW232/'McDonough &amp; Sun 1995 values'!M$2,)</f>
        <v>0.45669291338582679</v>
      </c>
      <c r="EW232" s="18">
        <f>IFERROR(CI232/'McDonough &amp; Sun 1995 values'!N$2,)</f>
        <v>0.15075376884422112</v>
      </c>
      <c r="EX232" s="18">
        <f>IFERROR(CX232/'McDonough &amp; Sun 1995 values'!O$2,)</f>
        <v>0.28799999999999998</v>
      </c>
      <c r="EY232" s="18">
        <f>IFERROR(CY232/'McDonough &amp; Sun 1995 values'!P$2,)</f>
        <v>6.650246305418718E-2</v>
      </c>
      <c r="EZ232" s="18">
        <f>IFERROR(DH232/'McDonough &amp; Sun 1995 values'!Q$2,)</f>
        <v>5.6537102473498239E-2</v>
      </c>
      <c r="FA232" s="18">
        <f>IFERROR(CK232/'McDonough &amp; Sun 1995 values'!R$2,)</f>
        <v>5.8095238095238096E-2</v>
      </c>
      <c r="FB232" s="18">
        <f>IFERROR(CZ232/'McDonough &amp; Sun 1995 values'!S$2,)</f>
        <v>4.5454545454545456E-2</v>
      </c>
      <c r="FC232" s="18">
        <f>IFERROR(BT232/'McDonough &amp; Sun 1995 values'!T$2,)</f>
        <v>7.551867219917012E-3</v>
      </c>
      <c r="FD232" s="18">
        <f>IFERROR(DA232/'McDonough &amp; Sun 1995 values'!U$2,)</f>
        <v>3.860294117647059E-2</v>
      </c>
      <c r="FE232" s="18">
        <f>IFERROR(DN232/'McDonough &amp; Sun 1995 values'!V$2,)</f>
        <v>0</v>
      </c>
      <c r="FF232" s="18">
        <f>IFERROR(DB232/'McDonough &amp; Sun 1995 values'!W$2,)</f>
        <v>1.0385756676557863E-2</v>
      </c>
      <c r="FG232" s="18">
        <f>IFERROR(CJ232/'McDonough &amp; Sun 1995 values'!X$2,)</f>
        <v>3.4883720930232558E-3</v>
      </c>
      <c r="FH232" s="18">
        <f>IFERROR(DC232/'McDonough &amp; Sun 1995 values'!Y$2,)</f>
        <v>1.342281879194631E-2</v>
      </c>
      <c r="FI232" s="18">
        <f>IFERROR(DD232/'McDonough &amp; Sun 1995 values'!Z$2,)</f>
        <v>0</v>
      </c>
      <c r="FJ232" s="18">
        <f>IFERROR(DE232/'McDonough &amp; Sun 1995 values'!AA$2,)</f>
        <v>0</v>
      </c>
      <c r="FK232" s="18">
        <f>IFERROR(DF232/'McDonough &amp; Sun 1995 values'!AB$2,)</f>
        <v>0</v>
      </c>
      <c r="FL232" s="18">
        <f>IFERROR(DG232/'McDonough &amp; Sun 1995 values'!AC$2,)</f>
        <v>1.4814814814814814E-2</v>
      </c>
      <c r="FN232" s="28">
        <f t="shared" si="458"/>
        <v>4.1483017889551475</v>
      </c>
      <c r="FO232" s="4">
        <f t="shared" si="466"/>
        <v>1.999242424242424</v>
      </c>
      <c r="FP232" s="4">
        <f t="shared" si="467"/>
        <v>15.863731656184488</v>
      </c>
      <c r="FQ232" s="4">
        <f t="shared" si="468"/>
        <v>1.4682389937106917</v>
      </c>
      <c r="FR232" s="4">
        <f t="shared" si="469"/>
        <v>9.9004629629629619</v>
      </c>
      <c r="FS232" s="4">
        <f t="shared" si="470"/>
        <v>22.268518518518515</v>
      </c>
      <c r="FT232" s="4">
        <f t="shared" si="471"/>
        <v>1.127777777777778</v>
      </c>
      <c r="FU232" s="4">
        <f t="shared" si="472"/>
        <v>0.44459459459459461</v>
      </c>
      <c r="FV232" s="4">
        <f t="shared" si="473"/>
        <v>0.87358024691358038</v>
      </c>
      <c r="FW232" s="4">
        <f t="shared" si="474"/>
        <v>1.0275595238095236</v>
      </c>
      <c r="FX232" s="4">
        <f t="shared" si="475"/>
        <v>0.86493260336630728</v>
      </c>
      <c r="FY232" s="4">
        <f t="shared" si="476"/>
        <v>0.41568064007151817</v>
      </c>
      <c r="FZ232" s="4">
        <f t="shared" si="477"/>
        <v>0.89711528529998052</v>
      </c>
      <c r="GA232" s="4">
        <f t="shared" si="478"/>
        <v>0.33009876971062208</v>
      </c>
      <c r="GB232" s="4">
        <f t="shared" si="479"/>
        <v>0.68350168350168361</v>
      </c>
      <c r="GC232" s="4">
        <f t="shared" si="480"/>
        <v>0.88669950738916237</v>
      </c>
      <c r="GD232" s="4">
        <f t="shared" si="481"/>
        <v>1.3616600790513833</v>
      </c>
      <c r="GE232" s="4">
        <f t="shared" si="482"/>
        <v>8.1504702194357375</v>
      </c>
      <c r="GF232" s="4">
        <f t="shared" si="483"/>
        <v>8.2934609250398736</v>
      </c>
      <c r="GG232" s="4">
        <f t="shared" si="484"/>
        <v>21.6010101010101</v>
      </c>
      <c r="GH232" s="4">
        <f t="shared" si="485"/>
        <v>3.9535440613026815</v>
      </c>
      <c r="GI232" s="4">
        <f t="shared" si="486"/>
        <v>27.150205761316876</v>
      </c>
      <c r="GJ232" s="4">
        <f t="shared" si="487"/>
        <v>173.84920634920633</v>
      </c>
      <c r="GK232" s="4">
        <f t="shared" si="488"/>
        <v>0</v>
      </c>
      <c r="GL232" s="4">
        <f t="shared" si="489"/>
        <v>7.6928309785452651</v>
      </c>
      <c r="GM232" s="4">
        <f t="shared" si="490"/>
        <v>5.9856864020819787</v>
      </c>
      <c r="GN232" s="4">
        <f t="shared" si="491"/>
        <v>0.1010053776011223</v>
      </c>
      <c r="GO232" s="4">
        <f t="shared" si="492"/>
        <v>9.2553191489361683E-2</v>
      </c>
      <c r="GP232" s="4">
        <f t="shared" si="493"/>
        <v>0.24106249999999996</v>
      </c>
      <c r="GQ232" s="27">
        <f t="shared" si="494"/>
        <v>124989.45432862513</v>
      </c>
      <c r="GR232" s="28">
        <f t="shared" si="495"/>
        <v>9.8675884996282974</v>
      </c>
      <c r="GS232" s="28">
        <f t="shared" si="496"/>
        <v>317.95562943246745</v>
      </c>
      <c r="GT232" s="28">
        <f t="shared" si="497"/>
        <v>28506.366776703973</v>
      </c>
      <c r="GU232" s="28">
        <f t="shared" si="498"/>
        <v>252.1717061016121</v>
      </c>
      <c r="GV232" s="28">
        <f t="shared" si="499"/>
        <v>43.855948887236892</v>
      </c>
      <c r="GW232" s="28">
        <f t="shared" si="500"/>
        <v>124989.45432862513</v>
      </c>
      <c r="GX232" s="28">
        <f t="shared" si="501"/>
        <v>3.2891961665427667</v>
      </c>
      <c r="GY232" s="28">
        <f t="shared" si="502"/>
        <v>131.56784666171066</v>
      </c>
      <c r="GZ232" s="28">
        <f t="shared" si="503"/>
        <v>1282.786504951679</v>
      </c>
      <c r="HA232" s="28">
        <f t="shared" si="504"/>
        <v>1436.282326057008</v>
      </c>
      <c r="HB232" s="28">
        <f t="shared" si="505"/>
        <v>127.18225177298697</v>
      </c>
      <c r="HC232" s="28">
        <f t="shared" si="506"/>
        <v>3289.1961665427662</v>
      </c>
      <c r="HD232" s="28">
        <f t="shared" si="507"/>
        <v>394.70353998513195</v>
      </c>
      <c r="HE232" s="28">
        <f t="shared" si="508"/>
        <v>29.602765498884896</v>
      </c>
      <c r="HF232" s="28">
        <f t="shared" si="509"/>
        <v>17.542379554894755</v>
      </c>
      <c r="HG232" s="28">
        <f t="shared" si="510"/>
        <v>668.80322053036252</v>
      </c>
      <c r="HH232" s="28">
        <f t="shared" si="511"/>
        <v>7.6747910552664553</v>
      </c>
      <c r="HI232" s="28">
        <f t="shared" si="512"/>
        <v>9977.2283718463914</v>
      </c>
      <c r="HJ232" s="28">
        <f t="shared" si="513"/>
        <v>23.024373165799368</v>
      </c>
      <c r="HK232" s="28">
        <f t="shared" si="514"/>
        <v>0</v>
      </c>
      <c r="HL232" s="28">
        <f t="shared" si="515"/>
        <v>7.6747910552664553</v>
      </c>
      <c r="HM232" s="28">
        <f t="shared" si="516"/>
        <v>16.445980832713833</v>
      </c>
      <c r="HN232" s="28">
        <f t="shared" si="517"/>
        <v>2.1927974443618443</v>
      </c>
      <c r="HO232" s="28">
        <f t="shared" si="518"/>
        <v>0</v>
      </c>
      <c r="HP232" s="28">
        <f t="shared" si="519"/>
        <v>0</v>
      </c>
      <c r="HQ232" s="28">
        <f t="shared" si="520"/>
        <v>0</v>
      </c>
      <c r="HR232" s="28">
        <f t="shared" si="521"/>
        <v>1.0963987221809222</v>
      </c>
      <c r="HT232" s="4">
        <f>IFERROR(GR232/'McDonough &amp; Sun 1995 values'!C$2,)</f>
        <v>469.8851666489665</v>
      </c>
      <c r="HU232" s="4">
        <f>IFERROR(GS232/'McDonough &amp; Sun 1995 values'!D$2,)</f>
        <v>529.92604905411247</v>
      </c>
      <c r="HV232" s="4">
        <f>IFERROR(GT232/'McDonough &amp; Sun 1995 values'!E$2,)</f>
        <v>4319.146481318784</v>
      </c>
      <c r="HW232" s="4">
        <f>IFERROR(GU232/'McDonough &amp; Sun 1995 values'!F$2,)</f>
        <v>3171.9711459322275</v>
      </c>
      <c r="HX232" s="4">
        <f>IFERROR(GV232/'McDonough &amp; Sun 1995 values'!G$2,)</f>
        <v>2160.3915707998472</v>
      </c>
      <c r="HY232" s="4">
        <f>IFERROR(GW232/'McDonough &amp; Sun 1995 values'!H$2,)</f>
        <v>520.78939303593802</v>
      </c>
      <c r="HZ232" s="4">
        <f>IFERROR(GX232/'McDonough &amp; Sun 1995 values'!I$2,)</f>
        <v>88.897193690345048</v>
      </c>
      <c r="IA232" s="4">
        <f>IFERROR(GY232/'McDonough &amp; Sun 1995 values'!J$2,)</f>
        <v>199.95113474424113</v>
      </c>
      <c r="IB232" s="4">
        <f>IFERROR(GZ232/'McDonough &amp; Sun 1995 values'!K$2,)</f>
        <v>1979.6088039377762</v>
      </c>
      <c r="IC232" s="4">
        <f>IFERROR(HA232/'McDonough &amp; Sun 1995 values'!L$2,)</f>
        <v>857.48198570567638</v>
      </c>
      <c r="ID232" s="4">
        <f>IFERROR(HB232/'McDonough &amp; Sun 1995 values'!M$2,)</f>
        <v>500.71752666530301</v>
      </c>
      <c r="IE232" s="4">
        <f>IFERROR(HC232/'McDonough &amp; Sun 1995 values'!N$2,)</f>
        <v>165.28623952476212</v>
      </c>
      <c r="IF232" s="4">
        <f>IFERROR(HD232/'McDonough &amp; Sun 1995 values'!O$2,)</f>
        <v>315.76283198810557</v>
      </c>
      <c r="IG232" s="4">
        <f>IFERROR(HE232/'McDonough &amp; Sun 1995 values'!P$2,)</f>
        <v>72.913215514494809</v>
      </c>
      <c r="IH232" s="4">
        <f>IFERROR(HF232/'McDonough &amp; Sun 1995 values'!Q$2,)</f>
        <v>61.987206907755322</v>
      </c>
      <c r="II232" s="4">
        <f>IFERROR(HG232/'McDonough &amp; Sun 1995 values'!R$2,)</f>
        <v>63.695544812415477</v>
      </c>
      <c r="IJ232" s="4">
        <f>IFERROR(HH232/'McDonough &amp; Sun 1995 values'!S$2,)</f>
        <v>49.83630555367828</v>
      </c>
      <c r="IK232" s="4">
        <f>IFERROR(HI232/'McDonough &amp; Sun 1995 values'!T$2,)</f>
        <v>8.2798575699970058</v>
      </c>
      <c r="IL232" s="4">
        <f>IFERROR(HJ232/'McDonough &amp; Sun 1995 values'!U$2,)</f>
        <v>42.324215378307656</v>
      </c>
      <c r="IM232" s="4">
        <f>IFERROR(HK232/'McDonough &amp; Sun 1995 values'!V$2,)</f>
        <v>0</v>
      </c>
      <c r="IN232" s="4">
        <f>IFERROR(HL232/'McDonough &amp; Sun 1995 values'!W$2,)</f>
        <v>11.386930349060021</v>
      </c>
      <c r="IO232" s="4">
        <f>IFERROR(HM232/'McDonough &amp; Sun 1995 values'!X$2,)</f>
        <v>3.8246467052822868</v>
      </c>
      <c r="IP232" s="4">
        <f>IFERROR(HN232/'McDonough &amp; Sun 1995 values'!Y$2,)</f>
        <v>14.716761371556002</v>
      </c>
      <c r="IQ232" s="4">
        <f>IFERROR(HO232/'McDonough &amp; Sun 1995 values'!Z$2,)</f>
        <v>0</v>
      </c>
      <c r="IR232" s="4">
        <f>IFERROR(HP232/'McDonough &amp; Sun 1995 values'!AA$2,)</f>
        <v>0</v>
      </c>
      <c r="IS232" s="4">
        <f>IFERROR(HQ232/'McDonough &amp; Sun 1995 values'!AB$2,)</f>
        <v>0</v>
      </c>
      <c r="IT232" s="4">
        <f>IFERROR(HR232/'McDonough &amp; Sun 1995 values'!AC$2,)</f>
        <v>16.242944032309957</v>
      </c>
    </row>
    <row r="233" spans="1:254">
      <c r="A233" s="16" t="s">
        <v>1181</v>
      </c>
      <c r="B233" s="16" t="s">
        <v>24</v>
      </c>
      <c r="C233" s="16" t="str">
        <f t="shared" si="461"/>
        <v>silicic</v>
      </c>
      <c r="D233" s="16" t="s">
        <v>110</v>
      </c>
      <c r="E233" s="16" t="s">
        <v>801</v>
      </c>
      <c r="F233" s="16" t="s">
        <v>800</v>
      </c>
      <c r="G233" s="16" t="s">
        <v>829</v>
      </c>
      <c r="H233" s="27">
        <v>0</v>
      </c>
      <c r="I233" s="16" t="s">
        <v>712</v>
      </c>
      <c r="J233" s="16" t="s">
        <v>635</v>
      </c>
      <c r="K233" s="16" t="s">
        <v>1169</v>
      </c>
      <c r="L233" s="16" t="s">
        <v>99</v>
      </c>
      <c r="M233" s="16" t="s">
        <v>786</v>
      </c>
      <c r="N233" s="16">
        <v>83</v>
      </c>
      <c r="O233" s="26">
        <v>44.976300882014449</v>
      </c>
      <c r="P233" s="26">
        <v>1.6628322391249568</v>
      </c>
      <c r="Q233" s="26">
        <v>0.60904933213644707</v>
      </c>
      <c r="R233" s="26">
        <v>7.1144016332497708</v>
      </c>
      <c r="S233" s="26">
        <v>4.5420384479435318</v>
      </c>
      <c r="T233" s="26">
        <v>1.7232735931035672</v>
      </c>
      <c r="U233" s="26">
        <v>0.49781853712170832</v>
      </c>
      <c r="V233" s="26">
        <v>7.254298880948479</v>
      </c>
      <c r="W233" s="26">
        <v>4.0722943859640059</v>
      </c>
      <c r="X233" s="26">
        <v>17.199299065785222</v>
      </c>
      <c r="Y233" s="26"/>
      <c r="Z233" s="26">
        <v>2.9025711215066852</v>
      </c>
      <c r="AA233" s="26">
        <v>2.0999178518520796</v>
      </c>
      <c r="AB233" s="26">
        <v>4.5249876365253696</v>
      </c>
      <c r="AC233" s="26"/>
      <c r="AD233" s="26">
        <v>5.1993972742219938</v>
      </c>
      <c r="AE233" s="26"/>
      <c r="AF233" s="26"/>
      <c r="AG233" s="26"/>
      <c r="AH233" s="26"/>
      <c r="AI233" s="26">
        <v>5.7</v>
      </c>
      <c r="AJ233" s="26">
        <f t="shared" si="462"/>
        <v>101.17169516038803</v>
      </c>
      <c r="AK233" s="26">
        <f t="shared" si="522"/>
        <v>44.977044173763218</v>
      </c>
      <c r="AL233" s="26">
        <f t="shared" si="523"/>
        <v>1.6628597195859705</v>
      </c>
      <c r="AM233" s="26">
        <f t="shared" si="524"/>
        <v>7.1145192079708517</v>
      </c>
      <c r="AN233" s="26">
        <f t="shared" si="525"/>
        <v>4.5421135110241933</v>
      </c>
      <c r="AO233" s="26">
        <f t="shared" si="526"/>
        <v>1.723302072436405</v>
      </c>
      <c r="AP233" s="26">
        <f t="shared" si="527"/>
        <v>7.2544187676531564</v>
      </c>
      <c r="AQ233" s="26">
        <f t="shared" si="528"/>
        <v>4.5250624178192416</v>
      </c>
      <c r="AR233" s="26">
        <f t="shared" si="529"/>
        <v>4.0723616859143421</v>
      </c>
      <c r="AS233" s="26">
        <f t="shared" si="530"/>
        <v>17.199583306526005</v>
      </c>
      <c r="AT233" s="26">
        <f t="shared" si="531"/>
        <v>2.9026190902618416</v>
      </c>
      <c r="AU233" s="26">
        <f t="shared" si="532"/>
        <v>5.1994832010104739</v>
      </c>
      <c r="AV233" s="26">
        <f t="shared" si="463"/>
        <v>101.1733671539657</v>
      </c>
      <c r="AW233" s="26">
        <v>5.9</v>
      </c>
      <c r="AX233" s="26">
        <v>24.4</v>
      </c>
      <c r="AY233" s="94"/>
      <c r="AZ233" s="94"/>
      <c r="BA233" s="26">
        <v>0.09</v>
      </c>
      <c r="BB233" s="26"/>
      <c r="BC233" s="26">
        <f>(AX233/18)/((AX233/18)+(AW233/44))</f>
        <v>0.90998474317680966</v>
      </c>
      <c r="BD233" s="26">
        <f>(AW233/44)/((AX233/18)+(AW233/44))</f>
        <v>9.0015256823190379E-2</v>
      </c>
      <c r="BE233" s="16"/>
      <c r="BF233" s="16"/>
      <c r="BG233" s="16"/>
      <c r="BH233" s="16"/>
      <c r="BI233" s="16"/>
      <c r="BJ233" s="16"/>
      <c r="BK233" s="18"/>
      <c r="BL233" s="18"/>
      <c r="BM233" s="18"/>
      <c r="BN233" s="18"/>
      <c r="BO233" s="18"/>
      <c r="BP233" s="18"/>
      <c r="BQ233" s="18"/>
      <c r="BR233" s="18">
        <v>163</v>
      </c>
      <c r="BS233" s="18"/>
      <c r="BT233" s="18">
        <v>9.5</v>
      </c>
      <c r="BU233" s="18"/>
      <c r="BV233" s="18"/>
      <c r="BW233" s="18"/>
      <c r="BX233" s="18"/>
      <c r="BY233" s="18"/>
      <c r="BZ233" s="18"/>
      <c r="CA233" s="18"/>
      <c r="CB233" s="18"/>
      <c r="CC233" s="18"/>
      <c r="CD233" s="18"/>
      <c r="CE233" s="18"/>
      <c r="CF233" s="18"/>
      <c r="CG233" s="18"/>
      <c r="CH233" s="18">
        <v>0.39700000000000002</v>
      </c>
      <c r="CI233" s="18">
        <v>4.4000000000000004</v>
      </c>
      <c r="CJ233" s="18">
        <v>1.9E-2</v>
      </c>
      <c r="CK233" s="18">
        <v>0.67</v>
      </c>
      <c r="CL233" s="18"/>
      <c r="CM233" s="18">
        <v>0.02</v>
      </c>
      <c r="CN233" s="18"/>
      <c r="CO233" s="18"/>
      <c r="CP233" s="18"/>
      <c r="CQ233" s="18"/>
      <c r="CR233" s="18">
        <v>1.2999999999999999E-2</v>
      </c>
      <c r="CS233" s="18">
        <v>46</v>
      </c>
      <c r="CT233" s="18"/>
      <c r="CU233" s="18">
        <v>1.47</v>
      </c>
      <c r="CV233" s="18">
        <v>1.5</v>
      </c>
      <c r="CW233" s="18">
        <v>0.124</v>
      </c>
      <c r="CX233" s="18">
        <v>0.42</v>
      </c>
      <c r="CY233" s="18">
        <v>3.6999999999999998E-2</v>
      </c>
      <c r="CZ233" s="18">
        <v>7.0000000000000001E-3</v>
      </c>
      <c r="DA233" s="18">
        <v>2.1000000000000001E-2</v>
      </c>
      <c r="DB233" s="18">
        <v>8.9999999999999993E-3</v>
      </c>
      <c r="DC233" s="18">
        <v>2E-3</v>
      </c>
      <c r="DD233" s="18">
        <v>8.9999999999999993E-3</v>
      </c>
      <c r="DE233" s="18"/>
      <c r="DF233" s="18">
        <v>8.9999999999999993E-3</v>
      </c>
      <c r="DG233" s="18"/>
      <c r="DH233" s="18">
        <v>2.3E-2</v>
      </c>
      <c r="DI233" s="18">
        <v>3.0000000000000001E-3</v>
      </c>
      <c r="DJ233" s="18"/>
      <c r="DK233" s="18">
        <v>0</v>
      </c>
      <c r="DL233" s="18">
        <v>0.43</v>
      </c>
      <c r="DM233" s="18">
        <v>7.3999999999999996E-2</v>
      </c>
      <c r="DN233" s="18">
        <v>0</v>
      </c>
      <c r="DO233" s="18"/>
      <c r="DP233" s="18"/>
      <c r="DQ233" s="18"/>
      <c r="DR233" s="18"/>
      <c r="DS233" s="18"/>
      <c r="DT233" s="18"/>
      <c r="DU233" s="18"/>
      <c r="DV233" s="28"/>
      <c r="DW233" s="28"/>
      <c r="DX233" s="28"/>
      <c r="DY233" s="28"/>
      <c r="DZ233" s="28"/>
      <c r="EA233" s="28"/>
      <c r="EB233" s="28"/>
      <c r="EC233" s="28"/>
      <c r="ED233" s="28"/>
      <c r="EE233" s="28"/>
      <c r="EF233" s="28"/>
      <c r="EG233" s="28"/>
      <c r="EH233" s="28"/>
      <c r="EI233" s="28"/>
      <c r="EJ233" s="18"/>
      <c r="EK233" s="18"/>
      <c r="EL233" s="18">
        <f>IFERROR(CR233/'McDonough &amp; Sun 1995 values'!C$2,)</f>
        <v>0.61904761904761896</v>
      </c>
      <c r="EM233" s="18">
        <f>IFERROR(CH233/'McDonough &amp; Sun 1995 values'!D$2,)</f>
        <v>0.66166666666666674</v>
      </c>
      <c r="EN233" s="18">
        <f>IFERROR(CS233/'McDonough &amp; Sun 1995 values'!E$2,)</f>
        <v>6.9696969696969697</v>
      </c>
      <c r="EO233" s="18">
        <f>IFERROR(DL233/'McDonough &amp; Sun 1995 values'!F$2,)</f>
        <v>5.4088050314465406</v>
      </c>
      <c r="EP233" s="18">
        <f>IFERROR(DM233/'McDonough &amp; Sun 1995 values'!G$2,)</f>
        <v>3.645320197044335</v>
      </c>
      <c r="EQ233" s="18">
        <f>IFERROR(BR233/'McDonough &amp; Sun 1995 values'!H$2,)</f>
        <v>0.6791666666666667</v>
      </c>
      <c r="ER233" s="18">
        <f>IFERROR(DI233/'McDonough &amp; Sun 1995 values'!I$2,)</f>
        <v>8.1081081081081086E-2</v>
      </c>
      <c r="ES233" s="18">
        <f>IFERROR(CM233/'McDonough &amp; Sun 1995 values'!J$2,)</f>
        <v>3.0395136778115502E-2</v>
      </c>
      <c r="ET233" s="18">
        <f>IFERROR(CU233/'McDonough &amp; Sun 1995 values'!K$2,)</f>
        <v>2.2685185185185186</v>
      </c>
      <c r="EU233" s="18">
        <f>IFERROR(CV233/'McDonough &amp; Sun 1995 values'!L$2,)</f>
        <v>0.89552238805970152</v>
      </c>
      <c r="EV233" s="18">
        <f>IFERROR(CW233/'McDonough &amp; Sun 1995 values'!M$2,)</f>
        <v>0.48818897637795272</v>
      </c>
      <c r="EW233" s="18">
        <f>IFERROR(CI233/'McDonough &amp; Sun 1995 values'!N$2,)</f>
        <v>0.221105527638191</v>
      </c>
      <c r="EX233" s="18">
        <f>IFERROR(CX233/'McDonough &amp; Sun 1995 values'!O$2,)</f>
        <v>0.33599999999999997</v>
      </c>
      <c r="EY233" s="18">
        <f>IFERROR(CY233/'McDonough &amp; Sun 1995 values'!P$2,)</f>
        <v>9.113300492610836E-2</v>
      </c>
      <c r="EZ233" s="18">
        <f>IFERROR(DH233/'McDonough &amp; Sun 1995 values'!Q$2,)</f>
        <v>8.1272084805653719E-2</v>
      </c>
      <c r="FA233" s="18">
        <f>IFERROR(CK233/'McDonough &amp; Sun 1995 values'!R$2,)</f>
        <v>6.3809523809523816E-2</v>
      </c>
      <c r="FB233" s="18">
        <f>IFERROR(CZ233/'McDonough &amp; Sun 1995 values'!S$2,)</f>
        <v>4.5454545454545456E-2</v>
      </c>
      <c r="FC233" s="18">
        <f>IFERROR(BT233/'McDonough &amp; Sun 1995 values'!T$2,)</f>
        <v>7.8838174273858919E-3</v>
      </c>
      <c r="FD233" s="18">
        <f>IFERROR(DA233/'McDonough &amp; Sun 1995 values'!U$2,)</f>
        <v>3.860294117647059E-2</v>
      </c>
      <c r="FE233" s="18">
        <f>IFERROR(DN233/'McDonough &amp; Sun 1995 values'!V$2,)</f>
        <v>0</v>
      </c>
      <c r="FF233" s="18">
        <f>IFERROR(DB233/'McDonough &amp; Sun 1995 values'!W$2,)</f>
        <v>1.3353115727002965E-2</v>
      </c>
      <c r="FG233" s="18">
        <f>IFERROR(CJ233/'McDonough &amp; Sun 1995 values'!X$2,)</f>
        <v>4.4186046511627908E-3</v>
      </c>
      <c r="FH233" s="18">
        <f>IFERROR(DC233/'McDonough &amp; Sun 1995 values'!Y$2,)</f>
        <v>1.342281879194631E-2</v>
      </c>
      <c r="FI233" s="18">
        <f>IFERROR(DD233/'McDonough &amp; Sun 1995 values'!Z$2,)</f>
        <v>2.0547945205479451E-2</v>
      </c>
      <c r="FJ233" s="18">
        <f>IFERROR(DE233/'McDonough &amp; Sun 1995 values'!AA$2,)</f>
        <v>0</v>
      </c>
      <c r="FK233" s="18">
        <f>IFERROR(DF233/'McDonough &amp; Sun 1995 values'!AB$2,)</f>
        <v>2.0408163265306121E-2</v>
      </c>
      <c r="FL233" s="18">
        <f>IFERROR(DG233/'McDonough &amp; Sun 1995 values'!AC$2,)</f>
        <v>0</v>
      </c>
      <c r="FN233" s="28">
        <f t="shared" si="458"/>
        <v>5.3673426214149718</v>
      </c>
      <c r="FO233" s="4">
        <f t="shared" si="466"/>
        <v>1.9119574119574119</v>
      </c>
      <c r="FP233" s="4">
        <f t="shared" si="467"/>
        <v>177.94968553459117</v>
      </c>
      <c r="FQ233" s="4">
        <f t="shared" si="468"/>
        <v>1.4837667856535781</v>
      </c>
      <c r="FR233" s="4">
        <f t="shared" si="469"/>
        <v>74.634259259259267</v>
      </c>
      <c r="FS233" s="4">
        <f t="shared" si="470"/>
        <v>27.978395061728396</v>
      </c>
      <c r="FT233" s="4">
        <f t="shared" si="471"/>
        <v>1.0688461538461542</v>
      </c>
      <c r="FU233" s="4">
        <f t="shared" si="472"/>
        <v>2.6675675675675676</v>
      </c>
      <c r="FV233" s="4">
        <f t="shared" si="473"/>
        <v>0.70018018018018036</v>
      </c>
      <c r="FW233" s="4">
        <f t="shared" si="474"/>
        <v>0.78513457556935817</v>
      </c>
      <c r="FX233" s="4">
        <f t="shared" si="475"/>
        <v>0.70072399855327216</v>
      </c>
      <c r="FY233" s="4">
        <f t="shared" si="476"/>
        <v>0.5459287640128232</v>
      </c>
      <c r="FZ233" s="4">
        <f t="shared" si="477"/>
        <v>0.76635373153883479</v>
      </c>
      <c r="GA233" s="4">
        <f t="shared" si="478"/>
        <v>0.45290970983952028</v>
      </c>
      <c r="GB233" s="4">
        <f t="shared" si="479"/>
        <v>0.49877149877149884</v>
      </c>
      <c r="GC233" s="4">
        <f t="shared" si="480"/>
        <v>0.93558834112990263</v>
      </c>
      <c r="GD233" s="4">
        <f t="shared" si="481"/>
        <v>1.2885835095137421</v>
      </c>
      <c r="GE233" s="4">
        <f t="shared" si="482"/>
        <v>10.533547057476527</v>
      </c>
      <c r="GF233" s="4">
        <f t="shared" si="483"/>
        <v>10.26213050752928</v>
      </c>
      <c r="GG233" s="4">
        <f t="shared" si="484"/>
        <v>229.30303030303031</v>
      </c>
      <c r="GH233" s="4">
        <f t="shared" si="485"/>
        <v>4.6468040621266429</v>
      </c>
      <c r="GI233" s="4">
        <f t="shared" si="486"/>
        <v>24.892392392392399</v>
      </c>
      <c r="GJ233" s="4">
        <f t="shared" si="487"/>
        <v>169.8868312757202</v>
      </c>
      <c r="GK233" s="4">
        <f t="shared" si="488"/>
        <v>111.15740740740742</v>
      </c>
      <c r="GL233" s="4">
        <f t="shared" si="489"/>
        <v>8.0937343358395992</v>
      </c>
      <c r="GM233" s="4">
        <f t="shared" si="490"/>
        <v>8.1745164203222274</v>
      </c>
      <c r="GN233" s="4">
        <f t="shared" si="491"/>
        <v>1.3398672538924385E-2</v>
      </c>
      <c r="GO233" s="4">
        <f t="shared" si="492"/>
        <v>8.3381253594019562E-3</v>
      </c>
      <c r="GP233" s="4">
        <f t="shared" si="493"/>
        <v>0.18631193693693696</v>
      </c>
      <c r="GQ233" s="27">
        <f t="shared" si="494"/>
        <v>142780.15728218033</v>
      </c>
      <c r="GR233" s="28">
        <f t="shared" si="495"/>
        <v>11.387374507167756</v>
      </c>
      <c r="GS233" s="28">
        <f t="shared" si="496"/>
        <v>347.75289841119996</v>
      </c>
      <c r="GT233" s="28">
        <f t="shared" si="497"/>
        <v>40293.786717670519</v>
      </c>
      <c r="GU233" s="28">
        <f t="shared" si="498"/>
        <v>376.65931062170267</v>
      </c>
      <c r="GV233" s="28">
        <f t="shared" si="499"/>
        <v>64.820439502339539</v>
      </c>
      <c r="GW233" s="28">
        <f t="shared" si="500"/>
        <v>142780.15728218033</v>
      </c>
      <c r="GX233" s="28">
        <f t="shared" si="501"/>
        <v>2.6278556555002517</v>
      </c>
      <c r="GY233" s="28">
        <f t="shared" si="502"/>
        <v>17.519037703335009</v>
      </c>
      <c r="GZ233" s="28">
        <f t="shared" si="503"/>
        <v>1287.649271195123</v>
      </c>
      <c r="HA233" s="28">
        <f t="shared" si="504"/>
        <v>1313.9278277501257</v>
      </c>
      <c r="HB233" s="28">
        <f t="shared" si="505"/>
        <v>108.61803376067705</v>
      </c>
      <c r="HC233" s="28">
        <f t="shared" si="506"/>
        <v>3854.1882947337026</v>
      </c>
      <c r="HD233" s="28">
        <f t="shared" si="507"/>
        <v>367.89979177003522</v>
      </c>
      <c r="HE233" s="28">
        <f t="shared" si="508"/>
        <v>32.41021975116977</v>
      </c>
      <c r="HF233" s="28">
        <f t="shared" si="509"/>
        <v>20.146893358835261</v>
      </c>
      <c r="HG233" s="28">
        <f t="shared" si="510"/>
        <v>586.88776306172281</v>
      </c>
      <c r="HH233" s="28">
        <f t="shared" si="511"/>
        <v>6.1316631961672536</v>
      </c>
      <c r="HI233" s="28">
        <f t="shared" si="512"/>
        <v>8321.5429090841299</v>
      </c>
      <c r="HJ233" s="28">
        <f t="shared" si="513"/>
        <v>18.394989588501762</v>
      </c>
      <c r="HK233" s="28">
        <f t="shared" si="514"/>
        <v>0</v>
      </c>
      <c r="HL233" s="28">
        <f t="shared" si="515"/>
        <v>7.8835669665007542</v>
      </c>
      <c r="HM233" s="28">
        <f t="shared" si="516"/>
        <v>16.643085818168259</v>
      </c>
      <c r="HN233" s="28">
        <f t="shared" si="517"/>
        <v>1.751903770333501</v>
      </c>
      <c r="HO233" s="28">
        <f t="shared" si="518"/>
        <v>7.8835669665007542</v>
      </c>
      <c r="HP233" s="28">
        <f t="shared" si="519"/>
        <v>0</v>
      </c>
      <c r="HQ233" s="28">
        <f t="shared" si="520"/>
        <v>7.8835669665007542</v>
      </c>
      <c r="HR233" s="28">
        <f t="shared" si="521"/>
        <v>0</v>
      </c>
      <c r="HT233" s="4">
        <f>IFERROR(GR233/'McDonough &amp; Sun 1995 values'!C$2,)</f>
        <v>542.25592891275028</v>
      </c>
      <c r="HU233" s="4">
        <f>IFERROR(GS233/'McDonough &amp; Sun 1995 values'!D$2,)</f>
        <v>579.58816401866659</v>
      </c>
      <c r="HV233" s="4">
        <f>IFERROR(GT233/'McDonough &amp; Sun 1995 values'!E$2,)</f>
        <v>6105.1191996470488</v>
      </c>
      <c r="HW233" s="4">
        <f>IFERROR(GU233/'McDonough &amp; Sun 1995 values'!F$2,)</f>
        <v>4737.8529637950023</v>
      </c>
      <c r="HX233" s="4">
        <f>IFERROR(GV233/'McDonough &amp; Sun 1995 values'!G$2,)</f>
        <v>3193.1250986374162</v>
      </c>
      <c r="HY233" s="4">
        <f>IFERROR(GW233/'McDonough &amp; Sun 1995 values'!H$2,)</f>
        <v>594.91732200908473</v>
      </c>
      <c r="HZ233" s="4">
        <f>IFERROR(GX233/'McDonough &amp; Sun 1995 values'!I$2,)</f>
        <v>71.023125824331132</v>
      </c>
      <c r="IA233" s="4">
        <f>IFERROR(GY233/'McDonough &amp; Sun 1995 values'!J$2,)</f>
        <v>26.6246773606915</v>
      </c>
      <c r="IB233" s="4">
        <f>IFERROR(GZ233/'McDonough &amp; Sun 1995 values'!K$2,)</f>
        <v>1987.1130728319799</v>
      </c>
      <c r="IC233" s="4">
        <f>IFERROR(HA233/'McDonough &amp; Sun 1995 values'!L$2,)</f>
        <v>784.4345240299258</v>
      </c>
      <c r="ID233" s="4">
        <f>IFERROR(HB233/'McDonough &amp; Sun 1995 values'!M$2,)</f>
        <v>427.63005417589392</v>
      </c>
      <c r="IE233" s="4">
        <f>IFERROR(HC233/'McDonough &amp; Sun 1995 values'!N$2,)</f>
        <v>193.67780375546246</v>
      </c>
      <c r="IF233" s="4">
        <f>IFERROR(HD233/'McDonough &amp; Sun 1995 values'!O$2,)</f>
        <v>294.31983341602819</v>
      </c>
      <c r="IG233" s="4">
        <f>IFERROR(HE233/'McDonough &amp; Sun 1995 values'!P$2,)</f>
        <v>79.828127465935381</v>
      </c>
      <c r="IH233" s="4">
        <f>IFERROR(HF233/'McDonough &amp; Sun 1995 values'!Q$2,)</f>
        <v>71.190435896944393</v>
      </c>
      <c r="II233" s="4">
        <f>IFERROR(HG233/'McDonough &amp; Sun 1995 values'!R$2,)</f>
        <v>55.894072672545029</v>
      </c>
      <c r="IJ233" s="4">
        <f>IFERROR(HH233/'McDonough &amp; Sun 1995 values'!S$2,)</f>
        <v>39.815994780306845</v>
      </c>
      <c r="IK233" s="4">
        <f>IFERROR(HI233/'McDonough &amp; Sun 1995 values'!T$2,)</f>
        <v>6.9058447378291534</v>
      </c>
      <c r="IL233" s="4">
        <f>IFERROR(HJ233/'McDonough &amp; Sun 1995 values'!U$2,)</f>
        <v>33.814319096510587</v>
      </c>
      <c r="IM233" s="4">
        <f>IFERROR(HK233/'McDonough &amp; Sun 1995 values'!V$2,)</f>
        <v>0</v>
      </c>
      <c r="IN233" s="4">
        <f>IFERROR(HL233/'McDonough &amp; Sun 1995 values'!W$2,)</f>
        <v>11.696686893918033</v>
      </c>
      <c r="IO233" s="4">
        <f>IFERROR(HM233/'McDonough &amp; Sun 1995 values'!X$2,)</f>
        <v>3.8704850739926187</v>
      </c>
      <c r="IP233" s="4">
        <f>IFERROR(HN233/'McDonough &amp; Sun 1995 values'!Y$2,)</f>
        <v>11.757743425057054</v>
      </c>
      <c r="IQ233" s="4">
        <f>IFERROR(HO233/'McDonough &amp; Sun 1995 values'!Z$2,)</f>
        <v>17.999011339042816</v>
      </c>
      <c r="IR233" s="4">
        <f>IFERROR(HP233/'McDonough &amp; Sun 1995 values'!AA$2,)</f>
        <v>0</v>
      </c>
      <c r="IS233" s="4">
        <f>IFERROR(HQ233/'McDonough &amp; Sun 1995 values'!AB$2,)</f>
        <v>17.876569085035722</v>
      </c>
      <c r="IT233" s="4">
        <f>IFERROR(HR233/'McDonough &amp; Sun 1995 values'!AC$2,)</f>
        <v>0</v>
      </c>
    </row>
    <row r="234" spans="1:254">
      <c r="A234" s="4" t="s">
        <v>1651</v>
      </c>
      <c r="B234" s="4" t="s">
        <v>24</v>
      </c>
      <c r="C234" s="16" t="str">
        <f t="shared" si="461"/>
        <v>silicic</v>
      </c>
      <c r="D234" s="4" t="s">
        <v>1717</v>
      </c>
      <c r="E234" s="4" t="s">
        <v>1394</v>
      </c>
      <c r="F234" s="4" t="s">
        <v>1628</v>
      </c>
      <c r="G234" s="4" t="s">
        <v>595</v>
      </c>
      <c r="H234" s="49">
        <v>132</v>
      </c>
      <c r="I234" s="4" t="s">
        <v>735</v>
      </c>
      <c r="K234" s="4" t="s">
        <v>1648</v>
      </c>
      <c r="M234" s="4" t="s">
        <v>1640</v>
      </c>
      <c r="N234" s="4">
        <v>18</v>
      </c>
      <c r="O234" s="4">
        <v>42.1</v>
      </c>
      <c r="P234" s="53">
        <v>3.3</v>
      </c>
      <c r="Q234" s="53" t="s">
        <v>1629</v>
      </c>
      <c r="R234" s="53">
        <v>4.4000000000000004</v>
      </c>
      <c r="S234" s="53">
        <v>14.4</v>
      </c>
      <c r="T234" s="53">
        <v>6.4</v>
      </c>
      <c r="U234" s="53"/>
      <c r="V234" s="53">
        <v>7.5</v>
      </c>
      <c r="W234" s="53">
        <v>2.6</v>
      </c>
      <c r="X234" s="53">
        <v>14.7</v>
      </c>
      <c r="Y234" s="53" t="s">
        <v>1629</v>
      </c>
      <c r="Z234" s="53">
        <v>2.1</v>
      </c>
      <c r="AA234" s="53"/>
      <c r="AB234" s="53">
        <v>1.2</v>
      </c>
      <c r="AC234" s="53"/>
      <c r="AD234" s="53">
        <v>1</v>
      </c>
      <c r="AE234" s="53"/>
      <c r="AF234" s="53"/>
      <c r="AG234" s="53"/>
      <c r="AH234" s="53"/>
      <c r="AI234" s="53">
        <v>2.2000000000000002</v>
      </c>
      <c r="AJ234" s="91">
        <f t="shared" si="462"/>
        <v>99.7</v>
      </c>
      <c r="AK234" s="26">
        <f t="shared" si="522"/>
        <v>42.322476544543747</v>
      </c>
      <c r="AL234" s="26">
        <f t="shared" si="523"/>
        <v>3.317438779025994</v>
      </c>
      <c r="AM234" s="26">
        <f t="shared" si="524"/>
        <v>4.4232517053679929</v>
      </c>
      <c r="AN234" s="26">
        <f t="shared" si="525"/>
        <v>14.476096490295248</v>
      </c>
      <c r="AO234" s="26">
        <f t="shared" si="526"/>
        <v>6.433820662353444</v>
      </c>
      <c r="AP234" s="26">
        <f t="shared" si="527"/>
        <v>7.539633588695442</v>
      </c>
      <c r="AQ234" s="26">
        <f t="shared" si="528"/>
        <v>1.2063413741912707</v>
      </c>
      <c r="AR234" s="26">
        <f t="shared" si="529"/>
        <v>2.6137396440810865</v>
      </c>
      <c r="AS234" s="26">
        <f t="shared" si="530"/>
        <v>14.777681833843065</v>
      </c>
      <c r="AT234" s="26">
        <f t="shared" si="531"/>
        <v>2.1110974048347235</v>
      </c>
      <c r="AU234" s="26">
        <f t="shared" si="532"/>
        <v>1.0052844784927255</v>
      </c>
      <c r="AV234" s="91">
        <f t="shared" si="463"/>
        <v>100.22686250572472</v>
      </c>
      <c r="AW234" s="26"/>
      <c r="AX234" s="26"/>
      <c r="AY234" s="94"/>
      <c r="AZ234" s="94"/>
      <c r="BA234" s="26"/>
      <c r="BB234" s="26"/>
      <c r="BC234" s="26"/>
      <c r="BD234" s="26"/>
      <c r="BE234" s="44"/>
      <c r="BF234" s="44"/>
      <c r="BG234" s="16">
        <v>757.2</v>
      </c>
      <c r="BH234" s="16">
        <v>26.2</v>
      </c>
      <c r="BI234" s="16"/>
      <c r="DB234" s="45"/>
      <c r="DC234" s="45"/>
      <c r="DD234" s="45"/>
      <c r="DE234" s="45"/>
      <c r="DF234" s="45"/>
      <c r="DG234" s="45"/>
      <c r="DH234" s="45"/>
      <c r="DI234" s="45"/>
      <c r="DJ234" s="45"/>
      <c r="DK234" s="45"/>
      <c r="DL234" s="45"/>
      <c r="DM234" s="45"/>
      <c r="DN234" s="45"/>
      <c r="DO234" s="45"/>
      <c r="DQ234" s="4"/>
      <c r="DR234" s="4"/>
      <c r="DS234" s="4"/>
      <c r="DT234" s="4"/>
      <c r="DU234" s="4"/>
      <c r="DV234" s="4"/>
      <c r="DW234" s="4"/>
      <c r="DX234" s="4"/>
      <c r="DY234" s="4"/>
      <c r="DZ234" s="4"/>
      <c r="EA234" s="4"/>
      <c r="EB234" s="4"/>
      <c r="EC234" s="4"/>
      <c r="ED234" s="4"/>
      <c r="EE234" s="4"/>
      <c r="EF234" s="4"/>
      <c r="EG234" s="4"/>
      <c r="EH234" s="4"/>
      <c r="EI234" s="4"/>
      <c r="EJ234" s="4"/>
      <c r="ET234" s="45"/>
      <c r="EU234" s="45"/>
      <c r="EV234" s="45"/>
      <c r="EW234" s="45"/>
      <c r="FN234" s="4"/>
      <c r="FW234" s="45"/>
      <c r="FX234" s="45"/>
      <c r="FY234" s="45"/>
      <c r="FZ234" s="45"/>
      <c r="GA234" s="45"/>
      <c r="GB234" s="45"/>
      <c r="GC234" s="45"/>
      <c r="GD234" s="45"/>
      <c r="GE234" s="45"/>
      <c r="GF234" s="45"/>
      <c r="GG234" s="45"/>
      <c r="GH234" s="45"/>
      <c r="GI234" s="45"/>
      <c r="GJ234" s="45"/>
      <c r="GK234" s="45"/>
      <c r="GL234" s="45"/>
      <c r="GM234" s="45"/>
      <c r="GN234" s="45"/>
      <c r="GO234" s="45"/>
      <c r="GP234" s="45"/>
      <c r="GY234" s="4"/>
      <c r="GZ234" s="4"/>
      <c r="HA234" s="4"/>
      <c r="HB234" s="4"/>
      <c r="HC234" s="4"/>
      <c r="HD234" s="4"/>
      <c r="HE234" s="4"/>
      <c r="HF234" s="4"/>
      <c r="HG234" s="4"/>
      <c r="HH234" s="4"/>
      <c r="HI234" s="4"/>
      <c r="HJ234" s="4"/>
      <c r="HK234" s="4"/>
      <c r="HL234" s="4"/>
      <c r="HM234" s="4"/>
      <c r="HN234" s="4"/>
      <c r="HO234" s="4"/>
      <c r="HP234" s="4"/>
      <c r="HQ234" s="4"/>
      <c r="HR234" s="4"/>
    </row>
    <row r="235" spans="1:254">
      <c r="A235" s="4" t="s">
        <v>1651</v>
      </c>
      <c r="B235" s="4" t="s">
        <v>24</v>
      </c>
      <c r="C235" s="16" t="str">
        <f t="shared" si="461"/>
        <v>silicic</v>
      </c>
      <c r="D235" s="4" t="s">
        <v>1717</v>
      </c>
      <c r="E235" s="4" t="s">
        <v>1394</v>
      </c>
      <c r="F235" s="4" t="s">
        <v>1628</v>
      </c>
      <c r="G235" s="4" t="s">
        <v>595</v>
      </c>
      <c r="H235" s="49">
        <v>132</v>
      </c>
      <c r="I235" s="4" t="s">
        <v>735</v>
      </c>
      <c r="K235" s="4" t="s">
        <v>1276</v>
      </c>
      <c r="M235" s="4" t="s">
        <v>1641</v>
      </c>
      <c r="N235" s="4">
        <v>58</v>
      </c>
      <c r="O235" s="4">
        <v>40.799999999999997</v>
      </c>
      <c r="P235" s="53">
        <v>4.5</v>
      </c>
      <c r="Q235" s="53">
        <v>0.3</v>
      </c>
      <c r="R235" s="53">
        <v>3.8</v>
      </c>
      <c r="S235" s="53">
        <v>13.7</v>
      </c>
      <c r="T235" s="53">
        <v>6.4</v>
      </c>
      <c r="U235" s="53"/>
      <c r="V235" s="53">
        <v>7.9</v>
      </c>
      <c r="W235" s="53">
        <v>3.2</v>
      </c>
      <c r="X235" s="53">
        <v>14.6</v>
      </c>
      <c r="Y235" s="53">
        <v>0.6</v>
      </c>
      <c r="Z235" s="53">
        <v>2.1</v>
      </c>
      <c r="AA235" s="53"/>
      <c r="AB235" s="53">
        <v>0.7</v>
      </c>
      <c r="AC235" s="53"/>
      <c r="AD235" s="53">
        <v>0.8</v>
      </c>
      <c r="AE235" s="53"/>
      <c r="AF235" s="53"/>
      <c r="AG235" s="53"/>
      <c r="AH235" s="53"/>
      <c r="AI235" s="53">
        <v>3.8</v>
      </c>
      <c r="AJ235" s="91">
        <f t="shared" si="462"/>
        <v>98.5</v>
      </c>
      <c r="AK235" s="26">
        <f t="shared" si="522"/>
        <v>41.497378368491646</v>
      </c>
      <c r="AL235" s="26">
        <f t="shared" si="523"/>
        <v>4.5769167318189314</v>
      </c>
      <c r="AM235" s="26">
        <f t="shared" si="524"/>
        <v>3.8649519068693197</v>
      </c>
      <c r="AN235" s="26">
        <f t="shared" si="525"/>
        <v>13.934168716870968</v>
      </c>
      <c r="AO235" s="26">
        <f t="shared" si="526"/>
        <v>6.5093926852535926</v>
      </c>
      <c r="AP235" s="26">
        <f t="shared" si="527"/>
        <v>8.0350315958599019</v>
      </c>
      <c r="AQ235" s="26">
        <f t="shared" si="528"/>
        <v>0.71196482494961155</v>
      </c>
      <c r="AR235" s="26">
        <f t="shared" si="529"/>
        <v>3.2546963426267963</v>
      </c>
      <c r="AS235" s="26">
        <f t="shared" si="530"/>
        <v>14.849552063234755</v>
      </c>
      <c r="AT235" s="26">
        <f t="shared" si="531"/>
        <v>2.1358944748488349</v>
      </c>
      <c r="AU235" s="26">
        <f t="shared" si="532"/>
        <v>0.81367408565669908</v>
      </c>
      <c r="AV235" s="91">
        <f t="shared" si="463"/>
        <v>100.18362179648108</v>
      </c>
      <c r="AW235" s="94"/>
      <c r="AX235" s="94"/>
      <c r="AY235" s="94"/>
      <c r="AZ235" s="94"/>
      <c r="BA235" s="26"/>
      <c r="BB235" s="26"/>
      <c r="BC235" s="26"/>
      <c r="BD235" s="26"/>
      <c r="BE235" s="44"/>
      <c r="BF235" s="44"/>
      <c r="BG235" s="16">
        <v>679</v>
      </c>
      <c r="BH235" s="16">
        <v>11</v>
      </c>
      <c r="BI235" s="16"/>
      <c r="DB235" s="45"/>
      <c r="DC235" s="45"/>
      <c r="DD235" s="45"/>
      <c r="DE235" s="45"/>
      <c r="DF235" s="45"/>
      <c r="DG235" s="45"/>
      <c r="DH235" s="45"/>
      <c r="DI235" s="45"/>
      <c r="DJ235" s="45"/>
      <c r="DK235" s="45"/>
      <c r="DL235" s="45"/>
      <c r="DM235" s="45"/>
      <c r="DN235" s="45"/>
      <c r="DO235" s="45"/>
      <c r="DQ235" s="4"/>
      <c r="DR235" s="4"/>
      <c r="DS235" s="4"/>
      <c r="DT235" s="4"/>
      <c r="DU235" s="4"/>
      <c r="DV235" s="4"/>
      <c r="DW235" s="4"/>
      <c r="DX235" s="4"/>
      <c r="DY235" s="4"/>
      <c r="DZ235" s="4"/>
      <c r="EA235" s="4"/>
      <c r="EB235" s="4"/>
      <c r="EC235" s="4"/>
      <c r="ED235" s="4"/>
      <c r="EE235" s="4"/>
      <c r="EF235" s="4"/>
      <c r="EG235" s="4"/>
      <c r="EH235" s="4"/>
      <c r="EI235" s="4"/>
      <c r="EJ235" s="4"/>
      <c r="ET235" s="45"/>
      <c r="EU235" s="45"/>
      <c r="EV235" s="45"/>
      <c r="EW235" s="45"/>
      <c r="FN235" s="4"/>
      <c r="FW235" s="45"/>
      <c r="FX235" s="45"/>
      <c r="FY235" s="45"/>
      <c r="FZ235" s="45"/>
      <c r="GA235" s="45"/>
      <c r="GB235" s="45"/>
      <c r="GC235" s="45"/>
      <c r="GD235" s="45"/>
      <c r="GE235" s="45"/>
      <c r="GF235" s="45"/>
      <c r="GG235" s="45"/>
      <c r="GH235" s="45"/>
      <c r="GI235" s="45"/>
      <c r="GJ235" s="45"/>
      <c r="GK235" s="45"/>
      <c r="GL235" s="45"/>
      <c r="GM235" s="45"/>
      <c r="GN235" s="45"/>
      <c r="GO235" s="45"/>
      <c r="GP235" s="45"/>
      <c r="GY235" s="4"/>
      <c r="GZ235" s="4"/>
      <c r="HA235" s="4"/>
      <c r="HB235" s="4"/>
      <c r="HC235" s="4"/>
      <c r="HD235" s="4"/>
      <c r="HE235" s="4"/>
      <c r="HF235" s="4"/>
      <c r="HG235" s="4"/>
      <c r="HH235" s="4"/>
      <c r="HI235" s="4"/>
      <c r="HJ235" s="4"/>
      <c r="HK235" s="4"/>
      <c r="HL235" s="4"/>
      <c r="HM235" s="4"/>
      <c r="HN235" s="4"/>
      <c r="HO235" s="4"/>
      <c r="HP235" s="4"/>
      <c r="HQ235" s="4"/>
      <c r="HR235" s="4"/>
    </row>
    <row r="236" spans="1:254">
      <c r="A236" s="4" t="s">
        <v>1651</v>
      </c>
      <c r="B236" s="4" t="s">
        <v>24</v>
      </c>
      <c r="C236" s="16" t="str">
        <f t="shared" si="461"/>
        <v>silicic</v>
      </c>
      <c r="D236" s="4" t="s">
        <v>1717</v>
      </c>
      <c r="E236" s="4" t="s">
        <v>1394</v>
      </c>
      <c r="F236" s="4" t="s">
        <v>1628</v>
      </c>
      <c r="G236" s="4" t="s">
        <v>595</v>
      </c>
      <c r="H236" s="49">
        <v>132</v>
      </c>
      <c r="I236" s="4" t="s">
        <v>735</v>
      </c>
      <c r="K236" s="4" t="s">
        <v>1648</v>
      </c>
      <c r="M236" s="4" t="s">
        <v>1643</v>
      </c>
      <c r="N236" s="4">
        <v>59</v>
      </c>
      <c r="O236" s="4">
        <v>40.5</v>
      </c>
      <c r="P236" s="53">
        <v>4.4000000000000004</v>
      </c>
      <c r="Q236" s="53">
        <v>0.5</v>
      </c>
      <c r="R236" s="53">
        <v>4.0999999999999996</v>
      </c>
      <c r="S236" s="53">
        <v>11.3</v>
      </c>
      <c r="T236" s="53">
        <v>6.4</v>
      </c>
      <c r="U236" s="53"/>
      <c r="V236" s="53">
        <v>7.9</v>
      </c>
      <c r="W236" s="53">
        <v>2.6</v>
      </c>
      <c r="X236" s="53">
        <v>15.9</v>
      </c>
      <c r="Y236" s="53">
        <v>0.7</v>
      </c>
      <c r="Z236" s="53">
        <v>2.4</v>
      </c>
      <c r="AA236" s="53"/>
      <c r="AB236" s="53">
        <v>0.7</v>
      </c>
      <c r="AC236" s="53"/>
      <c r="AD236" s="53">
        <v>0.6</v>
      </c>
      <c r="AE236" s="53"/>
      <c r="AF236" s="53"/>
      <c r="AG236" s="53"/>
      <c r="AH236" s="53"/>
      <c r="AI236" s="53">
        <v>3.3</v>
      </c>
      <c r="AJ236" s="91">
        <f t="shared" si="462"/>
        <v>96.800000000000011</v>
      </c>
      <c r="AK236" s="26">
        <f t="shared" si="522"/>
        <v>41.897448318528284</v>
      </c>
      <c r="AL236" s="26">
        <f t="shared" si="523"/>
        <v>4.5518215457166535</v>
      </c>
      <c r="AM236" s="26">
        <f t="shared" si="524"/>
        <v>4.2414700766905176</v>
      </c>
      <c r="AN236" s="26">
        <f t="shared" si="525"/>
        <v>11.689905333317769</v>
      </c>
      <c r="AO236" s="26">
        <f t="shared" si="526"/>
        <v>6.6208313392242228</v>
      </c>
      <c r="AP236" s="26">
        <f t="shared" si="527"/>
        <v>8.1725886843549009</v>
      </c>
      <c r="AQ236" s="26">
        <f t="shared" si="528"/>
        <v>0.72415342772764935</v>
      </c>
      <c r="AR236" s="26">
        <f t="shared" si="529"/>
        <v>2.6897127315598408</v>
      </c>
      <c r="AS236" s="26">
        <f t="shared" si="530"/>
        <v>16.44862785838518</v>
      </c>
      <c r="AT236" s="26">
        <f t="shared" si="531"/>
        <v>2.4828117522090838</v>
      </c>
      <c r="AU236" s="26">
        <f t="shared" si="532"/>
        <v>0.62070293805227095</v>
      </c>
      <c r="AV236" s="91">
        <f t="shared" si="463"/>
        <v>100.14007400576638</v>
      </c>
      <c r="AW236" s="94"/>
      <c r="AX236" s="94"/>
      <c r="AY236" s="94"/>
      <c r="AZ236" s="94"/>
      <c r="BA236" s="26"/>
      <c r="BB236" s="26"/>
      <c r="BC236" s="26"/>
      <c r="BD236" s="26"/>
      <c r="BE236" s="44"/>
      <c r="BF236" s="44"/>
      <c r="BG236" s="16">
        <v>924</v>
      </c>
      <c r="BH236" s="16">
        <v>30</v>
      </c>
      <c r="BI236" s="16"/>
      <c r="DB236" s="45"/>
      <c r="DC236" s="45"/>
      <c r="DD236" s="45"/>
      <c r="DE236" s="45"/>
      <c r="DF236" s="45"/>
      <c r="DG236" s="45"/>
      <c r="DH236" s="45"/>
      <c r="DI236" s="45"/>
      <c r="DJ236" s="45"/>
      <c r="DK236" s="45"/>
      <c r="DL236" s="45"/>
      <c r="DM236" s="45"/>
      <c r="DN236" s="45"/>
      <c r="DO236" s="45"/>
      <c r="DQ236" s="4"/>
      <c r="DR236" s="4"/>
      <c r="DS236" s="4"/>
      <c r="DT236" s="4"/>
      <c r="DU236" s="4"/>
      <c r="DV236" s="4"/>
      <c r="DW236" s="4"/>
      <c r="DX236" s="4"/>
      <c r="DY236" s="4"/>
      <c r="DZ236" s="4"/>
      <c r="EA236" s="4"/>
      <c r="EB236" s="4"/>
      <c r="EC236" s="4"/>
      <c r="ED236" s="4"/>
      <c r="EE236" s="4"/>
      <c r="EF236" s="4"/>
      <c r="EG236" s="4"/>
      <c r="EH236" s="4"/>
      <c r="EI236" s="4"/>
      <c r="EJ236" s="4"/>
      <c r="ET236" s="45"/>
      <c r="EU236" s="45"/>
      <c r="EV236" s="45"/>
      <c r="EW236" s="45"/>
      <c r="FN236" s="4"/>
      <c r="FW236" s="45"/>
      <c r="FX236" s="45"/>
      <c r="FY236" s="45"/>
      <c r="FZ236" s="45"/>
      <c r="GA236" s="45"/>
      <c r="GB236" s="45"/>
      <c r="GC236" s="45"/>
      <c r="GD236" s="45"/>
      <c r="GE236" s="45"/>
      <c r="GF236" s="45"/>
      <c r="GG236" s="45"/>
      <c r="GH236" s="45"/>
      <c r="GI236" s="45"/>
      <c r="GJ236" s="45"/>
      <c r="GK236" s="45"/>
      <c r="GL236" s="45"/>
      <c r="GM236" s="45"/>
      <c r="GN236" s="45"/>
      <c r="GO236" s="45"/>
      <c r="GP236" s="45"/>
      <c r="GY236" s="4"/>
      <c r="GZ236" s="4"/>
      <c r="HA236" s="4"/>
      <c r="HB236" s="4"/>
      <c r="HC236" s="4"/>
      <c r="HD236" s="4"/>
      <c r="HE236" s="4"/>
      <c r="HF236" s="4"/>
      <c r="HG236" s="4"/>
      <c r="HH236" s="4"/>
      <c r="HI236" s="4"/>
      <c r="HJ236" s="4"/>
      <c r="HK236" s="4"/>
      <c r="HL236" s="4"/>
      <c r="HM236" s="4"/>
      <c r="HN236" s="4"/>
      <c r="HO236" s="4"/>
      <c r="HP236" s="4"/>
      <c r="HQ236" s="4"/>
      <c r="HR236" s="4"/>
    </row>
    <row r="237" spans="1:254" ht="16">
      <c r="A237" s="16" t="s">
        <v>1656</v>
      </c>
      <c r="B237" s="4" t="s">
        <v>24</v>
      </c>
      <c r="C237" s="16" t="str">
        <f t="shared" si="461"/>
        <v>silicic</v>
      </c>
      <c r="D237" s="4" t="s">
        <v>1724</v>
      </c>
      <c r="E237" s="4" t="s">
        <v>237</v>
      </c>
      <c r="F237" s="4" t="s">
        <v>849</v>
      </c>
      <c r="G237" s="4" t="s">
        <v>595</v>
      </c>
      <c r="H237" s="49">
        <v>364</v>
      </c>
      <c r="I237" s="4" t="s">
        <v>1148</v>
      </c>
      <c r="J237" s="4" t="s">
        <v>635</v>
      </c>
      <c r="K237" s="4" t="s">
        <v>128</v>
      </c>
      <c r="M237" s="4" t="s">
        <v>1657</v>
      </c>
      <c r="N237" s="4">
        <v>49</v>
      </c>
      <c r="O237" s="4">
        <v>50.7</v>
      </c>
      <c r="P237" s="4">
        <v>1.39</v>
      </c>
      <c r="R237" s="4">
        <v>18.8</v>
      </c>
      <c r="S237" s="4">
        <v>3.06</v>
      </c>
      <c r="T237" s="4">
        <v>1.1299999999999999</v>
      </c>
      <c r="V237" s="4">
        <v>2.4500000000000002</v>
      </c>
      <c r="W237" s="4">
        <v>1.18</v>
      </c>
      <c r="X237" s="4">
        <v>15.6</v>
      </c>
      <c r="Z237" s="4">
        <v>4.46</v>
      </c>
      <c r="AB237" s="4">
        <v>0.34</v>
      </c>
      <c r="AD237" s="4">
        <v>0.9</v>
      </c>
      <c r="AF237" s="4">
        <v>0.01</v>
      </c>
      <c r="AJ237" s="26">
        <f t="shared" si="462"/>
        <v>100.01</v>
      </c>
      <c r="AK237" s="26">
        <f t="shared" ref="AK237:AK245" si="533">100*(O237/$AJ237)*(($AJ237+$AD237*8/35.45)/$AJ237)</f>
        <v>50.797883117090286</v>
      </c>
      <c r="AL237" s="26">
        <f t="shared" ref="AL237:AL245" si="534">100*(P237/$AJ237)*(($AJ237+$AD237*8/35.45)/$AJ237)</f>
        <v>1.3926835805277213</v>
      </c>
      <c r="AM237" s="26">
        <f t="shared" ref="AM237:AM245" si="535">100*(R237/$AJ237)*(($AJ237+$AD237*8/35.45)/$AJ237)</f>
        <v>18.836295909295803</v>
      </c>
      <c r="AN237" s="26">
        <f t="shared" ref="AN237:AN245" si="536">100*(S237/$AJ237)*(($AJ237+$AD237*8/35.45)/$AJ237)</f>
        <v>3.0659077384279336</v>
      </c>
      <c r="AO237" s="26">
        <f t="shared" ref="AO237:AO245" si="537">100*(T237/$AJ237)*(($AJ237+$AD237*8/35.45)/$AJ237)</f>
        <v>1.1321816158246942</v>
      </c>
      <c r="AP237" s="26">
        <f t="shared" ref="AP237:AP245" si="538">100*(V237/$AJ237)*(($AJ237+$AD237*8/35.45)/$AJ237)</f>
        <v>2.4547300520092934</v>
      </c>
      <c r="AQ237" s="26">
        <f t="shared" ref="AQ237:AQ245" si="539">100*(AB237/$AJ237)*(($AJ237+$AD237*8/35.45)/$AJ237)</f>
        <v>0.34065641538088154</v>
      </c>
      <c r="AR237" s="26">
        <f t="shared" ref="AR237:AR245" si="540">100*(W237/$AJ237)*(($AJ237+$AD237*8/35.45)/$AJ237)</f>
        <v>1.1822781474983535</v>
      </c>
      <c r="AS237" s="26">
        <f t="shared" ref="AS237:AS245" si="541">100*(X237/$AJ237)*(($AJ237+$AD237*8/35.45)/$AJ237)</f>
        <v>15.630117882181622</v>
      </c>
      <c r="AT237" s="26">
        <f t="shared" ref="AT237:AT245" si="542">100*(Z237/$AJ237)*(($AJ237+$AD237*8/35.45)/$AJ237)</f>
        <v>4.4686106252903874</v>
      </c>
      <c r="AU237" s="26">
        <f t="shared" ref="AU237:AU245" si="543">100*(AD237/$AJ237)*(($AJ237+$AD237*8/35.45)/$AJ237)</f>
        <v>0.90173757012586286</v>
      </c>
      <c r="AV237" s="26">
        <f t="shared" si="463"/>
        <v>100.20308265365283</v>
      </c>
      <c r="AW237" s="100"/>
      <c r="AX237" s="100"/>
      <c r="AY237" s="100"/>
      <c r="AZ237" s="100"/>
      <c r="BA237" s="105"/>
      <c r="BB237" s="26">
        <v>0.55000000000000004</v>
      </c>
      <c r="BC237" s="26">
        <f t="shared" ref="BC237:BC245" si="544">1-BD237</f>
        <v>0.55000000000000004</v>
      </c>
      <c r="BD237" s="26">
        <f t="shared" ref="BD237:BD245" si="545">1-BB237</f>
        <v>0.44999999999999996</v>
      </c>
      <c r="BE237" s="4">
        <v>-4.2092655065760765</v>
      </c>
      <c r="BG237" s="4">
        <v>1188.7425000000001</v>
      </c>
      <c r="BH237" s="4">
        <v>10.532817323429288</v>
      </c>
      <c r="BL237" s="26"/>
      <c r="BT237" s="44">
        <v>14446.193404590473</v>
      </c>
      <c r="CH237" s="44">
        <v>59.500087492498302</v>
      </c>
      <c r="CI237" s="44">
        <v>2159.7594561214569</v>
      </c>
      <c r="CJ237" s="44">
        <v>20.667345958182356</v>
      </c>
      <c r="CK237" s="44">
        <v>250.95376913578454</v>
      </c>
      <c r="CM237" s="44">
        <v>75.929115508176963</v>
      </c>
      <c r="CS237" s="44">
        <v>6433.4089420687205</v>
      </c>
      <c r="CU237" s="44">
        <v>205.43917038903635</v>
      </c>
      <c r="CV237" s="44">
        <v>384.133109335462</v>
      </c>
      <c r="CW237" s="44">
        <v>26.290580478837573</v>
      </c>
      <c r="CX237" s="44">
        <v>202.63732604473194</v>
      </c>
      <c r="CY237" s="44">
        <v>40.917833472865993</v>
      </c>
      <c r="CZ237" s="44">
        <v>8.7025328639374528</v>
      </c>
      <c r="DA237" s="44">
        <v>25.389266594362631</v>
      </c>
      <c r="DB237" s="45">
        <v>11.091675024039057</v>
      </c>
      <c r="DC237" s="45">
        <v>2.0009630383199601</v>
      </c>
      <c r="DD237" s="45">
        <v>6.6289554785543805</v>
      </c>
      <c r="DE237" s="45"/>
      <c r="DF237" s="45">
        <v>3.4723510355119349</v>
      </c>
      <c r="DG237" s="45">
        <v>2.5224758563765994</v>
      </c>
      <c r="DH237" s="45">
        <v>12.8729627512127</v>
      </c>
      <c r="DI237" s="45">
        <v>3.8479515784715579</v>
      </c>
      <c r="DJ237" s="45"/>
      <c r="DK237" s="45">
        <v>63.9278950252763</v>
      </c>
      <c r="DL237" s="45">
        <v>18.114352265709936</v>
      </c>
      <c r="DM237" s="45">
        <v>5.6305205119926924</v>
      </c>
      <c r="DN237" s="45">
        <v>1.5715543945940678</v>
      </c>
      <c r="DO237" s="45"/>
      <c r="DQ237" s="4"/>
      <c r="DR237" s="4"/>
      <c r="DS237" s="4"/>
      <c r="DT237" s="4"/>
      <c r="DU237" s="4"/>
      <c r="DV237" s="4"/>
      <c r="DW237" s="4"/>
      <c r="DX237" s="4"/>
      <c r="DY237" s="4"/>
      <c r="DZ237" s="4"/>
      <c r="EA237" s="4"/>
      <c r="EB237" s="4"/>
      <c r="EC237" s="4"/>
      <c r="ED237" s="4"/>
      <c r="EE237" s="4"/>
      <c r="EF237" s="4"/>
      <c r="EG237" s="4"/>
      <c r="EH237" s="4"/>
      <c r="EI237" s="4"/>
      <c r="EJ237" s="4"/>
      <c r="EL237" s="18">
        <f>IFERROR(CR237/'McDonough &amp; Sun 1995 values'!C$2,)</f>
        <v>0</v>
      </c>
      <c r="EM237" s="18">
        <f>IFERROR(CH237/'McDonough &amp; Sun 1995 values'!D$2,)</f>
        <v>99.166812487497168</v>
      </c>
      <c r="EN237" s="18">
        <f>IFERROR(CS237/'McDonough &amp; Sun 1995 values'!E$2,)</f>
        <v>974.75893061647287</v>
      </c>
      <c r="EO237" s="18">
        <f>IFERROR(DL237/'McDonough &amp; Sun 1995 values'!F$2,)</f>
        <v>227.85348761899292</v>
      </c>
      <c r="EP237" s="18">
        <f>IFERROR(DM237/'McDonough &amp; Sun 1995 values'!G$2,)</f>
        <v>277.36554246269424</v>
      </c>
      <c r="EQ237" s="18">
        <f>IFERROR(BR237/'McDonough &amp; Sun 1995 values'!H$2,)</f>
        <v>0</v>
      </c>
      <c r="ER237" s="18">
        <f>IFERROR(DI237/'McDonough &amp; Sun 1995 values'!I$2,)</f>
        <v>103.9986913100421</v>
      </c>
      <c r="ES237" s="18">
        <f>IFERROR(CM237/'McDonough &amp; Sun 1995 values'!J$2,)</f>
        <v>115.39379256561848</v>
      </c>
      <c r="ET237" s="18">
        <f>IFERROR(CU237/'McDonough &amp; Sun 1995 values'!K$2,)</f>
        <v>317.03575677320424</v>
      </c>
      <c r="EU237" s="18">
        <f>IFERROR(CV237/'McDonough &amp; Sun 1995 values'!L$2,)</f>
        <v>229.33319960326088</v>
      </c>
      <c r="EV237" s="18">
        <f>IFERROR(CW237/'McDonough &amp; Sun 1995 values'!M$2,)</f>
        <v>103.50622235762823</v>
      </c>
      <c r="EW237" s="18">
        <f>IFERROR(CI237/'McDonough &amp; Sun 1995 values'!N$2,)</f>
        <v>108.53062593575162</v>
      </c>
      <c r="EX237" s="18">
        <f>IFERROR(CX237/'McDonough &amp; Sun 1995 values'!O$2,)</f>
        <v>162.10986083578555</v>
      </c>
      <c r="EY237" s="18">
        <f>IFERROR(CY237/'McDonough &amp; Sun 1995 values'!P$2,)</f>
        <v>100.7828410661724</v>
      </c>
      <c r="EZ237" s="18">
        <f>IFERROR(DH237/'McDonough &amp; Sun 1995 values'!Q$2,)</f>
        <v>45.487500887677392</v>
      </c>
      <c r="FA237" s="18">
        <f>IFERROR(CK237/'McDonough &amp; Sun 1995 values'!R$2,)</f>
        <v>23.900358965312812</v>
      </c>
      <c r="FB237" s="18">
        <f>IFERROR(CZ237/'McDonough &amp; Sun 1995 values'!S$2,)</f>
        <v>56.509953661931512</v>
      </c>
      <c r="FC237" s="18">
        <f>IFERROR(BT237/'McDonough &amp; Sun 1995 values'!T$2,)</f>
        <v>11.988542244473422</v>
      </c>
      <c r="FD237" s="18">
        <f>IFERROR(DA237/'McDonough &amp; Sun 1995 values'!U$2,)</f>
        <v>46.671445945519537</v>
      </c>
      <c r="FE237" s="18">
        <f>IFERROR(DN237/'McDonough &amp; Sun 1995 values'!V$2,)</f>
        <v>15.874286814081492</v>
      </c>
      <c r="FF237" s="18">
        <f>IFERROR(DB237/'McDonough &amp; Sun 1995 values'!W$2,)</f>
        <v>16.456491133589104</v>
      </c>
      <c r="FG237" s="18">
        <f>IFERROR(CJ237/'McDonough &amp; Sun 1995 values'!X$2,)</f>
        <v>4.8063595251586877</v>
      </c>
      <c r="FH237" s="18">
        <f>IFERROR(DC237/'McDonough &amp; Sun 1995 values'!Y$2,)</f>
        <v>13.429282136375573</v>
      </c>
      <c r="FI237" s="18">
        <f>IFERROR(DD237/'McDonough &amp; Sun 1995 values'!Z$2,)</f>
        <v>15.134601549210915</v>
      </c>
      <c r="FJ237" s="18">
        <f>IFERROR(DE237/'McDonough &amp; Sun 1995 values'!AA$2,)</f>
        <v>0</v>
      </c>
      <c r="FK237" s="18">
        <f>IFERROR(DF237/'McDonough &amp; Sun 1995 values'!AB$2,)</f>
        <v>7.8738118719091492</v>
      </c>
      <c r="FL237" s="18">
        <f>IFERROR(DG237/'McDonough &amp; Sun 1995 values'!AC$2,)</f>
        <v>37.370012687060729</v>
      </c>
      <c r="FN237" s="28">
        <f t="shared" ref="FN237:FN245" si="546">IFERROR(BR237/DM237,)</f>
        <v>0</v>
      </c>
      <c r="FO237" s="4">
        <f t="shared" ref="FO237:FO268" si="547">IFERROR(EN237/EP237,)</f>
        <v>3.5143476077154689</v>
      </c>
      <c r="FP237" s="4">
        <f t="shared" ref="FP237:FP268" si="548">IFERROR(EO237/ES237,)</f>
        <v>1.9745731772306938</v>
      </c>
      <c r="FQ237" s="4">
        <f t="shared" ref="FQ237:FQ268" si="549">IFERROR(EO237/EP237,)</f>
        <v>0.82149168781352599</v>
      </c>
      <c r="FR237" s="4">
        <f t="shared" ref="FR237:FR268" si="550">IFERROR(ET237/ES237,)</f>
        <v>2.7474247073812257</v>
      </c>
      <c r="FS237" s="4">
        <f t="shared" ref="FS237:FS268" si="551">IFERROR(ET237/ER237,)</f>
        <v>3.0484590986635935</v>
      </c>
      <c r="FT237" s="4">
        <f t="shared" ref="FT237:FT268" si="552">IFERROR(EM237/EL237,)</f>
        <v>0</v>
      </c>
      <c r="FU237" s="4">
        <f t="shared" ref="FU237:FU268" si="553">IFERROR(ER237/ES237,)</f>
        <v>0.90125030989776533</v>
      </c>
      <c r="FV237" s="4">
        <f t="shared" ref="FV237:FV268" si="554">IFERROR(FA237/EY237,)</f>
        <v>0.23714710473006234</v>
      </c>
      <c r="FW237" s="4">
        <f t="shared" ref="FW237:FW268" si="555">IFERROR(FA237/EZ237,)</f>
        <v>0.52542695243535442</v>
      </c>
      <c r="FX237" s="4">
        <f t="shared" ref="FX237:FX268" si="556">IFERROR(FB237/(0.5*FD237+0.5*EY237),)</f>
        <v>0.76647420440818703</v>
      </c>
      <c r="FY237" s="4">
        <f t="shared" ref="FY237:FY268" si="557">IFERROR(EW237/SQRT(EV237*EX237),)</f>
        <v>0.8378463113554383</v>
      </c>
      <c r="FZ237" s="4">
        <f t="shared" ref="FZ237:FZ268" si="558">IFERROR(FB237/SQRT(EY237*FD237),)</f>
        <v>0.82395980213576459</v>
      </c>
      <c r="GA237" s="4">
        <f t="shared" ref="GA237:GA268" si="559">IFERROR(EW237/EV237,)</f>
        <v>1.0485420437890525</v>
      </c>
      <c r="GB237" s="4">
        <f t="shared" ref="GB237:GB268" si="560">IFERROR(FB237/EY237,)</f>
        <v>0.56071006794527634</v>
      </c>
      <c r="GC237" s="4">
        <f t="shared" ref="GC237:GC268" si="561">IFERROR(EL237/EM237,)</f>
        <v>0</v>
      </c>
      <c r="GD237" s="4">
        <f t="shared" ref="GD237:GD268" si="562">IFERROR(EN237/EO237,)</f>
        <v>4.2780075073787067</v>
      </c>
      <c r="GE237" s="4">
        <f t="shared" ref="GE237:GE268" si="563">IFERROR(EN237/EM237,)</f>
        <v>9.8294873674533942</v>
      </c>
      <c r="GF237" s="4">
        <f t="shared" ref="GF237:GF268" si="564">IFERROR(EN237/EQ237,)</f>
        <v>0</v>
      </c>
      <c r="GG237" s="4">
        <f t="shared" ref="GG237:GG268" si="565">IFERROR(EN237/ES237,)</f>
        <v>8.4472388760615331</v>
      </c>
      <c r="GH237" s="4">
        <f t="shared" ref="GH237:GH268" si="566">IFERROR(ET237/EV237,)</f>
        <v>3.0629632649310889</v>
      </c>
      <c r="GI237" s="4">
        <f t="shared" ref="GI237:GI268" si="567">IFERROR(ET237/EY237,)</f>
        <v>3.1457314897983841</v>
      </c>
      <c r="GJ237" s="4">
        <f t="shared" ref="GJ237:GJ268" si="568">IFERROR(ET237/FF237,)</f>
        <v>19.265088420101122</v>
      </c>
      <c r="GK237" s="4">
        <f t="shared" ref="GK237:GK268" si="569">IFERROR(ET237/FK237,)</f>
        <v>40.264583651569154</v>
      </c>
      <c r="GL237" s="4">
        <f t="shared" ref="GL237:GL268" si="570">IFERROR(FA237/FC237,)</f>
        <v>1.9936000956522131</v>
      </c>
      <c r="GM237" s="4">
        <f t="shared" ref="GM237:GM268" si="571">IFERROR(EO237/EM237,)</f>
        <v>2.2976788494408895</v>
      </c>
      <c r="GN237" s="4">
        <f t="shared" ref="GN237:GN268" si="572">IFERROR(ES237/ET237,)</f>
        <v>0.36397721739685968</v>
      </c>
      <c r="GO237" s="4">
        <f t="shared" ref="GO237:GO268" si="573">IFERROR(ES237/EP237,)</f>
        <v>0.41603506888797837</v>
      </c>
      <c r="GP237" s="4">
        <f t="shared" ref="GP237:GP268" si="574">IFERROR(EQ237/EP237,)</f>
        <v>0</v>
      </c>
      <c r="GQ237" s="27">
        <f t="shared" ref="GQ237:GQ268" si="575">AS237*10000/1.20462</f>
        <v>129751.43931016937</v>
      </c>
      <c r="GR237" s="28" t="str">
        <f t="shared" ref="GR237:GR268" si="576">IFERROR(CR237/$BR237*$GQ237,"")</f>
        <v/>
      </c>
      <c r="GS237" s="28" t="str">
        <f t="shared" ref="GS237:GS268" si="577">IFERROR(CH237/$BR237*$GQ237,"")</f>
        <v/>
      </c>
      <c r="GT237" s="28" t="str">
        <f t="shared" ref="GT237:GT268" si="578">IFERROR(CS237/$BR237*$GQ237,"")</f>
        <v/>
      </c>
      <c r="GU237" s="28" t="str">
        <f t="shared" ref="GU237:GU268" si="579">IFERROR(DL237/$BR237*$GQ237,"")</f>
        <v/>
      </c>
      <c r="GV237" s="28" t="str">
        <f t="shared" ref="GV237:GV268" si="580">IFERROR(DM237/$BR237*$GQ237,"")</f>
        <v/>
      </c>
      <c r="GW237" s="28" t="str">
        <f t="shared" ref="GW237:GW268" si="581">IFERROR(BR237/$BR237*$GQ237,"")</f>
        <v/>
      </c>
      <c r="GX237" s="28" t="str">
        <f t="shared" ref="GX237:GX268" si="582">IFERROR(DI237/$BR237*$GQ237,"")</f>
        <v/>
      </c>
      <c r="GY237" s="28" t="str">
        <f t="shared" ref="GY237:GY268" si="583">IFERROR(CM237/$BR237*$GQ237,"")</f>
        <v/>
      </c>
      <c r="GZ237" s="28" t="str">
        <f t="shared" ref="GZ237:GZ268" si="584">IFERROR(CU237/$BR237*$GQ237,"")</f>
        <v/>
      </c>
      <c r="HA237" s="28" t="str">
        <f t="shared" ref="HA237:HA268" si="585">IFERROR(CV237/$BR237*$GQ237,"")</f>
        <v/>
      </c>
      <c r="HB237" s="28" t="str">
        <f t="shared" ref="HB237:HB268" si="586">IFERROR(CW237/$BR237*$GQ237,"")</f>
        <v/>
      </c>
      <c r="HC237" s="28" t="str">
        <f t="shared" ref="HC237:HC268" si="587">IFERROR(CI237/$BR237*$GQ237,"")</f>
        <v/>
      </c>
      <c r="HD237" s="28" t="str">
        <f t="shared" ref="HD237:HD268" si="588">IFERROR(CX237/$BR237*$GQ237,"")</f>
        <v/>
      </c>
      <c r="HE237" s="28" t="str">
        <f t="shared" ref="HE237:HE268" si="589">IFERROR(CY237/$BR237*$GQ237,"")</f>
        <v/>
      </c>
      <c r="HF237" s="28" t="str">
        <f t="shared" ref="HF237:HF268" si="590">IFERROR(DH237/$BR237*$GQ237,"")</f>
        <v/>
      </c>
      <c r="HG237" s="28" t="str">
        <f t="shared" ref="HG237:HG268" si="591">IFERROR(CK237/$BR237*$GQ237,"")</f>
        <v/>
      </c>
      <c r="HH237" s="28" t="str">
        <f t="shared" ref="HH237:HH268" si="592">IFERROR(CZ237/$BR237*$GQ237,"")</f>
        <v/>
      </c>
      <c r="HI237" s="28" t="str">
        <f t="shared" ref="HI237:HI268" si="593">IFERROR(BT237/$BR237*$GQ237,"")</f>
        <v/>
      </c>
      <c r="HJ237" s="28" t="str">
        <f t="shared" ref="HJ237:HJ268" si="594">IFERROR(DA237/$BR237*$GQ237,"")</f>
        <v/>
      </c>
      <c r="HK237" s="28" t="str">
        <f t="shared" ref="HK237:HK268" si="595">IFERROR(DN237/$BR237*$GQ237,"")</f>
        <v/>
      </c>
      <c r="HL237" s="28" t="str">
        <f t="shared" ref="HL237:HL268" si="596">IFERROR(DB237/$BR237*$GQ237,"")</f>
        <v/>
      </c>
      <c r="HM237" s="28" t="str">
        <f t="shared" ref="HM237:HM268" si="597">IFERROR(CJ237/$BR237*$GQ237,"")</f>
        <v/>
      </c>
      <c r="HN237" s="28" t="str">
        <f t="shared" ref="HN237:HN268" si="598">IFERROR(DC237/$BR237*$GQ237,"")</f>
        <v/>
      </c>
      <c r="HO237" s="28" t="str">
        <f t="shared" ref="HO237:HO268" si="599">IFERROR(DD237/$BR237*$GQ237,"")</f>
        <v/>
      </c>
      <c r="HP237" s="28" t="str">
        <f t="shared" ref="HP237:HP268" si="600">IFERROR(DE237/$BR237*$GQ237,"")</f>
        <v/>
      </c>
      <c r="HQ237" s="28" t="str">
        <f t="shared" ref="HQ237:HQ268" si="601">IFERROR(DF237/$BR237*$GQ237,"")</f>
        <v/>
      </c>
      <c r="HR237" s="28" t="str">
        <f t="shared" ref="HR237:HR268" si="602">IFERROR(DG237/$BR237*$GQ237,"")</f>
        <v/>
      </c>
      <c r="HT237" s="4">
        <f>IFERROR(GR237/'McDonough &amp; Sun 1995 values'!C$2,)</f>
        <v>0</v>
      </c>
      <c r="HU237" s="4">
        <f>IFERROR(GS237/'McDonough &amp; Sun 1995 values'!D$2,)</f>
        <v>0</v>
      </c>
      <c r="HV237" s="4">
        <f>IFERROR(GT237/'McDonough &amp; Sun 1995 values'!E$2,)</f>
        <v>0</v>
      </c>
      <c r="HW237" s="4">
        <f>IFERROR(GU237/'McDonough &amp; Sun 1995 values'!F$2,)</f>
        <v>0</v>
      </c>
      <c r="HX237" s="4">
        <f>IFERROR(GV237/'McDonough &amp; Sun 1995 values'!G$2,)</f>
        <v>0</v>
      </c>
      <c r="HY237" s="4">
        <f>IFERROR(GW237/'McDonough &amp; Sun 1995 values'!H$2,)</f>
        <v>0</v>
      </c>
      <c r="HZ237" s="4">
        <f>IFERROR(GX237/'McDonough &amp; Sun 1995 values'!I$2,)</f>
        <v>0</v>
      </c>
      <c r="IA237" s="4">
        <f>IFERROR(GY237/'McDonough &amp; Sun 1995 values'!J$2,)</f>
        <v>0</v>
      </c>
      <c r="IB237" s="4">
        <f>IFERROR(GZ237/'McDonough &amp; Sun 1995 values'!K$2,)</f>
        <v>0</v>
      </c>
      <c r="IC237" s="4">
        <f>IFERROR(HA237/'McDonough &amp; Sun 1995 values'!L$2,)</f>
        <v>0</v>
      </c>
      <c r="ID237" s="4">
        <f>IFERROR(HB237/'McDonough &amp; Sun 1995 values'!M$2,)</f>
        <v>0</v>
      </c>
      <c r="IE237" s="4">
        <f>IFERROR(HC237/'McDonough &amp; Sun 1995 values'!N$2,)</f>
        <v>0</v>
      </c>
      <c r="IF237" s="4">
        <f>IFERROR(HD237/'McDonough &amp; Sun 1995 values'!O$2,)</f>
        <v>0</v>
      </c>
      <c r="IG237" s="4">
        <f>IFERROR(HE237/'McDonough &amp; Sun 1995 values'!P$2,)</f>
        <v>0</v>
      </c>
      <c r="IH237" s="4">
        <f>IFERROR(HF237/'McDonough &amp; Sun 1995 values'!Q$2,)</f>
        <v>0</v>
      </c>
      <c r="II237" s="4">
        <f>IFERROR(HG237/'McDonough &amp; Sun 1995 values'!R$2,)</f>
        <v>0</v>
      </c>
      <c r="IJ237" s="4">
        <f>IFERROR(HH237/'McDonough &amp; Sun 1995 values'!S$2,)</f>
        <v>0</v>
      </c>
      <c r="IK237" s="4">
        <f>IFERROR(HI237/'McDonough &amp; Sun 1995 values'!T$2,)</f>
        <v>0</v>
      </c>
      <c r="IL237" s="4">
        <f>IFERROR(HJ237/'McDonough &amp; Sun 1995 values'!U$2,)</f>
        <v>0</v>
      </c>
      <c r="IM237" s="4">
        <f>IFERROR(HK237/'McDonough &amp; Sun 1995 values'!V$2,)</f>
        <v>0</v>
      </c>
      <c r="IN237" s="4">
        <f>IFERROR(HL237/'McDonough &amp; Sun 1995 values'!W$2,)</f>
        <v>0</v>
      </c>
      <c r="IO237" s="4">
        <f>IFERROR(HM237/'McDonough &amp; Sun 1995 values'!X$2,)</f>
        <v>0</v>
      </c>
      <c r="IP237" s="4">
        <f>IFERROR(HN237/'McDonough &amp; Sun 1995 values'!Y$2,)</f>
        <v>0</v>
      </c>
      <c r="IQ237" s="4">
        <f>IFERROR(HO237/'McDonough &amp; Sun 1995 values'!Z$2,)</f>
        <v>0</v>
      </c>
      <c r="IR237" s="4">
        <f>IFERROR(HP237/'McDonough &amp; Sun 1995 values'!AA$2,)</f>
        <v>0</v>
      </c>
      <c r="IS237" s="4">
        <f>IFERROR(HQ237/'McDonough &amp; Sun 1995 values'!AB$2,)</f>
        <v>0</v>
      </c>
      <c r="IT237" s="4">
        <f>IFERROR(HR237/'McDonough &amp; Sun 1995 values'!AC$2,)</f>
        <v>0</v>
      </c>
    </row>
    <row r="238" spans="1:254">
      <c r="A238" s="16" t="s">
        <v>1656</v>
      </c>
      <c r="B238" s="4" t="s">
        <v>24</v>
      </c>
      <c r="C238" s="16" t="str">
        <f t="shared" si="461"/>
        <v>silicic</v>
      </c>
      <c r="D238" s="4" t="s">
        <v>1724</v>
      </c>
      <c r="E238" s="4" t="s">
        <v>237</v>
      </c>
      <c r="F238" s="4" t="s">
        <v>849</v>
      </c>
      <c r="G238" s="4" t="s">
        <v>595</v>
      </c>
      <c r="H238" s="49">
        <v>364</v>
      </c>
      <c r="I238" s="4" t="s">
        <v>1148</v>
      </c>
      <c r="J238" s="4" t="s">
        <v>635</v>
      </c>
      <c r="K238" s="4" t="s">
        <v>128</v>
      </c>
      <c r="M238" s="4" t="s">
        <v>1659</v>
      </c>
      <c r="N238" s="4">
        <v>30</v>
      </c>
      <c r="O238" s="4">
        <v>46.4</v>
      </c>
      <c r="P238" s="4">
        <v>1.71</v>
      </c>
      <c r="R238" s="4">
        <v>13.7</v>
      </c>
      <c r="S238" s="4">
        <v>3.11</v>
      </c>
      <c r="T238" s="4">
        <v>1.07</v>
      </c>
      <c r="V238" s="4">
        <v>1.61</v>
      </c>
      <c r="W238" s="4">
        <v>1.82</v>
      </c>
      <c r="X238" s="4">
        <v>22.4</v>
      </c>
      <c r="Z238" s="4">
        <v>5.82</v>
      </c>
      <c r="AB238" s="4">
        <v>0.86</v>
      </c>
      <c r="AD238" s="4">
        <v>1.51</v>
      </c>
      <c r="AJ238" s="26">
        <f t="shared" si="462"/>
        <v>100.00999999999999</v>
      </c>
      <c r="AK238" s="26">
        <f t="shared" si="533"/>
        <v>46.553442245170288</v>
      </c>
      <c r="AL238" s="26">
        <f t="shared" si="534"/>
        <v>1.7156548758457153</v>
      </c>
      <c r="AM238" s="26">
        <f t="shared" si="535"/>
        <v>13.745305145664501</v>
      </c>
      <c r="AN238" s="26">
        <f t="shared" si="536"/>
        <v>3.1202845987603363</v>
      </c>
      <c r="AO238" s="26">
        <f t="shared" si="537"/>
        <v>1.073538431084746</v>
      </c>
      <c r="AP238" s="26">
        <f t="shared" si="538"/>
        <v>1.615324181351814</v>
      </c>
      <c r="AQ238" s="26">
        <f t="shared" si="539"/>
        <v>0.86284397264755275</v>
      </c>
      <c r="AR238" s="26">
        <f t="shared" si="540"/>
        <v>1.8260186397890068</v>
      </c>
      <c r="AS238" s="26">
        <f t="shared" si="541"/>
        <v>22.474075566633932</v>
      </c>
      <c r="AT238" s="26">
        <f t="shared" si="542"/>
        <v>5.8392464195450655</v>
      </c>
      <c r="AU238" s="26">
        <f t="shared" si="543"/>
        <v>1.5149934868579122</v>
      </c>
      <c r="AV238" s="26">
        <f t="shared" si="463"/>
        <v>100.34072756335087</v>
      </c>
      <c r="BB238" s="26">
        <v>0.43</v>
      </c>
      <c r="BC238" s="26">
        <f t="shared" si="544"/>
        <v>0.42999999999999994</v>
      </c>
      <c r="BD238" s="26">
        <f t="shared" si="545"/>
        <v>0.57000000000000006</v>
      </c>
      <c r="BG238" s="4">
        <v>1187.2639999999999</v>
      </c>
      <c r="BH238" s="4">
        <v>10.539152299300461</v>
      </c>
      <c r="BL238" s="26"/>
      <c r="BT238" s="44">
        <v>4299.5470115788803</v>
      </c>
      <c r="CI238" s="44">
        <v>272.61939985248807</v>
      </c>
      <c r="CJ238" s="44">
        <v>124.72899334039872</v>
      </c>
      <c r="CK238" s="44">
        <v>443.69219341622409</v>
      </c>
      <c r="CM238" s="44">
        <v>43.599229825341254</v>
      </c>
      <c r="CS238" s="44">
        <v>104.18450556163715</v>
      </c>
      <c r="CU238" s="44">
        <v>26.546693551237805</v>
      </c>
      <c r="CV238" s="44">
        <v>21.173431166343267</v>
      </c>
      <c r="CZ238" s="44">
        <v>27.23944269285181</v>
      </c>
      <c r="DA238" s="44">
        <v>48.992066648267802</v>
      </c>
      <c r="DB238" s="45">
        <v>50.677036950107144</v>
      </c>
      <c r="DC238" s="45">
        <v>5.778152187128013</v>
      </c>
      <c r="DD238" s="45"/>
      <c r="DE238" s="45"/>
      <c r="DF238" s="45"/>
      <c r="DG238" s="45"/>
      <c r="DH238" s="45">
        <v>37.313880512589037</v>
      </c>
      <c r="DI238" s="45">
        <v>9.2473516043036863</v>
      </c>
      <c r="DJ238" s="45"/>
      <c r="DK238" s="45">
        <v>391.12697618478222</v>
      </c>
      <c r="DL238" s="45"/>
      <c r="DM238" s="45"/>
      <c r="DN238" s="45"/>
      <c r="DO238" s="45"/>
      <c r="DQ238" s="4"/>
      <c r="DR238" s="4"/>
      <c r="DS238" s="4"/>
      <c r="DT238" s="4"/>
      <c r="DU238" s="4"/>
      <c r="DV238" s="4"/>
      <c r="DW238" s="4"/>
      <c r="DX238" s="4"/>
      <c r="DY238" s="4"/>
      <c r="DZ238" s="4"/>
      <c r="EA238" s="4"/>
      <c r="EB238" s="4"/>
      <c r="EC238" s="4"/>
      <c r="ED238" s="4"/>
      <c r="EE238" s="4"/>
      <c r="EF238" s="4"/>
      <c r="EG238" s="4"/>
      <c r="EH238" s="4"/>
      <c r="EI238" s="4"/>
      <c r="EJ238" s="4"/>
      <c r="EL238" s="18">
        <f>IFERROR(CR238/'McDonough &amp; Sun 1995 values'!C$2,)</f>
        <v>0</v>
      </c>
      <c r="EM238" s="18">
        <f>IFERROR(CH238/'McDonough &amp; Sun 1995 values'!D$2,)</f>
        <v>0</v>
      </c>
      <c r="EN238" s="18">
        <f>IFERROR(CS238/'McDonough &amp; Sun 1995 values'!E$2,)</f>
        <v>15.785531145702599</v>
      </c>
      <c r="EO238" s="18">
        <f>IFERROR(DL238/'McDonough &amp; Sun 1995 values'!F$2,)</f>
        <v>0</v>
      </c>
      <c r="EP238" s="18">
        <f>IFERROR(DM238/'McDonough &amp; Sun 1995 values'!G$2,)</f>
        <v>0</v>
      </c>
      <c r="EQ238" s="18">
        <f>IFERROR(BR238/'McDonough &amp; Sun 1995 values'!H$2,)</f>
        <v>0</v>
      </c>
      <c r="ER238" s="18">
        <f>IFERROR(DI238/'McDonough &amp; Sun 1995 values'!I$2,)</f>
        <v>249.92842173793747</v>
      </c>
      <c r="ES238" s="18">
        <f>IFERROR(CM238/'McDonough &amp; Sun 1995 values'!J$2,)</f>
        <v>66.260227698087007</v>
      </c>
      <c r="ET238" s="18">
        <f>IFERROR(CU238/'McDonough &amp; Sun 1995 values'!K$2,)</f>
        <v>40.967119677836116</v>
      </c>
      <c r="EU238" s="18">
        <f>IFERROR(CV238/'McDonough &amp; Sun 1995 values'!L$2,)</f>
        <v>12.640854427667621</v>
      </c>
      <c r="EV238" s="18">
        <f>IFERROR(CW238/'McDonough &amp; Sun 1995 values'!M$2,)</f>
        <v>0</v>
      </c>
      <c r="EW238" s="18">
        <f>IFERROR(CI238/'McDonough &amp; Sun 1995 values'!N$2,)</f>
        <v>13.699467329270758</v>
      </c>
      <c r="EX238" s="18">
        <f>IFERROR(CX238/'McDonough &amp; Sun 1995 values'!O$2,)</f>
        <v>0</v>
      </c>
      <c r="EY238" s="18">
        <f>IFERROR(CY238/'McDonough &amp; Sun 1995 values'!P$2,)</f>
        <v>0</v>
      </c>
      <c r="EZ238" s="18">
        <f>IFERROR(DH238/'McDonough &amp; Sun 1995 values'!Q$2,)</f>
        <v>131.8511678890072</v>
      </c>
      <c r="FA238" s="18">
        <f>IFERROR(CK238/'McDonough &amp; Sun 1995 values'!R$2,)</f>
        <v>42.256399372973725</v>
      </c>
      <c r="FB238" s="18">
        <f>IFERROR(CZ238/'McDonough &amp; Sun 1995 values'!S$2,)</f>
        <v>176.87949800553125</v>
      </c>
      <c r="FC238" s="18">
        <f>IFERROR(BT238/'McDonough &amp; Sun 1995 values'!T$2,)</f>
        <v>3.5680888062895271</v>
      </c>
      <c r="FD238" s="18">
        <f>IFERROR(DA238/'McDonough &amp; Sun 1995 values'!U$2,)</f>
        <v>90.058946044609925</v>
      </c>
      <c r="FE238" s="18">
        <f>IFERROR(DN238/'McDonough &amp; Sun 1995 values'!V$2,)</f>
        <v>0</v>
      </c>
      <c r="FF238" s="18">
        <f>IFERROR(DB238/'McDonough &amp; Sun 1995 values'!W$2,)</f>
        <v>75.188482121820684</v>
      </c>
      <c r="FG238" s="18">
        <f>IFERROR(CJ238/'McDonough &amp; Sun 1995 values'!X$2,)</f>
        <v>29.006742637302029</v>
      </c>
      <c r="FH238" s="18">
        <f>IFERROR(DC238/'McDonough &amp; Sun 1995 values'!Y$2,)</f>
        <v>38.779544880053777</v>
      </c>
      <c r="FI238" s="18">
        <f>IFERROR(DD238/'McDonough &amp; Sun 1995 values'!Z$2,)</f>
        <v>0</v>
      </c>
      <c r="FJ238" s="18">
        <f>IFERROR(DE238/'McDonough &amp; Sun 1995 values'!AA$2,)</f>
        <v>0</v>
      </c>
      <c r="FK238" s="18">
        <f>IFERROR(DF238/'McDonough &amp; Sun 1995 values'!AB$2,)</f>
        <v>0</v>
      </c>
      <c r="FL238" s="18">
        <f>IFERROR(DG238/'McDonough &amp; Sun 1995 values'!AC$2,)</f>
        <v>0</v>
      </c>
      <c r="FN238" s="28">
        <f t="shared" si="546"/>
        <v>0</v>
      </c>
      <c r="FO238" s="4">
        <f t="shared" si="547"/>
        <v>0</v>
      </c>
      <c r="FP238" s="4">
        <f t="shared" si="548"/>
        <v>0</v>
      </c>
      <c r="FQ238" s="4">
        <f t="shared" si="549"/>
        <v>0</v>
      </c>
      <c r="FR238" s="4">
        <f t="shared" si="550"/>
        <v>0.61827616808837005</v>
      </c>
      <c r="FS238" s="4">
        <f t="shared" si="551"/>
        <v>0.16391540983198863</v>
      </c>
      <c r="FT238" s="4">
        <f t="shared" si="552"/>
        <v>0</v>
      </c>
      <c r="FU238" s="4">
        <f t="shared" si="553"/>
        <v>3.7719221684043975</v>
      </c>
      <c r="FV238" s="4">
        <f t="shared" si="554"/>
        <v>0</v>
      </c>
      <c r="FW238" s="4">
        <f t="shared" si="555"/>
        <v>0.3204855903024334</v>
      </c>
      <c r="FX238" s="4">
        <f t="shared" si="556"/>
        <v>3.9280827896412536</v>
      </c>
      <c r="FY238" s="4">
        <f t="shared" si="557"/>
        <v>0</v>
      </c>
      <c r="FZ238" s="4">
        <f t="shared" si="558"/>
        <v>0</v>
      </c>
      <c r="GA238" s="4">
        <f t="shared" si="559"/>
        <v>0</v>
      </c>
      <c r="GB238" s="4">
        <f t="shared" si="560"/>
        <v>0</v>
      </c>
      <c r="GC238" s="4">
        <f t="shared" si="561"/>
        <v>0</v>
      </c>
      <c r="GD238" s="4">
        <f t="shared" si="562"/>
        <v>0</v>
      </c>
      <c r="GE238" s="4">
        <f t="shared" si="563"/>
        <v>0</v>
      </c>
      <c r="GF238" s="4">
        <f t="shared" si="564"/>
        <v>0</v>
      </c>
      <c r="GG238" s="4">
        <f t="shared" si="565"/>
        <v>0.23823538937458771</v>
      </c>
      <c r="GH238" s="4">
        <f t="shared" si="566"/>
        <v>0</v>
      </c>
      <c r="GI238" s="4">
        <f t="shared" si="567"/>
        <v>0</v>
      </c>
      <c r="GJ238" s="4">
        <f t="shared" si="568"/>
        <v>0.5448589800158623</v>
      </c>
      <c r="GK238" s="4">
        <f t="shared" si="569"/>
        <v>0</v>
      </c>
      <c r="GL238" s="4">
        <f t="shared" si="570"/>
        <v>11.842866494378642</v>
      </c>
      <c r="GM238" s="4">
        <f t="shared" si="571"/>
        <v>0</v>
      </c>
      <c r="GN238" s="4">
        <f t="shared" si="572"/>
        <v>1.6174002033619874</v>
      </c>
      <c r="GO238" s="4">
        <f t="shared" si="573"/>
        <v>0</v>
      </c>
      <c r="GP238" s="4">
        <f t="shared" si="574"/>
        <v>0</v>
      </c>
      <c r="GQ238" s="27">
        <f t="shared" si="575"/>
        <v>186565.68516738829</v>
      </c>
      <c r="GR238" s="28" t="str">
        <f t="shared" si="576"/>
        <v/>
      </c>
      <c r="GS238" s="28" t="str">
        <f t="shared" si="577"/>
        <v/>
      </c>
      <c r="GT238" s="28" t="str">
        <f t="shared" si="578"/>
        <v/>
      </c>
      <c r="GU238" s="28" t="str">
        <f t="shared" si="579"/>
        <v/>
      </c>
      <c r="GV238" s="28" t="str">
        <f t="shared" si="580"/>
        <v/>
      </c>
      <c r="GW238" s="28" t="str">
        <f t="shared" si="581"/>
        <v/>
      </c>
      <c r="GX238" s="28" t="str">
        <f t="shared" si="582"/>
        <v/>
      </c>
      <c r="GY238" s="28" t="str">
        <f t="shared" si="583"/>
        <v/>
      </c>
      <c r="GZ238" s="28" t="str">
        <f t="shared" si="584"/>
        <v/>
      </c>
      <c r="HA238" s="28" t="str">
        <f t="shared" si="585"/>
        <v/>
      </c>
      <c r="HB238" s="28" t="str">
        <f t="shared" si="586"/>
        <v/>
      </c>
      <c r="HC238" s="28" t="str">
        <f t="shared" si="587"/>
        <v/>
      </c>
      <c r="HD238" s="28" t="str">
        <f t="shared" si="588"/>
        <v/>
      </c>
      <c r="HE238" s="28" t="str">
        <f t="shared" si="589"/>
        <v/>
      </c>
      <c r="HF238" s="28" t="str">
        <f t="shared" si="590"/>
        <v/>
      </c>
      <c r="HG238" s="28" t="str">
        <f t="shared" si="591"/>
        <v/>
      </c>
      <c r="HH238" s="28" t="str">
        <f t="shared" si="592"/>
        <v/>
      </c>
      <c r="HI238" s="28" t="str">
        <f t="shared" si="593"/>
        <v/>
      </c>
      <c r="HJ238" s="28" t="str">
        <f t="shared" si="594"/>
        <v/>
      </c>
      <c r="HK238" s="28" t="str">
        <f t="shared" si="595"/>
        <v/>
      </c>
      <c r="HL238" s="28" t="str">
        <f t="shared" si="596"/>
        <v/>
      </c>
      <c r="HM238" s="28" t="str">
        <f t="shared" si="597"/>
        <v/>
      </c>
      <c r="HN238" s="28" t="str">
        <f t="shared" si="598"/>
        <v/>
      </c>
      <c r="HO238" s="28" t="str">
        <f t="shared" si="599"/>
        <v/>
      </c>
      <c r="HP238" s="28" t="str">
        <f t="shared" si="600"/>
        <v/>
      </c>
      <c r="HQ238" s="28" t="str">
        <f t="shared" si="601"/>
        <v/>
      </c>
      <c r="HR238" s="28" t="str">
        <f t="shared" si="602"/>
        <v/>
      </c>
      <c r="HT238" s="4">
        <f>IFERROR(GR238/'McDonough &amp; Sun 1995 values'!C$2,)</f>
        <v>0</v>
      </c>
      <c r="HU238" s="4">
        <f>IFERROR(GS238/'McDonough &amp; Sun 1995 values'!D$2,)</f>
        <v>0</v>
      </c>
      <c r="HV238" s="4">
        <f>IFERROR(GT238/'McDonough &amp; Sun 1995 values'!E$2,)</f>
        <v>0</v>
      </c>
      <c r="HW238" s="4">
        <f>IFERROR(GU238/'McDonough &amp; Sun 1995 values'!F$2,)</f>
        <v>0</v>
      </c>
      <c r="HX238" s="4">
        <f>IFERROR(GV238/'McDonough &amp; Sun 1995 values'!G$2,)</f>
        <v>0</v>
      </c>
      <c r="HY238" s="4">
        <f>IFERROR(GW238/'McDonough &amp; Sun 1995 values'!H$2,)</f>
        <v>0</v>
      </c>
      <c r="HZ238" s="4">
        <f>IFERROR(GX238/'McDonough &amp; Sun 1995 values'!I$2,)</f>
        <v>0</v>
      </c>
      <c r="IA238" s="4">
        <f>IFERROR(GY238/'McDonough &amp; Sun 1995 values'!J$2,)</f>
        <v>0</v>
      </c>
      <c r="IB238" s="4">
        <f>IFERROR(GZ238/'McDonough &amp; Sun 1995 values'!K$2,)</f>
        <v>0</v>
      </c>
      <c r="IC238" s="4">
        <f>IFERROR(HA238/'McDonough &amp; Sun 1995 values'!L$2,)</f>
        <v>0</v>
      </c>
      <c r="ID238" s="4">
        <f>IFERROR(HB238/'McDonough &amp; Sun 1995 values'!M$2,)</f>
        <v>0</v>
      </c>
      <c r="IE238" s="4">
        <f>IFERROR(HC238/'McDonough &amp; Sun 1995 values'!N$2,)</f>
        <v>0</v>
      </c>
      <c r="IF238" s="4">
        <f>IFERROR(HD238/'McDonough &amp; Sun 1995 values'!O$2,)</f>
        <v>0</v>
      </c>
      <c r="IG238" s="4">
        <f>IFERROR(HE238/'McDonough &amp; Sun 1995 values'!P$2,)</f>
        <v>0</v>
      </c>
      <c r="IH238" s="4">
        <f>IFERROR(HF238/'McDonough &amp; Sun 1995 values'!Q$2,)</f>
        <v>0</v>
      </c>
      <c r="II238" s="4">
        <f>IFERROR(HG238/'McDonough &amp; Sun 1995 values'!R$2,)</f>
        <v>0</v>
      </c>
      <c r="IJ238" s="4">
        <f>IFERROR(HH238/'McDonough &amp; Sun 1995 values'!S$2,)</f>
        <v>0</v>
      </c>
      <c r="IK238" s="4">
        <f>IFERROR(HI238/'McDonough &amp; Sun 1995 values'!T$2,)</f>
        <v>0</v>
      </c>
      <c r="IL238" s="4">
        <f>IFERROR(HJ238/'McDonough &amp; Sun 1995 values'!U$2,)</f>
        <v>0</v>
      </c>
      <c r="IM238" s="4">
        <f>IFERROR(HK238/'McDonough &amp; Sun 1995 values'!V$2,)</f>
        <v>0</v>
      </c>
      <c r="IN238" s="4">
        <f>IFERROR(HL238/'McDonough &amp; Sun 1995 values'!W$2,)</f>
        <v>0</v>
      </c>
      <c r="IO238" s="4">
        <f>IFERROR(HM238/'McDonough &amp; Sun 1995 values'!X$2,)</f>
        <v>0</v>
      </c>
      <c r="IP238" s="4">
        <f>IFERROR(HN238/'McDonough &amp; Sun 1995 values'!Y$2,)</f>
        <v>0</v>
      </c>
      <c r="IQ238" s="4">
        <f>IFERROR(HO238/'McDonough &amp; Sun 1995 values'!Z$2,)</f>
        <v>0</v>
      </c>
      <c r="IR238" s="4">
        <f>IFERROR(HP238/'McDonough &amp; Sun 1995 values'!AA$2,)</f>
        <v>0</v>
      </c>
      <c r="IS238" s="4">
        <f>IFERROR(HQ238/'McDonough &amp; Sun 1995 values'!AB$2,)</f>
        <v>0</v>
      </c>
      <c r="IT238" s="4">
        <f>IFERROR(HR238/'McDonough &amp; Sun 1995 values'!AC$2,)</f>
        <v>0</v>
      </c>
    </row>
    <row r="239" spans="1:254">
      <c r="A239" s="16" t="s">
        <v>1656</v>
      </c>
      <c r="B239" s="4" t="s">
        <v>24</v>
      </c>
      <c r="C239" s="16" t="str">
        <f t="shared" si="461"/>
        <v>silicic</v>
      </c>
      <c r="D239" s="4" t="s">
        <v>1724</v>
      </c>
      <c r="E239" s="4" t="s">
        <v>237</v>
      </c>
      <c r="F239" s="4" t="s">
        <v>849</v>
      </c>
      <c r="G239" s="4" t="s">
        <v>595</v>
      </c>
      <c r="H239" s="49">
        <v>364</v>
      </c>
      <c r="I239" s="4" t="s">
        <v>1148</v>
      </c>
      <c r="J239" s="4" t="s">
        <v>635</v>
      </c>
      <c r="K239" s="4" t="s">
        <v>128</v>
      </c>
      <c r="M239" s="4" t="s">
        <v>1660</v>
      </c>
      <c r="N239" s="4">
        <v>34</v>
      </c>
      <c r="O239" s="4">
        <v>50.5</v>
      </c>
      <c r="P239" s="4">
        <v>2.71</v>
      </c>
      <c r="R239" s="4">
        <v>17.5</v>
      </c>
      <c r="S239" s="4">
        <v>5.69</v>
      </c>
      <c r="T239" s="4">
        <v>2.2999999999999998</v>
      </c>
      <c r="V239" s="4">
        <v>1.04</v>
      </c>
      <c r="W239" s="4">
        <v>0.88</v>
      </c>
      <c r="X239" s="4">
        <v>16.7</v>
      </c>
      <c r="Z239" s="4">
        <v>2.5299999999999998</v>
      </c>
      <c r="AD239" s="4">
        <v>0.1</v>
      </c>
      <c r="AJ239" s="26">
        <f t="shared" si="462"/>
        <v>99.95</v>
      </c>
      <c r="AK239" s="26">
        <f t="shared" si="533"/>
        <v>50.536670369064666</v>
      </c>
      <c r="AL239" s="26">
        <f t="shared" si="534"/>
        <v>2.7119678554488162</v>
      </c>
      <c r="AM239" s="26">
        <f t="shared" si="535"/>
        <v>17.512707553636265</v>
      </c>
      <c r="AN239" s="26">
        <f t="shared" si="536"/>
        <v>5.6941317702965923</v>
      </c>
      <c r="AO239" s="26">
        <f t="shared" si="537"/>
        <v>2.3016701356207663</v>
      </c>
      <c r="AP239" s="26">
        <f t="shared" si="538"/>
        <v>1.0407551917589553</v>
      </c>
      <c r="AQ239" s="26">
        <f t="shared" si="539"/>
        <v>0</v>
      </c>
      <c r="AR239" s="26">
        <f t="shared" si="540"/>
        <v>0.88063900841142384</v>
      </c>
      <c r="AS239" s="26">
        <f t="shared" si="541"/>
        <v>16.71212663689861</v>
      </c>
      <c r="AT239" s="26">
        <f t="shared" si="542"/>
        <v>2.5318371491828433</v>
      </c>
      <c r="AU239" s="26">
        <f t="shared" si="543"/>
        <v>0.10007261459220725</v>
      </c>
      <c r="AV239" s="26">
        <f t="shared" si="463"/>
        <v>100.02257828491115</v>
      </c>
      <c r="BB239" s="26">
        <v>0.45</v>
      </c>
      <c r="BC239" s="26">
        <f t="shared" si="544"/>
        <v>0.44999999999999996</v>
      </c>
      <c r="BD239" s="26">
        <f t="shared" si="545"/>
        <v>0.55000000000000004</v>
      </c>
      <c r="BE239" s="4">
        <v>-3.374110919737078</v>
      </c>
      <c r="BG239" s="4">
        <v>1299.954</v>
      </c>
      <c r="BH239" s="4">
        <v>9.7230609534785959</v>
      </c>
      <c r="BL239" s="26"/>
      <c r="BT239" s="44">
        <v>26744.840052505999</v>
      </c>
      <c r="CH239" s="44">
        <v>152.58576813609662</v>
      </c>
      <c r="CI239" s="44">
        <v>1510.8602084367362</v>
      </c>
      <c r="CJ239" s="44">
        <v>22.145019521569886</v>
      </c>
      <c r="CK239" s="44">
        <v>1288.428455918214</v>
      </c>
      <c r="CM239" s="44">
        <v>799.68628952371205</v>
      </c>
      <c r="CR239" s="44">
        <v>42289.704552280593</v>
      </c>
      <c r="CS239" s="44">
        <v>6798.9081330692579</v>
      </c>
      <c r="CU239" s="44">
        <v>97.225305799995027</v>
      </c>
      <c r="CV239" s="44">
        <v>152.7835865069955</v>
      </c>
      <c r="CW239" s="44">
        <v>19.367864532761626</v>
      </c>
      <c r="CX239" s="44">
        <v>114.23162773270698</v>
      </c>
      <c r="CY239" s="44">
        <v>33.429063453267609</v>
      </c>
      <c r="CZ239" s="44">
        <v>5.6092126058773877</v>
      </c>
      <c r="DA239" s="44">
        <v>17.480673225233442</v>
      </c>
      <c r="DB239" s="45">
        <v>6.8741869596680134</v>
      </c>
      <c r="DC239" s="45">
        <v>0.67098384781685805</v>
      </c>
      <c r="DD239" s="45">
        <v>1.7526943002893909</v>
      </c>
      <c r="DE239" s="45"/>
      <c r="DF239" s="45">
        <v>1.3793438197234784</v>
      </c>
      <c r="DG239" s="45">
        <v>0.14503731830518796</v>
      </c>
      <c r="DH239" s="45">
        <v>37.853721713386477</v>
      </c>
      <c r="DI239" s="45">
        <v>38.715034188724559</v>
      </c>
      <c r="DJ239" s="45"/>
      <c r="DK239" s="45">
        <v>26.504964215941001</v>
      </c>
      <c r="DL239" s="45">
        <v>7.7768347654514036</v>
      </c>
      <c r="DM239" s="45">
        <v>1.4375104939420067</v>
      </c>
      <c r="DN239" s="45">
        <v>1.495788854270006</v>
      </c>
      <c r="DO239" s="45"/>
      <c r="DQ239" s="4"/>
      <c r="DR239" s="4"/>
      <c r="DS239" s="4"/>
      <c r="DT239" s="4"/>
      <c r="DU239" s="4"/>
      <c r="DV239" s="4"/>
      <c r="DW239" s="4"/>
      <c r="DX239" s="4"/>
      <c r="DY239" s="4"/>
      <c r="DZ239" s="4"/>
      <c r="EA239" s="4"/>
      <c r="EB239" s="4"/>
      <c r="EC239" s="4"/>
      <c r="ED239" s="4"/>
      <c r="EE239" s="4"/>
      <c r="EF239" s="4"/>
      <c r="EG239" s="4"/>
      <c r="EH239" s="4"/>
      <c r="EI239" s="4"/>
      <c r="EJ239" s="4"/>
      <c r="EL239" s="18">
        <f>IFERROR(CR239/'McDonough &amp; Sun 1995 values'!C$2,)</f>
        <v>2013795.4548705043</v>
      </c>
      <c r="EM239" s="18">
        <f>IFERROR(CH239/'McDonough &amp; Sun 1995 values'!D$2,)</f>
        <v>254.30961356016104</v>
      </c>
      <c r="EN239" s="18">
        <f>IFERROR(CS239/'McDonough &amp; Sun 1995 values'!E$2,)</f>
        <v>1030.1375959195846</v>
      </c>
      <c r="EO239" s="18">
        <f>IFERROR(DL239/'McDonough &amp; Sun 1995 values'!F$2,)</f>
        <v>97.821820949074251</v>
      </c>
      <c r="EP239" s="18">
        <f>IFERROR(DM239/'McDonough &amp; Sun 1995 values'!G$2,)</f>
        <v>70.813324824729392</v>
      </c>
      <c r="EQ239" s="18">
        <f>IFERROR(BR239/'McDonough &amp; Sun 1995 values'!H$2,)</f>
        <v>0</v>
      </c>
      <c r="ER239" s="18">
        <f>IFERROR(DI239/'McDonough &amp; Sun 1995 values'!I$2,)</f>
        <v>1046.352275370934</v>
      </c>
      <c r="ES239" s="18">
        <f>IFERROR(CM239/'McDonough &amp; Sun 1995 values'!J$2,)</f>
        <v>1215.3287074828449</v>
      </c>
      <c r="ET239" s="18">
        <f>IFERROR(CU239/'McDonough &amp; Sun 1995 values'!K$2,)</f>
        <v>150.03905216048614</v>
      </c>
      <c r="EU239" s="18">
        <f>IFERROR(CV239/'McDonough &amp; Sun 1995 values'!L$2,)</f>
        <v>91.214081496713732</v>
      </c>
      <c r="EV239" s="18">
        <f>IFERROR(CW239/'McDonough &amp; Sun 1995 values'!M$2,)</f>
        <v>76.251435168352856</v>
      </c>
      <c r="EW239" s="18">
        <f>IFERROR(CI239/'McDonough &amp; Sun 1995 values'!N$2,)</f>
        <v>75.922623539534484</v>
      </c>
      <c r="EX239" s="18">
        <f>IFERROR(CX239/'McDonough &amp; Sun 1995 values'!O$2,)</f>
        <v>91.385302186165589</v>
      </c>
      <c r="EY239" s="18">
        <f>IFERROR(CY239/'McDonough &amp; Sun 1995 values'!P$2,)</f>
        <v>82.337594712481788</v>
      </c>
      <c r="EZ239" s="18">
        <f>IFERROR(DH239/'McDonough &amp; Sun 1995 values'!Q$2,)</f>
        <v>133.75873396956354</v>
      </c>
      <c r="FA239" s="18">
        <f>IFERROR(CK239/'McDonough &amp; Sun 1995 values'!R$2,)</f>
        <v>122.70747199221086</v>
      </c>
      <c r="FB239" s="18">
        <f>IFERROR(CZ239/'McDonough &amp; Sun 1995 values'!S$2,)</f>
        <v>36.423458479723294</v>
      </c>
      <c r="FC239" s="18">
        <f>IFERROR(BT239/'McDonough &amp; Sun 1995 values'!T$2,)</f>
        <v>22.194888010378421</v>
      </c>
      <c r="FD239" s="18">
        <f>IFERROR(DA239/'McDonough &amp; Sun 1995 values'!U$2,)</f>
        <v>32.13359048756147</v>
      </c>
      <c r="FE239" s="18">
        <f>IFERROR(DN239/'McDonough &amp; Sun 1995 values'!V$2,)</f>
        <v>15.108978325959656</v>
      </c>
      <c r="FF239" s="18">
        <f>IFERROR(DB239/'McDonough &amp; Sun 1995 values'!W$2,)</f>
        <v>10.199090444611295</v>
      </c>
      <c r="FG239" s="18">
        <f>IFERROR(CJ239/'McDonough &amp; Sun 1995 values'!X$2,)</f>
        <v>5.1500045398999736</v>
      </c>
      <c r="FH239" s="18">
        <f>IFERROR(DC239/'McDonough &amp; Sun 1995 values'!Y$2,)</f>
        <v>4.5032473007842828</v>
      </c>
      <c r="FI239" s="18">
        <f>IFERROR(DD239/'McDonough &amp; Sun 1995 values'!Z$2,)</f>
        <v>4.0015851604780615</v>
      </c>
      <c r="FJ239" s="18">
        <f>IFERROR(DE239/'McDonough &amp; Sun 1995 values'!AA$2,)</f>
        <v>0</v>
      </c>
      <c r="FK239" s="18">
        <f>IFERROR(DF239/'McDonough &amp; Sun 1995 values'!AB$2,)</f>
        <v>3.1277637635453024</v>
      </c>
      <c r="FL239" s="18">
        <f>IFERROR(DG239/'McDonough &amp; Sun 1995 values'!AC$2,)</f>
        <v>2.1487010119287104</v>
      </c>
      <c r="FN239" s="28">
        <f t="shared" si="546"/>
        <v>0</v>
      </c>
      <c r="FO239" s="4">
        <f t="shared" si="547"/>
        <v>14.547228201320671</v>
      </c>
      <c r="FP239" s="4">
        <f t="shared" si="548"/>
        <v>8.0490010930195241E-2</v>
      </c>
      <c r="FQ239" s="4">
        <f t="shared" si="549"/>
        <v>1.3814041522721012</v>
      </c>
      <c r="FR239" s="4">
        <f t="shared" si="550"/>
        <v>0.12345553201918751</v>
      </c>
      <c r="FS239" s="4">
        <f t="shared" si="551"/>
        <v>0.14339248424465556</v>
      </c>
      <c r="FT239" s="4">
        <f t="shared" si="552"/>
        <v>1.262837359897181E-4</v>
      </c>
      <c r="FU239" s="4">
        <f t="shared" si="553"/>
        <v>0.860962362633653</v>
      </c>
      <c r="FV239" s="4">
        <f t="shared" si="554"/>
        <v>1.4902970194927163</v>
      </c>
      <c r="FW239" s="4">
        <f t="shared" si="555"/>
        <v>0.91737913742614097</v>
      </c>
      <c r="FX239" s="4">
        <f t="shared" si="556"/>
        <v>0.6363777646937393</v>
      </c>
      <c r="FY239" s="4">
        <f t="shared" si="557"/>
        <v>0.90951322767937148</v>
      </c>
      <c r="FZ239" s="4">
        <f t="shared" si="558"/>
        <v>0.70811283313052764</v>
      </c>
      <c r="GA239" s="4">
        <f t="shared" si="559"/>
        <v>0.99568779750712366</v>
      </c>
      <c r="GB239" s="4">
        <f t="shared" si="560"/>
        <v>0.44236728807675213</v>
      </c>
      <c r="GC239" s="4">
        <f t="shared" si="561"/>
        <v>7918.6760841587629</v>
      </c>
      <c r="GD239" s="4">
        <f t="shared" si="562"/>
        <v>10.530754650906275</v>
      </c>
      <c r="GE239" s="4">
        <f t="shared" si="563"/>
        <v>4.0507221944871104</v>
      </c>
      <c r="GF239" s="4">
        <f t="shared" si="564"/>
        <v>0</v>
      </c>
      <c r="GG239" s="4">
        <f t="shared" si="565"/>
        <v>0.84762055695465055</v>
      </c>
      <c r="GH239" s="4">
        <f t="shared" si="566"/>
        <v>1.967688238643905</v>
      </c>
      <c r="GI239" s="4">
        <f t="shared" si="567"/>
        <v>1.822242350950547</v>
      </c>
      <c r="GJ239" s="4">
        <f t="shared" si="568"/>
        <v>14.711022808877971</v>
      </c>
      <c r="GK239" s="4">
        <f t="shared" si="569"/>
        <v>47.970071751972</v>
      </c>
      <c r="GL239" s="4">
        <f t="shared" si="570"/>
        <v>5.5286366813309593</v>
      </c>
      <c r="GM239" s="4">
        <f t="shared" si="571"/>
        <v>0.38465640201184498</v>
      </c>
      <c r="GN239" s="4">
        <f t="shared" si="572"/>
        <v>8.1000825450622944</v>
      </c>
      <c r="GO239" s="4">
        <f t="shared" si="573"/>
        <v>17.162429676772195</v>
      </c>
      <c r="GP239" s="4">
        <f t="shared" si="574"/>
        <v>0</v>
      </c>
      <c r="GQ239" s="27">
        <f t="shared" si="575"/>
        <v>138733.59762330537</v>
      </c>
      <c r="GR239" s="28" t="str">
        <f t="shared" si="576"/>
        <v/>
      </c>
      <c r="GS239" s="28" t="str">
        <f t="shared" si="577"/>
        <v/>
      </c>
      <c r="GT239" s="28" t="str">
        <f t="shared" si="578"/>
        <v/>
      </c>
      <c r="GU239" s="28" t="str">
        <f t="shared" si="579"/>
        <v/>
      </c>
      <c r="GV239" s="28" t="str">
        <f t="shared" si="580"/>
        <v/>
      </c>
      <c r="GW239" s="28" t="str">
        <f t="shared" si="581"/>
        <v/>
      </c>
      <c r="GX239" s="28" t="str">
        <f t="shared" si="582"/>
        <v/>
      </c>
      <c r="GY239" s="28" t="str">
        <f t="shared" si="583"/>
        <v/>
      </c>
      <c r="GZ239" s="28" t="str">
        <f t="shared" si="584"/>
        <v/>
      </c>
      <c r="HA239" s="28" t="str">
        <f t="shared" si="585"/>
        <v/>
      </c>
      <c r="HB239" s="28" t="str">
        <f t="shared" si="586"/>
        <v/>
      </c>
      <c r="HC239" s="28" t="str">
        <f t="shared" si="587"/>
        <v/>
      </c>
      <c r="HD239" s="28" t="str">
        <f t="shared" si="588"/>
        <v/>
      </c>
      <c r="HE239" s="28" t="str">
        <f t="shared" si="589"/>
        <v/>
      </c>
      <c r="HF239" s="28" t="str">
        <f t="shared" si="590"/>
        <v/>
      </c>
      <c r="HG239" s="28" t="str">
        <f t="shared" si="591"/>
        <v/>
      </c>
      <c r="HH239" s="28" t="str">
        <f t="shared" si="592"/>
        <v/>
      </c>
      <c r="HI239" s="28" t="str">
        <f t="shared" si="593"/>
        <v/>
      </c>
      <c r="HJ239" s="28" t="str">
        <f t="shared" si="594"/>
        <v/>
      </c>
      <c r="HK239" s="28" t="str">
        <f t="shared" si="595"/>
        <v/>
      </c>
      <c r="HL239" s="28" t="str">
        <f t="shared" si="596"/>
        <v/>
      </c>
      <c r="HM239" s="28" t="str">
        <f t="shared" si="597"/>
        <v/>
      </c>
      <c r="HN239" s="28" t="str">
        <f t="shared" si="598"/>
        <v/>
      </c>
      <c r="HO239" s="28" t="str">
        <f t="shared" si="599"/>
        <v/>
      </c>
      <c r="HP239" s="28" t="str">
        <f t="shared" si="600"/>
        <v/>
      </c>
      <c r="HQ239" s="28" t="str">
        <f t="shared" si="601"/>
        <v/>
      </c>
      <c r="HR239" s="28" t="str">
        <f t="shared" si="602"/>
        <v/>
      </c>
      <c r="HT239" s="4">
        <f>IFERROR(GR239/'McDonough &amp; Sun 1995 values'!C$2,)</f>
        <v>0</v>
      </c>
      <c r="HU239" s="4">
        <f>IFERROR(GS239/'McDonough &amp; Sun 1995 values'!D$2,)</f>
        <v>0</v>
      </c>
      <c r="HV239" s="4">
        <f>IFERROR(GT239/'McDonough &amp; Sun 1995 values'!E$2,)</f>
        <v>0</v>
      </c>
      <c r="HW239" s="4">
        <f>IFERROR(GU239/'McDonough &amp; Sun 1995 values'!F$2,)</f>
        <v>0</v>
      </c>
      <c r="HX239" s="4">
        <f>IFERROR(GV239/'McDonough &amp; Sun 1995 values'!G$2,)</f>
        <v>0</v>
      </c>
      <c r="HY239" s="4">
        <f>IFERROR(GW239/'McDonough &amp; Sun 1995 values'!H$2,)</f>
        <v>0</v>
      </c>
      <c r="HZ239" s="4">
        <f>IFERROR(GX239/'McDonough &amp; Sun 1995 values'!I$2,)</f>
        <v>0</v>
      </c>
      <c r="IA239" s="4">
        <f>IFERROR(GY239/'McDonough &amp; Sun 1995 values'!J$2,)</f>
        <v>0</v>
      </c>
      <c r="IB239" s="4">
        <f>IFERROR(GZ239/'McDonough &amp; Sun 1995 values'!K$2,)</f>
        <v>0</v>
      </c>
      <c r="IC239" s="4">
        <f>IFERROR(HA239/'McDonough &amp; Sun 1995 values'!L$2,)</f>
        <v>0</v>
      </c>
      <c r="ID239" s="4">
        <f>IFERROR(HB239/'McDonough &amp; Sun 1995 values'!M$2,)</f>
        <v>0</v>
      </c>
      <c r="IE239" s="4">
        <f>IFERROR(HC239/'McDonough &amp; Sun 1995 values'!N$2,)</f>
        <v>0</v>
      </c>
      <c r="IF239" s="4">
        <f>IFERROR(HD239/'McDonough &amp; Sun 1995 values'!O$2,)</f>
        <v>0</v>
      </c>
      <c r="IG239" s="4">
        <f>IFERROR(HE239/'McDonough &amp; Sun 1995 values'!P$2,)</f>
        <v>0</v>
      </c>
      <c r="IH239" s="4">
        <f>IFERROR(HF239/'McDonough &amp; Sun 1995 values'!Q$2,)</f>
        <v>0</v>
      </c>
      <c r="II239" s="4">
        <f>IFERROR(HG239/'McDonough &amp; Sun 1995 values'!R$2,)</f>
        <v>0</v>
      </c>
      <c r="IJ239" s="4">
        <f>IFERROR(HH239/'McDonough &amp; Sun 1995 values'!S$2,)</f>
        <v>0</v>
      </c>
      <c r="IK239" s="4">
        <f>IFERROR(HI239/'McDonough &amp; Sun 1995 values'!T$2,)</f>
        <v>0</v>
      </c>
      <c r="IL239" s="4">
        <f>IFERROR(HJ239/'McDonough &amp; Sun 1995 values'!U$2,)</f>
        <v>0</v>
      </c>
      <c r="IM239" s="4">
        <f>IFERROR(HK239/'McDonough &amp; Sun 1995 values'!V$2,)</f>
        <v>0</v>
      </c>
      <c r="IN239" s="4">
        <f>IFERROR(HL239/'McDonough &amp; Sun 1995 values'!W$2,)</f>
        <v>0</v>
      </c>
      <c r="IO239" s="4">
        <f>IFERROR(HM239/'McDonough &amp; Sun 1995 values'!X$2,)</f>
        <v>0</v>
      </c>
      <c r="IP239" s="4">
        <f>IFERROR(HN239/'McDonough &amp; Sun 1995 values'!Y$2,)</f>
        <v>0</v>
      </c>
      <c r="IQ239" s="4">
        <f>IFERROR(HO239/'McDonough &amp; Sun 1995 values'!Z$2,)</f>
        <v>0</v>
      </c>
      <c r="IR239" s="4">
        <f>IFERROR(HP239/'McDonough &amp; Sun 1995 values'!AA$2,)</f>
        <v>0</v>
      </c>
      <c r="IS239" s="4">
        <f>IFERROR(HQ239/'McDonough &amp; Sun 1995 values'!AB$2,)</f>
        <v>0</v>
      </c>
      <c r="IT239" s="4">
        <f>IFERROR(HR239/'McDonough &amp; Sun 1995 values'!AC$2,)</f>
        <v>0</v>
      </c>
    </row>
    <row r="240" spans="1:254">
      <c r="A240" s="16" t="s">
        <v>1656</v>
      </c>
      <c r="B240" s="4" t="s">
        <v>24</v>
      </c>
      <c r="C240" s="16" t="str">
        <f t="shared" si="461"/>
        <v>silicic</v>
      </c>
      <c r="D240" s="4" t="s">
        <v>1724</v>
      </c>
      <c r="E240" s="4" t="s">
        <v>237</v>
      </c>
      <c r="F240" s="4" t="s">
        <v>849</v>
      </c>
      <c r="G240" s="4" t="s">
        <v>595</v>
      </c>
      <c r="H240" s="49">
        <v>364</v>
      </c>
      <c r="I240" s="4" t="s">
        <v>1148</v>
      </c>
      <c r="J240" s="4" t="s">
        <v>635</v>
      </c>
      <c r="K240" s="4" t="s">
        <v>128</v>
      </c>
      <c r="M240" s="4" t="s">
        <v>1661</v>
      </c>
      <c r="N240" s="4">
        <v>30</v>
      </c>
      <c r="O240" s="4">
        <v>51.2</v>
      </c>
      <c r="P240" s="4">
        <v>1.1100000000000001</v>
      </c>
      <c r="R240" s="4">
        <v>18.8</v>
      </c>
      <c r="S240" s="4">
        <v>6.33</v>
      </c>
      <c r="T240" s="4">
        <v>1.65</v>
      </c>
      <c r="V240" s="4">
        <v>3.3</v>
      </c>
      <c r="W240" s="4">
        <v>3.18</v>
      </c>
      <c r="X240" s="4">
        <v>11.8</v>
      </c>
      <c r="Z240" s="4">
        <v>3.62</v>
      </c>
      <c r="AD240" s="4">
        <v>0.95</v>
      </c>
      <c r="AJ240" s="26">
        <f t="shared" si="462"/>
        <v>101.94000000000001</v>
      </c>
      <c r="AK240" s="26">
        <f t="shared" si="533"/>
        <v>50.331250671848316</v>
      </c>
      <c r="AL240" s="26">
        <f t="shared" si="534"/>
        <v>1.0911657860498367</v>
      </c>
      <c r="AM240" s="26">
        <f t="shared" si="535"/>
        <v>18.481006106069305</v>
      </c>
      <c r="AN240" s="26">
        <f t="shared" si="536"/>
        <v>6.2225940772031221</v>
      </c>
      <c r="AO240" s="26">
        <f t="shared" si="537"/>
        <v>1.6220031954794867</v>
      </c>
      <c r="AP240" s="26">
        <f t="shared" si="538"/>
        <v>3.2440063909589734</v>
      </c>
      <c r="AQ240" s="26">
        <f t="shared" si="539"/>
        <v>0</v>
      </c>
      <c r="AR240" s="26">
        <f t="shared" si="540"/>
        <v>3.1260425221968293</v>
      </c>
      <c r="AS240" s="26">
        <f t="shared" si="541"/>
        <v>11.599780428277542</v>
      </c>
      <c r="AT240" s="26">
        <f t="shared" si="542"/>
        <v>3.558576707658025</v>
      </c>
      <c r="AU240" s="26">
        <f t="shared" si="543"/>
        <v>0.93388062770031044</v>
      </c>
      <c r="AV240" s="26">
        <f t="shared" si="463"/>
        <v>100.21030651344174</v>
      </c>
      <c r="BB240" s="26">
        <v>0.33</v>
      </c>
      <c r="BC240" s="26">
        <f t="shared" si="544"/>
        <v>0.33000000000000007</v>
      </c>
      <c r="BD240" s="26">
        <f t="shared" si="545"/>
        <v>0.66999999999999993</v>
      </c>
      <c r="BG240" s="4">
        <v>1356.5675000000001</v>
      </c>
      <c r="BH240" s="4">
        <v>10.001112743448472</v>
      </c>
      <c r="BL240" s="26"/>
      <c r="BT240" s="44">
        <v>19874.665147039945</v>
      </c>
      <c r="CI240" s="44">
        <v>2147.8029367401768</v>
      </c>
      <c r="CJ240" s="44">
        <v>27.94932255755149</v>
      </c>
      <c r="CK240" s="44">
        <v>463.26319075168465</v>
      </c>
      <c r="CM240" s="44">
        <v>114.55560360625759</v>
      </c>
      <c r="CS240" s="44">
        <v>10747.978966397473</v>
      </c>
      <c r="CU240" s="44">
        <v>208.3143811762005</v>
      </c>
      <c r="CV240" s="44">
        <v>321.7394051197565</v>
      </c>
      <c r="CW240" s="44">
        <v>26.798791283117577</v>
      </c>
      <c r="CX240" s="44">
        <v>178.73156000714624</v>
      </c>
      <c r="CZ240" s="44">
        <v>15.46493692569541</v>
      </c>
      <c r="DA240" s="44">
        <v>28.905210227072153</v>
      </c>
      <c r="DB240" s="45">
        <v>4.7120637861394359</v>
      </c>
      <c r="DC240" s="45">
        <v>3.164987211109604</v>
      </c>
      <c r="DD240" s="45">
        <v>9.6461643094498601</v>
      </c>
      <c r="DE240" s="45"/>
      <c r="DF240" s="45">
        <v>5.335141757308425</v>
      </c>
      <c r="DG240" s="45"/>
      <c r="DH240" s="45">
        <v>12.934871133511411</v>
      </c>
      <c r="DI240" s="45">
        <v>1.5629365464595462</v>
      </c>
      <c r="DJ240" s="45"/>
      <c r="DK240" s="45">
        <v>80.483003050594803</v>
      </c>
      <c r="DL240" s="45">
        <v>13.82862670687601</v>
      </c>
      <c r="DM240" s="45">
        <v>3.7576892424035511</v>
      </c>
      <c r="DN240" s="45">
        <v>2.2304756061332314</v>
      </c>
      <c r="DO240" s="45"/>
      <c r="DQ240" s="4"/>
      <c r="DR240" s="4"/>
      <c r="DS240" s="4"/>
      <c r="DT240" s="4"/>
      <c r="DU240" s="4"/>
      <c r="DV240" s="4"/>
      <c r="DW240" s="4"/>
      <c r="DX240" s="4"/>
      <c r="DY240" s="4"/>
      <c r="DZ240" s="4"/>
      <c r="EA240" s="4"/>
      <c r="EB240" s="4"/>
      <c r="EC240" s="4"/>
      <c r="ED240" s="4"/>
      <c r="EE240" s="4"/>
      <c r="EF240" s="4"/>
      <c r="EG240" s="4"/>
      <c r="EH240" s="4"/>
      <c r="EI240" s="4"/>
      <c r="EJ240" s="4"/>
      <c r="EL240" s="18">
        <f>IFERROR(CR240/'McDonough &amp; Sun 1995 values'!C$2,)</f>
        <v>0</v>
      </c>
      <c r="EM240" s="18">
        <f>IFERROR(CH240/'McDonough &amp; Sun 1995 values'!D$2,)</f>
        <v>0</v>
      </c>
      <c r="EN240" s="18">
        <f>IFERROR(CS240/'McDonough &amp; Sun 1995 values'!E$2,)</f>
        <v>1628.4816615753748</v>
      </c>
      <c r="EO240" s="18">
        <f>IFERROR(DL240/'McDonough &amp; Sun 1995 values'!F$2,)</f>
        <v>173.9449900235976</v>
      </c>
      <c r="EP240" s="18">
        <f>IFERROR(DM240/'McDonough &amp; Sun 1995 values'!G$2,)</f>
        <v>185.10784445337691</v>
      </c>
      <c r="EQ240" s="18">
        <f>IFERROR(BR240/'McDonough &amp; Sun 1995 values'!H$2,)</f>
        <v>0</v>
      </c>
      <c r="ER240" s="18">
        <f>IFERROR(DI240/'McDonough &amp; Sun 1995 values'!I$2,)</f>
        <v>42.241528282690439</v>
      </c>
      <c r="ES240" s="18">
        <f>IFERROR(CM240/'McDonough &amp; Sun 1995 values'!J$2,)</f>
        <v>174.09666201558903</v>
      </c>
      <c r="ET240" s="18">
        <f>IFERROR(CU240/'McDonough &amp; Sun 1995 values'!K$2,)</f>
        <v>321.47281045709951</v>
      </c>
      <c r="EU240" s="18">
        <f>IFERROR(CV240/'McDonough &amp; Sun 1995 values'!L$2,)</f>
        <v>192.08322693716806</v>
      </c>
      <c r="EV240" s="18">
        <f>IFERROR(CW240/'McDonough &amp; Sun 1995 values'!M$2,)</f>
        <v>105.50705229573849</v>
      </c>
      <c r="EW240" s="18">
        <f>IFERROR(CI240/'McDonough &amp; Sun 1995 values'!N$2,)</f>
        <v>107.9297958160893</v>
      </c>
      <c r="EX240" s="18">
        <f>IFERROR(CX240/'McDonough &amp; Sun 1995 values'!O$2,)</f>
        <v>142.98524800571698</v>
      </c>
      <c r="EY240" s="18">
        <f>IFERROR(CY240/'McDonough &amp; Sun 1995 values'!P$2,)</f>
        <v>0</v>
      </c>
      <c r="EZ240" s="18">
        <f>IFERROR(DH240/'McDonough &amp; Sun 1995 values'!Q$2,)</f>
        <v>45.706258422301808</v>
      </c>
      <c r="FA240" s="18">
        <f>IFERROR(CK240/'McDonough &amp; Sun 1995 values'!R$2,)</f>
        <v>44.120303881112825</v>
      </c>
      <c r="FB240" s="18">
        <f>IFERROR(CZ240/'McDonough &amp; Sun 1995 values'!S$2,)</f>
        <v>100.42166834867149</v>
      </c>
      <c r="FC240" s="18">
        <f>IFERROR(BT240/'McDonough &amp; Sun 1995 values'!T$2,)</f>
        <v>16.493498047336054</v>
      </c>
      <c r="FD240" s="18">
        <f>IFERROR(DA240/'McDonough &amp; Sun 1995 values'!U$2,)</f>
        <v>53.134577623294398</v>
      </c>
      <c r="FE240" s="18">
        <f>IFERROR(DN240/'McDonough &amp; Sun 1995 values'!V$2,)</f>
        <v>22.530056627608396</v>
      </c>
      <c r="FF240" s="18">
        <f>IFERROR(DB240/'McDonough &amp; Sun 1995 values'!W$2,)</f>
        <v>6.9911925610377379</v>
      </c>
      <c r="FG240" s="18">
        <f>IFERROR(CJ240/'McDonough &amp; Sun 1995 values'!X$2,)</f>
        <v>6.4998424552445329</v>
      </c>
      <c r="FH240" s="18">
        <f>IFERROR(DC240/'McDonough &amp; Sun 1995 values'!Y$2,)</f>
        <v>21.241524906775865</v>
      </c>
      <c r="FI240" s="18">
        <f>IFERROR(DD240/'McDonough &amp; Sun 1995 values'!Z$2,)</f>
        <v>22.023206185958585</v>
      </c>
      <c r="FJ240" s="18">
        <f>IFERROR(DE240/'McDonough &amp; Sun 1995 values'!AA$2,)</f>
        <v>0</v>
      </c>
      <c r="FK240" s="18">
        <f>IFERROR(DF240/'McDonough &amp; Sun 1995 values'!AB$2,)</f>
        <v>12.097827114078061</v>
      </c>
      <c r="FL240" s="18">
        <f>IFERROR(DG240/'McDonough &amp; Sun 1995 values'!AC$2,)</f>
        <v>0</v>
      </c>
      <c r="FN240" s="28">
        <f t="shared" si="546"/>
        <v>0</v>
      </c>
      <c r="FO240" s="4">
        <f t="shared" si="547"/>
        <v>8.7974751496041552</v>
      </c>
      <c r="FP240" s="4">
        <f t="shared" si="548"/>
        <v>0.99912880585856467</v>
      </c>
      <c r="FQ240" s="4">
        <f t="shared" si="549"/>
        <v>0.93969540046915245</v>
      </c>
      <c r="FR240" s="4">
        <f t="shared" si="550"/>
        <v>1.8465190931019348</v>
      </c>
      <c r="FS240" s="4">
        <f t="shared" si="551"/>
        <v>7.6103498979896358</v>
      </c>
      <c r="FT240" s="4">
        <f t="shared" si="552"/>
        <v>0</v>
      </c>
      <c r="FU240" s="4">
        <f t="shared" si="553"/>
        <v>0.24263261451220719</v>
      </c>
      <c r="FV240" s="4">
        <f t="shared" si="554"/>
        <v>0</v>
      </c>
      <c r="FW240" s="4">
        <f t="shared" si="555"/>
        <v>0.9653011513973514</v>
      </c>
      <c r="FX240" s="4">
        <f t="shared" si="556"/>
        <v>3.7798989976217015</v>
      </c>
      <c r="FY240" s="4">
        <f t="shared" si="557"/>
        <v>0.87872907041162074</v>
      </c>
      <c r="FZ240" s="4">
        <f t="shared" si="558"/>
        <v>0</v>
      </c>
      <c r="GA240" s="4">
        <f t="shared" si="559"/>
        <v>1.0229628585732811</v>
      </c>
      <c r="GB240" s="4">
        <f t="shared" si="560"/>
        <v>0</v>
      </c>
      <c r="GC240" s="4">
        <f t="shared" si="561"/>
        <v>0</v>
      </c>
      <c r="GD240" s="4">
        <f t="shared" si="562"/>
        <v>9.362049814452563</v>
      </c>
      <c r="GE240" s="4">
        <f t="shared" si="563"/>
        <v>0</v>
      </c>
      <c r="GF240" s="4">
        <f t="shared" si="564"/>
        <v>0</v>
      </c>
      <c r="GG240" s="4">
        <f t="shared" si="565"/>
        <v>9.3538936515023856</v>
      </c>
      <c r="GH240" s="4">
        <f t="shared" si="566"/>
        <v>3.0469319676944862</v>
      </c>
      <c r="GI240" s="4">
        <f t="shared" si="567"/>
        <v>0</v>
      </c>
      <c r="GJ240" s="4">
        <f t="shared" si="568"/>
        <v>45.982542699321911</v>
      </c>
      <c r="GK240" s="4">
        <f t="shared" si="569"/>
        <v>26.572772732303836</v>
      </c>
      <c r="GL240" s="4">
        <f t="shared" si="570"/>
        <v>2.6750119201207845</v>
      </c>
      <c r="GM240" s="4">
        <f t="shared" si="571"/>
        <v>0</v>
      </c>
      <c r="GN240" s="4">
        <f t="shared" si="572"/>
        <v>0.54155952339497215</v>
      </c>
      <c r="GO240" s="4">
        <f t="shared" si="573"/>
        <v>0.94051477142795392</v>
      </c>
      <c r="GP240" s="4">
        <f t="shared" si="574"/>
        <v>0</v>
      </c>
      <c r="GQ240" s="27">
        <f t="shared" si="575"/>
        <v>96294.104599604369</v>
      </c>
      <c r="GR240" s="28" t="str">
        <f t="shared" si="576"/>
        <v/>
      </c>
      <c r="GS240" s="28" t="str">
        <f t="shared" si="577"/>
        <v/>
      </c>
      <c r="GT240" s="28" t="str">
        <f t="shared" si="578"/>
        <v/>
      </c>
      <c r="GU240" s="28" t="str">
        <f t="shared" si="579"/>
        <v/>
      </c>
      <c r="GV240" s="28" t="str">
        <f t="shared" si="580"/>
        <v/>
      </c>
      <c r="GW240" s="28" t="str">
        <f t="shared" si="581"/>
        <v/>
      </c>
      <c r="GX240" s="28" t="str">
        <f t="shared" si="582"/>
        <v/>
      </c>
      <c r="GY240" s="28" t="str">
        <f t="shared" si="583"/>
        <v/>
      </c>
      <c r="GZ240" s="28" t="str">
        <f t="shared" si="584"/>
        <v/>
      </c>
      <c r="HA240" s="28" t="str">
        <f t="shared" si="585"/>
        <v/>
      </c>
      <c r="HB240" s="28" t="str">
        <f t="shared" si="586"/>
        <v/>
      </c>
      <c r="HC240" s="28" t="str">
        <f t="shared" si="587"/>
        <v/>
      </c>
      <c r="HD240" s="28" t="str">
        <f t="shared" si="588"/>
        <v/>
      </c>
      <c r="HE240" s="28" t="str">
        <f t="shared" si="589"/>
        <v/>
      </c>
      <c r="HF240" s="28" t="str">
        <f t="shared" si="590"/>
        <v/>
      </c>
      <c r="HG240" s="28" t="str">
        <f t="shared" si="591"/>
        <v/>
      </c>
      <c r="HH240" s="28" t="str">
        <f t="shared" si="592"/>
        <v/>
      </c>
      <c r="HI240" s="28" t="str">
        <f t="shared" si="593"/>
        <v/>
      </c>
      <c r="HJ240" s="28" t="str">
        <f t="shared" si="594"/>
        <v/>
      </c>
      <c r="HK240" s="28" t="str">
        <f t="shared" si="595"/>
        <v/>
      </c>
      <c r="HL240" s="28" t="str">
        <f t="shared" si="596"/>
        <v/>
      </c>
      <c r="HM240" s="28" t="str">
        <f t="shared" si="597"/>
        <v/>
      </c>
      <c r="HN240" s="28" t="str">
        <f t="shared" si="598"/>
        <v/>
      </c>
      <c r="HO240" s="28" t="str">
        <f t="shared" si="599"/>
        <v/>
      </c>
      <c r="HP240" s="28" t="str">
        <f t="shared" si="600"/>
        <v/>
      </c>
      <c r="HQ240" s="28" t="str">
        <f t="shared" si="601"/>
        <v/>
      </c>
      <c r="HR240" s="28" t="str">
        <f t="shared" si="602"/>
        <v/>
      </c>
      <c r="HT240" s="4">
        <f>IFERROR(GR240/'McDonough &amp; Sun 1995 values'!C$2,)</f>
        <v>0</v>
      </c>
      <c r="HU240" s="4">
        <f>IFERROR(GS240/'McDonough &amp; Sun 1995 values'!D$2,)</f>
        <v>0</v>
      </c>
      <c r="HV240" s="4">
        <f>IFERROR(GT240/'McDonough &amp; Sun 1995 values'!E$2,)</f>
        <v>0</v>
      </c>
      <c r="HW240" s="4">
        <f>IFERROR(GU240/'McDonough &amp; Sun 1995 values'!F$2,)</f>
        <v>0</v>
      </c>
      <c r="HX240" s="4">
        <f>IFERROR(GV240/'McDonough &amp; Sun 1995 values'!G$2,)</f>
        <v>0</v>
      </c>
      <c r="HY240" s="4">
        <f>IFERROR(GW240/'McDonough &amp; Sun 1995 values'!H$2,)</f>
        <v>0</v>
      </c>
      <c r="HZ240" s="4">
        <f>IFERROR(GX240/'McDonough &amp; Sun 1995 values'!I$2,)</f>
        <v>0</v>
      </c>
      <c r="IA240" s="4">
        <f>IFERROR(GY240/'McDonough &amp; Sun 1995 values'!J$2,)</f>
        <v>0</v>
      </c>
      <c r="IB240" s="4">
        <f>IFERROR(GZ240/'McDonough &amp; Sun 1995 values'!K$2,)</f>
        <v>0</v>
      </c>
      <c r="IC240" s="4">
        <f>IFERROR(HA240/'McDonough &amp; Sun 1995 values'!L$2,)</f>
        <v>0</v>
      </c>
      <c r="ID240" s="4">
        <f>IFERROR(HB240/'McDonough &amp; Sun 1995 values'!M$2,)</f>
        <v>0</v>
      </c>
      <c r="IE240" s="4">
        <f>IFERROR(HC240/'McDonough &amp; Sun 1995 values'!N$2,)</f>
        <v>0</v>
      </c>
      <c r="IF240" s="4">
        <f>IFERROR(HD240/'McDonough &amp; Sun 1995 values'!O$2,)</f>
        <v>0</v>
      </c>
      <c r="IG240" s="4">
        <f>IFERROR(HE240/'McDonough &amp; Sun 1995 values'!P$2,)</f>
        <v>0</v>
      </c>
      <c r="IH240" s="4">
        <f>IFERROR(HF240/'McDonough &amp; Sun 1995 values'!Q$2,)</f>
        <v>0</v>
      </c>
      <c r="II240" s="4">
        <f>IFERROR(HG240/'McDonough &amp; Sun 1995 values'!R$2,)</f>
        <v>0</v>
      </c>
      <c r="IJ240" s="4">
        <f>IFERROR(HH240/'McDonough &amp; Sun 1995 values'!S$2,)</f>
        <v>0</v>
      </c>
      <c r="IK240" s="4">
        <f>IFERROR(HI240/'McDonough &amp; Sun 1995 values'!T$2,)</f>
        <v>0</v>
      </c>
      <c r="IL240" s="4">
        <f>IFERROR(HJ240/'McDonough &amp; Sun 1995 values'!U$2,)</f>
        <v>0</v>
      </c>
      <c r="IM240" s="4">
        <f>IFERROR(HK240/'McDonough &amp; Sun 1995 values'!V$2,)</f>
        <v>0</v>
      </c>
      <c r="IN240" s="4">
        <f>IFERROR(HL240/'McDonough &amp; Sun 1995 values'!W$2,)</f>
        <v>0</v>
      </c>
      <c r="IO240" s="4">
        <f>IFERROR(HM240/'McDonough &amp; Sun 1995 values'!X$2,)</f>
        <v>0</v>
      </c>
      <c r="IP240" s="4">
        <f>IFERROR(HN240/'McDonough &amp; Sun 1995 values'!Y$2,)</f>
        <v>0</v>
      </c>
      <c r="IQ240" s="4">
        <f>IFERROR(HO240/'McDonough &amp; Sun 1995 values'!Z$2,)</f>
        <v>0</v>
      </c>
      <c r="IR240" s="4">
        <f>IFERROR(HP240/'McDonough &amp; Sun 1995 values'!AA$2,)</f>
        <v>0</v>
      </c>
      <c r="IS240" s="4">
        <f>IFERROR(HQ240/'McDonough &amp; Sun 1995 values'!AB$2,)</f>
        <v>0</v>
      </c>
      <c r="IT240" s="4">
        <f>IFERROR(HR240/'McDonough &amp; Sun 1995 values'!AC$2,)</f>
        <v>0</v>
      </c>
    </row>
    <row r="241" spans="1:254">
      <c r="A241" s="16" t="s">
        <v>1656</v>
      </c>
      <c r="B241" s="4" t="s">
        <v>24</v>
      </c>
      <c r="C241" s="16" t="str">
        <f t="shared" si="461"/>
        <v>silicic</v>
      </c>
      <c r="D241" s="4" t="s">
        <v>1724</v>
      </c>
      <c r="E241" s="4" t="s">
        <v>237</v>
      </c>
      <c r="F241" s="4" t="s">
        <v>849</v>
      </c>
      <c r="G241" s="4" t="s">
        <v>595</v>
      </c>
      <c r="H241" s="49">
        <v>364</v>
      </c>
      <c r="I241" s="4" t="s">
        <v>1148</v>
      </c>
      <c r="J241" s="4" t="s">
        <v>635</v>
      </c>
      <c r="K241" s="4" t="s">
        <v>128</v>
      </c>
      <c r="M241" s="4" t="s">
        <v>1663</v>
      </c>
      <c r="N241" s="4">
        <v>32</v>
      </c>
      <c r="O241" s="4">
        <v>42.9</v>
      </c>
      <c r="P241" s="4">
        <v>1.57</v>
      </c>
      <c r="R241" s="4">
        <v>10.5</v>
      </c>
      <c r="S241" s="4">
        <v>7.71</v>
      </c>
      <c r="T241" s="4">
        <v>3.25</v>
      </c>
      <c r="V241" s="4">
        <v>5.58</v>
      </c>
      <c r="W241" s="4">
        <v>2.82</v>
      </c>
      <c r="X241" s="4">
        <v>21.8</v>
      </c>
      <c r="Z241" s="4">
        <v>3.31</v>
      </c>
      <c r="AD241" s="4">
        <v>0.54</v>
      </c>
      <c r="AJ241" s="26">
        <f t="shared" si="462"/>
        <v>99.98</v>
      </c>
      <c r="AK241" s="26">
        <f t="shared" si="533"/>
        <v>42.960881336497074</v>
      </c>
      <c r="AL241" s="26">
        <f t="shared" si="534"/>
        <v>1.5722280582354409</v>
      </c>
      <c r="AM241" s="26">
        <f t="shared" si="535"/>
        <v>10.51490102641537</v>
      </c>
      <c r="AN241" s="26">
        <f t="shared" si="536"/>
        <v>7.7209416108249993</v>
      </c>
      <c r="AO241" s="26">
        <f t="shared" si="537"/>
        <v>3.2546122224619003</v>
      </c>
      <c r="AP241" s="26">
        <f t="shared" si="538"/>
        <v>5.5879188311807395</v>
      </c>
      <c r="AQ241" s="26">
        <f t="shared" si="539"/>
        <v>0</v>
      </c>
      <c r="AR241" s="26">
        <f t="shared" si="540"/>
        <v>2.8240019899515563</v>
      </c>
      <c r="AS241" s="26">
        <f t="shared" si="541"/>
        <v>21.830937369129053</v>
      </c>
      <c r="AT241" s="26">
        <f t="shared" si="542"/>
        <v>3.3146973711842738</v>
      </c>
      <c r="AU241" s="26">
        <f t="shared" si="543"/>
        <v>0.5407663385013618</v>
      </c>
      <c r="AV241" s="26">
        <f t="shared" si="463"/>
        <v>100.12188615438177</v>
      </c>
      <c r="BB241" s="26">
        <v>0.32</v>
      </c>
      <c r="BC241" s="26">
        <f t="shared" si="544"/>
        <v>0.32000000000000006</v>
      </c>
      <c r="BD241" s="26">
        <f t="shared" si="545"/>
        <v>0.67999999999999994</v>
      </c>
      <c r="BE241" s="4">
        <v>-5.0179285538144809</v>
      </c>
      <c r="BG241" s="4">
        <v>1148.6179999999999</v>
      </c>
      <c r="BH241" s="4">
        <v>12.826858576876615</v>
      </c>
      <c r="BL241" s="26"/>
      <c r="DB241" s="45"/>
      <c r="DC241" s="45"/>
      <c r="DD241" s="45"/>
      <c r="DE241" s="45"/>
      <c r="DF241" s="45"/>
      <c r="DG241" s="45"/>
      <c r="DH241" s="45"/>
      <c r="DI241" s="45"/>
      <c r="DJ241" s="45"/>
      <c r="DK241" s="45"/>
      <c r="DL241" s="45"/>
      <c r="DM241" s="45"/>
      <c r="DN241" s="45"/>
      <c r="DO241" s="45"/>
      <c r="DQ241" s="4"/>
      <c r="DR241" s="4"/>
      <c r="DS241" s="4"/>
      <c r="DT241" s="4"/>
      <c r="DU241" s="4"/>
      <c r="DV241" s="4"/>
      <c r="DW241" s="4"/>
      <c r="DX241" s="4"/>
      <c r="DY241" s="4"/>
      <c r="DZ241" s="4"/>
      <c r="EA241" s="4"/>
      <c r="EB241" s="4"/>
      <c r="EC241" s="4"/>
      <c r="ED241" s="4"/>
      <c r="EE241" s="4"/>
      <c r="EF241" s="4"/>
      <c r="EG241" s="4"/>
      <c r="EH241" s="4"/>
      <c r="EI241" s="4"/>
      <c r="EJ241" s="4"/>
      <c r="EL241" s="18">
        <f>IFERROR(CR241/'McDonough &amp; Sun 1995 values'!C$2,)</f>
        <v>0</v>
      </c>
      <c r="EM241" s="18">
        <f>IFERROR(CH241/'McDonough &amp; Sun 1995 values'!D$2,)</f>
        <v>0</v>
      </c>
      <c r="EN241" s="18">
        <f>IFERROR(CS241/'McDonough &amp; Sun 1995 values'!E$2,)</f>
        <v>0</v>
      </c>
      <c r="EO241" s="18">
        <f>IFERROR(DL241/'McDonough &amp; Sun 1995 values'!F$2,)</f>
        <v>0</v>
      </c>
      <c r="EP241" s="18">
        <f>IFERROR(DM241/'McDonough &amp; Sun 1995 values'!G$2,)</f>
        <v>0</v>
      </c>
      <c r="EQ241" s="18">
        <f>IFERROR(BR241/'McDonough &amp; Sun 1995 values'!H$2,)</f>
        <v>0</v>
      </c>
      <c r="ER241" s="18">
        <f>IFERROR(DI241/'McDonough &amp; Sun 1995 values'!I$2,)</f>
        <v>0</v>
      </c>
      <c r="ES241" s="18">
        <f>IFERROR(CM241/'McDonough &amp; Sun 1995 values'!J$2,)</f>
        <v>0</v>
      </c>
      <c r="ET241" s="18">
        <f>IFERROR(CU241/'McDonough &amp; Sun 1995 values'!K$2,)</f>
        <v>0</v>
      </c>
      <c r="EU241" s="18">
        <f>IFERROR(CV241/'McDonough &amp; Sun 1995 values'!L$2,)</f>
        <v>0</v>
      </c>
      <c r="EV241" s="18">
        <f>IFERROR(CW241/'McDonough &amp; Sun 1995 values'!M$2,)</f>
        <v>0</v>
      </c>
      <c r="EW241" s="18">
        <f>IFERROR(CI241/'McDonough &amp; Sun 1995 values'!N$2,)</f>
        <v>0</v>
      </c>
      <c r="EX241" s="18">
        <f>IFERROR(CX241/'McDonough &amp; Sun 1995 values'!O$2,)</f>
        <v>0</v>
      </c>
      <c r="EY241" s="18">
        <f>IFERROR(CY241/'McDonough &amp; Sun 1995 values'!P$2,)</f>
        <v>0</v>
      </c>
      <c r="EZ241" s="18">
        <f>IFERROR(DH241/'McDonough &amp; Sun 1995 values'!Q$2,)</f>
        <v>0</v>
      </c>
      <c r="FA241" s="18">
        <f>IFERROR(CK241/'McDonough &amp; Sun 1995 values'!R$2,)</f>
        <v>0</v>
      </c>
      <c r="FB241" s="18">
        <f>IFERROR(CZ241/'McDonough &amp; Sun 1995 values'!S$2,)</f>
        <v>0</v>
      </c>
      <c r="FC241" s="18">
        <f>IFERROR(BT241/'McDonough &amp; Sun 1995 values'!T$2,)</f>
        <v>0</v>
      </c>
      <c r="FD241" s="18">
        <f>IFERROR(DA241/'McDonough &amp; Sun 1995 values'!U$2,)</f>
        <v>0</v>
      </c>
      <c r="FE241" s="18">
        <f>IFERROR(DN241/'McDonough &amp; Sun 1995 values'!V$2,)</f>
        <v>0</v>
      </c>
      <c r="FF241" s="18">
        <f>IFERROR(DB241/'McDonough &amp; Sun 1995 values'!W$2,)</f>
        <v>0</v>
      </c>
      <c r="FG241" s="18">
        <f>IFERROR(CJ241/'McDonough &amp; Sun 1995 values'!X$2,)</f>
        <v>0</v>
      </c>
      <c r="FH241" s="18">
        <f>IFERROR(DC241/'McDonough &amp; Sun 1995 values'!Y$2,)</f>
        <v>0</v>
      </c>
      <c r="FI241" s="18">
        <f>IFERROR(DD241/'McDonough &amp; Sun 1995 values'!Z$2,)</f>
        <v>0</v>
      </c>
      <c r="FJ241" s="18">
        <f>IFERROR(DE241/'McDonough &amp; Sun 1995 values'!AA$2,)</f>
        <v>0</v>
      </c>
      <c r="FK241" s="18">
        <f>IFERROR(DF241/'McDonough &amp; Sun 1995 values'!AB$2,)</f>
        <v>0</v>
      </c>
      <c r="FL241" s="18">
        <f>IFERROR(DG241/'McDonough &amp; Sun 1995 values'!AC$2,)</f>
        <v>0</v>
      </c>
      <c r="FN241" s="28">
        <f t="shared" si="546"/>
        <v>0</v>
      </c>
      <c r="FO241" s="4">
        <f t="shared" si="547"/>
        <v>0</v>
      </c>
      <c r="FP241" s="4">
        <f t="shared" si="548"/>
        <v>0</v>
      </c>
      <c r="FQ241" s="4">
        <f t="shared" si="549"/>
        <v>0</v>
      </c>
      <c r="FR241" s="4">
        <f t="shared" si="550"/>
        <v>0</v>
      </c>
      <c r="FS241" s="4">
        <f t="shared" si="551"/>
        <v>0</v>
      </c>
      <c r="FT241" s="4">
        <f t="shared" si="552"/>
        <v>0</v>
      </c>
      <c r="FU241" s="4">
        <f t="shared" si="553"/>
        <v>0</v>
      </c>
      <c r="FV241" s="4">
        <f t="shared" si="554"/>
        <v>0</v>
      </c>
      <c r="FW241" s="4">
        <f t="shared" si="555"/>
        <v>0</v>
      </c>
      <c r="FX241" s="4">
        <f t="shared" si="556"/>
        <v>0</v>
      </c>
      <c r="FY241" s="4">
        <f t="shared" si="557"/>
        <v>0</v>
      </c>
      <c r="FZ241" s="4">
        <f t="shared" si="558"/>
        <v>0</v>
      </c>
      <c r="GA241" s="4">
        <f t="shared" si="559"/>
        <v>0</v>
      </c>
      <c r="GB241" s="4">
        <f t="shared" si="560"/>
        <v>0</v>
      </c>
      <c r="GC241" s="4">
        <f t="shared" si="561"/>
        <v>0</v>
      </c>
      <c r="GD241" s="4">
        <f t="shared" si="562"/>
        <v>0</v>
      </c>
      <c r="GE241" s="4">
        <f t="shared" si="563"/>
        <v>0</v>
      </c>
      <c r="GF241" s="4">
        <f t="shared" si="564"/>
        <v>0</v>
      </c>
      <c r="GG241" s="4">
        <f t="shared" si="565"/>
        <v>0</v>
      </c>
      <c r="GH241" s="4">
        <f t="shared" si="566"/>
        <v>0</v>
      </c>
      <c r="GI241" s="4">
        <f t="shared" si="567"/>
        <v>0</v>
      </c>
      <c r="GJ241" s="4">
        <f t="shared" si="568"/>
        <v>0</v>
      </c>
      <c r="GK241" s="4">
        <f t="shared" si="569"/>
        <v>0</v>
      </c>
      <c r="GL241" s="4">
        <f t="shared" si="570"/>
        <v>0</v>
      </c>
      <c r="GM241" s="4">
        <f t="shared" si="571"/>
        <v>0</v>
      </c>
      <c r="GN241" s="4">
        <f t="shared" si="572"/>
        <v>0</v>
      </c>
      <c r="GO241" s="4">
        <f t="shared" si="573"/>
        <v>0</v>
      </c>
      <c r="GP241" s="4">
        <f t="shared" si="574"/>
        <v>0</v>
      </c>
      <c r="GQ241" s="27">
        <f t="shared" si="575"/>
        <v>181226.75506905955</v>
      </c>
      <c r="GR241" s="28" t="str">
        <f t="shared" si="576"/>
        <v/>
      </c>
      <c r="GS241" s="28" t="str">
        <f t="shared" si="577"/>
        <v/>
      </c>
      <c r="GT241" s="28" t="str">
        <f t="shared" si="578"/>
        <v/>
      </c>
      <c r="GU241" s="28" t="str">
        <f t="shared" si="579"/>
        <v/>
      </c>
      <c r="GV241" s="28" t="str">
        <f t="shared" si="580"/>
        <v/>
      </c>
      <c r="GW241" s="28" t="str">
        <f t="shared" si="581"/>
        <v/>
      </c>
      <c r="GX241" s="28" t="str">
        <f t="shared" si="582"/>
        <v/>
      </c>
      <c r="GY241" s="28" t="str">
        <f t="shared" si="583"/>
        <v/>
      </c>
      <c r="GZ241" s="28" t="str">
        <f t="shared" si="584"/>
        <v/>
      </c>
      <c r="HA241" s="28" t="str">
        <f t="shared" si="585"/>
        <v/>
      </c>
      <c r="HB241" s="28" t="str">
        <f t="shared" si="586"/>
        <v/>
      </c>
      <c r="HC241" s="28" t="str">
        <f t="shared" si="587"/>
        <v/>
      </c>
      <c r="HD241" s="28" t="str">
        <f t="shared" si="588"/>
        <v/>
      </c>
      <c r="HE241" s="28" t="str">
        <f t="shared" si="589"/>
        <v/>
      </c>
      <c r="HF241" s="28" t="str">
        <f t="shared" si="590"/>
        <v/>
      </c>
      <c r="HG241" s="28" t="str">
        <f t="shared" si="591"/>
        <v/>
      </c>
      <c r="HH241" s="28" t="str">
        <f t="shared" si="592"/>
        <v/>
      </c>
      <c r="HI241" s="28" t="str">
        <f t="shared" si="593"/>
        <v/>
      </c>
      <c r="HJ241" s="28" t="str">
        <f t="shared" si="594"/>
        <v/>
      </c>
      <c r="HK241" s="28" t="str">
        <f t="shared" si="595"/>
        <v/>
      </c>
      <c r="HL241" s="28" t="str">
        <f t="shared" si="596"/>
        <v/>
      </c>
      <c r="HM241" s="28" t="str">
        <f t="shared" si="597"/>
        <v/>
      </c>
      <c r="HN241" s="28" t="str">
        <f t="shared" si="598"/>
        <v/>
      </c>
      <c r="HO241" s="28" t="str">
        <f t="shared" si="599"/>
        <v/>
      </c>
      <c r="HP241" s="28" t="str">
        <f t="shared" si="600"/>
        <v/>
      </c>
      <c r="HQ241" s="28" t="str">
        <f t="shared" si="601"/>
        <v/>
      </c>
      <c r="HR241" s="28" t="str">
        <f t="shared" si="602"/>
        <v/>
      </c>
      <c r="HT241" s="4">
        <f>IFERROR(GR241/'McDonough &amp; Sun 1995 values'!C$2,)</f>
        <v>0</v>
      </c>
      <c r="HU241" s="4">
        <f>IFERROR(GS241/'McDonough &amp; Sun 1995 values'!D$2,)</f>
        <v>0</v>
      </c>
      <c r="HV241" s="4">
        <f>IFERROR(GT241/'McDonough &amp; Sun 1995 values'!E$2,)</f>
        <v>0</v>
      </c>
      <c r="HW241" s="4">
        <f>IFERROR(GU241/'McDonough &amp; Sun 1995 values'!F$2,)</f>
        <v>0</v>
      </c>
      <c r="HX241" s="4">
        <f>IFERROR(GV241/'McDonough &amp; Sun 1995 values'!G$2,)</f>
        <v>0</v>
      </c>
      <c r="HY241" s="4">
        <f>IFERROR(GW241/'McDonough &amp; Sun 1995 values'!H$2,)</f>
        <v>0</v>
      </c>
      <c r="HZ241" s="4">
        <f>IFERROR(GX241/'McDonough &amp; Sun 1995 values'!I$2,)</f>
        <v>0</v>
      </c>
      <c r="IA241" s="4">
        <f>IFERROR(GY241/'McDonough &amp; Sun 1995 values'!J$2,)</f>
        <v>0</v>
      </c>
      <c r="IB241" s="4">
        <f>IFERROR(GZ241/'McDonough &amp; Sun 1995 values'!K$2,)</f>
        <v>0</v>
      </c>
      <c r="IC241" s="4">
        <f>IFERROR(HA241/'McDonough &amp; Sun 1995 values'!L$2,)</f>
        <v>0</v>
      </c>
      <c r="ID241" s="4">
        <f>IFERROR(HB241/'McDonough &amp; Sun 1995 values'!M$2,)</f>
        <v>0</v>
      </c>
      <c r="IE241" s="4">
        <f>IFERROR(HC241/'McDonough &amp; Sun 1995 values'!N$2,)</f>
        <v>0</v>
      </c>
      <c r="IF241" s="4">
        <f>IFERROR(HD241/'McDonough &amp; Sun 1995 values'!O$2,)</f>
        <v>0</v>
      </c>
      <c r="IG241" s="4">
        <f>IFERROR(HE241/'McDonough &amp; Sun 1995 values'!P$2,)</f>
        <v>0</v>
      </c>
      <c r="IH241" s="4">
        <f>IFERROR(HF241/'McDonough &amp; Sun 1995 values'!Q$2,)</f>
        <v>0</v>
      </c>
      <c r="II241" s="4">
        <f>IFERROR(HG241/'McDonough &amp; Sun 1995 values'!R$2,)</f>
        <v>0</v>
      </c>
      <c r="IJ241" s="4">
        <f>IFERROR(HH241/'McDonough &amp; Sun 1995 values'!S$2,)</f>
        <v>0</v>
      </c>
      <c r="IK241" s="4">
        <f>IFERROR(HI241/'McDonough &amp; Sun 1995 values'!T$2,)</f>
        <v>0</v>
      </c>
      <c r="IL241" s="4">
        <f>IFERROR(HJ241/'McDonough &amp; Sun 1995 values'!U$2,)</f>
        <v>0</v>
      </c>
      <c r="IM241" s="4">
        <f>IFERROR(HK241/'McDonough &amp; Sun 1995 values'!V$2,)</f>
        <v>0</v>
      </c>
      <c r="IN241" s="4">
        <f>IFERROR(HL241/'McDonough &amp; Sun 1995 values'!W$2,)</f>
        <v>0</v>
      </c>
      <c r="IO241" s="4">
        <f>IFERROR(HM241/'McDonough &amp; Sun 1995 values'!X$2,)</f>
        <v>0</v>
      </c>
      <c r="IP241" s="4">
        <f>IFERROR(HN241/'McDonough &amp; Sun 1995 values'!Y$2,)</f>
        <v>0</v>
      </c>
      <c r="IQ241" s="4">
        <f>IFERROR(HO241/'McDonough &amp; Sun 1995 values'!Z$2,)</f>
        <v>0</v>
      </c>
      <c r="IR241" s="4">
        <f>IFERROR(HP241/'McDonough &amp; Sun 1995 values'!AA$2,)</f>
        <v>0</v>
      </c>
      <c r="IS241" s="4">
        <f>IFERROR(HQ241/'McDonough &amp; Sun 1995 values'!AB$2,)</f>
        <v>0</v>
      </c>
      <c r="IT241" s="4">
        <f>IFERROR(HR241/'McDonough &amp; Sun 1995 values'!AC$2,)</f>
        <v>0</v>
      </c>
    </row>
    <row r="242" spans="1:254">
      <c r="A242" s="16" t="s">
        <v>1656</v>
      </c>
      <c r="B242" s="4" t="s">
        <v>24</v>
      </c>
      <c r="C242" s="16" t="str">
        <f t="shared" si="461"/>
        <v>silicic</v>
      </c>
      <c r="D242" s="4" t="s">
        <v>1724</v>
      </c>
      <c r="E242" s="4" t="s">
        <v>237</v>
      </c>
      <c r="F242" s="4" t="s">
        <v>849</v>
      </c>
      <c r="G242" s="4" t="s">
        <v>595</v>
      </c>
      <c r="H242" s="49">
        <v>364</v>
      </c>
      <c r="I242" s="4" t="s">
        <v>1148</v>
      </c>
      <c r="J242" s="4" t="s">
        <v>635</v>
      </c>
      <c r="K242" s="4" t="s">
        <v>128</v>
      </c>
      <c r="M242" s="4" t="s">
        <v>1664</v>
      </c>
      <c r="N242" s="4">
        <v>39</v>
      </c>
      <c r="O242" s="4">
        <v>42.1</v>
      </c>
      <c r="P242" s="4">
        <v>1.83</v>
      </c>
      <c r="R242" s="4">
        <v>9.93</v>
      </c>
      <c r="S242" s="4">
        <v>6.34</v>
      </c>
      <c r="T242" s="4">
        <v>3.97</v>
      </c>
      <c r="V242" s="4">
        <v>0.87</v>
      </c>
      <c r="W242" s="4">
        <v>3.37</v>
      </c>
      <c r="X242" s="4">
        <v>19.100000000000001</v>
      </c>
      <c r="Z242" s="4">
        <v>7</v>
      </c>
      <c r="AB242" s="4">
        <v>3.75</v>
      </c>
      <c r="AD242" s="4">
        <v>1.63</v>
      </c>
      <c r="AJ242" s="26">
        <f t="shared" si="462"/>
        <v>99.890000000000015</v>
      </c>
      <c r="AK242" s="26">
        <f t="shared" si="533"/>
        <v>42.301563750422261</v>
      </c>
      <c r="AL242" s="26">
        <f t="shared" si="534"/>
        <v>1.8387615596976896</v>
      </c>
      <c r="AM242" s="26">
        <f t="shared" si="535"/>
        <v>9.9775422337694284</v>
      </c>
      <c r="AN242" s="26">
        <f t="shared" si="536"/>
        <v>6.3703542560018311</v>
      </c>
      <c r="AO242" s="26">
        <f t="shared" si="537"/>
        <v>3.989007318032693</v>
      </c>
      <c r="AP242" s="26">
        <f t="shared" si="538"/>
        <v>0.87416533165955723</v>
      </c>
      <c r="AQ242" s="26">
        <f t="shared" si="539"/>
        <v>3.7679540157739542</v>
      </c>
      <c r="AR242" s="26">
        <f t="shared" si="540"/>
        <v>3.3861346755088602</v>
      </c>
      <c r="AS242" s="26">
        <f t="shared" si="541"/>
        <v>19.191445787008675</v>
      </c>
      <c r="AT242" s="26">
        <f t="shared" si="542"/>
        <v>7.0335141627780473</v>
      </c>
      <c r="AU242" s="26">
        <f t="shared" si="543"/>
        <v>1.6378040121897453</v>
      </c>
      <c r="AV242" s="26">
        <f t="shared" si="463"/>
        <v>100.36824710284273</v>
      </c>
      <c r="BB242" s="26">
        <v>0.45</v>
      </c>
      <c r="BC242" s="26">
        <f t="shared" si="544"/>
        <v>0.44999999999999996</v>
      </c>
      <c r="BD242" s="26">
        <f t="shared" si="545"/>
        <v>0.55000000000000004</v>
      </c>
      <c r="BG242" s="4">
        <v>1499.2783333333332</v>
      </c>
      <c r="BH242" s="4">
        <v>16.372453242403523</v>
      </c>
      <c r="BL242" s="26"/>
      <c r="BT242" s="44">
        <v>13332.795546118739</v>
      </c>
      <c r="CI242" s="44">
        <v>1383.8494724436664</v>
      </c>
      <c r="CJ242" s="44">
        <v>32.095392600658236</v>
      </c>
      <c r="CK242" s="44">
        <v>1273.0955816634005</v>
      </c>
      <c r="CM242" s="44">
        <v>270.89250672451141</v>
      </c>
      <c r="CS242" s="44">
        <v>34803.327861938946</v>
      </c>
      <c r="CU242" s="44">
        <v>483.96296023430239</v>
      </c>
      <c r="CV242" s="44">
        <v>479.54616451013698</v>
      </c>
      <c r="CW242" s="44">
        <v>34.263886610360601</v>
      </c>
      <c r="CX242" s="44">
        <v>150.47820554141035</v>
      </c>
      <c r="CY242" s="44">
        <v>32.105783196042708</v>
      </c>
      <c r="CZ242" s="44">
        <v>11.56105638081265</v>
      </c>
      <c r="DA242" s="44">
        <v>22.289622838347594</v>
      </c>
      <c r="DB242" s="45">
        <v>8.7869378924982797</v>
      </c>
      <c r="DC242" s="45">
        <v>4.3065634671119604</v>
      </c>
      <c r="DD242" s="45">
        <v>4.4234158258804666</v>
      </c>
      <c r="DE242" s="45"/>
      <c r="DF242" s="45">
        <v>2.4382026110852819</v>
      </c>
      <c r="DG242" s="45">
        <v>0.83887508171367398</v>
      </c>
      <c r="DH242" s="45">
        <v>27.566739856736273</v>
      </c>
      <c r="DI242" s="45">
        <v>9.5572216081845163</v>
      </c>
      <c r="DJ242" s="45"/>
      <c r="DK242" s="45">
        <v>220.02639648993451</v>
      </c>
      <c r="DL242" s="45">
        <v>23.568819305013669</v>
      </c>
      <c r="DM242" s="45">
        <v>7.5671154853342992</v>
      </c>
      <c r="DN242" s="45">
        <v>1.6368205507712499</v>
      </c>
      <c r="DO242" s="45"/>
      <c r="DQ242" s="4"/>
      <c r="DR242" s="4"/>
      <c r="DS242" s="4"/>
      <c r="DT242" s="4"/>
      <c r="DU242" s="4"/>
      <c r="DV242" s="4"/>
      <c r="DW242" s="4"/>
      <c r="DX242" s="4"/>
      <c r="DY242" s="4"/>
      <c r="DZ242" s="4"/>
      <c r="EA242" s="4"/>
      <c r="EB242" s="4"/>
      <c r="EC242" s="4"/>
      <c r="ED242" s="4"/>
      <c r="EE242" s="4"/>
      <c r="EF242" s="4"/>
      <c r="EG242" s="4"/>
      <c r="EH242" s="4"/>
      <c r="EI242" s="4"/>
      <c r="EJ242" s="4"/>
      <c r="EL242" s="18">
        <f>IFERROR(CR242/'McDonough &amp; Sun 1995 values'!C$2,)</f>
        <v>0</v>
      </c>
      <c r="EM242" s="18">
        <f>IFERROR(CH242/'McDonough &amp; Sun 1995 values'!D$2,)</f>
        <v>0</v>
      </c>
      <c r="EN242" s="18">
        <f>IFERROR(CS242/'McDonough &amp; Sun 1995 values'!E$2,)</f>
        <v>5273.2314942331741</v>
      </c>
      <c r="EO242" s="18">
        <f>IFERROR(DL242/'McDonough &amp; Sun 1995 values'!F$2,)</f>
        <v>296.46313591212163</v>
      </c>
      <c r="EP242" s="18">
        <f>IFERROR(DM242/'McDonough &amp; Sun 1995 values'!G$2,)</f>
        <v>372.7643096223793</v>
      </c>
      <c r="EQ242" s="18">
        <f>IFERROR(BR242/'McDonough &amp; Sun 1995 values'!H$2,)</f>
        <v>0</v>
      </c>
      <c r="ER242" s="18">
        <f>IFERROR(DI242/'McDonough &amp; Sun 1995 values'!I$2,)</f>
        <v>258.30328670768967</v>
      </c>
      <c r="ES242" s="18">
        <f>IFERROR(CM242/'McDonough &amp; Sun 1995 values'!J$2,)</f>
        <v>411.69073970290486</v>
      </c>
      <c r="ET242" s="18">
        <f>IFERROR(CU242/'McDonough &amp; Sun 1995 values'!K$2,)</f>
        <v>746.85642011466416</v>
      </c>
      <c r="EU242" s="18">
        <f>IFERROR(CV242/'McDonough &amp; Sun 1995 values'!L$2,)</f>
        <v>286.29621761799223</v>
      </c>
      <c r="EV242" s="18">
        <f>IFERROR(CW242/'McDonough &amp; Sun 1995 values'!M$2,)</f>
        <v>134.89719137937243</v>
      </c>
      <c r="EW242" s="18">
        <f>IFERROR(CI242/'McDonough &amp; Sun 1995 values'!N$2,)</f>
        <v>69.540174494656611</v>
      </c>
      <c r="EX242" s="18">
        <f>IFERROR(CX242/'McDonough &amp; Sun 1995 values'!O$2,)</f>
        <v>120.38256443312828</v>
      </c>
      <c r="EY242" s="18">
        <f>IFERROR(CY242/'McDonough &amp; Sun 1995 values'!P$2,)</f>
        <v>79.078283734095336</v>
      </c>
      <c r="EZ242" s="18">
        <f>IFERROR(DH242/'McDonough &amp; Sun 1995 values'!Q$2,)</f>
        <v>97.408974758785433</v>
      </c>
      <c r="FA242" s="18">
        <f>IFERROR(CK242/'McDonough &amp; Sun 1995 values'!R$2,)</f>
        <v>121.24719825365719</v>
      </c>
      <c r="FB242" s="18">
        <f>IFERROR(CZ242/'McDonough &amp; Sun 1995 values'!S$2,)</f>
        <v>75.071794680601627</v>
      </c>
      <c r="FC242" s="18">
        <f>IFERROR(BT242/'McDonough &amp; Sun 1995 values'!T$2,)</f>
        <v>11.064560619185675</v>
      </c>
      <c r="FD242" s="18">
        <f>IFERROR(DA242/'McDonough &amp; Sun 1995 values'!U$2,)</f>
        <v>40.973571394021306</v>
      </c>
      <c r="FE242" s="18">
        <f>IFERROR(DN242/'McDonough &amp; Sun 1995 values'!V$2,)</f>
        <v>16.533540916881311</v>
      </c>
      <c r="FF242" s="18">
        <f>IFERROR(DB242/'McDonough &amp; Sun 1995 values'!W$2,)</f>
        <v>13.036999840501897</v>
      </c>
      <c r="FG242" s="18">
        <f>IFERROR(CJ242/'McDonough &amp; Sun 1995 values'!X$2,)</f>
        <v>7.4640447908507532</v>
      </c>
      <c r="FH242" s="18">
        <f>IFERROR(DC242/'McDonough &amp; Sun 1995 values'!Y$2,)</f>
        <v>28.903110517529935</v>
      </c>
      <c r="FI242" s="18">
        <f>IFERROR(DD242/'McDonough &amp; Sun 1995 values'!Z$2,)</f>
        <v>10.099122890138052</v>
      </c>
      <c r="FJ242" s="18">
        <f>IFERROR(DE242/'McDonough &amp; Sun 1995 values'!AA$2,)</f>
        <v>0</v>
      </c>
      <c r="FK242" s="18">
        <f>IFERROR(DF242/'McDonough &amp; Sun 1995 values'!AB$2,)</f>
        <v>5.5288041067693463</v>
      </c>
      <c r="FL242" s="18">
        <f>IFERROR(DG242/'McDonough &amp; Sun 1995 values'!AC$2,)</f>
        <v>12.427778988350724</v>
      </c>
      <c r="FN242" s="28">
        <f t="shared" si="546"/>
        <v>0</v>
      </c>
      <c r="FO242" s="4">
        <f t="shared" si="547"/>
        <v>14.146288574609263</v>
      </c>
      <c r="FP242" s="4">
        <f t="shared" si="548"/>
        <v>0.72011125663419873</v>
      </c>
      <c r="FQ242" s="4">
        <f t="shared" si="549"/>
        <v>0.79530987344911619</v>
      </c>
      <c r="FR242" s="4">
        <f t="shared" si="550"/>
        <v>1.8141200374184525</v>
      </c>
      <c r="FS242" s="4">
        <f t="shared" si="551"/>
        <v>2.8913934066965563</v>
      </c>
      <c r="FT242" s="4">
        <f t="shared" si="552"/>
        <v>0</v>
      </c>
      <c r="FU242" s="4">
        <f t="shared" si="553"/>
        <v>0.62742068693139252</v>
      </c>
      <c r="FV242" s="4">
        <f t="shared" si="554"/>
        <v>1.5332553076310675</v>
      </c>
      <c r="FW242" s="4">
        <f t="shared" si="555"/>
        <v>1.2447230715024209</v>
      </c>
      <c r="FX242" s="4">
        <f t="shared" si="556"/>
        <v>1.250656136891624</v>
      </c>
      <c r="FY242" s="4">
        <f t="shared" si="557"/>
        <v>0.54569820726555873</v>
      </c>
      <c r="FZ242" s="4">
        <f t="shared" si="558"/>
        <v>1.3188526329185786</v>
      </c>
      <c r="GA242" s="4">
        <f t="shared" si="559"/>
        <v>0.51550498408145673</v>
      </c>
      <c r="GB242" s="4">
        <f t="shared" si="560"/>
        <v>0.94933515417499792</v>
      </c>
      <c r="GC242" s="4">
        <f t="shared" si="561"/>
        <v>0</v>
      </c>
      <c r="GD242" s="4">
        <f t="shared" si="562"/>
        <v>17.787140644010051</v>
      </c>
      <c r="GE242" s="4">
        <f t="shared" si="563"/>
        <v>0</v>
      </c>
      <c r="GF242" s="4">
        <f t="shared" si="564"/>
        <v>0</v>
      </c>
      <c r="GG242" s="4">
        <f t="shared" si="565"/>
        <v>12.808720201087308</v>
      </c>
      <c r="GH242" s="4">
        <f t="shared" si="566"/>
        <v>5.5364860637778142</v>
      </c>
      <c r="GI242" s="4">
        <f t="shared" si="567"/>
        <v>9.4445198460048285</v>
      </c>
      <c r="GJ242" s="4">
        <f t="shared" si="568"/>
        <v>57.287445673997318</v>
      </c>
      <c r="GK242" s="4">
        <f t="shared" si="569"/>
        <v>135.08462330944761</v>
      </c>
      <c r="GL242" s="4">
        <f t="shared" si="570"/>
        <v>10.958157528950363</v>
      </c>
      <c r="GM242" s="4">
        <f t="shared" si="571"/>
        <v>0</v>
      </c>
      <c r="GN242" s="4">
        <f t="shared" si="572"/>
        <v>0.55123143969184651</v>
      </c>
      <c r="GO242" s="4">
        <f t="shared" si="573"/>
        <v>1.104426387064682</v>
      </c>
      <c r="GP242" s="4">
        <f t="shared" si="574"/>
        <v>0</v>
      </c>
      <c r="GQ242" s="27">
        <f t="shared" si="575"/>
        <v>159315.35079119285</v>
      </c>
      <c r="GR242" s="28" t="str">
        <f t="shared" si="576"/>
        <v/>
      </c>
      <c r="GS242" s="28" t="str">
        <f t="shared" si="577"/>
        <v/>
      </c>
      <c r="GT242" s="28" t="str">
        <f t="shared" si="578"/>
        <v/>
      </c>
      <c r="GU242" s="28" t="str">
        <f t="shared" si="579"/>
        <v/>
      </c>
      <c r="GV242" s="28" t="str">
        <f t="shared" si="580"/>
        <v/>
      </c>
      <c r="GW242" s="28" t="str">
        <f t="shared" si="581"/>
        <v/>
      </c>
      <c r="GX242" s="28" t="str">
        <f t="shared" si="582"/>
        <v/>
      </c>
      <c r="GY242" s="28" t="str">
        <f t="shared" si="583"/>
        <v/>
      </c>
      <c r="GZ242" s="28" t="str">
        <f t="shared" si="584"/>
        <v/>
      </c>
      <c r="HA242" s="28" t="str">
        <f t="shared" si="585"/>
        <v/>
      </c>
      <c r="HB242" s="28" t="str">
        <f t="shared" si="586"/>
        <v/>
      </c>
      <c r="HC242" s="28" t="str">
        <f t="shared" si="587"/>
        <v/>
      </c>
      <c r="HD242" s="28" t="str">
        <f t="shared" si="588"/>
        <v/>
      </c>
      <c r="HE242" s="28" t="str">
        <f t="shared" si="589"/>
        <v/>
      </c>
      <c r="HF242" s="28" t="str">
        <f t="shared" si="590"/>
        <v/>
      </c>
      <c r="HG242" s="28" t="str">
        <f t="shared" si="591"/>
        <v/>
      </c>
      <c r="HH242" s="28" t="str">
        <f t="shared" si="592"/>
        <v/>
      </c>
      <c r="HI242" s="28" t="str">
        <f t="shared" si="593"/>
        <v/>
      </c>
      <c r="HJ242" s="28" t="str">
        <f t="shared" si="594"/>
        <v/>
      </c>
      <c r="HK242" s="28" t="str">
        <f t="shared" si="595"/>
        <v/>
      </c>
      <c r="HL242" s="28" t="str">
        <f t="shared" si="596"/>
        <v/>
      </c>
      <c r="HM242" s="28" t="str">
        <f t="shared" si="597"/>
        <v/>
      </c>
      <c r="HN242" s="28" t="str">
        <f t="shared" si="598"/>
        <v/>
      </c>
      <c r="HO242" s="28" t="str">
        <f t="shared" si="599"/>
        <v/>
      </c>
      <c r="HP242" s="28" t="str">
        <f t="shared" si="600"/>
        <v/>
      </c>
      <c r="HQ242" s="28" t="str">
        <f t="shared" si="601"/>
        <v/>
      </c>
      <c r="HR242" s="28" t="str">
        <f t="shared" si="602"/>
        <v/>
      </c>
      <c r="HT242" s="4">
        <f>IFERROR(GR242/'McDonough &amp; Sun 1995 values'!C$2,)</f>
        <v>0</v>
      </c>
      <c r="HU242" s="4">
        <f>IFERROR(GS242/'McDonough &amp; Sun 1995 values'!D$2,)</f>
        <v>0</v>
      </c>
      <c r="HV242" s="4">
        <f>IFERROR(GT242/'McDonough &amp; Sun 1995 values'!E$2,)</f>
        <v>0</v>
      </c>
      <c r="HW242" s="4">
        <f>IFERROR(GU242/'McDonough &amp; Sun 1995 values'!F$2,)</f>
        <v>0</v>
      </c>
      <c r="HX242" s="4">
        <f>IFERROR(GV242/'McDonough &amp; Sun 1995 values'!G$2,)</f>
        <v>0</v>
      </c>
      <c r="HY242" s="4">
        <f>IFERROR(GW242/'McDonough &amp; Sun 1995 values'!H$2,)</f>
        <v>0</v>
      </c>
      <c r="HZ242" s="4">
        <f>IFERROR(GX242/'McDonough &amp; Sun 1995 values'!I$2,)</f>
        <v>0</v>
      </c>
      <c r="IA242" s="4">
        <f>IFERROR(GY242/'McDonough &amp; Sun 1995 values'!J$2,)</f>
        <v>0</v>
      </c>
      <c r="IB242" s="4">
        <f>IFERROR(GZ242/'McDonough &amp; Sun 1995 values'!K$2,)</f>
        <v>0</v>
      </c>
      <c r="IC242" s="4">
        <f>IFERROR(HA242/'McDonough &amp; Sun 1995 values'!L$2,)</f>
        <v>0</v>
      </c>
      <c r="ID242" s="4">
        <f>IFERROR(HB242/'McDonough &amp; Sun 1995 values'!M$2,)</f>
        <v>0</v>
      </c>
      <c r="IE242" s="4">
        <f>IFERROR(HC242/'McDonough &amp; Sun 1995 values'!N$2,)</f>
        <v>0</v>
      </c>
      <c r="IF242" s="4">
        <f>IFERROR(HD242/'McDonough &amp; Sun 1995 values'!O$2,)</f>
        <v>0</v>
      </c>
      <c r="IG242" s="4">
        <f>IFERROR(HE242/'McDonough &amp; Sun 1995 values'!P$2,)</f>
        <v>0</v>
      </c>
      <c r="IH242" s="4">
        <f>IFERROR(HF242/'McDonough &amp; Sun 1995 values'!Q$2,)</f>
        <v>0</v>
      </c>
      <c r="II242" s="4">
        <f>IFERROR(HG242/'McDonough &amp; Sun 1995 values'!R$2,)</f>
        <v>0</v>
      </c>
      <c r="IJ242" s="4">
        <f>IFERROR(HH242/'McDonough &amp; Sun 1995 values'!S$2,)</f>
        <v>0</v>
      </c>
      <c r="IK242" s="4">
        <f>IFERROR(HI242/'McDonough &amp; Sun 1995 values'!T$2,)</f>
        <v>0</v>
      </c>
      <c r="IL242" s="4">
        <f>IFERROR(HJ242/'McDonough &amp; Sun 1995 values'!U$2,)</f>
        <v>0</v>
      </c>
      <c r="IM242" s="4">
        <f>IFERROR(HK242/'McDonough &amp; Sun 1995 values'!V$2,)</f>
        <v>0</v>
      </c>
      <c r="IN242" s="4">
        <f>IFERROR(HL242/'McDonough &amp; Sun 1995 values'!W$2,)</f>
        <v>0</v>
      </c>
      <c r="IO242" s="4">
        <f>IFERROR(HM242/'McDonough &amp; Sun 1995 values'!X$2,)</f>
        <v>0</v>
      </c>
      <c r="IP242" s="4">
        <f>IFERROR(HN242/'McDonough &amp; Sun 1995 values'!Y$2,)</f>
        <v>0</v>
      </c>
      <c r="IQ242" s="4">
        <f>IFERROR(HO242/'McDonough &amp; Sun 1995 values'!Z$2,)</f>
        <v>0</v>
      </c>
      <c r="IR242" s="4">
        <f>IFERROR(HP242/'McDonough &amp; Sun 1995 values'!AA$2,)</f>
        <v>0</v>
      </c>
      <c r="IS242" s="4">
        <f>IFERROR(HQ242/'McDonough &amp; Sun 1995 values'!AB$2,)</f>
        <v>0</v>
      </c>
      <c r="IT242" s="4">
        <f>IFERROR(HR242/'McDonough &amp; Sun 1995 values'!AC$2,)</f>
        <v>0</v>
      </c>
    </row>
    <row r="243" spans="1:254">
      <c r="A243" s="16" t="s">
        <v>1656</v>
      </c>
      <c r="B243" s="4" t="s">
        <v>24</v>
      </c>
      <c r="C243" s="16" t="str">
        <f t="shared" si="461"/>
        <v>silicic</v>
      </c>
      <c r="D243" s="4" t="s">
        <v>1724</v>
      </c>
      <c r="E243" s="4" t="s">
        <v>237</v>
      </c>
      <c r="F243" s="4" t="s">
        <v>849</v>
      </c>
      <c r="G243" s="4" t="s">
        <v>595</v>
      </c>
      <c r="H243" s="49">
        <v>364</v>
      </c>
      <c r="I243" s="4" t="s">
        <v>1148</v>
      </c>
      <c r="J243" s="4" t="s">
        <v>635</v>
      </c>
      <c r="K243" s="4" t="s">
        <v>1667</v>
      </c>
      <c r="M243" s="4" t="s">
        <v>1668</v>
      </c>
      <c r="N243" s="4">
        <v>28</v>
      </c>
      <c r="O243" s="4">
        <v>43.4</v>
      </c>
      <c r="P243" s="4">
        <v>1.37</v>
      </c>
      <c r="R243" s="4">
        <v>13.3</v>
      </c>
      <c r="S243" s="4">
        <v>8.4600000000000009</v>
      </c>
      <c r="T243" s="4">
        <v>3.94</v>
      </c>
      <c r="V243" s="4">
        <v>3.15</v>
      </c>
      <c r="W243" s="4">
        <v>0.97</v>
      </c>
      <c r="X243" s="4">
        <v>21.1</v>
      </c>
      <c r="Z243" s="4">
        <v>4.1399999999999997</v>
      </c>
      <c r="AD243" s="4">
        <v>0.14000000000000001</v>
      </c>
      <c r="AJ243" s="26">
        <f t="shared" si="462"/>
        <v>99.97</v>
      </c>
      <c r="AK243" s="26">
        <f t="shared" si="533"/>
        <v>43.426743844528815</v>
      </c>
      <c r="AL243" s="26">
        <f t="shared" si="534"/>
        <v>1.3708442181337441</v>
      </c>
      <c r="AM243" s="26">
        <f t="shared" si="535"/>
        <v>13.30819569429109</v>
      </c>
      <c r="AN243" s="26">
        <f t="shared" si="536"/>
        <v>8.4652132010302719</v>
      </c>
      <c r="AO243" s="26">
        <f t="shared" si="537"/>
        <v>3.9424278974065339</v>
      </c>
      <c r="AP243" s="26">
        <f t="shared" si="538"/>
        <v>3.151941085489995</v>
      </c>
      <c r="AQ243" s="26">
        <f t="shared" si="539"/>
        <v>0</v>
      </c>
      <c r="AR243" s="26">
        <f t="shared" si="540"/>
        <v>0.97059773108739522</v>
      </c>
      <c r="AS243" s="26">
        <f t="shared" si="541"/>
        <v>21.113002191694886</v>
      </c>
      <c r="AT243" s="26">
        <f t="shared" si="542"/>
        <v>4.142551140929708</v>
      </c>
      <c r="AU243" s="26">
        <f t="shared" si="543"/>
        <v>0.14008627046622202</v>
      </c>
      <c r="AV243" s="26">
        <f t="shared" si="463"/>
        <v>100.03160327505867</v>
      </c>
      <c r="BB243" s="26">
        <v>0.3</v>
      </c>
      <c r="BC243" s="26">
        <f t="shared" si="544"/>
        <v>0.30000000000000004</v>
      </c>
      <c r="BD243" s="26">
        <f t="shared" si="545"/>
        <v>0.7</v>
      </c>
      <c r="BE243" s="4">
        <v>-4.5655623436632133</v>
      </c>
      <c r="BG243" s="4">
        <v>929.72205882352955</v>
      </c>
      <c r="BH243" s="4">
        <v>14.106530268363057</v>
      </c>
      <c r="BL243" s="26"/>
      <c r="BT243" s="44">
        <v>10568.379465329423</v>
      </c>
      <c r="CH243" s="44">
        <v>198.18806329665284</v>
      </c>
      <c r="CI243" s="44">
        <v>1381.0801192275976</v>
      </c>
      <c r="CJ243" s="44">
        <v>41.061582381264913</v>
      </c>
      <c r="CK243" s="44">
        <v>212.05873719798112</v>
      </c>
      <c r="CM243" s="44">
        <v>123.36026979538678</v>
      </c>
      <c r="CS243" s="44">
        <v>2500.5597041879896</v>
      </c>
      <c r="CU243" s="44">
        <v>38.492289880017545</v>
      </c>
      <c r="CV243" s="44">
        <v>79.426811577094128</v>
      </c>
      <c r="CW243" s="44">
        <v>13.750733193408703</v>
      </c>
      <c r="CX243" s="44">
        <v>70.274613833713573</v>
      </c>
      <c r="CY243" s="44">
        <v>14.155709413751346</v>
      </c>
      <c r="CZ243" s="44">
        <v>7.3167455820959733</v>
      </c>
      <c r="DA243" s="44">
        <v>12.461203444120235</v>
      </c>
      <c r="DB243" s="44">
        <v>10.100160918632696</v>
      </c>
      <c r="DC243" s="44">
        <v>2.1175457563018405</v>
      </c>
      <c r="DD243" s="45">
        <v>5.2297347250079564</v>
      </c>
      <c r="DE243" s="45"/>
      <c r="DF243" s="45">
        <v>2.7970288288050877</v>
      </c>
      <c r="DG243" s="45">
        <v>0.81817329673240957</v>
      </c>
      <c r="DH243" s="45">
        <v>4.7978463794192372</v>
      </c>
      <c r="DI243" s="45">
        <v>8.8310535054758468</v>
      </c>
      <c r="DJ243" s="45"/>
      <c r="DK243" s="45">
        <v>100.0845390751285</v>
      </c>
      <c r="DL243" s="45">
        <v>3.311345568668159</v>
      </c>
      <c r="DM243" s="45">
        <v>1.5200667300359159</v>
      </c>
      <c r="DN243" s="45">
        <v>3.6149262474894504</v>
      </c>
      <c r="DO243" s="45"/>
      <c r="DP243" s="45"/>
      <c r="DQ243" s="45"/>
      <c r="DS243" s="4"/>
      <c r="DT243" s="4"/>
      <c r="DU243" s="4"/>
      <c r="DV243" s="4"/>
      <c r="DW243" s="4"/>
      <c r="DX243" s="4"/>
      <c r="DY243" s="4"/>
      <c r="DZ243" s="4"/>
      <c r="EA243" s="4"/>
      <c r="EB243" s="4"/>
      <c r="EC243" s="4"/>
      <c r="ED243" s="4"/>
      <c r="EE243" s="4"/>
      <c r="EF243" s="4"/>
      <c r="EG243" s="4"/>
      <c r="EH243" s="4"/>
      <c r="EI243" s="4"/>
      <c r="EJ243" s="4"/>
      <c r="EL243" s="18">
        <f>IFERROR(CR243/'McDonough &amp; Sun 1995 values'!C$2,)</f>
        <v>0</v>
      </c>
      <c r="EM243" s="18">
        <f>IFERROR(CH243/'McDonough &amp; Sun 1995 values'!D$2,)</f>
        <v>330.31343882775474</v>
      </c>
      <c r="EN243" s="18">
        <f>IFERROR(CS243/'McDonough &amp; Sun 1995 values'!E$2,)</f>
        <v>378.87268245272571</v>
      </c>
      <c r="EO243" s="18">
        <f>IFERROR(DL243/'McDonough &amp; Sun 1995 values'!F$2,)</f>
        <v>41.652145517838477</v>
      </c>
      <c r="EP243" s="18">
        <f>IFERROR(DM243/'McDonough &amp; Sun 1995 values'!G$2,)</f>
        <v>74.880134484527886</v>
      </c>
      <c r="EQ243" s="18">
        <f>IFERROR(BR243/'McDonough &amp; Sun 1995 values'!H$2,)</f>
        <v>0</v>
      </c>
      <c r="ER243" s="18">
        <f>IFERROR(DI243/'McDonough &amp; Sun 1995 values'!I$2,)</f>
        <v>238.67712176961749</v>
      </c>
      <c r="ES243" s="18">
        <f>IFERROR(CM243/'McDonough &amp; Sun 1995 values'!J$2,)</f>
        <v>187.47761367080057</v>
      </c>
      <c r="ET243" s="18">
        <f>IFERROR(CU243/'McDonough &amp; Sun 1995 values'!K$2,)</f>
        <v>59.40168191360732</v>
      </c>
      <c r="EU243" s="18">
        <f>IFERROR(CV243/'McDonough &amp; Sun 1995 values'!L$2,)</f>
        <v>47.418991986324848</v>
      </c>
      <c r="EV243" s="18">
        <f>IFERROR(CW243/'McDonough &amp; Sun 1995 values'!M$2,)</f>
        <v>54.136744855939774</v>
      </c>
      <c r="EW243" s="18">
        <f>IFERROR(CI243/'McDonough &amp; Sun 1995 values'!N$2,)</f>
        <v>69.401011016462192</v>
      </c>
      <c r="EX243" s="18">
        <f>IFERROR(CX243/'McDonough &amp; Sun 1995 values'!O$2,)</f>
        <v>56.21969106697086</v>
      </c>
      <c r="EY243" s="18">
        <f>IFERROR(CY243/'McDonough &amp; Sun 1995 values'!P$2,)</f>
        <v>34.866279344215137</v>
      </c>
      <c r="EZ243" s="18">
        <f>IFERROR(DH243/'McDonough &amp; Sun 1995 values'!Q$2,)</f>
        <v>16.953520775332994</v>
      </c>
      <c r="FA243" s="18">
        <f>IFERROR(CK243/'McDonough &amp; Sun 1995 values'!R$2,)</f>
        <v>20.196070209331534</v>
      </c>
      <c r="FB243" s="18">
        <f>IFERROR(CZ243/'McDonough &amp; Sun 1995 values'!S$2,)</f>
        <v>47.511334948675149</v>
      </c>
      <c r="FC243" s="18">
        <f>IFERROR(BT243/'McDonough &amp; Sun 1995 values'!T$2,)</f>
        <v>8.7704393903148734</v>
      </c>
      <c r="FD243" s="18">
        <f>IFERROR(DA243/'McDonough &amp; Sun 1995 values'!U$2,)</f>
        <v>22.906623978162195</v>
      </c>
      <c r="FE243" s="18">
        <f>IFERROR(DN243/'McDonough &amp; Sun 1995 values'!V$2,)</f>
        <v>36.514406540297479</v>
      </c>
      <c r="FF243" s="18">
        <f>IFERROR(DB243/'McDonough &amp; Sun 1995 values'!W$2,)</f>
        <v>14.985401956428332</v>
      </c>
      <c r="FG243" s="18">
        <f>IFERROR(CJ243/'McDonough &amp; Sun 1995 values'!X$2,)</f>
        <v>9.5492052049453289</v>
      </c>
      <c r="FH243" s="18">
        <f>IFERROR(DC243/'McDonough &amp; Sun 1995 values'!Y$2,)</f>
        <v>14.211716485247253</v>
      </c>
      <c r="FI243" s="18">
        <f>IFERROR(DD243/'McDonough &amp; Sun 1995 values'!Z$2,)</f>
        <v>11.940033618739626</v>
      </c>
      <c r="FJ243" s="18">
        <f>IFERROR(DE243/'McDonough &amp; Sun 1995 values'!AA$2,)</f>
        <v>0</v>
      </c>
      <c r="FK243" s="18">
        <f>IFERROR(DF243/'McDonough &amp; Sun 1995 values'!AB$2,)</f>
        <v>6.3424689995580223</v>
      </c>
      <c r="FL243" s="18">
        <f>IFERROR(DG243/'McDonough &amp; Sun 1995 values'!AC$2,)</f>
        <v>12.121085877517178</v>
      </c>
      <c r="FN243" s="28">
        <f t="shared" si="546"/>
        <v>0</v>
      </c>
      <c r="FO243" s="4">
        <f t="shared" si="547"/>
        <v>5.0597222489098268</v>
      </c>
      <c r="FP243" s="4">
        <f t="shared" si="548"/>
        <v>0.2221713019612952</v>
      </c>
      <c r="FQ243" s="4">
        <f t="shared" si="549"/>
        <v>0.55625094432015021</v>
      </c>
      <c r="FR243" s="4">
        <f t="shared" si="550"/>
        <v>0.31684679973531721</v>
      </c>
      <c r="FS243" s="4">
        <f t="shared" si="551"/>
        <v>0.24887882622845037</v>
      </c>
      <c r="FT243" s="4">
        <f t="shared" si="552"/>
        <v>0</v>
      </c>
      <c r="FU243" s="4">
        <f t="shared" si="553"/>
        <v>1.2730966492283189</v>
      </c>
      <c r="FV243" s="4">
        <f t="shared" si="554"/>
        <v>0.57924362992526701</v>
      </c>
      <c r="FW243" s="4">
        <f t="shared" si="555"/>
        <v>1.1912611236903889</v>
      </c>
      <c r="FX243" s="4">
        <f t="shared" si="556"/>
        <v>1.6447618941204383</v>
      </c>
      <c r="FY243" s="4">
        <f t="shared" si="557"/>
        <v>1.2579851091273548</v>
      </c>
      <c r="FZ243" s="4">
        <f t="shared" si="558"/>
        <v>1.681178731438588</v>
      </c>
      <c r="GA243" s="4">
        <f t="shared" si="559"/>
        <v>1.2819575909327627</v>
      </c>
      <c r="GB243" s="4">
        <f t="shared" si="560"/>
        <v>1.3626729276049934</v>
      </c>
      <c r="GC243" s="4">
        <f t="shared" si="561"/>
        <v>0</v>
      </c>
      <c r="GD243" s="4">
        <f t="shared" si="562"/>
        <v>9.0961144436236765</v>
      </c>
      <c r="GE243" s="4">
        <f t="shared" si="563"/>
        <v>1.147009591245522</v>
      </c>
      <c r="GF243" s="4">
        <f t="shared" si="564"/>
        <v>0</v>
      </c>
      <c r="GG243" s="4">
        <f t="shared" si="565"/>
        <v>2.0208955887288145</v>
      </c>
      <c r="GH243" s="4">
        <f t="shared" si="566"/>
        <v>1.0972525605608126</v>
      </c>
      <c r="GI243" s="4">
        <f t="shared" si="567"/>
        <v>1.7037000514786214</v>
      </c>
      <c r="GJ243" s="4">
        <f t="shared" si="568"/>
        <v>3.9639698745702052</v>
      </c>
      <c r="GK243" s="4">
        <f t="shared" si="569"/>
        <v>9.3657031540472246</v>
      </c>
      <c r="GL243" s="4">
        <f t="shared" si="570"/>
        <v>2.3027432618294923</v>
      </c>
      <c r="GM243" s="4">
        <f t="shared" si="571"/>
        <v>0.12609885224669412</v>
      </c>
      <c r="GN243" s="4">
        <f t="shared" si="572"/>
        <v>3.1560994172431758</v>
      </c>
      <c r="GO243" s="4">
        <f t="shared" si="573"/>
        <v>2.503702950874616</v>
      </c>
      <c r="GP243" s="4">
        <f t="shared" si="574"/>
        <v>0</v>
      </c>
      <c r="GQ243" s="27">
        <f t="shared" si="575"/>
        <v>175266.9073375412</v>
      </c>
      <c r="GR243" s="28" t="str">
        <f t="shared" si="576"/>
        <v/>
      </c>
      <c r="GS243" s="28" t="str">
        <f t="shared" si="577"/>
        <v/>
      </c>
      <c r="GT243" s="28" t="str">
        <f t="shared" si="578"/>
        <v/>
      </c>
      <c r="GU243" s="28" t="str">
        <f t="shared" si="579"/>
        <v/>
      </c>
      <c r="GV243" s="28" t="str">
        <f t="shared" si="580"/>
        <v/>
      </c>
      <c r="GW243" s="28" t="str">
        <f t="shared" si="581"/>
        <v/>
      </c>
      <c r="GX243" s="28" t="str">
        <f t="shared" si="582"/>
        <v/>
      </c>
      <c r="GY243" s="28" t="str">
        <f t="shared" si="583"/>
        <v/>
      </c>
      <c r="GZ243" s="28" t="str">
        <f t="shared" si="584"/>
        <v/>
      </c>
      <c r="HA243" s="28" t="str">
        <f t="shared" si="585"/>
        <v/>
      </c>
      <c r="HB243" s="28" t="str">
        <f t="shared" si="586"/>
        <v/>
      </c>
      <c r="HC243" s="28" t="str">
        <f t="shared" si="587"/>
        <v/>
      </c>
      <c r="HD243" s="28" t="str">
        <f t="shared" si="588"/>
        <v/>
      </c>
      <c r="HE243" s="28" t="str">
        <f t="shared" si="589"/>
        <v/>
      </c>
      <c r="HF243" s="28" t="str">
        <f t="shared" si="590"/>
        <v/>
      </c>
      <c r="HG243" s="28" t="str">
        <f t="shared" si="591"/>
        <v/>
      </c>
      <c r="HH243" s="28" t="str">
        <f t="shared" si="592"/>
        <v/>
      </c>
      <c r="HI243" s="28" t="str">
        <f t="shared" si="593"/>
        <v/>
      </c>
      <c r="HJ243" s="28" t="str">
        <f t="shared" si="594"/>
        <v/>
      </c>
      <c r="HK243" s="28" t="str">
        <f t="shared" si="595"/>
        <v/>
      </c>
      <c r="HL243" s="28" t="str">
        <f t="shared" si="596"/>
        <v/>
      </c>
      <c r="HM243" s="28" t="str">
        <f t="shared" si="597"/>
        <v/>
      </c>
      <c r="HN243" s="28" t="str">
        <f t="shared" si="598"/>
        <v/>
      </c>
      <c r="HO243" s="28" t="str">
        <f t="shared" si="599"/>
        <v/>
      </c>
      <c r="HP243" s="28" t="str">
        <f t="shared" si="600"/>
        <v/>
      </c>
      <c r="HQ243" s="28" t="str">
        <f t="shared" si="601"/>
        <v/>
      </c>
      <c r="HR243" s="28" t="str">
        <f t="shared" si="602"/>
        <v/>
      </c>
      <c r="HT243" s="4">
        <f>IFERROR(GR243/'McDonough &amp; Sun 1995 values'!C$2,)</f>
        <v>0</v>
      </c>
      <c r="HU243" s="4">
        <f>IFERROR(GS243/'McDonough &amp; Sun 1995 values'!D$2,)</f>
        <v>0</v>
      </c>
      <c r="HV243" s="4">
        <f>IFERROR(GT243/'McDonough &amp; Sun 1995 values'!E$2,)</f>
        <v>0</v>
      </c>
      <c r="HW243" s="4">
        <f>IFERROR(GU243/'McDonough &amp; Sun 1995 values'!F$2,)</f>
        <v>0</v>
      </c>
      <c r="HX243" s="4">
        <f>IFERROR(GV243/'McDonough &amp; Sun 1995 values'!G$2,)</f>
        <v>0</v>
      </c>
      <c r="HY243" s="4">
        <f>IFERROR(GW243/'McDonough &amp; Sun 1995 values'!H$2,)</f>
        <v>0</v>
      </c>
      <c r="HZ243" s="4">
        <f>IFERROR(GX243/'McDonough &amp; Sun 1995 values'!I$2,)</f>
        <v>0</v>
      </c>
      <c r="IA243" s="4">
        <f>IFERROR(GY243/'McDonough &amp; Sun 1995 values'!J$2,)</f>
        <v>0</v>
      </c>
      <c r="IB243" s="4">
        <f>IFERROR(GZ243/'McDonough &amp; Sun 1995 values'!K$2,)</f>
        <v>0</v>
      </c>
      <c r="IC243" s="4">
        <f>IFERROR(HA243/'McDonough &amp; Sun 1995 values'!L$2,)</f>
        <v>0</v>
      </c>
      <c r="ID243" s="4">
        <f>IFERROR(HB243/'McDonough &amp; Sun 1995 values'!M$2,)</f>
        <v>0</v>
      </c>
      <c r="IE243" s="4">
        <f>IFERROR(HC243/'McDonough &amp; Sun 1995 values'!N$2,)</f>
        <v>0</v>
      </c>
      <c r="IF243" s="4">
        <f>IFERROR(HD243/'McDonough &amp; Sun 1995 values'!O$2,)</f>
        <v>0</v>
      </c>
      <c r="IG243" s="4">
        <f>IFERROR(HE243/'McDonough &amp; Sun 1995 values'!P$2,)</f>
        <v>0</v>
      </c>
      <c r="IH243" s="4">
        <f>IFERROR(HF243/'McDonough &amp; Sun 1995 values'!Q$2,)</f>
        <v>0</v>
      </c>
      <c r="II243" s="4">
        <f>IFERROR(HG243/'McDonough &amp; Sun 1995 values'!R$2,)</f>
        <v>0</v>
      </c>
      <c r="IJ243" s="4">
        <f>IFERROR(HH243/'McDonough &amp; Sun 1995 values'!S$2,)</f>
        <v>0</v>
      </c>
      <c r="IK243" s="4">
        <f>IFERROR(HI243/'McDonough &amp; Sun 1995 values'!T$2,)</f>
        <v>0</v>
      </c>
      <c r="IL243" s="4">
        <f>IFERROR(HJ243/'McDonough &amp; Sun 1995 values'!U$2,)</f>
        <v>0</v>
      </c>
      <c r="IM243" s="4">
        <f>IFERROR(HK243/'McDonough &amp; Sun 1995 values'!V$2,)</f>
        <v>0</v>
      </c>
      <c r="IN243" s="4">
        <f>IFERROR(HL243/'McDonough &amp; Sun 1995 values'!W$2,)</f>
        <v>0</v>
      </c>
      <c r="IO243" s="4">
        <f>IFERROR(HM243/'McDonough &amp; Sun 1995 values'!X$2,)</f>
        <v>0</v>
      </c>
      <c r="IP243" s="4">
        <f>IFERROR(HN243/'McDonough &amp; Sun 1995 values'!Y$2,)</f>
        <v>0</v>
      </c>
      <c r="IQ243" s="4">
        <f>IFERROR(HO243/'McDonough &amp; Sun 1995 values'!Z$2,)</f>
        <v>0</v>
      </c>
      <c r="IR243" s="4">
        <f>IFERROR(HP243/'McDonough &amp; Sun 1995 values'!AA$2,)</f>
        <v>0</v>
      </c>
      <c r="IS243" s="4">
        <f>IFERROR(HQ243/'McDonough &amp; Sun 1995 values'!AB$2,)</f>
        <v>0</v>
      </c>
      <c r="IT243" s="4">
        <f>IFERROR(HR243/'McDonough &amp; Sun 1995 values'!AC$2,)</f>
        <v>0</v>
      </c>
    </row>
    <row r="244" spans="1:254">
      <c r="A244" s="16" t="s">
        <v>1656</v>
      </c>
      <c r="B244" s="4" t="s">
        <v>24</v>
      </c>
      <c r="C244" s="16" t="str">
        <f t="shared" si="461"/>
        <v>silicic</v>
      </c>
      <c r="D244" s="4" t="s">
        <v>1724</v>
      </c>
      <c r="E244" s="4" t="s">
        <v>237</v>
      </c>
      <c r="F244" s="4" t="s">
        <v>849</v>
      </c>
      <c r="G244" s="4" t="s">
        <v>595</v>
      </c>
      <c r="H244" s="49">
        <v>364</v>
      </c>
      <c r="I244" s="4" t="s">
        <v>1148</v>
      </c>
      <c r="J244" s="4" t="s">
        <v>635</v>
      </c>
      <c r="K244" s="4" t="s">
        <v>1667</v>
      </c>
      <c r="M244" s="4" t="s">
        <v>1671</v>
      </c>
      <c r="N244" s="4">
        <v>22</v>
      </c>
      <c r="O244" s="4">
        <v>47.8</v>
      </c>
      <c r="P244" s="4">
        <v>2.17</v>
      </c>
      <c r="R244" s="4">
        <v>10.7</v>
      </c>
      <c r="S244" s="4">
        <v>7.57</v>
      </c>
      <c r="T244" s="4">
        <v>4.0999999999999996</v>
      </c>
      <c r="V244" s="4">
        <v>1.75</v>
      </c>
      <c r="W244" s="4">
        <v>2.94</v>
      </c>
      <c r="X244" s="4">
        <v>20.8</v>
      </c>
      <c r="Z244" s="4">
        <v>1.75</v>
      </c>
      <c r="AD244" s="4">
        <v>0.44</v>
      </c>
      <c r="AJ244" s="26">
        <f t="shared" si="462"/>
        <v>100.02</v>
      </c>
      <c r="AK244" s="26">
        <f t="shared" si="533"/>
        <v>47.837885837650205</v>
      </c>
      <c r="AL244" s="26">
        <f t="shared" si="534"/>
        <v>2.17171992191843</v>
      </c>
      <c r="AM244" s="26">
        <f t="shared" si="535"/>
        <v>10.708480720980276</v>
      </c>
      <c r="AN244" s="26">
        <f t="shared" si="536"/>
        <v>7.5759999119458596</v>
      </c>
      <c r="AO244" s="26">
        <f t="shared" si="537"/>
        <v>4.1032496220578629</v>
      </c>
      <c r="AP244" s="26">
        <f t="shared" si="538"/>
        <v>1.7513870338051856</v>
      </c>
      <c r="AQ244" s="26">
        <f t="shared" si="539"/>
        <v>0</v>
      </c>
      <c r="AR244" s="26">
        <f t="shared" si="540"/>
        <v>2.9423302167927119</v>
      </c>
      <c r="AS244" s="26">
        <f t="shared" si="541"/>
        <v>20.816485887513061</v>
      </c>
      <c r="AT244" s="26">
        <f t="shared" si="542"/>
        <v>1.7513870338051856</v>
      </c>
      <c r="AU244" s="26">
        <f t="shared" si="543"/>
        <v>0.44034873992816093</v>
      </c>
      <c r="AV244" s="26">
        <f t="shared" si="463"/>
        <v>100.09927492639693</v>
      </c>
      <c r="BB244" s="26">
        <v>0.42</v>
      </c>
      <c r="BC244" s="26">
        <f t="shared" si="544"/>
        <v>0.41999999999999993</v>
      </c>
      <c r="BD244" s="26">
        <f t="shared" si="545"/>
        <v>0.58000000000000007</v>
      </c>
      <c r="BE244" s="4">
        <v>-4.883345463318423</v>
      </c>
      <c r="BG244" s="4">
        <v>1073.0047999999999</v>
      </c>
      <c r="BH244" s="4">
        <v>9.293384628679755</v>
      </c>
      <c r="BL244" s="26"/>
      <c r="BT244" s="44">
        <v>15625.082028591492</v>
      </c>
      <c r="CH244" s="44">
        <v>103.65627468887676</v>
      </c>
      <c r="CI244" s="44">
        <v>1523.0218914768816</v>
      </c>
      <c r="CJ244" s="44">
        <v>36.186685363647513</v>
      </c>
      <c r="CK244" s="44">
        <v>219.17687397375903</v>
      </c>
      <c r="CM244" s="44">
        <v>56.791131231939048</v>
      </c>
      <c r="CR244" s="44">
        <v>42578.697351207287</v>
      </c>
      <c r="CS244" s="44">
        <v>4447.3497777125285</v>
      </c>
      <c r="CU244" s="44">
        <v>79.967242281942276</v>
      </c>
      <c r="CV244" s="44">
        <v>147.23329594004997</v>
      </c>
      <c r="CW244" s="44">
        <v>18.912178098574152</v>
      </c>
      <c r="CX244" s="44">
        <v>98.847727426503312</v>
      </c>
      <c r="CY244" s="44">
        <v>28.41005780924085</v>
      </c>
      <c r="CZ244" s="44">
        <v>6.3609853183240928</v>
      </c>
      <c r="DA244" s="44">
        <v>21.114975505833272</v>
      </c>
      <c r="DB244" s="44">
        <v>10.368977589821545</v>
      </c>
      <c r="DC244" s="44">
        <v>1.4389881477145765</v>
      </c>
      <c r="DD244" s="44">
        <v>3.7445044117904587</v>
      </c>
      <c r="DF244" s="44">
        <v>2.426603316776911</v>
      </c>
      <c r="DG244" s="44">
        <v>0.22875211933131881</v>
      </c>
      <c r="DH244" s="44">
        <v>5.9608232749867227</v>
      </c>
      <c r="DI244" s="44">
        <v>2.7226318419758733</v>
      </c>
      <c r="DK244" s="44">
        <v>48.147592909820688</v>
      </c>
      <c r="DL244" s="44">
        <v>5.7397431988096486</v>
      </c>
      <c r="DM244" s="44">
        <v>1.1867238273736489</v>
      </c>
      <c r="DN244" s="44">
        <v>2.0499977892346539</v>
      </c>
      <c r="DS244" s="45"/>
      <c r="DT244" s="45"/>
      <c r="DU244" s="45"/>
      <c r="EG244" s="44"/>
      <c r="EH244" s="4"/>
      <c r="EI244" s="4"/>
      <c r="EJ244" s="4"/>
      <c r="EL244" s="18">
        <f>IFERROR(CR244/'McDonough &amp; Sun 1995 values'!C$2,)</f>
        <v>2027557.0167241564</v>
      </c>
      <c r="EM244" s="18">
        <f>IFERROR(CH244/'McDonough &amp; Sun 1995 values'!D$2,)</f>
        <v>172.76045781479462</v>
      </c>
      <c r="EN244" s="18">
        <f>IFERROR(CS244/'McDonough &amp; Sun 1995 values'!E$2,)</f>
        <v>673.84087541098916</v>
      </c>
      <c r="EO244" s="18">
        <f>IFERROR(DL244/'McDonough &amp; Sun 1995 values'!F$2,)</f>
        <v>72.198027657983005</v>
      </c>
      <c r="EP244" s="18">
        <f>IFERROR(DM244/'McDonough &amp; Sun 1995 values'!G$2,)</f>
        <v>58.459301841066456</v>
      </c>
      <c r="EQ244" s="18">
        <f>IFERROR(BR244/'McDonough &amp; Sun 1995 values'!H$2,)</f>
        <v>0</v>
      </c>
      <c r="ER244" s="18">
        <f>IFERROR(DI244/'McDonough &amp; Sun 1995 values'!I$2,)</f>
        <v>73.584644377726306</v>
      </c>
      <c r="ES244" s="18">
        <f>IFERROR(CM244/'McDonough &amp; Sun 1995 values'!J$2,)</f>
        <v>86.308710078934723</v>
      </c>
      <c r="ET244" s="18">
        <f>IFERROR(CU244/'McDonough &amp; Sun 1995 values'!K$2,)</f>
        <v>123.40623808941709</v>
      </c>
      <c r="EU244" s="18">
        <f>IFERROR(CV244/'McDonough &amp; Sun 1995 values'!L$2,)</f>
        <v>87.90047518808953</v>
      </c>
      <c r="EV244" s="18">
        <f>IFERROR(CW244/'McDonough &amp; Sun 1995 values'!M$2,)</f>
        <v>74.457394088874608</v>
      </c>
      <c r="EW244" s="18">
        <f>IFERROR(CI244/'McDonough &amp; Sun 1995 values'!N$2,)</f>
        <v>76.533763390798072</v>
      </c>
      <c r="EX244" s="18">
        <f>IFERROR(CX244/'McDonough &amp; Sun 1995 values'!O$2,)</f>
        <v>79.078181941202644</v>
      </c>
      <c r="EY244" s="18">
        <f>IFERROR(CY244/'McDonough &amp; Sun 1995 values'!P$2,)</f>
        <v>69.975511845420812</v>
      </c>
      <c r="EZ244" s="18">
        <f>IFERROR(DH244/'McDonough &amp; Sun 1995 values'!Q$2,)</f>
        <v>21.062979770271106</v>
      </c>
      <c r="FA244" s="18">
        <f>IFERROR(CK244/'McDonough &amp; Sun 1995 values'!R$2,)</f>
        <v>20.873987997500858</v>
      </c>
      <c r="FB244" s="18">
        <f>IFERROR(CZ244/'McDonough &amp; Sun 1995 values'!S$2,)</f>
        <v>41.305099469636964</v>
      </c>
      <c r="FC244" s="18">
        <f>IFERROR(BT244/'McDonough &amp; Sun 1995 values'!T$2,)</f>
        <v>12.966873052773023</v>
      </c>
      <c r="FD244" s="18">
        <f>IFERROR(DA244/'McDonough &amp; Sun 1995 values'!U$2,)</f>
        <v>38.814293209252334</v>
      </c>
      <c r="FE244" s="18">
        <f>IFERROR(DN244/'McDonough &amp; Sun 1995 values'!V$2,)</f>
        <v>20.707048376107615</v>
      </c>
      <c r="FF244" s="18">
        <f>IFERROR(DB244/'McDonough &amp; Sun 1995 values'!W$2,)</f>
        <v>15.38423974750971</v>
      </c>
      <c r="FG244" s="18">
        <f>IFERROR(CJ244/'McDonough &amp; Sun 1995 values'!X$2,)</f>
        <v>8.4155082241040731</v>
      </c>
      <c r="FH244" s="18">
        <f>IFERROR(DC244/'McDonough &amp; Sun 1995 values'!Y$2,)</f>
        <v>9.6576385752656151</v>
      </c>
      <c r="FI244" s="18">
        <f>IFERROR(DD244/'McDonough &amp; Sun 1995 values'!Z$2,)</f>
        <v>8.5490968305718233</v>
      </c>
      <c r="FJ244" s="18">
        <f>IFERROR(DE244/'McDonough &amp; Sun 1995 values'!AA$2,)</f>
        <v>0</v>
      </c>
      <c r="FK244" s="18">
        <f>IFERROR(DF244/'McDonough &amp; Sun 1995 values'!AB$2,)</f>
        <v>5.5025018521018385</v>
      </c>
      <c r="FL244" s="18">
        <f>IFERROR(DG244/'McDonough &amp; Sun 1995 values'!AC$2,)</f>
        <v>3.3889202863899079</v>
      </c>
      <c r="FN244" s="28">
        <f t="shared" si="546"/>
        <v>0</v>
      </c>
      <c r="FO244" s="4">
        <f t="shared" si="547"/>
        <v>11.526666487447338</v>
      </c>
      <c r="FP244" s="4">
        <f t="shared" si="548"/>
        <v>0.83650917261946545</v>
      </c>
      <c r="FQ244" s="4">
        <f t="shared" si="549"/>
        <v>1.2350135116951633</v>
      </c>
      <c r="FR244" s="4">
        <f t="shared" si="550"/>
        <v>1.4298236872797003</v>
      </c>
      <c r="FS244" s="4">
        <f t="shared" si="551"/>
        <v>1.6770650878727562</v>
      </c>
      <c r="FT244" s="4">
        <f t="shared" si="552"/>
        <v>8.5206214370196531E-5</v>
      </c>
      <c r="FU244" s="4">
        <f t="shared" si="553"/>
        <v>0.85257495228961877</v>
      </c>
      <c r="FV244" s="4">
        <f t="shared" si="554"/>
        <v>0.29830418452118618</v>
      </c>
      <c r="FW244" s="4">
        <f t="shared" si="555"/>
        <v>0.99102730122558458</v>
      </c>
      <c r="FX244" s="4">
        <f t="shared" si="556"/>
        <v>0.75935607107446834</v>
      </c>
      <c r="FY244" s="4">
        <f t="shared" si="557"/>
        <v>0.99740333302374851</v>
      </c>
      <c r="FZ244" s="4">
        <f t="shared" si="558"/>
        <v>0.79256481658667222</v>
      </c>
      <c r="GA244" s="4">
        <f t="shared" si="559"/>
        <v>1.0278866770363337</v>
      </c>
      <c r="GB244" s="4">
        <f t="shared" si="560"/>
        <v>0.5902793474506034</v>
      </c>
      <c r="GC244" s="4">
        <f t="shared" si="561"/>
        <v>11736.233177257322</v>
      </c>
      <c r="GD244" s="4">
        <f t="shared" si="562"/>
        <v>9.3332310766592244</v>
      </c>
      <c r="GE244" s="4">
        <f t="shared" si="563"/>
        <v>3.9004346476863971</v>
      </c>
      <c r="GF244" s="4">
        <f t="shared" si="564"/>
        <v>0</v>
      </c>
      <c r="GG244" s="4">
        <f t="shared" si="565"/>
        <v>7.8073334058024901</v>
      </c>
      <c r="GH244" s="4">
        <f t="shared" si="566"/>
        <v>1.6574074287654448</v>
      </c>
      <c r="GI244" s="4">
        <f t="shared" si="567"/>
        <v>1.7635632071120431</v>
      </c>
      <c r="GJ244" s="4">
        <f t="shared" si="568"/>
        <v>8.021601334534143</v>
      </c>
      <c r="GK244" s="4">
        <f t="shared" si="569"/>
        <v>22.427296056661667</v>
      </c>
      <c r="GL244" s="4">
        <f t="shared" si="570"/>
        <v>1.6097935032252717</v>
      </c>
      <c r="GM244" s="4">
        <f t="shared" si="571"/>
        <v>0.41790829088553277</v>
      </c>
      <c r="GN244" s="4">
        <f t="shared" si="572"/>
        <v>0.69938693063795998</v>
      </c>
      <c r="GO244" s="4">
        <f t="shared" si="573"/>
        <v>1.4763896824081575</v>
      </c>
      <c r="GP244" s="4">
        <f t="shared" si="574"/>
        <v>0</v>
      </c>
      <c r="GQ244" s="27">
        <f t="shared" si="575"/>
        <v>172805.41488197987</v>
      </c>
      <c r="GR244" s="28" t="str">
        <f t="shared" si="576"/>
        <v/>
      </c>
      <c r="GS244" s="28" t="str">
        <f t="shared" si="577"/>
        <v/>
      </c>
      <c r="GT244" s="28" t="str">
        <f t="shared" si="578"/>
        <v/>
      </c>
      <c r="GU244" s="28" t="str">
        <f t="shared" si="579"/>
        <v/>
      </c>
      <c r="GV244" s="28" t="str">
        <f t="shared" si="580"/>
        <v/>
      </c>
      <c r="GW244" s="28" t="str">
        <f t="shared" si="581"/>
        <v/>
      </c>
      <c r="GX244" s="28" t="str">
        <f t="shared" si="582"/>
        <v/>
      </c>
      <c r="GY244" s="28" t="str">
        <f t="shared" si="583"/>
        <v/>
      </c>
      <c r="GZ244" s="28" t="str">
        <f t="shared" si="584"/>
        <v/>
      </c>
      <c r="HA244" s="28" t="str">
        <f t="shared" si="585"/>
        <v/>
      </c>
      <c r="HB244" s="28" t="str">
        <f t="shared" si="586"/>
        <v/>
      </c>
      <c r="HC244" s="28" t="str">
        <f t="shared" si="587"/>
        <v/>
      </c>
      <c r="HD244" s="28" t="str">
        <f t="shared" si="588"/>
        <v/>
      </c>
      <c r="HE244" s="28" t="str">
        <f t="shared" si="589"/>
        <v/>
      </c>
      <c r="HF244" s="28" t="str">
        <f t="shared" si="590"/>
        <v/>
      </c>
      <c r="HG244" s="28" t="str">
        <f t="shared" si="591"/>
        <v/>
      </c>
      <c r="HH244" s="28" t="str">
        <f t="shared" si="592"/>
        <v/>
      </c>
      <c r="HI244" s="28" t="str">
        <f t="shared" si="593"/>
        <v/>
      </c>
      <c r="HJ244" s="28" t="str">
        <f t="shared" si="594"/>
        <v/>
      </c>
      <c r="HK244" s="28" t="str">
        <f t="shared" si="595"/>
        <v/>
      </c>
      <c r="HL244" s="28" t="str">
        <f t="shared" si="596"/>
        <v/>
      </c>
      <c r="HM244" s="28" t="str">
        <f t="shared" si="597"/>
        <v/>
      </c>
      <c r="HN244" s="28" t="str">
        <f t="shared" si="598"/>
        <v/>
      </c>
      <c r="HO244" s="28" t="str">
        <f t="shared" si="599"/>
        <v/>
      </c>
      <c r="HP244" s="28" t="str">
        <f t="shared" si="600"/>
        <v/>
      </c>
      <c r="HQ244" s="28" t="str">
        <f t="shared" si="601"/>
        <v/>
      </c>
      <c r="HR244" s="28" t="str">
        <f t="shared" si="602"/>
        <v/>
      </c>
      <c r="HT244" s="4">
        <f>IFERROR(GR244/'McDonough &amp; Sun 1995 values'!C$2,)</f>
        <v>0</v>
      </c>
      <c r="HU244" s="4">
        <f>IFERROR(GS244/'McDonough &amp; Sun 1995 values'!D$2,)</f>
        <v>0</v>
      </c>
      <c r="HV244" s="4">
        <f>IFERROR(GT244/'McDonough &amp; Sun 1995 values'!E$2,)</f>
        <v>0</v>
      </c>
      <c r="HW244" s="4">
        <f>IFERROR(GU244/'McDonough &amp; Sun 1995 values'!F$2,)</f>
        <v>0</v>
      </c>
      <c r="HX244" s="4">
        <f>IFERROR(GV244/'McDonough &amp; Sun 1995 values'!G$2,)</f>
        <v>0</v>
      </c>
      <c r="HY244" s="4">
        <f>IFERROR(GW244/'McDonough &amp; Sun 1995 values'!H$2,)</f>
        <v>0</v>
      </c>
      <c r="HZ244" s="4">
        <f>IFERROR(GX244/'McDonough &amp; Sun 1995 values'!I$2,)</f>
        <v>0</v>
      </c>
      <c r="IA244" s="4">
        <f>IFERROR(GY244/'McDonough &amp; Sun 1995 values'!J$2,)</f>
        <v>0</v>
      </c>
      <c r="IB244" s="4">
        <f>IFERROR(GZ244/'McDonough &amp; Sun 1995 values'!K$2,)</f>
        <v>0</v>
      </c>
      <c r="IC244" s="4">
        <f>IFERROR(HA244/'McDonough &amp; Sun 1995 values'!L$2,)</f>
        <v>0</v>
      </c>
      <c r="ID244" s="4">
        <f>IFERROR(HB244/'McDonough &amp; Sun 1995 values'!M$2,)</f>
        <v>0</v>
      </c>
      <c r="IE244" s="4">
        <f>IFERROR(HC244/'McDonough &amp; Sun 1995 values'!N$2,)</f>
        <v>0</v>
      </c>
      <c r="IF244" s="4">
        <f>IFERROR(HD244/'McDonough &amp; Sun 1995 values'!O$2,)</f>
        <v>0</v>
      </c>
      <c r="IG244" s="4">
        <f>IFERROR(HE244/'McDonough &amp; Sun 1995 values'!P$2,)</f>
        <v>0</v>
      </c>
      <c r="IH244" s="4">
        <f>IFERROR(HF244/'McDonough &amp; Sun 1995 values'!Q$2,)</f>
        <v>0</v>
      </c>
      <c r="II244" s="4">
        <f>IFERROR(HG244/'McDonough &amp; Sun 1995 values'!R$2,)</f>
        <v>0</v>
      </c>
      <c r="IJ244" s="4">
        <f>IFERROR(HH244/'McDonough &amp; Sun 1995 values'!S$2,)</f>
        <v>0</v>
      </c>
      <c r="IK244" s="4">
        <f>IFERROR(HI244/'McDonough &amp; Sun 1995 values'!T$2,)</f>
        <v>0</v>
      </c>
      <c r="IL244" s="4">
        <f>IFERROR(HJ244/'McDonough &amp; Sun 1995 values'!U$2,)</f>
        <v>0</v>
      </c>
      <c r="IM244" s="4">
        <f>IFERROR(HK244/'McDonough &amp; Sun 1995 values'!V$2,)</f>
        <v>0</v>
      </c>
      <c r="IN244" s="4">
        <f>IFERROR(HL244/'McDonough &amp; Sun 1995 values'!W$2,)</f>
        <v>0</v>
      </c>
      <c r="IO244" s="4">
        <f>IFERROR(HM244/'McDonough &amp; Sun 1995 values'!X$2,)</f>
        <v>0</v>
      </c>
      <c r="IP244" s="4">
        <f>IFERROR(HN244/'McDonough &amp; Sun 1995 values'!Y$2,)</f>
        <v>0</v>
      </c>
      <c r="IQ244" s="4">
        <f>IFERROR(HO244/'McDonough &amp; Sun 1995 values'!Z$2,)</f>
        <v>0</v>
      </c>
      <c r="IR244" s="4">
        <f>IFERROR(HP244/'McDonough &amp; Sun 1995 values'!AA$2,)</f>
        <v>0</v>
      </c>
      <c r="IS244" s="4">
        <f>IFERROR(HQ244/'McDonough &amp; Sun 1995 values'!AB$2,)</f>
        <v>0</v>
      </c>
      <c r="IT244" s="4">
        <f>IFERROR(HR244/'McDonough &amp; Sun 1995 values'!AC$2,)</f>
        <v>0</v>
      </c>
    </row>
    <row r="245" spans="1:254">
      <c r="A245" s="16" t="s">
        <v>1656</v>
      </c>
      <c r="B245" s="4" t="s">
        <v>24</v>
      </c>
      <c r="C245" s="16" t="str">
        <f t="shared" si="461"/>
        <v>silicic</v>
      </c>
      <c r="D245" s="4" t="s">
        <v>1724</v>
      </c>
      <c r="E245" s="4" t="s">
        <v>237</v>
      </c>
      <c r="F245" s="4" t="s">
        <v>849</v>
      </c>
      <c r="G245" s="4" t="s">
        <v>595</v>
      </c>
      <c r="H245" s="49">
        <v>364</v>
      </c>
      <c r="I245" s="4" t="s">
        <v>1148</v>
      </c>
      <c r="J245" s="4" t="s">
        <v>635</v>
      </c>
      <c r="K245" s="4" t="s">
        <v>1667</v>
      </c>
      <c r="M245" s="4" t="s">
        <v>1676</v>
      </c>
      <c r="N245" s="4">
        <v>30</v>
      </c>
      <c r="O245" s="4">
        <v>41.7</v>
      </c>
      <c r="P245" s="4">
        <v>1.33</v>
      </c>
      <c r="R245" s="4">
        <v>15.9</v>
      </c>
      <c r="S245" s="4">
        <v>3.6</v>
      </c>
      <c r="T245" s="4">
        <v>1.1200000000000001</v>
      </c>
      <c r="V245" s="4">
        <v>5.42</v>
      </c>
      <c r="W245" s="4">
        <v>1.1100000000000001</v>
      </c>
      <c r="X245" s="4">
        <v>22.7</v>
      </c>
      <c r="Z245" s="4">
        <v>6.2</v>
      </c>
      <c r="AA245" s="4">
        <v>0.23</v>
      </c>
      <c r="AD245" s="4">
        <v>0.67</v>
      </c>
      <c r="AJ245" s="26">
        <f t="shared" si="462"/>
        <v>99.75</v>
      </c>
      <c r="AK245" s="26">
        <f t="shared" si="533"/>
        <v>41.867877643460169</v>
      </c>
      <c r="AL245" s="26">
        <f t="shared" si="534"/>
        <v>1.3353543708825426</v>
      </c>
      <c r="AM245" s="26">
        <f t="shared" si="535"/>
        <v>15.96401090002438</v>
      </c>
      <c r="AN245" s="26">
        <f t="shared" si="536"/>
        <v>3.6144930339677845</v>
      </c>
      <c r="AO245" s="26">
        <f t="shared" si="537"/>
        <v>1.1245089439010885</v>
      </c>
      <c r="AP245" s="26">
        <f t="shared" si="538"/>
        <v>5.4418200678070532</v>
      </c>
      <c r="AQ245" s="26">
        <f t="shared" si="539"/>
        <v>0</v>
      </c>
      <c r="AR245" s="26">
        <f t="shared" si="540"/>
        <v>1.1144686854734003</v>
      </c>
      <c r="AS245" s="26">
        <f t="shared" si="541"/>
        <v>22.791386630852415</v>
      </c>
      <c r="AT245" s="26">
        <f t="shared" si="542"/>
        <v>6.2249602251667397</v>
      </c>
      <c r="AU245" s="26">
        <f t="shared" si="543"/>
        <v>0.6726973146551154</v>
      </c>
      <c r="AV245" s="26">
        <f t="shared" si="463"/>
        <v>100.15157781619068</v>
      </c>
      <c r="BB245" s="26">
        <v>0.41</v>
      </c>
      <c r="BC245" s="26">
        <f t="shared" si="544"/>
        <v>0.40999999999999992</v>
      </c>
      <c r="BD245" s="26">
        <f t="shared" si="545"/>
        <v>0.59000000000000008</v>
      </c>
      <c r="BG245" s="4">
        <v>1190.1392307692306</v>
      </c>
      <c r="BH245" s="4">
        <v>13.964464856373903</v>
      </c>
      <c r="BL245" s="26"/>
      <c r="BT245" s="44">
        <v>20051.16729017306</v>
      </c>
      <c r="CI245" s="44">
        <v>7178.3575595771617</v>
      </c>
      <c r="CJ245" s="44">
        <v>23.513219306349182</v>
      </c>
      <c r="CK245" s="44">
        <v>1128.2406518611217</v>
      </c>
      <c r="CM245" s="44">
        <v>111.71134885807757</v>
      </c>
      <c r="CS245" s="44">
        <v>3659.9501944999197</v>
      </c>
      <c r="CU245" s="44">
        <v>150.08847543658354</v>
      </c>
      <c r="CV245" s="44">
        <v>367.5125674006153</v>
      </c>
      <c r="CW245" s="44">
        <v>59.8586406243342</v>
      </c>
      <c r="CX245" s="44">
        <v>401.44950914306514</v>
      </c>
      <c r="CY245" s="44">
        <v>85.315845032288621</v>
      </c>
      <c r="CZ245" s="44">
        <v>13.606258372898877</v>
      </c>
      <c r="DA245" s="44">
        <v>37.367952028068117</v>
      </c>
      <c r="DB245" s="44">
        <v>10.015378905248918</v>
      </c>
      <c r="DC245" s="44">
        <v>2.3779568683598948</v>
      </c>
      <c r="DD245" s="44">
        <v>3.0676605182970129</v>
      </c>
      <c r="DF245" s="44">
        <v>2.5063417420308278</v>
      </c>
      <c r="DG245" s="44">
        <v>0.73883400862756865</v>
      </c>
      <c r="DH245" s="44">
        <v>36.414707531453381</v>
      </c>
      <c r="DI245" s="44">
        <v>2.733084744171236</v>
      </c>
      <c r="DK245" s="44">
        <v>73.22579544444703</v>
      </c>
      <c r="DL245" s="44">
        <v>5.0639428926652021</v>
      </c>
      <c r="DM245" s="44">
        <v>1.4705955575051401</v>
      </c>
      <c r="DN245" s="44">
        <v>2.0481445759545496</v>
      </c>
      <c r="EL245" s="18">
        <f>IFERROR(CR245/'McDonough &amp; Sun 1995 values'!C$2,)</f>
        <v>0</v>
      </c>
      <c r="EM245" s="18">
        <f>IFERROR(CH245/'McDonough &amp; Sun 1995 values'!D$2,)</f>
        <v>0</v>
      </c>
      <c r="EN245" s="18">
        <f>IFERROR(CS245/'McDonough &amp; Sun 1995 values'!E$2,)</f>
        <v>554.53790825756357</v>
      </c>
      <c r="EO245" s="18">
        <f>IFERROR(DL245/'McDonough &amp; Sun 1995 values'!F$2,)</f>
        <v>63.697394876291852</v>
      </c>
      <c r="EP245" s="18">
        <f>IFERROR(DM245/'McDonough &amp; Sun 1995 values'!G$2,)</f>
        <v>72.443130911583268</v>
      </c>
      <c r="EQ245" s="18">
        <f>IFERROR(BR245/'McDonough &amp; Sun 1995 values'!H$2,)</f>
        <v>0</v>
      </c>
      <c r="ER245" s="18">
        <f>IFERROR(DI245/'McDonough &amp; Sun 1995 values'!I$2,)</f>
        <v>73.867155247871253</v>
      </c>
      <c r="ES245" s="18">
        <f>IFERROR(CM245/'McDonough &amp; Sun 1995 values'!J$2,)</f>
        <v>169.77408641045224</v>
      </c>
      <c r="ET245" s="18">
        <f>IFERROR(CU245/'McDonough &amp; Sun 1995 values'!K$2,)</f>
        <v>231.61801764904865</v>
      </c>
      <c r="EU245" s="18">
        <f>IFERROR(CV245/'McDonough &amp; Sun 1995 values'!L$2,)</f>
        <v>219.41048800036734</v>
      </c>
      <c r="EV245" s="18">
        <f>IFERROR(CW245/'McDonough &amp; Sun 1995 values'!M$2,)</f>
        <v>235.66393946588266</v>
      </c>
      <c r="EW245" s="18">
        <f>IFERROR(CI245/'McDonough &amp; Sun 1995 values'!N$2,)</f>
        <v>360.72148540588756</v>
      </c>
      <c r="EX245" s="18">
        <f>IFERROR(CX245/'McDonough &amp; Sun 1995 values'!O$2,)</f>
        <v>321.1596073144521</v>
      </c>
      <c r="EY245" s="18">
        <f>IFERROR(CY245/'McDonough &amp; Sun 1995 values'!P$2,)</f>
        <v>210.13754934061237</v>
      </c>
      <c r="EZ245" s="18">
        <f>IFERROR(DH245/'McDonough &amp; Sun 1995 values'!Q$2,)</f>
        <v>128.67387820301551</v>
      </c>
      <c r="FA245" s="18">
        <f>IFERROR(CK245/'McDonough &amp; Sun 1995 values'!R$2,)</f>
        <v>107.45149065344016</v>
      </c>
      <c r="FB245" s="18">
        <f>IFERROR(CZ245/'McDonough &amp; Sun 1995 values'!S$2,)</f>
        <v>88.352327096745952</v>
      </c>
      <c r="FC245" s="18">
        <f>IFERROR(BT245/'McDonough &amp; Sun 1995 values'!T$2,)</f>
        <v>16.639972854915403</v>
      </c>
      <c r="FD245" s="18">
        <f>IFERROR(DA245/'McDonough &amp; Sun 1995 values'!U$2,)</f>
        <v>68.691088286889922</v>
      </c>
      <c r="FE245" s="18">
        <f>IFERROR(DN245/'McDonough &amp; Sun 1995 values'!V$2,)</f>
        <v>20.688329050045954</v>
      </c>
      <c r="FF245" s="18">
        <f>IFERROR(DB245/'McDonough &amp; Sun 1995 values'!W$2,)</f>
        <v>14.859612619063675</v>
      </c>
      <c r="FG245" s="18">
        <f>IFERROR(CJ245/'McDonough &amp; Sun 1995 values'!X$2,)</f>
        <v>5.4681905363602752</v>
      </c>
      <c r="FH245" s="18">
        <f>IFERROR(DC245/'McDonough &amp; Sun 1995 values'!Y$2,)</f>
        <v>15.959442069529496</v>
      </c>
      <c r="FI245" s="18">
        <f>IFERROR(DD245/'McDonough &amp; Sun 1995 values'!Z$2,)</f>
        <v>7.0037911376644129</v>
      </c>
      <c r="FJ245" s="18">
        <f>IFERROR(DE245/'McDonough &amp; Sun 1995 values'!AA$2,)</f>
        <v>0</v>
      </c>
      <c r="FK245" s="18">
        <f>IFERROR(DF245/'McDonough &amp; Sun 1995 values'!AB$2,)</f>
        <v>5.6833146077796552</v>
      </c>
      <c r="FL245" s="18">
        <f>IFERROR(DG245/'McDonough &amp; Sun 1995 values'!AC$2,)</f>
        <v>10.945689016704719</v>
      </c>
      <c r="FN245" s="28">
        <f t="shared" si="546"/>
        <v>0</v>
      </c>
      <c r="FO245" s="4">
        <f t="shared" si="547"/>
        <v>7.6548031715301796</v>
      </c>
      <c r="FP245" s="4">
        <f t="shared" si="548"/>
        <v>0.37518914825608091</v>
      </c>
      <c r="FQ245" s="4">
        <f t="shared" si="549"/>
        <v>0.87927446087379113</v>
      </c>
      <c r="FR245" s="4">
        <f t="shared" si="550"/>
        <v>1.3642719130237591</v>
      </c>
      <c r="FS245" s="4">
        <f t="shared" si="551"/>
        <v>3.135602242591081</v>
      </c>
      <c r="FT245" s="4">
        <f t="shared" si="552"/>
        <v>0</v>
      </c>
      <c r="FU245" s="4">
        <f t="shared" si="553"/>
        <v>0.43509087169691629</v>
      </c>
      <c r="FV245" s="4">
        <f t="shared" si="554"/>
        <v>0.51133883968196392</v>
      </c>
      <c r="FW245" s="4">
        <f t="shared" si="555"/>
        <v>0.83506840824295614</v>
      </c>
      <c r="FX245" s="4">
        <f t="shared" si="556"/>
        <v>0.6337392589837143</v>
      </c>
      <c r="FY245" s="4">
        <f t="shared" si="557"/>
        <v>1.3111880573893839</v>
      </c>
      <c r="FZ245" s="4">
        <f t="shared" si="558"/>
        <v>0.73538702449462423</v>
      </c>
      <c r="GA245" s="4">
        <f t="shared" si="559"/>
        <v>1.5306605084487677</v>
      </c>
      <c r="GB245" s="4">
        <f t="shared" si="560"/>
        <v>0.42044997371476667</v>
      </c>
      <c r="GC245" s="4">
        <f t="shared" si="561"/>
        <v>0</v>
      </c>
      <c r="GD245" s="4">
        <f t="shared" si="562"/>
        <v>8.7058177078441616</v>
      </c>
      <c r="GE245" s="4">
        <f t="shared" si="563"/>
        <v>0</v>
      </c>
      <c r="GF245" s="4">
        <f t="shared" si="564"/>
        <v>0</v>
      </c>
      <c r="GG245" s="4">
        <f t="shared" si="565"/>
        <v>3.2663283306787574</v>
      </c>
      <c r="GH245" s="4">
        <f t="shared" si="566"/>
        <v>0.98283181624645743</v>
      </c>
      <c r="GI245" s="4">
        <f t="shared" si="567"/>
        <v>1.1022209898984714</v>
      </c>
      <c r="GJ245" s="4">
        <f t="shared" si="568"/>
        <v>15.587083162040278</v>
      </c>
      <c r="GK245" s="4">
        <f t="shared" si="569"/>
        <v>40.754037675830276</v>
      </c>
      <c r="GL245" s="4">
        <f t="shared" si="570"/>
        <v>6.4574318474142993</v>
      </c>
      <c r="GM245" s="4">
        <f t="shared" si="571"/>
        <v>0</v>
      </c>
      <c r="GN245" s="4">
        <f t="shared" si="572"/>
        <v>0.73299170821717619</v>
      </c>
      <c r="GO245" s="4">
        <f t="shared" si="573"/>
        <v>2.343549820032782</v>
      </c>
      <c r="GP245" s="4">
        <f t="shared" si="574"/>
        <v>0</v>
      </c>
      <c r="GQ245" s="27">
        <f t="shared" si="575"/>
        <v>189199.80268343887</v>
      </c>
      <c r="GR245" s="28" t="str">
        <f t="shared" si="576"/>
        <v/>
      </c>
      <c r="GS245" s="28" t="str">
        <f t="shared" si="577"/>
        <v/>
      </c>
      <c r="GT245" s="28" t="str">
        <f t="shared" si="578"/>
        <v/>
      </c>
      <c r="GU245" s="28" t="str">
        <f t="shared" si="579"/>
        <v/>
      </c>
      <c r="GV245" s="28" t="str">
        <f t="shared" si="580"/>
        <v/>
      </c>
      <c r="GW245" s="28" t="str">
        <f t="shared" si="581"/>
        <v/>
      </c>
      <c r="GX245" s="28" t="str">
        <f t="shared" si="582"/>
        <v/>
      </c>
      <c r="GY245" s="28" t="str">
        <f t="shared" si="583"/>
        <v/>
      </c>
      <c r="GZ245" s="28" t="str">
        <f t="shared" si="584"/>
        <v/>
      </c>
      <c r="HA245" s="28" t="str">
        <f t="shared" si="585"/>
        <v/>
      </c>
      <c r="HB245" s="28" t="str">
        <f t="shared" si="586"/>
        <v/>
      </c>
      <c r="HC245" s="28" t="str">
        <f t="shared" si="587"/>
        <v/>
      </c>
      <c r="HD245" s="28" t="str">
        <f t="shared" si="588"/>
        <v/>
      </c>
      <c r="HE245" s="28" t="str">
        <f t="shared" si="589"/>
        <v/>
      </c>
      <c r="HF245" s="28" t="str">
        <f t="shared" si="590"/>
        <v/>
      </c>
      <c r="HG245" s="28" t="str">
        <f t="shared" si="591"/>
        <v/>
      </c>
      <c r="HH245" s="28" t="str">
        <f t="shared" si="592"/>
        <v/>
      </c>
      <c r="HI245" s="28" t="str">
        <f t="shared" si="593"/>
        <v/>
      </c>
      <c r="HJ245" s="28" t="str">
        <f t="shared" si="594"/>
        <v/>
      </c>
      <c r="HK245" s="28" t="str">
        <f t="shared" si="595"/>
        <v/>
      </c>
      <c r="HL245" s="28" t="str">
        <f t="shared" si="596"/>
        <v/>
      </c>
      <c r="HM245" s="28" t="str">
        <f t="shared" si="597"/>
        <v/>
      </c>
      <c r="HN245" s="28" t="str">
        <f t="shared" si="598"/>
        <v/>
      </c>
      <c r="HO245" s="28" t="str">
        <f t="shared" si="599"/>
        <v/>
      </c>
      <c r="HP245" s="28" t="str">
        <f t="shared" si="600"/>
        <v/>
      </c>
      <c r="HQ245" s="28" t="str">
        <f t="shared" si="601"/>
        <v/>
      </c>
      <c r="HR245" s="28" t="str">
        <f t="shared" si="602"/>
        <v/>
      </c>
      <c r="HT245" s="4">
        <f>IFERROR(GR245/'McDonough &amp; Sun 1995 values'!C$2,)</f>
        <v>0</v>
      </c>
      <c r="HU245" s="4">
        <f>IFERROR(GS245/'McDonough &amp; Sun 1995 values'!D$2,)</f>
        <v>0</v>
      </c>
      <c r="HV245" s="4">
        <f>IFERROR(GT245/'McDonough &amp; Sun 1995 values'!E$2,)</f>
        <v>0</v>
      </c>
      <c r="HW245" s="4">
        <f>IFERROR(GU245/'McDonough &amp; Sun 1995 values'!F$2,)</f>
        <v>0</v>
      </c>
      <c r="HX245" s="4">
        <f>IFERROR(GV245/'McDonough &amp; Sun 1995 values'!G$2,)</f>
        <v>0</v>
      </c>
      <c r="HY245" s="4">
        <f>IFERROR(GW245/'McDonough &amp; Sun 1995 values'!H$2,)</f>
        <v>0</v>
      </c>
      <c r="HZ245" s="4">
        <f>IFERROR(GX245/'McDonough &amp; Sun 1995 values'!I$2,)</f>
        <v>0</v>
      </c>
      <c r="IA245" s="4">
        <f>IFERROR(GY245/'McDonough &amp; Sun 1995 values'!J$2,)</f>
        <v>0</v>
      </c>
      <c r="IB245" s="4">
        <f>IFERROR(GZ245/'McDonough &amp; Sun 1995 values'!K$2,)</f>
        <v>0</v>
      </c>
      <c r="IC245" s="4">
        <f>IFERROR(HA245/'McDonough &amp; Sun 1995 values'!L$2,)</f>
        <v>0</v>
      </c>
      <c r="ID245" s="4">
        <f>IFERROR(HB245/'McDonough &amp; Sun 1995 values'!M$2,)</f>
        <v>0</v>
      </c>
      <c r="IE245" s="4">
        <f>IFERROR(HC245/'McDonough &amp; Sun 1995 values'!N$2,)</f>
        <v>0</v>
      </c>
      <c r="IF245" s="4">
        <f>IFERROR(HD245/'McDonough &amp; Sun 1995 values'!O$2,)</f>
        <v>0</v>
      </c>
      <c r="IG245" s="4">
        <f>IFERROR(HE245/'McDonough &amp; Sun 1995 values'!P$2,)</f>
        <v>0</v>
      </c>
      <c r="IH245" s="4">
        <f>IFERROR(HF245/'McDonough &amp; Sun 1995 values'!Q$2,)</f>
        <v>0</v>
      </c>
      <c r="II245" s="4">
        <f>IFERROR(HG245/'McDonough &amp; Sun 1995 values'!R$2,)</f>
        <v>0</v>
      </c>
      <c r="IJ245" s="4">
        <f>IFERROR(HH245/'McDonough &amp; Sun 1995 values'!S$2,)</f>
        <v>0</v>
      </c>
      <c r="IK245" s="4">
        <f>IFERROR(HI245/'McDonough &amp; Sun 1995 values'!T$2,)</f>
        <v>0</v>
      </c>
      <c r="IL245" s="4">
        <f>IFERROR(HJ245/'McDonough &amp; Sun 1995 values'!U$2,)</f>
        <v>0</v>
      </c>
      <c r="IM245" s="4">
        <f>IFERROR(HK245/'McDonough &amp; Sun 1995 values'!V$2,)</f>
        <v>0</v>
      </c>
      <c r="IN245" s="4">
        <f>IFERROR(HL245/'McDonough &amp; Sun 1995 values'!W$2,)</f>
        <v>0</v>
      </c>
      <c r="IO245" s="4">
        <f>IFERROR(HM245/'McDonough &amp; Sun 1995 values'!X$2,)</f>
        <v>0</v>
      </c>
      <c r="IP245" s="4">
        <f>IFERROR(HN245/'McDonough &amp; Sun 1995 values'!Y$2,)</f>
        <v>0</v>
      </c>
      <c r="IQ245" s="4">
        <f>IFERROR(HO245/'McDonough &amp; Sun 1995 values'!Z$2,)</f>
        <v>0</v>
      </c>
      <c r="IR245" s="4">
        <f>IFERROR(HP245/'McDonough &amp; Sun 1995 values'!AA$2,)</f>
        <v>0</v>
      </c>
      <c r="IS245" s="4">
        <f>IFERROR(HQ245/'McDonough &amp; Sun 1995 values'!AB$2,)</f>
        <v>0</v>
      </c>
      <c r="IT245" s="4">
        <f>IFERROR(HR245/'McDonough &amp; Sun 1995 values'!AC$2,)</f>
        <v>0</v>
      </c>
    </row>
    <row r="246" spans="1:254">
      <c r="A246" s="16" t="s">
        <v>905</v>
      </c>
      <c r="B246" s="16" t="s">
        <v>24</v>
      </c>
      <c r="C246" s="16" t="str">
        <f t="shared" si="461"/>
        <v>silicic - low-Mg carbonatitic</v>
      </c>
      <c r="D246" s="16" t="s">
        <v>71</v>
      </c>
      <c r="E246" s="16" t="s">
        <v>1627</v>
      </c>
      <c r="F246" s="16" t="s">
        <v>102</v>
      </c>
      <c r="G246" s="16">
        <v>0</v>
      </c>
      <c r="H246" s="27">
        <v>0</v>
      </c>
      <c r="I246" s="16" t="s">
        <v>712</v>
      </c>
      <c r="J246" s="16">
        <v>0</v>
      </c>
      <c r="K246" s="16" t="s">
        <v>48</v>
      </c>
      <c r="L246" s="16">
        <v>0</v>
      </c>
      <c r="M246" s="16" t="s">
        <v>906</v>
      </c>
      <c r="N246" s="16">
        <v>41</v>
      </c>
      <c r="O246" s="26">
        <v>25.643970137992195</v>
      </c>
      <c r="P246" s="26">
        <v>2.9673585839381653</v>
      </c>
      <c r="Q246" s="26"/>
      <c r="R246" s="26">
        <v>2.8444698464310338</v>
      </c>
      <c r="S246" s="26">
        <v>13.183621296509209</v>
      </c>
      <c r="T246" s="26">
        <v>7.0760476028863843</v>
      </c>
      <c r="U246" s="26"/>
      <c r="V246" s="26">
        <v>16.205420830515425</v>
      </c>
      <c r="W246" s="26">
        <v>3.9122240651379094</v>
      </c>
      <c r="X246" s="26">
        <v>15.226608070884451</v>
      </c>
      <c r="Y246" s="26"/>
      <c r="Z246" s="26">
        <v>5.1213488128810249</v>
      </c>
      <c r="AA246" s="26"/>
      <c r="AB246" s="26">
        <v>4.1045237860082695</v>
      </c>
      <c r="AC246" s="26"/>
      <c r="AD246" s="26">
        <v>4.7969299443943454</v>
      </c>
      <c r="AE246" s="26"/>
      <c r="AF246" s="26"/>
      <c r="AG246" s="26"/>
      <c r="AH246" s="26"/>
      <c r="AI246" s="26"/>
      <c r="AJ246" s="26">
        <f t="shared" si="462"/>
        <v>101.08252297757842</v>
      </c>
      <c r="AK246" s="26">
        <f t="shared" ref="AK246:AK277" si="603">100*(O246/($AJ246-$AD246*8/35.45))</f>
        <v>25.643970137992188</v>
      </c>
      <c r="AL246" s="26">
        <f t="shared" ref="AL246:AL277" si="604">100*(P246/($AJ246-$AD246*8/35.45))</f>
        <v>2.9673585839381649</v>
      </c>
      <c r="AM246" s="26">
        <f t="shared" ref="AM246:AM277" si="605">100*(R246/($AJ246-$AD246*8/35.45))</f>
        <v>2.8444698464310334</v>
      </c>
      <c r="AN246" s="26">
        <f t="shared" ref="AN246:AN277" si="606">100*(S246/($AJ246-$AD246*8/35.45))</f>
        <v>13.183621296509207</v>
      </c>
      <c r="AO246" s="26">
        <f t="shared" ref="AO246:AO277" si="607">100*(T246/($AJ246-$AD246*8/35.45))</f>
        <v>7.0760476028863835</v>
      </c>
      <c r="AP246" s="26">
        <f t="shared" ref="AP246:AP277" si="608">100*(V246/($AJ246-$AD246*8/35.45))</f>
        <v>16.205420830515425</v>
      </c>
      <c r="AQ246" s="26">
        <f t="shared" ref="AQ246:AQ277" si="609">100*(AB246/($AJ246-$AD246*8/35.45))</f>
        <v>4.1045237860082695</v>
      </c>
      <c r="AR246" s="26">
        <f t="shared" ref="AR246:AR277" si="610">100*(W246/($AJ246-$AD246*8/35.45))</f>
        <v>3.9122240651379094</v>
      </c>
      <c r="AS246" s="26">
        <f t="shared" ref="AS246:AS277" si="611">100*(X246/($AJ246-$AD246*8/35.45))</f>
        <v>15.226608070884447</v>
      </c>
      <c r="AT246" s="26">
        <f t="shared" ref="AT246:AT277" si="612">100*(Z246/($AJ246-$AD246*8/35.45))</f>
        <v>5.1213488128810241</v>
      </c>
      <c r="AU246" s="26">
        <f t="shared" ref="AU246:AU277" si="613">100*(AD246/($AJ246-$AD246*8/35.45))</f>
        <v>4.7969299443943445</v>
      </c>
      <c r="AV246" s="26">
        <f t="shared" si="463"/>
        <v>101.08252297757841</v>
      </c>
      <c r="AW246" s="16"/>
      <c r="AX246" s="16"/>
      <c r="AY246" s="16"/>
      <c r="AZ246" s="16"/>
      <c r="BA246" s="26"/>
      <c r="BB246" s="26"/>
      <c r="BC246" s="26"/>
      <c r="BD246" s="26"/>
      <c r="BE246" s="16"/>
      <c r="BF246" s="16"/>
      <c r="BG246" s="16" t="s">
        <v>909</v>
      </c>
      <c r="BH246" s="16"/>
      <c r="BI246" s="16">
        <v>0</v>
      </c>
      <c r="BJ246" s="16">
        <v>0</v>
      </c>
      <c r="BK246" s="18"/>
      <c r="BL246" s="18"/>
      <c r="BM246" s="18"/>
      <c r="BN246" s="18">
        <v>0</v>
      </c>
      <c r="BO246" s="18">
        <v>0</v>
      </c>
      <c r="BP246" s="18">
        <v>0</v>
      </c>
      <c r="BQ246" s="18">
        <v>0</v>
      </c>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c r="DS246" s="18"/>
      <c r="DT246" s="18"/>
      <c r="DU246" s="18"/>
      <c r="DV246" s="28"/>
      <c r="DW246" s="28"/>
      <c r="DX246" s="28"/>
      <c r="DY246" s="28"/>
      <c r="DZ246" s="28"/>
      <c r="EA246" s="28"/>
      <c r="EB246" s="28"/>
      <c r="EC246" s="28"/>
      <c r="ED246" s="28"/>
      <c r="EE246" s="28"/>
      <c r="EF246" s="28"/>
      <c r="EG246" s="28"/>
      <c r="EH246" s="28"/>
      <c r="EI246" s="28"/>
      <c r="EJ246" s="18"/>
      <c r="EK246" s="18"/>
      <c r="EL246" s="18">
        <f>IFERROR(CR246/'McDonough &amp; Sun 1995 values'!C$2,)</f>
        <v>0</v>
      </c>
      <c r="EM246" s="18">
        <f>IFERROR(CH246/'McDonough &amp; Sun 1995 values'!D$2,)</f>
        <v>0</v>
      </c>
      <c r="EN246" s="18">
        <f>IFERROR(CS246/'McDonough &amp; Sun 1995 values'!E$2,)</f>
        <v>0</v>
      </c>
      <c r="EO246" s="18">
        <f>IFERROR(DL246/'McDonough &amp; Sun 1995 values'!F$2,)</f>
        <v>0</v>
      </c>
      <c r="EP246" s="18">
        <f>IFERROR(DM246/'McDonough &amp; Sun 1995 values'!G$2,)</f>
        <v>0</v>
      </c>
      <c r="EQ246" s="18">
        <f>IFERROR(BR246/'McDonough &amp; Sun 1995 values'!H$2,)</f>
        <v>0</v>
      </c>
      <c r="ER246" s="18">
        <f>IFERROR(DI246/'McDonough &amp; Sun 1995 values'!I$2,)</f>
        <v>0</v>
      </c>
      <c r="ES246" s="18">
        <f>IFERROR(CM246/'McDonough &amp; Sun 1995 values'!J$2,)</f>
        <v>0</v>
      </c>
      <c r="ET246" s="18">
        <f>IFERROR(CU246/'McDonough &amp; Sun 1995 values'!K$2,)</f>
        <v>0</v>
      </c>
      <c r="EU246" s="18">
        <f>IFERROR(CV246/'McDonough &amp; Sun 1995 values'!L$2,)</f>
        <v>0</v>
      </c>
      <c r="EV246" s="18">
        <f>IFERROR(CW246/'McDonough &amp; Sun 1995 values'!M$2,)</f>
        <v>0</v>
      </c>
      <c r="EW246" s="18">
        <f>IFERROR(CI246/'McDonough &amp; Sun 1995 values'!N$2,)</f>
        <v>0</v>
      </c>
      <c r="EX246" s="18">
        <f>IFERROR(CX246/'McDonough &amp; Sun 1995 values'!O$2,)</f>
        <v>0</v>
      </c>
      <c r="EY246" s="18">
        <f>IFERROR(CY246/'McDonough &amp; Sun 1995 values'!P$2,)</f>
        <v>0</v>
      </c>
      <c r="EZ246" s="18">
        <f>IFERROR(DH246/'McDonough &amp; Sun 1995 values'!Q$2,)</f>
        <v>0</v>
      </c>
      <c r="FA246" s="18">
        <f>IFERROR(CK246/'McDonough &amp; Sun 1995 values'!R$2,)</f>
        <v>0</v>
      </c>
      <c r="FB246" s="18">
        <f>IFERROR(CZ246/'McDonough &amp; Sun 1995 values'!S$2,)</f>
        <v>0</v>
      </c>
      <c r="FC246" s="18">
        <f>IFERROR(BT246/'McDonough &amp; Sun 1995 values'!T$2,)</f>
        <v>0</v>
      </c>
      <c r="FD246" s="18">
        <f>IFERROR(DA246/'McDonough &amp; Sun 1995 values'!U$2,)</f>
        <v>0</v>
      </c>
      <c r="FE246" s="18">
        <f>IFERROR(DN246/'McDonough &amp; Sun 1995 values'!V$2,)</f>
        <v>0</v>
      </c>
      <c r="FF246" s="18">
        <f>IFERROR(DB246/'McDonough &amp; Sun 1995 values'!W$2,)</f>
        <v>0</v>
      </c>
      <c r="FG246" s="18">
        <f>IFERROR(CJ246/'McDonough &amp; Sun 1995 values'!X$2,)</f>
        <v>0</v>
      </c>
      <c r="FH246" s="18">
        <f>IFERROR(DC246/'McDonough &amp; Sun 1995 values'!Y$2,)</f>
        <v>0</v>
      </c>
      <c r="FI246" s="18">
        <f>IFERROR(DD246/'McDonough &amp; Sun 1995 values'!Z$2,)</f>
        <v>0</v>
      </c>
      <c r="FJ246" s="18">
        <f>IFERROR(DE246/'McDonough &amp; Sun 1995 values'!AA$2,)</f>
        <v>0</v>
      </c>
      <c r="FK246" s="18">
        <f>IFERROR(DF246/'McDonough &amp; Sun 1995 values'!AB$2,)</f>
        <v>0</v>
      </c>
      <c r="FL246" s="18">
        <f>IFERROR(DG246/'McDonough &amp; Sun 1995 values'!AC$2,)</f>
        <v>0</v>
      </c>
      <c r="FN246" s="28">
        <f t="shared" ref="FN246:FN304" si="614">IFERROR(EP246/EQ246,)</f>
        <v>0</v>
      </c>
      <c r="FO246" s="4">
        <f t="shared" si="547"/>
        <v>0</v>
      </c>
      <c r="FP246" s="4">
        <f t="shared" si="548"/>
        <v>0</v>
      </c>
      <c r="FQ246" s="4">
        <f t="shared" si="549"/>
        <v>0</v>
      </c>
      <c r="FR246" s="4">
        <f t="shared" si="550"/>
        <v>0</v>
      </c>
      <c r="FS246" s="4">
        <f t="shared" si="551"/>
        <v>0</v>
      </c>
      <c r="FT246" s="4">
        <f t="shared" si="552"/>
        <v>0</v>
      </c>
      <c r="FU246" s="4">
        <f t="shared" si="553"/>
        <v>0</v>
      </c>
      <c r="FV246" s="4">
        <f t="shared" si="554"/>
        <v>0</v>
      </c>
      <c r="FW246" s="4">
        <f t="shared" si="555"/>
        <v>0</v>
      </c>
      <c r="FX246" s="4">
        <f t="shared" si="556"/>
        <v>0</v>
      </c>
      <c r="FY246" s="4">
        <f t="shared" si="557"/>
        <v>0</v>
      </c>
      <c r="FZ246" s="4">
        <f t="shared" si="558"/>
        <v>0</v>
      </c>
      <c r="GA246" s="4">
        <f t="shared" si="559"/>
        <v>0</v>
      </c>
      <c r="GB246" s="4">
        <f t="shared" si="560"/>
        <v>0</v>
      </c>
      <c r="GC246" s="4">
        <f t="shared" si="561"/>
        <v>0</v>
      </c>
      <c r="GD246" s="4">
        <f t="shared" si="562"/>
        <v>0</v>
      </c>
      <c r="GE246" s="4">
        <f t="shared" si="563"/>
        <v>0</v>
      </c>
      <c r="GF246" s="4">
        <f t="shared" si="564"/>
        <v>0</v>
      </c>
      <c r="GG246" s="4">
        <f t="shared" si="565"/>
        <v>0</v>
      </c>
      <c r="GH246" s="4">
        <f t="shared" si="566"/>
        <v>0</v>
      </c>
      <c r="GI246" s="4">
        <f t="shared" si="567"/>
        <v>0</v>
      </c>
      <c r="GJ246" s="4">
        <f t="shared" si="568"/>
        <v>0</v>
      </c>
      <c r="GK246" s="4">
        <f t="shared" si="569"/>
        <v>0</v>
      </c>
      <c r="GL246" s="4">
        <f t="shared" si="570"/>
        <v>0</v>
      </c>
      <c r="GM246" s="4">
        <f t="shared" si="571"/>
        <v>0</v>
      </c>
      <c r="GN246" s="4">
        <f t="shared" si="572"/>
        <v>0</v>
      </c>
      <c r="GO246" s="4">
        <f t="shared" si="573"/>
        <v>0</v>
      </c>
      <c r="GP246" s="4">
        <f t="shared" si="574"/>
        <v>0</v>
      </c>
      <c r="GQ246" s="27">
        <f t="shared" si="575"/>
        <v>126401.75383842578</v>
      </c>
      <c r="GR246" s="28" t="str">
        <f t="shared" si="576"/>
        <v/>
      </c>
      <c r="GS246" s="28" t="str">
        <f t="shared" si="577"/>
        <v/>
      </c>
      <c r="GT246" s="28" t="str">
        <f t="shared" si="578"/>
        <v/>
      </c>
      <c r="GU246" s="28" t="str">
        <f t="shared" si="579"/>
        <v/>
      </c>
      <c r="GV246" s="28" t="str">
        <f t="shared" si="580"/>
        <v/>
      </c>
      <c r="GW246" s="28" t="str">
        <f t="shared" si="581"/>
        <v/>
      </c>
      <c r="GX246" s="28" t="str">
        <f t="shared" si="582"/>
        <v/>
      </c>
      <c r="GY246" s="28" t="str">
        <f t="shared" si="583"/>
        <v/>
      </c>
      <c r="GZ246" s="28" t="str">
        <f t="shared" si="584"/>
        <v/>
      </c>
      <c r="HA246" s="28" t="str">
        <f t="shared" si="585"/>
        <v/>
      </c>
      <c r="HB246" s="28" t="str">
        <f t="shared" si="586"/>
        <v/>
      </c>
      <c r="HC246" s="28" t="str">
        <f t="shared" si="587"/>
        <v/>
      </c>
      <c r="HD246" s="28" t="str">
        <f t="shared" si="588"/>
        <v/>
      </c>
      <c r="HE246" s="28" t="str">
        <f t="shared" si="589"/>
        <v/>
      </c>
      <c r="HF246" s="28" t="str">
        <f t="shared" si="590"/>
        <v/>
      </c>
      <c r="HG246" s="28" t="str">
        <f t="shared" si="591"/>
        <v/>
      </c>
      <c r="HH246" s="28" t="str">
        <f t="shared" si="592"/>
        <v/>
      </c>
      <c r="HI246" s="28" t="str">
        <f t="shared" si="593"/>
        <v/>
      </c>
      <c r="HJ246" s="28" t="str">
        <f t="shared" si="594"/>
        <v/>
      </c>
      <c r="HK246" s="28" t="str">
        <f t="shared" si="595"/>
        <v/>
      </c>
      <c r="HL246" s="28" t="str">
        <f t="shared" si="596"/>
        <v/>
      </c>
      <c r="HM246" s="28" t="str">
        <f t="shared" si="597"/>
        <v/>
      </c>
      <c r="HN246" s="28" t="str">
        <f t="shared" si="598"/>
        <v/>
      </c>
      <c r="HO246" s="28" t="str">
        <f t="shared" si="599"/>
        <v/>
      </c>
      <c r="HP246" s="28" t="str">
        <f t="shared" si="600"/>
        <v/>
      </c>
      <c r="HQ246" s="28" t="str">
        <f t="shared" si="601"/>
        <v/>
      </c>
      <c r="HR246" s="28" t="str">
        <f t="shared" si="602"/>
        <v/>
      </c>
      <c r="HT246" s="4">
        <f>IFERROR(GR246/'McDonough &amp; Sun 1995 values'!C$2,)</f>
        <v>0</v>
      </c>
      <c r="HU246" s="4">
        <f>IFERROR(GS246/'McDonough &amp; Sun 1995 values'!D$2,)</f>
        <v>0</v>
      </c>
      <c r="HV246" s="4">
        <f>IFERROR(GT246/'McDonough &amp; Sun 1995 values'!E$2,)</f>
        <v>0</v>
      </c>
      <c r="HW246" s="4">
        <f>IFERROR(GU246/'McDonough &amp; Sun 1995 values'!F$2,)</f>
        <v>0</v>
      </c>
      <c r="HX246" s="4">
        <f>IFERROR(GV246/'McDonough &amp; Sun 1995 values'!G$2,)</f>
        <v>0</v>
      </c>
      <c r="HY246" s="4">
        <f>IFERROR(GW246/'McDonough &amp; Sun 1995 values'!H$2,)</f>
        <v>0</v>
      </c>
      <c r="HZ246" s="4">
        <f>IFERROR(GX246/'McDonough &amp; Sun 1995 values'!I$2,)</f>
        <v>0</v>
      </c>
      <c r="IA246" s="4">
        <f>IFERROR(GY246/'McDonough &amp; Sun 1995 values'!J$2,)</f>
        <v>0</v>
      </c>
      <c r="IB246" s="4">
        <f>IFERROR(GZ246/'McDonough &amp; Sun 1995 values'!K$2,)</f>
        <v>0</v>
      </c>
      <c r="IC246" s="4">
        <f>IFERROR(HA246/'McDonough &amp; Sun 1995 values'!L$2,)</f>
        <v>0</v>
      </c>
      <c r="ID246" s="4">
        <f>IFERROR(HB246/'McDonough &amp; Sun 1995 values'!M$2,)</f>
        <v>0</v>
      </c>
      <c r="IE246" s="4">
        <f>IFERROR(HC246/'McDonough &amp; Sun 1995 values'!N$2,)</f>
        <v>0</v>
      </c>
      <c r="IF246" s="4">
        <f>IFERROR(HD246/'McDonough &amp; Sun 1995 values'!O$2,)</f>
        <v>0</v>
      </c>
      <c r="IG246" s="4">
        <f>IFERROR(HE246/'McDonough &amp; Sun 1995 values'!P$2,)</f>
        <v>0</v>
      </c>
      <c r="IH246" s="4">
        <f>IFERROR(HF246/'McDonough &amp; Sun 1995 values'!Q$2,)</f>
        <v>0</v>
      </c>
      <c r="II246" s="4">
        <f>IFERROR(HG246/'McDonough &amp; Sun 1995 values'!R$2,)</f>
        <v>0</v>
      </c>
      <c r="IJ246" s="4">
        <f>IFERROR(HH246/'McDonough &amp; Sun 1995 values'!S$2,)</f>
        <v>0</v>
      </c>
      <c r="IK246" s="4">
        <f>IFERROR(HI246/'McDonough &amp; Sun 1995 values'!T$2,)</f>
        <v>0</v>
      </c>
      <c r="IL246" s="4">
        <f>IFERROR(HJ246/'McDonough &amp; Sun 1995 values'!U$2,)</f>
        <v>0</v>
      </c>
      <c r="IM246" s="4">
        <f>IFERROR(HK246/'McDonough &amp; Sun 1995 values'!V$2,)</f>
        <v>0</v>
      </c>
      <c r="IN246" s="4">
        <f>IFERROR(HL246/'McDonough &amp; Sun 1995 values'!W$2,)</f>
        <v>0</v>
      </c>
      <c r="IO246" s="4">
        <f>IFERROR(HM246/'McDonough &amp; Sun 1995 values'!X$2,)</f>
        <v>0</v>
      </c>
      <c r="IP246" s="4">
        <f>IFERROR(HN246/'McDonough &amp; Sun 1995 values'!Y$2,)</f>
        <v>0</v>
      </c>
      <c r="IQ246" s="4">
        <f>IFERROR(HO246/'McDonough &amp; Sun 1995 values'!Z$2,)</f>
        <v>0</v>
      </c>
      <c r="IR246" s="4">
        <f>IFERROR(HP246/'McDonough &amp; Sun 1995 values'!AA$2,)</f>
        <v>0</v>
      </c>
      <c r="IS246" s="4">
        <f>IFERROR(HQ246/'McDonough &amp; Sun 1995 values'!AB$2,)</f>
        <v>0</v>
      </c>
      <c r="IT246" s="4">
        <f>IFERROR(HR246/'McDonough &amp; Sun 1995 values'!AC$2,)</f>
        <v>0</v>
      </c>
    </row>
    <row r="247" spans="1:254">
      <c r="A247" s="16" t="s">
        <v>905</v>
      </c>
      <c r="B247" s="16" t="s">
        <v>24</v>
      </c>
      <c r="C247" s="16" t="str">
        <f t="shared" si="461"/>
        <v>silicic - low-Mg carbonatitic</v>
      </c>
      <c r="D247" s="16" t="s">
        <v>71</v>
      </c>
      <c r="E247" s="16" t="s">
        <v>1627</v>
      </c>
      <c r="F247" s="16" t="s">
        <v>102</v>
      </c>
      <c r="G247" s="16">
        <v>0</v>
      </c>
      <c r="H247" s="27">
        <v>0</v>
      </c>
      <c r="I247" s="16" t="s">
        <v>712</v>
      </c>
      <c r="J247" s="16">
        <v>0</v>
      </c>
      <c r="K247" s="16" t="s">
        <v>48</v>
      </c>
      <c r="L247" s="16" t="s">
        <v>773</v>
      </c>
      <c r="M247" s="16" t="s">
        <v>907</v>
      </c>
      <c r="N247" s="16">
        <v>23</v>
      </c>
      <c r="O247" s="26">
        <v>25.386696717250683</v>
      </c>
      <c r="P247" s="26">
        <v>3.1161521041815967</v>
      </c>
      <c r="Q247" s="26"/>
      <c r="R247" s="26">
        <v>2.5910719543979468</v>
      </c>
      <c r="S247" s="26">
        <v>13.473327252498564</v>
      </c>
      <c r="T247" s="26">
        <v>6.9858425886540525</v>
      </c>
      <c r="U247" s="26"/>
      <c r="V247" s="26">
        <v>16.880299704041377</v>
      </c>
      <c r="W247" s="26">
        <v>4.5342257125009944</v>
      </c>
      <c r="X247" s="26">
        <v>15.688520391840079</v>
      </c>
      <c r="Y247" s="26"/>
      <c r="Z247" s="26">
        <v>5.3680830350195921</v>
      </c>
      <c r="AA247" s="26"/>
      <c r="AB247" s="26">
        <v>2.1646841448001566</v>
      </c>
      <c r="AC247" s="26"/>
      <c r="AD247" s="26">
        <v>4.8218610568647451</v>
      </c>
      <c r="AE247" s="26"/>
      <c r="AF247" s="26"/>
      <c r="AG247" s="26"/>
      <c r="AH247" s="26"/>
      <c r="AI247" s="26"/>
      <c r="AJ247" s="26">
        <f t="shared" si="462"/>
        <v>101.01076466204981</v>
      </c>
      <c r="AK247" s="26">
        <f t="shared" si="603"/>
        <v>25.406357304550927</v>
      </c>
      <c r="AL247" s="26">
        <f t="shared" si="604"/>
        <v>3.1185653909974222</v>
      </c>
      <c r="AM247" s="26">
        <f t="shared" si="605"/>
        <v>2.5930785957868614</v>
      </c>
      <c r="AN247" s="26">
        <f t="shared" si="606"/>
        <v>13.483761596502545</v>
      </c>
      <c r="AO247" s="26">
        <f t="shared" si="607"/>
        <v>6.9912527359296011</v>
      </c>
      <c r="AP247" s="26">
        <f t="shared" si="608"/>
        <v>16.893372559075726</v>
      </c>
      <c r="AQ247" s="26">
        <f t="shared" si="609"/>
        <v>2.1663605725008654</v>
      </c>
      <c r="AR247" s="26">
        <f t="shared" si="610"/>
        <v>4.5377372186040734</v>
      </c>
      <c r="AS247" s="26">
        <f t="shared" si="611"/>
        <v>15.700670279957105</v>
      </c>
      <c r="AT247" s="26">
        <f t="shared" si="612"/>
        <v>5.3722403173285285</v>
      </c>
      <c r="AU247" s="26">
        <f t="shared" si="613"/>
        <v>4.8255953205743563</v>
      </c>
      <c r="AV247" s="26">
        <f t="shared" si="463"/>
        <v>101.08899189180801</v>
      </c>
      <c r="AW247" s="16"/>
      <c r="AX247" s="16"/>
      <c r="AY247" s="16"/>
      <c r="AZ247" s="16"/>
      <c r="BA247" s="26"/>
      <c r="BB247" s="26"/>
      <c r="BC247" s="26"/>
      <c r="BD247" s="26"/>
      <c r="BE247" s="16"/>
      <c r="BF247" s="16"/>
      <c r="BG247" s="16" t="s">
        <v>910</v>
      </c>
      <c r="BH247" s="16"/>
      <c r="BI247" s="16">
        <v>0</v>
      </c>
      <c r="BJ247" s="16">
        <v>0</v>
      </c>
      <c r="BK247" s="18">
        <v>0</v>
      </c>
      <c r="BL247" s="18">
        <v>0</v>
      </c>
      <c r="BM247" s="18">
        <v>0</v>
      </c>
      <c r="BN247" s="18">
        <v>0</v>
      </c>
      <c r="BO247" s="18">
        <v>0</v>
      </c>
      <c r="BP247" s="18">
        <v>0</v>
      </c>
      <c r="BQ247" s="18">
        <v>0</v>
      </c>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18"/>
      <c r="DL247" s="18"/>
      <c r="DM247" s="18"/>
      <c r="DN247" s="18"/>
      <c r="DO247" s="18"/>
      <c r="DP247" s="18"/>
      <c r="DQ247" s="18"/>
      <c r="DR247" s="18"/>
      <c r="DS247" s="18"/>
      <c r="DT247" s="18"/>
      <c r="DU247" s="18"/>
      <c r="DV247" s="28"/>
      <c r="DW247" s="28"/>
      <c r="DX247" s="28"/>
      <c r="DY247" s="28"/>
      <c r="DZ247" s="28"/>
      <c r="EA247" s="28"/>
      <c r="EB247" s="28"/>
      <c r="EC247" s="28"/>
      <c r="ED247" s="28"/>
      <c r="EE247" s="28"/>
      <c r="EF247" s="28"/>
      <c r="EG247" s="28"/>
      <c r="EH247" s="28"/>
      <c r="EI247" s="28"/>
      <c r="EJ247" s="18"/>
      <c r="EK247" s="18"/>
      <c r="EL247" s="18">
        <f>IFERROR(CR247/'McDonough &amp; Sun 1995 values'!C$2,)</f>
        <v>0</v>
      </c>
      <c r="EM247" s="18">
        <f>IFERROR(CH247/'McDonough &amp; Sun 1995 values'!D$2,)</f>
        <v>0</v>
      </c>
      <c r="EN247" s="18">
        <f>IFERROR(CS247/'McDonough &amp; Sun 1995 values'!E$2,)</f>
        <v>0</v>
      </c>
      <c r="EO247" s="18">
        <f>IFERROR(DL247/'McDonough &amp; Sun 1995 values'!F$2,)</f>
        <v>0</v>
      </c>
      <c r="EP247" s="18">
        <f>IFERROR(DM247/'McDonough &amp; Sun 1995 values'!G$2,)</f>
        <v>0</v>
      </c>
      <c r="EQ247" s="18">
        <f>IFERROR(BR247/'McDonough &amp; Sun 1995 values'!H$2,)</f>
        <v>0</v>
      </c>
      <c r="ER247" s="18">
        <f>IFERROR(DI247/'McDonough &amp; Sun 1995 values'!I$2,)</f>
        <v>0</v>
      </c>
      <c r="ES247" s="18">
        <f>IFERROR(CM247/'McDonough &amp; Sun 1995 values'!J$2,)</f>
        <v>0</v>
      </c>
      <c r="ET247" s="18">
        <f>IFERROR(CU247/'McDonough &amp; Sun 1995 values'!K$2,)</f>
        <v>0</v>
      </c>
      <c r="EU247" s="18">
        <f>IFERROR(CV247/'McDonough &amp; Sun 1995 values'!L$2,)</f>
        <v>0</v>
      </c>
      <c r="EV247" s="18">
        <f>IFERROR(CW247/'McDonough &amp; Sun 1995 values'!M$2,)</f>
        <v>0</v>
      </c>
      <c r="EW247" s="18">
        <f>IFERROR(CI247/'McDonough &amp; Sun 1995 values'!N$2,)</f>
        <v>0</v>
      </c>
      <c r="EX247" s="18">
        <f>IFERROR(CX247/'McDonough &amp; Sun 1995 values'!O$2,)</f>
        <v>0</v>
      </c>
      <c r="EY247" s="18">
        <f>IFERROR(CY247/'McDonough &amp; Sun 1995 values'!P$2,)</f>
        <v>0</v>
      </c>
      <c r="EZ247" s="18">
        <f>IFERROR(DH247/'McDonough &amp; Sun 1995 values'!Q$2,)</f>
        <v>0</v>
      </c>
      <c r="FA247" s="18">
        <f>IFERROR(CK247/'McDonough &amp; Sun 1995 values'!R$2,)</f>
        <v>0</v>
      </c>
      <c r="FB247" s="18">
        <f>IFERROR(CZ247/'McDonough &amp; Sun 1995 values'!S$2,)</f>
        <v>0</v>
      </c>
      <c r="FC247" s="18">
        <f>IFERROR(BT247/'McDonough &amp; Sun 1995 values'!T$2,)</f>
        <v>0</v>
      </c>
      <c r="FD247" s="18">
        <f>IFERROR(DA247/'McDonough &amp; Sun 1995 values'!U$2,)</f>
        <v>0</v>
      </c>
      <c r="FE247" s="18">
        <f>IFERROR(DN247/'McDonough &amp; Sun 1995 values'!V$2,)</f>
        <v>0</v>
      </c>
      <c r="FF247" s="18">
        <f>IFERROR(DB247/'McDonough &amp; Sun 1995 values'!W$2,)</f>
        <v>0</v>
      </c>
      <c r="FG247" s="18">
        <f>IFERROR(CJ247/'McDonough &amp; Sun 1995 values'!X$2,)</f>
        <v>0</v>
      </c>
      <c r="FH247" s="18">
        <f>IFERROR(DC247/'McDonough &amp; Sun 1995 values'!Y$2,)</f>
        <v>0</v>
      </c>
      <c r="FI247" s="18">
        <f>IFERROR(DD247/'McDonough &amp; Sun 1995 values'!Z$2,)</f>
        <v>0</v>
      </c>
      <c r="FJ247" s="18">
        <f>IFERROR(DE247/'McDonough &amp; Sun 1995 values'!AA$2,)</f>
        <v>0</v>
      </c>
      <c r="FK247" s="18">
        <f>IFERROR(DF247/'McDonough &amp; Sun 1995 values'!AB$2,)</f>
        <v>0</v>
      </c>
      <c r="FL247" s="18">
        <f>IFERROR(DG247/'McDonough &amp; Sun 1995 values'!AC$2,)</f>
        <v>0</v>
      </c>
      <c r="FN247" s="28">
        <f t="shared" si="614"/>
        <v>0</v>
      </c>
      <c r="FO247" s="4">
        <f t="shared" si="547"/>
        <v>0</v>
      </c>
      <c r="FP247" s="4">
        <f t="shared" si="548"/>
        <v>0</v>
      </c>
      <c r="FQ247" s="4">
        <f t="shared" si="549"/>
        <v>0</v>
      </c>
      <c r="FR247" s="4">
        <f t="shared" si="550"/>
        <v>0</v>
      </c>
      <c r="FS247" s="4">
        <f t="shared" si="551"/>
        <v>0</v>
      </c>
      <c r="FT247" s="4">
        <f t="shared" si="552"/>
        <v>0</v>
      </c>
      <c r="FU247" s="4">
        <f t="shared" si="553"/>
        <v>0</v>
      </c>
      <c r="FV247" s="4">
        <f t="shared" si="554"/>
        <v>0</v>
      </c>
      <c r="FW247" s="4">
        <f t="shared" si="555"/>
        <v>0</v>
      </c>
      <c r="FX247" s="4">
        <f t="shared" si="556"/>
        <v>0</v>
      </c>
      <c r="FY247" s="4">
        <f t="shared" si="557"/>
        <v>0</v>
      </c>
      <c r="FZ247" s="4">
        <f t="shared" si="558"/>
        <v>0</v>
      </c>
      <c r="GA247" s="4">
        <f t="shared" si="559"/>
        <v>0</v>
      </c>
      <c r="GB247" s="4">
        <f t="shared" si="560"/>
        <v>0</v>
      </c>
      <c r="GC247" s="4">
        <f t="shared" si="561"/>
        <v>0</v>
      </c>
      <c r="GD247" s="4">
        <f t="shared" si="562"/>
        <v>0</v>
      </c>
      <c r="GE247" s="4">
        <f t="shared" si="563"/>
        <v>0</v>
      </c>
      <c r="GF247" s="4">
        <f t="shared" si="564"/>
        <v>0</v>
      </c>
      <c r="GG247" s="4">
        <f t="shared" si="565"/>
        <v>0</v>
      </c>
      <c r="GH247" s="4">
        <f t="shared" si="566"/>
        <v>0</v>
      </c>
      <c r="GI247" s="4">
        <f t="shared" si="567"/>
        <v>0</v>
      </c>
      <c r="GJ247" s="4">
        <f t="shared" si="568"/>
        <v>0</v>
      </c>
      <c r="GK247" s="4">
        <f t="shared" si="569"/>
        <v>0</v>
      </c>
      <c r="GL247" s="4">
        <f t="shared" si="570"/>
        <v>0</v>
      </c>
      <c r="GM247" s="4">
        <f t="shared" si="571"/>
        <v>0</v>
      </c>
      <c r="GN247" s="4">
        <f t="shared" si="572"/>
        <v>0</v>
      </c>
      <c r="GO247" s="4">
        <f t="shared" si="573"/>
        <v>0</v>
      </c>
      <c r="GP247" s="4">
        <f t="shared" si="574"/>
        <v>0</v>
      </c>
      <c r="GQ247" s="27">
        <f t="shared" si="575"/>
        <v>130337.12108347117</v>
      </c>
      <c r="GR247" s="28" t="str">
        <f t="shared" si="576"/>
        <v/>
      </c>
      <c r="GS247" s="28" t="str">
        <f t="shared" si="577"/>
        <v/>
      </c>
      <c r="GT247" s="28" t="str">
        <f t="shared" si="578"/>
        <v/>
      </c>
      <c r="GU247" s="28" t="str">
        <f t="shared" si="579"/>
        <v/>
      </c>
      <c r="GV247" s="28" t="str">
        <f t="shared" si="580"/>
        <v/>
      </c>
      <c r="GW247" s="28" t="str">
        <f t="shared" si="581"/>
        <v/>
      </c>
      <c r="GX247" s="28" t="str">
        <f t="shared" si="582"/>
        <v/>
      </c>
      <c r="GY247" s="28" t="str">
        <f t="shared" si="583"/>
        <v/>
      </c>
      <c r="GZ247" s="28" t="str">
        <f t="shared" si="584"/>
        <v/>
      </c>
      <c r="HA247" s="28" t="str">
        <f t="shared" si="585"/>
        <v/>
      </c>
      <c r="HB247" s="28" t="str">
        <f t="shared" si="586"/>
        <v/>
      </c>
      <c r="HC247" s="28" t="str">
        <f t="shared" si="587"/>
        <v/>
      </c>
      <c r="HD247" s="28" t="str">
        <f t="shared" si="588"/>
        <v/>
      </c>
      <c r="HE247" s="28" t="str">
        <f t="shared" si="589"/>
        <v/>
      </c>
      <c r="HF247" s="28" t="str">
        <f t="shared" si="590"/>
        <v/>
      </c>
      <c r="HG247" s="28" t="str">
        <f t="shared" si="591"/>
        <v/>
      </c>
      <c r="HH247" s="28" t="str">
        <f t="shared" si="592"/>
        <v/>
      </c>
      <c r="HI247" s="28" t="str">
        <f t="shared" si="593"/>
        <v/>
      </c>
      <c r="HJ247" s="28" t="str">
        <f t="shared" si="594"/>
        <v/>
      </c>
      <c r="HK247" s="28" t="str">
        <f t="shared" si="595"/>
        <v/>
      </c>
      <c r="HL247" s="28" t="str">
        <f t="shared" si="596"/>
        <v/>
      </c>
      <c r="HM247" s="28" t="str">
        <f t="shared" si="597"/>
        <v/>
      </c>
      <c r="HN247" s="28" t="str">
        <f t="shared" si="598"/>
        <v/>
      </c>
      <c r="HO247" s="28" t="str">
        <f t="shared" si="599"/>
        <v/>
      </c>
      <c r="HP247" s="28" t="str">
        <f t="shared" si="600"/>
        <v/>
      </c>
      <c r="HQ247" s="28" t="str">
        <f t="shared" si="601"/>
        <v/>
      </c>
      <c r="HR247" s="28" t="str">
        <f t="shared" si="602"/>
        <v/>
      </c>
      <c r="HT247" s="4">
        <f>IFERROR(GR247/'McDonough &amp; Sun 1995 values'!C$2,)</f>
        <v>0</v>
      </c>
      <c r="HU247" s="4">
        <f>IFERROR(GS247/'McDonough &amp; Sun 1995 values'!D$2,)</f>
        <v>0</v>
      </c>
      <c r="HV247" s="4">
        <f>IFERROR(GT247/'McDonough &amp; Sun 1995 values'!E$2,)</f>
        <v>0</v>
      </c>
      <c r="HW247" s="4">
        <f>IFERROR(GU247/'McDonough &amp; Sun 1995 values'!F$2,)</f>
        <v>0</v>
      </c>
      <c r="HX247" s="4">
        <f>IFERROR(GV247/'McDonough &amp; Sun 1995 values'!G$2,)</f>
        <v>0</v>
      </c>
      <c r="HY247" s="4">
        <f>IFERROR(GW247/'McDonough &amp; Sun 1995 values'!H$2,)</f>
        <v>0</v>
      </c>
      <c r="HZ247" s="4">
        <f>IFERROR(GX247/'McDonough &amp; Sun 1995 values'!I$2,)</f>
        <v>0</v>
      </c>
      <c r="IA247" s="4">
        <f>IFERROR(GY247/'McDonough &amp; Sun 1995 values'!J$2,)</f>
        <v>0</v>
      </c>
      <c r="IB247" s="4">
        <f>IFERROR(GZ247/'McDonough &amp; Sun 1995 values'!K$2,)</f>
        <v>0</v>
      </c>
      <c r="IC247" s="4">
        <f>IFERROR(HA247/'McDonough &amp; Sun 1995 values'!L$2,)</f>
        <v>0</v>
      </c>
      <c r="ID247" s="4">
        <f>IFERROR(HB247/'McDonough &amp; Sun 1995 values'!M$2,)</f>
        <v>0</v>
      </c>
      <c r="IE247" s="4">
        <f>IFERROR(HC247/'McDonough &amp; Sun 1995 values'!N$2,)</f>
        <v>0</v>
      </c>
      <c r="IF247" s="4">
        <f>IFERROR(HD247/'McDonough &amp; Sun 1995 values'!O$2,)</f>
        <v>0</v>
      </c>
      <c r="IG247" s="4">
        <f>IFERROR(HE247/'McDonough &amp; Sun 1995 values'!P$2,)</f>
        <v>0</v>
      </c>
      <c r="IH247" s="4">
        <f>IFERROR(HF247/'McDonough &amp; Sun 1995 values'!Q$2,)</f>
        <v>0</v>
      </c>
      <c r="II247" s="4">
        <f>IFERROR(HG247/'McDonough &amp; Sun 1995 values'!R$2,)</f>
        <v>0</v>
      </c>
      <c r="IJ247" s="4">
        <f>IFERROR(HH247/'McDonough &amp; Sun 1995 values'!S$2,)</f>
        <v>0</v>
      </c>
      <c r="IK247" s="4">
        <f>IFERROR(HI247/'McDonough &amp; Sun 1995 values'!T$2,)</f>
        <v>0</v>
      </c>
      <c r="IL247" s="4">
        <f>IFERROR(HJ247/'McDonough &amp; Sun 1995 values'!U$2,)</f>
        <v>0</v>
      </c>
      <c r="IM247" s="4">
        <f>IFERROR(HK247/'McDonough &amp; Sun 1995 values'!V$2,)</f>
        <v>0</v>
      </c>
      <c r="IN247" s="4">
        <f>IFERROR(HL247/'McDonough &amp; Sun 1995 values'!W$2,)</f>
        <v>0</v>
      </c>
      <c r="IO247" s="4">
        <f>IFERROR(HM247/'McDonough &amp; Sun 1995 values'!X$2,)</f>
        <v>0</v>
      </c>
      <c r="IP247" s="4">
        <f>IFERROR(HN247/'McDonough &amp; Sun 1995 values'!Y$2,)</f>
        <v>0</v>
      </c>
      <c r="IQ247" s="4">
        <f>IFERROR(HO247/'McDonough &amp; Sun 1995 values'!Z$2,)</f>
        <v>0</v>
      </c>
      <c r="IR247" s="4">
        <f>IFERROR(HP247/'McDonough &amp; Sun 1995 values'!AA$2,)</f>
        <v>0</v>
      </c>
      <c r="IS247" s="4">
        <f>IFERROR(HQ247/'McDonough &amp; Sun 1995 values'!AB$2,)</f>
        <v>0</v>
      </c>
      <c r="IT247" s="4">
        <f>IFERROR(HR247/'McDonough &amp; Sun 1995 values'!AC$2,)</f>
        <v>0</v>
      </c>
    </row>
    <row r="248" spans="1:254">
      <c r="A248" s="16" t="s">
        <v>905</v>
      </c>
      <c r="B248" s="16" t="s">
        <v>24</v>
      </c>
      <c r="C248" s="16" t="str">
        <f t="shared" si="461"/>
        <v>silicic - low-Mg carbonatitic</v>
      </c>
      <c r="D248" s="16" t="s">
        <v>71</v>
      </c>
      <c r="E248" s="16" t="s">
        <v>1627</v>
      </c>
      <c r="F248" s="16" t="s">
        <v>102</v>
      </c>
      <c r="G248" s="16">
        <v>0</v>
      </c>
      <c r="H248" s="27">
        <v>0</v>
      </c>
      <c r="I248" s="16" t="s">
        <v>712</v>
      </c>
      <c r="J248" s="16">
        <v>0</v>
      </c>
      <c r="K248" s="16" t="s">
        <v>48</v>
      </c>
      <c r="L248" s="16">
        <v>0</v>
      </c>
      <c r="M248" s="16" t="s">
        <v>103</v>
      </c>
      <c r="N248" s="16">
        <v>84</v>
      </c>
      <c r="O248" s="26">
        <v>38.606944911964739</v>
      </c>
      <c r="P248" s="26">
        <v>2.3891913979727128</v>
      </c>
      <c r="Q248" s="26"/>
      <c r="R248" s="26">
        <v>7.3910834812109787</v>
      </c>
      <c r="S248" s="26">
        <v>6.4151746385952064</v>
      </c>
      <c r="T248" s="26">
        <v>3.0067928954274374</v>
      </c>
      <c r="U248" s="26"/>
      <c r="V248" s="26">
        <v>11.691011418148431</v>
      </c>
      <c r="W248" s="26">
        <v>3.1024595203643495</v>
      </c>
      <c r="X248" s="26">
        <v>16.103855718235341</v>
      </c>
      <c r="Y248" s="26"/>
      <c r="Z248" s="26">
        <v>4.2950319432363404</v>
      </c>
      <c r="AA248" s="26"/>
      <c r="AB248" s="26">
        <v>3.0700038204736106</v>
      </c>
      <c r="AC248" s="26"/>
      <c r="AD248" s="26">
        <v>4.8799347983166941</v>
      </c>
      <c r="AE248" s="26"/>
      <c r="AF248" s="26"/>
      <c r="AG248" s="26"/>
      <c r="AH248" s="26"/>
      <c r="AI248" s="26"/>
      <c r="AJ248" s="26">
        <f t="shared" si="462"/>
        <v>100.95148454394584</v>
      </c>
      <c r="AK248" s="26">
        <f t="shared" si="603"/>
        <v>38.66485331516769</v>
      </c>
      <c r="AL248" s="26">
        <f t="shared" si="604"/>
        <v>2.3927750604230393</v>
      </c>
      <c r="AM248" s="26">
        <f t="shared" si="605"/>
        <v>7.4021697208321813</v>
      </c>
      <c r="AN248" s="26">
        <f t="shared" si="606"/>
        <v>6.4247970658666791</v>
      </c>
      <c r="AO248" s="26">
        <f t="shared" si="607"/>
        <v>3.0113029279030248</v>
      </c>
      <c r="AP248" s="26">
        <f t="shared" si="608"/>
        <v>11.708547325343268</v>
      </c>
      <c r="AQ248" s="26">
        <f t="shared" si="609"/>
        <v>3.0746086660389866</v>
      </c>
      <c r="AR248" s="26">
        <f t="shared" si="610"/>
        <v>3.1071130477863136</v>
      </c>
      <c r="AS248" s="26">
        <f t="shared" si="611"/>
        <v>16.128010661657573</v>
      </c>
      <c r="AT248" s="26">
        <f t="shared" si="612"/>
        <v>4.3014742670748527</v>
      </c>
      <c r="AU248" s="26">
        <f t="shared" si="613"/>
        <v>4.887254445922828</v>
      </c>
      <c r="AV248" s="26">
        <f t="shared" si="463"/>
        <v>101.10290650401643</v>
      </c>
      <c r="AW248" s="16"/>
      <c r="AX248" s="16"/>
      <c r="AY248" s="16"/>
      <c r="AZ248" s="16"/>
      <c r="BA248" s="26"/>
      <c r="BB248" s="26"/>
      <c r="BC248" s="26"/>
      <c r="BD248" s="26"/>
      <c r="BE248" s="16"/>
      <c r="BF248" s="16"/>
      <c r="BG248" s="16" t="s">
        <v>908</v>
      </c>
      <c r="BH248" s="16"/>
      <c r="BI248" s="16">
        <v>0</v>
      </c>
      <c r="BJ248" s="16">
        <v>0</v>
      </c>
      <c r="BK248" s="18">
        <v>0</v>
      </c>
      <c r="BL248" s="18">
        <v>0</v>
      </c>
      <c r="BM248" s="18">
        <v>0</v>
      </c>
      <c r="BN248" s="18">
        <v>0</v>
      </c>
      <c r="BO248" s="18">
        <v>0</v>
      </c>
      <c r="BP248" s="18">
        <v>0</v>
      </c>
      <c r="BQ248" s="18">
        <v>0</v>
      </c>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c r="DS248" s="18"/>
      <c r="DT248" s="18"/>
      <c r="DU248" s="18"/>
      <c r="DV248" s="28"/>
      <c r="DW248" s="28"/>
      <c r="DX248" s="28"/>
      <c r="DY248" s="28"/>
      <c r="DZ248" s="28"/>
      <c r="EA248" s="28"/>
      <c r="EB248" s="28"/>
      <c r="EC248" s="28"/>
      <c r="ED248" s="28"/>
      <c r="EE248" s="28"/>
      <c r="EF248" s="28"/>
      <c r="EG248" s="28"/>
      <c r="EH248" s="28"/>
      <c r="EI248" s="28"/>
      <c r="EJ248" s="18"/>
      <c r="EK248" s="18"/>
      <c r="EL248" s="18">
        <f>IFERROR(CR248/'McDonough &amp; Sun 1995 values'!C$2,)</f>
        <v>0</v>
      </c>
      <c r="EM248" s="18">
        <f>IFERROR(CH248/'McDonough &amp; Sun 1995 values'!D$2,)</f>
        <v>0</v>
      </c>
      <c r="EN248" s="18">
        <f>IFERROR(CS248/'McDonough &amp; Sun 1995 values'!E$2,)</f>
        <v>0</v>
      </c>
      <c r="EO248" s="18">
        <f>IFERROR(DL248/'McDonough &amp; Sun 1995 values'!F$2,)</f>
        <v>0</v>
      </c>
      <c r="EP248" s="18">
        <f>IFERROR(DM248/'McDonough &amp; Sun 1995 values'!G$2,)</f>
        <v>0</v>
      </c>
      <c r="EQ248" s="18">
        <f>IFERROR(BR248/'McDonough &amp; Sun 1995 values'!H$2,)</f>
        <v>0</v>
      </c>
      <c r="ER248" s="18">
        <f>IFERROR(DI248/'McDonough &amp; Sun 1995 values'!I$2,)</f>
        <v>0</v>
      </c>
      <c r="ES248" s="18">
        <f>IFERROR(CM248/'McDonough &amp; Sun 1995 values'!J$2,)</f>
        <v>0</v>
      </c>
      <c r="ET248" s="18">
        <f>IFERROR(CU248/'McDonough &amp; Sun 1995 values'!K$2,)</f>
        <v>0</v>
      </c>
      <c r="EU248" s="18">
        <f>IFERROR(CV248/'McDonough &amp; Sun 1995 values'!L$2,)</f>
        <v>0</v>
      </c>
      <c r="EV248" s="18">
        <f>IFERROR(CW248/'McDonough &amp; Sun 1995 values'!M$2,)</f>
        <v>0</v>
      </c>
      <c r="EW248" s="18">
        <f>IFERROR(CI248/'McDonough &amp; Sun 1995 values'!N$2,)</f>
        <v>0</v>
      </c>
      <c r="EX248" s="18">
        <f>IFERROR(CX248/'McDonough &amp; Sun 1995 values'!O$2,)</f>
        <v>0</v>
      </c>
      <c r="EY248" s="18">
        <f>IFERROR(CY248/'McDonough &amp; Sun 1995 values'!P$2,)</f>
        <v>0</v>
      </c>
      <c r="EZ248" s="18">
        <f>IFERROR(DH248/'McDonough &amp; Sun 1995 values'!Q$2,)</f>
        <v>0</v>
      </c>
      <c r="FA248" s="18">
        <f>IFERROR(CK248/'McDonough &amp; Sun 1995 values'!R$2,)</f>
        <v>0</v>
      </c>
      <c r="FB248" s="18">
        <f>IFERROR(CZ248/'McDonough &amp; Sun 1995 values'!S$2,)</f>
        <v>0</v>
      </c>
      <c r="FC248" s="18">
        <f>IFERROR(BT248/'McDonough &amp; Sun 1995 values'!T$2,)</f>
        <v>0</v>
      </c>
      <c r="FD248" s="18">
        <f>IFERROR(DA248/'McDonough &amp; Sun 1995 values'!U$2,)</f>
        <v>0</v>
      </c>
      <c r="FE248" s="18">
        <f>IFERROR(DN248/'McDonough &amp; Sun 1995 values'!V$2,)</f>
        <v>0</v>
      </c>
      <c r="FF248" s="18">
        <f>IFERROR(DB248/'McDonough &amp; Sun 1995 values'!W$2,)</f>
        <v>0</v>
      </c>
      <c r="FG248" s="18">
        <f>IFERROR(CJ248/'McDonough &amp; Sun 1995 values'!X$2,)</f>
        <v>0</v>
      </c>
      <c r="FH248" s="18">
        <f>IFERROR(DC248/'McDonough &amp; Sun 1995 values'!Y$2,)</f>
        <v>0</v>
      </c>
      <c r="FI248" s="18">
        <f>IFERROR(DD248/'McDonough &amp; Sun 1995 values'!Z$2,)</f>
        <v>0</v>
      </c>
      <c r="FJ248" s="18">
        <f>IFERROR(DE248/'McDonough &amp; Sun 1995 values'!AA$2,)</f>
        <v>0</v>
      </c>
      <c r="FK248" s="18">
        <f>IFERROR(DF248/'McDonough &amp; Sun 1995 values'!AB$2,)</f>
        <v>0</v>
      </c>
      <c r="FL248" s="18">
        <f>IFERROR(DG248/'McDonough &amp; Sun 1995 values'!AC$2,)</f>
        <v>0</v>
      </c>
      <c r="FN248" s="28">
        <f t="shared" si="614"/>
        <v>0</v>
      </c>
      <c r="FO248" s="4">
        <f t="shared" si="547"/>
        <v>0</v>
      </c>
      <c r="FP248" s="4">
        <f t="shared" si="548"/>
        <v>0</v>
      </c>
      <c r="FQ248" s="4">
        <f t="shared" si="549"/>
        <v>0</v>
      </c>
      <c r="FR248" s="4">
        <f t="shared" si="550"/>
        <v>0</v>
      </c>
      <c r="FS248" s="4">
        <f t="shared" si="551"/>
        <v>0</v>
      </c>
      <c r="FT248" s="4">
        <f t="shared" si="552"/>
        <v>0</v>
      </c>
      <c r="FU248" s="4">
        <f t="shared" si="553"/>
        <v>0</v>
      </c>
      <c r="FV248" s="4">
        <f t="shared" si="554"/>
        <v>0</v>
      </c>
      <c r="FW248" s="4">
        <f t="shared" si="555"/>
        <v>0</v>
      </c>
      <c r="FX248" s="4">
        <f t="shared" si="556"/>
        <v>0</v>
      </c>
      <c r="FY248" s="4">
        <f t="shared" si="557"/>
        <v>0</v>
      </c>
      <c r="FZ248" s="4">
        <f t="shared" si="558"/>
        <v>0</v>
      </c>
      <c r="GA248" s="4">
        <f t="shared" si="559"/>
        <v>0</v>
      </c>
      <c r="GB248" s="4">
        <f t="shared" si="560"/>
        <v>0</v>
      </c>
      <c r="GC248" s="4">
        <f t="shared" si="561"/>
        <v>0</v>
      </c>
      <c r="GD248" s="4">
        <f t="shared" si="562"/>
        <v>0</v>
      </c>
      <c r="GE248" s="4">
        <f t="shared" si="563"/>
        <v>0</v>
      </c>
      <c r="GF248" s="4">
        <f t="shared" si="564"/>
        <v>0</v>
      </c>
      <c r="GG248" s="4">
        <f t="shared" si="565"/>
        <v>0</v>
      </c>
      <c r="GH248" s="4">
        <f t="shared" si="566"/>
        <v>0</v>
      </c>
      <c r="GI248" s="4">
        <f t="shared" si="567"/>
        <v>0</v>
      </c>
      <c r="GJ248" s="4">
        <f t="shared" si="568"/>
        <v>0</v>
      </c>
      <c r="GK248" s="4">
        <f t="shared" si="569"/>
        <v>0</v>
      </c>
      <c r="GL248" s="4">
        <f t="shared" si="570"/>
        <v>0</v>
      </c>
      <c r="GM248" s="4">
        <f t="shared" si="571"/>
        <v>0</v>
      </c>
      <c r="GN248" s="4">
        <f t="shared" si="572"/>
        <v>0</v>
      </c>
      <c r="GO248" s="4">
        <f t="shared" si="573"/>
        <v>0</v>
      </c>
      <c r="GP248" s="4">
        <f t="shared" si="574"/>
        <v>0</v>
      </c>
      <c r="GQ248" s="27">
        <f t="shared" si="575"/>
        <v>133884.63301005773</v>
      </c>
      <c r="GR248" s="28" t="str">
        <f t="shared" si="576"/>
        <v/>
      </c>
      <c r="GS248" s="28" t="str">
        <f t="shared" si="577"/>
        <v/>
      </c>
      <c r="GT248" s="28" t="str">
        <f t="shared" si="578"/>
        <v/>
      </c>
      <c r="GU248" s="28" t="str">
        <f t="shared" si="579"/>
        <v/>
      </c>
      <c r="GV248" s="28" t="str">
        <f t="shared" si="580"/>
        <v/>
      </c>
      <c r="GW248" s="28" t="str">
        <f t="shared" si="581"/>
        <v/>
      </c>
      <c r="GX248" s="28" t="str">
        <f t="shared" si="582"/>
        <v/>
      </c>
      <c r="GY248" s="28" t="str">
        <f t="shared" si="583"/>
        <v/>
      </c>
      <c r="GZ248" s="28" t="str">
        <f t="shared" si="584"/>
        <v/>
      </c>
      <c r="HA248" s="28" t="str">
        <f t="shared" si="585"/>
        <v/>
      </c>
      <c r="HB248" s="28" t="str">
        <f t="shared" si="586"/>
        <v/>
      </c>
      <c r="HC248" s="28" t="str">
        <f t="shared" si="587"/>
        <v/>
      </c>
      <c r="HD248" s="28" t="str">
        <f t="shared" si="588"/>
        <v/>
      </c>
      <c r="HE248" s="28" t="str">
        <f t="shared" si="589"/>
        <v/>
      </c>
      <c r="HF248" s="28" t="str">
        <f t="shared" si="590"/>
        <v/>
      </c>
      <c r="HG248" s="28" t="str">
        <f t="shared" si="591"/>
        <v/>
      </c>
      <c r="HH248" s="28" t="str">
        <f t="shared" si="592"/>
        <v/>
      </c>
      <c r="HI248" s="28" t="str">
        <f t="shared" si="593"/>
        <v/>
      </c>
      <c r="HJ248" s="28" t="str">
        <f t="shared" si="594"/>
        <v/>
      </c>
      <c r="HK248" s="28" t="str">
        <f t="shared" si="595"/>
        <v/>
      </c>
      <c r="HL248" s="28" t="str">
        <f t="shared" si="596"/>
        <v/>
      </c>
      <c r="HM248" s="28" t="str">
        <f t="shared" si="597"/>
        <v/>
      </c>
      <c r="HN248" s="28" t="str">
        <f t="shared" si="598"/>
        <v/>
      </c>
      <c r="HO248" s="28" t="str">
        <f t="shared" si="599"/>
        <v/>
      </c>
      <c r="HP248" s="28" t="str">
        <f t="shared" si="600"/>
        <v/>
      </c>
      <c r="HQ248" s="28" t="str">
        <f t="shared" si="601"/>
        <v/>
      </c>
      <c r="HR248" s="28" t="str">
        <f t="shared" si="602"/>
        <v/>
      </c>
      <c r="HT248" s="4">
        <f>IFERROR(GR248/'McDonough &amp; Sun 1995 values'!C$2,)</f>
        <v>0</v>
      </c>
      <c r="HU248" s="4">
        <f>IFERROR(GS248/'McDonough &amp; Sun 1995 values'!D$2,)</f>
        <v>0</v>
      </c>
      <c r="HV248" s="4">
        <f>IFERROR(GT248/'McDonough &amp; Sun 1995 values'!E$2,)</f>
        <v>0</v>
      </c>
      <c r="HW248" s="4">
        <f>IFERROR(GU248/'McDonough &amp; Sun 1995 values'!F$2,)</f>
        <v>0</v>
      </c>
      <c r="HX248" s="4">
        <f>IFERROR(GV248/'McDonough &amp; Sun 1995 values'!G$2,)</f>
        <v>0</v>
      </c>
      <c r="HY248" s="4">
        <f>IFERROR(GW248/'McDonough &amp; Sun 1995 values'!H$2,)</f>
        <v>0</v>
      </c>
      <c r="HZ248" s="4">
        <f>IFERROR(GX248/'McDonough &amp; Sun 1995 values'!I$2,)</f>
        <v>0</v>
      </c>
      <c r="IA248" s="4">
        <f>IFERROR(GY248/'McDonough &amp; Sun 1995 values'!J$2,)</f>
        <v>0</v>
      </c>
      <c r="IB248" s="4">
        <f>IFERROR(GZ248/'McDonough &amp; Sun 1995 values'!K$2,)</f>
        <v>0</v>
      </c>
      <c r="IC248" s="4">
        <f>IFERROR(HA248/'McDonough &amp; Sun 1995 values'!L$2,)</f>
        <v>0</v>
      </c>
      <c r="ID248" s="4">
        <f>IFERROR(HB248/'McDonough &amp; Sun 1995 values'!M$2,)</f>
        <v>0</v>
      </c>
      <c r="IE248" s="4">
        <f>IFERROR(HC248/'McDonough &amp; Sun 1995 values'!N$2,)</f>
        <v>0</v>
      </c>
      <c r="IF248" s="4">
        <f>IFERROR(HD248/'McDonough &amp; Sun 1995 values'!O$2,)</f>
        <v>0</v>
      </c>
      <c r="IG248" s="4">
        <f>IFERROR(HE248/'McDonough &amp; Sun 1995 values'!P$2,)</f>
        <v>0</v>
      </c>
      <c r="IH248" s="4">
        <f>IFERROR(HF248/'McDonough &amp; Sun 1995 values'!Q$2,)</f>
        <v>0</v>
      </c>
      <c r="II248" s="4">
        <f>IFERROR(HG248/'McDonough &amp; Sun 1995 values'!R$2,)</f>
        <v>0</v>
      </c>
      <c r="IJ248" s="4">
        <f>IFERROR(HH248/'McDonough &amp; Sun 1995 values'!S$2,)</f>
        <v>0</v>
      </c>
      <c r="IK248" s="4">
        <f>IFERROR(HI248/'McDonough &amp; Sun 1995 values'!T$2,)</f>
        <v>0</v>
      </c>
      <c r="IL248" s="4">
        <f>IFERROR(HJ248/'McDonough &amp; Sun 1995 values'!U$2,)</f>
        <v>0</v>
      </c>
      <c r="IM248" s="4">
        <f>IFERROR(HK248/'McDonough &amp; Sun 1995 values'!V$2,)</f>
        <v>0</v>
      </c>
      <c r="IN248" s="4">
        <f>IFERROR(HL248/'McDonough &amp; Sun 1995 values'!W$2,)</f>
        <v>0</v>
      </c>
      <c r="IO248" s="4">
        <f>IFERROR(HM248/'McDonough &amp; Sun 1995 values'!X$2,)</f>
        <v>0</v>
      </c>
      <c r="IP248" s="4">
        <f>IFERROR(HN248/'McDonough &amp; Sun 1995 values'!Y$2,)</f>
        <v>0</v>
      </c>
      <c r="IQ248" s="4">
        <f>IFERROR(HO248/'McDonough &amp; Sun 1995 values'!Z$2,)</f>
        <v>0</v>
      </c>
      <c r="IR248" s="4">
        <f>IFERROR(HP248/'McDonough &amp; Sun 1995 values'!AA$2,)</f>
        <v>0</v>
      </c>
      <c r="IS248" s="4">
        <f>IFERROR(HQ248/'McDonough &amp; Sun 1995 values'!AB$2,)</f>
        <v>0</v>
      </c>
      <c r="IT248" s="4">
        <f>IFERROR(HR248/'McDonough &amp; Sun 1995 values'!AC$2,)</f>
        <v>0</v>
      </c>
    </row>
    <row r="249" spans="1:254">
      <c r="A249" s="16" t="s">
        <v>838</v>
      </c>
      <c r="B249" s="16" t="s">
        <v>24</v>
      </c>
      <c r="C249" s="16" t="str">
        <f t="shared" si="461"/>
        <v>silicic - low-Mg carbonatitic</v>
      </c>
      <c r="D249" s="16" t="s">
        <v>1719</v>
      </c>
      <c r="E249" s="16" t="s">
        <v>388</v>
      </c>
      <c r="F249" s="16" t="s">
        <v>342</v>
      </c>
      <c r="G249" s="16" t="s">
        <v>829</v>
      </c>
      <c r="H249" s="27">
        <v>0</v>
      </c>
      <c r="I249" s="16" t="s">
        <v>735</v>
      </c>
      <c r="J249" s="16">
        <v>0</v>
      </c>
      <c r="K249" s="16" t="s">
        <v>903</v>
      </c>
      <c r="L249" s="16">
        <v>0</v>
      </c>
      <c r="M249" s="16">
        <v>8</v>
      </c>
      <c r="N249" s="16">
        <v>40</v>
      </c>
      <c r="O249" s="26">
        <v>36.200000000000003</v>
      </c>
      <c r="P249" s="26">
        <v>2.59</v>
      </c>
      <c r="Q249" s="26"/>
      <c r="R249" s="26">
        <v>5.75</v>
      </c>
      <c r="S249" s="26">
        <v>8.8000000000000007</v>
      </c>
      <c r="T249" s="26">
        <v>5.44</v>
      </c>
      <c r="U249" s="26"/>
      <c r="V249" s="26">
        <v>12.41</v>
      </c>
      <c r="W249" s="26">
        <v>3.64</v>
      </c>
      <c r="X249" s="26">
        <v>12.31</v>
      </c>
      <c r="Y249" s="26"/>
      <c r="Z249" s="26">
        <v>5.65</v>
      </c>
      <c r="AA249" s="26">
        <v>1.45</v>
      </c>
      <c r="AB249" s="26">
        <v>1.96</v>
      </c>
      <c r="AC249" s="26"/>
      <c r="AD249" s="26">
        <v>3.14</v>
      </c>
      <c r="AE249" s="26"/>
      <c r="AF249" s="26">
        <v>0.66</v>
      </c>
      <c r="AG249" s="26"/>
      <c r="AH249" s="26"/>
      <c r="AI249" s="26">
        <v>5.52</v>
      </c>
      <c r="AJ249" s="26">
        <f t="shared" si="462"/>
        <v>97.89</v>
      </c>
      <c r="AK249" s="26">
        <f t="shared" si="603"/>
        <v>37.249927831875048</v>
      </c>
      <c r="AL249" s="26">
        <f t="shared" si="604"/>
        <v>2.6651191459822199</v>
      </c>
      <c r="AM249" s="26">
        <f t="shared" si="605"/>
        <v>5.9167703047867821</v>
      </c>
      <c r="AN249" s="26">
        <f t="shared" si="606"/>
        <v>9.055231075151946</v>
      </c>
      <c r="AO249" s="26">
        <f t="shared" si="607"/>
        <v>5.5977792100939299</v>
      </c>
      <c r="AP249" s="26">
        <f t="shared" si="608"/>
        <v>12.769933823026777</v>
      </c>
      <c r="AQ249" s="26">
        <f t="shared" si="609"/>
        <v>2.0168469212838422</v>
      </c>
      <c r="AR249" s="26">
        <f t="shared" si="610"/>
        <v>3.7455728538128499</v>
      </c>
      <c r="AS249" s="26">
        <f t="shared" si="611"/>
        <v>12.667033469900051</v>
      </c>
      <c r="AT249" s="26">
        <f t="shared" si="612"/>
        <v>5.813869951660056</v>
      </c>
      <c r="AU249" s="26">
        <f t="shared" si="613"/>
        <v>3.2310710881792168</v>
      </c>
      <c r="AV249" s="26">
        <f t="shared" si="463"/>
        <v>100.72915567575271</v>
      </c>
      <c r="AW249" s="16"/>
      <c r="AX249" s="16"/>
      <c r="AY249" s="16"/>
      <c r="AZ249" s="16"/>
      <c r="BA249" s="26"/>
      <c r="BB249" s="26">
        <v>1</v>
      </c>
      <c r="BC249" s="26"/>
      <c r="BD249" s="26">
        <f>1-BB249</f>
        <v>0</v>
      </c>
      <c r="BE249" s="16"/>
      <c r="BF249" s="16"/>
      <c r="BG249" s="16"/>
      <c r="BH249" s="16"/>
      <c r="BI249" s="16"/>
      <c r="BJ249" s="16"/>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c r="DS249" s="18"/>
      <c r="DT249" s="18"/>
      <c r="DU249" s="18"/>
      <c r="DV249" s="28"/>
      <c r="DW249" s="28"/>
      <c r="DX249" s="28"/>
      <c r="DY249" s="28"/>
      <c r="DZ249" s="28"/>
      <c r="EA249" s="28"/>
      <c r="EB249" s="28"/>
      <c r="EC249" s="28"/>
      <c r="ED249" s="28"/>
      <c r="EE249" s="28"/>
      <c r="EF249" s="28"/>
      <c r="EG249" s="28"/>
      <c r="EH249" s="28"/>
      <c r="EI249" s="28"/>
      <c r="EJ249" s="18"/>
      <c r="EK249" s="18"/>
      <c r="EL249" s="18">
        <f>IFERROR(CR249/'McDonough &amp; Sun 1995 values'!C$2,)</f>
        <v>0</v>
      </c>
      <c r="EM249" s="18">
        <f>IFERROR(CH249/'McDonough &amp; Sun 1995 values'!D$2,)</f>
        <v>0</v>
      </c>
      <c r="EN249" s="18">
        <f>IFERROR(CS249/'McDonough &amp; Sun 1995 values'!E$2,)</f>
        <v>0</v>
      </c>
      <c r="EO249" s="18">
        <f>IFERROR(DL249/'McDonough &amp; Sun 1995 values'!F$2,)</f>
        <v>0</v>
      </c>
      <c r="EP249" s="18">
        <f>IFERROR(DM249/'McDonough &amp; Sun 1995 values'!G$2,)</f>
        <v>0</v>
      </c>
      <c r="EQ249" s="18">
        <f>IFERROR(BR249/'McDonough &amp; Sun 1995 values'!H$2,)</f>
        <v>0</v>
      </c>
      <c r="ER249" s="18">
        <f>IFERROR(DI249/'McDonough &amp; Sun 1995 values'!I$2,)</f>
        <v>0</v>
      </c>
      <c r="ES249" s="18">
        <f>IFERROR(CM249/'McDonough &amp; Sun 1995 values'!J$2,)</f>
        <v>0</v>
      </c>
      <c r="ET249" s="18">
        <f>IFERROR(CU249/'McDonough &amp; Sun 1995 values'!K$2,)</f>
        <v>0</v>
      </c>
      <c r="EU249" s="18">
        <f>IFERROR(CV249/'McDonough &amp; Sun 1995 values'!L$2,)</f>
        <v>0</v>
      </c>
      <c r="EV249" s="18">
        <f>IFERROR(CW249/'McDonough &amp; Sun 1995 values'!M$2,)</f>
        <v>0</v>
      </c>
      <c r="EW249" s="18">
        <f>IFERROR(CI249/'McDonough &amp; Sun 1995 values'!N$2,)</f>
        <v>0</v>
      </c>
      <c r="EX249" s="18">
        <f>IFERROR(CX249/'McDonough &amp; Sun 1995 values'!O$2,)</f>
        <v>0</v>
      </c>
      <c r="EY249" s="18">
        <f>IFERROR(CY249/'McDonough &amp; Sun 1995 values'!P$2,)</f>
        <v>0</v>
      </c>
      <c r="EZ249" s="18">
        <f>IFERROR(DH249/'McDonough &amp; Sun 1995 values'!Q$2,)</f>
        <v>0</v>
      </c>
      <c r="FA249" s="18">
        <f>IFERROR(CK249/'McDonough &amp; Sun 1995 values'!R$2,)</f>
        <v>0</v>
      </c>
      <c r="FB249" s="18">
        <f>IFERROR(CZ249/'McDonough &amp; Sun 1995 values'!S$2,)</f>
        <v>0</v>
      </c>
      <c r="FC249" s="18">
        <f>IFERROR(BT249/'McDonough &amp; Sun 1995 values'!T$2,)</f>
        <v>0</v>
      </c>
      <c r="FD249" s="18">
        <f>IFERROR(DA249/'McDonough &amp; Sun 1995 values'!U$2,)</f>
        <v>0</v>
      </c>
      <c r="FE249" s="18">
        <f>IFERROR(DN249/'McDonough &amp; Sun 1995 values'!V$2,)</f>
        <v>0</v>
      </c>
      <c r="FF249" s="18">
        <f>IFERROR(DB249/'McDonough &amp; Sun 1995 values'!W$2,)</f>
        <v>0</v>
      </c>
      <c r="FG249" s="18">
        <f>IFERROR(CJ249/'McDonough &amp; Sun 1995 values'!X$2,)</f>
        <v>0</v>
      </c>
      <c r="FH249" s="18">
        <f>IFERROR(DC249/'McDonough &amp; Sun 1995 values'!Y$2,)</f>
        <v>0</v>
      </c>
      <c r="FI249" s="18">
        <f>IFERROR(DD249/'McDonough &amp; Sun 1995 values'!Z$2,)</f>
        <v>0</v>
      </c>
      <c r="FJ249" s="18">
        <f>IFERROR(DE249/'McDonough &amp; Sun 1995 values'!AA$2,)</f>
        <v>0</v>
      </c>
      <c r="FK249" s="18">
        <f>IFERROR(DF249/'McDonough &amp; Sun 1995 values'!AB$2,)</f>
        <v>0</v>
      </c>
      <c r="FL249" s="18">
        <f>IFERROR(DG249/'McDonough &amp; Sun 1995 values'!AC$2,)</f>
        <v>0</v>
      </c>
      <c r="FN249" s="28">
        <f t="shared" si="614"/>
        <v>0</v>
      </c>
      <c r="FO249" s="4">
        <f t="shared" si="547"/>
        <v>0</v>
      </c>
      <c r="FP249" s="4">
        <f t="shared" si="548"/>
        <v>0</v>
      </c>
      <c r="FQ249" s="4">
        <f t="shared" si="549"/>
        <v>0</v>
      </c>
      <c r="FR249" s="4">
        <f t="shared" si="550"/>
        <v>0</v>
      </c>
      <c r="FS249" s="4">
        <f t="shared" si="551"/>
        <v>0</v>
      </c>
      <c r="FT249" s="4">
        <f t="shared" si="552"/>
        <v>0</v>
      </c>
      <c r="FU249" s="4">
        <f t="shared" si="553"/>
        <v>0</v>
      </c>
      <c r="FV249" s="4">
        <f t="shared" si="554"/>
        <v>0</v>
      </c>
      <c r="FW249" s="4">
        <f t="shared" si="555"/>
        <v>0</v>
      </c>
      <c r="FX249" s="4">
        <f t="shared" si="556"/>
        <v>0</v>
      </c>
      <c r="FY249" s="4">
        <f t="shared" si="557"/>
        <v>0</v>
      </c>
      <c r="FZ249" s="4">
        <f t="shared" si="558"/>
        <v>0</v>
      </c>
      <c r="GA249" s="4">
        <f t="shared" si="559"/>
        <v>0</v>
      </c>
      <c r="GB249" s="4">
        <f t="shared" si="560"/>
        <v>0</v>
      </c>
      <c r="GC249" s="4">
        <f t="shared" si="561"/>
        <v>0</v>
      </c>
      <c r="GD249" s="4">
        <f t="shared" si="562"/>
        <v>0</v>
      </c>
      <c r="GE249" s="4">
        <f t="shared" si="563"/>
        <v>0</v>
      </c>
      <c r="GF249" s="4">
        <f t="shared" si="564"/>
        <v>0</v>
      </c>
      <c r="GG249" s="4">
        <f t="shared" si="565"/>
        <v>0</v>
      </c>
      <c r="GH249" s="4">
        <f t="shared" si="566"/>
        <v>0</v>
      </c>
      <c r="GI249" s="4">
        <f t="shared" si="567"/>
        <v>0</v>
      </c>
      <c r="GJ249" s="4">
        <f t="shared" si="568"/>
        <v>0</v>
      </c>
      <c r="GK249" s="4">
        <f t="shared" si="569"/>
        <v>0</v>
      </c>
      <c r="GL249" s="4">
        <f t="shared" si="570"/>
        <v>0</v>
      </c>
      <c r="GM249" s="4">
        <f t="shared" si="571"/>
        <v>0</v>
      </c>
      <c r="GN249" s="4">
        <f t="shared" si="572"/>
        <v>0</v>
      </c>
      <c r="GO249" s="4">
        <f t="shared" si="573"/>
        <v>0</v>
      </c>
      <c r="GP249" s="4">
        <f t="shared" si="574"/>
        <v>0</v>
      </c>
      <c r="GQ249" s="27">
        <f t="shared" si="575"/>
        <v>105153.77023376708</v>
      </c>
      <c r="GR249" s="28" t="str">
        <f t="shared" si="576"/>
        <v/>
      </c>
      <c r="GS249" s="28" t="str">
        <f t="shared" si="577"/>
        <v/>
      </c>
      <c r="GT249" s="28" t="str">
        <f t="shared" si="578"/>
        <v/>
      </c>
      <c r="GU249" s="28" t="str">
        <f t="shared" si="579"/>
        <v/>
      </c>
      <c r="GV249" s="28" t="str">
        <f t="shared" si="580"/>
        <v/>
      </c>
      <c r="GW249" s="28" t="str">
        <f t="shared" si="581"/>
        <v/>
      </c>
      <c r="GX249" s="28" t="str">
        <f t="shared" si="582"/>
        <v/>
      </c>
      <c r="GY249" s="28" t="str">
        <f t="shared" si="583"/>
        <v/>
      </c>
      <c r="GZ249" s="28" t="str">
        <f t="shared" si="584"/>
        <v/>
      </c>
      <c r="HA249" s="28" t="str">
        <f t="shared" si="585"/>
        <v/>
      </c>
      <c r="HB249" s="28" t="str">
        <f t="shared" si="586"/>
        <v/>
      </c>
      <c r="HC249" s="28" t="str">
        <f t="shared" si="587"/>
        <v/>
      </c>
      <c r="HD249" s="28" t="str">
        <f t="shared" si="588"/>
        <v/>
      </c>
      <c r="HE249" s="28" t="str">
        <f t="shared" si="589"/>
        <v/>
      </c>
      <c r="HF249" s="28" t="str">
        <f t="shared" si="590"/>
        <v/>
      </c>
      <c r="HG249" s="28" t="str">
        <f t="shared" si="591"/>
        <v/>
      </c>
      <c r="HH249" s="28" t="str">
        <f t="shared" si="592"/>
        <v/>
      </c>
      <c r="HI249" s="28" t="str">
        <f t="shared" si="593"/>
        <v/>
      </c>
      <c r="HJ249" s="28" t="str">
        <f t="shared" si="594"/>
        <v/>
      </c>
      <c r="HK249" s="28" t="str">
        <f t="shared" si="595"/>
        <v/>
      </c>
      <c r="HL249" s="28" t="str">
        <f t="shared" si="596"/>
        <v/>
      </c>
      <c r="HM249" s="28" t="str">
        <f t="shared" si="597"/>
        <v/>
      </c>
      <c r="HN249" s="28" t="str">
        <f t="shared" si="598"/>
        <v/>
      </c>
      <c r="HO249" s="28" t="str">
        <f t="shared" si="599"/>
        <v/>
      </c>
      <c r="HP249" s="28" t="str">
        <f t="shared" si="600"/>
        <v/>
      </c>
      <c r="HQ249" s="28" t="str">
        <f t="shared" si="601"/>
        <v/>
      </c>
      <c r="HR249" s="28" t="str">
        <f t="shared" si="602"/>
        <v/>
      </c>
      <c r="HT249" s="4">
        <f>IFERROR(GR249/'McDonough &amp; Sun 1995 values'!C$2,)</f>
        <v>0</v>
      </c>
      <c r="HU249" s="4">
        <f>IFERROR(GS249/'McDonough &amp; Sun 1995 values'!D$2,)</f>
        <v>0</v>
      </c>
      <c r="HV249" s="4">
        <f>IFERROR(GT249/'McDonough &amp; Sun 1995 values'!E$2,)</f>
        <v>0</v>
      </c>
      <c r="HW249" s="4">
        <f>IFERROR(GU249/'McDonough &amp; Sun 1995 values'!F$2,)</f>
        <v>0</v>
      </c>
      <c r="HX249" s="4">
        <f>IFERROR(GV249/'McDonough &amp; Sun 1995 values'!G$2,)</f>
        <v>0</v>
      </c>
      <c r="HY249" s="4">
        <f>IFERROR(GW249/'McDonough &amp; Sun 1995 values'!H$2,)</f>
        <v>0</v>
      </c>
      <c r="HZ249" s="4">
        <f>IFERROR(GX249/'McDonough &amp; Sun 1995 values'!I$2,)</f>
        <v>0</v>
      </c>
      <c r="IA249" s="4">
        <f>IFERROR(GY249/'McDonough &amp; Sun 1995 values'!J$2,)</f>
        <v>0</v>
      </c>
      <c r="IB249" s="4">
        <f>IFERROR(GZ249/'McDonough &amp; Sun 1995 values'!K$2,)</f>
        <v>0</v>
      </c>
      <c r="IC249" s="4">
        <f>IFERROR(HA249/'McDonough &amp; Sun 1995 values'!L$2,)</f>
        <v>0</v>
      </c>
      <c r="ID249" s="4">
        <f>IFERROR(HB249/'McDonough &amp; Sun 1995 values'!M$2,)</f>
        <v>0</v>
      </c>
      <c r="IE249" s="4">
        <f>IFERROR(HC249/'McDonough &amp; Sun 1995 values'!N$2,)</f>
        <v>0</v>
      </c>
      <c r="IF249" s="4">
        <f>IFERROR(HD249/'McDonough &amp; Sun 1995 values'!O$2,)</f>
        <v>0</v>
      </c>
      <c r="IG249" s="4">
        <f>IFERROR(HE249/'McDonough &amp; Sun 1995 values'!P$2,)</f>
        <v>0</v>
      </c>
      <c r="IH249" s="4">
        <f>IFERROR(HF249/'McDonough &amp; Sun 1995 values'!Q$2,)</f>
        <v>0</v>
      </c>
      <c r="II249" s="4">
        <f>IFERROR(HG249/'McDonough &amp; Sun 1995 values'!R$2,)</f>
        <v>0</v>
      </c>
      <c r="IJ249" s="4">
        <f>IFERROR(HH249/'McDonough &amp; Sun 1995 values'!S$2,)</f>
        <v>0</v>
      </c>
      <c r="IK249" s="4">
        <f>IFERROR(HI249/'McDonough &amp; Sun 1995 values'!T$2,)</f>
        <v>0</v>
      </c>
      <c r="IL249" s="4">
        <f>IFERROR(HJ249/'McDonough &amp; Sun 1995 values'!U$2,)</f>
        <v>0</v>
      </c>
      <c r="IM249" s="4">
        <f>IFERROR(HK249/'McDonough &amp; Sun 1995 values'!V$2,)</f>
        <v>0</v>
      </c>
      <c r="IN249" s="4">
        <f>IFERROR(HL249/'McDonough &amp; Sun 1995 values'!W$2,)</f>
        <v>0</v>
      </c>
      <c r="IO249" s="4">
        <f>IFERROR(HM249/'McDonough &amp; Sun 1995 values'!X$2,)</f>
        <v>0</v>
      </c>
      <c r="IP249" s="4">
        <f>IFERROR(HN249/'McDonough &amp; Sun 1995 values'!Y$2,)</f>
        <v>0</v>
      </c>
      <c r="IQ249" s="4">
        <f>IFERROR(HO249/'McDonough &amp; Sun 1995 values'!Z$2,)</f>
        <v>0</v>
      </c>
      <c r="IR249" s="4">
        <f>IFERROR(HP249/'McDonough &amp; Sun 1995 values'!AA$2,)</f>
        <v>0</v>
      </c>
      <c r="IS249" s="4">
        <f>IFERROR(HQ249/'McDonough &amp; Sun 1995 values'!AB$2,)</f>
        <v>0</v>
      </c>
      <c r="IT249" s="4">
        <f>IFERROR(HR249/'McDonough &amp; Sun 1995 values'!AC$2,)</f>
        <v>0</v>
      </c>
    </row>
    <row r="250" spans="1:254">
      <c r="A250" s="16" t="s">
        <v>838</v>
      </c>
      <c r="B250" s="16" t="s">
        <v>24</v>
      </c>
      <c r="C250" s="16" t="str">
        <f t="shared" si="461"/>
        <v>silicic - low-Mg carbonatitic</v>
      </c>
      <c r="D250" s="16" t="s">
        <v>1719</v>
      </c>
      <c r="E250" s="16" t="s">
        <v>388</v>
      </c>
      <c r="F250" s="16" t="s">
        <v>342</v>
      </c>
      <c r="G250" s="16" t="s">
        <v>829</v>
      </c>
      <c r="H250" s="27">
        <v>0</v>
      </c>
      <c r="I250" s="16" t="s">
        <v>735</v>
      </c>
      <c r="J250" s="16">
        <v>0</v>
      </c>
      <c r="K250" s="16" t="s">
        <v>903</v>
      </c>
      <c r="L250" s="16">
        <v>0</v>
      </c>
      <c r="M250" s="16">
        <v>9</v>
      </c>
      <c r="N250" s="16">
        <v>39</v>
      </c>
      <c r="O250" s="26">
        <v>34.18</v>
      </c>
      <c r="P250" s="26">
        <v>2.08</v>
      </c>
      <c r="Q250" s="26"/>
      <c r="R250" s="26">
        <v>5.89</v>
      </c>
      <c r="S250" s="26">
        <v>7.18</v>
      </c>
      <c r="T250" s="26">
        <v>3.92</v>
      </c>
      <c r="U250" s="26"/>
      <c r="V250" s="26">
        <v>11.75</v>
      </c>
      <c r="W250" s="26">
        <v>3.71</v>
      </c>
      <c r="X250" s="26">
        <v>15.87</v>
      </c>
      <c r="Y250" s="26"/>
      <c r="Z250" s="26">
        <v>5.36</v>
      </c>
      <c r="AA250" s="26">
        <v>1.76</v>
      </c>
      <c r="AB250" s="26">
        <v>2.68</v>
      </c>
      <c r="AC250" s="26"/>
      <c r="AD250" s="26">
        <v>4.5</v>
      </c>
      <c r="AE250" s="26"/>
      <c r="AF250" s="26">
        <v>1.1100000000000001</v>
      </c>
      <c r="AG250" s="26"/>
      <c r="AH250" s="26"/>
      <c r="AI250" s="26">
        <v>5.67</v>
      </c>
      <c r="AJ250" s="26">
        <f t="shared" si="462"/>
        <v>97.12</v>
      </c>
      <c r="AK250" s="26">
        <f t="shared" si="603"/>
        <v>35.565457670659342</v>
      </c>
      <c r="AL250" s="26">
        <f t="shared" si="604"/>
        <v>2.164311057781493</v>
      </c>
      <c r="AM250" s="26">
        <f t="shared" si="605"/>
        <v>6.1287462165062463</v>
      </c>
      <c r="AN250" s="26">
        <f t="shared" si="606"/>
        <v>7.471035285995729</v>
      </c>
      <c r="AO250" s="26">
        <f t="shared" si="607"/>
        <v>4.0788939165881981</v>
      </c>
      <c r="AP250" s="26">
        <f t="shared" si="608"/>
        <v>12.226276408140645</v>
      </c>
      <c r="AQ250" s="26">
        <f t="shared" si="609"/>
        <v>2.7886315552184624</v>
      </c>
      <c r="AR250" s="26">
        <f t="shared" si="610"/>
        <v>3.8603817424852589</v>
      </c>
      <c r="AS250" s="26">
        <f t="shared" si="611"/>
        <v>16.513277157207831</v>
      </c>
      <c r="AT250" s="26">
        <f t="shared" si="612"/>
        <v>5.5772631104369248</v>
      </c>
      <c r="AU250" s="26">
        <f t="shared" si="613"/>
        <v>4.6824037307772679</v>
      </c>
      <c r="AV250" s="26">
        <f t="shared" si="463"/>
        <v>101.05667785179739</v>
      </c>
      <c r="AW250" s="16"/>
      <c r="AX250" s="16"/>
      <c r="AY250" s="16"/>
      <c r="AZ250" s="16"/>
      <c r="BA250" s="26"/>
      <c r="BB250" s="26">
        <v>0.85</v>
      </c>
      <c r="BC250" s="26">
        <f>1-BD250</f>
        <v>0.85</v>
      </c>
      <c r="BD250" s="26">
        <f>1-BB250</f>
        <v>0.15000000000000002</v>
      </c>
      <c r="BE250" s="16"/>
      <c r="BF250" s="16"/>
      <c r="BG250" s="16"/>
      <c r="BH250" s="16"/>
      <c r="BI250" s="16"/>
      <c r="BJ250" s="16"/>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c r="DP250" s="18"/>
      <c r="DQ250" s="18"/>
      <c r="DR250" s="18"/>
      <c r="DS250" s="18"/>
      <c r="DT250" s="18"/>
      <c r="DU250" s="18"/>
      <c r="DV250" s="28"/>
      <c r="DW250" s="28"/>
      <c r="DX250" s="28"/>
      <c r="DY250" s="28"/>
      <c r="DZ250" s="28"/>
      <c r="EA250" s="28"/>
      <c r="EB250" s="28"/>
      <c r="EC250" s="28"/>
      <c r="ED250" s="28"/>
      <c r="EE250" s="28"/>
      <c r="EF250" s="28"/>
      <c r="EG250" s="28"/>
      <c r="EH250" s="28"/>
      <c r="EI250" s="28"/>
      <c r="EJ250" s="18"/>
      <c r="EK250" s="18"/>
      <c r="EL250" s="18">
        <f>IFERROR(CR250/'McDonough &amp; Sun 1995 values'!C$2,)</f>
        <v>0</v>
      </c>
      <c r="EM250" s="18">
        <f>IFERROR(CH250/'McDonough &amp; Sun 1995 values'!D$2,)</f>
        <v>0</v>
      </c>
      <c r="EN250" s="18">
        <f>IFERROR(CS250/'McDonough &amp; Sun 1995 values'!E$2,)</f>
        <v>0</v>
      </c>
      <c r="EO250" s="18">
        <f>IFERROR(DL250/'McDonough &amp; Sun 1995 values'!F$2,)</f>
        <v>0</v>
      </c>
      <c r="EP250" s="18">
        <f>IFERROR(DM250/'McDonough &amp; Sun 1995 values'!G$2,)</f>
        <v>0</v>
      </c>
      <c r="EQ250" s="18">
        <f>IFERROR(BR250/'McDonough &amp; Sun 1995 values'!H$2,)</f>
        <v>0</v>
      </c>
      <c r="ER250" s="18">
        <f>IFERROR(DI250/'McDonough &amp; Sun 1995 values'!I$2,)</f>
        <v>0</v>
      </c>
      <c r="ES250" s="18">
        <f>IFERROR(CM250/'McDonough &amp; Sun 1995 values'!J$2,)</f>
        <v>0</v>
      </c>
      <c r="ET250" s="18">
        <f>IFERROR(CU250/'McDonough &amp; Sun 1995 values'!K$2,)</f>
        <v>0</v>
      </c>
      <c r="EU250" s="18">
        <f>IFERROR(CV250/'McDonough &amp; Sun 1995 values'!L$2,)</f>
        <v>0</v>
      </c>
      <c r="EV250" s="18">
        <f>IFERROR(CW250/'McDonough &amp; Sun 1995 values'!M$2,)</f>
        <v>0</v>
      </c>
      <c r="EW250" s="18">
        <f>IFERROR(CI250/'McDonough &amp; Sun 1995 values'!N$2,)</f>
        <v>0</v>
      </c>
      <c r="EX250" s="18">
        <f>IFERROR(CX250/'McDonough &amp; Sun 1995 values'!O$2,)</f>
        <v>0</v>
      </c>
      <c r="EY250" s="18">
        <f>IFERROR(CY250/'McDonough &amp; Sun 1995 values'!P$2,)</f>
        <v>0</v>
      </c>
      <c r="EZ250" s="18">
        <f>IFERROR(DH250/'McDonough &amp; Sun 1995 values'!Q$2,)</f>
        <v>0</v>
      </c>
      <c r="FA250" s="18">
        <f>IFERROR(CK250/'McDonough &amp; Sun 1995 values'!R$2,)</f>
        <v>0</v>
      </c>
      <c r="FB250" s="18">
        <f>IFERROR(CZ250/'McDonough &amp; Sun 1995 values'!S$2,)</f>
        <v>0</v>
      </c>
      <c r="FC250" s="18">
        <f>IFERROR(BT250/'McDonough &amp; Sun 1995 values'!T$2,)</f>
        <v>0</v>
      </c>
      <c r="FD250" s="18">
        <f>IFERROR(DA250/'McDonough &amp; Sun 1995 values'!U$2,)</f>
        <v>0</v>
      </c>
      <c r="FE250" s="18">
        <f>IFERROR(DN250/'McDonough &amp; Sun 1995 values'!V$2,)</f>
        <v>0</v>
      </c>
      <c r="FF250" s="18">
        <f>IFERROR(DB250/'McDonough &amp; Sun 1995 values'!W$2,)</f>
        <v>0</v>
      </c>
      <c r="FG250" s="18">
        <f>IFERROR(CJ250/'McDonough &amp; Sun 1995 values'!X$2,)</f>
        <v>0</v>
      </c>
      <c r="FH250" s="18">
        <f>IFERROR(DC250/'McDonough &amp; Sun 1995 values'!Y$2,)</f>
        <v>0</v>
      </c>
      <c r="FI250" s="18">
        <f>IFERROR(DD250/'McDonough &amp; Sun 1995 values'!Z$2,)</f>
        <v>0</v>
      </c>
      <c r="FJ250" s="18">
        <f>IFERROR(DE250/'McDonough &amp; Sun 1995 values'!AA$2,)</f>
        <v>0</v>
      </c>
      <c r="FK250" s="18">
        <f>IFERROR(DF250/'McDonough &amp; Sun 1995 values'!AB$2,)</f>
        <v>0</v>
      </c>
      <c r="FL250" s="18">
        <f>IFERROR(DG250/'McDonough &amp; Sun 1995 values'!AC$2,)</f>
        <v>0</v>
      </c>
      <c r="FN250" s="28">
        <f t="shared" si="614"/>
        <v>0</v>
      </c>
      <c r="FO250" s="4">
        <f t="shared" si="547"/>
        <v>0</v>
      </c>
      <c r="FP250" s="4">
        <f t="shared" si="548"/>
        <v>0</v>
      </c>
      <c r="FQ250" s="4">
        <f t="shared" si="549"/>
        <v>0</v>
      </c>
      <c r="FR250" s="4">
        <f t="shared" si="550"/>
        <v>0</v>
      </c>
      <c r="FS250" s="4">
        <f t="shared" si="551"/>
        <v>0</v>
      </c>
      <c r="FT250" s="4">
        <f t="shared" si="552"/>
        <v>0</v>
      </c>
      <c r="FU250" s="4">
        <f t="shared" si="553"/>
        <v>0</v>
      </c>
      <c r="FV250" s="4">
        <f t="shared" si="554"/>
        <v>0</v>
      </c>
      <c r="FW250" s="4">
        <f t="shared" si="555"/>
        <v>0</v>
      </c>
      <c r="FX250" s="4">
        <f t="shared" si="556"/>
        <v>0</v>
      </c>
      <c r="FY250" s="4">
        <f t="shared" si="557"/>
        <v>0</v>
      </c>
      <c r="FZ250" s="4">
        <f t="shared" si="558"/>
        <v>0</v>
      </c>
      <c r="GA250" s="4">
        <f t="shared" si="559"/>
        <v>0</v>
      </c>
      <c r="GB250" s="4">
        <f t="shared" si="560"/>
        <v>0</v>
      </c>
      <c r="GC250" s="4">
        <f t="shared" si="561"/>
        <v>0</v>
      </c>
      <c r="GD250" s="4">
        <f t="shared" si="562"/>
        <v>0</v>
      </c>
      <c r="GE250" s="4">
        <f t="shared" si="563"/>
        <v>0</v>
      </c>
      <c r="GF250" s="4">
        <f t="shared" si="564"/>
        <v>0</v>
      </c>
      <c r="GG250" s="4">
        <f t="shared" si="565"/>
        <v>0</v>
      </c>
      <c r="GH250" s="4">
        <f t="shared" si="566"/>
        <v>0</v>
      </c>
      <c r="GI250" s="4">
        <f t="shared" si="567"/>
        <v>0</v>
      </c>
      <c r="GJ250" s="4">
        <f t="shared" si="568"/>
        <v>0</v>
      </c>
      <c r="GK250" s="4">
        <f t="shared" si="569"/>
        <v>0</v>
      </c>
      <c r="GL250" s="4">
        <f t="shared" si="570"/>
        <v>0</v>
      </c>
      <c r="GM250" s="4">
        <f t="shared" si="571"/>
        <v>0</v>
      </c>
      <c r="GN250" s="4">
        <f t="shared" si="572"/>
        <v>0</v>
      </c>
      <c r="GO250" s="4">
        <f t="shared" si="573"/>
        <v>0</v>
      </c>
      <c r="GP250" s="4">
        <f t="shared" si="574"/>
        <v>0</v>
      </c>
      <c r="GQ250" s="27">
        <f t="shared" si="575"/>
        <v>137082.87391217006</v>
      </c>
      <c r="GR250" s="28" t="str">
        <f t="shared" si="576"/>
        <v/>
      </c>
      <c r="GS250" s="28" t="str">
        <f t="shared" si="577"/>
        <v/>
      </c>
      <c r="GT250" s="28" t="str">
        <f t="shared" si="578"/>
        <v/>
      </c>
      <c r="GU250" s="28" t="str">
        <f t="shared" si="579"/>
        <v/>
      </c>
      <c r="GV250" s="28" t="str">
        <f t="shared" si="580"/>
        <v/>
      </c>
      <c r="GW250" s="28" t="str">
        <f t="shared" si="581"/>
        <v/>
      </c>
      <c r="GX250" s="28" t="str">
        <f t="shared" si="582"/>
        <v/>
      </c>
      <c r="GY250" s="28" t="str">
        <f t="shared" si="583"/>
        <v/>
      </c>
      <c r="GZ250" s="28" t="str">
        <f t="shared" si="584"/>
        <v/>
      </c>
      <c r="HA250" s="28" t="str">
        <f t="shared" si="585"/>
        <v/>
      </c>
      <c r="HB250" s="28" t="str">
        <f t="shared" si="586"/>
        <v/>
      </c>
      <c r="HC250" s="28" t="str">
        <f t="shared" si="587"/>
        <v/>
      </c>
      <c r="HD250" s="28" t="str">
        <f t="shared" si="588"/>
        <v/>
      </c>
      <c r="HE250" s="28" t="str">
        <f t="shared" si="589"/>
        <v/>
      </c>
      <c r="HF250" s="28" t="str">
        <f t="shared" si="590"/>
        <v/>
      </c>
      <c r="HG250" s="28" t="str">
        <f t="shared" si="591"/>
        <v/>
      </c>
      <c r="HH250" s="28" t="str">
        <f t="shared" si="592"/>
        <v/>
      </c>
      <c r="HI250" s="28" t="str">
        <f t="shared" si="593"/>
        <v/>
      </c>
      <c r="HJ250" s="28" t="str">
        <f t="shared" si="594"/>
        <v/>
      </c>
      <c r="HK250" s="28" t="str">
        <f t="shared" si="595"/>
        <v/>
      </c>
      <c r="HL250" s="28" t="str">
        <f t="shared" si="596"/>
        <v/>
      </c>
      <c r="HM250" s="28" t="str">
        <f t="shared" si="597"/>
        <v/>
      </c>
      <c r="HN250" s="28" t="str">
        <f t="shared" si="598"/>
        <v/>
      </c>
      <c r="HO250" s="28" t="str">
        <f t="shared" si="599"/>
        <v/>
      </c>
      <c r="HP250" s="28" t="str">
        <f t="shared" si="600"/>
        <v/>
      </c>
      <c r="HQ250" s="28" t="str">
        <f t="shared" si="601"/>
        <v/>
      </c>
      <c r="HR250" s="28" t="str">
        <f t="shared" si="602"/>
        <v/>
      </c>
      <c r="HT250" s="4">
        <f>IFERROR(GR250/'McDonough &amp; Sun 1995 values'!C$2,)</f>
        <v>0</v>
      </c>
      <c r="HU250" s="4">
        <f>IFERROR(GS250/'McDonough &amp; Sun 1995 values'!D$2,)</f>
        <v>0</v>
      </c>
      <c r="HV250" s="4">
        <f>IFERROR(GT250/'McDonough &amp; Sun 1995 values'!E$2,)</f>
        <v>0</v>
      </c>
      <c r="HW250" s="4">
        <f>IFERROR(GU250/'McDonough &amp; Sun 1995 values'!F$2,)</f>
        <v>0</v>
      </c>
      <c r="HX250" s="4">
        <f>IFERROR(GV250/'McDonough &amp; Sun 1995 values'!G$2,)</f>
        <v>0</v>
      </c>
      <c r="HY250" s="4">
        <f>IFERROR(GW250/'McDonough &amp; Sun 1995 values'!H$2,)</f>
        <v>0</v>
      </c>
      <c r="HZ250" s="4">
        <f>IFERROR(GX250/'McDonough &amp; Sun 1995 values'!I$2,)</f>
        <v>0</v>
      </c>
      <c r="IA250" s="4">
        <f>IFERROR(GY250/'McDonough &amp; Sun 1995 values'!J$2,)</f>
        <v>0</v>
      </c>
      <c r="IB250" s="4">
        <f>IFERROR(GZ250/'McDonough &amp; Sun 1995 values'!K$2,)</f>
        <v>0</v>
      </c>
      <c r="IC250" s="4">
        <f>IFERROR(HA250/'McDonough &amp; Sun 1995 values'!L$2,)</f>
        <v>0</v>
      </c>
      <c r="ID250" s="4">
        <f>IFERROR(HB250/'McDonough &amp; Sun 1995 values'!M$2,)</f>
        <v>0</v>
      </c>
      <c r="IE250" s="4">
        <f>IFERROR(HC250/'McDonough &amp; Sun 1995 values'!N$2,)</f>
        <v>0</v>
      </c>
      <c r="IF250" s="4">
        <f>IFERROR(HD250/'McDonough &amp; Sun 1995 values'!O$2,)</f>
        <v>0</v>
      </c>
      <c r="IG250" s="4">
        <f>IFERROR(HE250/'McDonough &amp; Sun 1995 values'!P$2,)</f>
        <v>0</v>
      </c>
      <c r="IH250" s="4">
        <f>IFERROR(HF250/'McDonough &amp; Sun 1995 values'!Q$2,)</f>
        <v>0</v>
      </c>
      <c r="II250" s="4">
        <f>IFERROR(HG250/'McDonough &amp; Sun 1995 values'!R$2,)</f>
        <v>0</v>
      </c>
      <c r="IJ250" s="4">
        <f>IFERROR(HH250/'McDonough &amp; Sun 1995 values'!S$2,)</f>
        <v>0</v>
      </c>
      <c r="IK250" s="4">
        <f>IFERROR(HI250/'McDonough &amp; Sun 1995 values'!T$2,)</f>
        <v>0</v>
      </c>
      <c r="IL250" s="4">
        <f>IFERROR(HJ250/'McDonough &amp; Sun 1995 values'!U$2,)</f>
        <v>0</v>
      </c>
      <c r="IM250" s="4">
        <f>IFERROR(HK250/'McDonough &amp; Sun 1995 values'!V$2,)</f>
        <v>0</v>
      </c>
      <c r="IN250" s="4">
        <f>IFERROR(HL250/'McDonough &amp; Sun 1995 values'!W$2,)</f>
        <v>0</v>
      </c>
      <c r="IO250" s="4">
        <f>IFERROR(HM250/'McDonough &amp; Sun 1995 values'!X$2,)</f>
        <v>0</v>
      </c>
      <c r="IP250" s="4">
        <f>IFERROR(HN250/'McDonough &amp; Sun 1995 values'!Y$2,)</f>
        <v>0</v>
      </c>
      <c r="IQ250" s="4">
        <f>IFERROR(HO250/'McDonough &amp; Sun 1995 values'!Z$2,)</f>
        <v>0</v>
      </c>
      <c r="IR250" s="4">
        <f>IFERROR(HP250/'McDonough &amp; Sun 1995 values'!AA$2,)</f>
        <v>0</v>
      </c>
      <c r="IS250" s="4">
        <f>IFERROR(HQ250/'McDonough &amp; Sun 1995 values'!AB$2,)</f>
        <v>0</v>
      </c>
      <c r="IT250" s="4">
        <f>IFERROR(HR250/'McDonough &amp; Sun 1995 values'!AC$2,)</f>
        <v>0</v>
      </c>
    </row>
    <row r="251" spans="1:254">
      <c r="A251" s="16" t="s">
        <v>838</v>
      </c>
      <c r="B251" s="16" t="s">
        <v>24</v>
      </c>
      <c r="C251" s="16" t="str">
        <f t="shared" si="461"/>
        <v>silicic - low-Mg carbonatitic</v>
      </c>
      <c r="D251" s="16" t="s">
        <v>1719</v>
      </c>
      <c r="E251" s="16" t="s">
        <v>388</v>
      </c>
      <c r="F251" s="16" t="s">
        <v>342</v>
      </c>
      <c r="G251" s="16" t="s">
        <v>829</v>
      </c>
      <c r="H251" s="27">
        <v>0</v>
      </c>
      <c r="I251" s="16" t="s">
        <v>735</v>
      </c>
      <c r="J251" s="16">
        <v>0</v>
      </c>
      <c r="K251" s="16" t="s">
        <v>903</v>
      </c>
      <c r="L251" s="16">
        <v>0</v>
      </c>
      <c r="M251" s="16">
        <v>10</v>
      </c>
      <c r="N251" s="16">
        <v>50</v>
      </c>
      <c r="O251" s="26">
        <v>30.97</v>
      </c>
      <c r="P251" s="26">
        <v>2.2000000000000002</v>
      </c>
      <c r="Q251" s="26"/>
      <c r="R251" s="26">
        <v>4.42</v>
      </c>
      <c r="S251" s="26">
        <v>9.4</v>
      </c>
      <c r="T251" s="26">
        <v>4.79</v>
      </c>
      <c r="U251" s="26"/>
      <c r="V251" s="26">
        <v>13.08</v>
      </c>
      <c r="W251" s="26">
        <v>2.95</v>
      </c>
      <c r="X251" s="26">
        <v>15.84</v>
      </c>
      <c r="Y251" s="26"/>
      <c r="Z251" s="26">
        <v>6.38</v>
      </c>
      <c r="AA251" s="26">
        <v>1.48</v>
      </c>
      <c r="AB251" s="26">
        <v>2.87</v>
      </c>
      <c r="AC251" s="26"/>
      <c r="AD251" s="26">
        <v>4.3899999999999997</v>
      </c>
      <c r="AE251" s="26"/>
      <c r="AF251" s="26">
        <v>1.24</v>
      </c>
      <c r="AG251" s="26"/>
      <c r="AH251" s="26"/>
      <c r="AI251" s="26">
        <v>5.23</v>
      </c>
      <c r="AJ251" s="26">
        <f t="shared" si="462"/>
        <v>97.29</v>
      </c>
      <c r="AK251" s="26">
        <f t="shared" si="603"/>
        <v>32.160147729348189</v>
      </c>
      <c r="AL251" s="26">
        <f t="shared" si="604"/>
        <v>2.2845439136120764</v>
      </c>
      <c r="AM251" s="26">
        <f t="shared" si="605"/>
        <v>4.5898564082569902</v>
      </c>
      <c r="AN251" s="26">
        <f t="shared" si="606"/>
        <v>9.7612330854334175</v>
      </c>
      <c r="AO251" s="26">
        <f t="shared" si="607"/>
        <v>4.9740751573644753</v>
      </c>
      <c r="AP251" s="26">
        <f t="shared" si="608"/>
        <v>13.582651995475437</v>
      </c>
      <c r="AQ251" s="26">
        <f t="shared" si="609"/>
        <v>2.9802913782121179</v>
      </c>
      <c r="AR251" s="26">
        <f t="shared" si="610"/>
        <v>3.0633657023434666</v>
      </c>
      <c r="AS251" s="26">
        <f t="shared" si="611"/>
        <v>16.448716178006951</v>
      </c>
      <c r="AT251" s="26">
        <f t="shared" si="612"/>
        <v>6.6251773494750212</v>
      </c>
      <c r="AU251" s="26">
        <f t="shared" si="613"/>
        <v>4.5587035367077346</v>
      </c>
      <c r="AV251" s="26">
        <f t="shared" si="463"/>
        <v>101.02876243423587</v>
      </c>
      <c r="AW251" s="16"/>
      <c r="AX251" s="16"/>
      <c r="AY251" s="16"/>
      <c r="AZ251" s="16"/>
      <c r="BA251" s="26"/>
      <c r="BB251" s="26">
        <v>0.79</v>
      </c>
      <c r="BC251" s="26">
        <f>1-BD251</f>
        <v>0.79</v>
      </c>
      <c r="BD251" s="26">
        <f>1-BB251</f>
        <v>0.20999999999999996</v>
      </c>
      <c r="BE251" s="16"/>
      <c r="BF251" s="16"/>
      <c r="BG251" s="16"/>
      <c r="BH251" s="16"/>
      <c r="BI251" s="16"/>
      <c r="BJ251" s="16"/>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28"/>
      <c r="DW251" s="28"/>
      <c r="DX251" s="28"/>
      <c r="DY251" s="28"/>
      <c r="DZ251" s="28"/>
      <c r="EA251" s="28"/>
      <c r="EB251" s="28"/>
      <c r="EC251" s="28"/>
      <c r="ED251" s="28"/>
      <c r="EE251" s="28"/>
      <c r="EF251" s="28"/>
      <c r="EG251" s="28"/>
      <c r="EH251" s="28"/>
      <c r="EI251" s="28"/>
      <c r="EJ251" s="18"/>
      <c r="EK251" s="18"/>
      <c r="EL251" s="18">
        <f>IFERROR(CR251/'McDonough &amp; Sun 1995 values'!C$2,)</f>
        <v>0</v>
      </c>
      <c r="EM251" s="18">
        <f>IFERROR(CH251/'McDonough &amp; Sun 1995 values'!D$2,)</f>
        <v>0</v>
      </c>
      <c r="EN251" s="18">
        <f>IFERROR(CS251/'McDonough &amp; Sun 1995 values'!E$2,)</f>
        <v>0</v>
      </c>
      <c r="EO251" s="18">
        <f>IFERROR(DL251/'McDonough &amp; Sun 1995 values'!F$2,)</f>
        <v>0</v>
      </c>
      <c r="EP251" s="18">
        <f>IFERROR(DM251/'McDonough &amp; Sun 1995 values'!G$2,)</f>
        <v>0</v>
      </c>
      <c r="EQ251" s="18">
        <f>IFERROR(BR251/'McDonough &amp; Sun 1995 values'!H$2,)</f>
        <v>0</v>
      </c>
      <c r="ER251" s="18">
        <f>IFERROR(DI251/'McDonough &amp; Sun 1995 values'!I$2,)</f>
        <v>0</v>
      </c>
      <c r="ES251" s="18">
        <f>IFERROR(CM251/'McDonough &amp; Sun 1995 values'!J$2,)</f>
        <v>0</v>
      </c>
      <c r="ET251" s="18">
        <f>IFERROR(CU251/'McDonough &amp; Sun 1995 values'!K$2,)</f>
        <v>0</v>
      </c>
      <c r="EU251" s="18">
        <f>IFERROR(CV251/'McDonough &amp; Sun 1995 values'!L$2,)</f>
        <v>0</v>
      </c>
      <c r="EV251" s="18">
        <f>IFERROR(CW251/'McDonough &amp; Sun 1995 values'!M$2,)</f>
        <v>0</v>
      </c>
      <c r="EW251" s="18">
        <f>IFERROR(CI251/'McDonough &amp; Sun 1995 values'!N$2,)</f>
        <v>0</v>
      </c>
      <c r="EX251" s="18">
        <f>IFERROR(CX251/'McDonough &amp; Sun 1995 values'!O$2,)</f>
        <v>0</v>
      </c>
      <c r="EY251" s="18">
        <f>IFERROR(CY251/'McDonough &amp; Sun 1995 values'!P$2,)</f>
        <v>0</v>
      </c>
      <c r="EZ251" s="18">
        <f>IFERROR(DH251/'McDonough &amp; Sun 1995 values'!Q$2,)</f>
        <v>0</v>
      </c>
      <c r="FA251" s="18">
        <f>IFERROR(CK251/'McDonough &amp; Sun 1995 values'!R$2,)</f>
        <v>0</v>
      </c>
      <c r="FB251" s="18">
        <f>IFERROR(CZ251/'McDonough &amp; Sun 1995 values'!S$2,)</f>
        <v>0</v>
      </c>
      <c r="FC251" s="18">
        <f>IFERROR(BT251/'McDonough &amp; Sun 1995 values'!T$2,)</f>
        <v>0</v>
      </c>
      <c r="FD251" s="18">
        <f>IFERROR(DA251/'McDonough &amp; Sun 1995 values'!U$2,)</f>
        <v>0</v>
      </c>
      <c r="FE251" s="18">
        <f>IFERROR(DN251/'McDonough &amp; Sun 1995 values'!V$2,)</f>
        <v>0</v>
      </c>
      <c r="FF251" s="18">
        <f>IFERROR(DB251/'McDonough &amp; Sun 1995 values'!W$2,)</f>
        <v>0</v>
      </c>
      <c r="FG251" s="18">
        <f>IFERROR(CJ251/'McDonough &amp; Sun 1995 values'!X$2,)</f>
        <v>0</v>
      </c>
      <c r="FH251" s="18">
        <f>IFERROR(DC251/'McDonough &amp; Sun 1995 values'!Y$2,)</f>
        <v>0</v>
      </c>
      <c r="FI251" s="18">
        <f>IFERROR(DD251/'McDonough &amp; Sun 1995 values'!Z$2,)</f>
        <v>0</v>
      </c>
      <c r="FJ251" s="18">
        <f>IFERROR(DE251/'McDonough &amp; Sun 1995 values'!AA$2,)</f>
        <v>0</v>
      </c>
      <c r="FK251" s="18">
        <f>IFERROR(DF251/'McDonough &amp; Sun 1995 values'!AB$2,)</f>
        <v>0</v>
      </c>
      <c r="FL251" s="18">
        <f>IFERROR(DG251/'McDonough &amp; Sun 1995 values'!AC$2,)</f>
        <v>0</v>
      </c>
      <c r="FN251" s="28">
        <f t="shared" si="614"/>
        <v>0</v>
      </c>
      <c r="FO251" s="4">
        <f t="shared" si="547"/>
        <v>0</v>
      </c>
      <c r="FP251" s="4">
        <f t="shared" si="548"/>
        <v>0</v>
      </c>
      <c r="FQ251" s="4">
        <f t="shared" si="549"/>
        <v>0</v>
      </c>
      <c r="FR251" s="4">
        <f t="shared" si="550"/>
        <v>0</v>
      </c>
      <c r="FS251" s="4">
        <f t="shared" si="551"/>
        <v>0</v>
      </c>
      <c r="FT251" s="4">
        <f t="shared" si="552"/>
        <v>0</v>
      </c>
      <c r="FU251" s="4">
        <f t="shared" si="553"/>
        <v>0</v>
      </c>
      <c r="FV251" s="4">
        <f t="shared" si="554"/>
        <v>0</v>
      </c>
      <c r="FW251" s="4">
        <f t="shared" si="555"/>
        <v>0</v>
      </c>
      <c r="FX251" s="4">
        <f t="shared" si="556"/>
        <v>0</v>
      </c>
      <c r="FY251" s="4">
        <f t="shared" si="557"/>
        <v>0</v>
      </c>
      <c r="FZ251" s="4">
        <f t="shared" si="558"/>
        <v>0</v>
      </c>
      <c r="GA251" s="4">
        <f t="shared" si="559"/>
        <v>0</v>
      </c>
      <c r="GB251" s="4">
        <f t="shared" si="560"/>
        <v>0</v>
      </c>
      <c r="GC251" s="4">
        <f t="shared" si="561"/>
        <v>0</v>
      </c>
      <c r="GD251" s="4">
        <f t="shared" si="562"/>
        <v>0</v>
      </c>
      <c r="GE251" s="4">
        <f t="shared" si="563"/>
        <v>0</v>
      </c>
      <c r="GF251" s="4">
        <f t="shared" si="564"/>
        <v>0</v>
      </c>
      <c r="GG251" s="4">
        <f t="shared" si="565"/>
        <v>0</v>
      </c>
      <c r="GH251" s="4">
        <f t="shared" si="566"/>
        <v>0</v>
      </c>
      <c r="GI251" s="4">
        <f t="shared" si="567"/>
        <v>0</v>
      </c>
      <c r="GJ251" s="4">
        <f t="shared" si="568"/>
        <v>0</v>
      </c>
      <c r="GK251" s="4">
        <f t="shared" si="569"/>
        <v>0</v>
      </c>
      <c r="GL251" s="4">
        <f t="shared" si="570"/>
        <v>0</v>
      </c>
      <c r="GM251" s="4">
        <f t="shared" si="571"/>
        <v>0</v>
      </c>
      <c r="GN251" s="4">
        <f t="shared" si="572"/>
        <v>0</v>
      </c>
      <c r="GO251" s="4">
        <f t="shared" si="573"/>
        <v>0</v>
      </c>
      <c r="GP251" s="4">
        <f t="shared" si="574"/>
        <v>0</v>
      </c>
      <c r="GQ251" s="27">
        <f t="shared" si="575"/>
        <v>136546.92913953736</v>
      </c>
      <c r="GR251" s="28" t="str">
        <f t="shared" si="576"/>
        <v/>
      </c>
      <c r="GS251" s="28" t="str">
        <f t="shared" si="577"/>
        <v/>
      </c>
      <c r="GT251" s="28" t="str">
        <f t="shared" si="578"/>
        <v/>
      </c>
      <c r="GU251" s="28" t="str">
        <f t="shared" si="579"/>
        <v/>
      </c>
      <c r="GV251" s="28" t="str">
        <f t="shared" si="580"/>
        <v/>
      </c>
      <c r="GW251" s="28" t="str">
        <f t="shared" si="581"/>
        <v/>
      </c>
      <c r="GX251" s="28" t="str">
        <f t="shared" si="582"/>
        <v/>
      </c>
      <c r="GY251" s="28" t="str">
        <f t="shared" si="583"/>
        <v/>
      </c>
      <c r="GZ251" s="28" t="str">
        <f t="shared" si="584"/>
        <v/>
      </c>
      <c r="HA251" s="28" t="str">
        <f t="shared" si="585"/>
        <v/>
      </c>
      <c r="HB251" s="28" t="str">
        <f t="shared" si="586"/>
        <v/>
      </c>
      <c r="HC251" s="28" t="str">
        <f t="shared" si="587"/>
        <v/>
      </c>
      <c r="HD251" s="28" t="str">
        <f t="shared" si="588"/>
        <v/>
      </c>
      <c r="HE251" s="28" t="str">
        <f t="shared" si="589"/>
        <v/>
      </c>
      <c r="HF251" s="28" t="str">
        <f t="shared" si="590"/>
        <v/>
      </c>
      <c r="HG251" s="28" t="str">
        <f t="shared" si="591"/>
        <v/>
      </c>
      <c r="HH251" s="28" t="str">
        <f t="shared" si="592"/>
        <v/>
      </c>
      <c r="HI251" s="28" t="str">
        <f t="shared" si="593"/>
        <v/>
      </c>
      <c r="HJ251" s="28" t="str">
        <f t="shared" si="594"/>
        <v/>
      </c>
      <c r="HK251" s="28" t="str">
        <f t="shared" si="595"/>
        <v/>
      </c>
      <c r="HL251" s="28" t="str">
        <f t="shared" si="596"/>
        <v/>
      </c>
      <c r="HM251" s="28" t="str">
        <f t="shared" si="597"/>
        <v/>
      </c>
      <c r="HN251" s="28" t="str">
        <f t="shared" si="598"/>
        <v/>
      </c>
      <c r="HO251" s="28" t="str">
        <f t="shared" si="599"/>
        <v/>
      </c>
      <c r="HP251" s="28" t="str">
        <f t="shared" si="600"/>
        <v/>
      </c>
      <c r="HQ251" s="28" t="str">
        <f t="shared" si="601"/>
        <v/>
      </c>
      <c r="HR251" s="28" t="str">
        <f t="shared" si="602"/>
        <v/>
      </c>
      <c r="HT251" s="4">
        <f>IFERROR(GR251/'McDonough &amp; Sun 1995 values'!C$2,)</f>
        <v>0</v>
      </c>
      <c r="HU251" s="4">
        <f>IFERROR(GS251/'McDonough &amp; Sun 1995 values'!D$2,)</f>
        <v>0</v>
      </c>
      <c r="HV251" s="4">
        <f>IFERROR(GT251/'McDonough &amp; Sun 1995 values'!E$2,)</f>
        <v>0</v>
      </c>
      <c r="HW251" s="4">
        <f>IFERROR(GU251/'McDonough &amp; Sun 1995 values'!F$2,)</f>
        <v>0</v>
      </c>
      <c r="HX251" s="4">
        <f>IFERROR(GV251/'McDonough &amp; Sun 1995 values'!G$2,)</f>
        <v>0</v>
      </c>
      <c r="HY251" s="4">
        <f>IFERROR(GW251/'McDonough &amp; Sun 1995 values'!H$2,)</f>
        <v>0</v>
      </c>
      <c r="HZ251" s="4">
        <f>IFERROR(GX251/'McDonough &amp; Sun 1995 values'!I$2,)</f>
        <v>0</v>
      </c>
      <c r="IA251" s="4">
        <f>IFERROR(GY251/'McDonough &amp; Sun 1995 values'!J$2,)</f>
        <v>0</v>
      </c>
      <c r="IB251" s="4">
        <f>IFERROR(GZ251/'McDonough &amp; Sun 1995 values'!K$2,)</f>
        <v>0</v>
      </c>
      <c r="IC251" s="4">
        <f>IFERROR(HA251/'McDonough &amp; Sun 1995 values'!L$2,)</f>
        <v>0</v>
      </c>
      <c r="ID251" s="4">
        <f>IFERROR(HB251/'McDonough &amp; Sun 1995 values'!M$2,)</f>
        <v>0</v>
      </c>
      <c r="IE251" s="4">
        <f>IFERROR(HC251/'McDonough &amp; Sun 1995 values'!N$2,)</f>
        <v>0</v>
      </c>
      <c r="IF251" s="4">
        <f>IFERROR(HD251/'McDonough &amp; Sun 1995 values'!O$2,)</f>
        <v>0</v>
      </c>
      <c r="IG251" s="4">
        <f>IFERROR(HE251/'McDonough &amp; Sun 1995 values'!P$2,)</f>
        <v>0</v>
      </c>
      <c r="IH251" s="4">
        <f>IFERROR(HF251/'McDonough &amp; Sun 1995 values'!Q$2,)</f>
        <v>0</v>
      </c>
      <c r="II251" s="4">
        <f>IFERROR(HG251/'McDonough &amp; Sun 1995 values'!R$2,)</f>
        <v>0</v>
      </c>
      <c r="IJ251" s="4">
        <f>IFERROR(HH251/'McDonough &amp; Sun 1995 values'!S$2,)</f>
        <v>0</v>
      </c>
      <c r="IK251" s="4">
        <f>IFERROR(HI251/'McDonough &amp; Sun 1995 values'!T$2,)</f>
        <v>0</v>
      </c>
      <c r="IL251" s="4">
        <f>IFERROR(HJ251/'McDonough &amp; Sun 1995 values'!U$2,)</f>
        <v>0</v>
      </c>
      <c r="IM251" s="4">
        <f>IFERROR(HK251/'McDonough &amp; Sun 1995 values'!V$2,)</f>
        <v>0</v>
      </c>
      <c r="IN251" s="4">
        <f>IFERROR(HL251/'McDonough &amp; Sun 1995 values'!W$2,)</f>
        <v>0</v>
      </c>
      <c r="IO251" s="4">
        <f>IFERROR(HM251/'McDonough &amp; Sun 1995 values'!X$2,)</f>
        <v>0</v>
      </c>
      <c r="IP251" s="4">
        <f>IFERROR(HN251/'McDonough &amp; Sun 1995 values'!Y$2,)</f>
        <v>0</v>
      </c>
      <c r="IQ251" s="4">
        <f>IFERROR(HO251/'McDonough &amp; Sun 1995 values'!Z$2,)</f>
        <v>0</v>
      </c>
      <c r="IR251" s="4">
        <f>IFERROR(HP251/'McDonough &amp; Sun 1995 values'!AA$2,)</f>
        <v>0</v>
      </c>
      <c r="IS251" s="4">
        <f>IFERROR(HQ251/'McDonough &amp; Sun 1995 values'!AB$2,)</f>
        <v>0</v>
      </c>
      <c r="IT251" s="4">
        <f>IFERROR(HR251/'McDonough &amp; Sun 1995 values'!AC$2,)</f>
        <v>0</v>
      </c>
    </row>
    <row r="252" spans="1:254">
      <c r="A252" s="16" t="s">
        <v>838</v>
      </c>
      <c r="B252" s="16" t="s">
        <v>24</v>
      </c>
      <c r="C252" s="16" t="str">
        <f t="shared" si="461"/>
        <v>silicic - low-Mg carbonatitic</v>
      </c>
      <c r="D252" s="16" t="s">
        <v>1719</v>
      </c>
      <c r="E252" s="16" t="s">
        <v>388</v>
      </c>
      <c r="F252" s="16" t="s">
        <v>342</v>
      </c>
      <c r="G252" s="16" t="s">
        <v>829</v>
      </c>
      <c r="H252" s="27">
        <v>0</v>
      </c>
      <c r="I252" s="16" t="s">
        <v>735</v>
      </c>
      <c r="J252" s="16">
        <v>0</v>
      </c>
      <c r="K252" s="16" t="s">
        <v>903</v>
      </c>
      <c r="L252" s="16">
        <v>0</v>
      </c>
      <c r="M252" s="16">
        <v>11</v>
      </c>
      <c r="N252" s="16">
        <v>39</v>
      </c>
      <c r="O252" s="26">
        <v>37.46</v>
      </c>
      <c r="P252" s="26">
        <v>1.5</v>
      </c>
      <c r="Q252" s="26"/>
      <c r="R252" s="26">
        <v>5.38</v>
      </c>
      <c r="S252" s="26">
        <v>7.05</v>
      </c>
      <c r="T252" s="26">
        <v>3.27</v>
      </c>
      <c r="U252" s="26"/>
      <c r="V252" s="26">
        <v>10.09</v>
      </c>
      <c r="W252" s="26">
        <v>3.13</v>
      </c>
      <c r="X252" s="26">
        <v>16.16</v>
      </c>
      <c r="Y252" s="26"/>
      <c r="Z252" s="26">
        <v>5.21</v>
      </c>
      <c r="AA252" s="26">
        <v>0.66</v>
      </c>
      <c r="AB252" s="26">
        <v>3.77</v>
      </c>
      <c r="AC252" s="26"/>
      <c r="AD252" s="26">
        <v>4.9000000000000004</v>
      </c>
      <c r="AE252" s="26"/>
      <c r="AF252" s="26">
        <v>1.41</v>
      </c>
      <c r="AG252" s="26"/>
      <c r="AH252" s="26"/>
      <c r="AI252" s="26">
        <v>4.38</v>
      </c>
      <c r="AJ252" s="26">
        <f t="shared" si="462"/>
        <v>97.919999999999987</v>
      </c>
      <c r="AK252" s="26">
        <f t="shared" si="603"/>
        <v>38.692664239361505</v>
      </c>
      <c r="AL252" s="26">
        <f t="shared" si="604"/>
        <v>1.549359219408496</v>
      </c>
      <c r="AM252" s="26">
        <f t="shared" si="605"/>
        <v>5.5570350669451392</v>
      </c>
      <c r="AN252" s="26">
        <f t="shared" si="606"/>
        <v>7.2819883312199307</v>
      </c>
      <c r="AO252" s="26">
        <f t="shared" si="607"/>
        <v>3.3776030983105212</v>
      </c>
      <c r="AP252" s="26">
        <f t="shared" si="608"/>
        <v>10.422023015887817</v>
      </c>
      <c r="AQ252" s="26">
        <f t="shared" si="609"/>
        <v>3.8940561714466866</v>
      </c>
      <c r="AR252" s="26">
        <f t="shared" si="610"/>
        <v>3.2329962378323946</v>
      </c>
      <c r="AS252" s="26">
        <f t="shared" si="611"/>
        <v>16.691763323760863</v>
      </c>
      <c r="AT252" s="26">
        <f t="shared" si="612"/>
        <v>5.3814410220788433</v>
      </c>
      <c r="AU252" s="26">
        <f t="shared" si="613"/>
        <v>5.061240116734421</v>
      </c>
      <c r="AV252" s="26">
        <f t="shared" si="463"/>
        <v>101.14216984298663</v>
      </c>
      <c r="AW252" s="16"/>
      <c r="AX252" s="16"/>
      <c r="AY252" s="16"/>
      <c r="AZ252" s="16"/>
      <c r="BA252" s="26"/>
      <c r="BB252" s="26">
        <v>1</v>
      </c>
      <c r="BC252" s="26">
        <f>1-BD252</f>
        <v>1</v>
      </c>
      <c r="BD252" s="26">
        <f>1-BB252</f>
        <v>0</v>
      </c>
      <c r="BE252" s="16"/>
      <c r="BF252" s="16"/>
      <c r="BG252" s="16"/>
      <c r="BH252" s="16"/>
      <c r="BI252" s="16"/>
      <c r="BJ252" s="16"/>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28"/>
      <c r="DW252" s="28"/>
      <c r="DX252" s="28"/>
      <c r="DY252" s="28"/>
      <c r="DZ252" s="28"/>
      <c r="EA252" s="28"/>
      <c r="EB252" s="28"/>
      <c r="EC252" s="28"/>
      <c r="ED252" s="28"/>
      <c r="EE252" s="28"/>
      <c r="EF252" s="28"/>
      <c r="EG252" s="28"/>
      <c r="EH252" s="28"/>
      <c r="EI252" s="28"/>
      <c r="EJ252" s="18"/>
      <c r="EK252" s="18"/>
      <c r="EL252" s="18">
        <f>IFERROR(CR252/'McDonough &amp; Sun 1995 values'!C$2,)</f>
        <v>0</v>
      </c>
      <c r="EM252" s="18">
        <f>IFERROR(CH252/'McDonough &amp; Sun 1995 values'!D$2,)</f>
        <v>0</v>
      </c>
      <c r="EN252" s="18">
        <f>IFERROR(CS252/'McDonough &amp; Sun 1995 values'!E$2,)</f>
        <v>0</v>
      </c>
      <c r="EO252" s="18">
        <f>IFERROR(DL252/'McDonough &amp; Sun 1995 values'!F$2,)</f>
        <v>0</v>
      </c>
      <c r="EP252" s="18">
        <f>IFERROR(DM252/'McDonough &amp; Sun 1995 values'!G$2,)</f>
        <v>0</v>
      </c>
      <c r="EQ252" s="18">
        <f>IFERROR(BR252/'McDonough &amp; Sun 1995 values'!H$2,)</f>
        <v>0</v>
      </c>
      <c r="ER252" s="18">
        <f>IFERROR(DI252/'McDonough &amp; Sun 1995 values'!I$2,)</f>
        <v>0</v>
      </c>
      <c r="ES252" s="18">
        <f>IFERROR(CM252/'McDonough &amp; Sun 1995 values'!J$2,)</f>
        <v>0</v>
      </c>
      <c r="ET252" s="18">
        <f>IFERROR(CU252/'McDonough &amp; Sun 1995 values'!K$2,)</f>
        <v>0</v>
      </c>
      <c r="EU252" s="18">
        <f>IFERROR(CV252/'McDonough &amp; Sun 1995 values'!L$2,)</f>
        <v>0</v>
      </c>
      <c r="EV252" s="18">
        <f>IFERROR(CW252/'McDonough &amp; Sun 1995 values'!M$2,)</f>
        <v>0</v>
      </c>
      <c r="EW252" s="18">
        <f>IFERROR(CI252/'McDonough &amp; Sun 1995 values'!N$2,)</f>
        <v>0</v>
      </c>
      <c r="EX252" s="18">
        <f>IFERROR(CX252/'McDonough &amp; Sun 1995 values'!O$2,)</f>
        <v>0</v>
      </c>
      <c r="EY252" s="18">
        <f>IFERROR(CY252/'McDonough &amp; Sun 1995 values'!P$2,)</f>
        <v>0</v>
      </c>
      <c r="EZ252" s="18">
        <f>IFERROR(DH252/'McDonough &amp; Sun 1995 values'!Q$2,)</f>
        <v>0</v>
      </c>
      <c r="FA252" s="18">
        <f>IFERROR(CK252/'McDonough &amp; Sun 1995 values'!R$2,)</f>
        <v>0</v>
      </c>
      <c r="FB252" s="18">
        <f>IFERROR(CZ252/'McDonough &amp; Sun 1995 values'!S$2,)</f>
        <v>0</v>
      </c>
      <c r="FC252" s="18">
        <f>IFERROR(BT252/'McDonough &amp; Sun 1995 values'!T$2,)</f>
        <v>0</v>
      </c>
      <c r="FD252" s="18">
        <f>IFERROR(DA252/'McDonough &amp; Sun 1995 values'!U$2,)</f>
        <v>0</v>
      </c>
      <c r="FE252" s="18">
        <f>IFERROR(DN252/'McDonough &amp; Sun 1995 values'!V$2,)</f>
        <v>0</v>
      </c>
      <c r="FF252" s="18">
        <f>IFERROR(DB252/'McDonough &amp; Sun 1995 values'!W$2,)</f>
        <v>0</v>
      </c>
      <c r="FG252" s="18">
        <f>IFERROR(CJ252/'McDonough &amp; Sun 1995 values'!X$2,)</f>
        <v>0</v>
      </c>
      <c r="FH252" s="18">
        <f>IFERROR(DC252/'McDonough &amp; Sun 1995 values'!Y$2,)</f>
        <v>0</v>
      </c>
      <c r="FI252" s="18">
        <f>IFERROR(DD252/'McDonough &amp; Sun 1995 values'!Z$2,)</f>
        <v>0</v>
      </c>
      <c r="FJ252" s="18">
        <f>IFERROR(DE252/'McDonough &amp; Sun 1995 values'!AA$2,)</f>
        <v>0</v>
      </c>
      <c r="FK252" s="18">
        <f>IFERROR(DF252/'McDonough &amp; Sun 1995 values'!AB$2,)</f>
        <v>0</v>
      </c>
      <c r="FL252" s="18">
        <f>IFERROR(DG252/'McDonough &amp; Sun 1995 values'!AC$2,)</f>
        <v>0</v>
      </c>
      <c r="FN252" s="28">
        <f t="shared" si="614"/>
        <v>0</v>
      </c>
      <c r="FO252" s="4">
        <f t="shared" si="547"/>
        <v>0</v>
      </c>
      <c r="FP252" s="4">
        <f t="shared" si="548"/>
        <v>0</v>
      </c>
      <c r="FQ252" s="4">
        <f t="shared" si="549"/>
        <v>0</v>
      </c>
      <c r="FR252" s="4">
        <f t="shared" si="550"/>
        <v>0</v>
      </c>
      <c r="FS252" s="4">
        <f t="shared" si="551"/>
        <v>0</v>
      </c>
      <c r="FT252" s="4">
        <f t="shared" si="552"/>
        <v>0</v>
      </c>
      <c r="FU252" s="4">
        <f t="shared" si="553"/>
        <v>0</v>
      </c>
      <c r="FV252" s="4">
        <f t="shared" si="554"/>
        <v>0</v>
      </c>
      <c r="FW252" s="4">
        <f t="shared" si="555"/>
        <v>0</v>
      </c>
      <c r="FX252" s="4">
        <f t="shared" si="556"/>
        <v>0</v>
      </c>
      <c r="FY252" s="4">
        <f t="shared" si="557"/>
        <v>0</v>
      </c>
      <c r="FZ252" s="4">
        <f t="shared" si="558"/>
        <v>0</v>
      </c>
      <c r="GA252" s="4">
        <f t="shared" si="559"/>
        <v>0</v>
      </c>
      <c r="GB252" s="4">
        <f t="shared" si="560"/>
        <v>0</v>
      </c>
      <c r="GC252" s="4">
        <f t="shared" si="561"/>
        <v>0</v>
      </c>
      <c r="GD252" s="4">
        <f t="shared" si="562"/>
        <v>0</v>
      </c>
      <c r="GE252" s="4">
        <f t="shared" si="563"/>
        <v>0</v>
      </c>
      <c r="GF252" s="4">
        <f t="shared" si="564"/>
        <v>0</v>
      </c>
      <c r="GG252" s="4">
        <f t="shared" si="565"/>
        <v>0</v>
      </c>
      <c r="GH252" s="4">
        <f t="shared" si="566"/>
        <v>0</v>
      </c>
      <c r="GI252" s="4">
        <f t="shared" si="567"/>
        <v>0</v>
      </c>
      <c r="GJ252" s="4">
        <f t="shared" si="568"/>
        <v>0</v>
      </c>
      <c r="GK252" s="4">
        <f t="shared" si="569"/>
        <v>0</v>
      </c>
      <c r="GL252" s="4">
        <f t="shared" si="570"/>
        <v>0</v>
      </c>
      <c r="GM252" s="4">
        <f t="shared" si="571"/>
        <v>0</v>
      </c>
      <c r="GN252" s="4">
        <f t="shared" si="572"/>
        <v>0</v>
      </c>
      <c r="GO252" s="4">
        <f t="shared" si="573"/>
        <v>0</v>
      </c>
      <c r="GP252" s="4">
        <f t="shared" si="574"/>
        <v>0</v>
      </c>
      <c r="GQ252" s="27">
        <f t="shared" si="575"/>
        <v>138564.55416447396</v>
      </c>
      <c r="GR252" s="28" t="str">
        <f t="shared" si="576"/>
        <v/>
      </c>
      <c r="GS252" s="28" t="str">
        <f t="shared" si="577"/>
        <v/>
      </c>
      <c r="GT252" s="28" t="str">
        <f t="shared" si="578"/>
        <v/>
      </c>
      <c r="GU252" s="28" t="str">
        <f t="shared" si="579"/>
        <v/>
      </c>
      <c r="GV252" s="28" t="str">
        <f t="shared" si="580"/>
        <v/>
      </c>
      <c r="GW252" s="28" t="str">
        <f t="shared" si="581"/>
        <v/>
      </c>
      <c r="GX252" s="28" t="str">
        <f t="shared" si="582"/>
        <v/>
      </c>
      <c r="GY252" s="28" t="str">
        <f t="shared" si="583"/>
        <v/>
      </c>
      <c r="GZ252" s="28" t="str">
        <f t="shared" si="584"/>
        <v/>
      </c>
      <c r="HA252" s="28" t="str">
        <f t="shared" si="585"/>
        <v/>
      </c>
      <c r="HB252" s="28" t="str">
        <f t="shared" si="586"/>
        <v/>
      </c>
      <c r="HC252" s="28" t="str">
        <f t="shared" si="587"/>
        <v/>
      </c>
      <c r="HD252" s="28" t="str">
        <f t="shared" si="588"/>
        <v/>
      </c>
      <c r="HE252" s="28" t="str">
        <f t="shared" si="589"/>
        <v/>
      </c>
      <c r="HF252" s="28" t="str">
        <f t="shared" si="590"/>
        <v/>
      </c>
      <c r="HG252" s="28" t="str">
        <f t="shared" si="591"/>
        <v/>
      </c>
      <c r="HH252" s="28" t="str">
        <f t="shared" si="592"/>
        <v/>
      </c>
      <c r="HI252" s="28" t="str">
        <f t="shared" si="593"/>
        <v/>
      </c>
      <c r="HJ252" s="28" t="str">
        <f t="shared" si="594"/>
        <v/>
      </c>
      <c r="HK252" s="28" t="str">
        <f t="shared" si="595"/>
        <v/>
      </c>
      <c r="HL252" s="28" t="str">
        <f t="shared" si="596"/>
        <v/>
      </c>
      <c r="HM252" s="28" t="str">
        <f t="shared" si="597"/>
        <v/>
      </c>
      <c r="HN252" s="28" t="str">
        <f t="shared" si="598"/>
        <v/>
      </c>
      <c r="HO252" s="28" t="str">
        <f t="shared" si="599"/>
        <v/>
      </c>
      <c r="HP252" s="28" t="str">
        <f t="shared" si="600"/>
        <v/>
      </c>
      <c r="HQ252" s="28" t="str">
        <f t="shared" si="601"/>
        <v/>
      </c>
      <c r="HR252" s="28" t="str">
        <f t="shared" si="602"/>
        <v/>
      </c>
      <c r="HT252" s="4">
        <f>IFERROR(GR252/'McDonough &amp; Sun 1995 values'!C$2,)</f>
        <v>0</v>
      </c>
      <c r="HU252" s="4">
        <f>IFERROR(GS252/'McDonough &amp; Sun 1995 values'!D$2,)</f>
        <v>0</v>
      </c>
      <c r="HV252" s="4">
        <f>IFERROR(GT252/'McDonough &amp; Sun 1995 values'!E$2,)</f>
        <v>0</v>
      </c>
      <c r="HW252" s="4">
        <f>IFERROR(GU252/'McDonough &amp; Sun 1995 values'!F$2,)</f>
        <v>0</v>
      </c>
      <c r="HX252" s="4">
        <f>IFERROR(GV252/'McDonough &amp; Sun 1995 values'!G$2,)</f>
        <v>0</v>
      </c>
      <c r="HY252" s="4">
        <f>IFERROR(GW252/'McDonough &amp; Sun 1995 values'!H$2,)</f>
        <v>0</v>
      </c>
      <c r="HZ252" s="4">
        <f>IFERROR(GX252/'McDonough &amp; Sun 1995 values'!I$2,)</f>
        <v>0</v>
      </c>
      <c r="IA252" s="4">
        <f>IFERROR(GY252/'McDonough &amp; Sun 1995 values'!J$2,)</f>
        <v>0</v>
      </c>
      <c r="IB252" s="4">
        <f>IFERROR(GZ252/'McDonough &amp; Sun 1995 values'!K$2,)</f>
        <v>0</v>
      </c>
      <c r="IC252" s="4">
        <f>IFERROR(HA252/'McDonough &amp; Sun 1995 values'!L$2,)</f>
        <v>0</v>
      </c>
      <c r="ID252" s="4">
        <f>IFERROR(HB252/'McDonough &amp; Sun 1995 values'!M$2,)</f>
        <v>0</v>
      </c>
      <c r="IE252" s="4">
        <f>IFERROR(HC252/'McDonough &amp; Sun 1995 values'!N$2,)</f>
        <v>0</v>
      </c>
      <c r="IF252" s="4">
        <f>IFERROR(HD252/'McDonough &amp; Sun 1995 values'!O$2,)</f>
        <v>0</v>
      </c>
      <c r="IG252" s="4">
        <f>IFERROR(HE252/'McDonough &amp; Sun 1995 values'!P$2,)</f>
        <v>0</v>
      </c>
      <c r="IH252" s="4">
        <f>IFERROR(HF252/'McDonough &amp; Sun 1995 values'!Q$2,)</f>
        <v>0</v>
      </c>
      <c r="II252" s="4">
        <f>IFERROR(HG252/'McDonough &amp; Sun 1995 values'!R$2,)</f>
        <v>0</v>
      </c>
      <c r="IJ252" s="4">
        <f>IFERROR(HH252/'McDonough &amp; Sun 1995 values'!S$2,)</f>
        <v>0</v>
      </c>
      <c r="IK252" s="4">
        <f>IFERROR(HI252/'McDonough &amp; Sun 1995 values'!T$2,)</f>
        <v>0</v>
      </c>
      <c r="IL252" s="4">
        <f>IFERROR(HJ252/'McDonough &amp; Sun 1995 values'!U$2,)</f>
        <v>0</v>
      </c>
      <c r="IM252" s="4">
        <f>IFERROR(HK252/'McDonough &amp; Sun 1995 values'!V$2,)</f>
        <v>0</v>
      </c>
      <c r="IN252" s="4">
        <f>IFERROR(HL252/'McDonough &amp; Sun 1995 values'!W$2,)</f>
        <v>0</v>
      </c>
      <c r="IO252" s="4">
        <f>IFERROR(HM252/'McDonough &amp; Sun 1995 values'!X$2,)</f>
        <v>0</v>
      </c>
      <c r="IP252" s="4">
        <f>IFERROR(HN252/'McDonough &amp; Sun 1995 values'!Y$2,)</f>
        <v>0</v>
      </c>
      <c r="IQ252" s="4">
        <f>IFERROR(HO252/'McDonough &amp; Sun 1995 values'!Z$2,)</f>
        <v>0</v>
      </c>
      <c r="IR252" s="4">
        <f>IFERROR(HP252/'McDonough &amp; Sun 1995 values'!AA$2,)</f>
        <v>0</v>
      </c>
      <c r="IS252" s="4">
        <f>IFERROR(HQ252/'McDonough &amp; Sun 1995 values'!AB$2,)</f>
        <v>0</v>
      </c>
      <c r="IT252" s="4">
        <f>IFERROR(HR252/'McDonough &amp; Sun 1995 values'!AC$2,)</f>
        <v>0</v>
      </c>
    </row>
    <row r="253" spans="1:254">
      <c r="A253" s="16" t="s">
        <v>838</v>
      </c>
      <c r="B253" s="16" t="s">
        <v>24</v>
      </c>
      <c r="C253" s="16" t="str">
        <f t="shared" si="461"/>
        <v>silicic - low-Mg carbonatitic</v>
      </c>
      <c r="D253" s="16" t="s">
        <v>1719</v>
      </c>
      <c r="E253" s="16" t="s">
        <v>388</v>
      </c>
      <c r="F253" s="16" t="s">
        <v>342</v>
      </c>
      <c r="G253" s="16" t="s">
        <v>829</v>
      </c>
      <c r="H253" s="27">
        <v>0</v>
      </c>
      <c r="I253" s="16" t="s">
        <v>735</v>
      </c>
      <c r="J253" s="16">
        <v>0</v>
      </c>
      <c r="K253" s="16" t="s">
        <v>903</v>
      </c>
      <c r="L253" s="16">
        <v>0</v>
      </c>
      <c r="M253" s="16">
        <v>15</v>
      </c>
      <c r="N253" s="16">
        <v>60</v>
      </c>
      <c r="O253" s="26">
        <v>35.97</v>
      </c>
      <c r="P253" s="26">
        <v>2.2400000000000002</v>
      </c>
      <c r="Q253" s="26"/>
      <c r="R253" s="26">
        <v>4.6399999999999997</v>
      </c>
      <c r="S253" s="26">
        <v>10.039999999999999</v>
      </c>
      <c r="T253" s="26">
        <v>6.52</v>
      </c>
      <c r="U253" s="26"/>
      <c r="V253" s="26">
        <v>10.91</v>
      </c>
      <c r="W253" s="26">
        <v>3.76</v>
      </c>
      <c r="X253" s="26">
        <v>12.76</v>
      </c>
      <c r="Y253" s="26"/>
      <c r="Z253" s="26">
        <v>6.8</v>
      </c>
      <c r="AA253" s="26">
        <v>0.55000000000000004</v>
      </c>
      <c r="AB253" s="26">
        <v>2.02</v>
      </c>
      <c r="AC253" s="26"/>
      <c r="AD253" s="26">
        <v>3.02</v>
      </c>
      <c r="AE253" s="26"/>
      <c r="AF253" s="26">
        <v>0.78</v>
      </c>
      <c r="AG253" s="26"/>
      <c r="AH253" s="26"/>
      <c r="AI253" s="26">
        <v>6.06</v>
      </c>
      <c r="AJ253" s="26">
        <f t="shared" si="462"/>
        <v>98.679999999999993</v>
      </c>
      <c r="AK253" s="26">
        <f t="shared" si="603"/>
        <v>36.704652154864966</v>
      </c>
      <c r="AL253" s="26">
        <f t="shared" si="604"/>
        <v>2.2857498144814437</v>
      </c>
      <c r="AM253" s="26">
        <f t="shared" si="605"/>
        <v>4.7347674728544185</v>
      </c>
      <c r="AN253" s="26">
        <f t="shared" si="606"/>
        <v>10.245057204193612</v>
      </c>
      <c r="AO253" s="26">
        <f t="shared" si="607"/>
        <v>6.6531646385799155</v>
      </c>
      <c r="AP253" s="26">
        <f t="shared" si="608"/>
        <v>11.132826105353818</v>
      </c>
      <c r="AQ253" s="26">
        <f t="shared" si="609"/>
        <v>2.0612565291305875</v>
      </c>
      <c r="AR253" s="26">
        <f t="shared" si="610"/>
        <v>3.836794331450994</v>
      </c>
      <c r="AS253" s="26">
        <f t="shared" si="611"/>
        <v>13.020610550349652</v>
      </c>
      <c r="AT253" s="26">
        <f t="shared" si="612"/>
        <v>6.9388833653900956</v>
      </c>
      <c r="AU253" s="26">
        <f t="shared" si="613"/>
        <v>3.0816805534526606</v>
      </c>
      <c r="AV253" s="26">
        <f t="shared" si="463"/>
        <v>100.69544272010216</v>
      </c>
      <c r="AW253" s="16"/>
      <c r="AX253" s="16"/>
      <c r="AY253" s="16"/>
      <c r="AZ253" s="16"/>
      <c r="BA253" s="26"/>
      <c r="BB253" s="26"/>
      <c r="BC253" s="26"/>
      <c r="BD253" s="26"/>
      <c r="BE253" s="16"/>
      <c r="BF253" s="16"/>
      <c r="BG253" s="16"/>
      <c r="BH253" s="16"/>
      <c r="BI253" s="16"/>
      <c r="BJ253" s="16"/>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c r="DS253" s="18"/>
      <c r="DT253" s="18"/>
      <c r="DU253" s="18"/>
      <c r="DV253" s="28"/>
      <c r="DW253" s="28"/>
      <c r="DX253" s="28"/>
      <c r="DY253" s="28"/>
      <c r="DZ253" s="28"/>
      <c r="EA253" s="28"/>
      <c r="EB253" s="28"/>
      <c r="EC253" s="28"/>
      <c r="ED253" s="28"/>
      <c r="EE253" s="28"/>
      <c r="EF253" s="28"/>
      <c r="EG253" s="28"/>
      <c r="EH253" s="28"/>
      <c r="EI253" s="28"/>
      <c r="EJ253" s="18"/>
      <c r="EK253" s="18"/>
      <c r="EL253" s="18">
        <f>IFERROR(CR253/'McDonough &amp; Sun 1995 values'!C$2,)</f>
        <v>0</v>
      </c>
      <c r="EM253" s="18">
        <f>IFERROR(CH253/'McDonough &amp; Sun 1995 values'!D$2,)</f>
        <v>0</v>
      </c>
      <c r="EN253" s="18">
        <f>IFERROR(CS253/'McDonough &amp; Sun 1995 values'!E$2,)</f>
        <v>0</v>
      </c>
      <c r="EO253" s="18">
        <f>IFERROR(DL253/'McDonough &amp; Sun 1995 values'!F$2,)</f>
        <v>0</v>
      </c>
      <c r="EP253" s="18">
        <f>IFERROR(DM253/'McDonough &amp; Sun 1995 values'!G$2,)</f>
        <v>0</v>
      </c>
      <c r="EQ253" s="18">
        <f>IFERROR(BR253/'McDonough &amp; Sun 1995 values'!H$2,)</f>
        <v>0</v>
      </c>
      <c r="ER253" s="18">
        <f>IFERROR(DI253/'McDonough &amp; Sun 1995 values'!I$2,)</f>
        <v>0</v>
      </c>
      <c r="ES253" s="18">
        <f>IFERROR(CM253/'McDonough &amp; Sun 1995 values'!J$2,)</f>
        <v>0</v>
      </c>
      <c r="ET253" s="18">
        <f>IFERROR(CU253/'McDonough &amp; Sun 1995 values'!K$2,)</f>
        <v>0</v>
      </c>
      <c r="EU253" s="18">
        <f>IFERROR(CV253/'McDonough &amp; Sun 1995 values'!L$2,)</f>
        <v>0</v>
      </c>
      <c r="EV253" s="18">
        <f>IFERROR(CW253/'McDonough &amp; Sun 1995 values'!M$2,)</f>
        <v>0</v>
      </c>
      <c r="EW253" s="18">
        <f>IFERROR(CI253/'McDonough &amp; Sun 1995 values'!N$2,)</f>
        <v>0</v>
      </c>
      <c r="EX253" s="18">
        <f>IFERROR(CX253/'McDonough &amp; Sun 1995 values'!O$2,)</f>
        <v>0</v>
      </c>
      <c r="EY253" s="18">
        <f>IFERROR(CY253/'McDonough &amp; Sun 1995 values'!P$2,)</f>
        <v>0</v>
      </c>
      <c r="EZ253" s="18">
        <f>IFERROR(DH253/'McDonough &amp; Sun 1995 values'!Q$2,)</f>
        <v>0</v>
      </c>
      <c r="FA253" s="18">
        <f>IFERROR(CK253/'McDonough &amp; Sun 1995 values'!R$2,)</f>
        <v>0</v>
      </c>
      <c r="FB253" s="18">
        <f>IFERROR(CZ253/'McDonough &amp; Sun 1995 values'!S$2,)</f>
        <v>0</v>
      </c>
      <c r="FC253" s="18">
        <f>IFERROR(BT253/'McDonough &amp; Sun 1995 values'!T$2,)</f>
        <v>0</v>
      </c>
      <c r="FD253" s="18">
        <f>IFERROR(DA253/'McDonough &amp; Sun 1995 values'!U$2,)</f>
        <v>0</v>
      </c>
      <c r="FE253" s="18">
        <f>IFERROR(DN253/'McDonough &amp; Sun 1995 values'!V$2,)</f>
        <v>0</v>
      </c>
      <c r="FF253" s="18">
        <f>IFERROR(DB253/'McDonough &amp; Sun 1995 values'!W$2,)</f>
        <v>0</v>
      </c>
      <c r="FG253" s="18">
        <f>IFERROR(CJ253/'McDonough &amp; Sun 1995 values'!X$2,)</f>
        <v>0</v>
      </c>
      <c r="FH253" s="18">
        <f>IFERROR(DC253/'McDonough &amp; Sun 1995 values'!Y$2,)</f>
        <v>0</v>
      </c>
      <c r="FI253" s="18">
        <f>IFERROR(DD253/'McDonough &amp; Sun 1995 values'!Z$2,)</f>
        <v>0</v>
      </c>
      <c r="FJ253" s="18">
        <f>IFERROR(DE253/'McDonough &amp; Sun 1995 values'!AA$2,)</f>
        <v>0</v>
      </c>
      <c r="FK253" s="18">
        <f>IFERROR(DF253/'McDonough &amp; Sun 1995 values'!AB$2,)</f>
        <v>0</v>
      </c>
      <c r="FL253" s="18">
        <f>IFERROR(DG253/'McDonough &amp; Sun 1995 values'!AC$2,)</f>
        <v>0</v>
      </c>
      <c r="FN253" s="28">
        <f t="shared" si="614"/>
        <v>0</v>
      </c>
      <c r="FO253" s="4">
        <f t="shared" si="547"/>
        <v>0</v>
      </c>
      <c r="FP253" s="4">
        <f t="shared" si="548"/>
        <v>0</v>
      </c>
      <c r="FQ253" s="4">
        <f t="shared" si="549"/>
        <v>0</v>
      </c>
      <c r="FR253" s="4">
        <f t="shared" si="550"/>
        <v>0</v>
      </c>
      <c r="FS253" s="4">
        <f t="shared" si="551"/>
        <v>0</v>
      </c>
      <c r="FT253" s="4">
        <f t="shared" si="552"/>
        <v>0</v>
      </c>
      <c r="FU253" s="4">
        <f t="shared" si="553"/>
        <v>0</v>
      </c>
      <c r="FV253" s="4">
        <f t="shared" si="554"/>
        <v>0</v>
      </c>
      <c r="FW253" s="4">
        <f t="shared" si="555"/>
        <v>0</v>
      </c>
      <c r="FX253" s="4">
        <f t="shared" si="556"/>
        <v>0</v>
      </c>
      <c r="FY253" s="4">
        <f t="shared" si="557"/>
        <v>0</v>
      </c>
      <c r="FZ253" s="4">
        <f t="shared" si="558"/>
        <v>0</v>
      </c>
      <c r="GA253" s="4">
        <f t="shared" si="559"/>
        <v>0</v>
      </c>
      <c r="GB253" s="4">
        <f t="shared" si="560"/>
        <v>0</v>
      </c>
      <c r="GC253" s="4">
        <f t="shared" si="561"/>
        <v>0</v>
      </c>
      <c r="GD253" s="4">
        <f t="shared" si="562"/>
        <v>0</v>
      </c>
      <c r="GE253" s="4">
        <f t="shared" si="563"/>
        <v>0</v>
      </c>
      <c r="GF253" s="4">
        <f t="shared" si="564"/>
        <v>0</v>
      </c>
      <c r="GG253" s="4">
        <f t="shared" si="565"/>
        <v>0</v>
      </c>
      <c r="GH253" s="4">
        <f t="shared" si="566"/>
        <v>0</v>
      </c>
      <c r="GI253" s="4">
        <f t="shared" si="567"/>
        <v>0</v>
      </c>
      <c r="GJ253" s="4">
        <f t="shared" si="568"/>
        <v>0</v>
      </c>
      <c r="GK253" s="4">
        <f t="shared" si="569"/>
        <v>0</v>
      </c>
      <c r="GL253" s="4">
        <f t="shared" si="570"/>
        <v>0</v>
      </c>
      <c r="GM253" s="4">
        <f t="shared" si="571"/>
        <v>0</v>
      </c>
      <c r="GN253" s="4">
        <f t="shared" si="572"/>
        <v>0</v>
      </c>
      <c r="GO253" s="4">
        <f t="shared" si="573"/>
        <v>0</v>
      </c>
      <c r="GP253" s="4">
        <f t="shared" si="574"/>
        <v>0</v>
      </c>
      <c r="GQ253" s="27">
        <f t="shared" si="575"/>
        <v>108088.94547948441</v>
      </c>
      <c r="GR253" s="28" t="str">
        <f t="shared" si="576"/>
        <v/>
      </c>
      <c r="GS253" s="28" t="str">
        <f t="shared" si="577"/>
        <v/>
      </c>
      <c r="GT253" s="28" t="str">
        <f t="shared" si="578"/>
        <v/>
      </c>
      <c r="GU253" s="28" t="str">
        <f t="shared" si="579"/>
        <v/>
      </c>
      <c r="GV253" s="28" t="str">
        <f t="shared" si="580"/>
        <v/>
      </c>
      <c r="GW253" s="28" t="str">
        <f t="shared" si="581"/>
        <v/>
      </c>
      <c r="GX253" s="28" t="str">
        <f t="shared" si="582"/>
        <v/>
      </c>
      <c r="GY253" s="28" t="str">
        <f t="shared" si="583"/>
        <v/>
      </c>
      <c r="GZ253" s="28" t="str">
        <f t="shared" si="584"/>
        <v/>
      </c>
      <c r="HA253" s="28" t="str">
        <f t="shared" si="585"/>
        <v/>
      </c>
      <c r="HB253" s="28" t="str">
        <f t="shared" si="586"/>
        <v/>
      </c>
      <c r="HC253" s="28" t="str">
        <f t="shared" si="587"/>
        <v/>
      </c>
      <c r="HD253" s="28" t="str">
        <f t="shared" si="588"/>
        <v/>
      </c>
      <c r="HE253" s="28" t="str">
        <f t="shared" si="589"/>
        <v/>
      </c>
      <c r="HF253" s="28" t="str">
        <f t="shared" si="590"/>
        <v/>
      </c>
      <c r="HG253" s="28" t="str">
        <f t="shared" si="591"/>
        <v/>
      </c>
      <c r="HH253" s="28" t="str">
        <f t="shared" si="592"/>
        <v/>
      </c>
      <c r="HI253" s="28" t="str">
        <f t="shared" si="593"/>
        <v/>
      </c>
      <c r="HJ253" s="28" t="str">
        <f t="shared" si="594"/>
        <v/>
      </c>
      <c r="HK253" s="28" t="str">
        <f t="shared" si="595"/>
        <v/>
      </c>
      <c r="HL253" s="28" t="str">
        <f t="shared" si="596"/>
        <v/>
      </c>
      <c r="HM253" s="28" t="str">
        <f t="shared" si="597"/>
        <v/>
      </c>
      <c r="HN253" s="28" t="str">
        <f t="shared" si="598"/>
        <v/>
      </c>
      <c r="HO253" s="28" t="str">
        <f t="shared" si="599"/>
        <v/>
      </c>
      <c r="HP253" s="28" t="str">
        <f t="shared" si="600"/>
        <v/>
      </c>
      <c r="HQ253" s="28" t="str">
        <f t="shared" si="601"/>
        <v/>
      </c>
      <c r="HR253" s="28" t="str">
        <f t="shared" si="602"/>
        <v/>
      </c>
      <c r="HT253" s="4">
        <f>IFERROR(GR253/'McDonough &amp; Sun 1995 values'!C$2,)</f>
        <v>0</v>
      </c>
      <c r="HU253" s="4">
        <f>IFERROR(GS253/'McDonough &amp; Sun 1995 values'!D$2,)</f>
        <v>0</v>
      </c>
      <c r="HV253" s="4">
        <f>IFERROR(GT253/'McDonough &amp; Sun 1995 values'!E$2,)</f>
        <v>0</v>
      </c>
      <c r="HW253" s="4">
        <f>IFERROR(GU253/'McDonough &amp; Sun 1995 values'!F$2,)</f>
        <v>0</v>
      </c>
      <c r="HX253" s="4">
        <f>IFERROR(GV253/'McDonough &amp; Sun 1995 values'!G$2,)</f>
        <v>0</v>
      </c>
      <c r="HY253" s="4">
        <f>IFERROR(GW253/'McDonough &amp; Sun 1995 values'!H$2,)</f>
        <v>0</v>
      </c>
      <c r="HZ253" s="4">
        <f>IFERROR(GX253/'McDonough &amp; Sun 1995 values'!I$2,)</f>
        <v>0</v>
      </c>
      <c r="IA253" s="4">
        <f>IFERROR(GY253/'McDonough &amp; Sun 1995 values'!J$2,)</f>
        <v>0</v>
      </c>
      <c r="IB253" s="4">
        <f>IFERROR(GZ253/'McDonough &amp; Sun 1995 values'!K$2,)</f>
        <v>0</v>
      </c>
      <c r="IC253" s="4">
        <f>IFERROR(HA253/'McDonough &amp; Sun 1995 values'!L$2,)</f>
        <v>0</v>
      </c>
      <c r="ID253" s="4">
        <f>IFERROR(HB253/'McDonough &amp; Sun 1995 values'!M$2,)</f>
        <v>0</v>
      </c>
      <c r="IE253" s="4">
        <f>IFERROR(HC253/'McDonough &amp; Sun 1995 values'!N$2,)</f>
        <v>0</v>
      </c>
      <c r="IF253" s="4">
        <f>IFERROR(HD253/'McDonough &amp; Sun 1995 values'!O$2,)</f>
        <v>0</v>
      </c>
      <c r="IG253" s="4">
        <f>IFERROR(HE253/'McDonough &amp; Sun 1995 values'!P$2,)</f>
        <v>0</v>
      </c>
      <c r="IH253" s="4">
        <f>IFERROR(HF253/'McDonough &amp; Sun 1995 values'!Q$2,)</f>
        <v>0</v>
      </c>
      <c r="II253" s="4">
        <f>IFERROR(HG253/'McDonough &amp; Sun 1995 values'!R$2,)</f>
        <v>0</v>
      </c>
      <c r="IJ253" s="4">
        <f>IFERROR(HH253/'McDonough &amp; Sun 1995 values'!S$2,)</f>
        <v>0</v>
      </c>
      <c r="IK253" s="4">
        <f>IFERROR(HI253/'McDonough &amp; Sun 1995 values'!T$2,)</f>
        <v>0</v>
      </c>
      <c r="IL253" s="4">
        <f>IFERROR(HJ253/'McDonough &amp; Sun 1995 values'!U$2,)</f>
        <v>0</v>
      </c>
      <c r="IM253" s="4">
        <f>IFERROR(HK253/'McDonough &amp; Sun 1995 values'!V$2,)</f>
        <v>0</v>
      </c>
      <c r="IN253" s="4">
        <f>IFERROR(HL253/'McDonough &amp; Sun 1995 values'!W$2,)</f>
        <v>0</v>
      </c>
      <c r="IO253" s="4">
        <f>IFERROR(HM253/'McDonough &amp; Sun 1995 values'!X$2,)</f>
        <v>0</v>
      </c>
      <c r="IP253" s="4">
        <f>IFERROR(HN253/'McDonough &amp; Sun 1995 values'!Y$2,)</f>
        <v>0</v>
      </c>
      <c r="IQ253" s="4">
        <f>IFERROR(HO253/'McDonough &amp; Sun 1995 values'!Z$2,)</f>
        <v>0</v>
      </c>
      <c r="IR253" s="4">
        <f>IFERROR(HP253/'McDonough &amp; Sun 1995 values'!AA$2,)</f>
        <v>0</v>
      </c>
      <c r="IS253" s="4">
        <f>IFERROR(HQ253/'McDonough &amp; Sun 1995 values'!AB$2,)</f>
        <v>0</v>
      </c>
      <c r="IT253" s="4">
        <f>IFERROR(HR253/'McDonough &amp; Sun 1995 values'!AC$2,)</f>
        <v>0</v>
      </c>
    </row>
    <row r="254" spans="1:254">
      <c r="A254" s="16" t="s">
        <v>838</v>
      </c>
      <c r="B254" s="16" t="s">
        <v>24</v>
      </c>
      <c r="C254" s="16" t="str">
        <f t="shared" si="461"/>
        <v>silicic - low-Mg carbonatitic</v>
      </c>
      <c r="D254" s="16" t="s">
        <v>1719</v>
      </c>
      <c r="E254" s="16" t="s">
        <v>388</v>
      </c>
      <c r="F254" s="16" t="s">
        <v>342</v>
      </c>
      <c r="G254" s="16" t="s">
        <v>829</v>
      </c>
      <c r="H254" s="27">
        <v>0</v>
      </c>
      <c r="I254" s="16" t="s">
        <v>735</v>
      </c>
      <c r="J254" s="16">
        <v>0</v>
      </c>
      <c r="K254" s="16" t="s">
        <v>903</v>
      </c>
      <c r="L254" s="16">
        <v>0</v>
      </c>
      <c r="M254" s="16">
        <v>16</v>
      </c>
      <c r="N254" s="16">
        <v>50</v>
      </c>
      <c r="O254" s="26">
        <v>28.07</v>
      </c>
      <c r="P254" s="26">
        <v>2.04</v>
      </c>
      <c r="Q254" s="26"/>
      <c r="R254" s="26">
        <v>4.3</v>
      </c>
      <c r="S254" s="26">
        <v>8.9</v>
      </c>
      <c r="T254" s="26">
        <v>4.95</v>
      </c>
      <c r="U254" s="26"/>
      <c r="V254" s="26">
        <v>12.69</v>
      </c>
      <c r="W254" s="26">
        <v>3.27</v>
      </c>
      <c r="X254" s="26">
        <v>18.03</v>
      </c>
      <c r="Y254" s="26"/>
      <c r="Z254" s="26">
        <v>6.85</v>
      </c>
      <c r="AA254" s="26">
        <v>0.9</v>
      </c>
      <c r="AB254" s="26">
        <v>3.68</v>
      </c>
      <c r="AC254" s="26"/>
      <c r="AD254" s="26">
        <v>5.35</v>
      </c>
      <c r="AE254" s="26"/>
      <c r="AF254" s="26">
        <v>0.97</v>
      </c>
      <c r="AG254" s="26"/>
      <c r="AH254" s="26"/>
      <c r="AI254" s="26">
        <v>5.88</v>
      </c>
      <c r="AJ254" s="26">
        <f t="shared" si="462"/>
        <v>98.13</v>
      </c>
      <c r="AK254" s="26">
        <f t="shared" si="603"/>
        <v>28.961233979309988</v>
      </c>
      <c r="AL254" s="26">
        <f t="shared" si="604"/>
        <v>2.1047708342640674</v>
      </c>
      <c r="AM254" s="26">
        <f t="shared" si="605"/>
        <v>4.4365267584977888</v>
      </c>
      <c r="AN254" s="26">
        <f t="shared" si="606"/>
        <v>9.1825786396814717</v>
      </c>
      <c r="AO254" s="26">
        <f t="shared" si="607"/>
        <v>5.1071645243172226</v>
      </c>
      <c r="AP254" s="26">
        <f t="shared" si="608"/>
        <v>13.092912689613243</v>
      </c>
      <c r="AQ254" s="26">
        <f t="shared" si="609"/>
        <v>3.7968415049469453</v>
      </c>
      <c r="AR254" s="26">
        <f t="shared" si="610"/>
        <v>3.3738238372762255</v>
      </c>
      <c r="AS254" s="26">
        <f t="shared" si="611"/>
        <v>18.602459873422124</v>
      </c>
      <c r="AT254" s="26">
        <f t="shared" si="612"/>
        <v>7.0674903013278723</v>
      </c>
      <c r="AU254" s="26">
        <f t="shared" si="613"/>
        <v>5.5198646878984121</v>
      </c>
      <c r="AV254" s="26">
        <f t="shared" si="463"/>
        <v>101.24566763055535</v>
      </c>
      <c r="AW254" s="16"/>
      <c r="AX254" s="16"/>
      <c r="AY254" s="16"/>
      <c r="AZ254" s="16"/>
      <c r="BA254" s="26"/>
      <c r="BB254" s="26">
        <v>0.34</v>
      </c>
      <c r="BC254" s="26">
        <f t="shared" ref="BC254:BC265" si="615">1-BD254</f>
        <v>0.34000000000000008</v>
      </c>
      <c r="BD254" s="26">
        <f t="shared" ref="BD254:BD265" si="616">1-BB254</f>
        <v>0.65999999999999992</v>
      </c>
      <c r="BE254" s="16"/>
      <c r="BF254" s="16"/>
      <c r="BG254" s="16"/>
      <c r="BH254" s="16"/>
      <c r="BI254" s="16"/>
      <c r="BJ254" s="16"/>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28"/>
      <c r="DW254" s="28"/>
      <c r="DX254" s="28"/>
      <c r="DY254" s="28"/>
      <c r="DZ254" s="28"/>
      <c r="EA254" s="28"/>
      <c r="EB254" s="28"/>
      <c r="EC254" s="28"/>
      <c r="ED254" s="28"/>
      <c r="EE254" s="28"/>
      <c r="EF254" s="28"/>
      <c r="EG254" s="28"/>
      <c r="EH254" s="28"/>
      <c r="EI254" s="28"/>
      <c r="EJ254" s="18"/>
      <c r="EK254" s="18"/>
      <c r="EL254" s="18">
        <f>IFERROR(CR254/'McDonough &amp; Sun 1995 values'!C$2,)</f>
        <v>0</v>
      </c>
      <c r="EM254" s="18">
        <f>IFERROR(CH254/'McDonough &amp; Sun 1995 values'!D$2,)</f>
        <v>0</v>
      </c>
      <c r="EN254" s="18">
        <f>IFERROR(CS254/'McDonough &amp; Sun 1995 values'!E$2,)</f>
        <v>0</v>
      </c>
      <c r="EO254" s="18">
        <f>IFERROR(DL254/'McDonough &amp; Sun 1995 values'!F$2,)</f>
        <v>0</v>
      </c>
      <c r="EP254" s="18">
        <f>IFERROR(DM254/'McDonough &amp; Sun 1995 values'!G$2,)</f>
        <v>0</v>
      </c>
      <c r="EQ254" s="18">
        <f>IFERROR(BR254/'McDonough &amp; Sun 1995 values'!H$2,)</f>
        <v>0</v>
      </c>
      <c r="ER254" s="18">
        <f>IFERROR(DI254/'McDonough &amp; Sun 1995 values'!I$2,)</f>
        <v>0</v>
      </c>
      <c r="ES254" s="18">
        <f>IFERROR(CM254/'McDonough &amp; Sun 1995 values'!J$2,)</f>
        <v>0</v>
      </c>
      <c r="ET254" s="18">
        <f>IFERROR(CU254/'McDonough &amp; Sun 1995 values'!K$2,)</f>
        <v>0</v>
      </c>
      <c r="EU254" s="18">
        <f>IFERROR(CV254/'McDonough &amp; Sun 1995 values'!L$2,)</f>
        <v>0</v>
      </c>
      <c r="EV254" s="18">
        <f>IFERROR(CW254/'McDonough &amp; Sun 1995 values'!M$2,)</f>
        <v>0</v>
      </c>
      <c r="EW254" s="18">
        <f>IFERROR(CI254/'McDonough &amp; Sun 1995 values'!N$2,)</f>
        <v>0</v>
      </c>
      <c r="EX254" s="18">
        <f>IFERROR(CX254/'McDonough &amp; Sun 1995 values'!O$2,)</f>
        <v>0</v>
      </c>
      <c r="EY254" s="18">
        <f>IFERROR(CY254/'McDonough &amp; Sun 1995 values'!P$2,)</f>
        <v>0</v>
      </c>
      <c r="EZ254" s="18">
        <f>IFERROR(DH254/'McDonough &amp; Sun 1995 values'!Q$2,)</f>
        <v>0</v>
      </c>
      <c r="FA254" s="18">
        <f>IFERROR(CK254/'McDonough &amp; Sun 1995 values'!R$2,)</f>
        <v>0</v>
      </c>
      <c r="FB254" s="18">
        <f>IFERROR(CZ254/'McDonough &amp; Sun 1995 values'!S$2,)</f>
        <v>0</v>
      </c>
      <c r="FC254" s="18">
        <f>IFERROR(BT254/'McDonough &amp; Sun 1995 values'!T$2,)</f>
        <v>0</v>
      </c>
      <c r="FD254" s="18">
        <f>IFERROR(DA254/'McDonough &amp; Sun 1995 values'!U$2,)</f>
        <v>0</v>
      </c>
      <c r="FE254" s="18">
        <f>IFERROR(DN254/'McDonough &amp; Sun 1995 values'!V$2,)</f>
        <v>0</v>
      </c>
      <c r="FF254" s="18">
        <f>IFERROR(DB254/'McDonough &amp; Sun 1995 values'!W$2,)</f>
        <v>0</v>
      </c>
      <c r="FG254" s="18">
        <f>IFERROR(CJ254/'McDonough &amp; Sun 1995 values'!X$2,)</f>
        <v>0</v>
      </c>
      <c r="FH254" s="18">
        <f>IFERROR(DC254/'McDonough &amp; Sun 1995 values'!Y$2,)</f>
        <v>0</v>
      </c>
      <c r="FI254" s="18">
        <f>IFERROR(DD254/'McDonough &amp; Sun 1995 values'!Z$2,)</f>
        <v>0</v>
      </c>
      <c r="FJ254" s="18">
        <f>IFERROR(DE254/'McDonough &amp; Sun 1995 values'!AA$2,)</f>
        <v>0</v>
      </c>
      <c r="FK254" s="18">
        <f>IFERROR(DF254/'McDonough &amp; Sun 1995 values'!AB$2,)</f>
        <v>0</v>
      </c>
      <c r="FL254" s="18">
        <f>IFERROR(DG254/'McDonough &amp; Sun 1995 values'!AC$2,)</f>
        <v>0</v>
      </c>
      <c r="FN254" s="28">
        <f t="shared" si="614"/>
        <v>0</v>
      </c>
      <c r="FO254" s="4">
        <f t="shared" si="547"/>
        <v>0</v>
      </c>
      <c r="FP254" s="4">
        <f t="shared" si="548"/>
        <v>0</v>
      </c>
      <c r="FQ254" s="4">
        <f t="shared" si="549"/>
        <v>0</v>
      </c>
      <c r="FR254" s="4">
        <f t="shared" si="550"/>
        <v>0</v>
      </c>
      <c r="FS254" s="4">
        <f t="shared" si="551"/>
        <v>0</v>
      </c>
      <c r="FT254" s="4">
        <f t="shared" si="552"/>
        <v>0</v>
      </c>
      <c r="FU254" s="4">
        <f t="shared" si="553"/>
        <v>0</v>
      </c>
      <c r="FV254" s="4">
        <f t="shared" si="554"/>
        <v>0</v>
      </c>
      <c r="FW254" s="4">
        <f t="shared" si="555"/>
        <v>0</v>
      </c>
      <c r="FX254" s="4">
        <f t="shared" si="556"/>
        <v>0</v>
      </c>
      <c r="FY254" s="4">
        <f t="shared" si="557"/>
        <v>0</v>
      </c>
      <c r="FZ254" s="4">
        <f t="shared" si="558"/>
        <v>0</v>
      </c>
      <c r="GA254" s="4">
        <f t="shared" si="559"/>
        <v>0</v>
      </c>
      <c r="GB254" s="4">
        <f t="shared" si="560"/>
        <v>0</v>
      </c>
      <c r="GC254" s="4">
        <f t="shared" si="561"/>
        <v>0</v>
      </c>
      <c r="GD254" s="4">
        <f t="shared" si="562"/>
        <v>0</v>
      </c>
      <c r="GE254" s="4">
        <f t="shared" si="563"/>
        <v>0</v>
      </c>
      <c r="GF254" s="4">
        <f t="shared" si="564"/>
        <v>0</v>
      </c>
      <c r="GG254" s="4">
        <f t="shared" si="565"/>
        <v>0</v>
      </c>
      <c r="GH254" s="4">
        <f t="shared" si="566"/>
        <v>0</v>
      </c>
      <c r="GI254" s="4">
        <f t="shared" si="567"/>
        <v>0</v>
      </c>
      <c r="GJ254" s="4">
        <f t="shared" si="568"/>
        <v>0</v>
      </c>
      <c r="GK254" s="4">
        <f t="shared" si="569"/>
        <v>0</v>
      </c>
      <c r="GL254" s="4">
        <f t="shared" si="570"/>
        <v>0</v>
      </c>
      <c r="GM254" s="4">
        <f t="shared" si="571"/>
        <v>0</v>
      </c>
      <c r="GN254" s="4">
        <f t="shared" si="572"/>
        <v>0</v>
      </c>
      <c r="GO254" s="4">
        <f t="shared" si="573"/>
        <v>0</v>
      </c>
      <c r="GP254" s="4">
        <f t="shared" si="574"/>
        <v>0</v>
      </c>
      <c r="GQ254" s="27">
        <f t="shared" si="575"/>
        <v>154425.95900302273</v>
      </c>
      <c r="GR254" s="28" t="str">
        <f t="shared" si="576"/>
        <v/>
      </c>
      <c r="GS254" s="28" t="str">
        <f t="shared" si="577"/>
        <v/>
      </c>
      <c r="GT254" s="28" t="str">
        <f t="shared" si="578"/>
        <v/>
      </c>
      <c r="GU254" s="28" t="str">
        <f t="shared" si="579"/>
        <v/>
      </c>
      <c r="GV254" s="28" t="str">
        <f t="shared" si="580"/>
        <v/>
      </c>
      <c r="GW254" s="28" t="str">
        <f t="shared" si="581"/>
        <v/>
      </c>
      <c r="GX254" s="28" t="str">
        <f t="shared" si="582"/>
        <v/>
      </c>
      <c r="GY254" s="28" t="str">
        <f t="shared" si="583"/>
        <v/>
      </c>
      <c r="GZ254" s="28" t="str">
        <f t="shared" si="584"/>
        <v/>
      </c>
      <c r="HA254" s="28" t="str">
        <f t="shared" si="585"/>
        <v/>
      </c>
      <c r="HB254" s="28" t="str">
        <f t="shared" si="586"/>
        <v/>
      </c>
      <c r="HC254" s="28" t="str">
        <f t="shared" si="587"/>
        <v/>
      </c>
      <c r="HD254" s="28" t="str">
        <f t="shared" si="588"/>
        <v/>
      </c>
      <c r="HE254" s="28" t="str">
        <f t="shared" si="589"/>
        <v/>
      </c>
      <c r="HF254" s="28" t="str">
        <f t="shared" si="590"/>
        <v/>
      </c>
      <c r="HG254" s="28" t="str">
        <f t="shared" si="591"/>
        <v/>
      </c>
      <c r="HH254" s="28" t="str">
        <f t="shared" si="592"/>
        <v/>
      </c>
      <c r="HI254" s="28" t="str">
        <f t="shared" si="593"/>
        <v/>
      </c>
      <c r="HJ254" s="28" t="str">
        <f t="shared" si="594"/>
        <v/>
      </c>
      <c r="HK254" s="28" t="str">
        <f t="shared" si="595"/>
        <v/>
      </c>
      <c r="HL254" s="28" t="str">
        <f t="shared" si="596"/>
        <v/>
      </c>
      <c r="HM254" s="28" t="str">
        <f t="shared" si="597"/>
        <v/>
      </c>
      <c r="HN254" s="28" t="str">
        <f t="shared" si="598"/>
        <v/>
      </c>
      <c r="HO254" s="28" t="str">
        <f t="shared" si="599"/>
        <v/>
      </c>
      <c r="HP254" s="28" t="str">
        <f t="shared" si="600"/>
        <v/>
      </c>
      <c r="HQ254" s="28" t="str">
        <f t="shared" si="601"/>
        <v/>
      </c>
      <c r="HR254" s="28" t="str">
        <f t="shared" si="602"/>
        <v/>
      </c>
      <c r="HT254" s="4">
        <f>IFERROR(GR254/'McDonough &amp; Sun 1995 values'!C$2,)</f>
        <v>0</v>
      </c>
      <c r="HU254" s="4">
        <f>IFERROR(GS254/'McDonough &amp; Sun 1995 values'!D$2,)</f>
        <v>0</v>
      </c>
      <c r="HV254" s="4">
        <f>IFERROR(GT254/'McDonough &amp; Sun 1995 values'!E$2,)</f>
        <v>0</v>
      </c>
      <c r="HW254" s="4">
        <f>IFERROR(GU254/'McDonough &amp; Sun 1995 values'!F$2,)</f>
        <v>0</v>
      </c>
      <c r="HX254" s="4">
        <f>IFERROR(GV254/'McDonough &amp; Sun 1995 values'!G$2,)</f>
        <v>0</v>
      </c>
      <c r="HY254" s="4">
        <f>IFERROR(GW254/'McDonough &amp; Sun 1995 values'!H$2,)</f>
        <v>0</v>
      </c>
      <c r="HZ254" s="4">
        <f>IFERROR(GX254/'McDonough &amp; Sun 1995 values'!I$2,)</f>
        <v>0</v>
      </c>
      <c r="IA254" s="4">
        <f>IFERROR(GY254/'McDonough &amp; Sun 1995 values'!J$2,)</f>
        <v>0</v>
      </c>
      <c r="IB254" s="4">
        <f>IFERROR(GZ254/'McDonough &amp; Sun 1995 values'!K$2,)</f>
        <v>0</v>
      </c>
      <c r="IC254" s="4">
        <f>IFERROR(HA254/'McDonough &amp; Sun 1995 values'!L$2,)</f>
        <v>0</v>
      </c>
      <c r="ID254" s="4">
        <f>IFERROR(HB254/'McDonough &amp; Sun 1995 values'!M$2,)</f>
        <v>0</v>
      </c>
      <c r="IE254" s="4">
        <f>IFERROR(HC254/'McDonough &amp; Sun 1995 values'!N$2,)</f>
        <v>0</v>
      </c>
      <c r="IF254" s="4">
        <f>IFERROR(HD254/'McDonough &amp; Sun 1995 values'!O$2,)</f>
        <v>0</v>
      </c>
      <c r="IG254" s="4">
        <f>IFERROR(HE254/'McDonough &amp; Sun 1995 values'!P$2,)</f>
        <v>0</v>
      </c>
      <c r="IH254" s="4">
        <f>IFERROR(HF254/'McDonough &amp; Sun 1995 values'!Q$2,)</f>
        <v>0</v>
      </c>
      <c r="II254" s="4">
        <f>IFERROR(HG254/'McDonough &amp; Sun 1995 values'!R$2,)</f>
        <v>0</v>
      </c>
      <c r="IJ254" s="4">
        <f>IFERROR(HH254/'McDonough &amp; Sun 1995 values'!S$2,)</f>
        <v>0</v>
      </c>
      <c r="IK254" s="4">
        <f>IFERROR(HI254/'McDonough &amp; Sun 1995 values'!T$2,)</f>
        <v>0</v>
      </c>
      <c r="IL254" s="4">
        <f>IFERROR(HJ254/'McDonough &amp; Sun 1995 values'!U$2,)</f>
        <v>0</v>
      </c>
      <c r="IM254" s="4">
        <f>IFERROR(HK254/'McDonough &amp; Sun 1995 values'!V$2,)</f>
        <v>0</v>
      </c>
      <c r="IN254" s="4">
        <f>IFERROR(HL254/'McDonough &amp; Sun 1995 values'!W$2,)</f>
        <v>0</v>
      </c>
      <c r="IO254" s="4">
        <f>IFERROR(HM254/'McDonough &amp; Sun 1995 values'!X$2,)</f>
        <v>0</v>
      </c>
      <c r="IP254" s="4">
        <f>IFERROR(HN254/'McDonough &amp; Sun 1995 values'!Y$2,)</f>
        <v>0</v>
      </c>
      <c r="IQ254" s="4">
        <f>IFERROR(HO254/'McDonough &amp; Sun 1995 values'!Z$2,)</f>
        <v>0</v>
      </c>
      <c r="IR254" s="4">
        <f>IFERROR(HP254/'McDonough &amp; Sun 1995 values'!AA$2,)</f>
        <v>0</v>
      </c>
      <c r="IS254" s="4">
        <f>IFERROR(HQ254/'McDonough &amp; Sun 1995 values'!AB$2,)</f>
        <v>0</v>
      </c>
      <c r="IT254" s="4">
        <f>IFERROR(HR254/'McDonough &amp; Sun 1995 values'!AC$2,)</f>
        <v>0</v>
      </c>
    </row>
    <row r="255" spans="1:254">
      <c r="A255" s="16" t="s">
        <v>838</v>
      </c>
      <c r="B255" s="16" t="s">
        <v>24</v>
      </c>
      <c r="C255" s="16" t="str">
        <f t="shared" si="461"/>
        <v>silicic - low-Mg carbonatitic</v>
      </c>
      <c r="D255" s="16" t="s">
        <v>1719</v>
      </c>
      <c r="E255" s="16" t="s">
        <v>388</v>
      </c>
      <c r="F255" s="16" t="s">
        <v>342</v>
      </c>
      <c r="G255" s="16" t="s">
        <v>829</v>
      </c>
      <c r="H255" s="27">
        <v>0</v>
      </c>
      <c r="I255" s="16" t="s">
        <v>735</v>
      </c>
      <c r="J255" s="16">
        <v>0</v>
      </c>
      <c r="K255" s="16" t="s">
        <v>903</v>
      </c>
      <c r="L255" s="16">
        <v>0</v>
      </c>
      <c r="M255" s="16">
        <v>19</v>
      </c>
      <c r="N255" s="16">
        <v>42</v>
      </c>
      <c r="O255" s="26">
        <v>38.630000000000003</v>
      </c>
      <c r="P255" s="26">
        <v>1.91</v>
      </c>
      <c r="Q255" s="26"/>
      <c r="R255" s="26">
        <v>6.06</v>
      </c>
      <c r="S255" s="26">
        <v>7.22</v>
      </c>
      <c r="T255" s="26">
        <v>4.33</v>
      </c>
      <c r="U255" s="26"/>
      <c r="V255" s="26">
        <v>9.44</v>
      </c>
      <c r="W255" s="26">
        <v>3.41</v>
      </c>
      <c r="X255" s="26">
        <v>15.48</v>
      </c>
      <c r="Y255" s="26"/>
      <c r="Z255" s="26">
        <v>5.45</v>
      </c>
      <c r="AA255" s="26">
        <v>0.88</v>
      </c>
      <c r="AB255" s="26">
        <v>2.74</v>
      </c>
      <c r="AC255" s="26"/>
      <c r="AD255" s="26">
        <v>3.72</v>
      </c>
      <c r="AE255" s="26"/>
      <c r="AF255" s="26">
        <v>0.73</v>
      </c>
      <c r="AG255" s="26"/>
      <c r="AH255" s="26"/>
      <c r="AI255" s="26">
        <v>5.2</v>
      </c>
      <c r="AJ255" s="26">
        <f t="shared" si="462"/>
        <v>98.39</v>
      </c>
      <c r="AK255" s="26">
        <f t="shared" si="603"/>
        <v>39.599998901151487</v>
      </c>
      <c r="AL255" s="26">
        <f t="shared" si="604"/>
        <v>1.9579600802795583</v>
      </c>
      <c r="AM255" s="26">
        <f t="shared" si="605"/>
        <v>6.2121665374314787</v>
      </c>
      <c r="AN255" s="26">
        <f t="shared" si="606"/>
        <v>7.4012941254546663</v>
      </c>
      <c r="AO255" s="26">
        <f t="shared" si="607"/>
        <v>4.4387262552934494</v>
      </c>
      <c r="AP255" s="26">
        <f t="shared" si="608"/>
        <v>9.6770383025335249</v>
      </c>
      <c r="AQ255" s="26">
        <f t="shared" si="609"/>
        <v>2.8088013717099427</v>
      </c>
      <c r="AR255" s="26">
        <f t="shared" si="610"/>
        <v>3.4956250647923008</v>
      </c>
      <c r="AS255" s="26">
        <f t="shared" si="611"/>
        <v>15.868702640171501</v>
      </c>
      <c r="AT255" s="26">
        <f t="shared" si="612"/>
        <v>5.5868494437296308</v>
      </c>
      <c r="AU255" s="26">
        <f t="shared" si="613"/>
        <v>3.8134091615916006</v>
      </c>
      <c r="AV255" s="26">
        <f t="shared" si="463"/>
        <v>100.86057188413918</v>
      </c>
      <c r="AW255" s="16"/>
      <c r="AX255" s="16"/>
      <c r="AY255" s="16"/>
      <c r="AZ255" s="16"/>
      <c r="BA255" s="26"/>
      <c r="BB255" s="26">
        <v>1</v>
      </c>
      <c r="BC255" s="26">
        <f t="shared" si="615"/>
        <v>1</v>
      </c>
      <c r="BD255" s="26">
        <f t="shared" si="616"/>
        <v>0</v>
      </c>
      <c r="BE255" s="16"/>
      <c r="BF255" s="16"/>
      <c r="BG255" s="16"/>
      <c r="BH255" s="16"/>
      <c r="BI255" s="16"/>
      <c r="BJ255" s="16"/>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28"/>
      <c r="DW255" s="28"/>
      <c r="DX255" s="28"/>
      <c r="DY255" s="28"/>
      <c r="DZ255" s="28"/>
      <c r="EA255" s="28"/>
      <c r="EB255" s="28"/>
      <c r="EC255" s="28"/>
      <c r="ED255" s="28"/>
      <c r="EE255" s="28"/>
      <c r="EF255" s="28"/>
      <c r="EG255" s="28"/>
      <c r="EH255" s="28"/>
      <c r="EI255" s="28"/>
      <c r="EJ255" s="18"/>
      <c r="EK255" s="18"/>
      <c r="EL255" s="18">
        <f>IFERROR(CR255/'McDonough &amp; Sun 1995 values'!C$2,)</f>
        <v>0</v>
      </c>
      <c r="EM255" s="18">
        <f>IFERROR(CH255/'McDonough &amp; Sun 1995 values'!D$2,)</f>
        <v>0</v>
      </c>
      <c r="EN255" s="18">
        <f>IFERROR(CS255/'McDonough &amp; Sun 1995 values'!E$2,)</f>
        <v>0</v>
      </c>
      <c r="EO255" s="18">
        <f>IFERROR(DL255/'McDonough &amp; Sun 1995 values'!F$2,)</f>
        <v>0</v>
      </c>
      <c r="EP255" s="18">
        <f>IFERROR(DM255/'McDonough &amp; Sun 1995 values'!G$2,)</f>
        <v>0</v>
      </c>
      <c r="EQ255" s="18">
        <f>IFERROR(BR255/'McDonough &amp; Sun 1995 values'!H$2,)</f>
        <v>0</v>
      </c>
      <c r="ER255" s="18">
        <f>IFERROR(DI255/'McDonough &amp; Sun 1995 values'!I$2,)</f>
        <v>0</v>
      </c>
      <c r="ES255" s="18">
        <f>IFERROR(CM255/'McDonough &amp; Sun 1995 values'!J$2,)</f>
        <v>0</v>
      </c>
      <c r="ET255" s="18">
        <f>IFERROR(CU255/'McDonough &amp; Sun 1995 values'!K$2,)</f>
        <v>0</v>
      </c>
      <c r="EU255" s="18">
        <f>IFERROR(CV255/'McDonough &amp; Sun 1995 values'!L$2,)</f>
        <v>0</v>
      </c>
      <c r="EV255" s="18">
        <f>IFERROR(CW255/'McDonough &amp; Sun 1995 values'!M$2,)</f>
        <v>0</v>
      </c>
      <c r="EW255" s="18">
        <f>IFERROR(CI255/'McDonough &amp; Sun 1995 values'!N$2,)</f>
        <v>0</v>
      </c>
      <c r="EX255" s="18">
        <f>IFERROR(CX255/'McDonough &amp; Sun 1995 values'!O$2,)</f>
        <v>0</v>
      </c>
      <c r="EY255" s="18">
        <f>IFERROR(CY255/'McDonough &amp; Sun 1995 values'!P$2,)</f>
        <v>0</v>
      </c>
      <c r="EZ255" s="18">
        <f>IFERROR(DH255/'McDonough &amp; Sun 1995 values'!Q$2,)</f>
        <v>0</v>
      </c>
      <c r="FA255" s="18">
        <f>IFERROR(CK255/'McDonough &amp; Sun 1995 values'!R$2,)</f>
        <v>0</v>
      </c>
      <c r="FB255" s="18">
        <f>IFERROR(CZ255/'McDonough &amp; Sun 1995 values'!S$2,)</f>
        <v>0</v>
      </c>
      <c r="FC255" s="18">
        <f>IFERROR(BT255/'McDonough &amp; Sun 1995 values'!T$2,)</f>
        <v>0</v>
      </c>
      <c r="FD255" s="18">
        <f>IFERROR(DA255/'McDonough &amp; Sun 1995 values'!U$2,)</f>
        <v>0</v>
      </c>
      <c r="FE255" s="18">
        <f>IFERROR(DN255/'McDonough &amp; Sun 1995 values'!V$2,)</f>
        <v>0</v>
      </c>
      <c r="FF255" s="18">
        <f>IFERROR(DB255/'McDonough &amp; Sun 1995 values'!W$2,)</f>
        <v>0</v>
      </c>
      <c r="FG255" s="18">
        <f>IFERROR(CJ255/'McDonough &amp; Sun 1995 values'!X$2,)</f>
        <v>0</v>
      </c>
      <c r="FH255" s="18">
        <f>IFERROR(DC255/'McDonough &amp; Sun 1995 values'!Y$2,)</f>
        <v>0</v>
      </c>
      <c r="FI255" s="18">
        <f>IFERROR(DD255/'McDonough &amp; Sun 1995 values'!Z$2,)</f>
        <v>0</v>
      </c>
      <c r="FJ255" s="18">
        <f>IFERROR(DE255/'McDonough &amp; Sun 1995 values'!AA$2,)</f>
        <v>0</v>
      </c>
      <c r="FK255" s="18">
        <f>IFERROR(DF255/'McDonough &amp; Sun 1995 values'!AB$2,)</f>
        <v>0</v>
      </c>
      <c r="FL255" s="18">
        <f>IFERROR(DG255/'McDonough &amp; Sun 1995 values'!AC$2,)</f>
        <v>0</v>
      </c>
      <c r="FN255" s="28">
        <f t="shared" si="614"/>
        <v>0</v>
      </c>
      <c r="FO255" s="4">
        <f t="shared" si="547"/>
        <v>0</v>
      </c>
      <c r="FP255" s="4">
        <f t="shared" si="548"/>
        <v>0</v>
      </c>
      <c r="FQ255" s="4">
        <f t="shared" si="549"/>
        <v>0</v>
      </c>
      <c r="FR255" s="4">
        <f t="shared" si="550"/>
        <v>0</v>
      </c>
      <c r="FS255" s="4">
        <f t="shared" si="551"/>
        <v>0</v>
      </c>
      <c r="FT255" s="4">
        <f t="shared" si="552"/>
        <v>0</v>
      </c>
      <c r="FU255" s="4">
        <f t="shared" si="553"/>
        <v>0</v>
      </c>
      <c r="FV255" s="4">
        <f t="shared" si="554"/>
        <v>0</v>
      </c>
      <c r="FW255" s="4">
        <f t="shared" si="555"/>
        <v>0</v>
      </c>
      <c r="FX255" s="4">
        <f t="shared" si="556"/>
        <v>0</v>
      </c>
      <c r="FY255" s="4">
        <f t="shared" si="557"/>
        <v>0</v>
      </c>
      <c r="FZ255" s="4">
        <f t="shared" si="558"/>
        <v>0</v>
      </c>
      <c r="GA255" s="4">
        <f t="shared" si="559"/>
        <v>0</v>
      </c>
      <c r="GB255" s="4">
        <f t="shared" si="560"/>
        <v>0</v>
      </c>
      <c r="GC255" s="4">
        <f t="shared" si="561"/>
        <v>0</v>
      </c>
      <c r="GD255" s="4">
        <f t="shared" si="562"/>
        <v>0</v>
      </c>
      <c r="GE255" s="4">
        <f t="shared" si="563"/>
        <v>0</v>
      </c>
      <c r="GF255" s="4">
        <f t="shared" si="564"/>
        <v>0</v>
      </c>
      <c r="GG255" s="4">
        <f t="shared" si="565"/>
        <v>0</v>
      </c>
      <c r="GH255" s="4">
        <f t="shared" si="566"/>
        <v>0</v>
      </c>
      <c r="GI255" s="4">
        <f t="shared" si="567"/>
        <v>0</v>
      </c>
      <c r="GJ255" s="4">
        <f t="shared" si="568"/>
        <v>0</v>
      </c>
      <c r="GK255" s="4">
        <f t="shared" si="569"/>
        <v>0</v>
      </c>
      <c r="GL255" s="4">
        <f t="shared" si="570"/>
        <v>0</v>
      </c>
      <c r="GM255" s="4">
        <f t="shared" si="571"/>
        <v>0</v>
      </c>
      <c r="GN255" s="4">
        <f t="shared" si="572"/>
        <v>0</v>
      </c>
      <c r="GO255" s="4">
        <f t="shared" si="573"/>
        <v>0</v>
      </c>
      <c r="GP255" s="4">
        <f t="shared" si="574"/>
        <v>0</v>
      </c>
      <c r="GQ255" s="27">
        <f t="shared" si="575"/>
        <v>131732.02038959588</v>
      </c>
      <c r="GR255" s="28" t="str">
        <f t="shared" si="576"/>
        <v/>
      </c>
      <c r="GS255" s="28" t="str">
        <f t="shared" si="577"/>
        <v/>
      </c>
      <c r="GT255" s="28" t="str">
        <f t="shared" si="578"/>
        <v/>
      </c>
      <c r="GU255" s="28" t="str">
        <f t="shared" si="579"/>
        <v/>
      </c>
      <c r="GV255" s="28" t="str">
        <f t="shared" si="580"/>
        <v/>
      </c>
      <c r="GW255" s="28" t="str">
        <f t="shared" si="581"/>
        <v/>
      </c>
      <c r="GX255" s="28" t="str">
        <f t="shared" si="582"/>
        <v/>
      </c>
      <c r="GY255" s="28" t="str">
        <f t="shared" si="583"/>
        <v/>
      </c>
      <c r="GZ255" s="28" t="str">
        <f t="shared" si="584"/>
        <v/>
      </c>
      <c r="HA255" s="28" t="str">
        <f t="shared" si="585"/>
        <v/>
      </c>
      <c r="HB255" s="28" t="str">
        <f t="shared" si="586"/>
        <v/>
      </c>
      <c r="HC255" s="28" t="str">
        <f t="shared" si="587"/>
        <v/>
      </c>
      <c r="HD255" s="28" t="str">
        <f t="shared" si="588"/>
        <v/>
      </c>
      <c r="HE255" s="28" t="str">
        <f t="shared" si="589"/>
        <v/>
      </c>
      <c r="HF255" s="28" t="str">
        <f t="shared" si="590"/>
        <v/>
      </c>
      <c r="HG255" s="28" t="str">
        <f t="shared" si="591"/>
        <v/>
      </c>
      <c r="HH255" s="28" t="str">
        <f t="shared" si="592"/>
        <v/>
      </c>
      <c r="HI255" s="28" t="str">
        <f t="shared" si="593"/>
        <v/>
      </c>
      <c r="HJ255" s="28" t="str">
        <f t="shared" si="594"/>
        <v/>
      </c>
      <c r="HK255" s="28" t="str">
        <f t="shared" si="595"/>
        <v/>
      </c>
      <c r="HL255" s="28" t="str">
        <f t="shared" si="596"/>
        <v/>
      </c>
      <c r="HM255" s="28" t="str">
        <f t="shared" si="597"/>
        <v/>
      </c>
      <c r="HN255" s="28" t="str">
        <f t="shared" si="598"/>
        <v/>
      </c>
      <c r="HO255" s="28" t="str">
        <f t="shared" si="599"/>
        <v/>
      </c>
      <c r="HP255" s="28" t="str">
        <f t="shared" si="600"/>
        <v/>
      </c>
      <c r="HQ255" s="28" t="str">
        <f t="shared" si="601"/>
        <v/>
      </c>
      <c r="HR255" s="28" t="str">
        <f t="shared" si="602"/>
        <v/>
      </c>
      <c r="HT255" s="4">
        <f>IFERROR(GR255/'McDonough &amp; Sun 1995 values'!C$2,)</f>
        <v>0</v>
      </c>
      <c r="HU255" s="4">
        <f>IFERROR(GS255/'McDonough &amp; Sun 1995 values'!D$2,)</f>
        <v>0</v>
      </c>
      <c r="HV255" s="4">
        <f>IFERROR(GT255/'McDonough &amp; Sun 1995 values'!E$2,)</f>
        <v>0</v>
      </c>
      <c r="HW255" s="4">
        <f>IFERROR(GU255/'McDonough &amp; Sun 1995 values'!F$2,)</f>
        <v>0</v>
      </c>
      <c r="HX255" s="4">
        <f>IFERROR(GV255/'McDonough &amp; Sun 1995 values'!G$2,)</f>
        <v>0</v>
      </c>
      <c r="HY255" s="4">
        <f>IFERROR(GW255/'McDonough &amp; Sun 1995 values'!H$2,)</f>
        <v>0</v>
      </c>
      <c r="HZ255" s="4">
        <f>IFERROR(GX255/'McDonough &amp; Sun 1995 values'!I$2,)</f>
        <v>0</v>
      </c>
      <c r="IA255" s="4">
        <f>IFERROR(GY255/'McDonough &amp; Sun 1995 values'!J$2,)</f>
        <v>0</v>
      </c>
      <c r="IB255" s="4">
        <f>IFERROR(GZ255/'McDonough &amp; Sun 1995 values'!K$2,)</f>
        <v>0</v>
      </c>
      <c r="IC255" s="4">
        <f>IFERROR(HA255/'McDonough &amp; Sun 1995 values'!L$2,)</f>
        <v>0</v>
      </c>
      <c r="ID255" s="4">
        <f>IFERROR(HB255/'McDonough &amp; Sun 1995 values'!M$2,)</f>
        <v>0</v>
      </c>
      <c r="IE255" s="4">
        <f>IFERROR(HC255/'McDonough &amp; Sun 1995 values'!N$2,)</f>
        <v>0</v>
      </c>
      <c r="IF255" s="4">
        <f>IFERROR(HD255/'McDonough &amp; Sun 1995 values'!O$2,)</f>
        <v>0</v>
      </c>
      <c r="IG255" s="4">
        <f>IFERROR(HE255/'McDonough &amp; Sun 1995 values'!P$2,)</f>
        <v>0</v>
      </c>
      <c r="IH255" s="4">
        <f>IFERROR(HF255/'McDonough &amp; Sun 1995 values'!Q$2,)</f>
        <v>0</v>
      </c>
      <c r="II255" s="4">
        <f>IFERROR(HG255/'McDonough &amp; Sun 1995 values'!R$2,)</f>
        <v>0</v>
      </c>
      <c r="IJ255" s="4">
        <f>IFERROR(HH255/'McDonough &amp; Sun 1995 values'!S$2,)</f>
        <v>0</v>
      </c>
      <c r="IK255" s="4">
        <f>IFERROR(HI255/'McDonough &amp; Sun 1995 values'!T$2,)</f>
        <v>0</v>
      </c>
      <c r="IL255" s="4">
        <f>IFERROR(HJ255/'McDonough &amp; Sun 1995 values'!U$2,)</f>
        <v>0</v>
      </c>
      <c r="IM255" s="4">
        <f>IFERROR(HK255/'McDonough &amp; Sun 1995 values'!V$2,)</f>
        <v>0</v>
      </c>
      <c r="IN255" s="4">
        <f>IFERROR(HL255/'McDonough &amp; Sun 1995 values'!W$2,)</f>
        <v>0</v>
      </c>
      <c r="IO255" s="4">
        <f>IFERROR(HM255/'McDonough &amp; Sun 1995 values'!X$2,)</f>
        <v>0</v>
      </c>
      <c r="IP255" s="4">
        <f>IFERROR(HN255/'McDonough &amp; Sun 1995 values'!Y$2,)</f>
        <v>0</v>
      </c>
      <c r="IQ255" s="4">
        <f>IFERROR(HO255/'McDonough &amp; Sun 1995 values'!Z$2,)</f>
        <v>0</v>
      </c>
      <c r="IR255" s="4">
        <f>IFERROR(HP255/'McDonough &amp; Sun 1995 values'!AA$2,)</f>
        <v>0</v>
      </c>
      <c r="IS255" s="4">
        <f>IFERROR(HQ255/'McDonough &amp; Sun 1995 values'!AB$2,)</f>
        <v>0</v>
      </c>
      <c r="IT255" s="4">
        <f>IFERROR(HR255/'McDonough &amp; Sun 1995 values'!AC$2,)</f>
        <v>0</v>
      </c>
    </row>
    <row r="256" spans="1:254">
      <c r="A256" s="16" t="s">
        <v>838</v>
      </c>
      <c r="B256" s="16" t="s">
        <v>24</v>
      </c>
      <c r="C256" s="16" t="str">
        <f t="shared" si="461"/>
        <v>silicic - low-Mg carbonatitic</v>
      </c>
      <c r="D256" s="16" t="s">
        <v>1719</v>
      </c>
      <c r="E256" s="16" t="s">
        <v>388</v>
      </c>
      <c r="F256" s="16" t="s">
        <v>342</v>
      </c>
      <c r="G256" s="16" t="s">
        <v>829</v>
      </c>
      <c r="H256" s="27">
        <v>0</v>
      </c>
      <c r="I256" s="16" t="s">
        <v>735</v>
      </c>
      <c r="J256" s="16">
        <v>0</v>
      </c>
      <c r="K256" s="16" t="s">
        <v>903</v>
      </c>
      <c r="L256" s="16">
        <v>0</v>
      </c>
      <c r="M256" s="16">
        <v>22</v>
      </c>
      <c r="N256" s="16">
        <v>39</v>
      </c>
      <c r="O256" s="26">
        <v>36.369999999999997</v>
      </c>
      <c r="P256" s="26">
        <v>2.11</v>
      </c>
      <c r="Q256" s="26"/>
      <c r="R256" s="26">
        <v>5.91</v>
      </c>
      <c r="S256" s="26">
        <v>7.93</v>
      </c>
      <c r="T256" s="26">
        <v>4.6100000000000003</v>
      </c>
      <c r="U256" s="26"/>
      <c r="V256" s="26">
        <v>10.98</v>
      </c>
      <c r="W256" s="26">
        <v>3.12</v>
      </c>
      <c r="X256" s="26">
        <v>14.87</v>
      </c>
      <c r="Y256" s="26"/>
      <c r="Z256" s="26">
        <v>5.19</v>
      </c>
      <c r="AA256" s="26">
        <v>0.8</v>
      </c>
      <c r="AB256" s="26">
        <v>2.86</v>
      </c>
      <c r="AC256" s="26"/>
      <c r="AD256" s="26">
        <v>4.0599999999999996</v>
      </c>
      <c r="AE256" s="26"/>
      <c r="AF256" s="26">
        <v>1.2</v>
      </c>
      <c r="AG256" s="26"/>
      <c r="AH256" s="26"/>
      <c r="AI256" s="26">
        <v>5.07</v>
      </c>
      <c r="AJ256" s="26">
        <f t="shared" si="462"/>
        <v>98.01</v>
      </c>
      <c r="AK256" s="26">
        <f t="shared" si="603"/>
        <v>37.458630213559104</v>
      </c>
      <c r="AL256" s="26">
        <f t="shared" si="604"/>
        <v>2.1731567157165164</v>
      </c>
      <c r="AM256" s="26">
        <f t="shared" si="605"/>
        <v>6.0868986681917603</v>
      </c>
      <c r="AN256" s="26">
        <f t="shared" si="606"/>
        <v>8.1673614955601792</v>
      </c>
      <c r="AO256" s="26">
        <f t="shared" si="607"/>
        <v>4.7479869476081245</v>
      </c>
      <c r="AP256" s="26">
        <f t="shared" si="608"/>
        <v>11.30865437846794</v>
      </c>
      <c r="AQ256" s="26">
        <f t="shared" si="609"/>
        <v>2.9456057852839987</v>
      </c>
      <c r="AR256" s="26">
        <f t="shared" si="610"/>
        <v>3.2133881294007258</v>
      </c>
      <c r="AS256" s="26">
        <f t="shared" si="611"/>
        <v>15.31509021929128</v>
      </c>
      <c r="AT256" s="26">
        <f t="shared" si="612"/>
        <v>5.3453475614069772</v>
      </c>
      <c r="AU256" s="26">
        <f t="shared" si="613"/>
        <v>4.1815242965919701</v>
      </c>
      <c r="AV256" s="26">
        <f t="shared" si="463"/>
        <v>100.94364441107858</v>
      </c>
      <c r="AW256" s="16"/>
      <c r="AX256" s="16"/>
      <c r="AY256" s="16"/>
      <c r="AZ256" s="16"/>
      <c r="BA256" s="26"/>
      <c r="BB256" s="26">
        <v>0.64</v>
      </c>
      <c r="BC256" s="26">
        <f t="shared" si="615"/>
        <v>0.64</v>
      </c>
      <c r="BD256" s="26">
        <f t="shared" si="616"/>
        <v>0.36</v>
      </c>
      <c r="BE256" s="16"/>
      <c r="BF256" s="16"/>
      <c r="BG256" s="16"/>
      <c r="BH256" s="16"/>
      <c r="BI256" s="16"/>
      <c r="BJ256" s="16"/>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28"/>
      <c r="DW256" s="28"/>
      <c r="DX256" s="28"/>
      <c r="DY256" s="28"/>
      <c r="DZ256" s="28"/>
      <c r="EA256" s="28"/>
      <c r="EB256" s="28"/>
      <c r="EC256" s="28"/>
      <c r="ED256" s="28"/>
      <c r="EE256" s="28"/>
      <c r="EF256" s="28"/>
      <c r="EG256" s="28"/>
      <c r="EH256" s="28"/>
      <c r="EI256" s="28"/>
      <c r="EJ256" s="18"/>
      <c r="EK256" s="18"/>
      <c r="EL256" s="18">
        <f>IFERROR(CR256/'McDonough &amp; Sun 1995 values'!C$2,)</f>
        <v>0</v>
      </c>
      <c r="EM256" s="18">
        <f>IFERROR(CH256/'McDonough &amp; Sun 1995 values'!D$2,)</f>
        <v>0</v>
      </c>
      <c r="EN256" s="18">
        <f>IFERROR(CS256/'McDonough &amp; Sun 1995 values'!E$2,)</f>
        <v>0</v>
      </c>
      <c r="EO256" s="18">
        <f>IFERROR(DL256/'McDonough &amp; Sun 1995 values'!F$2,)</f>
        <v>0</v>
      </c>
      <c r="EP256" s="18">
        <f>IFERROR(DM256/'McDonough &amp; Sun 1995 values'!G$2,)</f>
        <v>0</v>
      </c>
      <c r="EQ256" s="18">
        <f>IFERROR(BR256/'McDonough &amp; Sun 1995 values'!H$2,)</f>
        <v>0</v>
      </c>
      <c r="ER256" s="18">
        <f>IFERROR(DI256/'McDonough &amp; Sun 1995 values'!I$2,)</f>
        <v>0</v>
      </c>
      <c r="ES256" s="18">
        <f>IFERROR(CM256/'McDonough &amp; Sun 1995 values'!J$2,)</f>
        <v>0</v>
      </c>
      <c r="ET256" s="18">
        <f>IFERROR(CU256/'McDonough &amp; Sun 1995 values'!K$2,)</f>
        <v>0</v>
      </c>
      <c r="EU256" s="18">
        <f>IFERROR(CV256/'McDonough &amp; Sun 1995 values'!L$2,)</f>
        <v>0</v>
      </c>
      <c r="EV256" s="18">
        <f>IFERROR(CW256/'McDonough &amp; Sun 1995 values'!M$2,)</f>
        <v>0</v>
      </c>
      <c r="EW256" s="18">
        <f>IFERROR(CI256/'McDonough &amp; Sun 1995 values'!N$2,)</f>
        <v>0</v>
      </c>
      <c r="EX256" s="18">
        <f>IFERROR(CX256/'McDonough &amp; Sun 1995 values'!O$2,)</f>
        <v>0</v>
      </c>
      <c r="EY256" s="18">
        <f>IFERROR(CY256/'McDonough &amp; Sun 1995 values'!P$2,)</f>
        <v>0</v>
      </c>
      <c r="EZ256" s="18">
        <f>IFERROR(DH256/'McDonough &amp; Sun 1995 values'!Q$2,)</f>
        <v>0</v>
      </c>
      <c r="FA256" s="18">
        <f>IFERROR(CK256/'McDonough &amp; Sun 1995 values'!R$2,)</f>
        <v>0</v>
      </c>
      <c r="FB256" s="18">
        <f>IFERROR(CZ256/'McDonough &amp; Sun 1995 values'!S$2,)</f>
        <v>0</v>
      </c>
      <c r="FC256" s="18">
        <f>IFERROR(BT256/'McDonough &amp; Sun 1995 values'!T$2,)</f>
        <v>0</v>
      </c>
      <c r="FD256" s="18">
        <f>IFERROR(DA256/'McDonough &amp; Sun 1995 values'!U$2,)</f>
        <v>0</v>
      </c>
      <c r="FE256" s="18">
        <f>IFERROR(DN256/'McDonough &amp; Sun 1995 values'!V$2,)</f>
        <v>0</v>
      </c>
      <c r="FF256" s="18">
        <f>IFERROR(DB256/'McDonough &amp; Sun 1995 values'!W$2,)</f>
        <v>0</v>
      </c>
      <c r="FG256" s="18">
        <f>IFERROR(CJ256/'McDonough &amp; Sun 1995 values'!X$2,)</f>
        <v>0</v>
      </c>
      <c r="FH256" s="18">
        <f>IFERROR(DC256/'McDonough &amp; Sun 1995 values'!Y$2,)</f>
        <v>0</v>
      </c>
      <c r="FI256" s="18">
        <f>IFERROR(DD256/'McDonough &amp; Sun 1995 values'!Z$2,)</f>
        <v>0</v>
      </c>
      <c r="FJ256" s="18">
        <f>IFERROR(DE256/'McDonough &amp; Sun 1995 values'!AA$2,)</f>
        <v>0</v>
      </c>
      <c r="FK256" s="18">
        <f>IFERROR(DF256/'McDonough &amp; Sun 1995 values'!AB$2,)</f>
        <v>0</v>
      </c>
      <c r="FL256" s="18">
        <f>IFERROR(DG256/'McDonough &amp; Sun 1995 values'!AC$2,)</f>
        <v>0</v>
      </c>
      <c r="FN256" s="28">
        <f t="shared" si="614"/>
        <v>0</v>
      </c>
      <c r="FO256" s="4">
        <f t="shared" si="547"/>
        <v>0</v>
      </c>
      <c r="FP256" s="4">
        <f t="shared" si="548"/>
        <v>0</v>
      </c>
      <c r="FQ256" s="4">
        <f t="shared" si="549"/>
        <v>0</v>
      </c>
      <c r="FR256" s="4">
        <f t="shared" si="550"/>
        <v>0</v>
      </c>
      <c r="FS256" s="4">
        <f t="shared" si="551"/>
        <v>0</v>
      </c>
      <c r="FT256" s="4">
        <f t="shared" si="552"/>
        <v>0</v>
      </c>
      <c r="FU256" s="4">
        <f t="shared" si="553"/>
        <v>0</v>
      </c>
      <c r="FV256" s="4">
        <f t="shared" si="554"/>
        <v>0</v>
      </c>
      <c r="FW256" s="4">
        <f t="shared" si="555"/>
        <v>0</v>
      </c>
      <c r="FX256" s="4">
        <f t="shared" si="556"/>
        <v>0</v>
      </c>
      <c r="FY256" s="4">
        <f t="shared" si="557"/>
        <v>0</v>
      </c>
      <c r="FZ256" s="4">
        <f t="shared" si="558"/>
        <v>0</v>
      </c>
      <c r="GA256" s="4">
        <f t="shared" si="559"/>
        <v>0</v>
      </c>
      <c r="GB256" s="4">
        <f t="shared" si="560"/>
        <v>0</v>
      </c>
      <c r="GC256" s="4">
        <f t="shared" si="561"/>
        <v>0</v>
      </c>
      <c r="GD256" s="4">
        <f t="shared" si="562"/>
        <v>0</v>
      </c>
      <c r="GE256" s="4">
        <f t="shared" si="563"/>
        <v>0</v>
      </c>
      <c r="GF256" s="4">
        <f t="shared" si="564"/>
        <v>0</v>
      </c>
      <c r="GG256" s="4">
        <f t="shared" si="565"/>
        <v>0</v>
      </c>
      <c r="GH256" s="4">
        <f t="shared" si="566"/>
        <v>0</v>
      </c>
      <c r="GI256" s="4">
        <f t="shared" si="567"/>
        <v>0</v>
      </c>
      <c r="GJ256" s="4">
        <f t="shared" si="568"/>
        <v>0</v>
      </c>
      <c r="GK256" s="4">
        <f t="shared" si="569"/>
        <v>0</v>
      </c>
      <c r="GL256" s="4">
        <f t="shared" si="570"/>
        <v>0</v>
      </c>
      <c r="GM256" s="4">
        <f t="shared" si="571"/>
        <v>0</v>
      </c>
      <c r="GN256" s="4">
        <f t="shared" si="572"/>
        <v>0</v>
      </c>
      <c r="GO256" s="4">
        <f t="shared" si="573"/>
        <v>0</v>
      </c>
      <c r="GP256" s="4">
        <f t="shared" si="574"/>
        <v>0</v>
      </c>
      <c r="GQ256" s="27">
        <f t="shared" si="575"/>
        <v>127136.27716035994</v>
      </c>
      <c r="GR256" s="28" t="str">
        <f t="shared" si="576"/>
        <v/>
      </c>
      <c r="GS256" s="28" t="str">
        <f t="shared" si="577"/>
        <v/>
      </c>
      <c r="GT256" s="28" t="str">
        <f t="shared" si="578"/>
        <v/>
      </c>
      <c r="GU256" s="28" t="str">
        <f t="shared" si="579"/>
        <v/>
      </c>
      <c r="GV256" s="28" t="str">
        <f t="shared" si="580"/>
        <v/>
      </c>
      <c r="GW256" s="28" t="str">
        <f t="shared" si="581"/>
        <v/>
      </c>
      <c r="GX256" s="28" t="str">
        <f t="shared" si="582"/>
        <v/>
      </c>
      <c r="GY256" s="28" t="str">
        <f t="shared" si="583"/>
        <v/>
      </c>
      <c r="GZ256" s="28" t="str">
        <f t="shared" si="584"/>
        <v/>
      </c>
      <c r="HA256" s="28" t="str">
        <f t="shared" si="585"/>
        <v/>
      </c>
      <c r="HB256" s="28" t="str">
        <f t="shared" si="586"/>
        <v/>
      </c>
      <c r="HC256" s="28" t="str">
        <f t="shared" si="587"/>
        <v/>
      </c>
      <c r="HD256" s="28" t="str">
        <f t="shared" si="588"/>
        <v/>
      </c>
      <c r="HE256" s="28" t="str">
        <f t="shared" si="589"/>
        <v/>
      </c>
      <c r="HF256" s="28" t="str">
        <f t="shared" si="590"/>
        <v/>
      </c>
      <c r="HG256" s="28" t="str">
        <f t="shared" si="591"/>
        <v/>
      </c>
      <c r="HH256" s="28" t="str">
        <f t="shared" si="592"/>
        <v/>
      </c>
      <c r="HI256" s="28" t="str">
        <f t="shared" si="593"/>
        <v/>
      </c>
      <c r="HJ256" s="28" t="str">
        <f t="shared" si="594"/>
        <v/>
      </c>
      <c r="HK256" s="28" t="str">
        <f t="shared" si="595"/>
        <v/>
      </c>
      <c r="HL256" s="28" t="str">
        <f t="shared" si="596"/>
        <v/>
      </c>
      <c r="HM256" s="28" t="str">
        <f t="shared" si="597"/>
        <v/>
      </c>
      <c r="HN256" s="28" t="str">
        <f t="shared" si="598"/>
        <v/>
      </c>
      <c r="HO256" s="28" t="str">
        <f t="shared" si="599"/>
        <v/>
      </c>
      <c r="HP256" s="28" t="str">
        <f t="shared" si="600"/>
        <v/>
      </c>
      <c r="HQ256" s="28" t="str">
        <f t="shared" si="601"/>
        <v/>
      </c>
      <c r="HR256" s="28" t="str">
        <f t="shared" si="602"/>
        <v/>
      </c>
      <c r="HT256" s="4">
        <f>IFERROR(GR256/'McDonough &amp; Sun 1995 values'!C$2,)</f>
        <v>0</v>
      </c>
      <c r="HU256" s="4">
        <f>IFERROR(GS256/'McDonough &amp; Sun 1995 values'!D$2,)</f>
        <v>0</v>
      </c>
      <c r="HV256" s="4">
        <f>IFERROR(GT256/'McDonough &amp; Sun 1995 values'!E$2,)</f>
        <v>0</v>
      </c>
      <c r="HW256" s="4">
        <f>IFERROR(GU256/'McDonough &amp; Sun 1995 values'!F$2,)</f>
        <v>0</v>
      </c>
      <c r="HX256" s="4">
        <f>IFERROR(GV256/'McDonough &amp; Sun 1995 values'!G$2,)</f>
        <v>0</v>
      </c>
      <c r="HY256" s="4">
        <f>IFERROR(GW256/'McDonough &amp; Sun 1995 values'!H$2,)</f>
        <v>0</v>
      </c>
      <c r="HZ256" s="4">
        <f>IFERROR(GX256/'McDonough &amp; Sun 1995 values'!I$2,)</f>
        <v>0</v>
      </c>
      <c r="IA256" s="4">
        <f>IFERROR(GY256/'McDonough &amp; Sun 1995 values'!J$2,)</f>
        <v>0</v>
      </c>
      <c r="IB256" s="4">
        <f>IFERROR(GZ256/'McDonough &amp; Sun 1995 values'!K$2,)</f>
        <v>0</v>
      </c>
      <c r="IC256" s="4">
        <f>IFERROR(HA256/'McDonough &amp; Sun 1995 values'!L$2,)</f>
        <v>0</v>
      </c>
      <c r="ID256" s="4">
        <f>IFERROR(HB256/'McDonough &amp; Sun 1995 values'!M$2,)</f>
        <v>0</v>
      </c>
      <c r="IE256" s="4">
        <f>IFERROR(HC256/'McDonough &amp; Sun 1995 values'!N$2,)</f>
        <v>0</v>
      </c>
      <c r="IF256" s="4">
        <f>IFERROR(HD256/'McDonough &amp; Sun 1995 values'!O$2,)</f>
        <v>0</v>
      </c>
      <c r="IG256" s="4">
        <f>IFERROR(HE256/'McDonough &amp; Sun 1995 values'!P$2,)</f>
        <v>0</v>
      </c>
      <c r="IH256" s="4">
        <f>IFERROR(HF256/'McDonough &amp; Sun 1995 values'!Q$2,)</f>
        <v>0</v>
      </c>
      <c r="II256" s="4">
        <f>IFERROR(HG256/'McDonough &amp; Sun 1995 values'!R$2,)</f>
        <v>0</v>
      </c>
      <c r="IJ256" s="4">
        <f>IFERROR(HH256/'McDonough &amp; Sun 1995 values'!S$2,)</f>
        <v>0</v>
      </c>
      <c r="IK256" s="4">
        <f>IFERROR(HI256/'McDonough &amp; Sun 1995 values'!T$2,)</f>
        <v>0</v>
      </c>
      <c r="IL256" s="4">
        <f>IFERROR(HJ256/'McDonough &amp; Sun 1995 values'!U$2,)</f>
        <v>0</v>
      </c>
      <c r="IM256" s="4">
        <f>IFERROR(HK256/'McDonough &amp; Sun 1995 values'!V$2,)</f>
        <v>0</v>
      </c>
      <c r="IN256" s="4">
        <f>IFERROR(HL256/'McDonough &amp; Sun 1995 values'!W$2,)</f>
        <v>0</v>
      </c>
      <c r="IO256" s="4">
        <f>IFERROR(HM256/'McDonough &amp; Sun 1995 values'!X$2,)</f>
        <v>0</v>
      </c>
      <c r="IP256" s="4">
        <f>IFERROR(HN256/'McDonough &amp; Sun 1995 values'!Y$2,)</f>
        <v>0</v>
      </c>
      <c r="IQ256" s="4">
        <f>IFERROR(HO256/'McDonough &amp; Sun 1995 values'!Z$2,)</f>
        <v>0</v>
      </c>
      <c r="IR256" s="4">
        <f>IFERROR(HP256/'McDonough &amp; Sun 1995 values'!AA$2,)</f>
        <v>0</v>
      </c>
      <c r="IS256" s="4">
        <f>IFERROR(HQ256/'McDonough &amp; Sun 1995 values'!AB$2,)</f>
        <v>0</v>
      </c>
      <c r="IT256" s="4">
        <f>IFERROR(HR256/'McDonough &amp; Sun 1995 values'!AC$2,)</f>
        <v>0</v>
      </c>
    </row>
    <row r="257" spans="1:254">
      <c r="A257" s="16" t="s">
        <v>838</v>
      </c>
      <c r="B257" s="16" t="s">
        <v>24</v>
      </c>
      <c r="C257" s="16" t="str">
        <f t="shared" si="461"/>
        <v>silicic - low-Mg carbonatitic</v>
      </c>
      <c r="D257" s="16" t="s">
        <v>1719</v>
      </c>
      <c r="E257" s="16" t="s">
        <v>388</v>
      </c>
      <c r="F257" s="16" t="s">
        <v>342</v>
      </c>
      <c r="G257" s="16" t="s">
        <v>829</v>
      </c>
      <c r="H257" s="27">
        <v>0</v>
      </c>
      <c r="I257" s="16" t="s">
        <v>735</v>
      </c>
      <c r="J257" s="16">
        <v>0</v>
      </c>
      <c r="K257" s="16" t="s">
        <v>903</v>
      </c>
      <c r="L257" s="16">
        <v>0</v>
      </c>
      <c r="M257" s="16">
        <v>24</v>
      </c>
      <c r="N257" s="16">
        <v>42</v>
      </c>
      <c r="O257" s="26">
        <v>25.58</v>
      </c>
      <c r="P257" s="26">
        <v>2.13</v>
      </c>
      <c r="Q257" s="26"/>
      <c r="R257" s="26">
        <v>4.8899999999999997</v>
      </c>
      <c r="S257" s="26">
        <v>6.55</v>
      </c>
      <c r="T257" s="26">
        <v>3.73</v>
      </c>
      <c r="U257" s="26"/>
      <c r="V257" s="26">
        <v>16.989999999999998</v>
      </c>
      <c r="W257" s="26">
        <v>3.15</v>
      </c>
      <c r="X257" s="26">
        <v>14.68</v>
      </c>
      <c r="Y257" s="26"/>
      <c r="Z257" s="26">
        <v>4.68</v>
      </c>
      <c r="AA257" s="26">
        <v>2.44</v>
      </c>
      <c r="AB257" s="26">
        <v>5.83</v>
      </c>
      <c r="AC257" s="26"/>
      <c r="AD257" s="26">
        <v>7.02</v>
      </c>
      <c r="AE257" s="26"/>
      <c r="AF257" s="26">
        <v>2.33</v>
      </c>
      <c r="AG257" s="26"/>
      <c r="AH257" s="26"/>
      <c r="AI257" s="26">
        <v>7.24</v>
      </c>
      <c r="AJ257" s="26">
        <f t="shared" si="462"/>
        <v>95.22999999999999</v>
      </c>
      <c r="AK257" s="26">
        <f t="shared" si="603"/>
        <v>27.315694721595207</v>
      </c>
      <c r="AL257" s="26">
        <f t="shared" si="604"/>
        <v>2.2745281374901407</v>
      </c>
      <c r="AM257" s="26">
        <f t="shared" si="605"/>
        <v>5.2218040339562384</v>
      </c>
      <c r="AN257" s="26">
        <f t="shared" si="606"/>
        <v>6.9944409861786019</v>
      </c>
      <c r="AO257" s="26">
        <f t="shared" si="607"/>
        <v>3.9830938745719364</v>
      </c>
      <c r="AP257" s="26">
        <f t="shared" si="608"/>
        <v>18.142832420637315</v>
      </c>
      <c r="AQ257" s="26">
        <f t="shared" si="609"/>
        <v>6.2255864044917937</v>
      </c>
      <c r="AR257" s="26">
        <f t="shared" si="610"/>
        <v>3.3637387948797857</v>
      </c>
      <c r="AS257" s="26">
        <f t="shared" si="611"/>
        <v>15.676090637725476</v>
      </c>
      <c r="AT257" s="26">
        <f t="shared" si="612"/>
        <v>4.9975547809642524</v>
      </c>
      <c r="AU257" s="26">
        <f t="shared" si="613"/>
        <v>7.4963321714463795</v>
      </c>
      <c r="AV257" s="26">
        <f t="shared" si="463"/>
        <v>101.69169696393712</v>
      </c>
      <c r="AW257" s="16"/>
      <c r="AX257" s="16"/>
      <c r="AY257" s="16"/>
      <c r="AZ257" s="16"/>
      <c r="BA257" s="26"/>
      <c r="BB257" s="26">
        <v>0.68</v>
      </c>
      <c r="BC257" s="26">
        <f t="shared" si="615"/>
        <v>0.68</v>
      </c>
      <c r="BD257" s="26">
        <f t="shared" si="616"/>
        <v>0.31999999999999995</v>
      </c>
      <c r="BE257" s="16"/>
      <c r="BF257" s="16"/>
      <c r="BG257" s="16"/>
      <c r="BH257" s="16"/>
      <c r="BI257" s="16"/>
      <c r="BJ257" s="16"/>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28"/>
      <c r="DW257" s="28"/>
      <c r="DX257" s="28"/>
      <c r="DY257" s="28"/>
      <c r="DZ257" s="28"/>
      <c r="EA257" s="28"/>
      <c r="EB257" s="28"/>
      <c r="EC257" s="28"/>
      <c r="ED257" s="28"/>
      <c r="EE257" s="28"/>
      <c r="EF257" s="28"/>
      <c r="EG257" s="28"/>
      <c r="EH257" s="28"/>
      <c r="EI257" s="28"/>
      <c r="EJ257" s="18"/>
      <c r="EK257" s="18"/>
      <c r="EL257" s="18">
        <f>IFERROR(CR257/'McDonough &amp; Sun 1995 values'!C$2,)</f>
        <v>0</v>
      </c>
      <c r="EM257" s="18">
        <f>IFERROR(CH257/'McDonough &amp; Sun 1995 values'!D$2,)</f>
        <v>0</v>
      </c>
      <c r="EN257" s="18">
        <f>IFERROR(CS257/'McDonough &amp; Sun 1995 values'!E$2,)</f>
        <v>0</v>
      </c>
      <c r="EO257" s="18">
        <f>IFERROR(DL257/'McDonough &amp; Sun 1995 values'!F$2,)</f>
        <v>0</v>
      </c>
      <c r="EP257" s="18">
        <f>IFERROR(DM257/'McDonough &amp; Sun 1995 values'!G$2,)</f>
        <v>0</v>
      </c>
      <c r="EQ257" s="18">
        <f>IFERROR(BR257/'McDonough &amp; Sun 1995 values'!H$2,)</f>
        <v>0</v>
      </c>
      <c r="ER257" s="18">
        <f>IFERROR(DI257/'McDonough &amp; Sun 1995 values'!I$2,)</f>
        <v>0</v>
      </c>
      <c r="ES257" s="18">
        <f>IFERROR(CM257/'McDonough &amp; Sun 1995 values'!J$2,)</f>
        <v>0</v>
      </c>
      <c r="ET257" s="18">
        <f>IFERROR(CU257/'McDonough &amp; Sun 1995 values'!K$2,)</f>
        <v>0</v>
      </c>
      <c r="EU257" s="18">
        <f>IFERROR(CV257/'McDonough &amp; Sun 1995 values'!L$2,)</f>
        <v>0</v>
      </c>
      <c r="EV257" s="18">
        <f>IFERROR(CW257/'McDonough &amp; Sun 1995 values'!M$2,)</f>
        <v>0</v>
      </c>
      <c r="EW257" s="18">
        <f>IFERROR(CI257/'McDonough &amp; Sun 1995 values'!N$2,)</f>
        <v>0</v>
      </c>
      <c r="EX257" s="18">
        <f>IFERROR(CX257/'McDonough &amp; Sun 1995 values'!O$2,)</f>
        <v>0</v>
      </c>
      <c r="EY257" s="18">
        <f>IFERROR(CY257/'McDonough &amp; Sun 1995 values'!P$2,)</f>
        <v>0</v>
      </c>
      <c r="EZ257" s="18">
        <f>IFERROR(DH257/'McDonough &amp; Sun 1995 values'!Q$2,)</f>
        <v>0</v>
      </c>
      <c r="FA257" s="18">
        <f>IFERROR(CK257/'McDonough &amp; Sun 1995 values'!R$2,)</f>
        <v>0</v>
      </c>
      <c r="FB257" s="18">
        <f>IFERROR(CZ257/'McDonough &amp; Sun 1995 values'!S$2,)</f>
        <v>0</v>
      </c>
      <c r="FC257" s="18">
        <f>IFERROR(BT257/'McDonough &amp; Sun 1995 values'!T$2,)</f>
        <v>0</v>
      </c>
      <c r="FD257" s="18">
        <f>IFERROR(DA257/'McDonough &amp; Sun 1995 values'!U$2,)</f>
        <v>0</v>
      </c>
      <c r="FE257" s="18">
        <f>IFERROR(DN257/'McDonough &amp; Sun 1995 values'!V$2,)</f>
        <v>0</v>
      </c>
      <c r="FF257" s="18">
        <f>IFERROR(DB257/'McDonough &amp; Sun 1995 values'!W$2,)</f>
        <v>0</v>
      </c>
      <c r="FG257" s="18">
        <f>IFERROR(CJ257/'McDonough &amp; Sun 1995 values'!X$2,)</f>
        <v>0</v>
      </c>
      <c r="FH257" s="18">
        <f>IFERROR(DC257/'McDonough &amp; Sun 1995 values'!Y$2,)</f>
        <v>0</v>
      </c>
      <c r="FI257" s="18">
        <f>IFERROR(DD257/'McDonough &amp; Sun 1995 values'!Z$2,)</f>
        <v>0</v>
      </c>
      <c r="FJ257" s="18">
        <f>IFERROR(DE257/'McDonough &amp; Sun 1995 values'!AA$2,)</f>
        <v>0</v>
      </c>
      <c r="FK257" s="18">
        <f>IFERROR(DF257/'McDonough &amp; Sun 1995 values'!AB$2,)</f>
        <v>0</v>
      </c>
      <c r="FL257" s="18">
        <f>IFERROR(DG257/'McDonough &amp; Sun 1995 values'!AC$2,)</f>
        <v>0</v>
      </c>
      <c r="FN257" s="28">
        <f t="shared" si="614"/>
        <v>0</v>
      </c>
      <c r="FO257" s="4">
        <f t="shared" si="547"/>
        <v>0</v>
      </c>
      <c r="FP257" s="4">
        <f t="shared" si="548"/>
        <v>0</v>
      </c>
      <c r="FQ257" s="4">
        <f t="shared" si="549"/>
        <v>0</v>
      </c>
      <c r="FR257" s="4">
        <f t="shared" si="550"/>
        <v>0</v>
      </c>
      <c r="FS257" s="4">
        <f t="shared" si="551"/>
        <v>0</v>
      </c>
      <c r="FT257" s="4">
        <f t="shared" si="552"/>
        <v>0</v>
      </c>
      <c r="FU257" s="4">
        <f t="shared" si="553"/>
        <v>0</v>
      </c>
      <c r="FV257" s="4">
        <f t="shared" si="554"/>
        <v>0</v>
      </c>
      <c r="FW257" s="4">
        <f t="shared" si="555"/>
        <v>0</v>
      </c>
      <c r="FX257" s="4">
        <f t="shared" si="556"/>
        <v>0</v>
      </c>
      <c r="FY257" s="4">
        <f t="shared" si="557"/>
        <v>0</v>
      </c>
      <c r="FZ257" s="4">
        <f t="shared" si="558"/>
        <v>0</v>
      </c>
      <c r="GA257" s="4">
        <f t="shared" si="559"/>
        <v>0</v>
      </c>
      <c r="GB257" s="4">
        <f t="shared" si="560"/>
        <v>0</v>
      </c>
      <c r="GC257" s="4">
        <f t="shared" si="561"/>
        <v>0</v>
      </c>
      <c r="GD257" s="4">
        <f t="shared" si="562"/>
        <v>0</v>
      </c>
      <c r="GE257" s="4">
        <f t="shared" si="563"/>
        <v>0</v>
      </c>
      <c r="GF257" s="4">
        <f t="shared" si="564"/>
        <v>0</v>
      </c>
      <c r="GG257" s="4">
        <f t="shared" si="565"/>
        <v>0</v>
      </c>
      <c r="GH257" s="4">
        <f t="shared" si="566"/>
        <v>0</v>
      </c>
      <c r="GI257" s="4">
        <f t="shared" si="567"/>
        <v>0</v>
      </c>
      <c r="GJ257" s="4">
        <f t="shared" si="568"/>
        <v>0</v>
      </c>
      <c r="GK257" s="4">
        <f t="shared" si="569"/>
        <v>0</v>
      </c>
      <c r="GL257" s="4">
        <f t="shared" si="570"/>
        <v>0</v>
      </c>
      <c r="GM257" s="4">
        <f t="shared" si="571"/>
        <v>0</v>
      </c>
      <c r="GN257" s="4">
        <f t="shared" si="572"/>
        <v>0</v>
      </c>
      <c r="GO257" s="4">
        <f t="shared" si="573"/>
        <v>0</v>
      </c>
      <c r="GP257" s="4">
        <f t="shared" si="574"/>
        <v>0</v>
      </c>
      <c r="GQ257" s="27">
        <f t="shared" si="575"/>
        <v>130133.07630394211</v>
      </c>
      <c r="GR257" s="28" t="str">
        <f t="shared" si="576"/>
        <v/>
      </c>
      <c r="GS257" s="28" t="str">
        <f t="shared" si="577"/>
        <v/>
      </c>
      <c r="GT257" s="28" t="str">
        <f t="shared" si="578"/>
        <v/>
      </c>
      <c r="GU257" s="28" t="str">
        <f t="shared" si="579"/>
        <v/>
      </c>
      <c r="GV257" s="28" t="str">
        <f t="shared" si="580"/>
        <v/>
      </c>
      <c r="GW257" s="28" t="str">
        <f t="shared" si="581"/>
        <v/>
      </c>
      <c r="GX257" s="28" t="str">
        <f t="shared" si="582"/>
        <v/>
      </c>
      <c r="GY257" s="28" t="str">
        <f t="shared" si="583"/>
        <v/>
      </c>
      <c r="GZ257" s="28" t="str">
        <f t="shared" si="584"/>
        <v/>
      </c>
      <c r="HA257" s="28" t="str">
        <f t="shared" si="585"/>
        <v/>
      </c>
      <c r="HB257" s="28" t="str">
        <f t="shared" si="586"/>
        <v/>
      </c>
      <c r="HC257" s="28" t="str">
        <f t="shared" si="587"/>
        <v/>
      </c>
      <c r="HD257" s="28" t="str">
        <f t="shared" si="588"/>
        <v/>
      </c>
      <c r="HE257" s="28" t="str">
        <f t="shared" si="589"/>
        <v/>
      </c>
      <c r="HF257" s="28" t="str">
        <f t="shared" si="590"/>
        <v/>
      </c>
      <c r="HG257" s="28" t="str">
        <f t="shared" si="591"/>
        <v/>
      </c>
      <c r="HH257" s="28" t="str">
        <f t="shared" si="592"/>
        <v/>
      </c>
      <c r="HI257" s="28" t="str">
        <f t="shared" si="593"/>
        <v/>
      </c>
      <c r="HJ257" s="28" t="str">
        <f t="shared" si="594"/>
        <v/>
      </c>
      <c r="HK257" s="28" t="str">
        <f t="shared" si="595"/>
        <v/>
      </c>
      <c r="HL257" s="28" t="str">
        <f t="shared" si="596"/>
        <v/>
      </c>
      <c r="HM257" s="28" t="str">
        <f t="shared" si="597"/>
        <v/>
      </c>
      <c r="HN257" s="28" t="str">
        <f t="shared" si="598"/>
        <v/>
      </c>
      <c r="HO257" s="28" t="str">
        <f t="shared" si="599"/>
        <v/>
      </c>
      <c r="HP257" s="28" t="str">
        <f t="shared" si="600"/>
        <v/>
      </c>
      <c r="HQ257" s="28" t="str">
        <f t="shared" si="601"/>
        <v/>
      </c>
      <c r="HR257" s="28" t="str">
        <f t="shared" si="602"/>
        <v/>
      </c>
      <c r="HT257" s="4">
        <f>IFERROR(GR257/'McDonough &amp; Sun 1995 values'!C$2,)</f>
        <v>0</v>
      </c>
      <c r="HU257" s="4">
        <f>IFERROR(GS257/'McDonough &amp; Sun 1995 values'!D$2,)</f>
        <v>0</v>
      </c>
      <c r="HV257" s="4">
        <f>IFERROR(GT257/'McDonough &amp; Sun 1995 values'!E$2,)</f>
        <v>0</v>
      </c>
      <c r="HW257" s="4">
        <f>IFERROR(GU257/'McDonough &amp; Sun 1995 values'!F$2,)</f>
        <v>0</v>
      </c>
      <c r="HX257" s="4">
        <f>IFERROR(GV257/'McDonough &amp; Sun 1995 values'!G$2,)</f>
        <v>0</v>
      </c>
      <c r="HY257" s="4">
        <f>IFERROR(GW257/'McDonough &amp; Sun 1995 values'!H$2,)</f>
        <v>0</v>
      </c>
      <c r="HZ257" s="4">
        <f>IFERROR(GX257/'McDonough &amp; Sun 1995 values'!I$2,)</f>
        <v>0</v>
      </c>
      <c r="IA257" s="4">
        <f>IFERROR(GY257/'McDonough &amp; Sun 1995 values'!J$2,)</f>
        <v>0</v>
      </c>
      <c r="IB257" s="4">
        <f>IFERROR(GZ257/'McDonough &amp; Sun 1995 values'!K$2,)</f>
        <v>0</v>
      </c>
      <c r="IC257" s="4">
        <f>IFERROR(HA257/'McDonough &amp; Sun 1995 values'!L$2,)</f>
        <v>0</v>
      </c>
      <c r="ID257" s="4">
        <f>IFERROR(HB257/'McDonough &amp; Sun 1995 values'!M$2,)</f>
        <v>0</v>
      </c>
      <c r="IE257" s="4">
        <f>IFERROR(HC257/'McDonough &amp; Sun 1995 values'!N$2,)</f>
        <v>0</v>
      </c>
      <c r="IF257" s="4">
        <f>IFERROR(HD257/'McDonough &amp; Sun 1995 values'!O$2,)</f>
        <v>0</v>
      </c>
      <c r="IG257" s="4">
        <f>IFERROR(HE257/'McDonough &amp; Sun 1995 values'!P$2,)</f>
        <v>0</v>
      </c>
      <c r="IH257" s="4">
        <f>IFERROR(HF257/'McDonough &amp; Sun 1995 values'!Q$2,)</f>
        <v>0</v>
      </c>
      <c r="II257" s="4">
        <f>IFERROR(HG257/'McDonough &amp; Sun 1995 values'!R$2,)</f>
        <v>0</v>
      </c>
      <c r="IJ257" s="4">
        <f>IFERROR(HH257/'McDonough &amp; Sun 1995 values'!S$2,)</f>
        <v>0</v>
      </c>
      <c r="IK257" s="4">
        <f>IFERROR(HI257/'McDonough &amp; Sun 1995 values'!T$2,)</f>
        <v>0</v>
      </c>
      <c r="IL257" s="4">
        <f>IFERROR(HJ257/'McDonough &amp; Sun 1995 values'!U$2,)</f>
        <v>0</v>
      </c>
      <c r="IM257" s="4">
        <f>IFERROR(HK257/'McDonough &amp; Sun 1995 values'!V$2,)</f>
        <v>0</v>
      </c>
      <c r="IN257" s="4">
        <f>IFERROR(HL257/'McDonough &amp; Sun 1995 values'!W$2,)</f>
        <v>0</v>
      </c>
      <c r="IO257" s="4">
        <f>IFERROR(HM257/'McDonough &amp; Sun 1995 values'!X$2,)</f>
        <v>0</v>
      </c>
      <c r="IP257" s="4">
        <f>IFERROR(HN257/'McDonough &amp; Sun 1995 values'!Y$2,)</f>
        <v>0</v>
      </c>
      <c r="IQ257" s="4">
        <f>IFERROR(HO257/'McDonough &amp; Sun 1995 values'!Z$2,)</f>
        <v>0</v>
      </c>
      <c r="IR257" s="4">
        <f>IFERROR(HP257/'McDonough &amp; Sun 1995 values'!AA$2,)</f>
        <v>0</v>
      </c>
      <c r="IS257" s="4">
        <f>IFERROR(HQ257/'McDonough &amp; Sun 1995 values'!AB$2,)</f>
        <v>0</v>
      </c>
      <c r="IT257" s="4">
        <f>IFERROR(HR257/'McDonough &amp; Sun 1995 values'!AC$2,)</f>
        <v>0</v>
      </c>
    </row>
    <row r="258" spans="1:254">
      <c r="A258" s="16" t="s">
        <v>838</v>
      </c>
      <c r="B258" s="16" t="s">
        <v>24</v>
      </c>
      <c r="C258" s="16" t="str">
        <f t="shared" ref="C258:C314" si="617">_xlfn.IFS(AND(AU258&gt;=15),"saline",AND(AK258&gt;=40,AU258&lt;=15),"silicic",AND(AK258&lt;=40,AK258&gt;=20,AO258&lt;=15,AU258&lt;=15),"silicic - low-Mg carbonatitic",AND(AO258&lt;15,AP258&gt;=15,AK258&lt;=20,AU258&lt;=15),"low-Mg carbonatitic",AND(AO258&gt;=15,AK258&lt;=20),"high-Mg carbonatitic")</f>
        <v>silicic - low-Mg carbonatitic</v>
      </c>
      <c r="D258" s="16" t="s">
        <v>1719</v>
      </c>
      <c r="E258" s="16" t="s">
        <v>388</v>
      </c>
      <c r="F258" s="16" t="s">
        <v>342</v>
      </c>
      <c r="G258" s="16" t="s">
        <v>829</v>
      </c>
      <c r="H258" s="27">
        <v>0</v>
      </c>
      <c r="I258" s="16" t="s">
        <v>735</v>
      </c>
      <c r="J258" s="16">
        <v>0</v>
      </c>
      <c r="K258" s="16" t="s">
        <v>903</v>
      </c>
      <c r="L258" s="16">
        <v>0</v>
      </c>
      <c r="M258" s="16" t="s">
        <v>101</v>
      </c>
      <c r="N258" s="16">
        <v>22</v>
      </c>
      <c r="O258" s="26">
        <v>20.72</v>
      </c>
      <c r="P258" s="26">
        <v>2.0299999999999998</v>
      </c>
      <c r="Q258" s="26"/>
      <c r="R258" s="26">
        <v>3.28</v>
      </c>
      <c r="S258" s="26">
        <v>16.45</v>
      </c>
      <c r="T258" s="26">
        <v>9.0500000000000007</v>
      </c>
      <c r="U258" s="26"/>
      <c r="V258" s="26">
        <v>16.989999999999998</v>
      </c>
      <c r="W258" s="26">
        <v>6.58</v>
      </c>
      <c r="X258" s="26">
        <v>11.97</v>
      </c>
      <c r="Y258" s="26"/>
      <c r="Z258" s="26">
        <v>4.67</v>
      </c>
      <c r="AA258" s="26">
        <v>1.53</v>
      </c>
      <c r="AB258" s="26">
        <v>2.17</v>
      </c>
      <c r="AC258" s="26"/>
      <c r="AD258" s="26">
        <v>3.42</v>
      </c>
      <c r="AE258" s="26"/>
      <c r="AF258" s="26">
        <v>1.1399999999999999</v>
      </c>
      <c r="AG258" s="26"/>
      <c r="AH258" s="26"/>
      <c r="AI258" s="26">
        <v>4.88</v>
      </c>
      <c r="AJ258" s="26">
        <f t="shared" ref="AJ258:AJ321" si="618">SUM(O258:P258,R258:T258,V258:X258,Z258,AB258,AD258)</f>
        <v>97.33</v>
      </c>
      <c r="AK258" s="26">
        <f t="shared" si="603"/>
        <v>21.458558800299794</v>
      </c>
      <c r="AL258" s="26">
        <f t="shared" si="604"/>
        <v>2.1023588013807233</v>
      </c>
      <c r="AM258" s="26">
        <f t="shared" si="605"/>
        <v>3.3969147135609714</v>
      </c>
      <c r="AN258" s="26">
        <f t="shared" si="606"/>
        <v>17.036355804292068</v>
      </c>
      <c r="AO258" s="26">
        <f t="shared" si="607"/>
        <v>9.3725848041849993</v>
      </c>
      <c r="AP258" s="26">
        <f t="shared" si="608"/>
        <v>17.595603958353937</v>
      </c>
      <c r="AQ258" s="26">
        <f t="shared" si="609"/>
        <v>2.2473490635449114</v>
      </c>
      <c r="AR258" s="26">
        <f t="shared" si="610"/>
        <v>6.8145423217168277</v>
      </c>
      <c r="AS258" s="26">
        <f t="shared" si="611"/>
        <v>12.39666741503806</v>
      </c>
      <c r="AT258" s="26">
        <f t="shared" si="612"/>
        <v>4.8364608879054085</v>
      </c>
      <c r="AU258" s="26">
        <f t="shared" si="613"/>
        <v>3.5419049757251595</v>
      </c>
      <c r="AV258" s="26">
        <f t="shared" ref="AV258:AV317" si="619">SUM(AK258:AU258)</f>
        <v>100.79930154600285</v>
      </c>
      <c r="AW258" s="16"/>
      <c r="AX258" s="16"/>
      <c r="AY258" s="16"/>
      <c r="AZ258" s="16"/>
      <c r="BA258" s="26"/>
      <c r="BB258" s="26">
        <v>0.54</v>
      </c>
      <c r="BC258" s="26">
        <f t="shared" si="615"/>
        <v>0.54</v>
      </c>
      <c r="BD258" s="26">
        <f t="shared" si="616"/>
        <v>0.45999999999999996</v>
      </c>
      <c r="BE258" s="16"/>
      <c r="BF258" s="16"/>
      <c r="BG258" s="16"/>
      <c r="BH258" s="16"/>
      <c r="BI258" s="16"/>
      <c r="BJ258" s="16"/>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28"/>
      <c r="DW258" s="28"/>
      <c r="DX258" s="28"/>
      <c r="DY258" s="28"/>
      <c r="DZ258" s="28"/>
      <c r="EA258" s="28"/>
      <c r="EB258" s="28"/>
      <c r="EC258" s="28"/>
      <c r="ED258" s="28"/>
      <c r="EE258" s="28"/>
      <c r="EF258" s="28"/>
      <c r="EG258" s="28"/>
      <c r="EH258" s="28"/>
      <c r="EI258" s="28"/>
      <c r="EJ258" s="18"/>
      <c r="EK258" s="18"/>
      <c r="EL258" s="18">
        <f>IFERROR(CR258/'McDonough &amp; Sun 1995 values'!C$2,)</f>
        <v>0</v>
      </c>
      <c r="EM258" s="18">
        <f>IFERROR(CH258/'McDonough &amp; Sun 1995 values'!D$2,)</f>
        <v>0</v>
      </c>
      <c r="EN258" s="18">
        <f>IFERROR(CS258/'McDonough &amp; Sun 1995 values'!E$2,)</f>
        <v>0</v>
      </c>
      <c r="EO258" s="18">
        <f>IFERROR(DL258/'McDonough &amp; Sun 1995 values'!F$2,)</f>
        <v>0</v>
      </c>
      <c r="EP258" s="18">
        <f>IFERROR(DM258/'McDonough &amp; Sun 1995 values'!G$2,)</f>
        <v>0</v>
      </c>
      <c r="EQ258" s="18">
        <f>IFERROR(BR258/'McDonough &amp; Sun 1995 values'!H$2,)</f>
        <v>0</v>
      </c>
      <c r="ER258" s="18">
        <f>IFERROR(DI258/'McDonough &amp; Sun 1995 values'!I$2,)</f>
        <v>0</v>
      </c>
      <c r="ES258" s="18">
        <f>IFERROR(CM258/'McDonough &amp; Sun 1995 values'!J$2,)</f>
        <v>0</v>
      </c>
      <c r="ET258" s="18">
        <f>IFERROR(CU258/'McDonough &amp; Sun 1995 values'!K$2,)</f>
        <v>0</v>
      </c>
      <c r="EU258" s="18">
        <f>IFERROR(CV258/'McDonough &amp; Sun 1995 values'!L$2,)</f>
        <v>0</v>
      </c>
      <c r="EV258" s="18">
        <f>IFERROR(CW258/'McDonough &amp; Sun 1995 values'!M$2,)</f>
        <v>0</v>
      </c>
      <c r="EW258" s="18">
        <f>IFERROR(CI258/'McDonough &amp; Sun 1995 values'!N$2,)</f>
        <v>0</v>
      </c>
      <c r="EX258" s="18">
        <f>IFERROR(CX258/'McDonough &amp; Sun 1995 values'!O$2,)</f>
        <v>0</v>
      </c>
      <c r="EY258" s="18">
        <f>IFERROR(CY258/'McDonough &amp; Sun 1995 values'!P$2,)</f>
        <v>0</v>
      </c>
      <c r="EZ258" s="18">
        <f>IFERROR(DH258/'McDonough &amp; Sun 1995 values'!Q$2,)</f>
        <v>0</v>
      </c>
      <c r="FA258" s="18">
        <f>IFERROR(CK258/'McDonough &amp; Sun 1995 values'!R$2,)</f>
        <v>0</v>
      </c>
      <c r="FB258" s="18">
        <f>IFERROR(CZ258/'McDonough &amp; Sun 1995 values'!S$2,)</f>
        <v>0</v>
      </c>
      <c r="FC258" s="18">
        <f>IFERROR(BT258/'McDonough &amp; Sun 1995 values'!T$2,)</f>
        <v>0</v>
      </c>
      <c r="FD258" s="18">
        <f>IFERROR(DA258/'McDonough &amp; Sun 1995 values'!U$2,)</f>
        <v>0</v>
      </c>
      <c r="FE258" s="18">
        <f>IFERROR(DN258/'McDonough &amp; Sun 1995 values'!V$2,)</f>
        <v>0</v>
      </c>
      <c r="FF258" s="18">
        <f>IFERROR(DB258/'McDonough &amp; Sun 1995 values'!W$2,)</f>
        <v>0</v>
      </c>
      <c r="FG258" s="18">
        <f>IFERROR(CJ258/'McDonough &amp; Sun 1995 values'!X$2,)</f>
        <v>0</v>
      </c>
      <c r="FH258" s="18">
        <f>IFERROR(DC258/'McDonough &amp; Sun 1995 values'!Y$2,)</f>
        <v>0</v>
      </c>
      <c r="FI258" s="18">
        <f>IFERROR(DD258/'McDonough &amp; Sun 1995 values'!Z$2,)</f>
        <v>0</v>
      </c>
      <c r="FJ258" s="18">
        <f>IFERROR(DE258/'McDonough &amp; Sun 1995 values'!AA$2,)</f>
        <v>0</v>
      </c>
      <c r="FK258" s="18">
        <f>IFERROR(DF258/'McDonough &amp; Sun 1995 values'!AB$2,)</f>
        <v>0</v>
      </c>
      <c r="FL258" s="18">
        <f>IFERROR(DG258/'McDonough &amp; Sun 1995 values'!AC$2,)</f>
        <v>0</v>
      </c>
      <c r="FN258" s="28">
        <f t="shared" si="614"/>
        <v>0</v>
      </c>
      <c r="FO258" s="4">
        <f t="shared" si="547"/>
        <v>0</v>
      </c>
      <c r="FP258" s="4">
        <f t="shared" si="548"/>
        <v>0</v>
      </c>
      <c r="FQ258" s="4">
        <f t="shared" si="549"/>
        <v>0</v>
      </c>
      <c r="FR258" s="4">
        <f t="shared" si="550"/>
        <v>0</v>
      </c>
      <c r="FS258" s="4">
        <f t="shared" si="551"/>
        <v>0</v>
      </c>
      <c r="FT258" s="4">
        <f t="shared" si="552"/>
        <v>0</v>
      </c>
      <c r="FU258" s="4">
        <f t="shared" si="553"/>
        <v>0</v>
      </c>
      <c r="FV258" s="4">
        <f t="shared" si="554"/>
        <v>0</v>
      </c>
      <c r="FW258" s="4">
        <f t="shared" si="555"/>
        <v>0</v>
      </c>
      <c r="FX258" s="4">
        <f t="shared" si="556"/>
        <v>0</v>
      </c>
      <c r="FY258" s="4">
        <f t="shared" si="557"/>
        <v>0</v>
      </c>
      <c r="FZ258" s="4">
        <f t="shared" si="558"/>
        <v>0</v>
      </c>
      <c r="GA258" s="4">
        <f t="shared" si="559"/>
        <v>0</v>
      </c>
      <c r="GB258" s="4">
        <f t="shared" si="560"/>
        <v>0</v>
      </c>
      <c r="GC258" s="4">
        <f t="shared" si="561"/>
        <v>0</v>
      </c>
      <c r="GD258" s="4">
        <f t="shared" si="562"/>
        <v>0</v>
      </c>
      <c r="GE258" s="4">
        <f t="shared" si="563"/>
        <v>0</v>
      </c>
      <c r="GF258" s="4">
        <f t="shared" si="564"/>
        <v>0</v>
      </c>
      <c r="GG258" s="4">
        <f t="shared" si="565"/>
        <v>0</v>
      </c>
      <c r="GH258" s="4">
        <f t="shared" si="566"/>
        <v>0</v>
      </c>
      <c r="GI258" s="4">
        <f t="shared" si="567"/>
        <v>0</v>
      </c>
      <c r="GJ258" s="4">
        <f t="shared" si="568"/>
        <v>0</v>
      </c>
      <c r="GK258" s="4">
        <f t="shared" si="569"/>
        <v>0</v>
      </c>
      <c r="GL258" s="4">
        <f t="shared" si="570"/>
        <v>0</v>
      </c>
      <c r="GM258" s="4">
        <f t="shared" si="571"/>
        <v>0</v>
      </c>
      <c r="GN258" s="4">
        <f t="shared" si="572"/>
        <v>0</v>
      </c>
      <c r="GO258" s="4">
        <f t="shared" si="573"/>
        <v>0</v>
      </c>
      <c r="GP258" s="4">
        <f t="shared" si="574"/>
        <v>0</v>
      </c>
      <c r="GQ258" s="27">
        <f t="shared" si="575"/>
        <v>102909.36075308446</v>
      </c>
      <c r="GR258" s="28" t="str">
        <f t="shared" si="576"/>
        <v/>
      </c>
      <c r="GS258" s="28" t="str">
        <f t="shared" si="577"/>
        <v/>
      </c>
      <c r="GT258" s="28" t="str">
        <f t="shared" si="578"/>
        <v/>
      </c>
      <c r="GU258" s="28" t="str">
        <f t="shared" si="579"/>
        <v/>
      </c>
      <c r="GV258" s="28" t="str">
        <f t="shared" si="580"/>
        <v/>
      </c>
      <c r="GW258" s="28" t="str">
        <f t="shared" si="581"/>
        <v/>
      </c>
      <c r="GX258" s="28" t="str">
        <f t="shared" si="582"/>
        <v/>
      </c>
      <c r="GY258" s="28" t="str">
        <f t="shared" si="583"/>
        <v/>
      </c>
      <c r="GZ258" s="28" t="str">
        <f t="shared" si="584"/>
        <v/>
      </c>
      <c r="HA258" s="28" t="str">
        <f t="shared" si="585"/>
        <v/>
      </c>
      <c r="HB258" s="28" t="str">
        <f t="shared" si="586"/>
        <v/>
      </c>
      <c r="HC258" s="28" t="str">
        <f t="shared" si="587"/>
        <v/>
      </c>
      <c r="HD258" s="28" t="str">
        <f t="shared" si="588"/>
        <v/>
      </c>
      <c r="HE258" s="28" t="str">
        <f t="shared" si="589"/>
        <v/>
      </c>
      <c r="HF258" s="28" t="str">
        <f t="shared" si="590"/>
        <v/>
      </c>
      <c r="HG258" s="28" t="str">
        <f t="shared" si="591"/>
        <v/>
      </c>
      <c r="HH258" s="28" t="str">
        <f t="shared" si="592"/>
        <v/>
      </c>
      <c r="HI258" s="28" t="str">
        <f t="shared" si="593"/>
        <v/>
      </c>
      <c r="HJ258" s="28" t="str">
        <f t="shared" si="594"/>
        <v/>
      </c>
      <c r="HK258" s="28" t="str">
        <f t="shared" si="595"/>
        <v/>
      </c>
      <c r="HL258" s="28" t="str">
        <f t="shared" si="596"/>
        <v/>
      </c>
      <c r="HM258" s="28" t="str">
        <f t="shared" si="597"/>
        <v/>
      </c>
      <c r="HN258" s="28" t="str">
        <f t="shared" si="598"/>
        <v/>
      </c>
      <c r="HO258" s="28" t="str">
        <f t="shared" si="599"/>
        <v/>
      </c>
      <c r="HP258" s="28" t="str">
        <f t="shared" si="600"/>
        <v/>
      </c>
      <c r="HQ258" s="28" t="str">
        <f t="shared" si="601"/>
        <v/>
      </c>
      <c r="HR258" s="28" t="str">
        <f t="shared" si="602"/>
        <v/>
      </c>
      <c r="HT258" s="4">
        <f>IFERROR(GR258/'McDonough &amp; Sun 1995 values'!C$2,)</f>
        <v>0</v>
      </c>
      <c r="HU258" s="4">
        <f>IFERROR(GS258/'McDonough &amp; Sun 1995 values'!D$2,)</f>
        <v>0</v>
      </c>
      <c r="HV258" s="4">
        <f>IFERROR(GT258/'McDonough &amp; Sun 1995 values'!E$2,)</f>
        <v>0</v>
      </c>
      <c r="HW258" s="4">
        <f>IFERROR(GU258/'McDonough &amp; Sun 1995 values'!F$2,)</f>
        <v>0</v>
      </c>
      <c r="HX258" s="4">
        <f>IFERROR(GV258/'McDonough &amp; Sun 1995 values'!G$2,)</f>
        <v>0</v>
      </c>
      <c r="HY258" s="4">
        <f>IFERROR(GW258/'McDonough &amp; Sun 1995 values'!H$2,)</f>
        <v>0</v>
      </c>
      <c r="HZ258" s="4">
        <f>IFERROR(GX258/'McDonough &amp; Sun 1995 values'!I$2,)</f>
        <v>0</v>
      </c>
      <c r="IA258" s="4">
        <f>IFERROR(GY258/'McDonough &amp; Sun 1995 values'!J$2,)</f>
        <v>0</v>
      </c>
      <c r="IB258" s="4">
        <f>IFERROR(GZ258/'McDonough &amp; Sun 1995 values'!K$2,)</f>
        <v>0</v>
      </c>
      <c r="IC258" s="4">
        <f>IFERROR(HA258/'McDonough &amp; Sun 1995 values'!L$2,)</f>
        <v>0</v>
      </c>
      <c r="ID258" s="4">
        <f>IFERROR(HB258/'McDonough &amp; Sun 1995 values'!M$2,)</f>
        <v>0</v>
      </c>
      <c r="IE258" s="4">
        <f>IFERROR(HC258/'McDonough &amp; Sun 1995 values'!N$2,)</f>
        <v>0</v>
      </c>
      <c r="IF258" s="4">
        <f>IFERROR(HD258/'McDonough &amp; Sun 1995 values'!O$2,)</f>
        <v>0</v>
      </c>
      <c r="IG258" s="4">
        <f>IFERROR(HE258/'McDonough &amp; Sun 1995 values'!P$2,)</f>
        <v>0</v>
      </c>
      <c r="IH258" s="4">
        <f>IFERROR(HF258/'McDonough &amp; Sun 1995 values'!Q$2,)</f>
        <v>0</v>
      </c>
      <c r="II258" s="4">
        <f>IFERROR(HG258/'McDonough &amp; Sun 1995 values'!R$2,)</f>
        <v>0</v>
      </c>
      <c r="IJ258" s="4">
        <f>IFERROR(HH258/'McDonough &amp; Sun 1995 values'!S$2,)</f>
        <v>0</v>
      </c>
      <c r="IK258" s="4">
        <f>IFERROR(HI258/'McDonough &amp; Sun 1995 values'!T$2,)</f>
        <v>0</v>
      </c>
      <c r="IL258" s="4">
        <f>IFERROR(HJ258/'McDonough &amp; Sun 1995 values'!U$2,)</f>
        <v>0</v>
      </c>
      <c r="IM258" s="4">
        <f>IFERROR(HK258/'McDonough &amp; Sun 1995 values'!V$2,)</f>
        <v>0</v>
      </c>
      <c r="IN258" s="4">
        <f>IFERROR(HL258/'McDonough &amp; Sun 1995 values'!W$2,)</f>
        <v>0</v>
      </c>
      <c r="IO258" s="4">
        <f>IFERROR(HM258/'McDonough &amp; Sun 1995 values'!X$2,)</f>
        <v>0</v>
      </c>
      <c r="IP258" s="4">
        <f>IFERROR(HN258/'McDonough &amp; Sun 1995 values'!Y$2,)</f>
        <v>0</v>
      </c>
      <c r="IQ258" s="4">
        <f>IFERROR(HO258/'McDonough &amp; Sun 1995 values'!Z$2,)</f>
        <v>0</v>
      </c>
      <c r="IR258" s="4">
        <f>IFERROR(HP258/'McDonough &amp; Sun 1995 values'!AA$2,)</f>
        <v>0</v>
      </c>
      <c r="IS258" s="4">
        <f>IFERROR(HQ258/'McDonough &amp; Sun 1995 values'!AB$2,)</f>
        <v>0</v>
      </c>
      <c r="IT258" s="4">
        <f>IFERROR(HR258/'McDonough &amp; Sun 1995 values'!AC$2,)</f>
        <v>0</v>
      </c>
    </row>
    <row r="259" spans="1:254">
      <c r="A259" s="16" t="s">
        <v>838</v>
      </c>
      <c r="B259" s="16" t="s">
        <v>24</v>
      </c>
      <c r="C259" s="16" t="str">
        <f t="shared" si="617"/>
        <v>silicic - low-Mg carbonatitic</v>
      </c>
      <c r="D259" s="16" t="s">
        <v>1719</v>
      </c>
      <c r="E259" s="16" t="s">
        <v>388</v>
      </c>
      <c r="F259" s="16" t="s">
        <v>342</v>
      </c>
      <c r="G259" s="16" t="s">
        <v>829</v>
      </c>
      <c r="H259" s="27">
        <v>0</v>
      </c>
      <c r="I259" s="16" t="s">
        <v>735</v>
      </c>
      <c r="J259" s="16">
        <v>0</v>
      </c>
      <c r="K259" s="16" t="s">
        <v>903</v>
      </c>
      <c r="L259" s="16">
        <v>0</v>
      </c>
      <c r="M259" s="16" t="s">
        <v>173</v>
      </c>
      <c r="N259" s="16">
        <v>32</v>
      </c>
      <c r="O259" s="26">
        <v>28.37</v>
      </c>
      <c r="P259" s="26">
        <v>1.6</v>
      </c>
      <c r="Q259" s="26"/>
      <c r="R259" s="26">
        <v>4.5</v>
      </c>
      <c r="S259" s="26">
        <v>8.9600000000000009</v>
      </c>
      <c r="T259" s="26">
        <v>4.5</v>
      </c>
      <c r="U259" s="26"/>
      <c r="V259" s="26">
        <v>10.62</v>
      </c>
      <c r="W259" s="26">
        <v>3.5</v>
      </c>
      <c r="X259" s="26">
        <v>18.440000000000001</v>
      </c>
      <c r="Y259" s="26"/>
      <c r="Z259" s="26">
        <v>5.73</v>
      </c>
      <c r="AA259" s="26">
        <v>1.05</v>
      </c>
      <c r="AB259" s="26">
        <v>4.71</v>
      </c>
      <c r="AC259" s="26"/>
      <c r="AD259" s="26">
        <v>6.46</v>
      </c>
      <c r="AE259" s="26"/>
      <c r="AF259" s="26">
        <v>1.55</v>
      </c>
      <c r="AG259" s="26"/>
      <c r="AH259" s="26"/>
      <c r="AI259" s="26">
        <v>5.03</v>
      </c>
      <c r="AJ259" s="26">
        <f t="shared" si="618"/>
        <v>97.389999999999986</v>
      </c>
      <c r="AK259" s="26">
        <f t="shared" si="603"/>
        <v>29.572977851799681</v>
      </c>
      <c r="AL259" s="26">
        <f t="shared" si="604"/>
        <v>1.6678450674261363</v>
      </c>
      <c r="AM259" s="26">
        <f t="shared" si="605"/>
        <v>4.6908142521360077</v>
      </c>
      <c r="AN259" s="26">
        <f t="shared" si="606"/>
        <v>9.3399323775863632</v>
      </c>
      <c r="AO259" s="26">
        <f t="shared" si="607"/>
        <v>4.6908142521360077</v>
      </c>
      <c r="AP259" s="26">
        <f t="shared" si="608"/>
        <v>11.070321635040978</v>
      </c>
      <c r="AQ259" s="26">
        <f t="shared" si="609"/>
        <v>4.9097189172356881</v>
      </c>
      <c r="AR259" s="26">
        <f t="shared" si="610"/>
        <v>3.6484110849946729</v>
      </c>
      <c r="AS259" s="26">
        <f t="shared" si="611"/>
        <v>19.22191440208622</v>
      </c>
      <c r="AT259" s="26">
        <f t="shared" si="612"/>
        <v>5.9729701477198507</v>
      </c>
      <c r="AU259" s="26">
        <f t="shared" si="613"/>
        <v>6.733924459733025</v>
      </c>
      <c r="AV259" s="26">
        <f t="shared" si="619"/>
        <v>101.51964444789465</v>
      </c>
      <c r="AW259" s="16"/>
      <c r="AX259" s="16"/>
      <c r="AY259" s="16"/>
      <c r="AZ259" s="16"/>
      <c r="BA259" s="26"/>
      <c r="BB259" s="26">
        <v>1</v>
      </c>
      <c r="BC259" s="26">
        <f t="shared" si="615"/>
        <v>1</v>
      </c>
      <c r="BD259" s="26">
        <f t="shared" si="616"/>
        <v>0</v>
      </c>
      <c r="BE259" s="16"/>
      <c r="BF259" s="16"/>
      <c r="BG259" s="16"/>
      <c r="BH259" s="16"/>
      <c r="BI259" s="16"/>
      <c r="BJ259" s="16"/>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c r="DS259" s="18"/>
      <c r="DT259" s="18"/>
      <c r="DU259" s="18"/>
      <c r="DV259" s="28"/>
      <c r="DW259" s="28"/>
      <c r="DX259" s="28"/>
      <c r="DY259" s="28"/>
      <c r="DZ259" s="28"/>
      <c r="EA259" s="28"/>
      <c r="EB259" s="28"/>
      <c r="EC259" s="28"/>
      <c r="ED259" s="28"/>
      <c r="EE259" s="28"/>
      <c r="EF259" s="28"/>
      <c r="EG259" s="28"/>
      <c r="EH259" s="28"/>
      <c r="EI259" s="28"/>
      <c r="EJ259" s="18"/>
      <c r="EK259" s="18"/>
      <c r="EL259" s="18">
        <f>IFERROR(CR259/'McDonough &amp; Sun 1995 values'!C$2,)</f>
        <v>0</v>
      </c>
      <c r="EM259" s="18">
        <f>IFERROR(CH259/'McDonough &amp; Sun 1995 values'!D$2,)</f>
        <v>0</v>
      </c>
      <c r="EN259" s="18">
        <f>IFERROR(CS259/'McDonough &amp; Sun 1995 values'!E$2,)</f>
        <v>0</v>
      </c>
      <c r="EO259" s="18">
        <f>IFERROR(DL259/'McDonough &amp; Sun 1995 values'!F$2,)</f>
        <v>0</v>
      </c>
      <c r="EP259" s="18">
        <f>IFERROR(DM259/'McDonough &amp; Sun 1995 values'!G$2,)</f>
        <v>0</v>
      </c>
      <c r="EQ259" s="18">
        <f>IFERROR(BR259/'McDonough &amp; Sun 1995 values'!H$2,)</f>
        <v>0</v>
      </c>
      <c r="ER259" s="18">
        <f>IFERROR(DI259/'McDonough &amp; Sun 1995 values'!I$2,)</f>
        <v>0</v>
      </c>
      <c r="ES259" s="18">
        <f>IFERROR(CM259/'McDonough &amp; Sun 1995 values'!J$2,)</f>
        <v>0</v>
      </c>
      <c r="ET259" s="18">
        <f>IFERROR(CU259/'McDonough &amp; Sun 1995 values'!K$2,)</f>
        <v>0</v>
      </c>
      <c r="EU259" s="18">
        <f>IFERROR(CV259/'McDonough &amp; Sun 1995 values'!L$2,)</f>
        <v>0</v>
      </c>
      <c r="EV259" s="18">
        <f>IFERROR(CW259/'McDonough &amp; Sun 1995 values'!M$2,)</f>
        <v>0</v>
      </c>
      <c r="EW259" s="18">
        <f>IFERROR(CI259/'McDonough &amp; Sun 1995 values'!N$2,)</f>
        <v>0</v>
      </c>
      <c r="EX259" s="18">
        <f>IFERROR(CX259/'McDonough &amp; Sun 1995 values'!O$2,)</f>
        <v>0</v>
      </c>
      <c r="EY259" s="18">
        <f>IFERROR(CY259/'McDonough &amp; Sun 1995 values'!P$2,)</f>
        <v>0</v>
      </c>
      <c r="EZ259" s="18">
        <f>IFERROR(DH259/'McDonough &amp; Sun 1995 values'!Q$2,)</f>
        <v>0</v>
      </c>
      <c r="FA259" s="18">
        <f>IFERROR(CK259/'McDonough &amp; Sun 1995 values'!R$2,)</f>
        <v>0</v>
      </c>
      <c r="FB259" s="18">
        <f>IFERROR(CZ259/'McDonough &amp; Sun 1995 values'!S$2,)</f>
        <v>0</v>
      </c>
      <c r="FC259" s="18">
        <f>IFERROR(BT259/'McDonough &amp; Sun 1995 values'!T$2,)</f>
        <v>0</v>
      </c>
      <c r="FD259" s="18">
        <f>IFERROR(DA259/'McDonough &amp; Sun 1995 values'!U$2,)</f>
        <v>0</v>
      </c>
      <c r="FE259" s="18">
        <f>IFERROR(DN259/'McDonough &amp; Sun 1995 values'!V$2,)</f>
        <v>0</v>
      </c>
      <c r="FF259" s="18">
        <f>IFERROR(DB259/'McDonough &amp; Sun 1995 values'!W$2,)</f>
        <v>0</v>
      </c>
      <c r="FG259" s="18">
        <f>IFERROR(CJ259/'McDonough &amp; Sun 1995 values'!X$2,)</f>
        <v>0</v>
      </c>
      <c r="FH259" s="18">
        <f>IFERROR(DC259/'McDonough &amp; Sun 1995 values'!Y$2,)</f>
        <v>0</v>
      </c>
      <c r="FI259" s="18">
        <f>IFERROR(DD259/'McDonough &amp; Sun 1995 values'!Z$2,)</f>
        <v>0</v>
      </c>
      <c r="FJ259" s="18">
        <f>IFERROR(DE259/'McDonough &amp; Sun 1995 values'!AA$2,)</f>
        <v>0</v>
      </c>
      <c r="FK259" s="18">
        <f>IFERROR(DF259/'McDonough &amp; Sun 1995 values'!AB$2,)</f>
        <v>0</v>
      </c>
      <c r="FL259" s="18">
        <f>IFERROR(DG259/'McDonough &amp; Sun 1995 values'!AC$2,)</f>
        <v>0</v>
      </c>
      <c r="FN259" s="28">
        <f t="shared" si="614"/>
        <v>0</v>
      </c>
      <c r="FO259" s="4">
        <f t="shared" si="547"/>
        <v>0</v>
      </c>
      <c r="FP259" s="4">
        <f t="shared" si="548"/>
        <v>0</v>
      </c>
      <c r="FQ259" s="4">
        <f t="shared" si="549"/>
        <v>0</v>
      </c>
      <c r="FR259" s="4">
        <f t="shared" si="550"/>
        <v>0</v>
      </c>
      <c r="FS259" s="4">
        <f t="shared" si="551"/>
        <v>0</v>
      </c>
      <c r="FT259" s="4">
        <f t="shared" si="552"/>
        <v>0</v>
      </c>
      <c r="FU259" s="4">
        <f t="shared" si="553"/>
        <v>0</v>
      </c>
      <c r="FV259" s="4">
        <f t="shared" si="554"/>
        <v>0</v>
      </c>
      <c r="FW259" s="4">
        <f t="shared" si="555"/>
        <v>0</v>
      </c>
      <c r="FX259" s="4">
        <f t="shared" si="556"/>
        <v>0</v>
      </c>
      <c r="FY259" s="4">
        <f t="shared" si="557"/>
        <v>0</v>
      </c>
      <c r="FZ259" s="4">
        <f t="shared" si="558"/>
        <v>0</v>
      </c>
      <c r="GA259" s="4">
        <f t="shared" si="559"/>
        <v>0</v>
      </c>
      <c r="GB259" s="4">
        <f t="shared" si="560"/>
        <v>0</v>
      </c>
      <c r="GC259" s="4">
        <f t="shared" si="561"/>
        <v>0</v>
      </c>
      <c r="GD259" s="4">
        <f t="shared" si="562"/>
        <v>0</v>
      </c>
      <c r="GE259" s="4">
        <f t="shared" si="563"/>
        <v>0</v>
      </c>
      <c r="GF259" s="4">
        <f t="shared" si="564"/>
        <v>0</v>
      </c>
      <c r="GG259" s="4">
        <f t="shared" si="565"/>
        <v>0</v>
      </c>
      <c r="GH259" s="4">
        <f t="shared" si="566"/>
        <v>0</v>
      </c>
      <c r="GI259" s="4">
        <f t="shared" si="567"/>
        <v>0</v>
      </c>
      <c r="GJ259" s="4">
        <f t="shared" si="568"/>
        <v>0</v>
      </c>
      <c r="GK259" s="4">
        <f t="shared" si="569"/>
        <v>0</v>
      </c>
      <c r="GL259" s="4">
        <f t="shared" si="570"/>
        <v>0</v>
      </c>
      <c r="GM259" s="4">
        <f t="shared" si="571"/>
        <v>0</v>
      </c>
      <c r="GN259" s="4">
        <f t="shared" si="572"/>
        <v>0</v>
      </c>
      <c r="GO259" s="4">
        <f t="shared" si="573"/>
        <v>0</v>
      </c>
      <c r="GP259" s="4">
        <f t="shared" si="574"/>
        <v>0</v>
      </c>
      <c r="GQ259" s="27">
        <f t="shared" si="575"/>
        <v>159568.28213118014</v>
      </c>
      <c r="GR259" s="28" t="str">
        <f t="shared" si="576"/>
        <v/>
      </c>
      <c r="GS259" s="28" t="str">
        <f t="shared" si="577"/>
        <v/>
      </c>
      <c r="GT259" s="28" t="str">
        <f t="shared" si="578"/>
        <v/>
      </c>
      <c r="GU259" s="28" t="str">
        <f t="shared" si="579"/>
        <v/>
      </c>
      <c r="GV259" s="28" t="str">
        <f t="shared" si="580"/>
        <v/>
      </c>
      <c r="GW259" s="28" t="str">
        <f t="shared" si="581"/>
        <v/>
      </c>
      <c r="GX259" s="28" t="str">
        <f t="shared" si="582"/>
        <v/>
      </c>
      <c r="GY259" s="28" t="str">
        <f t="shared" si="583"/>
        <v/>
      </c>
      <c r="GZ259" s="28" t="str">
        <f t="shared" si="584"/>
        <v/>
      </c>
      <c r="HA259" s="28" t="str">
        <f t="shared" si="585"/>
        <v/>
      </c>
      <c r="HB259" s="28" t="str">
        <f t="shared" si="586"/>
        <v/>
      </c>
      <c r="HC259" s="28" t="str">
        <f t="shared" si="587"/>
        <v/>
      </c>
      <c r="HD259" s="28" t="str">
        <f t="shared" si="588"/>
        <v/>
      </c>
      <c r="HE259" s="28" t="str">
        <f t="shared" si="589"/>
        <v/>
      </c>
      <c r="HF259" s="28" t="str">
        <f t="shared" si="590"/>
        <v/>
      </c>
      <c r="HG259" s="28" t="str">
        <f t="shared" si="591"/>
        <v/>
      </c>
      <c r="HH259" s="28" t="str">
        <f t="shared" si="592"/>
        <v/>
      </c>
      <c r="HI259" s="28" t="str">
        <f t="shared" si="593"/>
        <v/>
      </c>
      <c r="HJ259" s="28" t="str">
        <f t="shared" si="594"/>
        <v/>
      </c>
      <c r="HK259" s="28" t="str">
        <f t="shared" si="595"/>
        <v/>
      </c>
      <c r="HL259" s="28" t="str">
        <f t="shared" si="596"/>
        <v/>
      </c>
      <c r="HM259" s="28" t="str">
        <f t="shared" si="597"/>
        <v/>
      </c>
      <c r="HN259" s="28" t="str">
        <f t="shared" si="598"/>
        <v/>
      </c>
      <c r="HO259" s="28" t="str">
        <f t="shared" si="599"/>
        <v/>
      </c>
      <c r="HP259" s="28" t="str">
        <f t="shared" si="600"/>
        <v/>
      </c>
      <c r="HQ259" s="28" t="str">
        <f t="shared" si="601"/>
        <v/>
      </c>
      <c r="HR259" s="28" t="str">
        <f t="shared" si="602"/>
        <v/>
      </c>
      <c r="HT259" s="4">
        <f>IFERROR(GR259/'McDonough &amp; Sun 1995 values'!C$2,)</f>
        <v>0</v>
      </c>
      <c r="HU259" s="4">
        <f>IFERROR(GS259/'McDonough &amp; Sun 1995 values'!D$2,)</f>
        <v>0</v>
      </c>
      <c r="HV259" s="4">
        <f>IFERROR(GT259/'McDonough &amp; Sun 1995 values'!E$2,)</f>
        <v>0</v>
      </c>
      <c r="HW259" s="4">
        <f>IFERROR(GU259/'McDonough &amp; Sun 1995 values'!F$2,)</f>
        <v>0</v>
      </c>
      <c r="HX259" s="4">
        <f>IFERROR(GV259/'McDonough &amp; Sun 1995 values'!G$2,)</f>
        <v>0</v>
      </c>
      <c r="HY259" s="4">
        <f>IFERROR(GW259/'McDonough &amp; Sun 1995 values'!H$2,)</f>
        <v>0</v>
      </c>
      <c r="HZ259" s="4">
        <f>IFERROR(GX259/'McDonough &amp; Sun 1995 values'!I$2,)</f>
        <v>0</v>
      </c>
      <c r="IA259" s="4">
        <f>IFERROR(GY259/'McDonough &amp; Sun 1995 values'!J$2,)</f>
        <v>0</v>
      </c>
      <c r="IB259" s="4">
        <f>IFERROR(GZ259/'McDonough &amp; Sun 1995 values'!K$2,)</f>
        <v>0</v>
      </c>
      <c r="IC259" s="4">
        <f>IFERROR(HA259/'McDonough &amp; Sun 1995 values'!L$2,)</f>
        <v>0</v>
      </c>
      <c r="ID259" s="4">
        <f>IFERROR(HB259/'McDonough &amp; Sun 1995 values'!M$2,)</f>
        <v>0</v>
      </c>
      <c r="IE259" s="4">
        <f>IFERROR(HC259/'McDonough &amp; Sun 1995 values'!N$2,)</f>
        <v>0</v>
      </c>
      <c r="IF259" s="4">
        <f>IFERROR(HD259/'McDonough &amp; Sun 1995 values'!O$2,)</f>
        <v>0</v>
      </c>
      <c r="IG259" s="4">
        <f>IFERROR(HE259/'McDonough &amp; Sun 1995 values'!P$2,)</f>
        <v>0</v>
      </c>
      <c r="IH259" s="4">
        <f>IFERROR(HF259/'McDonough &amp; Sun 1995 values'!Q$2,)</f>
        <v>0</v>
      </c>
      <c r="II259" s="4">
        <f>IFERROR(HG259/'McDonough &amp; Sun 1995 values'!R$2,)</f>
        <v>0</v>
      </c>
      <c r="IJ259" s="4">
        <f>IFERROR(HH259/'McDonough &amp; Sun 1995 values'!S$2,)</f>
        <v>0</v>
      </c>
      <c r="IK259" s="4">
        <f>IFERROR(HI259/'McDonough &amp; Sun 1995 values'!T$2,)</f>
        <v>0</v>
      </c>
      <c r="IL259" s="4">
        <f>IFERROR(HJ259/'McDonough &amp; Sun 1995 values'!U$2,)</f>
        <v>0</v>
      </c>
      <c r="IM259" s="4">
        <f>IFERROR(HK259/'McDonough &amp; Sun 1995 values'!V$2,)</f>
        <v>0</v>
      </c>
      <c r="IN259" s="4">
        <f>IFERROR(HL259/'McDonough &amp; Sun 1995 values'!W$2,)</f>
        <v>0</v>
      </c>
      <c r="IO259" s="4">
        <f>IFERROR(HM259/'McDonough &amp; Sun 1995 values'!X$2,)</f>
        <v>0</v>
      </c>
      <c r="IP259" s="4">
        <f>IFERROR(HN259/'McDonough &amp; Sun 1995 values'!Y$2,)</f>
        <v>0</v>
      </c>
      <c r="IQ259" s="4">
        <f>IFERROR(HO259/'McDonough &amp; Sun 1995 values'!Z$2,)</f>
        <v>0</v>
      </c>
      <c r="IR259" s="4">
        <f>IFERROR(HP259/'McDonough &amp; Sun 1995 values'!AA$2,)</f>
        <v>0</v>
      </c>
      <c r="IS259" s="4">
        <f>IFERROR(HQ259/'McDonough &amp; Sun 1995 values'!AB$2,)</f>
        <v>0</v>
      </c>
      <c r="IT259" s="4">
        <f>IFERROR(HR259/'McDonough &amp; Sun 1995 values'!AC$2,)</f>
        <v>0</v>
      </c>
    </row>
    <row r="260" spans="1:254">
      <c r="A260" s="16" t="s">
        <v>838</v>
      </c>
      <c r="B260" s="16" t="s">
        <v>24</v>
      </c>
      <c r="C260" s="16" t="str">
        <f t="shared" si="617"/>
        <v>silicic - low-Mg carbonatitic</v>
      </c>
      <c r="D260" s="16" t="s">
        <v>1719</v>
      </c>
      <c r="E260" s="16" t="s">
        <v>388</v>
      </c>
      <c r="F260" s="16" t="s">
        <v>342</v>
      </c>
      <c r="G260" s="16" t="s">
        <v>829</v>
      </c>
      <c r="H260" s="27">
        <v>0</v>
      </c>
      <c r="I260" s="16" t="s">
        <v>735</v>
      </c>
      <c r="J260" s="16">
        <v>0</v>
      </c>
      <c r="K260" s="16" t="s">
        <v>903</v>
      </c>
      <c r="L260" s="16">
        <v>0</v>
      </c>
      <c r="M260" s="16">
        <v>29</v>
      </c>
      <c r="N260" s="16">
        <v>37</v>
      </c>
      <c r="O260" s="26">
        <v>38.07</v>
      </c>
      <c r="P260" s="26">
        <v>1.84</v>
      </c>
      <c r="Q260" s="26"/>
      <c r="R260" s="26">
        <v>5.14</v>
      </c>
      <c r="S260" s="26">
        <v>12.68</v>
      </c>
      <c r="T260" s="26">
        <v>6.93</v>
      </c>
      <c r="U260" s="26"/>
      <c r="V260" s="26">
        <v>11.64</v>
      </c>
      <c r="W260" s="26">
        <v>5.6</v>
      </c>
      <c r="X260" s="26">
        <v>6.82</v>
      </c>
      <c r="Y260" s="26"/>
      <c r="Z260" s="26">
        <v>7.26</v>
      </c>
      <c r="AA260" s="26">
        <v>0.44</v>
      </c>
      <c r="AB260" s="26">
        <v>1.23</v>
      </c>
      <c r="AC260" s="26"/>
      <c r="AD260" s="26">
        <v>2</v>
      </c>
      <c r="AE260" s="26"/>
      <c r="AF260" s="26">
        <v>0.34</v>
      </c>
      <c r="AG260" s="26"/>
      <c r="AH260" s="26"/>
      <c r="AI260" s="26">
        <v>6.28</v>
      </c>
      <c r="AJ260" s="26">
        <f t="shared" si="618"/>
        <v>99.210000000000008</v>
      </c>
      <c r="AK260" s="26">
        <f t="shared" si="603"/>
        <v>38.548518142487801</v>
      </c>
      <c r="AL260" s="26">
        <f t="shared" si="604"/>
        <v>1.863127748415486</v>
      </c>
      <c r="AM260" s="26">
        <f t="shared" si="605"/>
        <v>5.2046068624215192</v>
      </c>
      <c r="AN260" s="26">
        <f t="shared" si="606"/>
        <v>12.839380353211064</v>
      </c>
      <c r="AO260" s="26">
        <f t="shared" si="607"/>
        <v>7.0171061394126708</v>
      </c>
      <c r="AP260" s="26">
        <f t="shared" si="608"/>
        <v>11.786308147584922</v>
      </c>
      <c r="AQ260" s="26">
        <f t="shared" si="609"/>
        <v>1.2454603970386127</v>
      </c>
      <c r="AR260" s="26">
        <f t="shared" si="610"/>
        <v>5.6703887995253908</v>
      </c>
      <c r="AS260" s="26">
        <f t="shared" si="611"/>
        <v>6.9057235022791374</v>
      </c>
      <c r="AT260" s="26">
        <f t="shared" si="612"/>
        <v>7.3512540508132744</v>
      </c>
      <c r="AU260" s="26">
        <f t="shared" si="613"/>
        <v>2.0251388569733542</v>
      </c>
      <c r="AV260" s="26">
        <f t="shared" si="619"/>
        <v>100.45701300016323</v>
      </c>
      <c r="AW260" s="16"/>
      <c r="AX260" s="16"/>
      <c r="AY260" s="16"/>
      <c r="AZ260" s="16"/>
      <c r="BA260" s="26"/>
      <c r="BB260" s="26">
        <v>0.76</v>
      </c>
      <c r="BC260" s="26">
        <f t="shared" si="615"/>
        <v>0.76</v>
      </c>
      <c r="BD260" s="26">
        <f t="shared" si="616"/>
        <v>0.24</v>
      </c>
      <c r="BE260" s="16"/>
      <c r="BF260" s="16"/>
      <c r="BG260" s="16"/>
      <c r="BH260" s="16"/>
      <c r="BI260" s="16"/>
      <c r="BJ260" s="16"/>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c r="DS260" s="18"/>
      <c r="DT260" s="18"/>
      <c r="DU260" s="18"/>
      <c r="DV260" s="28"/>
      <c r="DW260" s="28"/>
      <c r="DX260" s="28"/>
      <c r="DY260" s="28"/>
      <c r="DZ260" s="28"/>
      <c r="EA260" s="28"/>
      <c r="EB260" s="28"/>
      <c r="EC260" s="28"/>
      <c r="ED260" s="28"/>
      <c r="EE260" s="28"/>
      <c r="EF260" s="28"/>
      <c r="EG260" s="28"/>
      <c r="EH260" s="28"/>
      <c r="EI260" s="28"/>
      <c r="EJ260" s="18"/>
      <c r="EK260" s="18"/>
      <c r="EL260" s="18">
        <f>IFERROR(CR260/'McDonough &amp; Sun 1995 values'!C$2,)</f>
        <v>0</v>
      </c>
      <c r="EM260" s="18">
        <f>IFERROR(CH260/'McDonough &amp; Sun 1995 values'!D$2,)</f>
        <v>0</v>
      </c>
      <c r="EN260" s="18">
        <f>IFERROR(CS260/'McDonough &amp; Sun 1995 values'!E$2,)</f>
        <v>0</v>
      </c>
      <c r="EO260" s="18">
        <f>IFERROR(DL260/'McDonough &amp; Sun 1995 values'!F$2,)</f>
        <v>0</v>
      </c>
      <c r="EP260" s="18">
        <f>IFERROR(DM260/'McDonough &amp; Sun 1995 values'!G$2,)</f>
        <v>0</v>
      </c>
      <c r="EQ260" s="18">
        <f>IFERROR(BR260/'McDonough &amp; Sun 1995 values'!H$2,)</f>
        <v>0</v>
      </c>
      <c r="ER260" s="18">
        <f>IFERROR(DI260/'McDonough &amp; Sun 1995 values'!I$2,)</f>
        <v>0</v>
      </c>
      <c r="ES260" s="18">
        <f>IFERROR(CM260/'McDonough &amp; Sun 1995 values'!J$2,)</f>
        <v>0</v>
      </c>
      <c r="ET260" s="18">
        <f>IFERROR(CU260/'McDonough &amp; Sun 1995 values'!K$2,)</f>
        <v>0</v>
      </c>
      <c r="EU260" s="18">
        <f>IFERROR(CV260/'McDonough &amp; Sun 1995 values'!L$2,)</f>
        <v>0</v>
      </c>
      <c r="EV260" s="18">
        <f>IFERROR(CW260/'McDonough &amp; Sun 1995 values'!M$2,)</f>
        <v>0</v>
      </c>
      <c r="EW260" s="18">
        <f>IFERROR(CI260/'McDonough &amp; Sun 1995 values'!N$2,)</f>
        <v>0</v>
      </c>
      <c r="EX260" s="18">
        <f>IFERROR(CX260/'McDonough &amp; Sun 1995 values'!O$2,)</f>
        <v>0</v>
      </c>
      <c r="EY260" s="18">
        <f>IFERROR(CY260/'McDonough &amp; Sun 1995 values'!P$2,)</f>
        <v>0</v>
      </c>
      <c r="EZ260" s="18">
        <f>IFERROR(DH260/'McDonough &amp; Sun 1995 values'!Q$2,)</f>
        <v>0</v>
      </c>
      <c r="FA260" s="18">
        <f>IFERROR(CK260/'McDonough &amp; Sun 1995 values'!R$2,)</f>
        <v>0</v>
      </c>
      <c r="FB260" s="18">
        <f>IFERROR(CZ260/'McDonough &amp; Sun 1995 values'!S$2,)</f>
        <v>0</v>
      </c>
      <c r="FC260" s="18">
        <f>IFERROR(BT260/'McDonough &amp; Sun 1995 values'!T$2,)</f>
        <v>0</v>
      </c>
      <c r="FD260" s="18">
        <f>IFERROR(DA260/'McDonough &amp; Sun 1995 values'!U$2,)</f>
        <v>0</v>
      </c>
      <c r="FE260" s="18">
        <f>IFERROR(DN260/'McDonough &amp; Sun 1995 values'!V$2,)</f>
        <v>0</v>
      </c>
      <c r="FF260" s="18">
        <f>IFERROR(DB260/'McDonough &amp; Sun 1995 values'!W$2,)</f>
        <v>0</v>
      </c>
      <c r="FG260" s="18">
        <f>IFERROR(CJ260/'McDonough &amp; Sun 1995 values'!X$2,)</f>
        <v>0</v>
      </c>
      <c r="FH260" s="18">
        <f>IFERROR(DC260/'McDonough &amp; Sun 1995 values'!Y$2,)</f>
        <v>0</v>
      </c>
      <c r="FI260" s="18">
        <f>IFERROR(DD260/'McDonough &amp; Sun 1995 values'!Z$2,)</f>
        <v>0</v>
      </c>
      <c r="FJ260" s="18">
        <f>IFERROR(DE260/'McDonough &amp; Sun 1995 values'!AA$2,)</f>
        <v>0</v>
      </c>
      <c r="FK260" s="18">
        <f>IFERROR(DF260/'McDonough &amp; Sun 1995 values'!AB$2,)</f>
        <v>0</v>
      </c>
      <c r="FL260" s="18">
        <f>IFERROR(DG260/'McDonough &amp; Sun 1995 values'!AC$2,)</f>
        <v>0</v>
      </c>
      <c r="FN260" s="28">
        <f t="shared" si="614"/>
        <v>0</v>
      </c>
      <c r="FO260" s="4">
        <f t="shared" si="547"/>
        <v>0</v>
      </c>
      <c r="FP260" s="4">
        <f t="shared" si="548"/>
        <v>0</v>
      </c>
      <c r="FQ260" s="4">
        <f t="shared" si="549"/>
        <v>0</v>
      </c>
      <c r="FR260" s="4">
        <f t="shared" si="550"/>
        <v>0</v>
      </c>
      <c r="FS260" s="4">
        <f t="shared" si="551"/>
        <v>0</v>
      </c>
      <c r="FT260" s="4">
        <f t="shared" si="552"/>
        <v>0</v>
      </c>
      <c r="FU260" s="4">
        <f t="shared" si="553"/>
        <v>0</v>
      </c>
      <c r="FV260" s="4">
        <f t="shared" si="554"/>
        <v>0</v>
      </c>
      <c r="FW260" s="4">
        <f t="shared" si="555"/>
        <v>0</v>
      </c>
      <c r="FX260" s="4">
        <f t="shared" si="556"/>
        <v>0</v>
      </c>
      <c r="FY260" s="4">
        <f t="shared" si="557"/>
        <v>0</v>
      </c>
      <c r="FZ260" s="4">
        <f t="shared" si="558"/>
        <v>0</v>
      </c>
      <c r="GA260" s="4">
        <f t="shared" si="559"/>
        <v>0</v>
      </c>
      <c r="GB260" s="4">
        <f t="shared" si="560"/>
        <v>0</v>
      </c>
      <c r="GC260" s="4">
        <f t="shared" si="561"/>
        <v>0</v>
      </c>
      <c r="GD260" s="4">
        <f t="shared" si="562"/>
        <v>0</v>
      </c>
      <c r="GE260" s="4">
        <f t="shared" si="563"/>
        <v>0</v>
      </c>
      <c r="GF260" s="4">
        <f t="shared" si="564"/>
        <v>0</v>
      </c>
      <c r="GG260" s="4">
        <f t="shared" si="565"/>
        <v>0</v>
      </c>
      <c r="GH260" s="4">
        <f t="shared" si="566"/>
        <v>0</v>
      </c>
      <c r="GI260" s="4">
        <f t="shared" si="567"/>
        <v>0</v>
      </c>
      <c r="GJ260" s="4">
        <f t="shared" si="568"/>
        <v>0</v>
      </c>
      <c r="GK260" s="4">
        <f t="shared" si="569"/>
        <v>0</v>
      </c>
      <c r="GL260" s="4">
        <f t="shared" si="570"/>
        <v>0</v>
      </c>
      <c r="GM260" s="4">
        <f t="shared" si="571"/>
        <v>0</v>
      </c>
      <c r="GN260" s="4">
        <f t="shared" si="572"/>
        <v>0</v>
      </c>
      <c r="GO260" s="4">
        <f t="shared" si="573"/>
        <v>0</v>
      </c>
      <c r="GP260" s="4">
        <f t="shared" si="574"/>
        <v>0</v>
      </c>
      <c r="GQ260" s="27">
        <f t="shared" si="575"/>
        <v>57326.986952558793</v>
      </c>
      <c r="GR260" s="28" t="str">
        <f t="shared" si="576"/>
        <v/>
      </c>
      <c r="GS260" s="28" t="str">
        <f t="shared" si="577"/>
        <v/>
      </c>
      <c r="GT260" s="28" t="str">
        <f t="shared" si="578"/>
        <v/>
      </c>
      <c r="GU260" s="28" t="str">
        <f t="shared" si="579"/>
        <v/>
      </c>
      <c r="GV260" s="28" t="str">
        <f t="shared" si="580"/>
        <v/>
      </c>
      <c r="GW260" s="28" t="str">
        <f t="shared" si="581"/>
        <v/>
      </c>
      <c r="GX260" s="28" t="str">
        <f t="shared" si="582"/>
        <v/>
      </c>
      <c r="GY260" s="28" t="str">
        <f t="shared" si="583"/>
        <v/>
      </c>
      <c r="GZ260" s="28" t="str">
        <f t="shared" si="584"/>
        <v/>
      </c>
      <c r="HA260" s="28" t="str">
        <f t="shared" si="585"/>
        <v/>
      </c>
      <c r="HB260" s="28" t="str">
        <f t="shared" si="586"/>
        <v/>
      </c>
      <c r="HC260" s="28" t="str">
        <f t="shared" si="587"/>
        <v/>
      </c>
      <c r="HD260" s="28" t="str">
        <f t="shared" si="588"/>
        <v/>
      </c>
      <c r="HE260" s="28" t="str">
        <f t="shared" si="589"/>
        <v/>
      </c>
      <c r="HF260" s="28" t="str">
        <f t="shared" si="590"/>
        <v/>
      </c>
      <c r="HG260" s="28" t="str">
        <f t="shared" si="591"/>
        <v/>
      </c>
      <c r="HH260" s="28" t="str">
        <f t="shared" si="592"/>
        <v/>
      </c>
      <c r="HI260" s="28" t="str">
        <f t="shared" si="593"/>
        <v/>
      </c>
      <c r="HJ260" s="28" t="str">
        <f t="shared" si="594"/>
        <v/>
      </c>
      <c r="HK260" s="28" t="str">
        <f t="shared" si="595"/>
        <v/>
      </c>
      <c r="HL260" s="28" t="str">
        <f t="shared" si="596"/>
        <v/>
      </c>
      <c r="HM260" s="28" t="str">
        <f t="shared" si="597"/>
        <v/>
      </c>
      <c r="HN260" s="28" t="str">
        <f t="shared" si="598"/>
        <v/>
      </c>
      <c r="HO260" s="28" t="str">
        <f t="shared" si="599"/>
        <v/>
      </c>
      <c r="HP260" s="28" t="str">
        <f t="shared" si="600"/>
        <v/>
      </c>
      <c r="HQ260" s="28" t="str">
        <f t="shared" si="601"/>
        <v/>
      </c>
      <c r="HR260" s="28" t="str">
        <f t="shared" si="602"/>
        <v/>
      </c>
      <c r="HT260" s="4">
        <f>IFERROR(GR260/'McDonough &amp; Sun 1995 values'!C$2,)</f>
        <v>0</v>
      </c>
      <c r="HU260" s="4">
        <f>IFERROR(GS260/'McDonough &amp; Sun 1995 values'!D$2,)</f>
        <v>0</v>
      </c>
      <c r="HV260" s="4">
        <f>IFERROR(GT260/'McDonough &amp; Sun 1995 values'!E$2,)</f>
        <v>0</v>
      </c>
      <c r="HW260" s="4">
        <f>IFERROR(GU260/'McDonough &amp; Sun 1995 values'!F$2,)</f>
        <v>0</v>
      </c>
      <c r="HX260" s="4">
        <f>IFERROR(GV260/'McDonough &amp; Sun 1995 values'!G$2,)</f>
        <v>0</v>
      </c>
      <c r="HY260" s="4">
        <f>IFERROR(GW260/'McDonough &amp; Sun 1995 values'!H$2,)</f>
        <v>0</v>
      </c>
      <c r="HZ260" s="4">
        <f>IFERROR(GX260/'McDonough &amp; Sun 1995 values'!I$2,)</f>
        <v>0</v>
      </c>
      <c r="IA260" s="4">
        <f>IFERROR(GY260/'McDonough &amp; Sun 1995 values'!J$2,)</f>
        <v>0</v>
      </c>
      <c r="IB260" s="4">
        <f>IFERROR(GZ260/'McDonough &amp; Sun 1995 values'!K$2,)</f>
        <v>0</v>
      </c>
      <c r="IC260" s="4">
        <f>IFERROR(HA260/'McDonough &amp; Sun 1995 values'!L$2,)</f>
        <v>0</v>
      </c>
      <c r="ID260" s="4">
        <f>IFERROR(HB260/'McDonough &amp; Sun 1995 values'!M$2,)</f>
        <v>0</v>
      </c>
      <c r="IE260" s="4">
        <f>IFERROR(HC260/'McDonough &amp; Sun 1995 values'!N$2,)</f>
        <v>0</v>
      </c>
      <c r="IF260" s="4">
        <f>IFERROR(HD260/'McDonough &amp; Sun 1995 values'!O$2,)</f>
        <v>0</v>
      </c>
      <c r="IG260" s="4">
        <f>IFERROR(HE260/'McDonough &amp; Sun 1995 values'!P$2,)</f>
        <v>0</v>
      </c>
      <c r="IH260" s="4">
        <f>IFERROR(HF260/'McDonough &amp; Sun 1995 values'!Q$2,)</f>
        <v>0</v>
      </c>
      <c r="II260" s="4">
        <f>IFERROR(HG260/'McDonough &amp; Sun 1995 values'!R$2,)</f>
        <v>0</v>
      </c>
      <c r="IJ260" s="4">
        <f>IFERROR(HH260/'McDonough &amp; Sun 1995 values'!S$2,)</f>
        <v>0</v>
      </c>
      <c r="IK260" s="4">
        <f>IFERROR(HI260/'McDonough &amp; Sun 1995 values'!T$2,)</f>
        <v>0</v>
      </c>
      <c r="IL260" s="4">
        <f>IFERROR(HJ260/'McDonough &amp; Sun 1995 values'!U$2,)</f>
        <v>0</v>
      </c>
      <c r="IM260" s="4">
        <f>IFERROR(HK260/'McDonough &amp; Sun 1995 values'!V$2,)</f>
        <v>0</v>
      </c>
      <c r="IN260" s="4">
        <f>IFERROR(HL260/'McDonough &amp; Sun 1995 values'!W$2,)</f>
        <v>0</v>
      </c>
      <c r="IO260" s="4">
        <f>IFERROR(HM260/'McDonough &amp; Sun 1995 values'!X$2,)</f>
        <v>0</v>
      </c>
      <c r="IP260" s="4">
        <f>IFERROR(HN260/'McDonough &amp; Sun 1995 values'!Y$2,)</f>
        <v>0</v>
      </c>
      <c r="IQ260" s="4">
        <f>IFERROR(HO260/'McDonough &amp; Sun 1995 values'!Z$2,)</f>
        <v>0</v>
      </c>
      <c r="IR260" s="4">
        <f>IFERROR(HP260/'McDonough &amp; Sun 1995 values'!AA$2,)</f>
        <v>0</v>
      </c>
      <c r="IS260" s="4">
        <f>IFERROR(HQ260/'McDonough &amp; Sun 1995 values'!AB$2,)</f>
        <v>0</v>
      </c>
      <c r="IT260" s="4">
        <f>IFERROR(HR260/'McDonough &amp; Sun 1995 values'!AC$2,)</f>
        <v>0</v>
      </c>
    </row>
    <row r="261" spans="1:254">
      <c r="A261" s="16" t="s">
        <v>838</v>
      </c>
      <c r="B261" s="16" t="s">
        <v>24</v>
      </c>
      <c r="C261" s="16" t="str">
        <f t="shared" si="617"/>
        <v>silicic - low-Mg carbonatitic</v>
      </c>
      <c r="D261" s="16" t="s">
        <v>1719</v>
      </c>
      <c r="E261" s="16" t="s">
        <v>388</v>
      </c>
      <c r="F261" s="16" t="s">
        <v>342</v>
      </c>
      <c r="G261" s="16" t="s">
        <v>829</v>
      </c>
      <c r="H261" s="27">
        <v>0</v>
      </c>
      <c r="I261" s="16" t="s">
        <v>735</v>
      </c>
      <c r="J261" s="16">
        <v>0</v>
      </c>
      <c r="K261" s="16" t="s">
        <v>903</v>
      </c>
      <c r="L261" s="16">
        <v>0</v>
      </c>
      <c r="M261" s="16">
        <v>75</v>
      </c>
      <c r="N261" s="16">
        <v>47</v>
      </c>
      <c r="O261" s="26">
        <v>26.91</v>
      </c>
      <c r="P261" s="26">
        <v>3.15</v>
      </c>
      <c r="Q261" s="26"/>
      <c r="R261" s="26">
        <v>2.9</v>
      </c>
      <c r="S261" s="26">
        <v>11.58</v>
      </c>
      <c r="T261" s="26">
        <v>10.48</v>
      </c>
      <c r="U261" s="26"/>
      <c r="V261" s="26">
        <v>12.87</v>
      </c>
      <c r="W261" s="26">
        <v>3.36</v>
      </c>
      <c r="X261" s="26">
        <v>20.63</v>
      </c>
      <c r="Y261" s="26"/>
      <c r="Z261" s="26">
        <v>2.46</v>
      </c>
      <c r="AA261" s="26">
        <v>2.09</v>
      </c>
      <c r="AB261" s="26">
        <v>1.51</v>
      </c>
      <c r="AC261" s="26"/>
      <c r="AD261" s="26">
        <v>1.1100000000000001</v>
      </c>
      <c r="AE261" s="26"/>
      <c r="AF261" s="26">
        <v>0.95</v>
      </c>
      <c r="AG261" s="26"/>
      <c r="AH261" s="26"/>
      <c r="AI261" s="26">
        <v>3.68</v>
      </c>
      <c r="AJ261" s="26">
        <f t="shared" si="618"/>
        <v>96.96</v>
      </c>
      <c r="AK261" s="26">
        <f t="shared" si="603"/>
        <v>27.825599588373656</v>
      </c>
      <c r="AL261" s="26">
        <f t="shared" si="604"/>
        <v>3.2571772093413975</v>
      </c>
      <c r="AM261" s="26">
        <f t="shared" si="605"/>
        <v>2.9986710816158899</v>
      </c>
      <c r="AN261" s="26">
        <f t="shared" si="606"/>
        <v>11.974003836245521</v>
      </c>
      <c r="AO261" s="26">
        <f t="shared" si="607"/>
        <v>10.836576874253286</v>
      </c>
      <c r="AP261" s="26">
        <f t="shared" si="608"/>
        <v>13.30789545530914</v>
      </c>
      <c r="AQ261" s="26">
        <f t="shared" si="609"/>
        <v>1.5613770114620669</v>
      </c>
      <c r="AR261" s="26">
        <f t="shared" si="610"/>
        <v>3.4743223566308239</v>
      </c>
      <c r="AS261" s="26">
        <f t="shared" si="611"/>
        <v>21.331925659908901</v>
      </c>
      <c r="AT261" s="26">
        <f t="shared" si="612"/>
        <v>2.5437002968189968</v>
      </c>
      <c r="AU261" s="26">
        <f t="shared" si="613"/>
        <v>1.1477672071012546</v>
      </c>
      <c r="AV261" s="26">
        <f t="shared" si="619"/>
        <v>100.25901657706093</v>
      </c>
      <c r="AW261" s="16"/>
      <c r="AX261" s="16"/>
      <c r="AY261" s="16"/>
      <c r="AZ261" s="16"/>
      <c r="BA261" s="26"/>
      <c r="BB261" s="26">
        <v>0.54</v>
      </c>
      <c r="BC261" s="26">
        <f t="shared" si="615"/>
        <v>0.54</v>
      </c>
      <c r="BD261" s="26">
        <f t="shared" si="616"/>
        <v>0.45999999999999996</v>
      </c>
      <c r="BE261" s="16"/>
      <c r="BF261" s="16"/>
      <c r="BG261" s="16"/>
      <c r="BH261" s="16"/>
      <c r="BI261" s="16"/>
      <c r="BJ261" s="16"/>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28"/>
      <c r="DW261" s="28"/>
      <c r="DX261" s="28"/>
      <c r="DY261" s="28"/>
      <c r="DZ261" s="28"/>
      <c r="EA261" s="28"/>
      <c r="EB261" s="28"/>
      <c r="EC261" s="28"/>
      <c r="ED261" s="28"/>
      <c r="EE261" s="28"/>
      <c r="EF261" s="28"/>
      <c r="EG261" s="28"/>
      <c r="EH261" s="28"/>
      <c r="EI261" s="28"/>
      <c r="EJ261" s="18"/>
      <c r="EK261" s="18"/>
      <c r="EL261" s="18">
        <f>IFERROR(CR261/'McDonough &amp; Sun 1995 values'!C$2,)</f>
        <v>0</v>
      </c>
      <c r="EM261" s="18">
        <f>IFERROR(CH261/'McDonough &amp; Sun 1995 values'!D$2,)</f>
        <v>0</v>
      </c>
      <c r="EN261" s="18">
        <f>IFERROR(CS261/'McDonough &amp; Sun 1995 values'!E$2,)</f>
        <v>0</v>
      </c>
      <c r="EO261" s="18">
        <f>IFERROR(DL261/'McDonough &amp; Sun 1995 values'!F$2,)</f>
        <v>0</v>
      </c>
      <c r="EP261" s="18">
        <f>IFERROR(DM261/'McDonough &amp; Sun 1995 values'!G$2,)</f>
        <v>0</v>
      </c>
      <c r="EQ261" s="18">
        <f>IFERROR(BR261/'McDonough &amp; Sun 1995 values'!H$2,)</f>
        <v>0</v>
      </c>
      <c r="ER261" s="18">
        <f>IFERROR(DI261/'McDonough &amp; Sun 1995 values'!I$2,)</f>
        <v>0</v>
      </c>
      <c r="ES261" s="18">
        <f>IFERROR(CM261/'McDonough &amp; Sun 1995 values'!J$2,)</f>
        <v>0</v>
      </c>
      <c r="ET261" s="18">
        <f>IFERROR(CU261/'McDonough &amp; Sun 1995 values'!K$2,)</f>
        <v>0</v>
      </c>
      <c r="EU261" s="18">
        <f>IFERROR(CV261/'McDonough &amp; Sun 1995 values'!L$2,)</f>
        <v>0</v>
      </c>
      <c r="EV261" s="18">
        <f>IFERROR(CW261/'McDonough &amp; Sun 1995 values'!M$2,)</f>
        <v>0</v>
      </c>
      <c r="EW261" s="18">
        <f>IFERROR(CI261/'McDonough &amp; Sun 1995 values'!N$2,)</f>
        <v>0</v>
      </c>
      <c r="EX261" s="18">
        <f>IFERROR(CX261/'McDonough &amp; Sun 1995 values'!O$2,)</f>
        <v>0</v>
      </c>
      <c r="EY261" s="18">
        <f>IFERROR(CY261/'McDonough &amp; Sun 1995 values'!P$2,)</f>
        <v>0</v>
      </c>
      <c r="EZ261" s="18">
        <f>IFERROR(DH261/'McDonough &amp; Sun 1995 values'!Q$2,)</f>
        <v>0</v>
      </c>
      <c r="FA261" s="18">
        <f>IFERROR(CK261/'McDonough &amp; Sun 1995 values'!R$2,)</f>
        <v>0</v>
      </c>
      <c r="FB261" s="18">
        <f>IFERROR(CZ261/'McDonough &amp; Sun 1995 values'!S$2,)</f>
        <v>0</v>
      </c>
      <c r="FC261" s="18">
        <f>IFERROR(BT261/'McDonough &amp; Sun 1995 values'!T$2,)</f>
        <v>0</v>
      </c>
      <c r="FD261" s="18">
        <f>IFERROR(DA261/'McDonough &amp; Sun 1995 values'!U$2,)</f>
        <v>0</v>
      </c>
      <c r="FE261" s="18">
        <f>IFERROR(DN261/'McDonough &amp; Sun 1995 values'!V$2,)</f>
        <v>0</v>
      </c>
      <c r="FF261" s="18">
        <f>IFERROR(DB261/'McDonough &amp; Sun 1995 values'!W$2,)</f>
        <v>0</v>
      </c>
      <c r="FG261" s="18">
        <f>IFERROR(CJ261/'McDonough &amp; Sun 1995 values'!X$2,)</f>
        <v>0</v>
      </c>
      <c r="FH261" s="18">
        <f>IFERROR(DC261/'McDonough &amp; Sun 1995 values'!Y$2,)</f>
        <v>0</v>
      </c>
      <c r="FI261" s="18">
        <f>IFERROR(DD261/'McDonough &amp; Sun 1995 values'!Z$2,)</f>
        <v>0</v>
      </c>
      <c r="FJ261" s="18">
        <f>IFERROR(DE261/'McDonough &amp; Sun 1995 values'!AA$2,)</f>
        <v>0</v>
      </c>
      <c r="FK261" s="18">
        <f>IFERROR(DF261/'McDonough &amp; Sun 1995 values'!AB$2,)</f>
        <v>0</v>
      </c>
      <c r="FL261" s="18">
        <f>IFERROR(DG261/'McDonough &amp; Sun 1995 values'!AC$2,)</f>
        <v>0</v>
      </c>
      <c r="FN261" s="28">
        <f t="shared" si="614"/>
        <v>0</v>
      </c>
      <c r="FO261" s="4">
        <f t="shared" si="547"/>
        <v>0</v>
      </c>
      <c r="FP261" s="4">
        <f t="shared" si="548"/>
        <v>0</v>
      </c>
      <c r="FQ261" s="4">
        <f t="shared" si="549"/>
        <v>0</v>
      </c>
      <c r="FR261" s="4">
        <f t="shared" si="550"/>
        <v>0</v>
      </c>
      <c r="FS261" s="4">
        <f t="shared" si="551"/>
        <v>0</v>
      </c>
      <c r="FT261" s="4">
        <f t="shared" si="552"/>
        <v>0</v>
      </c>
      <c r="FU261" s="4">
        <f t="shared" si="553"/>
        <v>0</v>
      </c>
      <c r="FV261" s="4">
        <f t="shared" si="554"/>
        <v>0</v>
      </c>
      <c r="FW261" s="4">
        <f t="shared" si="555"/>
        <v>0</v>
      </c>
      <c r="FX261" s="4">
        <f t="shared" si="556"/>
        <v>0</v>
      </c>
      <c r="FY261" s="4">
        <f t="shared" si="557"/>
        <v>0</v>
      </c>
      <c r="FZ261" s="4">
        <f t="shared" si="558"/>
        <v>0</v>
      </c>
      <c r="GA261" s="4">
        <f t="shared" si="559"/>
        <v>0</v>
      </c>
      <c r="GB261" s="4">
        <f t="shared" si="560"/>
        <v>0</v>
      </c>
      <c r="GC261" s="4">
        <f t="shared" si="561"/>
        <v>0</v>
      </c>
      <c r="GD261" s="4">
        <f t="shared" si="562"/>
        <v>0</v>
      </c>
      <c r="GE261" s="4">
        <f t="shared" si="563"/>
        <v>0</v>
      </c>
      <c r="GF261" s="4">
        <f t="shared" si="564"/>
        <v>0</v>
      </c>
      <c r="GG261" s="4">
        <f t="shared" si="565"/>
        <v>0</v>
      </c>
      <c r="GH261" s="4">
        <f t="shared" si="566"/>
        <v>0</v>
      </c>
      <c r="GI261" s="4">
        <f t="shared" si="567"/>
        <v>0</v>
      </c>
      <c r="GJ261" s="4">
        <f t="shared" si="568"/>
        <v>0</v>
      </c>
      <c r="GK261" s="4">
        <f t="shared" si="569"/>
        <v>0</v>
      </c>
      <c r="GL261" s="4">
        <f t="shared" si="570"/>
        <v>0</v>
      </c>
      <c r="GM261" s="4">
        <f t="shared" si="571"/>
        <v>0</v>
      </c>
      <c r="GN261" s="4">
        <f t="shared" si="572"/>
        <v>0</v>
      </c>
      <c r="GO261" s="4">
        <f t="shared" si="573"/>
        <v>0</v>
      </c>
      <c r="GP261" s="4">
        <f t="shared" si="574"/>
        <v>0</v>
      </c>
      <c r="GQ261" s="27">
        <f t="shared" si="575"/>
        <v>177084.27271595108</v>
      </c>
      <c r="GR261" s="28" t="str">
        <f t="shared" si="576"/>
        <v/>
      </c>
      <c r="GS261" s="28" t="str">
        <f t="shared" si="577"/>
        <v/>
      </c>
      <c r="GT261" s="28" t="str">
        <f t="shared" si="578"/>
        <v/>
      </c>
      <c r="GU261" s="28" t="str">
        <f t="shared" si="579"/>
        <v/>
      </c>
      <c r="GV261" s="28" t="str">
        <f t="shared" si="580"/>
        <v/>
      </c>
      <c r="GW261" s="28" t="str">
        <f t="shared" si="581"/>
        <v/>
      </c>
      <c r="GX261" s="28" t="str">
        <f t="shared" si="582"/>
        <v/>
      </c>
      <c r="GY261" s="28" t="str">
        <f t="shared" si="583"/>
        <v/>
      </c>
      <c r="GZ261" s="28" t="str">
        <f t="shared" si="584"/>
        <v/>
      </c>
      <c r="HA261" s="28" t="str">
        <f t="shared" si="585"/>
        <v/>
      </c>
      <c r="HB261" s="28" t="str">
        <f t="shared" si="586"/>
        <v/>
      </c>
      <c r="HC261" s="28" t="str">
        <f t="shared" si="587"/>
        <v/>
      </c>
      <c r="HD261" s="28" t="str">
        <f t="shared" si="588"/>
        <v/>
      </c>
      <c r="HE261" s="28" t="str">
        <f t="shared" si="589"/>
        <v/>
      </c>
      <c r="HF261" s="28" t="str">
        <f t="shared" si="590"/>
        <v/>
      </c>
      <c r="HG261" s="28" t="str">
        <f t="shared" si="591"/>
        <v/>
      </c>
      <c r="HH261" s="28" t="str">
        <f t="shared" si="592"/>
        <v/>
      </c>
      <c r="HI261" s="28" t="str">
        <f t="shared" si="593"/>
        <v/>
      </c>
      <c r="HJ261" s="28" t="str">
        <f t="shared" si="594"/>
        <v/>
      </c>
      <c r="HK261" s="28" t="str">
        <f t="shared" si="595"/>
        <v/>
      </c>
      <c r="HL261" s="28" t="str">
        <f t="shared" si="596"/>
        <v/>
      </c>
      <c r="HM261" s="28" t="str">
        <f t="shared" si="597"/>
        <v/>
      </c>
      <c r="HN261" s="28" t="str">
        <f t="shared" si="598"/>
        <v/>
      </c>
      <c r="HO261" s="28" t="str">
        <f t="shared" si="599"/>
        <v/>
      </c>
      <c r="HP261" s="28" t="str">
        <f t="shared" si="600"/>
        <v/>
      </c>
      <c r="HQ261" s="28" t="str">
        <f t="shared" si="601"/>
        <v/>
      </c>
      <c r="HR261" s="28" t="str">
        <f t="shared" si="602"/>
        <v/>
      </c>
      <c r="HT261" s="4">
        <f>IFERROR(GR261/'McDonough &amp; Sun 1995 values'!C$2,)</f>
        <v>0</v>
      </c>
      <c r="HU261" s="4">
        <f>IFERROR(GS261/'McDonough &amp; Sun 1995 values'!D$2,)</f>
        <v>0</v>
      </c>
      <c r="HV261" s="4">
        <f>IFERROR(GT261/'McDonough &amp; Sun 1995 values'!E$2,)</f>
        <v>0</v>
      </c>
      <c r="HW261" s="4">
        <f>IFERROR(GU261/'McDonough &amp; Sun 1995 values'!F$2,)</f>
        <v>0</v>
      </c>
      <c r="HX261" s="4">
        <f>IFERROR(GV261/'McDonough &amp; Sun 1995 values'!G$2,)</f>
        <v>0</v>
      </c>
      <c r="HY261" s="4">
        <f>IFERROR(GW261/'McDonough &amp; Sun 1995 values'!H$2,)</f>
        <v>0</v>
      </c>
      <c r="HZ261" s="4">
        <f>IFERROR(GX261/'McDonough &amp; Sun 1995 values'!I$2,)</f>
        <v>0</v>
      </c>
      <c r="IA261" s="4">
        <f>IFERROR(GY261/'McDonough &amp; Sun 1995 values'!J$2,)</f>
        <v>0</v>
      </c>
      <c r="IB261" s="4">
        <f>IFERROR(GZ261/'McDonough &amp; Sun 1995 values'!K$2,)</f>
        <v>0</v>
      </c>
      <c r="IC261" s="4">
        <f>IFERROR(HA261/'McDonough &amp; Sun 1995 values'!L$2,)</f>
        <v>0</v>
      </c>
      <c r="ID261" s="4">
        <f>IFERROR(HB261/'McDonough &amp; Sun 1995 values'!M$2,)</f>
        <v>0</v>
      </c>
      <c r="IE261" s="4">
        <f>IFERROR(HC261/'McDonough &amp; Sun 1995 values'!N$2,)</f>
        <v>0</v>
      </c>
      <c r="IF261" s="4">
        <f>IFERROR(HD261/'McDonough &amp; Sun 1995 values'!O$2,)</f>
        <v>0</v>
      </c>
      <c r="IG261" s="4">
        <f>IFERROR(HE261/'McDonough &amp; Sun 1995 values'!P$2,)</f>
        <v>0</v>
      </c>
      <c r="IH261" s="4">
        <f>IFERROR(HF261/'McDonough &amp; Sun 1995 values'!Q$2,)</f>
        <v>0</v>
      </c>
      <c r="II261" s="4">
        <f>IFERROR(HG261/'McDonough &amp; Sun 1995 values'!R$2,)</f>
        <v>0</v>
      </c>
      <c r="IJ261" s="4">
        <f>IFERROR(HH261/'McDonough &amp; Sun 1995 values'!S$2,)</f>
        <v>0</v>
      </c>
      <c r="IK261" s="4">
        <f>IFERROR(HI261/'McDonough &amp; Sun 1995 values'!T$2,)</f>
        <v>0</v>
      </c>
      <c r="IL261" s="4">
        <f>IFERROR(HJ261/'McDonough &amp; Sun 1995 values'!U$2,)</f>
        <v>0</v>
      </c>
      <c r="IM261" s="4">
        <f>IFERROR(HK261/'McDonough &amp; Sun 1995 values'!V$2,)</f>
        <v>0</v>
      </c>
      <c r="IN261" s="4">
        <f>IFERROR(HL261/'McDonough &amp; Sun 1995 values'!W$2,)</f>
        <v>0</v>
      </c>
      <c r="IO261" s="4">
        <f>IFERROR(HM261/'McDonough &amp; Sun 1995 values'!X$2,)</f>
        <v>0</v>
      </c>
      <c r="IP261" s="4">
        <f>IFERROR(HN261/'McDonough &amp; Sun 1995 values'!Y$2,)</f>
        <v>0</v>
      </c>
      <c r="IQ261" s="4">
        <f>IFERROR(HO261/'McDonough &amp; Sun 1995 values'!Z$2,)</f>
        <v>0</v>
      </c>
      <c r="IR261" s="4">
        <f>IFERROR(HP261/'McDonough &amp; Sun 1995 values'!AA$2,)</f>
        <v>0</v>
      </c>
      <c r="IS261" s="4">
        <f>IFERROR(HQ261/'McDonough &amp; Sun 1995 values'!AB$2,)</f>
        <v>0</v>
      </c>
      <c r="IT261" s="4">
        <f>IFERROR(HR261/'McDonough &amp; Sun 1995 values'!AC$2,)</f>
        <v>0</v>
      </c>
    </row>
    <row r="262" spans="1:254">
      <c r="A262" s="16" t="s">
        <v>838</v>
      </c>
      <c r="B262" s="16" t="s">
        <v>24</v>
      </c>
      <c r="C262" s="16" t="str">
        <f t="shared" si="617"/>
        <v>silicic - low-Mg carbonatitic</v>
      </c>
      <c r="D262" s="16" t="s">
        <v>1719</v>
      </c>
      <c r="E262" s="16" t="s">
        <v>388</v>
      </c>
      <c r="F262" s="16" t="s">
        <v>342</v>
      </c>
      <c r="G262" s="16" t="s">
        <v>829</v>
      </c>
      <c r="H262" s="27">
        <v>0</v>
      </c>
      <c r="I262" s="16" t="s">
        <v>735</v>
      </c>
      <c r="J262" s="16">
        <v>0</v>
      </c>
      <c r="K262" s="16" t="s">
        <v>903</v>
      </c>
      <c r="L262" s="16">
        <v>0</v>
      </c>
      <c r="M262" s="16">
        <v>76</v>
      </c>
      <c r="N262" s="16">
        <v>39</v>
      </c>
      <c r="O262" s="26">
        <v>30.4</v>
      </c>
      <c r="P262" s="26">
        <v>2.7</v>
      </c>
      <c r="Q262" s="26"/>
      <c r="R262" s="26">
        <v>4.5</v>
      </c>
      <c r="S262" s="26">
        <v>13.01</v>
      </c>
      <c r="T262" s="26">
        <v>6.62</v>
      </c>
      <c r="U262" s="26"/>
      <c r="V262" s="26">
        <v>13.06</v>
      </c>
      <c r="W262" s="26">
        <v>4.21</v>
      </c>
      <c r="X262" s="26">
        <v>11.66</v>
      </c>
      <c r="Y262" s="26"/>
      <c r="Z262" s="26">
        <v>5.25</v>
      </c>
      <c r="AA262" s="26">
        <v>2.04</v>
      </c>
      <c r="AB262" s="26">
        <v>2.58</v>
      </c>
      <c r="AC262" s="26"/>
      <c r="AD262" s="26">
        <v>3.11</v>
      </c>
      <c r="AE262" s="26"/>
      <c r="AF262" s="26">
        <v>0.86</v>
      </c>
      <c r="AG262" s="26"/>
      <c r="AH262" s="26"/>
      <c r="AI262" s="26">
        <v>3.71</v>
      </c>
      <c r="AJ262" s="26">
        <f t="shared" si="618"/>
        <v>97.09999999999998</v>
      </c>
      <c r="AK262" s="26">
        <f t="shared" si="603"/>
        <v>31.535869535000433</v>
      </c>
      <c r="AL262" s="26">
        <f t="shared" si="604"/>
        <v>2.8008831494901703</v>
      </c>
      <c r="AM262" s="26">
        <f t="shared" si="605"/>
        <v>4.6681385824836168</v>
      </c>
      <c r="AN262" s="26">
        <f t="shared" si="606"/>
        <v>13.496107324024859</v>
      </c>
      <c r="AO262" s="26">
        <f t="shared" si="607"/>
        <v>6.8673505368981216</v>
      </c>
      <c r="AP262" s="26">
        <f t="shared" si="608"/>
        <v>13.547975530496897</v>
      </c>
      <c r="AQ262" s="26">
        <f t="shared" si="609"/>
        <v>2.676399453957274</v>
      </c>
      <c r="AR262" s="26">
        <f t="shared" si="610"/>
        <v>4.3673029849457841</v>
      </c>
      <c r="AS262" s="26">
        <f t="shared" si="611"/>
        <v>12.095665749279773</v>
      </c>
      <c r="AT262" s="26">
        <f t="shared" si="612"/>
        <v>5.44616167956422</v>
      </c>
      <c r="AU262" s="26">
        <f t="shared" si="613"/>
        <v>3.2262024425609002</v>
      </c>
      <c r="AV262" s="26">
        <f t="shared" si="619"/>
        <v>100.72805696870203</v>
      </c>
      <c r="AW262" s="16"/>
      <c r="AX262" s="16"/>
      <c r="AY262" s="16"/>
      <c r="AZ262" s="16"/>
      <c r="BA262" s="26"/>
      <c r="BB262" s="26">
        <v>0.71</v>
      </c>
      <c r="BC262" s="26">
        <f t="shared" si="615"/>
        <v>0.71</v>
      </c>
      <c r="BD262" s="26">
        <f t="shared" si="616"/>
        <v>0.29000000000000004</v>
      </c>
      <c r="BE262" s="16"/>
      <c r="BF262" s="16"/>
      <c r="BG262" s="16"/>
      <c r="BH262" s="16"/>
      <c r="BI262" s="16"/>
      <c r="BJ262" s="16"/>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c r="DS262" s="18"/>
      <c r="DT262" s="18"/>
      <c r="DU262" s="18"/>
      <c r="DV262" s="28"/>
      <c r="DW262" s="28"/>
      <c r="DX262" s="28"/>
      <c r="DY262" s="28"/>
      <c r="DZ262" s="28"/>
      <c r="EA262" s="28"/>
      <c r="EB262" s="28"/>
      <c r="EC262" s="28"/>
      <c r="ED262" s="28"/>
      <c r="EE262" s="28"/>
      <c r="EF262" s="28"/>
      <c r="EG262" s="28"/>
      <c r="EH262" s="28"/>
      <c r="EI262" s="28"/>
      <c r="EJ262" s="18"/>
      <c r="EK262" s="18"/>
      <c r="EL262" s="18">
        <f>IFERROR(CR262/'McDonough &amp; Sun 1995 values'!C$2,)</f>
        <v>0</v>
      </c>
      <c r="EM262" s="18">
        <f>IFERROR(CH262/'McDonough &amp; Sun 1995 values'!D$2,)</f>
        <v>0</v>
      </c>
      <c r="EN262" s="18">
        <f>IFERROR(CS262/'McDonough &amp; Sun 1995 values'!E$2,)</f>
        <v>0</v>
      </c>
      <c r="EO262" s="18">
        <f>IFERROR(DL262/'McDonough &amp; Sun 1995 values'!F$2,)</f>
        <v>0</v>
      </c>
      <c r="EP262" s="18">
        <f>IFERROR(DM262/'McDonough &amp; Sun 1995 values'!G$2,)</f>
        <v>0</v>
      </c>
      <c r="EQ262" s="18">
        <f>IFERROR(BR262/'McDonough &amp; Sun 1995 values'!H$2,)</f>
        <v>0</v>
      </c>
      <c r="ER262" s="18">
        <f>IFERROR(DI262/'McDonough &amp; Sun 1995 values'!I$2,)</f>
        <v>0</v>
      </c>
      <c r="ES262" s="18">
        <f>IFERROR(CM262/'McDonough &amp; Sun 1995 values'!J$2,)</f>
        <v>0</v>
      </c>
      <c r="ET262" s="18">
        <f>IFERROR(CU262/'McDonough &amp; Sun 1995 values'!K$2,)</f>
        <v>0</v>
      </c>
      <c r="EU262" s="18">
        <f>IFERROR(CV262/'McDonough &amp; Sun 1995 values'!L$2,)</f>
        <v>0</v>
      </c>
      <c r="EV262" s="18">
        <f>IFERROR(CW262/'McDonough &amp; Sun 1995 values'!M$2,)</f>
        <v>0</v>
      </c>
      <c r="EW262" s="18">
        <f>IFERROR(CI262/'McDonough &amp; Sun 1995 values'!N$2,)</f>
        <v>0</v>
      </c>
      <c r="EX262" s="18">
        <f>IFERROR(CX262/'McDonough &amp; Sun 1995 values'!O$2,)</f>
        <v>0</v>
      </c>
      <c r="EY262" s="18">
        <f>IFERROR(CY262/'McDonough &amp; Sun 1995 values'!P$2,)</f>
        <v>0</v>
      </c>
      <c r="EZ262" s="18">
        <f>IFERROR(DH262/'McDonough &amp; Sun 1995 values'!Q$2,)</f>
        <v>0</v>
      </c>
      <c r="FA262" s="18">
        <f>IFERROR(CK262/'McDonough &amp; Sun 1995 values'!R$2,)</f>
        <v>0</v>
      </c>
      <c r="FB262" s="18">
        <f>IFERROR(CZ262/'McDonough &amp; Sun 1995 values'!S$2,)</f>
        <v>0</v>
      </c>
      <c r="FC262" s="18">
        <f>IFERROR(BT262/'McDonough &amp; Sun 1995 values'!T$2,)</f>
        <v>0</v>
      </c>
      <c r="FD262" s="18">
        <f>IFERROR(DA262/'McDonough &amp; Sun 1995 values'!U$2,)</f>
        <v>0</v>
      </c>
      <c r="FE262" s="18">
        <f>IFERROR(DN262/'McDonough &amp; Sun 1995 values'!V$2,)</f>
        <v>0</v>
      </c>
      <c r="FF262" s="18">
        <f>IFERROR(DB262/'McDonough &amp; Sun 1995 values'!W$2,)</f>
        <v>0</v>
      </c>
      <c r="FG262" s="18">
        <f>IFERROR(CJ262/'McDonough &amp; Sun 1995 values'!X$2,)</f>
        <v>0</v>
      </c>
      <c r="FH262" s="18">
        <f>IFERROR(DC262/'McDonough &amp; Sun 1995 values'!Y$2,)</f>
        <v>0</v>
      </c>
      <c r="FI262" s="18">
        <f>IFERROR(DD262/'McDonough &amp; Sun 1995 values'!Z$2,)</f>
        <v>0</v>
      </c>
      <c r="FJ262" s="18">
        <f>IFERROR(DE262/'McDonough &amp; Sun 1995 values'!AA$2,)</f>
        <v>0</v>
      </c>
      <c r="FK262" s="18">
        <f>IFERROR(DF262/'McDonough &amp; Sun 1995 values'!AB$2,)</f>
        <v>0</v>
      </c>
      <c r="FL262" s="18">
        <f>IFERROR(DG262/'McDonough &amp; Sun 1995 values'!AC$2,)</f>
        <v>0</v>
      </c>
      <c r="FN262" s="28">
        <f t="shared" si="614"/>
        <v>0</v>
      </c>
      <c r="FO262" s="4">
        <f t="shared" si="547"/>
        <v>0</v>
      </c>
      <c r="FP262" s="4">
        <f t="shared" si="548"/>
        <v>0</v>
      </c>
      <c r="FQ262" s="4">
        <f t="shared" si="549"/>
        <v>0</v>
      </c>
      <c r="FR262" s="4">
        <f t="shared" si="550"/>
        <v>0</v>
      </c>
      <c r="FS262" s="4">
        <f t="shared" si="551"/>
        <v>0</v>
      </c>
      <c r="FT262" s="4">
        <f t="shared" si="552"/>
        <v>0</v>
      </c>
      <c r="FU262" s="4">
        <f t="shared" si="553"/>
        <v>0</v>
      </c>
      <c r="FV262" s="4">
        <f t="shared" si="554"/>
        <v>0</v>
      </c>
      <c r="FW262" s="4">
        <f t="shared" si="555"/>
        <v>0</v>
      </c>
      <c r="FX262" s="4">
        <f t="shared" si="556"/>
        <v>0</v>
      </c>
      <c r="FY262" s="4">
        <f t="shared" si="557"/>
        <v>0</v>
      </c>
      <c r="FZ262" s="4">
        <f t="shared" si="558"/>
        <v>0</v>
      </c>
      <c r="GA262" s="4">
        <f t="shared" si="559"/>
        <v>0</v>
      </c>
      <c r="GB262" s="4">
        <f t="shared" si="560"/>
        <v>0</v>
      </c>
      <c r="GC262" s="4">
        <f t="shared" si="561"/>
        <v>0</v>
      </c>
      <c r="GD262" s="4">
        <f t="shared" si="562"/>
        <v>0</v>
      </c>
      <c r="GE262" s="4">
        <f t="shared" si="563"/>
        <v>0</v>
      </c>
      <c r="GF262" s="4">
        <f t="shared" si="564"/>
        <v>0</v>
      </c>
      <c r="GG262" s="4">
        <f t="shared" si="565"/>
        <v>0</v>
      </c>
      <c r="GH262" s="4">
        <f t="shared" si="566"/>
        <v>0</v>
      </c>
      <c r="GI262" s="4">
        <f t="shared" si="567"/>
        <v>0</v>
      </c>
      <c r="GJ262" s="4">
        <f t="shared" si="568"/>
        <v>0</v>
      </c>
      <c r="GK262" s="4">
        <f t="shared" si="569"/>
        <v>0</v>
      </c>
      <c r="GL262" s="4">
        <f t="shared" si="570"/>
        <v>0</v>
      </c>
      <c r="GM262" s="4">
        <f t="shared" si="571"/>
        <v>0</v>
      </c>
      <c r="GN262" s="4">
        <f t="shared" si="572"/>
        <v>0</v>
      </c>
      <c r="GO262" s="4">
        <f t="shared" si="573"/>
        <v>0</v>
      </c>
      <c r="GP262" s="4">
        <f t="shared" si="574"/>
        <v>0</v>
      </c>
      <c r="GQ262" s="27">
        <f t="shared" si="575"/>
        <v>100410.63363782581</v>
      </c>
      <c r="GR262" s="28" t="str">
        <f t="shared" si="576"/>
        <v/>
      </c>
      <c r="GS262" s="28" t="str">
        <f t="shared" si="577"/>
        <v/>
      </c>
      <c r="GT262" s="28" t="str">
        <f t="shared" si="578"/>
        <v/>
      </c>
      <c r="GU262" s="28" t="str">
        <f t="shared" si="579"/>
        <v/>
      </c>
      <c r="GV262" s="28" t="str">
        <f t="shared" si="580"/>
        <v/>
      </c>
      <c r="GW262" s="28" t="str">
        <f t="shared" si="581"/>
        <v/>
      </c>
      <c r="GX262" s="28" t="str">
        <f t="shared" si="582"/>
        <v/>
      </c>
      <c r="GY262" s="28" t="str">
        <f t="shared" si="583"/>
        <v/>
      </c>
      <c r="GZ262" s="28" t="str">
        <f t="shared" si="584"/>
        <v/>
      </c>
      <c r="HA262" s="28" t="str">
        <f t="shared" si="585"/>
        <v/>
      </c>
      <c r="HB262" s="28" t="str">
        <f t="shared" si="586"/>
        <v/>
      </c>
      <c r="HC262" s="28" t="str">
        <f t="shared" si="587"/>
        <v/>
      </c>
      <c r="HD262" s="28" t="str">
        <f t="shared" si="588"/>
        <v/>
      </c>
      <c r="HE262" s="28" t="str">
        <f t="shared" si="589"/>
        <v/>
      </c>
      <c r="HF262" s="28" t="str">
        <f t="shared" si="590"/>
        <v/>
      </c>
      <c r="HG262" s="28" t="str">
        <f t="shared" si="591"/>
        <v/>
      </c>
      <c r="HH262" s="28" t="str">
        <f t="shared" si="592"/>
        <v/>
      </c>
      <c r="HI262" s="28" t="str">
        <f t="shared" si="593"/>
        <v/>
      </c>
      <c r="HJ262" s="28" t="str">
        <f t="shared" si="594"/>
        <v/>
      </c>
      <c r="HK262" s="28" t="str">
        <f t="shared" si="595"/>
        <v/>
      </c>
      <c r="HL262" s="28" t="str">
        <f t="shared" si="596"/>
        <v/>
      </c>
      <c r="HM262" s="28" t="str">
        <f t="shared" si="597"/>
        <v/>
      </c>
      <c r="HN262" s="28" t="str">
        <f t="shared" si="598"/>
        <v/>
      </c>
      <c r="HO262" s="28" t="str">
        <f t="shared" si="599"/>
        <v/>
      </c>
      <c r="HP262" s="28" t="str">
        <f t="shared" si="600"/>
        <v/>
      </c>
      <c r="HQ262" s="28" t="str">
        <f t="shared" si="601"/>
        <v/>
      </c>
      <c r="HR262" s="28" t="str">
        <f t="shared" si="602"/>
        <v/>
      </c>
      <c r="HT262" s="4">
        <f>IFERROR(GR262/'McDonough &amp; Sun 1995 values'!C$2,)</f>
        <v>0</v>
      </c>
      <c r="HU262" s="4">
        <f>IFERROR(GS262/'McDonough &amp; Sun 1995 values'!D$2,)</f>
        <v>0</v>
      </c>
      <c r="HV262" s="4">
        <f>IFERROR(GT262/'McDonough &amp; Sun 1995 values'!E$2,)</f>
        <v>0</v>
      </c>
      <c r="HW262" s="4">
        <f>IFERROR(GU262/'McDonough &amp; Sun 1995 values'!F$2,)</f>
        <v>0</v>
      </c>
      <c r="HX262" s="4">
        <f>IFERROR(GV262/'McDonough &amp; Sun 1995 values'!G$2,)</f>
        <v>0</v>
      </c>
      <c r="HY262" s="4">
        <f>IFERROR(GW262/'McDonough &amp; Sun 1995 values'!H$2,)</f>
        <v>0</v>
      </c>
      <c r="HZ262" s="4">
        <f>IFERROR(GX262/'McDonough &amp; Sun 1995 values'!I$2,)</f>
        <v>0</v>
      </c>
      <c r="IA262" s="4">
        <f>IFERROR(GY262/'McDonough &amp; Sun 1995 values'!J$2,)</f>
        <v>0</v>
      </c>
      <c r="IB262" s="4">
        <f>IFERROR(GZ262/'McDonough &amp; Sun 1995 values'!K$2,)</f>
        <v>0</v>
      </c>
      <c r="IC262" s="4">
        <f>IFERROR(HA262/'McDonough &amp; Sun 1995 values'!L$2,)</f>
        <v>0</v>
      </c>
      <c r="ID262" s="4">
        <f>IFERROR(HB262/'McDonough &amp; Sun 1995 values'!M$2,)</f>
        <v>0</v>
      </c>
      <c r="IE262" s="4">
        <f>IFERROR(HC262/'McDonough &amp; Sun 1995 values'!N$2,)</f>
        <v>0</v>
      </c>
      <c r="IF262" s="4">
        <f>IFERROR(HD262/'McDonough &amp; Sun 1995 values'!O$2,)</f>
        <v>0</v>
      </c>
      <c r="IG262" s="4">
        <f>IFERROR(HE262/'McDonough &amp; Sun 1995 values'!P$2,)</f>
        <v>0</v>
      </c>
      <c r="IH262" s="4">
        <f>IFERROR(HF262/'McDonough &amp; Sun 1995 values'!Q$2,)</f>
        <v>0</v>
      </c>
      <c r="II262" s="4">
        <f>IFERROR(HG262/'McDonough &amp; Sun 1995 values'!R$2,)</f>
        <v>0</v>
      </c>
      <c r="IJ262" s="4">
        <f>IFERROR(HH262/'McDonough &amp; Sun 1995 values'!S$2,)</f>
        <v>0</v>
      </c>
      <c r="IK262" s="4">
        <f>IFERROR(HI262/'McDonough &amp; Sun 1995 values'!T$2,)</f>
        <v>0</v>
      </c>
      <c r="IL262" s="4">
        <f>IFERROR(HJ262/'McDonough &amp; Sun 1995 values'!U$2,)</f>
        <v>0</v>
      </c>
      <c r="IM262" s="4">
        <f>IFERROR(HK262/'McDonough &amp; Sun 1995 values'!V$2,)</f>
        <v>0</v>
      </c>
      <c r="IN262" s="4">
        <f>IFERROR(HL262/'McDonough &amp; Sun 1995 values'!W$2,)</f>
        <v>0</v>
      </c>
      <c r="IO262" s="4">
        <f>IFERROR(HM262/'McDonough &amp; Sun 1995 values'!X$2,)</f>
        <v>0</v>
      </c>
      <c r="IP262" s="4">
        <f>IFERROR(HN262/'McDonough &amp; Sun 1995 values'!Y$2,)</f>
        <v>0</v>
      </c>
      <c r="IQ262" s="4">
        <f>IFERROR(HO262/'McDonough &amp; Sun 1995 values'!Z$2,)</f>
        <v>0</v>
      </c>
      <c r="IR262" s="4">
        <f>IFERROR(HP262/'McDonough &amp; Sun 1995 values'!AA$2,)</f>
        <v>0</v>
      </c>
      <c r="IS262" s="4">
        <f>IFERROR(HQ262/'McDonough &amp; Sun 1995 values'!AB$2,)</f>
        <v>0</v>
      </c>
      <c r="IT262" s="4">
        <f>IFERROR(HR262/'McDonough &amp; Sun 1995 values'!AC$2,)</f>
        <v>0</v>
      </c>
    </row>
    <row r="263" spans="1:254">
      <c r="A263" s="16" t="s">
        <v>838</v>
      </c>
      <c r="B263" s="16" t="s">
        <v>24</v>
      </c>
      <c r="C263" s="16" t="str">
        <f t="shared" si="617"/>
        <v>silicic - low-Mg carbonatitic</v>
      </c>
      <c r="D263" s="16" t="s">
        <v>1719</v>
      </c>
      <c r="E263" s="16" t="s">
        <v>388</v>
      </c>
      <c r="F263" s="16" t="s">
        <v>342</v>
      </c>
      <c r="G263" s="16" t="s">
        <v>829</v>
      </c>
      <c r="H263" s="27">
        <v>0</v>
      </c>
      <c r="I263" s="16" t="s">
        <v>735</v>
      </c>
      <c r="J263" s="16">
        <v>0</v>
      </c>
      <c r="K263" s="16" t="s">
        <v>903</v>
      </c>
      <c r="L263" s="16">
        <v>0</v>
      </c>
      <c r="M263" s="16">
        <v>79</v>
      </c>
      <c r="N263" s="16">
        <v>39</v>
      </c>
      <c r="O263" s="26">
        <v>27.27</v>
      </c>
      <c r="P263" s="26">
        <v>1.67</v>
      </c>
      <c r="Q263" s="26"/>
      <c r="R263" s="26">
        <v>4.08</v>
      </c>
      <c r="S263" s="26">
        <v>30.59</v>
      </c>
      <c r="T263" s="26">
        <v>4.17</v>
      </c>
      <c r="U263" s="26"/>
      <c r="V263" s="26">
        <v>9.0500000000000007</v>
      </c>
      <c r="W263" s="26">
        <v>3.46</v>
      </c>
      <c r="X263" s="26">
        <v>9.32</v>
      </c>
      <c r="Y263" s="26"/>
      <c r="Z263" s="26">
        <v>3.65</v>
      </c>
      <c r="AA263" s="26">
        <v>1.43</v>
      </c>
      <c r="AB263" s="26">
        <v>2.0499999999999998</v>
      </c>
      <c r="AC263" s="26"/>
      <c r="AD263" s="26">
        <v>2.29</v>
      </c>
      <c r="AE263" s="26"/>
      <c r="AF263" s="26">
        <v>0.98</v>
      </c>
      <c r="AG263" s="26"/>
      <c r="AH263" s="26"/>
      <c r="AI263" s="26">
        <v>4.5</v>
      </c>
      <c r="AJ263" s="26">
        <f t="shared" si="618"/>
        <v>97.6</v>
      </c>
      <c r="AK263" s="26">
        <f t="shared" si="603"/>
        <v>28.089304393305444</v>
      </c>
      <c r="AL263" s="26">
        <f t="shared" si="604"/>
        <v>1.7201737563923756</v>
      </c>
      <c r="AM263" s="26">
        <f t="shared" si="605"/>
        <v>4.2025801952580197</v>
      </c>
      <c r="AN263" s="26">
        <f t="shared" si="606"/>
        <v>31.509051022780106</v>
      </c>
      <c r="AO263" s="26">
        <f t="shared" si="607"/>
        <v>4.2952841701534172</v>
      </c>
      <c r="AP263" s="26">
        <f t="shared" si="608"/>
        <v>9.3218996978149704</v>
      </c>
      <c r="AQ263" s="26">
        <f t="shared" si="609"/>
        <v>2.1115905392840539</v>
      </c>
      <c r="AR263" s="26">
        <f t="shared" si="610"/>
        <v>3.5639528126452809</v>
      </c>
      <c r="AS263" s="26">
        <f t="shared" si="611"/>
        <v>9.6000116225011638</v>
      </c>
      <c r="AT263" s="26">
        <f t="shared" si="612"/>
        <v>3.7596612040911208</v>
      </c>
      <c r="AU263" s="26">
        <f t="shared" si="613"/>
        <v>2.3588011390051138</v>
      </c>
      <c r="AV263" s="26">
        <f t="shared" si="619"/>
        <v>100.53231055323106</v>
      </c>
      <c r="AW263" s="16"/>
      <c r="AX263" s="16"/>
      <c r="AY263" s="16"/>
      <c r="AZ263" s="16"/>
      <c r="BA263" s="26"/>
      <c r="BB263" s="26">
        <v>0.67</v>
      </c>
      <c r="BC263" s="26">
        <f t="shared" si="615"/>
        <v>0.67</v>
      </c>
      <c r="BD263" s="26">
        <f t="shared" si="616"/>
        <v>0.32999999999999996</v>
      </c>
      <c r="BE263" s="16"/>
      <c r="BF263" s="16"/>
      <c r="BG263" s="16"/>
      <c r="BH263" s="16"/>
      <c r="BI263" s="16"/>
      <c r="BJ263" s="16"/>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c r="DS263" s="18"/>
      <c r="DT263" s="18"/>
      <c r="DU263" s="18"/>
      <c r="DV263" s="28"/>
      <c r="DW263" s="28"/>
      <c r="DX263" s="28"/>
      <c r="DY263" s="28"/>
      <c r="DZ263" s="28"/>
      <c r="EA263" s="28"/>
      <c r="EB263" s="28"/>
      <c r="EC263" s="28"/>
      <c r="ED263" s="28"/>
      <c r="EE263" s="28"/>
      <c r="EF263" s="28"/>
      <c r="EG263" s="28"/>
      <c r="EH263" s="28"/>
      <c r="EI263" s="28"/>
      <c r="EJ263" s="18"/>
      <c r="EK263" s="18"/>
      <c r="EL263" s="18">
        <f>IFERROR(CR263/'McDonough &amp; Sun 1995 values'!C$2,)</f>
        <v>0</v>
      </c>
      <c r="EM263" s="18">
        <f>IFERROR(CH263/'McDonough &amp; Sun 1995 values'!D$2,)</f>
        <v>0</v>
      </c>
      <c r="EN263" s="18">
        <f>IFERROR(CS263/'McDonough &amp; Sun 1995 values'!E$2,)</f>
        <v>0</v>
      </c>
      <c r="EO263" s="18">
        <f>IFERROR(DL263/'McDonough &amp; Sun 1995 values'!F$2,)</f>
        <v>0</v>
      </c>
      <c r="EP263" s="18">
        <f>IFERROR(DM263/'McDonough &amp; Sun 1995 values'!G$2,)</f>
        <v>0</v>
      </c>
      <c r="EQ263" s="18">
        <f>IFERROR(BR263/'McDonough &amp; Sun 1995 values'!H$2,)</f>
        <v>0</v>
      </c>
      <c r="ER263" s="18">
        <f>IFERROR(DI263/'McDonough &amp; Sun 1995 values'!I$2,)</f>
        <v>0</v>
      </c>
      <c r="ES263" s="18">
        <f>IFERROR(CM263/'McDonough &amp; Sun 1995 values'!J$2,)</f>
        <v>0</v>
      </c>
      <c r="ET263" s="18">
        <f>IFERROR(CU263/'McDonough &amp; Sun 1995 values'!K$2,)</f>
        <v>0</v>
      </c>
      <c r="EU263" s="18">
        <f>IFERROR(CV263/'McDonough &amp; Sun 1995 values'!L$2,)</f>
        <v>0</v>
      </c>
      <c r="EV263" s="18">
        <f>IFERROR(CW263/'McDonough &amp; Sun 1995 values'!M$2,)</f>
        <v>0</v>
      </c>
      <c r="EW263" s="18">
        <f>IFERROR(CI263/'McDonough &amp; Sun 1995 values'!N$2,)</f>
        <v>0</v>
      </c>
      <c r="EX263" s="18">
        <f>IFERROR(CX263/'McDonough &amp; Sun 1995 values'!O$2,)</f>
        <v>0</v>
      </c>
      <c r="EY263" s="18">
        <f>IFERROR(CY263/'McDonough &amp; Sun 1995 values'!P$2,)</f>
        <v>0</v>
      </c>
      <c r="EZ263" s="18">
        <f>IFERROR(DH263/'McDonough &amp; Sun 1995 values'!Q$2,)</f>
        <v>0</v>
      </c>
      <c r="FA263" s="18">
        <f>IFERROR(CK263/'McDonough &amp; Sun 1995 values'!R$2,)</f>
        <v>0</v>
      </c>
      <c r="FB263" s="18">
        <f>IFERROR(CZ263/'McDonough &amp; Sun 1995 values'!S$2,)</f>
        <v>0</v>
      </c>
      <c r="FC263" s="18">
        <f>IFERROR(BT263/'McDonough &amp; Sun 1995 values'!T$2,)</f>
        <v>0</v>
      </c>
      <c r="FD263" s="18">
        <f>IFERROR(DA263/'McDonough &amp; Sun 1995 values'!U$2,)</f>
        <v>0</v>
      </c>
      <c r="FE263" s="18">
        <f>IFERROR(DN263/'McDonough &amp; Sun 1995 values'!V$2,)</f>
        <v>0</v>
      </c>
      <c r="FF263" s="18">
        <f>IFERROR(DB263/'McDonough &amp; Sun 1995 values'!W$2,)</f>
        <v>0</v>
      </c>
      <c r="FG263" s="18">
        <f>IFERROR(CJ263/'McDonough &amp; Sun 1995 values'!X$2,)</f>
        <v>0</v>
      </c>
      <c r="FH263" s="18">
        <f>IFERROR(DC263/'McDonough &amp; Sun 1995 values'!Y$2,)</f>
        <v>0</v>
      </c>
      <c r="FI263" s="18">
        <f>IFERROR(DD263/'McDonough &amp; Sun 1995 values'!Z$2,)</f>
        <v>0</v>
      </c>
      <c r="FJ263" s="18">
        <f>IFERROR(DE263/'McDonough &amp; Sun 1995 values'!AA$2,)</f>
        <v>0</v>
      </c>
      <c r="FK263" s="18">
        <f>IFERROR(DF263/'McDonough &amp; Sun 1995 values'!AB$2,)</f>
        <v>0</v>
      </c>
      <c r="FL263" s="18">
        <f>IFERROR(DG263/'McDonough &amp; Sun 1995 values'!AC$2,)</f>
        <v>0</v>
      </c>
      <c r="FN263" s="28">
        <f t="shared" si="614"/>
        <v>0</v>
      </c>
      <c r="FO263" s="4">
        <f t="shared" si="547"/>
        <v>0</v>
      </c>
      <c r="FP263" s="4">
        <f t="shared" si="548"/>
        <v>0</v>
      </c>
      <c r="FQ263" s="4">
        <f t="shared" si="549"/>
        <v>0</v>
      </c>
      <c r="FR263" s="4">
        <f t="shared" si="550"/>
        <v>0</v>
      </c>
      <c r="FS263" s="4">
        <f t="shared" si="551"/>
        <v>0</v>
      </c>
      <c r="FT263" s="4">
        <f t="shared" si="552"/>
        <v>0</v>
      </c>
      <c r="FU263" s="4">
        <f t="shared" si="553"/>
        <v>0</v>
      </c>
      <c r="FV263" s="4">
        <f t="shared" si="554"/>
        <v>0</v>
      </c>
      <c r="FW263" s="4">
        <f t="shared" si="555"/>
        <v>0</v>
      </c>
      <c r="FX263" s="4">
        <f t="shared" si="556"/>
        <v>0</v>
      </c>
      <c r="FY263" s="4">
        <f t="shared" si="557"/>
        <v>0</v>
      </c>
      <c r="FZ263" s="4">
        <f t="shared" si="558"/>
        <v>0</v>
      </c>
      <c r="GA263" s="4">
        <f t="shared" si="559"/>
        <v>0</v>
      </c>
      <c r="GB263" s="4">
        <f t="shared" si="560"/>
        <v>0</v>
      </c>
      <c r="GC263" s="4">
        <f t="shared" si="561"/>
        <v>0</v>
      </c>
      <c r="GD263" s="4">
        <f t="shared" si="562"/>
        <v>0</v>
      </c>
      <c r="GE263" s="4">
        <f t="shared" si="563"/>
        <v>0</v>
      </c>
      <c r="GF263" s="4">
        <f t="shared" si="564"/>
        <v>0</v>
      </c>
      <c r="GG263" s="4">
        <f t="shared" si="565"/>
        <v>0</v>
      </c>
      <c r="GH263" s="4">
        <f t="shared" si="566"/>
        <v>0</v>
      </c>
      <c r="GI263" s="4">
        <f t="shared" si="567"/>
        <v>0</v>
      </c>
      <c r="GJ263" s="4">
        <f t="shared" si="568"/>
        <v>0</v>
      </c>
      <c r="GK263" s="4">
        <f t="shared" si="569"/>
        <v>0</v>
      </c>
      <c r="GL263" s="4">
        <f t="shared" si="570"/>
        <v>0</v>
      </c>
      <c r="GM263" s="4">
        <f t="shared" si="571"/>
        <v>0</v>
      </c>
      <c r="GN263" s="4">
        <f t="shared" si="572"/>
        <v>0</v>
      </c>
      <c r="GO263" s="4">
        <f t="shared" si="573"/>
        <v>0</v>
      </c>
      <c r="GP263" s="4">
        <f t="shared" si="574"/>
        <v>0</v>
      </c>
      <c r="GQ263" s="27">
        <f t="shared" si="575"/>
        <v>79693.277734897012</v>
      </c>
      <c r="GR263" s="28" t="str">
        <f t="shared" si="576"/>
        <v/>
      </c>
      <c r="GS263" s="28" t="str">
        <f t="shared" si="577"/>
        <v/>
      </c>
      <c r="GT263" s="28" t="str">
        <f t="shared" si="578"/>
        <v/>
      </c>
      <c r="GU263" s="28" t="str">
        <f t="shared" si="579"/>
        <v/>
      </c>
      <c r="GV263" s="28" t="str">
        <f t="shared" si="580"/>
        <v/>
      </c>
      <c r="GW263" s="28" t="str">
        <f t="shared" si="581"/>
        <v/>
      </c>
      <c r="GX263" s="28" t="str">
        <f t="shared" si="582"/>
        <v/>
      </c>
      <c r="GY263" s="28" t="str">
        <f t="shared" si="583"/>
        <v/>
      </c>
      <c r="GZ263" s="28" t="str">
        <f t="shared" si="584"/>
        <v/>
      </c>
      <c r="HA263" s="28" t="str">
        <f t="shared" si="585"/>
        <v/>
      </c>
      <c r="HB263" s="28" t="str">
        <f t="shared" si="586"/>
        <v/>
      </c>
      <c r="HC263" s="28" t="str">
        <f t="shared" si="587"/>
        <v/>
      </c>
      <c r="HD263" s="28" t="str">
        <f t="shared" si="588"/>
        <v/>
      </c>
      <c r="HE263" s="28" t="str">
        <f t="shared" si="589"/>
        <v/>
      </c>
      <c r="HF263" s="28" t="str">
        <f t="shared" si="590"/>
        <v/>
      </c>
      <c r="HG263" s="28" t="str">
        <f t="shared" si="591"/>
        <v/>
      </c>
      <c r="HH263" s="28" t="str">
        <f t="shared" si="592"/>
        <v/>
      </c>
      <c r="HI263" s="28" t="str">
        <f t="shared" si="593"/>
        <v/>
      </c>
      <c r="HJ263" s="28" t="str">
        <f t="shared" si="594"/>
        <v/>
      </c>
      <c r="HK263" s="28" t="str">
        <f t="shared" si="595"/>
        <v/>
      </c>
      <c r="HL263" s="28" t="str">
        <f t="shared" si="596"/>
        <v/>
      </c>
      <c r="HM263" s="28" t="str">
        <f t="shared" si="597"/>
        <v/>
      </c>
      <c r="HN263" s="28" t="str">
        <f t="shared" si="598"/>
        <v/>
      </c>
      <c r="HO263" s="28" t="str">
        <f t="shared" si="599"/>
        <v/>
      </c>
      <c r="HP263" s="28" t="str">
        <f t="shared" si="600"/>
        <v/>
      </c>
      <c r="HQ263" s="28" t="str">
        <f t="shared" si="601"/>
        <v/>
      </c>
      <c r="HR263" s="28" t="str">
        <f t="shared" si="602"/>
        <v/>
      </c>
      <c r="HT263" s="4">
        <f>IFERROR(GR263/'McDonough &amp; Sun 1995 values'!C$2,)</f>
        <v>0</v>
      </c>
      <c r="HU263" s="4">
        <f>IFERROR(GS263/'McDonough &amp; Sun 1995 values'!D$2,)</f>
        <v>0</v>
      </c>
      <c r="HV263" s="4">
        <f>IFERROR(GT263/'McDonough &amp; Sun 1995 values'!E$2,)</f>
        <v>0</v>
      </c>
      <c r="HW263" s="4">
        <f>IFERROR(GU263/'McDonough &amp; Sun 1995 values'!F$2,)</f>
        <v>0</v>
      </c>
      <c r="HX263" s="4">
        <f>IFERROR(GV263/'McDonough &amp; Sun 1995 values'!G$2,)</f>
        <v>0</v>
      </c>
      <c r="HY263" s="4">
        <f>IFERROR(GW263/'McDonough &amp; Sun 1995 values'!H$2,)</f>
        <v>0</v>
      </c>
      <c r="HZ263" s="4">
        <f>IFERROR(GX263/'McDonough &amp; Sun 1995 values'!I$2,)</f>
        <v>0</v>
      </c>
      <c r="IA263" s="4">
        <f>IFERROR(GY263/'McDonough &amp; Sun 1995 values'!J$2,)</f>
        <v>0</v>
      </c>
      <c r="IB263" s="4">
        <f>IFERROR(GZ263/'McDonough &amp; Sun 1995 values'!K$2,)</f>
        <v>0</v>
      </c>
      <c r="IC263" s="4">
        <f>IFERROR(HA263/'McDonough &amp; Sun 1995 values'!L$2,)</f>
        <v>0</v>
      </c>
      <c r="ID263" s="4">
        <f>IFERROR(HB263/'McDonough &amp; Sun 1995 values'!M$2,)</f>
        <v>0</v>
      </c>
      <c r="IE263" s="4">
        <f>IFERROR(HC263/'McDonough &amp; Sun 1995 values'!N$2,)</f>
        <v>0</v>
      </c>
      <c r="IF263" s="4">
        <f>IFERROR(HD263/'McDonough &amp; Sun 1995 values'!O$2,)</f>
        <v>0</v>
      </c>
      <c r="IG263" s="4">
        <f>IFERROR(HE263/'McDonough &amp; Sun 1995 values'!P$2,)</f>
        <v>0</v>
      </c>
      <c r="IH263" s="4">
        <f>IFERROR(HF263/'McDonough &amp; Sun 1995 values'!Q$2,)</f>
        <v>0</v>
      </c>
      <c r="II263" s="4">
        <f>IFERROR(HG263/'McDonough &amp; Sun 1995 values'!R$2,)</f>
        <v>0</v>
      </c>
      <c r="IJ263" s="4">
        <f>IFERROR(HH263/'McDonough &amp; Sun 1995 values'!S$2,)</f>
        <v>0</v>
      </c>
      <c r="IK263" s="4">
        <f>IFERROR(HI263/'McDonough &amp; Sun 1995 values'!T$2,)</f>
        <v>0</v>
      </c>
      <c r="IL263" s="4">
        <f>IFERROR(HJ263/'McDonough &amp; Sun 1995 values'!U$2,)</f>
        <v>0</v>
      </c>
      <c r="IM263" s="4">
        <f>IFERROR(HK263/'McDonough &amp; Sun 1995 values'!V$2,)</f>
        <v>0</v>
      </c>
      <c r="IN263" s="4">
        <f>IFERROR(HL263/'McDonough &amp; Sun 1995 values'!W$2,)</f>
        <v>0</v>
      </c>
      <c r="IO263" s="4">
        <f>IFERROR(HM263/'McDonough &amp; Sun 1995 values'!X$2,)</f>
        <v>0</v>
      </c>
      <c r="IP263" s="4">
        <f>IFERROR(HN263/'McDonough &amp; Sun 1995 values'!Y$2,)</f>
        <v>0</v>
      </c>
      <c r="IQ263" s="4">
        <f>IFERROR(HO263/'McDonough &amp; Sun 1995 values'!Z$2,)</f>
        <v>0</v>
      </c>
      <c r="IR263" s="4">
        <f>IFERROR(HP263/'McDonough &amp; Sun 1995 values'!AA$2,)</f>
        <v>0</v>
      </c>
      <c r="IS263" s="4">
        <f>IFERROR(HQ263/'McDonough &amp; Sun 1995 values'!AB$2,)</f>
        <v>0</v>
      </c>
      <c r="IT263" s="4">
        <f>IFERROR(HR263/'McDonough &amp; Sun 1995 values'!AC$2,)</f>
        <v>0</v>
      </c>
    </row>
    <row r="264" spans="1:254">
      <c r="A264" s="16" t="s">
        <v>838</v>
      </c>
      <c r="B264" s="16" t="s">
        <v>24</v>
      </c>
      <c r="C264" s="16" t="str">
        <f t="shared" si="617"/>
        <v>silicic - low-Mg carbonatitic</v>
      </c>
      <c r="D264" s="16" t="s">
        <v>1719</v>
      </c>
      <c r="E264" s="16" t="s">
        <v>388</v>
      </c>
      <c r="F264" s="16" t="s">
        <v>342</v>
      </c>
      <c r="G264" s="16" t="s">
        <v>829</v>
      </c>
      <c r="H264" s="27">
        <v>0</v>
      </c>
      <c r="I264" s="16" t="s">
        <v>735</v>
      </c>
      <c r="J264" s="16">
        <v>0</v>
      </c>
      <c r="K264" s="16" t="s">
        <v>903</v>
      </c>
      <c r="L264" s="16">
        <v>0</v>
      </c>
      <c r="M264" s="16">
        <v>81</v>
      </c>
      <c r="N264" s="16">
        <v>32</v>
      </c>
      <c r="O264" s="26">
        <v>32.85</v>
      </c>
      <c r="P264" s="26">
        <v>2.69</v>
      </c>
      <c r="Q264" s="26"/>
      <c r="R264" s="26">
        <v>4.32</v>
      </c>
      <c r="S264" s="26">
        <v>9.01</v>
      </c>
      <c r="T264" s="26">
        <v>4.83</v>
      </c>
      <c r="U264" s="26"/>
      <c r="V264" s="26">
        <v>10.32</v>
      </c>
      <c r="W264" s="26">
        <v>3.13</v>
      </c>
      <c r="X264" s="26">
        <v>17.64</v>
      </c>
      <c r="Y264" s="26"/>
      <c r="Z264" s="26">
        <v>5.81</v>
      </c>
      <c r="AA264" s="26">
        <v>1.26</v>
      </c>
      <c r="AB264" s="26">
        <v>3.15</v>
      </c>
      <c r="AC264" s="26"/>
      <c r="AD264" s="26">
        <v>3.95</v>
      </c>
      <c r="AE264" s="26"/>
      <c r="AF264" s="26">
        <v>1.05</v>
      </c>
      <c r="AG264" s="26"/>
      <c r="AH264" s="26"/>
      <c r="AI264" s="26">
        <v>5.04</v>
      </c>
      <c r="AJ264" s="26">
        <f t="shared" si="618"/>
        <v>97.7</v>
      </c>
      <c r="AK264" s="26">
        <f t="shared" si="603"/>
        <v>33.932934424868108</v>
      </c>
      <c r="AL264" s="26">
        <f t="shared" si="604"/>
        <v>2.7786786484899606</v>
      </c>
      <c r="AM264" s="26">
        <f t="shared" si="605"/>
        <v>4.4624132942292309</v>
      </c>
      <c r="AN264" s="26">
        <f t="shared" si="606"/>
        <v>9.3070240233808725</v>
      </c>
      <c r="AO264" s="26">
        <f t="shared" si="607"/>
        <v>4.9892259747979599</v>
      </c>
      <c r="AP264" s="26">
        <f t="shared" si="608"/>
        <v>10.660209536214275</v>
      </c>
      <c r="AQ264" s="26">
        <f t="shared" si="609"/>
        <v>3.253843027042147</v>
      </c>
      <c r="AR264" s="26">
        <f t="shared" si="610"/>
        <v>3.2331837062355304</v>
      </c>
      <c r="AS264" s="26">
        <f t="shared" si="611"/>
        <v>18.221520951436027</v>
      </c>
      <c r="AT264" s="26">
        <f t="shared" si="612"/>
        <v>6.0015326943221821</v>
      </c>
      <c r="AU264" s="26">
        <f t="shared" si="613"/>
        <v>4.0802158593068194</v>
      </c>
      <c r="AV264" s="26">
        <f t="shared" si="619"/>
        <v>100.92078214032311</v>
      </c>
      <c r="AW264" s="16"/>
      <c r="AX264" s="16"/>
      <c r="AY264" s="16"/>
      <c r="AZ264" s="16"/>
      <c r="BA264" s="26"/>
      <c r="BB264" s="26">
        <v>0.78</v>
      </c>
      <c r="BC264" s="26">
        <f t="shared" si="615"/>
        <v>0.78</v>
      </c>
      <c r="BD264" s="26">
        <f t="shared" si="616"/>
        <v>0.21999999999999997</v>
      </c>
      <c r="BE264" s="16"/>
      <c r="BF264" s="16"/>
      <c r="BG264" s="16"/>
      <c r="BH264" s="16"/>
      <c r="BI264" s="16"/>
      <c r="BJ264" s="16"/>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28"/>
      <c r="DW264" s="28"/>
      <c r="DX264" s="28"/>
      <c r="DY264" s="28"/>
      <c r="DZ264" s="28"/>
      <c r="EA264" s="28"/>
      <c r="EB264" s="28"/>
      <c r="EC264" s="28"/>
      <c r="ED264" s="28"/>
      <c r="EE264" s="28"/>
      <c r="EF264" s="28"/>
      <c r="EG264" s="28"/>
      <c r="EH264" s="28"/>
      <c r="EI264" s="28"/>
      <c r="EJ264" s="18"/>
      <c r="EK264" s="18"/>
      <c r="EL264" s="18">
        <f>IFERROR(CR264/'McDonough &amp; Sun 1995 values'!C$2,)</f>
        <v>0</v>
      </c>
      <c r="EM264" s="18">
        <f>IFERROR(CH264/'McDonough &amp; Sun 1995 values'!D$2,)</f>
        <v>0</v>
      </c>
      <c r="EN264" s="18">
        <f>IFERROR(CS264/'McDonough &amp; Sun 1995 values'!E$2,)</f>
        <v>0</v>
      </c>
      <c r="EO264" s="18">
        <f>IFERROR(DL264/'McDonough &amp; Sun 1995 values'!F$2,)</f>
        <v>0</v>
      </c>
      <c r="EP264" s="18">
        <f>IFERROR(DM264/'McDonough &amp; Sun 1995 values'!G$2,)</f>
        <v>0</v>
      </c>
      <c r="EQ264" s="18">
        <f>IFERROR(BR264/'McDonough &amp; Sun 1995 values'!H$2,)</f>
        <v>0</v>
      </c>
      <c r="ER264" s="18">
        <f>IFERROR(DI264/'McDonough &amp; Sun 1995 values'!I$2,)</f>
        <v>0</v>
      </c>
      <c r="ES264" s="18">
        <f>IFERROR(CM264/'McDonough &amp; Sun 1995 values'!J$2,)</f>
        <v>0</v>
      </c>
      <c r="ET264" s="18">
        <f>IFERROR(CU264/'McDonough &amp; Sun 1995 values'!K$2,)</f>
        <v>0</v>
      </c>
      <c r="EU264" s="18">
        <f>IFERROR(CV264/'McDonough &amp; Sun 1995 values'!L$2,)</f>
        <v>0</v>
      </c>
      <c r="EV264" s="18">
        <f>IFERROR(CW264/'McDonough &amp; Sun 1995 values'!M$2,)</f>
        <v>0</v>
      </c>
      <c r="EW264" s="18">
        <f>IFERROR(CI264/'McDonough &amp; Sun 1995 values'!N$2,)</f>
        <v>0</v>
      </c>
      <c r="EX264" s="18">
        <f>IFERROR(CX264/'McDonough &amp; Sun 1995 values'!O$2,)</f>
        <v>0</v>
      </c>
      <c r="EY264" s="18">
        <f>IFERROR(CY264/'McDonough &amp; Sun 1995 values'!P$2,)</f>
        <v>0</v>
      </c>
      <c r="EZ264" s="18">
        <f>IFERROR(DH264/'McDonough &amp; Sun 1995 values'!Q$2,)</f>
        <v>0</v>
      </c>
      <c r="FA264" s="18">
        <f>IFERROR(CK264/'McDonough &amp; Sun 1995 values'!R$2,)</f>
        <v>0</v>
      </c>
      <c r="FB264" s="18">
        <f>IFERROR(CZ264/'McDonough &amp; Sun 1995 values'!S$2,)</f>
        <v>0</v>
      </c>
      <c r="FC264" s="18">
        <f>IFERROR(BT264/'McDonough &amp; Sun 1995 values'!T$2,)</f>
        <v>0</v>
      </c>
      <c r="FD264" s="18">
        <f>IFERROR(DA264/'McDonough &amp; Sun 1995 values'!U$2,)</f>
        <v>0</v>
      </c>
      <c r="FE264" s="18">
        <f>IFERROR(DN264/'McDonough &amp; Sun 1995 values'!V$2,)</f>
        <v>0</v>
      </c>
      <c r="FF264" s="18">
        <f>IFERROR(DB264/'McDonough &amp; Sun 1995 values'!W$2,)</f>
        <v>0</v>
      </c>
      <c r="FG264" s="18">
        <f>IFERROR(CJ264/'McDonough &amp; Sun 1995 values'!X$2,)</f>
        <v>0</v>
      </c>
      <c r="FH264" s="18">
        <f>IFERROR(DC264/'McDonough &amp; Sun 1995 values'!Y$2,)</f>
        <v>0</v>
      </c>
      <c r="FI264" s="18">
        <f>IFERROR(DD264/'McDonough &amp; Sun 1995 values'!Z$2,)</f>
        <v>0</v>
      </c>
      <c r="FJ264" s="18">
        <f>IFERROR(DE264/'McDonough &amp; Sun 1995 values'!AA$2,)</f>
        <v>0</v>
      </c>
      <c r="FK264" s="18">
        <f>IFERROR(DF264/'McDonough &amp; Sun 1995 values'!AB$2,)</f>
        <v>0</v>
      </c>
      <c r="FL264" s="18">
        <f>IFERROR(DG264/'McDonough &amp; Sun 1995 values'!AC$2,)</f>
        <v>0</v>
      </c>
      <c r="FN264" s="28">
        <f t="shared" si="614"/>
        <v>0</v>
      </c>
      <c r="FO264" s="4">
        <f t="shared" si="547"/>
        <v>0</v>
      </c>
      <c r="FP264" s="4">
        <f t="shared" si="548"/>
        <v>0</v>
      </c>
      <c r="FQ264" s="4">
        <f t="shared" si="549"/>
        <v>0</v>
      </c>
      <c r="FR264" s="4">
        <f t="shared" si="550"/>
        <v>0</v>
      </c>
      <c r="FS264" s="4">
        <f t="shared" si="551"/>
        <v>0</v>
      </c>
      <c r="FT264" s="4">
        <f t="shared" si="552"/>
        <v>0</v>
      </c>
      <c r="FU264" s="4">
        <f t="shared" si="553"/>
        <v>0</v>
      </c>
      <c r="FV264" s="4">
        <f t="shared" si="554"/>
        <v>0</v>
      </c>
      <c r="FW264" s="4">
        <f t="shared" si="555"/>
        <v>0</v>
      </c>
      <c r="FX264" s="4">
        <f t="shared" si="556"/>
        <v>0</v>
      </c>
      <c r="FY264" s="4">
        <f t="shared" si="557"/>
        <v>0</v>
      </c>
      <c r="FZ264" s="4">
        <f t="shared" si="558"/>
        <v>0</v>
      </c>
      <c r="GA264" s="4">
        <f t="shared" si="559"/>
        <v>0</v>
      </c>
      <c r="GB264" s="4">
        <f t="shared" si="560"/>
        <v>0</v>
      </c>
      <c r="GC264" s="4">
        <f t="shared" si="561"/>
        <v>0</v>
      </c>
      <c r="GD264" s="4">
        <f t="shared" si="562"/>
        <v>0</v>
      </c>
      <c r="GE264" s="4">
        <f t="shared" si="563"/>
        <v>0</v>
      </c>
      <c r="GF264" s="4">
        <f t="shared" si="564"/>
        <v>0</v>
      </c>
      <c r="GG264" s="4">
        <f t="shared" si="565"/>
        <v>0</v>
      </c>
      <c r="GH264" s="4">
        <f t="shared" si="566"/>
        <v>0</v>
      </c>
      <c r="GI264" s="4">
        <f t="shared" si="567"/>
        <v>0</v>
      </c>
      <c r="GJ264" s="4">
        <f t="shared" si="568"/>
        <v>0</v>
      </c>
      <c r="GK264" s="4">
        <f t="shared" si="569"/>
        <v>0</v>
      </c>
      <c r="GL264" s="4">
        <f t="shared" si="570"/>
        <v>0</v>
      </c>
      <c r="GM264" s="4">
        <f t="shared" si="571"/>
        <v>0</v>
      </c>
      <c r="GN264" s="4">
        <f t="shared" si="572"/>
        <v>0</v>
      </c>
      <c r="GO264" s="4">
        <f t="shared" si="573"/>
        <v>0</v>
      </c>
      <c r="GP264" s="4">
        <f t="shared" si="574"/>
        <v>0</v>
      </c>
      <c r="GQ264" s="27">
        <f t="shared" si="575"/>
        <v>151263.64290345524</v>
      </c>
      <c r="GR264" s="28" t="str">
        <f t="shared" si="576"/>
        <v/>
      </c>
      <c r="GS264" s="28" t="str">
        <f t="shared" si="577"/>
        <v/>
      </c>
      <c r="GT264" s="28" t="str">
        <f t="shared" si="578"/>
        <v/>
      </c>
      <c r="GU264" s="28" t="str">
        <f t="shared" si="579"/>
        <v/>
      </c>
      <c r="GV264" s="28" t="str">
        <f t="shared" si="580"/>
        <v/>
      </c>
      <c r="GW264" s="28" t="str">
        <f t="shared" si="581"/>
        <v/>
      </c>
      <c r="GX264" s="28" t="str">
        <f t="shared" si="582"/>
        <v/>
      </c>
      <c r="GY264" s="28" t="str">
        <f t="shared" si="583"/>
        <v/>
      </c>
      <c r="GZ264" s="28" t="str">
        <f t="shared" si="584"/>
        <v/>
      </c>
      <c r="HA264" s="28" t="str">
        <f t="shared" si="585"/>
        <v/>
      </c>
      <c r="HB264" s="28" t="str">
        <f t="shared" si="586"/>
        <v/>
      </c>
      <c r="HC264" s="28" t="str">
        <f t="shared" si="587"/>
        <v/>
      </c>
      <c r="HD264" s="28" t="str">
        <f t="shared" si="588"/>
        <v/>
      </c>
      <c r="HE264" s="28" t="str">
        <f t="shared" si="589"/>
        <v/>
      </c>
      <c r="HF264" s="28" t="str">
        <f t="shared" si="590"/>
        <v/>
      </c>
      <c r="HG264" s="28" t="str">
        <f t="shared" si="591"/>
        <v/>
      </c>
      <c r="HH264" s="28" t="str">
        <f t="shared" si="592"/>
        <v/>
      </c>
      <c r="HI264" s="28" t="str">
        <f t="shared" si="593"/>
        <v/>
      </c>
      <c r="HJ264" s="28" t="str">
        <f t="shared" si="594"/>
        <v/>
      </c>
      <c r="HK264" s="28" t="str">
        <f t="shared" si="595"/>
        <v/>
      </c>
      <c r="HL264" s="28" t="str">
        <f t="shared" si="596"/>
        <v/>
      </c>
      <c r="HM264" s="28" t="str">
        <f t="shared" si="597"/>
        <v/>
      </c>
      <c r="HN264" s="28" t="str">
        <f t="shared" si="598"/>
        <v/>
      </c>
      <c r="HO264" s="28" t="str">
        <f t="shared" si="599"/>
        <v/>
      </c>
      <c r="HP264" s="28" t="str">
        <f t="shared" si="600"/>
        <v/>
      </c>
      <c r="HQ264" s="28" t="str">
        <f t="shared" si="601"/>
        <v/>
      </c>
      <c r="HR264" s="28" t="str">
        <f t="shared" si="602"/>
        <v/>
      </c>
      <c r="HT264" s="4">
        <f>IFERROR(GR264/'McDonough &amp; Sun 1995 values'!C$2,)</f>
        <v>0</v>
      </c>
      <c r="HU264" s="4">
        <f>IFERROR(GS264/'McDonough &amp; Sun 1995 values'!D$2,)</f>
        <v>0</v>
      </c>
      <c r="HV264" s="4">
        <f>IFERROR(GT264/'McDonough &amp; Sun 1995 values'!E$2,)</f>
        <v>0</v>
      </c>
      <c r="HW264" s="4">
        <f>IFERROR(GU264/'McDonough &amp; Sun 1995 values'!F$2,)</f>
        <v>0</v>
      </c>
      <c r="HX264" s="4">
        <f>IFERROR(GV264/'McDonough &amp; Sun 1995 values'!G$2,)</f>
        <v>0</v>
      </c>
      <c r="HY264" s="4">
        <f>IFERROR(GW264/'McDonough &amp; Sun 1995 values'!H$2,)</f>
        <v>0</v>
      </c>
      <c r="HZ264" s="4">
        <f>IFERROR(GX264/'McDonough &amp; Sun 1995 values'!I$2,)</f>
        <v>0</v>
      </c>
      <c r="IA264" s="4">
        <f>IFERROR(GY264/'McDonough &amp; Sun 1995 values'!J$2,)</f>
        <v>0</v>
      </c>
      <c r="IB264" s="4">
        <f>IFERROR(GZ264/'McDonough &amp; Sun 1995 values'!K$2,)</f>
        <v>0</v>
      </c>
      <c r="IC264" s="4">
        <f>IFERROR(HA264/'McDonough &amp; Sun 1995 values'!L$2,)</f>
        <v>0</v>
      </c>
      <c r="ID264" s="4">
        <f>IFERROR(HB264/'McDonough &amp; Sun 1995 values'!M$2,)</f>
        <v>0</v>
      </c>
      <c r="IE264" s="4">
        <f>IFERROR(HC264/'McDonough &amp; Sun 1995 values'!N$2,)</f>
        <v>0</v>
      </c>
      <c r="IF264" s="4">
        <f>IFERROR(HD264/'McDonough &amp; Sun 1995 values'!O$2,)</f>
        <v>0</v>
      </c>
      <c r="IG264" s="4">
        <f>IFERROR(HE264/'McDonough &amp; Sun 1995 values'!P$2,)</f>
        <v>0</v>
      </c>
      <c r="IH264" s="4">
        <f>IFERROR(HF264/'McDonough &amp; Sun 1995 values'!Q$2,)</f>
        <v>0</v>
      </c>
      <c r="II264" s="4">
        <f>IFERROR(HG264/'McDonough &amp; Sun 1995 values'!R$2,)</f>
        <v>0</v>
      </c>
      <c r="IJ264" s="4">
        <f>IFERROR(HH264/'McDonough &amp; Sun 1995 values'!S$2,)</f>
        <v>0</v>
      </c>
      <c r="IK264" s="4">
        <f>IFERROR(HI264/'McDonough &amp; Sun 1995 values'!T$2,)</f>
        <v>0</v>
      </c>
      <c r="IL264" s="4">
        <f>IFERROR(HJ264/'McDonough &amp; Sun 1995 values'!U$2,)</f>
        <v>0</v>
      </c>
      <c r="IM264" s="4">
        <f>IFERROR(HK264/'McDonough &amp; Sun 1995 values'!V$2,)</f>
        <v>0</v>
      </c>
      <c r="IN264" s="4">
        <f>IFERROR(HL264/'McDonough &amp; Sun 1995 values'!W$2,)</f>
        <v>0</v>
      </c>
      <c r="IO264" s="4">
        <f>IFERROR(HM264/'McDonough &amp; Sun 1995 values'!X$2,)</f>
        <v>0</v>
      </c>
      <c r="IP264" s="4">
        <f>IFERROR(HN264/'McDonough &amp; Sun 1995 values'!Y$2,)</f>
        <v>0</v>
      </c>
      <c r="IQ264" s="4">
        <f>IFERROR(HO264/'McDonough &amp; Sun 1995 values'!Z$2,)</f>
        <v>0</v>
      </c>
      <c r="IR264" s="4">
        <f>IFERROR(HP264/'McDonough &amp; Sun 1995 values'!AA$2,)</f>
        <v>0</v>
      </c>
      <c r="IS264" s="4">
        <f>IFERROR(HQ264/'McDonough &amp; Sun 1995 values'!AB$2,)</f>
        <v>0</v>
      </c>
      <c r="IT264" s="4">
        <f>IFERROR(HR264/'McDonough &amp; Sun 1995 values'!AC$2,)</f>
        <v>0</v>
      </c>
    </row>
    <row r="265" spans="1:254">
      <c r="A265" s="16" t="s">
        <v>838</v>
      </c>
      <c r="B265" s="16" t="s">
        <v>24</v>
      </c>
      <c r="C265" s="16" t="str">
        <f t="shared" si="617"/>
        <v>silicic - low-Mg carbonatitic</v>
      </c>
      <c r="D265" s="16" t="s">
        <v>1719</v>
      </c>
      <c r="E265" s="16" t="s">
        <v>388</v>
      </c>
      <c r="F265" s="16" t="s">
        <v>342</v>
      </c>
      <c r="G265" s="16" t="s">
        <v>829</v>
      </c>
      <c r="H265" s="27">
        <v>0</v>
      </c>
      <c r="I265" s="16" t="s">
        <v>735</v>
      </c>
      <c r="J265" s="16">
        <v>0</v>
      </c>
      <c r="K265" s="16" t="s">
        <v>903</v>
      </c>
      <c r="L265" s="16">
        <v>0</v>
      </c>
      <c r="M265" s="16">
        <v>85</v>
      </c>
      <c r="N265" s="16">
        <v>36</v>
      </c>
      <c r="O265" s="26">
        <v>37.97</v>
      </c>
      <c r="P265" s="26">
        <v>2.69</v>
      </c>
      <c r="Q265" s="26"/>
      <c r="R265" s="26">
        <v>5.79</v>
      </c>
      <c r="S265" s="26">
        <v>7.64</v>
      </c>
      <c r="T265" s="26">
        <v>3.89</v>
      </c>
      <c r="U265" s="26"/>
      <c r="V265" s="26">
        <v>9.1300000000000008</v>
      </c>
      <c r="W265" s="26">
        <v>2.99</v>
      </c>
      <c r="X265" s="26">
        <v>16.010000000000002</v>
      </c>
      <c r="Y265" s="26"/>
      <c r="Z265" s="26">
        <v>5.45</v>
      </c>
      <c r="AA265" s="26">
        <v>2.0499999999999998</v>
      </c>
      <c r="AB265" s="26">
        <v>1.78</v>
      </c>
      <c r="AC265" s="26"/>
      <c r="AD265" s="26">
        <v>3.88</v>
      </c>
      <c r="AE265" s="26"/>
      <c r="AF265" s="26">
        <v>0.73</v>
      </c>
      <c r="AG265" s="26"/>
      <c r="AH265" s="26"/>
      <c r="AI265" s="26">
        <v>5.22</v>
      </c>
      <c r="AJ265" s="26">
        <f t="shared" si="618"/>
        <v>97.22</v>
      </c>
      <c r="AK265" s="26">
        <f t="shared" si="603"/>
        <v>39.410697225427462</v>
      </c>
      <c r="AL265" s="26">
        <f t="shared" si="604"/>
        <v>2.7920667773610717</v>
      </c>
      <c r="AM265" s="26">
        <f t="shared" si="605"/>
        <v>6.0096902010857267</v>
      </c>
      <c r="AN265" s="26">
        <f t="shared" si="606"/>
        <v>7.9298848249214071</v>
      </c>
      <c r="AO265" s="26">
        <f t="shared" si="607"/>
        <v>4.0375984252544868</v>
      </c>
      <c r="AP265" s="26">
        <f t="shared" si="608"/>
        <v>9.4764199543890655</v>
      </c>
      <c r="AQ265" s="26">
        <f t="shared" si="609"/>
        <v>1.8475386110418985</v>
      </c>
      <c r="AR265" s="26">
        <f t="shared" si="610"/>
        <v>3.1034496893344254</v>
      </c>
      <c r="AS265" s="26">
        <f t="shared" si="611"/>
        <v>16.617468068977978</v>
      </c>
      <c r="AT265" s="26">
        <f t="shared" si="612"/>
        <v>5.6567895675159265</v>
      </c>
      <c r="AU265" s="26">
        <f t="shared" si="613"/>
        <v>4.0272189948553745</v>
      </c>
      <c r="AV265" s="26">
        <f t="shared" si="619"/>
        <v>100.90882234016482</v>
      </c>
      <c r="AW265" s="16"/>
      <c r="AX265" s="16"/>
      <c r="AY265" s="16"/>
      <c r="AZ265" s="16"/>
      <c r="BA265" s="26"/>
      <c r="BB265" s="26">
        <v>0.86</v>
      </c>
      <c r="BC265" s="26">
        <f t="shared" si="615"/>
        <v>0.86</v>
      </c>
      <c r="BD265" s="26">
        <f t="shared" si="616"/>
        <v>0.14000000000000001</v>
      </c>
      <c r="BE265" s="16"/>
      <c r="BF265" s="16"/>
      <c r="BG265" s="16"/>
      <c r="BH265" s="16"/>
      <c r="BI265" s="16"/>
      <c r="BJ265" s="16"/>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28"/>
      <c r="DW265" s="28"/>
      <c r="DX265" s="28"/>
      <c r="DY265" s="28"/>
      <c r="DZ265" s="28"/>
      <c r="EA265" s="28"/>
      <c r="EB265" s="28"/>
      <c r="EC265" s="28"/>
      <c r="ED265" s="28"/>
      <c r="EE265" s="28"/>
      <c r="EF265" s="28"/>
      <c r="EG265" s="28"/>
      <c r="EH265" s="28"/>
      <c r="EI265" s="28"/>
      <c r="EJ265" s="18"/>
      <c r="EK265" s="18"/>
      <c r="EL265" s="18">
        <f>IFERROR(CR265/'McDonough &amp; Sun 1995 values'!C$2,)</f>
        <v>0</v>
      </c>
      <c r="EM265" s="18">
        <f>IFERROR(CH265/'McDonough &amp; Sun 1995 values'!D$2,)</f>
        <v>0</v>
      </c>
      <c r="EN265" s="18">
        <f>IFERROR(CS265/'McDonough &amp; Sun 1995 values'!E$2,)</f>
        <v>0</v>
      </c>
      <c r="EO265" s="18">
        <f>IFERROR(DL265/'McDonough &amp; Sun 1995 values'!F$2,)</f>
        <v>0</v>
      </c>
      <c r="EP265" s="18">
        <f>IFERROR(DM265/'McDonough &amp; Sun 1995 values'!G$2,)</f>
        <v>0</v>
      </c>
      <c r="EQ265" s="18">
        <f>IFERROR(BR265/'McDonough &amp; Sun 1995 values'!H$2,)</f>
        <v>0</v>
      </c>
      <c r="ER265" s="18">
        <f>IFERROR(DI265/'McDonough &amp; Sun 1995 values'!I$2,)</f>
        <v>0</v>
      </c>
      <c r="ES265" s="18">
        <f>IFERROR(CM265/'McDonough &amp; Sun 1995 values'!J$2,)</f>
        <v>0</v>
      </c>
      <c r="ET265" s="18">
        <f>IFERROR(CU265/'McDonough &amp; Sun 1995 values'!K$2,)</f>
        <v>0</v>
      </c>
      <c r="EU265" s="18">
        <f>IFERROR(CV265/'McDonough &amp; Sun 1995 values'!L$2,)</f>
        <v>0</v>
      </c>
      <c r="EV265" s="18">
        <f>IFERROR(CW265/'McDonough &amp; Sun 1995 values'!M$2,)</f>
        <v>0</v>
      </c>
      <c r="EW265" s="18">
        <f>IFERROR(CI265/'McDonough &amp; Sun 1995 values'!N$2,)</f>
        <v>0</v>
      </c>
      <c r="EX265" s="18">
        <f>IFERROR(CX265/'McDonough &amp; Sun 1995 values'!O$2,)</f>
        <v>0</v>
      </c>
      <c r="EY265" s="18">
        <f>IFERROR(CY265/'McDonough &amp; Sun 1995 values'!P$2,)</f>
        <v>0</v>
      </c>
      <c r="EZ265" s="18">
        <f>IFERROR(DH265/'McDonough &amp; Sun 1995 values'!Q$2,)</f>
        <v>0</v>
      </c>
      <c r="FA265" s="18">
        <f>IFERROR(CK265/'McDonough &amp; Sun 1995 values'!R$2,)</f>
        <v>0</v>
      </c>
      <c r="FB265" s="18">
        <f>IFERROR(CZ265/'McDonough &amp; Sun 1995 values'!S$2,)</f>
        <v>0</v>
      </c>
      <c r="FC265" s="18">
        <f>IFERROR(BT265/'McDonough &amp; Sun 1995 values'!T$2,)</f>
        <v>0</v>
      </c>
      <c r="FD265" s="18">
        <f>IFERROR(DA265/'McDonough &amp; Sun 1995 values'!U$2,)</f>
        <v>0</v>
      </c>
      <c r="FE265" s="18">
        <f>IFERROR(DN265/'McDonough &amp; Sun 1995 values'!V$2,)</f>
        <v>0</v>
      </c>
      <c r="FF265" s="18">
        <f>IFERROR(DB265/'McDonough &amp; Sun 1995 values'!W$2,)</f>
        <v>0</v>
      </c>
      <c r="FG265" s="18">
        <f>IFERROR(CJ265/'McDonough &amp; Sun 1995 values'!X$2,)</f>
        <v>0</v>
      </c>
      <c r="FH265" s="18">
        <f>IFERROR(DC265/'McDonough &amp; Sun 1995 values'!Y$2,)</f>
        <v>0</v>
      </c>
      <c r="FI265" s="18">
        <f>IFERROR(DD265/'McDonough &amp; Sun 1995 values'!Z$2,)</f>
        <v>0</v>
      </c>
      <c r="FJ265" s="18">
        <f>IFERROR(DE265/'McDonough &amp; Sun 1995 values'!AA$2,)</f>
        <v>0</v>
      </c>
      <c r="FK265" s="18">
        <f>IFERROR(DF265/'McDonough &amp; Sun 1995 values'!AB$2,)</f>
        <v>0</v>
      </c>
      <c r="FL265" s="18">
        <f>IFERROR(DG265/'McDonough &amp; Sun 1995 values'!AC$2,)</f>
        <v>0</v>
      </c>
      <c r="FN265" s="28">
        <f t="shared" si="614"/>
        <v>0</v>
      </c>
      <c r="FO265" s="4">
        <f t="shared" si="547"/>
        <v>0</v>
      </c>
      <c r="FP265" s="4">
        <f t="shared" si="548"/>
        <v>0</v>
      </c>
      <c r="FQ265" s="4">
        <f t="shared" si="549"/>
        <v>0</v>
      </c>
      <c r="FR265" s="4">
        <f t="shared" si="550"/>
        <v>0</v>
      </c>
      <c r="FS265" s="4">
        <f t="shared" si="551"/>
        <v>0</v>
      </c>
      <c r="FT265" s="4">
        <f t="shared" si="552"/>
        <v>0</v>
      </c>
      <c r="FU265" s="4">
        <f t="shared" si="553"/>
        <v>0</v>
      </c>
      <c r="FV265" s="4">
        <f t="shared" si="554"/>
        <v>0</v>
      </c>
      <c r="FW265" s="4">
        <f t="shared" si="555"/>
        <v>0</v>
      </c>
      <c r="FX265" s="4">
        <f t="shared" si="556"/>
        <v>0</v>
      </c>
      <c r="FY265" s="4">
        <f t="shared" si="557"/>
        <v>0</v>
      </c>
      <c r="FZ265" s="4">
        <f t="shared" si="558"/>
        <v>0</v>
      </c>
      <c r="GA265" s="4">
        <f t="shared" si="559"/>
        <v>0</v>
      </c>
      <c r="GB265" s="4">
        <f t="shared" si="560"/>
        <v>0</v>
      </c>
      <c r="GC265" s="4">
        <f t="shared" si="561"/>
        <v>0</v>
      </c>
      <c r="GD265" s="4">
        <f t="shared" si="562"/>
        <v>0</v>
      </c>
      <c r="GE265" s="4">
        <f t="shared" si="563"/>
        <v>0</v>
      </c>
      <c r="GF265" s="4">
        <f t="shared" si="564"/>
        <v>0</v>
      </c>
      <c r="GG265" s="4">
        <f t="shared" si="565"/>
        <v>0</v>
      </c>
      <c r="GH265" s="4">
        <f t="shared" si="566"/>
        <v>0</v>
      </c>
      <c r="GI265" s="4">
        <f t="shared" si="567"/>
        <v>0</v>
      </c>
      <c r="GJ265" s="4">
        <f t="shared" si="568"/>
        <v>0</v>
      </c>
      <c r="GK265" s="4">
        <f t="shared" si="569"/>
        <v>0</v>
      </c>
      <c r="GL265" s="4">
        <f t="shared" si="570"/>
        <v>0</v>
      </c>
      <c r="GM265" s="4">
        <f t="shared" si="571"/>
        <v>0</v>
      </c>
      <c r="GN265" s="4">
        <f t="shared" si="572"/>
        <v>0</v>
      </c>
      <c r="GO265" s="4">
        <f t="shared" si="573"/>
        <v>0</v>
      </c>
      <c r="GP265" s="4">
        <f t="shared" si="574"/>
        <v>0</v>
      </c>
      <c r="GQ265" s="27">
        <f t="shared" si="575"/>
        <v>137947.80153889174</v>
      </c>
      <c r="GR265" s="28" t="str">
        <f t="shared" si="576"/>
        <v/>
      </c>
      <c r="GS265" s="28" t="str">
        <f t="shared" si="577"/>
        <v/>
      </c>
      <c r="GT265" s="28" t="str">
        <f t="shared" si="578"/>
        <v/>
      </c>
      <c r="GU265" s="28" t="str">
        <f t="shared" si="579"/>
        <v/>
      </c>
      <c r="GV265" s="28" t="str">
        <f t="shared" si="580"/>
        <v/>
      </c>
      <c r="GW265" s="28" t="str">
        <f t="shared" si="581"/>
        <v/>
      </c>
      <c r="GX265" s="28" t="str">
        <f t="shared" si="582"/>
        <v/>
      </c>
      <c r="GY265" s="28" t="str">
        <f t="shared" si="583"/>
        <v/>
      </c>
      <c r="GZ265" s="28" t="str">
        <f t="shared" si="584"/>
        <v/>
      </c>
      <c r="HA265" s="28" t="str">
        <f t="shared" si="585"/>
        <v/>
      </c>
      <c r="HB265" s="28" t="str">
        <f t="shared" si="586"/>
        <v/>
      </c>
      <c r="HC265" s="28" t="str">
        <f t="shared" si="587"/>
        <v/>
      </c>
      <c r="HD265" s="28" t="str">
        <f t="shared" si="588"/>
        <v/>
      </c>
      <c r="HE265" s="28" t="str">
        <f t="shared" si="589"/>
        <v/>
      </c>
      <c r="HF265" s="28" t="str">
        <f t="shared" si="590"/>
        <v/>
      </c>
      <c r="HG265" s="28" t="str">
        <f t="shared" si="591"/>
        <v/>
      </c>
      <c r="HH265" s="28" t="str">
        <f t="shared" si="592"/>
        <v/>
      </c>
      <c r="HI265" s="28" t="str">
        <f t="shared" si="593"/>
        <v/>
      </c>
      <c r="HJ265" s="28" t="str">
        <f t="shared" si="594"/>
        <v/>
      </c>
      <c r="HK265" s="28" t="str">
        <f t="shared" si="595"/>
        <v/>
      </c>
      <c r="HL265" s="28" t="str">
        <f t="shared" si="596"/>
        <v/>
      </c>
      <c r="HM265" s="28" t="str">
        <f t="shared" si="597"/>
        <v/>
      </c>
      <c r="HN265" s="28" t="str">
        <f t="shared" si="598"/>
        <v/>
      </c>
      <c r="HO265" s="28" t="str">
        <f t="shared" si="599"/>
        <v/>
      </c>
      <c r="HP265" s="28" t="str">
        <f t="shared" si="600"/>
        <v/>
      </c>
      <c r="HQ265" s="28" t="str">
        <f t="shared" si="601"/>
        <v/>
      </c>
      <c r="HR265" s="28" t="str">
        <f t="shared" si="602"/>
        <v/>
      </c>
      <c r="HT265" s="4">
        <f>IFERROR(GR265/'McDonough &amp; Sun 1995 values'!C$2,)</f>
        <v>0</v>
      </c>
      <c r="HU265" s="4">
        <f>IFERROR(GS265/'McDonough &amp; Sun 1995 values'!D$2,)</f>
        <v>0</v>
      </c>
      <c r="HV265" s="4">
        <f>IFERROR(GT265/'McDonough &amp; Sun 1995 values'!E$2,)</f>
        <v>0</v>
      </c>
      <c r="HW265" s="4">
        <f>IFERROR(GU265/'McDonough &amp; Sun 1995 values'!F$2,)</f>
        <v>0</v>
      </c>
      <c r="HX265" s="4">
        <f>IFERROR(GV265/'McDonough &amp; Sun 1995 values'!G$2,)</f>
        <v>0</v>
      </c>
      <c r="HY265" s="4">
        <f>IFERROR(GW265/'McDonough &amp; Sun 1995 values'!H$2,)</f>
        <v>0</v>
      </c>
      <c r="HZ265" s="4">
        <f>IFERROR(GX265/'McDonough &amp; Sun 1995 values'!I$2,)</f>
        <v>0</v>
      </c>
      <c r="IA265" s="4">
        <f>IFERROR(GY265/'McDonough &amp; Sun 1995 values'!J$2,)</f>
        <v>0</v>
      </c>
      <c r="IB265" s="4">
        <f>IFERROR(GZ265/'McDonough &amp; Sun 1995 values'!K$2,)</f>
        <v>0</v>
      </c>
      <c r="IC265" s="4">
        <f>IFERROR(HA265/'McDonough &amp; Sun 1995 values'!L$2,)</f>
        <v>0</v>
      </c>
      <c r="ID265" s="4">
        <f>IFERROR(HB265/'McDonough &amp; Sun 1995 values'!M$2,)</f>
        <v>0</v>
      </c>
      <c r="IE265" s="4">
        <f>IFERROR(HC265/'McDonough &amp; Sun 1995 values'!N$2,)</f>
        <v>0</v>
      </c>
      <c r="IF265" s="4">
        <f>IFERROR(HD265/'McDonough &amp; Sun 1995 values'!O$2,)</f>
        <v>0</v>
      </c>
      <c r="IG265" s="4">
        <f>IFERROR(HE265/'McDonough &amp; Sun 1995 values'!P$2,)</f>
        <v>0</v>
      </c>
      <c r="IH265" s="4">
        <f>IFERROR(HF265/'McDonough &amp; Sun 1995 values'!Q$2,)</f>
        <v>0</v>
      </c>
      <c r="II265" s="4">
        <f>IFERROR(HG265/'McDonough &amp; Sun 1995 values'!R$2,)</f>
        <v>0</v>
      </c>
      <c r="IJ265" s="4">
        <f>IFERROR(HH265/'McDonough &amp; Sun 1995 values'!S$2,)</f>
        <v>0</v>
      </c>
      <c r="IK265" s="4">
        <f>IFERROR(HI265/'McDonough &amp; Sun 1995 values'!T$2,)</f>
        <v>0</v>
      </c>
      <c r="IL265" s="4">
        <f>IFERROR(HJ265/'McDonough &amp; Sun 1995 values'!U$2,)</f>
        <v>0</v>
      </c>
      <c r="IM265" s="4">
        <f>IFERROR(HK265/'McDonough &amp; Sun 1995 values'!V$2,)</f>
        <v>0</v>
      </c>
      <c r="IN265" s="4">
        <f>IFERROR(HL265/'McDonough &amp; Sun 1995 values'!W$2,)</f>
        <v>0</v>
      </c>
      <c r="IO265" s="4">
        <f>IFERROR(HM265/'McDonough &amp; Sun 1995 values'!X$2,)</f>
        <v>0</v>
      </c>
      <c r="IP265" s="4">
        <f>IFERROR(HN265/'McDonough &amp; Sun 1995 values'!Y$2,)</f>
        <v>0</v>
      </c>
      <c r="IQ265" s="4">
        <f>IFERROR(HO265/'McDonough &amp; Sun 1995 values'!Z$2,)</f>
        <v>0</v>
      </c>
      <c r="IR265" s="4">
        <f>IFERROR(HP265/'McDonough &amp; Sun 1995 values'!AA$2,)</f>
        <v>0</v>
      </c>
      <c r="IS265" s="4">
        <f>IFERROR(HQ265/'McDonough &amp; Sun 1995 values'!AB$2,)</f>
        <v>0</v>
      </c>
      <c r="IT265" s="4">
        <f>IFERROR(HR265/'McDonough &amp; Sun 1995 values'!AC$2,)</f>
        <v>0</v>
      </c>
    </row>
    <row r="266" spans="1:254">
      <c r="A266" s="16" t="s">
        <v>846</v>
      </c>
      <c r="B266" s="16" t="s">
        <v>24</v>
      </c>
      <c r="C266" s="16" t="str">
        <f t="shared" si="617"/>
        <v>silicic - low-Mg carbonatitic</v>
      </c>
      <c r="D266" s="16" t="s">
        <v>1722</v>
      </c>
      <c r="E266" s="16" t="s">
        <v>388</v>
      </c>
      <c r="F266" s="16" t="s">
        <v>1789</v>
      </c>
      <c r="G266" s="16" t="s">
        <v>640</v>
      </c>
      <c r="H266" s="27">
        <v>0</v>
      </c>
      <c r="I266" s="16" t="s">
        <v>1148</v>
      </c>
      <c r="J266" s="16">
        <v>0</v>
      </c>
      <c r="K266" s="16">
        <v>0</v>
      </c>
      <c r="L266" s="16">
        <v>0</v>
      </c>
      <c r="M266" s="16" t="s">
        <v>514</v>
      </c>
      <c r="N266" s="16">
        <v>21</v>
      </c>
      <c r="O266" s="26">
        <v>30.61</v>
      </c>
      <c r="P266" s="26">
        <v>1.96</v>
      </c>
      <c r="Q266" s="26"/>
      <c r="R266" s="26">
        <v>6.75</v>
      </c>
      <c r="S266" s="26">
        <v>6.65</v>
      </c>
      <c r="T266" s="26">
        <v>4.99</v>
      </c>
      <c r="U266" s="26"/>
      <c r="V266" s="26">
        <v>18.73</v>
      </c>
      <c r="W266" s="26">
        <v>3.16</v>
      </c>
      <c r="X266" s="26">
        <v>14.45</v>
      </c>
      <c r="Y266" s="26"/>
      <c r="Z266" s="26">
        <v>6.85</v>
      </c>
      <c r="AA266" s="26"/>
      <c r="AB266" s="26"/>
      <c r="AC266" s="26"/>
      <c r="AD266" s="26">
        <v>4.87</v>
      </c>
      <c r="AE266" s="26"/>
      <c r="AF266" s="26"/>
      <c r="AG266" s="26"/>
      <c r="AH266" s="26"/>
      <c r="AI266" s="26">
        <v>9.11</v>
      </c>
      <c r="AJ266" s="26">
        <f t="shared" si="618"/>
        <v>99.02</v>
      </c>
      <c r="AK266" s="26">
        <f t="shared" si="603"/>
        <v>31.259897231555104</v>
      </c>
      <c r="AL266" s="26">
        <f t="shared" si="604"/>
        <v>2.0016138050914081</v>
      </c>
      <c r="AM266" s="26">
        <f t="shared" si="605"/>
        <v>6.8933128491668398</v>
      </c>
      <c r="AN266" s="26">
        <f t="shared" si="606"/>
        <v>6.7911896958458495</v>
      </c>
      <c r="AO266" s="26">
        <f t="shared" si="607"/>
        <v>5.0959453507174128</v>
      </c>
      <c r="AP266" s="26">
        <f t="shared" si="608"/>
        <v>19.127666617021468</v>
      </c>
      <c r="AQ266" s="26">
        <f t="shared" si="609"/>
        <v>0</v>
      </c>
      <c r="AR266" s="26">
        <f t="shared" si="610"/>
        <v>3.2270916449432909</v>
      </c>
      <c r="AS266" s="26">
        <f t="shared" si="611"/>
        <v>14.756795654883087</v>
      </c>
      <c r="AT266" s="26">
        <f t="shared" si="612"/>
        <v>6.9954360024878302</v>
      </c>
      <c r="AU266" s="26">
        <f t="shared" si="613"/>
        <v>4.9733975667322241</v>
      </c>
      <c r="AV266" s="26">
        <f t="shared" si="619"/>
        <v>101.12234641844452</v>
      </c>
      <c r="AW266" s="16"/>
      <c r="AX266" s="16"/>
      <c r="AY266" s="16"/>
      <c r="AZ266" s="16"/>
      <c r="BA266" s="26"/>
      <c r="BB266" s="26"/>
      <c r="BC266" s="26"/>
      <c r="BD266" s="26"/>
      <c r="BE266" s="25">
        <v>-6.3</v>
      </c>
      <c r="BF266" s="16"/>
      <c r="BG266" s="16">
        <v>940</v>
      </c>
      <c r="BH266" s="16"/>
      <c r="BI266" s="16"/>
      <c r="BJ266" s="16"/>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28"/>
      <c r="DW266" s="28"/>
      <c r="DX266" s="28"/>
      <c r="DY266" s="28"/>
      <c r="DZ266" s="28"/>
      <c r="EA266" s="28"/>
      <c r="EB266" s="28"/>
      <c r="EC266" s="28"/>
      <c r="ED266" s="28"/>
      <c r="EE266" s="28"/>
      <c r="EF266" s="28"/>
      <c r="EG266" s="28"/>
      <c r="EH266" s="28"/>
      <c r="EI266" s="28"/>
      <c r="EJ266" s="18"/>
      <c r="EK266" s="18"/>
      <c r="EL266" s="18">
        <f>IFERROR(CR266/'McDonough &amp; Sun 1995 values'!C$2,)</f>
        <v>0</v>
      </c>
      <c r="EM266" s="18">
        <f>IFERROR(CH266/'McDonough &amp; Sun 1995 values'!D$2,)</f>
        <v>0</v>
      </c>
      <c r="EN266" s="18">
        <f>IFERROR(CS266/'McDonough &amp; Sun 1995 values'!E$2,)</f>
        <v>0</v>
      </c>
      <c r="EO266" s="18">
        <f>IFERROR(DL266/'McDonough &amp; Sun 1995 values'!F$2,)</f>
        <v>0</v>
      </c>
      <c r="EP266" s="18">
        <f>IFERROR(DM266/'McDonough &amp; Sun 1995 values'!G$2,)</f>
        <v>0</v>
      </c>
      <c r="EQ266" s="18">
        <f>IFERROR(BR266/'McDonough &amp; Sun 1995 values'!H$2,)</f>
        <v>0</v>
      </c>
      <c r="ER266" s="18">
        <f>IFERROR(DI266/'McDonough &amp; Sun 1995 values'!I$2,)</f>
        <v>0</v>
      </c>
      <c r="ES266" s="18">
        <f>IFERROR(CM266/'McDonough &amp; Sun 1995 values'!J$2,)</f>
        <v>0</v>
      </c>
      <c r="ET266" s="18">
        <f>IFERROR(CU266/'McDonough &amp; Sun 1995 values'!K$2,)</f>
        <v>0</v>
      </c>
      <c r="EU266" s="18">
        <f>IFERROR(CV266/'McDonough &amp; Sun 1995 values'!L$2,)</f>
        <v>0</v>
      </c>
      <c r="EV266" s="18">
        <f>IFERROR(CW266/'McDonough &amp; Sun 1995 values'!M$2,)</f>
        <v>0</v>
      </c>
      <c r="EW266" s="18">
        <f>IFERROR(CI266/'McDonough &amp; Sun 1995 values'!N$2,)</f>
        <v>0</v>
      </c>
      <c r="EX266" s="18">
        <f>IFERROR(CX266/'McDonough &amp; Sun 1995 values'!O$2,)</f>
        <v>0</v>
      </c>
      <c r="EY266" s="18">
        <f>IFERROR(CY266/'McDonough &amp; Sun 1995 values'!P$2,)</f>
        <v>0</v>
      </c>
      <c r="EZ266" s="18">
        <f>IFERROR(DH266/'McDonough &amp; Sun 1995 values'!Q$2,)</f>
        <v>0</v>
      </c>
      <c r="FA266" s="18">
        <f>IFERROR(CK266/'McDonough &amp; Sun 1995 values'!R$2,)</f>
        <v>0</v>
      </c>
      <c r="FB266" s="18">
        <f>IFERROR(CZ266/'McDonough &amp; Sun 1995 values'!S$2,)</f>
        <v>0</v>
      </c>
      <c r="FC266" s="18">
        <f>IFERROR(BT266/'McDonough &amp; Sun 1995 values'!T$2,)</f>
        <v>0</v>
      </c>
      <c r="FD266" s="18">
        <f>IFERROR(DA266/'McDonough &amp; Sun 1995 values'!U$2,)</f>
        <v>0</v>
      </c>
      <c r="FE266" s="18">
        <f>IFERROR(DN266/'McDonough &amp; Sun 1995 values'!V$2,)</f>
        <v>0</v>
      </c>
      <c r="FF266" s="18">
        <f>IFERROR(DB266/'McDonough &amp; Sun 1995 values'!W$2,)</f>
        <v>0</v>
      </c>
      <c r="FG266" s="18">
        <f>IFERROR(CJ266/'McDonough &amp; Sun 1995 values'!X$2,)</f>
        <v>0</v>
      </c>
      <c r="FH266" s="18">
        <f>IFERROR(DC266/'McDonough &amp; Sun 1995 values'!Y$2,)</f>
        <v>0</v>
      </c>
      <c r="FI266" s="18">
        <f>IFERROR(DD266/'McDonough &amp; Sun 1995 values'!Z$2,)</f>
        <v>0</v>
      </c>
      <c r="FJ266" s="18">
        <f>IFERROR(DE266/'McDonough &amp; Sun 1995 values'!AA$2,)</f>
        <v>0</v>
      </c>
      <c r="FK266" s="18">
        <f>IFERROR(DF266/'McDonough &amp; Sun 1995 values'!AB$2,)</f>
        <v>0</v>
      </c>
      <c r="FL266" s="18">
        <f>IFERROR(DG266/'McDonough &amp; Sun 1995 values'!AC$2,)</f>
        <v>0</v>
      </c>
      <c r="FN266" s="28">
        <f t="shared" si="614"/>
        <v>0</v>
      </c>
      <c r="FO266" s="4">
        <f t="shared" si="547"/>
        <v>0</v>
      </c>
      <c r="FP266" s="4">
        <f t="shared" si="548"/>
        <v>0</v>
      </c>
      <c r="FQ266" s="4">
        <f t="shared" si="549"/>
        <v>0</v>
      </c>
      <c r="FR266" s="4">
        <f t="shared" si="550"/>
        <v>0</v>
      </c>
      <c r="FS266" s="4">
        <f t="shared" si="551"/>
        <v>0</v>
      </c>
      <c r="FT266" s="4">
        <f t="shared" si="552"/>
        <v>0</v>
      </c>
      <c r="FU266" s="4">
        <f t="shared" si="553"/>
        <v>0</v>
      </c>
      <c r="FV266" s="4">
        <f t="shared" si="554"/>
        <v>0</v>
      </c>
      <c r="FW266" s="4">
        <f t="shared" si="555"/>
        <v>0</v>
      </c>
      <c r="FX266" s="4">
        <f t="shared" si="556"/>
        <v>0</v>
      </c>
      <c r="FY266" s="4">
        <f t="shared" si="557"/>
        <v>0</v>
      </c>
      <c r="FZ266" s="4">
        <f t="shared" si="558"/>
        <v>0</v>
      </c>
      <c r="GA266" s="4">
        <f t="shared" si="559"/>
        <v>0</v>
      </c>
      <c r="GB266" s="4">
        <f t="shared" si="560"/>
        <v>0</v>
      </c>
      <c r="GC266" s="4">
        <f t="shared" si="561"/>
        <v>0</v>
      </c>
      <c r="GD266" s="4">
        <f t="shared" si="562"/>
        <v>0</v>
      </c>
      <c r="GE266" s="4">
        <f t="shared" si="563"/>
        <v>0</v>
      </c>
      <c r="GF266" s="4">
        <f t="shared" si="564"/>
        <v>0</v>
      </c>
      <c r="GG266" s="4">
        <f t="shared" si="565"/>
        <v>0</v>
      </c>
      <c r="GH266" s="4">
        <f t="shared" si="566"/>
        <v>0</v>
      </c>
      <c r="GI266" s="4">
        <f t="shared" si="567"/>
        <v>0</v>
      </c>
      <c r="GJ266" s="4">
        <f t="shared" si="568"/>
        <v>0</v>
      </c>
      <c r="GK266" s="4">
        <f t="shared" si="569"/>
        <v>0</v>
      </c>
      <c r="GL266" s="4">
        <f t="shared" si="570"/>
        <v>0</v>
      </c>
      <c r="GM266" s="4">
        <f t="shared" si="571"/>
        <v>0</v>
      </c>
      <c r="GN266" s="4">
        <f t="shared" si="572"/>
        <v>0</v>
      </c>
      <c r="GO266" s="4">
        <f t="shared" si="573"/>
        <v>0</v>
      </c>
      <c r="GP266" s="4">
        <f t="shared" si="574"/>
        <v>0</v>
      </c>
      <c r="GQ266" s="27">
        <f t="shared" si="575"/>
        <v>122501.66571103822</v>
      </c>
      <c r="GR266" s="28" t="str">
        <f t="shared" si="576"/>
        <v/>
      </c>
      <c r="GS266" s="28" t="str">
        <f t="shared" si="577"/>
        <v/>
      </c>
      <c r="GT266" s="28" t="str">
        <f t="shared" si="578"/>
        <v/>
      </c>
      <c r="GU266" s="28" t="str">
        <f t="shared" si="579"/>
        <v/>
      </c>
      <c r="GV266" s="28" t="str">
        <f t="shared" si="580"/>
        <v/>
      </c>
      <c r="GW266" s="28" t="str">
        <f t="shared" si="581"/>
        <v/>
      </c>
      <c r="GX266" s="28" t="str">
        <f t="shared" si="582"/>
        <v/>
      </c>
      <c r="GY266" s="28" t="str">
        <f t="shared" si="583"/>
        <v/>
      </c>
      <c r="GZ266" s="28" t="str">
        <f t="shared" si="584"/>
        <v/>
      </c>
      <c r="HA266" s="28" t="str">
        <f t="shared" si="585"/>
        <v/>
      </c>
      <c r="HB266" s="28" t="str">
        <f t="shared" si="586"/>
        <v/>
      </c>
      <c r="HC266" s="28" t="str">
        <f t="shared" si="587"/>
        <v/>
      </c>
      <c r="HD266" s="28" t="str">
        <f t="shared" si="588"/>
        <v/>
      </c>
      <c r="HE266" s="28" t="str">
        <f t="shared" si="589"/>
        <v/>
      </c>
      <c r="HF266" s="28" t="str">
        <f t="shared" si="590"/>
        <v/>
      </c>
      <c r="HG266" s="28" t="str">
        <f t="shared" si="591"/>
        <v/>
      </c>
      <c r="HH266" s="28" t="str">
        <f t="shared" si="592"/>
        <v/>
      </c>
      <c r="HI266" s="28" t="str">
        <f t="shared" si="593"/>
        <v/>
      </c>
      <c r="HJ266" s="28" t="str">
        <f t="shared" si="594"/>
        <v/>
      </c>
      <c r="HK266" s="28" t="str">
        <f t="shared" si="595"/>
        <v/>
      </c>
      <c r="HL266" s="28" t="str">
        <f t="shared" si="596"/>
        <v/>
      </c>
      <c r="HM266" s="28" t="str">
        <f t="shared" si="597"/>
        <v/>
      </c>
      <c r="HN266" s="28" t="str">
        <f t="shared" si="598"/>
        <v/>
      </c>
      <c r="HO266" s="28" t="str">
        <f t="shared" si="599"/>
        <v/>
      </c>
      <c r="HP266" s="28" t="str">
        <f t="shared" si="600"/>
        <v/>
      </c>
      <c r="HQ266" s="28" t="str">
        <f t="shared" si="601"/>
        <v/>
      </c>
      <c r="HR266" s="28" t="str">
        <f t="shared" si="602"/>
        <v/>
      </c>
      <c r="HT266" s="4">
        <f>IFERROR(GR266/'McDonough &amp; Sun 1995 values'!C$2,)</f>
        <v>0</v>
      </c>
      <c r="HU266" s="4">
        <f>IFERROR(GS266/'McDonough &amp; Sun 1995 values'!D$2,)</f>
        <v>0</v>
      </c>
      <c r="HV266" s="4">
        <f>IFERROR(GT266/'McDonough &amp; Sun 1995 values'!E$2,)</f>
        <v>0</v>
      </c>
      <c r="HW266" s="4">
        <f>IFERROR(GU266/'McDonough &amp; Sun 1995 values'!F$2,)</f>
        <v>0</v>
      </c>
      <c r="HX266" s="4">
        <f>IFERROR(GV266/'McDonough &amp; Sun 1995 values'!G$2,)</f>
        <v>0</v>
      </c>
      <c r="HY266" s="4">
        <f>IFERROR(GW266/'McDonough &amp; Sun 1995 values'!H$2,)</f>
        <v>0</v>
      </c>
      <c r="HZ266" s="4">
        <f>IFERROR(GX266/'McDonough &amp; Sun 1995 values'!I$2,)</f>
        <v>0</v>
      </c>
      <c r="IA266" s="4">
        <f>IFERROR(GY266/'McDonough &amp; Sun 1995 values'!J$2,)</f>
        <v>0</v>
      </c>
      <c r="IB266" s="4">
        <f>IFERROR(GZ266/'McDonough &amp; Sun 1995 values'!K$2,)</f>
        <v>0</v>
      </c>
      <c r="IC266" s="4">
        <f>IFERROR(HA266/'McDonough &amp; Sun 1995 values'!L$2,)</f>
        <v>0</v>
      </c>
      <c r="ID266" s="4">
        <f>IFERROR(HB266/'McDonough &amp; Sun 1995 values'!M$2,)</f>
        <v>0</v>
      </c>
      <c r="IE266" s="4">
        <f>IFERROR(HC266/'McDonough &amp; Sun 1995 values'!N$2,)</f>
        <v>0</v>
      </c>
      <c r="IF266" s="4">
        <f>IFERROR(HD266/'McDonough &amp; Sun 1995 values'!O$2,)</f>
        <v>0</v>
      </c>
      <c r="IG266" s="4">
        <f>IFERROR(HE266/'McDonough &amp; Sun 1995 values'!P$2,)</f>
        <v>0</v>
      </c>
      <c r="IH266" s="4">
        <f>IFERROR(HF266/'McDonough &amp; Sun 1995 values'!Q$2,)</f>
        <v>0</v>
      </c>
      <c r="II266" s="4">
        <f>IFERROR(HG266/'McDonough &amp; Sun 1995 values'!R$2,)</f>
        <v>0</v>
      </c>
      <c r="IJ266" s="4">
        <f>IFERROR(HH266/'McDonough &amp; Sun 1995 values'!S$2,)</f>
        <v>0</v>
      </c>
      <c r="IK266" s="4">
        <f>IFERROR(HI266/'McDonough &amp; Sun 1995 values'!T$2,)</f>
        <v>0</v>
      </c>
      <c r="IL266" s="4">
        <f>IFERROR(HJ266/'McDonough &amp; Sun 1995 values'!U$2,)</f>
        <v>0</v>
      </c>
      <c r="IM266" s="4">
        <f>IFERROR(HK266/'McDonough &amp; Sun 1995 values'!V$2,)</f>
        <v>0</v>
      </c>
      <c r="IN266" s="4">
        <f>IFERROR(HL266/'McDonough &amp; Sun 1995 values'!W$2,)</f>
        <v>0</v>
      </c>
      <c r="IO266" s="4">
        <f>IFERROR(HM266/'McDonough &amp; Sun 1995 values'!X$2,)</f>
        <v>0</v>
      </c>
      <c r="IP266" s="4">
        <f>IFERROR(HN266/'McDonough &amp; Sun 1995 values'!Y$2,)</f>
        <v>0</v>
      </c>
      <c r="IQ266" s="4">
        <f>IFERROR(HO266/'McDonough &amp; Sun 1995 values'!Z$2,)</f>
        <v>0</v>
      </c>
      <c r="IR266" s="4">
        <f>IFERROR(HP266/'McDonough &amp; Sun 1995 values'!AA$2,)</f>
        <v>0</v>
      </c>
      <c r="IS266" s="4">
        <f>IFERROR(HQ266/'McDonough &amp; Sun 1995 values'!AB$2,)</f>
        <v>0</v>
      </c>
      <c r="IT266" s="4">
        <f>IFERROR(HR266/'McDonough &amp; Sun 1995 values'!AC$2,)</f>
        <v>0</v>
      </c>
    </row>
    <row r="267" spans="1:254">
      <c r="A267" s="16" t="s">
        <v>846</v>
      </c>
      <c r="B267" s="16" t="s">
        <v>24</v>
      </c>
      <c r="C267" s="16" t="str">
        <f t="shared" si="617"/>
        <v>silicic - low-Mg carbonatitic</v>
      </c>
      <c r="D267" s="16" t="s">
        <v>1722</v>
      </c>
      <c r="E267" s="16" t="s">
        <v>388</v>
      </c>
      <c r="F267" s="16" t="s">
        <v>1789</v>
      </c>
      <c r="G267" s="16" t="s">
        <v>640</v>
      </c>
      <c r="H267" s="27">
        <v>0</v>
      </c>
      <c r="I267" s="16" t="s">
        <v>1148</v>
      </c>
      <c r="J267" s="16">
        <v>0</v>
      </c>
      <c r="K267" s="16">
        <v>0</v>
      </c>
      <c r="L267" s="16">
        <v>0</v>
      </c>
      <c r="M267" s="16" t="s">
        <v>520</v>
      </c>
      <c r="N267" s="16">
        <v>24</v>
      </c>
      <c r="O267" s="26">
        <v>27.9</v>
      </c>
      <c r="P267" s="26">
        <v>1.73</v>
      </c>
      <c r="Q267" s="26"/>
      <c r="R267" s="26">
        <v>5.34</v>
      </c>
      <c r="S267" s="26">
        <v>10.91</v>
      </c>
      <c r="T267" s="26">
        <v>8.9499999999999993</v>
      </c>
      <c r="U267" s="26"/>
      <c r="V267" s="26">
        <v>20.8</v>
      </c>
      <c r="W267" s="26">
        <v>3.52</v>
      </c>
      <c r="X267" s="26">
        <v>11.36</v>
      </c>
      <c r="Y267" s="26"/>
      <c r="Z267" s="26">
        <v>7.41</v>
      </c>
      <c r="AA267" s="26"/>
      <c r="AB267" s="26"/>
      <c r="AC267" s="26"/>
      <c r="AD267" s="26">
        <v>2.08</v>
      </c>
      <c r="AE267" s="26"/>
      <c r="AF267" s="26"/>
      <c r="AG267" s="26"/>
      <c r="AH267" s="26"/>
      <c r="AI267" s="26">
        <v>15.59</v>
      </c>
      <c r="AJ267" s="26">
        <f t="shared" si="618"/>
        <v>99.999999999999986</v>
      </c>
      <c r="AK267" s="26">
        <f t="shared" si="603"/>
        <v>28.031578410366293</v>
      </c>
      <c r="AL267" s="26">
        <f t="shared" si="604"/>
        <v>1.7381588046571212</v>
      </c>
      <c r="AM267" s="26">
        <f t="shared" si="605"/>
        <v>5.3651838247797841</v>
      </c>
      <c r="AN267" s="26">
        <f t="shared" si="606"/>
        <v>10.961452346132482</v>
      </c>
      <c r="AO267" s="26">
        <f t="shared" si="607"/>
        <v>8.9922088449024482</v>
      </c>
      <c r="AP267" s="26">
        <f t="shared" si="608"/>
        <v>20.898094298767703</v>
      </c>
      <c r="AQ267" s="26">
        <f t="shared" si="609"/>
        <v>0</v>
      </c>
      <c r="AR267" s="26">
        <f t="shared" si="610"/>
        <v>3.5366005736376112</v>
      </c>
      <c r="AS267" s="26">
        <f t="shared" si="611"/>
        <v>11.413574578557744</v>
      </c>
      <c r="AT267" s="26">
        <f t="shared" si="612"/>
        <v>7.444946093935993</v>
      </c>
      <c r="AU267" s="26">
        <f t="shared" si="613"/>
        <v>2.0898094298767704</v>
      </c>
      <c r="AV267" s="26">
        <f t="shared" si="619"/>
        <v>100.47160720561395</v>
      </c>
      <c r="AW267" s="16">
        <v>0</v>
      </c>
      <c r="AX267" s="16">
        <v>0</v>
      </c>
      <c r="AY267" s="16"/>
      <c r="AZ267" s="16"/>
      <c r="BA267" s="26"/>
      <c r="BB267" s="26">
        <v>0</v>
      </c>
      <c r="BC267" s="26"/>
      <c r="BD267" s="26"/>
      <c r="BE267" s="25">
        <v>-6.8</v>
      </c>
      <c r="BF267" s="16"/>
      <c r="BG267" s="16">
        <v>900</v>
      </c>
      <c r="BH267" s="16"/>
      <c r="BI267" s="16"/>
      <c r="BJ267" s="16"/>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28"/>
      <c r="DW267" s="28"/>
      <c r="DX267" s="28"/>
      <c r="DY267" s="28"/>
      <c r="DZ267" s="28"/>
      <c r="EA267" s="28"/>
      <c r="EB267" s="28"/>
      <c r="EC267" s="28"/>
      <c r="ED267" s="28"/>
      <c r="EE267" s="28"/>
      <c r="EF267" s="28"/>
      <c r="EG267" s="28"/>
      <c r="EH267" s="28"/>
      <c r="EI267" s="28"/>
      <c r="EJ267" s="18"/>
      <c r="EK267" s="18"/>
      <c r="EL267" s="18">
        <f>IFERROR(CR267/'McDonough &amp; Sun 1995 values'!C$2,)</f>
        <v>0</v>
      </c>
      <c r="EM267" s="18">
        <f>IFERROR(CH267/'McDonough &amp; Sun 1995 values'!D$2,)</f>
        <v>0</v>
      </c>
      <c r="EN267" s="18">
        <f>IFERROR(CS267/'McDonough &amp; Sun 1995 values'!E$2,)</f>
        <v>0</v>
      </c>
      <c r="EO267" s="18">
        <f>IFERROR(DL267/'McDonough &amp; Sun 1995 values'!F$2,)</f>
        <v>0</v>
      </c>
      <c r="EP267" s="18">
        <f>IFERROR(DM267/'McDonough &amp; Sun 1995 values'!G$2,)</f>
        <v>0</v>
      </c>
      <c r="EQ267" s="18">
        <f>IFERROR(BR267/'McDonough &amp; Sun 1995 values'!H$2,)</f>
        <v>0</v>
      </c>
      <c r="ER267" s="18">
        <f>IFERROR(DI267/'McDonough &amp; Sun 1995 values'!I$2,)</f>
        <v>0</v>
      </c>
      <c r="ES267" s="18">
        <f>IFERROR(CM267/'McDonough &amp; Sun 1995 values'!J$2,)</f>
        <v>0</v>
      </c>
      <c r="ET267" s="18">
        <f>IFERROR(CU267/'McDonough &amp; Sun 1995 values'!K$2,)</f>
        <v>0</v>
      </c>
      <c r="EU267" s="18">
        <f>IFERROR(CV267/'McDonough &amp; Sun 1995 values'!L$2,)</f>
        <v>0</v>
      </c>
      <c r="EV267" s="18">
        <f>IFERROR(CW267/'McDonough &amp; Sun 1995 values'!M$2,)</f>
        <v>0</v>
      </c>
      <c r="EW267" s="18">
        <f>IFERROR(CI267/'McDonough &amp; Sun 1995 values'!N$2,)</f>
        <v>0</v>
      </c>
      <c r="EX267" s="18">
        <f>IFERROR(CX267/'McDonough &amp; Sun 1995 values'!O$2,)</f>
        <v>0</v>
      </c>
      <c r="EY267" s="18">
        <f>IFERROR(CY267/'McDonough &amp; Sun 1995 values'!P$2,)</f>
        <v>0</v>
      </c>
      <c r="EZ267" s="18">
        <f>IFERROR(DH267/'McDonough &amp; Sun 1995 values'!Q$2,)</f>
        <v>0</v>
      </c>
      <c r="FA267" s="18">
        <f>IFERROR(CK267/'McDonough &amp; Sun 1995 values'!R$2,)</f>
        <v>0</v>
      </c>
      <c r="FB267" s="18">
        <f>IFERROR(CZ267/'McDonough &amp; Sun 1995 values'!S$2,)</f>
        <v>0</v>
      </c>
      <c r="FC267" s="18">
        <f>IFERROR(BT267/'McDonough &amp; Sun 1995 values'!T$2,)</f>
        <v>0</v>
      </c>
      <c r="FD267" s="18">
        <f>IFERROR(DA267/'McDonough &amp; Sun 1995 values'!U$2,)</f>
        <v>0</v>
      </c>
      <c r="FE267" s="18">
        <f>IFERROR(DN267/'McDonough &amp; Sun 1995 values'!V$2,)</f>
        <v>0</v>
      </c>
      <c r="FF267" s="18">
        <f>IFERROR(DB267/'McDonough &amp; Sun 1995 values'!W$2,)</f>
        <v>0</v>
      </c>
      <c r="FG267" s="18">
        <f>IFERROR(CJ267/'McDonough &amp; Sun 1995 values'!X$2,)</f>
        <v>0</v>
      </c>
      <c r="FH267" s="18">
        <f>IFERROR(DC267/'McDonough &amp; Sun 1995 values'!Y$2,)</f>
        <v>0</v>
      </c>
      <c r="FI267" s="18">
        <f>IFERROR(DD267/'McDonough &amp; Sun 1995 values'!Z$2,)</f>
        <v>0</v>
      </c>
      <c r="FJ267" s="18">
        <f>IFERROR(DE267/'McDonough &amp; Sun 1995 values'!AA$2,)</f>
        <v>0</v>
      </c>
      <c r="FK267" s="18">
        <f>IFERROR(DF267/'McDonough &amp; Sun 1995 values'!AB$2,)</f>
        <v>0</v>
      </c>
      <c r="FL267" s="18">
        <f>IFERROR(DG267/'McDonough &amp; Sun 1995 values'!AC$2,)</f>
        <v>0</v>
      </c>
      <c r="FN267" s="28">
        <f t="shared" si="614"/>
        <v>0</v>
      </c>
      <c r="FO267" s="4">
        <f t="shared" si="547"/>
        <v>0</v>
      </c>
      <c r="FP267" s="4">
        <f t="shared" si="548"/>
        <v>0</v>
      </c>
      <c r="FQ267" s="4">
        <f t="shared" si="549"/>
        <v>0</v>
      </c>
      <c r="FR267" s="4">
        <f t="shared" si="550"/>
        <v>0</v>
      </c>
      <c r="FS267" s="4">
        <f t="shared" si="551"/>
        <v>0</v>
      </c>
      <c r="FT267" s="4">
        <f t="shared" si="552"/>
        <v>0</v>
      </c>
      <c r="FU267" s="4">
        <f t="shared" si="553"/>
        <v>0</v>
      </c>
      <c r="FV267" s="4">
        <f t="shared" si="554"/>
        <v>0</v>
      </c>
      <c r="FW267" s="4">
        <f t="shared" si="555"/>
        <v>0</v>
      </c>
      <c r="FX267" s="4">
        <f t="shared" si="556"/>
        <v>0</v>
      </c>
      <c r="FY267" s="4">
        <f t="shared" si="557"/>
        <v>0</v>
      </c>
      <c r="FZ267" s="4">
        <f t="shared" si="558"/>
        <v>0</v>
      </c>
      <c r="GA267" s="4">
        <f t="shared" si="559"/>
        <v>0</v>
      </c>
      <c r="GB267" s="4">
        <f t="shared" si="560"/>
        <v>0</v>
      </c>
      <c r="GC267" s="4">
        <f t="shared" si="561"/>
        <v>0</v>
      </c>
      <c r="GD267" s="4">
        <f t="shared" si="562"/>
        <v>0</v>
      </c>
      <c r="GE267" s="4">
        <f t="shared" si="563"/>
        <v>0</v>
      </c>
      <c r="GF267" s="4">
        <f t="shared" si="564"/>
        <v>0</v>
      </c>
      <c r="GG267" s="4">
        <f t="shared" si="565"/>
        <v>0</v>
      </c>
      <c r="GH267" s="4">
        <f t="shared" si="566"/>
        <v>0</v>
      </c>
      <c r="GI267" s="4">
        <f t="shared" si="567"/>
        <v>0</v>
      </c>
      <c r="GJ267" s="4">
        <f t="shared" si="568"/>
        <v>0</v>
      </c>
      <c r="GK267" s="4">
        <f t="shared" si="569"/>
        <v>0</v>
      </c>
      <c r="GL267" s="4">
        <f t="shared" si="570"/>
        <v>0</v>
      </c>
      <c r="GM267" s="4">
        <f t="shared" si="571"/>
        <v>0</v>
      </c>
      <c r="GN267" s="4">
        <f t="shared" si="572"/>
        <v>0</v>
      </c>
      <c r="GO267" s="4">
        <f t="shared" si="573"/>
        <v>0</v>
      </c>
      <c r="GP267" s="4">
        <f t="shared" si="574"/>
        <v>0</v>
      </c>
      <c r="GQ267" s="27">
        <f t="shared" si="575"/>
        <v>94748.340377527711</v>
      </c>
      <c r="GR267" s="28" t="str">
        <f t="shared" si="576"/>
        <v/>
      </c>
      <c r="GS267" s="28" t="str">
        <f t="shared" si="577"/>
        <v/>
      </c>
      <c r="GT267" s="28" t="str">
        <f t="shared" si="578"/>
        <v/>
      </c>
      <c r="GU267" s="28" t="str">
        <f t="shared" si="579"/>
        <v/>
      </c>
      <c r="GV267" s="28" t="str">
        <f t="shared" si="580"/>
        <v/>
      </c>
      <c r="GW267" s="28" t="str">
        <f t="shared" si="581"/>
        <v/>
      </c>
      <c r="GX267" s="28" t="str">
        <f t="shared" si="582"/>
        <v/>
      </c>
      <c r="GY267" s="28" t="str">
        <f t="shared" si="583"/>
        <v/>
      </c>
      <c r="GZ267" s="28" t="str">
        <f t="shared" si="584"/>
        <v/>
      </c>
      <c r="HA267" s="28" t="str">
        <f t="shared" si="585"/>
        <v/>
      </c>
      <c r="HB267" s="28" t="str">
        <f t="shared" si="586"/>
        <v/>
      </c>
      <c r="HC267" s="28" t="str">
        <f t="shared" si="587"/>
        <v/>
      </c>
      <c r="HD267" s="28" t="str">
        <f t="shared" si="588"/>
        <v/>
      </c>
      <c r="HE267" s="28" t="str">
        <f t="shared" si="589"/>
        <v/>
      </c>
      <c r="HF267" s="28" t="str">
        <f t="shared" si="590"/>
        <v/>
      </c>
      <c r="HG267" s="28" t="str">
        <f t="shared" si="591"/>
        <v/>
      </c>
      <c r="HH267" s="28" t="str">
        <f t="shared" si="592"/>
        <v/>
      </c>
      <c r="HI267" s="28" t="str">
        <f t="shared" si="593"/>
        <v/>
      </c>
      <c r="HJ267" s="28" t="str">
        <f t="shared" si="594"/>
        <v/>
      </c>
      <c r="HK267" s="28" t="str">
        <f t="shared" si="595"/>
        <v/>
      </c>
      <c r="HL267" s="28" t="str">
        <f t="shared" si="596"/>
        <v/>
      </c>
      <c r="HM267" s="28" t="str">
        <f t="shared" si="597"/>
        <v/>
      </c>
      <c r="HN267" s="28" t="str">
        <f t="shared" si="598"/>
        <v/>
      </c>
      <c r="HO267" s="28" t="str">
        <f t="shared" si="599"/>
        <v/>
      </c>
      <c r="HP267" s="28" t="str">
        <f t="shared" si="600"/>
        <v/>
      </c>
      <c r="HQ267" s="28" t="str">
        <f t="shared" si="601"/>
        <v/>
      </c>
      <c r="HR267" s="28" t="str">
        <f t="shared" si="602"/>
        <v/>
      </c>
      <c r="HT267" s="4">
        <f>IFERROR(GR267/'McDonough &amp; Sun 1995 values'!C$2,)</f>
        <v>0</v>
      </c>
      <c r="HU267" s="4">
        <f>IFERROR(GS267/'McDonough &amp; Sun 1995 values'!D$2,)</f>
        <v>0</v>
      </c>
      <c r="HV267" s="4">
        <f>IFERROR(GT267/'McDonough &amp; Sun 1995 values'!E$2,)</f>
        <v>0</v>
      </c>
      <c r="HW267" s="4">
        <f>IFERROR(GU267/'McDonough &amp; Sun 1995 values'!F$2,)</f>
        <v>0</v>
      </c>
      <c r="HX267" s="4">
        <f>IFERROR(GV267/'McDonough &amp; Sun 1995 values'!G$2,)</f>
        <v>0</v>
      </c>
      <c r="HY267" s="4">
        <f>IFERROR(GW267/'McDonough &amp; Sun 1995 values'!H$2,)</f>
        <v>0</v>
      </c>
      <c r="HZ267" s="4">
        <f>IFERROR(GX267/'McDonough &amp; Sun 1995 values'!I$2,)</f>
        <v>0</v>
      </c>
      <c r="IA267" s="4">
        <f>IFERROR(GY267/'McDonough &amp; Sun 1995 values'!J$2,)</f>
        <v>0</v>
      </c>
      <c r="IB267" s="4">
        <f>IFERROR(GZ267/'McDonough &amp; Sun 1995 values'!K$2,)</f>
        <v>0</v>
      </c>
      <c r="IC267" s="4">
        <f>IFERROR(HA267/'McDonough &amp; Sun 1995 values'!L$2,)</f>
        <v>0</v>
      </c>
      <c r="ID267" s="4">
        <f>IFERROR(HB267/'McDonough &amp; Sun 1995 values'!M$2,)</f>
        <v>0</v>
      </c>
      <c r="IE267" s="4">
        <f>IFERROR(HC267/'McDonough &amp; Sun 1995 values'!N$2,)</f>
        <v>0</v>
      </c>
      <c r="IF267" s="4">
        <f>IFERROR(HD267/'McDonough &amp; Sun 1995 values'!O$2,)</f>
        <v>0</v>
      </c>
      <c r="IG267" s="4">
        <f>IFERROR(HE267/'McDonough &amp; Sun 1995 values'!P$2,)</f>
        <v>0</v>
      </c>
      <c r="IH267" s="4">
        <f>IFERROR(HF267/'McDonough &amp; Sun 1995 values'!Q$2,)</f>
        <v>0</v>
      </c>
      <c r="II267" s="4">
        <f>IFERROR(HG267/'McDonough &amp; Sun 1995 values'!R$2,)</f>
        <v>0</v>
      </c>
      <c r="IJ267" s="4">
        <f>IFERROR(HH267/'McDonough &amp; Sun 1995 values'!S$2,)</f>
        <v>0</v>
      </c>
      <c r="IK267" s="4">
        <f>IFERROR(HI267/'McDonough &amp; Sun 1995 values'!T$2,)</f>
        <v>0</v>
      </c>
      <c r="IL267" s="4">
        <f>IFERROR(HJ267/'McDonough &amp; Sun 1995 values'!U$2,)</f>
        <v>0</v>
      </c>
      <c r="IM267" s="4">
        <f>IFERROR(HK267/'McDonough &amp; Sun 1995 values'!V$2,)</f>
        <v>0</v>
      </c>
      <c r="IN267" s="4">
        <f>IFERROR(HL267/'McDonough &amp; Sun 1995 values'!W$2,)</f>
        <v>0</v>
      </c>
      <c r="IO267" s="4">
        <f>IFERROR(HM267/'McDonough &amp; Sun 1995 values'!X$2,)</f>
        <v>0</v>
      </c>
      <c r="IP267" s="4">
        <f>IFERROR(HN267/'McDonough &amp; Sun 1995 values'!Y$2,)</f>
        <v>0</v>
      </c>
      <c r="IQ267" s="4">
        <f>IFERROR(HO267/'McDonough &amp; Sun 1995 values'!Z$2,)</f>
        <v>0</v>
      </c>
      <c r="IR267" s="4">
        <f>IFERROR(HP267/'McDonough &amp; Sun 1995 values'!AA$2,)</f>
        <v>0</v>
      </c>
      <c r="IS267" s="4">
        <f>IFERROR(HQ267/'McDonough &amp; Sun 1995 values'!AB$2,)</f>
        <v>0</v>
      </c>
      <c r="IT267" s="4">
        <f>IFERROR(HR267/'McDonough &amp; Sun 1995 values'!AC$2,)</f>
        <v>0</v>
      </c>
    </row>
    <row r="268" spans="1:254">
      <c r="A268" s="16" t="s">
        <v>1178</v>
      </c>
      <c r="B268" s="16" t="s">
        <v>24</v>
      </c>
      <c r="C268" s="16" t="str">
        <f t="shared" si="617"/>
        <v>silicic - low-Mg carbonatitic</v>
      </c>
      <c r="D268" s="16" t="s">
        <v>1720</v>
      </c>
      <c r="E268" s="16" t="s">
        <v>1394</v>
      </c>
      <c r="F268" s="16" t="s">
        <v>104</v>
      </c>
      <c r="G268" s="16" t="s">
        <v>595</v>
      </c>
      <c r="H268" s="27">
        <v>240</v>
      </c>
      <c r="I268" s="16" t="s">
        <v>736</v>
      </c>
      <c r="J268" s="16" t="s">
        <v>596</v>
      </c>
      <c r="K268" s="16" t="s">
        <v>48</v>
      </c>
      <c r="L268" s="16">
        <v>0</v>
      </c>
      <c r="M268" s="16" t="s">
        <v>740</v>
      </c>
      <c r="N268" s="16">
        <v>16</v>
      </c>
      <c r="O268" s="26">
        <v>28.4</v>
      </c>
      <c r="P268" s="26">
        <v>4.9000000000000004</v>
      </c>
      <c r="Q268" s="26"/>
      <c r="R268" s="26">
        <v>2.2000000000000002</v>
      </c>
      <c r="S268" s="26">
        <v>14.9</v>
      </c>
      <c r="T268" s="26">
        <v>10.6</v>
      </c>
      <c r="U268" s="26"/>
      <c r="V268" s="26">
        <v>12.6</v>
      </c>
      <c r="W268" s="26">
        <v>3</v>
      </c>
      <c r="X268" s="26">
        <v>18.399999999999999</v>
      </c>
      <c r="Y268" s="26"/>
      <c r="Z268" s="26">
        <v>2.6</v>
      </c>
      <c r="AA268" s="26"/>
      <c r="AB268" s="26"/>
      <c r="AC268" s="26"/>
      <c r="AD268" s="26">
        <v>1.7</v>
      </c>
      <c r="AE268" s="26"/>
      <c r="AF268" s="26"/>
      <c r="AG268" s="26"/>
      <c r="AH268" s="26"/>
      <c r="AI268" s="26"/>
      <c r="AJ268" s="26">
        <f t="shared" si="618"/>
        <v>99.3</v>
      </c>
      <c r="AK268" s="26">
        <f t="shared" si="603"/>
        <v>28.711124926388493</v>
      </c>
      <c r="AL268" s="26">
        <f t="shared" si="604"/>
        <v>4.9536800049050571</v>
      </c>
      <c r="AM268" s="26">
        <f t="shared" si="605"/>
        <v>2.2241012266920666</v>
      </c>
      <c r="AN268" s="26">
        <f t="shared" si="606"/>
        <v>15.06323103532354</v>
      </c>
      <c r="AO268" s="26">
        <f t="shared" si="607"/>
        <v>10.716124092243593</v>
      </c>
      <c r="AP268" s="26">
        <f t="shared" si="608"/>
        <v>12.738034298327289</v>
      </c>
      <c r="AQ268" s="26">
        <f t="shared" si="609"/>
        <v>0</v>
      </c>
      <c r="AR268" s="26">
        <f t="shared" si="610"/>
        <v>3.0328653091255453</v>
      </c>
      <c r="AS268" s="26">
        <f t="shared" si="611"/>
        <v>18.601573895970009</v>
      </c>
      <c r="AT268" s="26">
        <f t="shared" si="612"/>
        <v>2.6284832679088059</v>
      </c>
      <c r="AU268" s="26">
        <f t="shared" si="613"/>
        <v>1.7186236751711423</v>
      </c>
      <c r="AV268" s="26">
        <f t="shared" si="619"/>
        <v>100.38784173205553</v>
      </c>
      <c r="AW268" s="16">
        <v>75</v>
      </c>
      <c r="AX268" s="16">
        <v>38</v>
      </c>
      <c r="AY268" s="16"/>
      <c r="AZ268" s="16"/>
      <c r="BA268" s="26">
        <v>0.6</v>
      </c>
      <c r="BC268" s="26">
        <f>(AX268/18.02)/((AX268/18.02)+(AW268/44.01))</f>
        <v>0.55305766101829434</v>
      </c>
      <c r="BD268" s="26">
        <f>(AW268/44.01)/((AX268/18.02)+(AW268/44.01))</f>
        <v>0.44694233898170566</v>
      </c>
      <c r="BE268" s="16"/>
      <c r="BF268" s="16"/>
      <c r="BG268" s="16"/>
      <c r="BH268" s="16"/>
      <c r="BI268" s="16"/>
      <c r="BJ268" s="16">
        <v>43.92</v>
      </c>
      <c r="BK268" s="18"/>
      <c r="BL268" s="18"/>
      <c r="BM268" s="18"/>
      <c r="BN268" s="18">
        <v>0.84499999999999997</v>
      </c>
      <c r="BO268" s="18"/>
      <c r="BP268" s="18"/>
      <c r="BQ268" s="18"/>
      <c r="BR268" s="18">
        <v>4.46</v>
      </c>
      <c r="BS268" s="18"/>
      <c r="BT268" s="18"/>
      <c r="BU268" s="18">
        <v>1.54E-2</v>
      </c>
      <c r="BV268" s="18"/>
      <c r="BW268" s="18">
        <v>7.73</v>
      </c>
      <c r="BX268" s="18">
        <v>0.48</v>
      </c>
      <c r="BY268" s="18"/>
      <c r="BZ268" s="18">
        <v>6.8000000000000005E-2</v>
      </c>
      <c r="CA268" s="18">
        <v>3.5700000000000003E-2</v>
      </c>
      <c r="CB268" s="18"/>
      <c r="CC268" s="18">
        <v>4.15E-3</v>
      </c>
      <c r="CD268" s="18"/>
      <c r="CE268" s="18">
        <v>7.7999999999999999E-4</v>
      </c>
      <c r="CF268" s="18"/>
      <c r="CG268" s="18">
        <v>1.4299999999999998E-3</v>
      </c>
      <c r="CH268" s="18">
        <v>9.0999999999999998E-2</v>
      </c>
      <c r="CI268" s="18">
        <v>1.72</v>
      </c>
      <c r="CJ268" s="18"/>
      <c r="CK268" s="18">
        <v>0.26600000000000001</v>
      </c>
      <c r="CL268" s="18">
        <v>1.1000000000000001E-3</v>
      </c>
      <c r="CM268" s="18"/>
      <c r="CN268" s="18"/>
      <c r="CO268" s="18"/>
      <c r="CP268" s="18"/>
      <c r="CQ268" s="18"/>
      <c r="CR268" s="18">
        <v>1.6000000000000001E-3</v>
      </c>
      <c r="CS268" s="18">
        <v>0.96</v>
      </c>
      <c r="CT268" s="18"/>
      <c r="CU268" s="18">
        <v>6.1100000000000002E-2</v>
      </c>
      <c r="CV268" s="18">
        <v>0.106</v>
      </c>
      <c r="CW268" s="18"/>
      <c r="CX268" s="18" t="s">
        <v>1324</v>
      </c>
      <c r="CY268" s="18">
        <v>8.8000000000000005E-3</v>
      </c>
      <c r="CZ268" s="18">
        <v>3.3500000000000001E-3</v>
      </c>
      <c r="DA268" s="18">
        <v>0.01</v>
      </c>
      <c r="DB268" s="18"/>
      <c r="DC268" s="18"/>
      <c r="DD268" s="18"/>
      <c r="DE268" s="18"/>
      <c r="DF268" s="18">
        <v>1.82E-3</v>
      </c>
      <c r="DG268" s="18">
        <v>2.5000000000000001E-4</v>
      </c>
      <c r="DH268" s="18">
        <v>3.7000000000000002E-3</v>
      </c>
      <c r="DI268" s="18">
        <v>2.9E-4</v>
      </c>
      <c r="DJ268" s="18"/>
      <c r="DK268" s="18"/>
      <c r="DL268" s="18">
        <v>1.1900000000000001E-2</v>
      </c>
      <c r="DM268" s="18">
        <v>1.5E-3</v>
      </c>
      <c r="DN268" s="18">
        <v>1.1999999999999999E-3</v>
      </c>
      <c r="DO268" s="18"/>
      <c r="DP268" s="18">
        <v>8.9999999999999985E-6</v>
      </c>
      <c r="DQ268" s="18"/>
      <c r="DR268" s="18">
        <v>1.9999999999999999E-6</v>
      </c>
      <c r="DS268" s="18"/>
      <c r="DT268" s="18"/>
      <c r="DU268" s="18"/>
      <c r="DV268" s="28"/>
      <c r="DW268" s="28"/>
      <c r="DX268" s="28"/>
      <c r="DY268" s="28"/>
      <c r="DZ268" s="28"/>
      <c r="EA268" s="28"/>
      <c r="EB268" s="28"/>
      <c r="EC268" s="28"/>
      <c r="ED268" s="28"/>
      <c r="EE268" s="28"/>
      <c r="EF268" s="28"/>
      <c r="EG268" s="28"/>
      <c r="EH268" s="28"/>
      <c r="EI268" s="28"/>
      <c r="EJ268" s="18"/>
      <c r="EK268" s="18"/>
      <c r="EL268" s="18">
        <f>IFERROR(CR268/'McDonough &amp; Sun 1995 values'!C$2,)</f>
        <v>7.6190476190476183E-2</v>
      </c>
      <c r="EM268" s="18">
        <f>IFERROR(CH268/'McDonough &amp; Sun 1995 values'!D$2,)</f>
        <v>0.15166666666666667</v>
      </c>
      <c r="EN268" s="18">
        <f>IFERROR(CS268/'McDonough &amp; Sun 1995 values'!E$2,)</f>
        <v>0.14545454545454545</v>
      </c>
      <c r="EO268" s="18">
        <f>IFERROR(DL268/'McDonough &amp; Sun 1995 values'!F$2,)</f>
        <v>0.14968553459119499</v>
      </c>
      <c r="EP268" s="18">
        <f>IFERROR(DM268/'McDonough &amp; Sun 1995 values'!G$2,)</f>
        <v>7.3891625615763554E-2</v>
      </c>
      <c r="EQ268" s="18">
        <f>IFERROR(BR268/'McDonough &amp; Sun 1995 values'!H$2,)</f>
        <v>1.8583333333333334E-2</v>
      </c>
      <c r="ER268" s="18">
        <f>IFERROR(DI268/'McDonough &amp; Sun 1995 values'!I$2,)</f>
        <v>7.8378378378378376E-3</v>
      </c>
      <c r="ES268" s="18">
        <f>IFERROR(CM268/'McDonough &amp; Sun 1995 values'!J$2,)</f>
        <v>0</v>
      </c>
      <c r="ET268" s="18">
        <f>IFERROR(CU268/'McDonough &amp; Sun 1995 values'!K$2,)</f>
        <v>9.4290123456790123E-2</v>
      </c>
      <c r="EU268" s="18">
        <f>IFERROR(CV268/'McDonough &amp; Sun 1995 values'!L$2,)</f>
        <v>6.3283582089552232E-2</v>
      </c>
      <c r="EV268" s="18">
        <f>IFERROR(CW268/'McDonough &amp; Sun 1995 values'!M$2,)</f>
        <v>0</v>
      </c>
      <c r="EW268" s="18">
        <f>IFERROR(CI268/'McDonough &amp; Sun 1995 values'!N$2,)</f>
        <v>8.6432160804020108E-2</v>
      </c>
      <c r="EX268" s="18">
        <f>IFERROR(CX268/'McDonough &amp; Sun 1995 values'!O$2,)</f>
        <v>0</v>
      </c>
      <c r="EY268" s="18">
        <f>IFERROR(CY268/'McDonough &amp; Sun 1995 values'!P$2,)</f>
        <v>2.167487684729064E-2</v>
      </c>
      <c r="EZ268" s="18">
        <f>IFERROR(DH268/'McDonough &amp; Sun 1995 values'!Q$2,)</f>
        <v>1.3074204946996468E-2</v>
      </c>
      <c r="FA268" s="18">
        <f>IFERROR(CK268/'McDonough &amp; Sun 1995 values'!R$2,)</f>
        <v>2.5333333333333336E-2</v>
      </c>
      <c r="FB268" s="18">
        <f>IFERROR(CZ268/'McDonough &amp; Sun 1995 values'!S$2,)</f>
        <v>2.1753246753246754E-2</v>
      </c>
      <c r="FC268" s="18">
        <f>IFERROR(BT268/'McDonough &amp; Sun 1995 values'!T$2,)</f>
        <v>0</v>
      </c>
      <c r="FD268" s="18">
        <f>IFERROR(DA268/'McDonough &amp; Sun 1995 values'!U$2,)</f>
        <v>1.8382352941176471E-2</v>
      </c>
      <c r="FE268" s="18">
        <f>IFERROR(DN268/'McDonough &amp; Sun 1995 values'!V$2,)</f>
        <v>1.2121212121212119E-2</v>
      </c>
      <c r="FF268" s="18">
        <f>IFERROR(DB268/'McDonough &amp; Sun 1995 values'!W$2,)</f>
        <v>0</v>
      </c>
      <c r="FG268" s="18">
        <f>IFERROR(CJ268/'McDonough &amp; Sun 1995 values'!X$2,)</f>
        <v>0</v>
      </c>
      <c r="FH268" s="18">
        <f>IFERROR(DC268/'McDonough &amp; Sun 1995 values'!Y$2,)</f>
        <v>0</v>
      </c>
      <c r="FI268" s="18">
        <f>IFERROR(DD268/'McDonough &amp; Sun 1995 values'!Z$2,)</f>
        <v>0</v>
      </c>
      <c r="FJ268" s="18">
        <f>IFERROR(DE268/'McDonough &amp; Sun 1995 values'!AA$2,)</f>
        <v>0</v>
      </c>
      <c r="FK268" s="18">
        <f>IFERROR(DF268/'McDonough &amp; Sun 1995 values'!AB$2,)</f>
        <v>4.1269841269841265E-3</v>
      </c>
      <c r="FL268" s="18">
        <f>IFERROR(DG268/'McDonough &amp; Sun 1995 values'!AC$2,)</f>
        <v>3.7037037037037034E-3</v>
      </c>
      <c r="FN268" s="28">
        <f t="shared" si="614"/>
        <v>3.9762309748392943</v>
      </c>
      <c r="FO268" s="4">
        <f t="shared" si="547"/>
        <v>1.9684848484848483</v>
      </c>
      <c r="FP268" s="4">
        <f t="shared" si="548"/>
        <v>0</v>
      </c>
      <c r="FQ268" s="4">
        <f t="shared" si="549"/>
        <v>2.0257442348008388</v>
      </c>
      <c r="FR268" s="4">
        <f t="shared" si="550"/>
        <v>0</v>
      </c>
      <c r="FS268" s="4">
        <f t="shared" si="551"/>
        <v>12.030119199659429</v>
      </c>
      <c r="FT268" s="4">
        <f t="shared" si="552"/>
        <v>1.9906250000000003</v>
      </c>
      <c r="FU268" s="4">
        <f t="shared" si="553"/>
        <v>0</v>
      </c>
      <c r="FV268" s="4">
        <f t="shared" si="554"/>
        <v>1.1687878787878789</v>
      </c>
      <c r="FW268" s="4">
        <f t="shared" si="555"/>
        <v>1.9376576576576576</v>
      </c>
      <c r="FX268" s="4">
        <f t="shared" si="556"/>
        <v>1.0861083938215685</v>
      </c>
      <c r="FY268" s="4">
        <f t="shared" si="557"/>
        <v>0</v>
      </c>
      <c r="FZ268" s="4">
        <f t="shared" si="558"/>
        <v>1.0897960181464044</v>
      </c>
      <c r="GA268" s="4">
        <f t="shared" si="559"/>
        <v>0</v>
      </c>
      <c r="GB268" s="4">
        <f t="shared" si="560"/>
        <v>1.0036157024793388</v>
      </c>
      <c r="GC268" s="4">
        <f t="shared" si="561"/>
        <v>0.50235478806907374</v>
      </c>
      <c r="GD268" s="4">
        <f t="shared" si="562"/>
        <v>0.97173414820473625</v>
      </c>
      <c r="GE268" s="4">
        <f t="shared" si="563"/>
        <v>0.95904095904095898</v>
      </c>
      <c r="GF268" s="4">
        <f t="shared" si="564"/>
        <v>7.8271504280472888</v>
      </c>
      <c r="GG268" s="4">
        <f t="shared" si="565"/>
        <v>0</v>
      </c>
      <c r="GH268" s="4">
        <f t="shared" si="566"/>
        <v>0</v>
      </c>
      <c r="GI268" s="4">
        <f t="shared" si="567"/>
        <v>4.3502034231200897</v>
      </c>
      <c r="GJ268" s="4">
        <f t="shared" si="568"/>
        <v>0</v>
      </c>
      <c r="GK268" s="4">
        <f t="shared" si="569"/>
        <v>22.847222222222225</v>
      </c>
      <c r="GL268" s="4">
        <f t="shared" si="570"/>
        <v>0</v>
      </c>
      <c r="GM268" s="4">
        <f t="shared" si="571"/>
        <v>0.98693759071117571</v>
      </c>
      <c r="GN268" s="4">
        <f t="shared" si="572"/>
        <v>0</v>
      </c>
      <c r="GO268" s="4">
        <f t="shared" si="573"/>
        <v>0</v>
      </c>
      <c r="GP268" s="4">
        <f t="shared" si="574"/>
        <v>0.25149444444444441</v>
      </c>
      <c r="GQ268" s="27">
        <f t="shared" si="575"/>
        <v>154418.60417368141</v>
      </c>
      <c r="GR268" s="28">
        <f t="shared" si="576"/>
        <v>55.39680867217271</v>
      </c>
      <c r="GS268" s="28">
        <f t="shared" si="577"/>
        <v>3150.6934932298227</v>
      </c>
      <c r="GT268" s="28">
        <f t="shared" si="578"/>
        <v>33238.085203303621</v>
      </c>
      <c r="GU268" s="28">
        <f t="shared" si="579"/>
        <v>412.01376449928449</v>
      </c>
      <c r="GV268" s="28">
        <f t="shared" si="580"/>
        <v>51.934508130161909</v>
      </c>
      <c r="GW268" s="28">
        <f t="shared" si="581"/>
        <v>154418.60417368141</v>
      </c>
      <c r="GX268" s="28">
        <f t="shared" si="582"/>
        <v>10.040671571831302</v>
      </c>
      <c r="GY268" s="28">
        <f t="shared" si="583"/>
        <v>0</v>
      </c>
      <c r="GZ268" s="28">
        <f t="shared" si="584"/>
        <v>2115.4656311685953</v>
      </c>
      <c r="HA268" s="28">
        <f t="shared" si="585"/>
        <v>3670.0385745314416</v>
      </c>
      <c r="HB268" s="28">
        <f t="shared" si="586"/>
        <v>0</v>
      </c>
      <c r="HC268" s="28">
        <f t="shared" si="587"/>
        <v>59551.569322585652</v>
      </c>
      <c r="HD268" s="28" t="str">
        <f t="shared" si="588"/>
        <v/>
      </c>
      <c r="HE268" s="28">
        <f t="shared" si="589"/>
        <v>304.68244769694985</v>
      </c>
      <c r="HF268" s="28">
        <f t="shared" si="590"/>
        <v>128.10512005439938</v>
      </c>
      <c r="HG268" s="28">
        <f t="shared" si="591"/>
        <v>9209.7194417487135</v>
      </c>
      <c r="HH268" s="28">
        <f t="shared" si="592"/>
        <v>115.98706815736161</v>
      </c>
      <c r="HI268" s="28">
        <f t="shared" si="593"/>
        <v>0</v>
      </c>
      <c r="HJ268" s="28">
        <f t="shared" si="594"/>
        <v>346.23005420107938</v>
      </c>
      <c r="HK268" s="28">
        <f t="shared" si="595"/>
        <v>41.547606504129519</v>
      </c>
      <c r="HL268" s="28">
        <f t="shared" si="596"/>
        <v>0</v>
      </c>
      <c r="HM268" s="28">
        <f t="shared" si="597"/>
        <v>0</v>
      </c>
      <c r="HN268" s="28">
        <f t="shared" si="598"/>
        <v>0</v>
      </c>
      <c r="HO268" s="28">
        <f t="shared" si="599"/>
        <v>0</v>
      </c>
      <c r="HP268" s="28">
        <f t="shared" si="600"/>
        <v>0</v>
      </c>
      <c r="HQ268" s="28">
        <f t="shared" si="601"/>
        <v>63.013869864596444</v>
      </c>
      <c r="HR268" s="28">
        <f t="shared" si="602"/>
        <v>8.6557513550269842</v>
      </c>
      <c r="HT268" s="4">
        <f>IFERROR(GR268/'McDonough &amp; Sun 1995 values'!C$2,)</f>
        <v>2637.9432701034621</v>
      </c>
      <c r="HU268" s="4">
        <f>IFERROR(GS268/'McDonough &amp; Sun 1995 values'!D$2,)</f>
        <v>5251.1558220497045</v>
      </c>
      <c r="HV268" s="4">
        <f>IFERROR(GT268/'McDonough &amp; Sun 1995 values'!E$2,)</f>
        <v>5036.0735156520641</v>
      </c>
      <c r="HW268" s="4">
        <f>IFERROR(GU268/'McDonough &amp; Sun 1995 values'!F$2,)</f>
        <v>5182.5630754626982</v>
      </c>
      <c r="HX268" s="4">
        <f>IFERROR(GV268/'McDonough &amp; Sun 1995 values'!G$2,)</f>
        <v>2558.3501541951682</v>
      </c>
      <c r="HY268" s="4">
        <f>IFERROR(GW268/'McDonough &amp; Sun 1995 values'!H$2,)</f>
        <v>643.41085072367252</v>
      </c>
      <c r="HZ268" s="4">
        <f>IFERROR(GX268/'McDonough &amp; Sun 1995 values'!I$2,)</f>
        <v>271.36950194138655</v>
      </c>
      <c r="IA268" s="4">
        <f>IFERROR(GY268/'McDonough &amp; Sun 1995 values'!J$2,)</f>
        <v>0</v>
      </c>
      <c r="IB268" s="4">
        <f>IFERROR(GZ268/'McDonough &amp; Sun 1995 values'!K$2,)</f>
        <v>3264.6074555070913</v>
      </c>
      <c r="IC268" s="4">
        <f>IFERROR(HA268/'McDonough &amp; Sun 1995 values'!L$2,)</f>
        <v>2191.067805690413</v>
      </c>
      <c r="ID268" s="4">
        <f>IFERROR(HB268/'McDonough &amp; Sun 1995 values'!M$2,)</f>
        <v>0</v>
      </c>
      <c r="IE268" s="4">
        <f>IFERROR(HC268/'McDonough &amp; Sun 1995 values'!N$2,)</f>
        <v>2992.541171989229</v>
      </c>
      <c r="IF268" s="4">
        <f>IFERROR(HD268/'McDonough &amp; Sun 1995 values'!O$2,)</f>
        <v>0</v>
      </c>
      <c r="IG268" s="4">
        <f>IFERROR(HE268/'McDonough &amp; Sun 1995 values'!P$2,)</f>
        <v>750.44937856391584</v>
      </c>
      <c r="IH268" s="4">
        <f>IFERROR(HF268/'McDonough &amp; Sun 1995 values'!Q$2,)</f>
        <v>452.66826874346077</v>
      </c>
      <c r="II268" s="4">
        <f>IFERROR(HG268/'McDonough &amp; Sun 1995 values'!R$2,)</f>
        <v>877.11613730940132</v>
      </c>
      <c r="IJ268" s="4">
        <f>IFERROR(HH268/'McDonough &amp; Sun 1995 values'!S$2,)</f>
        <v>753.16278024260782</v>
      </c>
      <c r="IK268" s="4">
        <f>IFERROR(HI268/'McDonough &amp; Sun 1995 values'!T$2,)</f>
        <v>0</v>
      </c>
      <c r="IL268" s="4">
        <f>IFERROR(HJ268/'McDonough &amp; Sun 1995 values'!U$2,)</f>
        <v>636.45230551668999</v>
      </c>
      <c r="IM268" s="4">
        <f>IFERROR(HK268/'McDonough &amp; Sun 1995 values'!V$2,)</f>
        <v>419.67279297100521</v>
      </c>
      <c r="IN268" s="4">
        <f>IFERROR(HL268/'McDonough &amp; Sun 1995 values'!W$2,)</f>
        <v>0</v>
      </c>
      <c r="IO268" s="4">
        <f>IFERROR(HM268/'McDonough &amp; Sun 1995 values'!X$2,)</f>
        <v>0</v>
      </c>
      <c r="IP268" s="4">
        <f>IFERROR(HN268/'McDonough &amp; Sun 1995 values'!Y$2,)</f>
        <v>0</v>
      </c>
      <c r="IQ268" s="4">
        <f>IFERROR(HO268/'McDonough &amp; Sun 1995 values'!Z$2,)</f>
        <v>0</v>
      </c>
      <c r="IR268" s="4">
        <f>IFERROR(HP268/'McDonough &amp; Sun 1995 values'!AA$2,)</f>
        <v>0</v>
      </c>
      <c r="IS268" s="4">
        <f>IFERROR(HQ268/'McDonough &amp; Sun 1995 values'!AB$2,)</f>
        <v>142.88859379727086</v>
      </c>
      <c r="IT268" s="4">
        <f>IFERROR(HR268/'McDonough &amp; Sun 1995 values'!AC$2,)</f>
        <v>128.23335340780716</v>
      </c>
    </row>
    <row r="269" spans="1:254">
      <c r="A269" s="16" t="s">
        <v>1178</v>
      </c>
      <c r="B269" s="16" t="s">
        <v>24</v>
      </c>
      <c r="C269" s="16" t="str">
        <f t="shared" si="617"/>
        <v>silicic - low-Mg carbonatitic</v>
      </c>
      <c r="D269" s="16" t="s">
        <v>1720</v>
      </c>
      <c r="E269" s="16" t="s">
        <v>1394</v>
      </c>
      <c r="F269" s="16" t="s">
        <v>104</v>
      </c>
      <c r="G269" s="16" t="s">
        <v>595</v>
      </c>
      <c r="H269" s="27">
        <v>240</v>
      </c>
      <c r="I269" s="16" t="s">
        <v>736</v>
      </c>
      <c r="J269" s="16" t="s">
        <v>596</v>
      </c>
      <c r="K269" s="16" t="s">
        <v>48</v>
      </c>
      <c r="L269" s="16">
        <v>0</v>
      </c>
      <c r="M269" s="16" t="s">
        <v>737</v>
      </c>
      <c r="N269" s="16">
        <v>70</v>
      </c>
      <c r="O269" s="26">
        <v>23.9</v>
      </c>
      <c r="P269" s="26">
        <v>4.5999999999999996</v>
      </c>
      <c r="Q269" s="26"/>
      <c r="R269" s="26">
        <v>2.5</v>
      </c>
      <c r="S269" s="26">
        <v>15.2</v>
      </c>
      <c r="T269" s="26">
        <v>10.9</v>
      </c>
      <c r="U269" s="26"/>
      <c r="V269" s="26">
        <v>13.5</v>
      </c>
      <c r="W269" s="26">
        <v>2.2000000000000002</v>
      </c>
      <c r="X269" s="26">
        <v>22.2</v>
      </c>
      <c r="Y269" s="26"/>
      <c r="Z269" s="26">
        <v>2.2999999999999998</v>
      </c>
      <c r="AA269" s="26"/>
      <c r="AB269" s="26"/>
      <c r="AC269" s="26"/>
      <c r="AD269" s="26">
        <v>1.5</v>
      </c>
      <c r="AE269" s="26"/>
      <c r="AF269" s="26"/>
      <c r="AG269" s="26"/>
      <c r="AH269" s="26"/>
      <c r="AI269" s="26"/>
      <c r="AJ269" s="26">
        <f t="shared" si="618"/>
        <v>98.8</v>
      </c>
      <c r="AK269" s="26">
        <f t="shared" si="603"/>
        <v>24.273448198804743</v>
      </c>
      <c r="AL269" s="26">
        <f t="shared" si="604"/>
        <v>4.6718770591841761</v>
      </c>
      <c r="AM269" s="26">
        <f t="shared" si="605"/>
        <v>2.5390636191218352</v>
      </c>
      <c r="AN269" s="26">
        <f t="shared" si="606"/>
        <v>15.437506804260757</v>
      </c>
      <c r="AO269" s="26">
        <f t="shared" si="607"/>
        <v>11.070317379371202</v>
      </c>
      <c r="AP269" s="26">
        <f t="shared" si="608"/>
        <v>13.710943543257908</v>
      </c>
      <c r="AQ269" s="26">
        <f t="shared" si="609"/>
        <v>0</v>
      </c>
      <c r="AR269" s="26">
        <f t="shared" si="610"/>
        <v>2.2343759848272153</v>
      </c>
      <c r="AS269" s="26">
        <f t="shared" si="611"/>
        <v>22.546884937801895</v>
      </c>
      <c r="AT269" s="26">
        <f t="shared" si="612"/>
        <v>2.335938529592088</v>
      </c>
      <c r="AU269" s="26">
        <f t="shared" si="613"/>
        <v>1.5234381714731011</v>
      </c>
      <c r="AV269" s="26">
        <f t="shared" si="619"/>
        <v>100.34379422769491</v>
      </c>
      <c r="AW269" s="16"/>
      <c r="AX269" s="16"/>
      <c r="AY269" s="16"/>
      <c r="AZ269" s="16"/>
      <c r="BA269" s="26"/>
      <c r="BB269" s="26"/>
      <c r="BC269" s="26"/>
      <c r="BD269" s="26"/>
      <c r="BE269" s="16"/>
      <c r="BF269" s="16"/>
      <c r="BG269" s="16"/>
      <c r="BH269" s="16"/>
      <c r="BI269" s="16"/>
      <c r="BJ269" s="16">
        <v>31.3</v>
      </c>
      <c r="BK269" s="18"/>
      <c r="BL269" s="18"/>
      <c r="BM269" s="18"/>
      <c r="BN269" s="18">
        <v>3.25</v>
      </c>
      <c r="BO269" s="18"/>
      <c r="BP269" s="18"/>
      <c r="BQ269" s="18"/>
      <c r="BR269" s="18">
        <v>22.8</v>
      </c>
      <c r="BS269" s="18"/>
      <c r="BT269" s="18"/>
      <c r="BU269" s="18">
        <v>5.0999999999999997E-2</v>
      </c>
      <c r="BV269" s="18"/>
      <c r="BW269" s="18">
        <v>37.4</v>
      </c>
      <c r="BX269" s="18">
        <v>0.73599999999999999</v>
      </c>
      <c r="BY269" s="18"/>
      <c r="BZ269" s="18">
        <v>0.123</v>
      </c>
      <c r="CA269" s="18">
        <v>5.5299999999999995E-2</v>
      </c>
      <c r="CB269" s="18"/>
      <c r="CC269" s="18">
        <v>2.47E-2</v>
      </c>
      <c r="CD269" s="18"/>
      <c r="CE269" s="18">
        <v>1.5E-3</v>
      </c>
      <c r="CF269" s="18"/>
      <c r="CG269" s="18">
        <v>5.7300000000000007E-3</v>
      </c>
      <c r="CH269" s="18">
        <v>0.193</v>
      </c>
      <c r="CI269" s="18">
        <v>4</v>
      </c>
      <c r="CJ269" s="18"/>
      <c r="CK269" s="18">
        <v>1.6</v>
      </c>
      <c r="CL269" s="18">
        <v>6.9999999999999999E-4</v>
      </c>
      <c r="CM269" s="18"/>
      <c r="CN269" s="18"/>
      <c r="CO269" s="18"/>
      <c r="CP269" s="18"/>
      <c r="CQ269" s="18"/>
      <c r="CR269" s="18">
        <v>3.3999999999999998E-3</v>
      </c>
      <c r="CS269" s="18">
        <v>1.5820000000000001</v>
      </c>
      <c r="CT269" s="18"/>
      <c r="CU269" s="18">
        <v>0.36399999999999999</v>
      </c>
      <c r="CV269" s="18">
        <v>0.55500000000000005</v>
      </c>
      <c r="CW269" s="18"/>
      <c r="CX269" s="18" t="s">
        <v>1325</v>
      </c>
      <c r="CY269" s="18">
        <v>5.2499999999999998E-2</v>
      </c>
      <c r="CZ269" s="18">
        <v>1.67E-2</v>
      </c>
      <c r="DA269" s="18">
        <v>4.9000000000000002E-2</v>
      </c>
      <c r="DB269" s="18"/>
      <c r="DC269" s="18"/>
      <c r="DD269" s="18"/>
      <c r="DE269" s="18"/>
      <c r="DF269" s="18">
        <v>4.7999999999999996E-3</v>
      </c>
      <c r="DG269" s="18">
        <v>8.1000000000000006E-4</v>
      </c>
      <c r="DH269" s="18">
        <v>3.9799999999999995E-2</v>
      </c>
      <c r="DI269" s="18">
        <v>4.0000000000000002E-4</v>
      </c>
      <c r="DJ269" s="18"/>
      <c r="DK269" s="18"/>
      <c r="DL269" s="18">
        <v>6.59E-2</v>
      </c>
      <c r="DM269" s="18">
        <v>2.8999999999999998E-3</v>
      </c>
      <c r="DN269" s="18">
        <v>6.0000000000000001E-3</v>
      </c>
      <c r="DO269" s="18"/>
      <c r="DP269" s="18">
        <v>6.0999999999999999E-5</v>
      </c>
      <c r="DQ269" s="18"/>
      <c r="DR269" s="18">
        <v>1.4E-5</v>
      </c>
      <c r="DS269" s="18"/>
      <c r="DT269" s="18"/>
      <c r="DU269" s="18"/>
      <c r="DV269" s="28"/>
      <c r="DW269" s="28"/>
      <c r="DX269" s="28"/>
      <c r="DY269" s="28"/>
      <c r="DZ269" s="28"/>
      <c r="EA269" s="28"/>
      <c r="EB269" s="28"/>
      <c r="EC269" s="28"/>
      <c r="ED269" s="28"/>
      <c r="EE269" s="28"/>
      <c r="EF269" s="28"/>
      <c r="EG269" s="28"/>
      <c r="EH269" s="28"/>
      <c r="EI269" s="28"/>
      <c r="EJ269" s="18"/>
      <c r="EK269" s="18"/>
      <c r="EL269" s="18">
        <f>IFERROR(CR269/'McDonough &amp; Sun 1995 values'!C$2,)</f>
        <v>0.16190476190476188</v>
      </c>
      <c r="EM269" s="18">
        <f>IFERROR(CH269/'McDonough &amp; Sun 1995 values'!D$2,)</f>
        <v>0.32166666666666671</v>
      </c>
      <c r="EN269" s="18">
        <f>IFERROR(CS269/'McDonough &amp; Sun 1995 values'!E$2,)</f>
        <v>0.23969696969696971</v>
      </c>
      <c r="EO269" s="18">
        <f>IFERROR(DL269/'McDonough &amp; Sun 1995 values'!F$2,)</f>
        <v>0.82893081761006293</v>
      </c>
      <c r="EP269" s="18">
        <f>IFERROR(DM269/'McDonough &amp; Sun 1995 values'!G$2,)</f>
        <v>0.14285714285714285</v>
      </c>
      <c r="EQ269" s="18">
        <f>IFERROR(BR269/'McDonough &amp; Sun 1995 values'!H$2,)</f>
        <v>9.5000000000000001E-2</v>
      </c>
      <c r="ER269" s="18">
        <f>IFERROR(DI269/'McDonough &amp; Sun 1995 values'!I$2,)</f>
        <v>1.0810810810810811E-2</v>
      </c>
      <c r="ES269" s="18">
        <f>IFERROR(CM269/'McDonough &amp; Sun 1995 values'!J$2,)</f>
        <v>0</v>
      </c>
      <c r="ET269" s="18">
        <f>IFERROR(CU269/'McDonough &amp; Sun 1995 values'!K$2,)</f>
        <v>0.56172839506172834</v>
      </c>
      <c r="EU269" s="18">
        <f>IFERROR(CV269/'McDonough &amp; Sun 1995 values'!L$2,)</f>
        <v>0.33134328358208959</v>
      </c>
      <c r="EV269" s="18">
        <f>IFERROR(CW269/'McDonough &amp; Sun 1995 values'!M$2,)</f>
        <v>0</v>
      </c>
      <c r="EW269" s="18">
        <f>IFERROR(CI269/'McDonough &amp; Sun 1995 values'!N$2,)</f>
        <v>0.20100502512562815</v>
      </c>
      <c r="EX269" s="18">
        <f>IFERROR(CX269/'McDonough &amp; Sun 1995 values'!O$2,)</f>
        <v>0</v>
      </c>
      <c r="EY269" s="18">
        <f>IFERROR(CY269/'McDonough &amp; Sun 1995 values'!P$2,)</f>
        <v>0.12931034482758619</v>
      </c>
      <c r="EZ269" s="18">
        <f>IFERROR(DH269/'McDonough &amp; Sun 1995 values'!Q$2,)</f>
        <v>0.14063604240282684</v>
      </c>
      <c r="FA269" s="18">
        <f>IFERROR(CK269/'McDonough &amp; Sun 1995 values'!R$2,)</f>
        <v>0.15238095238095239</v>
      </c>
      <c r="FB269" s="18">
        <f>IFERROR(CZ269/'McDonough &amp; Sun 1995 values'!S$2,)</f>
        <v>0.10844155844155844</v>
      </c>
      <c r="FC269" s="18">
        <f>IFERROR(BT269/'McDonough &amp; Sun 1995 values'!T$2,)</f>
        <v>0</v>
      </c>
      <c r="FD269" s="18">
        <f>IFERROR(DA269/'McDonough &amp; Sun 1995 values'!U$2,)</f>
        <v>9.0073529411764705E-2</v>
      </c>
      <c r="FE269" s="18">
        <f>IFERROR(DN269/'McDonough &amp; Sun 1995 values'!V$2,)</f>
        <v>6.0606060606060608E-2</v>
      </c>
      <c r="FF269" s="18">
        <f>IFERROR(DB269/'McDonough &amp; Sun 1995 values'!W$2,)</f>
        <v>0</v>
      </c>
      <c r="FG269" s="18">
        <f>IFERROR(CJ269/'McDonough &amp; Sun 1995 values'!X$2,)</f>
        <v>0</v>
      </c>
      <c r="FH269" s="18">
        <f>IFERROR(DC269/'McDonough &amp; Sun 1995 values'!Y$2,)</f>
        <v>0</v>
      </c>
      <c r="FI269" s="18">
        <f>IFERROR(DD269/'McDonough &amp; Sun 1995 values'!Z$2,)</f>
        <v>0</v>
      </c>
      <c r="FJ269" s="18">
        <f>IFERROR(DE269/'McDonough &amp; Sun 1995 values'!AA$2,)</f>
        <v>0</v>
      </c>
      <c r="FK269" s="18">
        <f>IFERROR(DF269/'McDonough &amp; Sun 1995 values'!AB$2,)</f>
        <v>1.0884353741496598E-2</v>
      </c>
      <c r="FL269" s="18">
        <f>IFERROR(DG269/'McDonough &amp; Sun 1995 values'!AC$2,)</f>
        <v>1.2E-2</v>
      </c>
      <c r="FN269" s="28">
        <f t="shared" si="614"/>
        <v>1.5037593984962405</v>
      </c>
      <c r="FO269" s="4">
        <f t="shared" ref="FO269:FO304" si="620">IFERROR(EN269/EP269,)</f>
        <v>1.6778787878787882</v>
      </c>
      <c r="FP269" s="4">
        <f t="shared" ref="FP269:FP304" si="621">IFERROR(EO269/ES269,)</f>
        <v>0</v>
      </c>
      <c r="FQ269" s="4">
        <f t="shared" ref="FQ269:FQ304" si="622">IFERROR(EO269/EP269,)</f>
        <v>5.8025157232704405</v>
      </c>
      <c r="FR269" s="4">
        <f t="shared" ref="FR269:FR304" si="623">IFERROR(ET269/ES269,)</f>
        <v>0</v>
      </c>
      <c r="FS269" s="4">
        <f t="shared" ref="FS269:FS304" si="624">IFERROR(ET269/ER269,)</f>
        <v>51.959876543209866</v>
      </c>
      <c r="FT269" s="4">
        <f t="shared" ref="FT269:FT304" si="625">IFERROR(EM269/EL269,)</f>
        <v>1.9867647058823534</v>
      </c>
      <c r="FU269" s="4">
        <f t="shared" ref="FU269:FU304" si="626">IFERROR(ER269/ES269,)</f>
        <v>0</v>
      </c>
      <c r="FV269" s="4">
        <f t="shared" ref="FV269:FV304" si="627">IFERROR(FA269/EY269,)</f>
        <v>1.1784126984126988</v>
      </c>
      <c r="FW269" s="4">
        <f t="shared" ref="FW269:FW304" si="628">IFERROR(FA269/EZ269,)</f>
        <v>1.0835128021057672</v>
      </c>
      <c r="FX269" s="4">
        <f t="shared" ref="FX269:FX304" si="629">IFERROR(FB269/(0.5*FD269+0.5*EY269),)</f>
        <v>0.98860099738458596</v>
      </c>
      <c r="FY269" s="4">
        <f t="shared" ref="FY269:FY304" si="630">IFERROR(EW269/SQRT(EV269*EX269),)</f>
        <v>0</v>
      </c>
      <c r="FZ269" s="4">
        <f t="shared" ref="FZ269:FZ304" si="631">IFERROR(FB269/SQRT(EY269*FD269),)</f>
        <v>1.0048020795885002</v>
      </c>
      <c r="GA269" s="4">
        <f t="shared" ref="GA269:GA304" si="632">IFERROR(EW269/EV269,)</f>
        <v>0</v>
      </c>
      <c r="GB269" s="4">
        <f t="shared" ref="GB269:GB304" si="633">IFERROR(FB269/EY269,)</f>
        <v>0.8386147186147187</v>
      </c>
      <c r="GC269" s="4">
        <f t="shared" ref="GC269:GC304" si="634">IFERROR(EL269/EM269,)</f>
        <v>0.50333086602516641</v>
      </c>
      <c r="GD269" s="4">
        <f t="shared" ref="GD269:GD304" si="635">IFERROR(EN269/EO269,)</f>
        <v>0.28916402262381019</v>
      </c>
      <c r="GE269" s="4">
        <f t="shared" ref="GE269:GE304" si="636">IFERROR(EN269/EM269,)</f>
        <v>0.74517192651907671</v>
      </c>
      <c r="GF269" s="4">
        <f t="shared" ref="GF269:GF304" si="637">IFERROR(EN269/EQ269,)</f>
        <v>2.5231259968102075</v>
      </c>
      <c r="GG269" s="4">
        <f t="shared" ref="GG269:GG304" si="638">IFERROR(EN269/ES269,)</f>
        <v>0</v>
      </c>
      <c r="GH269" s="4">
        <f t="shared" ref="GH269:GH304" si="639">IFERROR(ET269/EV269,)</f>
        <v>0</v>
      </c>
      <c r="GI269" s="4">
        <f t="shared" ref="GI269:GI304" si="640">IFERROR(ET269/EY269,)</f>
        <v>4.3440329218107001</v>
      </c>
      <c r="GJ269" s="4">
        <f t="shared" ref="GJ269:GJ304" si="641">IFERROR(ET269/FF269,)</f>
        <v>0</v>
      </c>
      <c r="GK269" s="4">
        <f t="shared" ref="GK269:GK304" si="642">IFERROR(ET269/FK269,)</f>
        <v>51.608796296296298</v>
      </c>
      <c r="GL269" s="4">
        <f t="shared" ref="GL269:GL304" si="643">IFERROR(FA269/FC269,)</f>
        <v>0</v>
      </c>
      <c r="GM269" s="4">
        <f t="shared" ref="GM269:GM304" si="644">IFERROR(EO269/EM269,)</f>
        <v>2.5769869977514905</v>
      </c>
      <c r="GN269" s="4">
        <f t="shared" ref="GN269:GN304" si="645">IFERROR(ES269/ET269,)</f>
        <v>0</v>
      </c>
      <c r="GO269" s="4">
        <f t="shared" ref="GO269:GO304" si="646">IFERROR(ES269/EP269,)</f>
        <v>0</v>
      </c>
      <c r="GP269" s="4">
        <f t="shared" ref="GP269:GP304" si="647">IFERROR(EQ269/EP269,)</f>
        <v>0.66500000000000004</v>
      </c>
      <c r="GQ269" s="27">
        <f t="shared" ref="GQ269:GQ304" si="648">AS269*10000/1.20462</f>
        <v>187170.10291877849</v>
      </c>
      <c r="GR269" s="28">
        <f t="shared" ref="GR269:GR304" si="649">IFERROR(CR269/$BR269*$GQ269,"")</f>
        <v>27.911331137010823</v>
      </c>
      <c r="GS269" s="28">
        <f t="shared" ref="GS269:GS304" si="650">IFERROR(CH269/$BR269*$GQ269,"")</f>
        <v>1584.3785027773795</v>
      </c>
      <c r="GT269" s="28">
        <f t="shared" ref="GT269:GT304" si="651">IFERROR(CS269/$BR269*$GQ269,"")</f>
        <v>12986.978193750332</v>
      </c>
      <c r="GU269" s="28">
        <f t="shared" ref="GU269:GU304" si="652">IFERROR(DL269/$BR269*$GQ269,"")</f>
        <v>540.98727115559211</v>
      </c>
      <c r="GV269" s="28">
        <f t="shared" ref="GV269:GV304" si="653">IFERROR(DM269/$BR269*$GQ269,"")</f>
        <v>23.806723616862175</v>
      </c>
      <c r="GW269" s="28">
        <f t="shared" ref="GW269:GW304" si="654">IFERROR(BR269/$BR269*$GQ269,"")</f>
        <v>187170.10291877849</v>
      </c>
      <c r="GX269" s="28">
        <f t="shared" ref="GX269:GX304" si="655">IFERROR(DI269/$BR269*$GQ269,"")</f>
        <v>3.2836860161189207</v>
      </c>
      <c r="GY269" s="28">
        <f t="shared" ref="GY269:GY304" si="656">IFERROR(CM269/$BR269*$GQ269,"")</f>
        <v>0</v>
      </c>
      <c r="GZ269" s="28">
        <f t="shared" ref="GZ269:GZ304" si="657">IFERROR(CU269/$BR269*$GQ269,"")</f>
        <v>2988.154274668218</v>
      </c>
      <c r="HA269" s="28">
        <f t="shared" ref="HA269:HA304" si="658">IFERROR(CV269/$BR269*$GQ269,"")</f>
        <v>4556.1143473650036</v>
      </c>
      <c r="HB269" s="28">
        <f t="shared" ref="HB269:HB304" si="659">IFERROR(CW269/$BR269*$GQ269,"")</f>
        <v>0</v>
      </c>
      <c r="HC269" s="28">
        <f t="shared" ref="HC269:HC304" si="660">IFERROR(CI269/$BR269*$GQ269,"")</f>
        <v>32836.860161189208</v>
      </c>
      <c r="HD269" s="28" t="str">
        <f t="shared" ref="HD269:HD304" si="661">IFERROR(CX269/$BR269*$GQ269,"")</f>
        <v/>
      </c>
      <c r="HE269" s="28">
        <f t="shared" ref="HE269:HE304" si="662">IFERROR(CY269/$BR269*$GQ269,"")</f>
        <v>430.98378961560832</v>
      </c>
      <c r="HF269" s="28">
        <f t="shared" ref="HF269:HF304" si="663">IFERROR(DH269/$BR269*$GQ269,"")</f>
        <v>326.72675860383259</v>
      </c>
      <c r="HG269" s="28">
        <f t="shared" ref="HG269:HG304" si="664">IFERROR(CK269/$BR269*$GQ269,"")</f>
        <v>13134.744064475683</v>
      </c>
      <c r="HH269" s="28">
        <f t="shared" ref="HH269:HH304" si="665">IFERROR(CZ269/$BR269*$GQ269,"")</f>
        <v>137.09389117296493</v>
      </c>
      <c r="HI269" s="28">
        <f t="shared" ref="HI269:HI304" si="666">IFERROR(BT269/$BR269*$GQ269,"")</f>
        <v>0</v>
      </c>
      <c r="HJ269" s="28">
        <f t="shared" ref="HJ269:HJ304" si="667">IFERROR(DA269/$BR269*$GQ269,"")</f>
        <v>402.25153697456778</v>
      </c>
      <c r="HK269" s="28">
        <f t="shared" ref="HK269:HK304" si="668">IFERROR(DN269/$BR269*$GQ269,"")</f>
        <v>49.255290241783811</v>
      </c>
      <c r="HL269" s="28">
        <f t="shared" ref="HL269:HL304" si="669">IFERROR(DB269/$BR269*$GQ269,"")</f>
        <v>0</v>
      </c>
      <c r="HM269" s="28">
        <f t="shared" ref="HM269:HM304" si="670">IFERROR(CJ269/$BR269*$GQ269,"")</f>
        <v>0</v>
      </c>
      <c r="HN269" s="28">
        <f t="shared" ref="HN269:HN304" si="671">IFERROR(DC269/$BR269*$GQ269,"")</f>
        <v>0</v>
      </c>
      <c r="HO269" s="28">
        <f t="shared" ref="HO269:HO304" si="672">IFERROR(DD269/$BR269*$GQ269,"")</f>
        <v>0</v>
      </c>
      <c r="HP269" s="28">
        <f t="shared" ref="HP269:HP304" si="673">IFERROR(DE269/$BR269*$GQ269,"")</f>
        <v>0</v>
      </c>
      <c r="HQ269" s="28">
        <f t="shared" ref="HQ269:HQ304" si="674">IFERROR(DF269/$BR269*$GQ269,"")</f>
        <v>39.404232193427049</v>
      </c>
      <c r="HR269" s="28">
        <f t="shared" ref="HR269:HR304" si="675">IFERROR(DG269/$BR269*$GQ269,"")</f>
        <v>6.6494641826408145</v>
      </c>
      <c r="HT269" s="4">
        <f>IFERROR(GR269/'McDonough &amp; Sun 1995 values'!C$2,)</f>
        <v>1329.1110065243249</v>
      </c>
      <c r="HU269" s="4">
        <f>IFERROR(GS269/'McDonough &amp; Sun 1995 values'!D$2,)</f>
        <v>2640.6308379622992</v>
      </c>
      <c r="HV269" s="4">
        <f>IFERROR(GT269/'McDonough &amp; Sun 1995 values'!E$2,)</f>
        <v>1967.7239687500505</v>
      </c>
      <c r="HW269" s="4">
        <f>IFERROR(GU269/'McDonough &amp; Sun 1995 values'!F$2,)</f>
        <v>6804.871335290467</v>
      </c>
      <c r="HX269" s="4">
        <f>IFERROR(GV269/'McDonough &amp; Sun 1995 values'!G$2,)</f>
        <v>1172.7450057567576</v>
      </c>
      <c r="HY269" s="4">
        <f>IFERROR(GW269/'McDonough &amp; Sun 1995 values'!H$2,)</f>
        <v>779.87542882824368</v>
      </c>
      <c r="HZ269" s="4">
        <f>IFERROR(GX269/'McDonough &amp; Sun 1995 values'!I$2,)</f>
        <v>88.748270705916781</v>
      </c>
      <c r="IA269" s="4">
        <f>IFERROR(GY269/'McDonough &amp; Sun 1995 values'!J$2,)</f>
        <v>0</v>
      </c>
      <c r="IB269" s="4">
        <f>IFERROR(GZ269/'McDonough &amp; Sun 1995 values'!K$2,)</f>
        <v>4611.3491893028058</v>
      </c>
      <c r="IC269" s="4">
        <f>IFERROR(HA269/'McDonough &amp; Sun 1995 values'!L$2,)</f>
        <v>2720.068267083584</v>
      </c>
      <c r="ID269" s="4">
        <f>IFERROR(HB269/'McDonough &amp; Sun 1995 values'!M$2,)</f>
        <v>0</v>
      </c>
      <c r="IE269" s="4">
        <f>IFERROR(HC269/'McDonough &amp; Sun 1995 values'!N$2,)</f>
        <v>1650.0934754366438</v>
      </c>
      <c r="IF269" s="4">
        <f>IFERROR(HD269/'McDonough &amp; Sun 1995 values'!O$2,)</f>
        <v>0</v>
      </c>
      <c r="IG269" s="4">
        <f>IFERROR(HE269/'McDonough &amp; Sun 1995 values'!P$2,)</f>
        <v>1061.536427624651</v>
      </c>
      <c r="IH269" s="4">
        <f>IFERROR(HF269/'McDonough &amp; Sun 1995 values'!Q$2,)</f>
        <v>1154.5115145011753</v>
      </c>
      <c r="II269" s="4">
        <f>IFERROR(HG269/'McDonough &amp; Sun 1995 values'!R$2,)</f>
        <v>1250.9280061405411</v>
      </c>
      <c r="IJ269" s="4">
        <f>IFERROR(HH269/'McDonough &amp; Sun 1995 values'!S$2,)</f>
        <v>890.22007255172036</v>
      </c>
      <c r="IK269" s="4">
        <f>IFERROR(HI269/'McDonough &amp; Sun 1995 values'!T$2,)</f>
        <v>0</v>
      </c>
      <c r="IL269" s="4">
        <f>IFERROR(HJ269/'McDonough &amp; Sun 1995 values'!U$2,)</f>
        <v>739.43297237972013</v>
      </c>
      <c r="IM269" s="4">
        <f>IFERROR(HK269/'McDonough &amp; Sun 1995 values'!V$2,)</f>
        <v>497.52818426044252</v>
      </c>
      <c r="IN269" s="4">
        <f>IFERROR(HL269/'McDonough &amp; Sun 1995 values'!W$2,)</f>
        <v>0</v>
      </c>
      <c r="IO269" s="4">
        <f>IFERROR(HM269/'McDonough &amp; Sun 1995 values'!X$2,)</f>
        <v>0</v>
      </c>
      <c r="IP269" s="4">
        <f>IFERROR(HN269/'McDonough &amp; Sun 1995 values'!Y$2,)</f>
        <v>0</v>
      </c>
      <c r="IQ269" s="4">
        <f>IFERROR(HO269/'McDonough &amp; Sun 1995 values'!Z$2,)</f>
        <v>0</v>
      </c>
      <c r="IR269" s="4">
        <f>IFERROR(HP269/'McDonough &amp; Sun 1995 values'!AA$2,)</f>
        <v>0</v>
      </c>
      <c r="IS269" s="4">
        <f>IFERROR(HQ269/'McDonough &amp; Sun 1995 values'!AB$2,)</f>
        <v>89.352000438610091</v>
      </c>
      <c r="IT269" s="4">
        <f>IFERROR(HR269/'McDonough &amp; Sun 1995 values'!AC$2,)</f>
        <v>98.510580483567622</v>
      </c>
    </row>
    <row r="270" spans="1:254">
      <c r="A270" s="16" t="s">
        <v>1178</v>
      </c>
      <c r="B270" s="16" t="s">
        <v>24</v>
      </c>
      <c r="C270" s="16" t="str">
        <f t="shared" si="617"/>
        <v>silicic - low-Mg carbonatitic</v>
      </c>
      <c r="D270" s="16" t="s">
        <v>1720</v>
      </c>
      <c r="E270" s="16" t="s">
        <v>1394</v>
      </c>
      <c r="F270" s="16" t="s">
        <v>104</v>
      </c>
      <c r="G270" s="16" t="s">
        <v>595</v>
      </c>
      <c r="H270" s="27">
        <v>240</v>
      </c>
      <c r="I270" s="16" t="s">
        <v>736</v>
      </c>
      <c r="J270" s="16" t="s">
        <v>596</v>
      </c>
      <c r="K270" s="16" t="s">
        <v>48</v>
      </c>
      <c r="L270" s="16">
        <v>0</v>
      </c>
      <c r="M270" s="16" t="s">
        <v>742</v>
      </c>
      <c r="N270" s="16">
        <v>70</v>
      </c>
      <c r="O270" s="26">
        <v>36.5</v>
      </c>
      <c r="P270" s="26">
        <v>4.5</v>
      </c>
      <c r="Q270" s="26"/>
      <c r="R270" s="26">
        <v>4.2</v>
      </c>
      <c r="S270" s="26">
        <v>13.5</v>
      </c>
      <c r="T270" s="26">
        <v>7.8</v>
      </c>
      <c r="U270" s="26"/>
      <c r="V270" s="26">
        <v>9.1</v>
      </c>
      <c r="W270" s="26">
        <v>2.5</v>
      </c>
      <c r="X270" s="26">
        <v>16.899999999999999</v>
      </c>
      <c r="Y270" s="26"/>
      <c r="Z270" s="26">
        <v>1.1000000000000001</v>
      </c>
      <c r="AA270" s="26"/>
      <c r="AB270" s="26"/>
      <c r="AC270" s="26"/>
      <c r="AD270" s="26">
        <v>0.7</v>
      </c>
      <c r="AE270" s="26"/>
      <c r="AF270" s="26"/>
      <c r="AG270" s="26"/>
      <c r="AH270" s="26"/>
      <c r="AI270" s="26"/>
      <c r="AJ270" s="26">
        <f t="shared" si="618"/>
        <v>96.8</v>
      </c>
      <c r="AK270" s="26">
        <f t="shared" si="603"/>
        <v>37.768245980688626</v>
      </c>
      <c r="AL270" s="26">
        <f t="shared" si="604"/>
        <v>4.6563590935095567</v>
      </c>
      <c r="AM270" s="26">
        <f t="shared" si="605"/>
        <v>4.3459351539422535</v>
      </c>
      <c r="AN270" s="26">
        <f t="shared" si="606"/>
        <v>13.969077280528669</v>
      </c>
      <c r="AO270" s="26">
        <f t="shared" si="607"/>
        <v>8.0710224287498988</v>
      </c>
      <c r="AP270" s="26">
        <f t="shared" si="608"/>
        <v>9.4161928335415475</v>
      </c>
      <c r="AQ270" s="26">
        <f t="shared" si="609"/>
        <v>0</v>
      </c>
      <c r="AR270" s="26">
        <f t="shared" si="610"/>
        <v>2.5868661630608649</v>
      </c>
      <c r="AS270" s="26">
        <f t="shared" si="611"/>
        <v>17.487215262291443</v>
      </c>
      <c r="AT270" s="26">
        <f t="shared" si="612"/>
        <v>1.1382211117467806</v>
      </c>
      <c r="AU270" s="26">
        <f t="shared" si="613"/>
        <v>0.72432252565704214</v>
      </c>
      <c r="AV270" s="26">
        <f t="shared" si="619"/>
        <v>100.16345783371668</v>
      </c>
      <c r="AW270" s="16">
        <v>250</v>
      </c>
      <c r="AX270" s="16">
        <v>99</v>
      </c>
      <c r="AY270" s="16"/>
      <c r="AZ270" s="16"/>
      <c r="BA270" s="26"/>
      <c r="BB270" s="26">
        <v>0.5</v>
      </c>
      <c r="BC270" s="26">
        <f>(AX270/18.02)/((AX270/18.02)+(AW270/44.01))</f>
        <v>0.49164916683498855</v>
      </c>
      <c r="BD270" s="26">
        <f>(AW270/44.01)/((AX270/18.02)+(AW270/44.01))</f>
        <v>0.50835083316501151</v>
      </c>
      <c r="BE270" s="16"/>
      <c r="BF270" s="16"/>
      <c r="BG270" s="16"/>
      <c r="BH270" s="16"/>
      <c r="BI270" s="16"/>
      <c r="BJ270" s="16">
        <v>68.2</v>
      </c>
      <c r="BK270" s="18"/>
      <c r="BL270" s="18"/>
      <c r="BM270" s="18"/>
      <c r="BN270" s="18">
        <v>4.9000000000000004</v>
      </c>
      <c r="BO270" s="18"/>
      <c r="BP270" s="18"/>
      <c r="BQ270" s="18"/>
      <c r="BR270" s="18">
        <v>37.299999999999997</v>
      </c>
      <c r="BS270" s="18"/>
      <c r="BT270" s="18"/>
      <c r="BU270" s="18">
        <v>5.1999999999999998E-2</v>
      </c>
      <c r="BV270" s="18"/>
      <c r="BW270" s="18">
        <v>21.8</v>
      </c>
      <c r="BX270" s="18">
        <v>0.46500000000000002</v>
      </c>
      <c r="BY270" s="18"/>
      <c r="BZ270" s="18">
        <v>0.129</v>
      </c>
      <c r="CA270" s="18">
        <v>1.9800000000000002E-2</v>
      </c>
      <c r="CB270" s="18"/>
      <c r="CC270" s="18">
        <v>1.1900000000000001E-2</v>
      </c>
      <c r="CD270" s="18"/>
      <c r="CE270" s="18">
        <v>6.0000000000000001E-3</v>
      </c>
      <c r="CF270" s="18"/>
      <c r="CG270" s="18">
        <v>6.0999999999999995E-3</v>
      </c>
      <c r="CH270" s="18">
        <v>0.152</v>
      </c>
      <c r="CI270" s="18">
        <v>0.69</v>
      </c>
      <c r="CJ270" s="18"/>
      <c r="CK270" s="18">
        <v>0.53600000000000003</v>
      </c>
      <c r="CL270" s="18">
        <v>6.9999999999999999E-4</v>
      </c>
      <c r="CM270" s="18"/>
      <c r="CN270" s="18"/>
      <c r="CO270" s="18"/>
      <c r="CP270" s="18"/>
      <c r="CQ270" s="18"/>
      <c r="CR270" s="18">
        <v>4.7000000000000002E-3</v>
      </c>
      <c r="CS270" s="18">
        <v>1.0169999999999999</v>
      </c>
      <c r="CT270" s="18"/>
      <c r="CU270" s="18">
        <v>7.4799999999999991E-2</v>
      </c>
      <c r="CV270" s="18">
        <v>0.13500000000000001</v>
      </c>
      <c r="CW270" s="18"/>
      <c r="CX270" s="18" t="s">
        <v>1328</v>
      </c>
      <c r="CY270" s="18">
        <v>1.2699999999999999E-2</v>
      </c>
      <c r="CZ270" s="18">
        <v>4.7999999999999996E-3</v>
      </c>
      <c r="DA270" s="18">
        <v>6.0000000000000001E-3</v>
      </c>
      <c r="DB270" s="18"/>
      <c r="DC270" s="18"/>
      <c r="DD270" s="18"/>
      <c r="DE270" s="18"/>
      <c r="DF270" s="18">
        <v>3.8999999999999998E-3</v>
      </c>
      <c r="DG270" s="18">
        <v>3.6999999999999999E-4</v>
      </c>
      <c r="DH270" s="18">
        <v>1.4999999999999999E-2</v>
      </c>
      <c r="DI270" s="18">
        <v>1.2999999999999999E-3</v>
      </c>
      <c r="DJ270" s="18"/>
      <c r="DK270" s="18"/>
      <c r="DL270" s="18">
        <v>1.3699999999999999E-2</v>
      </c>
      <c r="DM270" s="18">
        <v>3.9500000000000004E-3</v>
      </c>
      <c r="DN270" s="18">
        <v>1.6999999999999999E-3</v>
      </c>
      <c r="DO270" s="18"/>
      <c r="DP270" s="18">
        <v>1.4E-5</v>
      </c>
      <c r="DQ270" s="18"/>
      <c r="DR270" s="18">
        <v>1.7E-5</v>
      </c>
      <c r="DS270" s="18"/>
      <c r="DT270" s="18"/>
      <c r="DU270" s="18"/>
      <c r="DV270" s="28"/>
      <c r="DW270" s="28"/>
      <c r="DX270" s="28"/>
      <c r="DY270" s="28"/>
      <c r="DZ270" s="28"/>
      <c r="EA270" s="28"/>
      <c r="EB270" s="28"/>
      <c r="EC270" s="28"/>
      <c r="ED270" s="28"/>
      <c r="EE270" s="28"/>
      <c r="EF270" s="28"/>
      <c r="EG270" s="28"/>
      <c r="EH270" s="28"/>
      <c r="EI270" s="28"/>
      <c r="EJ270" s="18"/>
      <c r="EK270" s="18"/>
      <c r="EL270" s="18">
        <f>IFERROR(CR270/'McDonough &amp; Sun 1995 values'!C$2,)</f>
        <v>0.22380952380952379</v>
      </c>
      <c r="EM270" s="18">
        <f>IFERROR(CH270/'McDonough &amp; Sun 1995 values'!D$2,)</f>
        <v>0.25333333333333335</v>
      </c>
      <c r="EN270" s="18">
        <f>IFERROR(CS270/'McDonough &amp; Sun 1995 values'!E$2,)</f>
        <v>0.15409090909090908</v>
      </c>
      <c r="EO270" s="18">
        <f>IFERROR(DL270/'McDonough &amp; Sun 1995 values'!F$2,)</f>
        <v>0.17232704402515722</v>
      </c>
      <c r="EP270" s="18">
        <f>IFERROR(DM270/'McDonough &amp; Sun 1995 values'!G$2,)</f>
        <v>0.19458128078817738</v>
      </c>
      <c r="EQ270" s="18">
        <f>IFERROR(BR270/'McDonough &amp; Sun 1995 values'!H$2,)</f>
        <v>0.15541666666666665</v>
      </c>
      <c r="ER270" s="18">
        <f>IFERROR(DI270/'McDonough &amp; Sun 1995 values'!I$2,)</f>
        <v>3.5135135135135137E-2</v>
      </c>
      <c r="ES270" s="18">
        <f>IFERROR(CM270/'McDonough &amp; Sun 1995 values'!J$2,)</f>
        <v>0</v>
      </c>
      <c r="ET270" s="18">
        <f>IFERROR(CU270/'McDonough &amp; Sun 1995 values'!K$2,)</f>
        <v>0.11543209876543208</v>
      </c>
      <c r="EU270" s="18">
        <f>IFERROR(CV270/'McDonough &amp; Sun 1995 values'!L$2,)</f>
        <v>8.0597014925373134E-2</v>
      </c>
      <c r="EV270" s="18">
        <f>IFERROR(CW270/'McDonough &amp; Sun 1995 values'!M$2,)</f>
        <v>0</v>
      </c>
      <c r="EW270" s="18">
        <f>IFERROR(CI270/'McDonough &amp; Sun 1995 values'!N$2,)</f>
        <v>3.4673366834170855E-2</v>
      </c>
      <c r="EX270" s="18">
        <f>IFERROR(CX270/'McDonough &amp; Sun 1995 values'!O$2,)</f>
        <v>0</v>
      </c>
      <c r="EY270" s="18">
        <f>IFERROR(CY270/'McDonough &amp; Sun 1995 values'!P$2,)</f>
        <v>3.1280788177339897E-2</v>
      </c>
      <c r="EZ270" s="18">
        <f>IFERROR(DH270/'McDonough &amp; Sun 1995 values'!Q$2,)</f>
        <v>5.3003533568904596E-2</v>
      </c>
      <c r="FA270" s="18">
        <f>IFERROR(CK270/'McDonough &amp; Sun 1995 values'!R$2,)</f>
        <v>5.104761904761905E-2</v>
      </c>
      <c r="FB270" s="18">
        <f>IFERROR(CZ270/'McDonough &amp; Sun 1995 values'!S$2,)</f>
        <v>3.1168831168831165E-2</v>
      </c>
      <c r="FC270" s="18">
        <f>IFERROR(BT270/'McDonough &amp; Sun 1995 values'!T$2,)</f>
        <v>0</v>
      </c>
      <c r="FD270" s="18">
        <f>IFERROR(DA270/'McDonough &amp; Sun 1995 values'!U$2,)</f>
        <v>1.1029411764705881E-2</v>
      </c>
      <c r="FE270" s="18">
        <f>IFERROR(DN270/'McDonough &amp; Sun 1995 values'!V$2,)</f>
        <v>1.7171717171717171E-2</v>
      </c>
      <c r="FF270" s="18">
        <f>IFERROR(DB270/'McDonough &amp; Sun 1995 values'!W$2,)</f>
        <v>0</v>
      </c>
      <c r="FG270" s="18">
        <f>IFERROR(CJ270/'McDonough &amp; Sun 1995 values'!X$2,)</f>
        <v>0</v>
      </c>
      <c r="FH270" s="18">
        <f>IFERROR(DC270/'McDonough &amp; Sun 1995 values'!Y$2,)</f>
        <v>0</v>
      </c>
      <c r="FI270" s="18">
        <f>IFERROR(DD270/'McDonough &amp; Sun 1995 values'!Z$2,)</f>
        <v>0</v>
      </c>
      <c r="FJ270" s="18">
        <f>IFERROR(DE270/'McDonough &amp; Sun 1995 values'!AA$2,)</f>
        <v>0</v>
      </c>
      <c r="FK270" s="18">
        <f>IFERROR(DF270/'McDonough &amp; Sun 1995 values'!AB$2,)</f>
        <v>8.8435374149659855E-3</v>
      </c>
      <c r="FL270" s="18">
        <f>IFERROR(DG270/'McDonough &amp; Sun 1995 values'!AC$2,)</f>
        <v>5.4814814814814813E-3</v>
      </c>
      <c r="FN270" s="28">
        <f t="shared" si="614"/>
        <v>1.2519975171357258</v>
      </c>
      <c r="FO270" s="4">
        <f t="shared" si="620"/>
        <v>0.79191024165707691</v>
      </c>
      <c r="FP270" s="4">
        <f t="shared" si="621"/>
        <v>0</v>
      </c>
      <c r="FQ270" s="4">
        <f t="shared" si="622"/>
        <v>0.88563012499004834</v>
      </c>
      <c r="FR270" s="4">
        <f t="shared" si="623"/>
        <v>0</v>
      </c>
      <c r="FS270" s="4">
        <f t="shared" si="624"/>
        <v>3.2853751187084512</v>
      </c>
      <c r="FT270" s="4">
        <f t="shared" si="625"/>
        <v>1.1319148936170214</v>
      </c>
      <c r="FU270" s="4">
        <f t="shared" si="626"/>
        <v>0</v>
      </c>
      <c r="FV270" s="4">
        <f t="shared" si="627"/>
        <v>1.6319160104986881</v>
      </c>
      <c r="FW270" s="4">
        <f t="shared" si="628"/>
        <v>0.96309841269841268</v>
      </c>
      <c r="FX270" s="4">
        <f t="shared" si="629"/>
        <v>1.473348327898452</v>
      </c>
      <c r="FY270" s="4">
        <f t="shared" si="630"/>
        <v>0</v>
      </c>
      <c r="FZ270" s="4">
        <f t="shared" si="631"/>
        <v>1.6780523197443693</v>
      </c>
      <c r="GA270" s="4">
        <f t="shared" si="632"/>
        <v>0</v>
      </c>
      <c r="GB270" s="4">
        <f t="shared" si="633"/>
        <v>0.99642090193271304</v>
      </c>
      <c r="GC270" s="4">
        <f t="shared" si="634"/>
        <v>0.88345864661654117</v>
      </c>
      <c r="GD270" s="4">
        <f t="shared" si="635"/>
        <v>0.8941771731917717</v>
      </c>
      <c r="GE270" s="4">
        <f t="shared" si="636"/>
        <v>0.60825358851674638</v>
      </c>
      <c r="GF270" s="4">
        <f t="shared" si="637"/>
        <v>0.99146965634901296</v>
      </c>
      <c r="GG270" s="4">
        <f t="shared" si="638"/>
        <v>0</v>
      </c>
      <c r="GH270" s="4">
        <f t="shared" si="639"/>
        <v>0</v>
      </c>
      <c r="GI270" s="4">
        <f t="shared" si="640"/>
        <v>3.6901915038397974</v>
      </c>
      <c r="GJ270" s="4">
        <f t="shared" si="641"/>
        <v>0</v>
      </c>
      <c r="GK270" s="4">
        <f t="shared" si="642"/>
        <v>13.052706552706551</v>
      </c>
      <c r="GL270" s="4">
        <f t="shared" si="643"/>
        <v>0</v>
      </c>
      <c r="GM270" s="4">
        <f t="shared" si="644"/>
        <v>0.6802383316782521</v>
      </c>
      <c r="GN270" s="4">
        <f t="shared" si="645"/>
        <v>0</v>
      </c>
      <c r="GO270" s="4">
        <f t="shared" si="646"/>
        <v>0</v>
      </c>
      <c r="GP270" s="4">
        <f t="shared" si="647"/>
        <v>0.79872362869198288</v>
      </c>
      <c r="GQ270" s="27">
        <f t="shared" si="648"/>
        <v>145167.89744725675</v>
      </c>
      <c r="GR270" s="28">
        <f t="shared" si="649"/>
        <v>18.291933458501521</v>
      </c>
      <c r="GS270" s="28">
        <f t="shared" si="650"/>
        <v>591.56891184941094</v>
      </c>
      <c r="GT270" s="28">
        <f t="shared" si="651"/>
        <v>3958.0630483608606</v>
      </c>
      <c r="GU270" s="28">
        <f t="shared" si="652"/>
        <v>53.319040081164005</v>
      </c>
      <c r="GV270" s="28">
        <f t="shared" si="653"/>
        <v>15.373007906612983</v>
      </c>
      <c r="GW270" s="28">
        <f t="shared" si="654"/>
        <v>145167.89744725675</v>
      </c>
      <c r="GX270" s="28">
        <f t="shared" si="655"/>
        <v>5.0594709566068037</v>
      </c>
      <c r="GY270" s="28">
        <f t="shared" si="656"/>
        <v>0</v>
      </c>
      <c r="GZ270" s="28">
        <f t="shared" si="657"/>
        <v>291.11417504168378</v>
      </c>
      <c r="HA270" s="28">
        <f t="shared" si="658"/>
        <v>525.40659933993732</v>
      </c>
      <c r="HB270" s="28">
        <f t="shared" si="659"/>
        <v>0</v>
      </c>
      <c r="HC270" s="28">
        <f t="shared" si="660"/>
        <v>2685.4115077374572</v>
      </c>
      <c r="HD270" s="28" t="str">
        <f t="shared" si="661"/>
        <v/>
      </c>
      <c r="HE270" s="28">
        <f t="shared" si="662"/>
        <v>49.427139345312618</v>
      </c>
      <c r="HF270" s="28">
        <f t="shared" si="663"/>
        <v>58.378511037770814</v>
      </c>
      <c r="HG270" s="28">
        <f t="shared" si="664"/>
        <v>2086.058794416344</v>
      </c>
      <c r="HH270" s="28">
        <f t="shared" si="665"/>
        <v>18.681123532086659</v>
      </c>
      <c r="HI270" s="28">
        <f t="shared" si="666"/>
        <v>0</v>
      </c>
      <c r="HJ270" s="28">
        <f t="shared" si="667"/>
        <v>23.351404415108327</v>
      </c>
      <c r="HK270" s="28">
        <f t="shared" si="668"/>
        <v>6.6162312509473589</v>
      </c>
      <c r="HL270" s="28">
        <f t="shared" si="669"/>
        <v>0</v>
      </c>
      <c r="HM270" s="28">
        <f t="shared" si="670"/>
        <v>0</v>
      </c>
      <c r="HN270" s="28">
        <f t="shared" si="671"/>
        <v>0</v>
      </c>
      <c r="HO270" s="28">
        <f t="shared" si="672"/>
        <v>0</v>
      </c>
      <c r="HP270" s="28">
        <f t="shared" si="673"/>
        <v>0</v>
      </c>
      <c r="HQ270" s="28">
        <f t="shared" si="674"/>
        <v>15.178412869820413</v>
      </c>
      <c r="HR270" s="28">
        <f t="shared" si="675"/>
        <v>1.4400032722650133</v>
      </c>
      <c r="HT270" s="4">
        <f>IFERROR(GR270/'McDonough &amp; Sun 1995 values'!C$2,)</f>
        <v>871.04445040483427</v>
      </c>
      <c r="HU270" s="4">
        <f>IFERROR(GS270/'McDonough &amp; Sun 1995 values'!D$2,)</f>
        <v>985.94818641568497</v>
      </c>
      <c r="HV270" s="4">
        <f>IFERROR(GT270/'McDonough &amp; Sun 1995 values'!E$2,)</f>
        <v>599.70652247891826</v>
      </c>
      <c r="HW270" s="4">
        <f>IFERROR(GU270/'McDonough &amp; Sun 1995 values'!F$2,)</f>
        <v>670.67974944860384</v>
      </c>
      <c r="HX270" s="4">
        <f>IFERROR(GV270/'McDonough &amp; Sun 1995 values'!G$2,)</f>
        <v>757.291029882413</v>
      </c>
      <c r="HY270" s="4">
        <f>IFERROR(GW270/'McDonough &amp; Sun 1995 values'!H$2,)</f>
        <v>604.86623936356978</v>
      </c>
      <c r="HZ270" s="4">
        <f>IFERROR(GX270/'McDonough &amp; Sun 1995 values'!I$2,)</f>
        <v>136.74245828667037</v>
      </c>
      <c r="IA270" s="4">
        <f>IFERROR(GY270/'McDonough &amp; Sun 1995 values'!J$2,)</f>
        <v>0</v>
      </c>
      <c r="IB270" s="4">
        <f>IFERROR(GZ270/'McDonough &amp; Sun 1995 values'!K$2,)</f>
        <v>449.25027012605523</v>
      </c>
      <c r="IC270" s="4">
        <f>IFERROR(HA270/'McDonough &amp; Sun 1995 values'!L$2,)</f>
        <v>313.67558169548494</v>
      </c>
      <c r="ID270" s="4">
        <f>IFERROR(HB270/'McDonough &amp; Sun 1995 values'!M$2,)</f>
        <v>0</v>
      </c>
      <c r="IE270" s="4">
        <f>IFERROR(HC270/'McDonough &amp; Sun 1995 values'!N$2,)</f>
        <v>134.94530189635464</v>
      </c>
      <c r="IF270" s="4">
        <f>IFERROR(HD270/'McDonough &amp; Sun 1995 values'!O$2,)</f>
        <v>0</v>
      </c>
      <c r="IG270" s="4">
        <f>IFERROR(HE270/'McDonough &amp; Sun 1995 values'!P$2,)</f>
        <v>121.74172252540053</v>
      </c>
      <c r="IH270" s="4">
        <f>IFERROR(HF270/'McDonough &amp; Sun 1995 values'!Q$2,)</f>
        <v>206.28449129954353</v>
      </c>
      <c r="II270" s="4">
        <f>IFERROR(HG270/'McDonough &amp; Sun 1995 values'!R$2,)</f>
        <v>198.6722661348899</v>
      </c>
      <c r="IJ270" s="4">
        <f>IFERROR(HH270/'McDonough &amp; Sun 1995 values'!S$2,)</f>
        <v>121.30599696160168</v>
      </c>
      <c r="IK270" s="4">
        <f>IFERROR(HI270/'McDonough &amp; Sun 1995 values'!T$2,)</f>
        <v>0</v>
      </c>
      <c r="IL270" s="4">
        <f>IFERROR(HJ270/'McDonough &amp; Sun 1995 values'!U$2,)</f>
        <v>42.925375763066775</v>
      </c>
      <c r="IM270" s="4">
        <f>IFERROR(HK270/'McDonough &amp; Sun 1995 values'!V$2,)</f>
        <v>66.830618696437966</v>
      </c>
      <c r="IN270" s="4">
        <f>IFERROR(HL270/'McDonough &amp; Sun 1995 values'!W$2,)</f>
        <v>0</v>
      </c>
      <c r="IO270" s="4">
        <f>IFERROR(HM270/'McDonough &amp; Sun 1995 values'!X$2,)</f>
        <v>0</v>
      </c>
      <c r="IP270" s="4">
        <f>IFERROR(HN270/'McDonough &amp; Sun 1995 values'!Y$2,)</f>
        <v>0</v>
      </c>
      <c r="IQ270" s="4">
        <f>IFERROR(HO270/'McDonough &amp; Sun 1995 values'!Z$2,)</f>
        <v>0</v>
      </c>
      <c r="IR270" s="4">
        <f>IFERROR(HP270/'McDonough &amp; Sun 1995 values'!AA$2,)</f>
        <v>0</v>
      </c>
      <c r="IS270" s="4">
        <f>IFERROR(HQ270/'McDonough &amp; Sun 1995 values'!AB$2,)</f>
        <v>34.418169772835405</v>
      </c>
      <c r="IT270" s="4">
        <f>IFERROR(HR270/'McDonough &amp; Sun 1995 values'!AC$2,)</f>
        <v>21.333381811333531</v>
      </c>
    </row>
    <row r="271" spans="1:254">
      <c r="A271" s="16" t="s">
        <v>1178</v>
      </c>
      <c r="B271" s="16" t="s">
        <v>24</v>
      </c>
      <c r="C271" s="16" t="str">
        <f t="shared" si="617"/>
        <v>silicic - low-Mg carbonatitic</v>
      </c>
      <c r="D271" s="16" t="s">
        <v>1720</v>
      </c>
      <c r="E271" s="16" t="s">
        <v>1394</v>
      </c>
      <c r="F271" s="16" t="s">
        <v>104</v>
      </c>
      <c r="G271" s="16" t="s">
        <v>595</v>
      </c>
      <c r="H271" s="27">
        <v>240</v>
      </c>
      <c r="I271" s="16" t="s">
        <v>736</v>
      </c>
      <c r="J271" s="16" t="s">
        <v>596</v>
      </c>
      <c r="K271" s="16" t="s">
        <v>48</v>
      </c>
      <c r="L271" s="16"/>
      <c r="M271" s="16" t="s">
        <v>739</v>
      </c>
      <c r="N271" s="16">
        <v>92</v>
      </c>
      <c r="O271" s="26">
        <v>25.6</v>
      </c>
      <c r="P271" s="26">
        <v>5.0999999999999996</v>
      </c>
      <c r="Q271" s="26"/>
      <c r="R271" s="26">
        <v>2</v>
      </c>
      <c r="S271" s="26">
        <v>17.5</v>
      </c>
      <c r="T271" s="26">
        <v>10.8</v>
      </c>
      <c r="U271" s="26"/>
      <c r="V271" s="26">
        <v>16.3</v>
      </c>
      <c r="W271" s="26">
        <v>2.2000000000000002</v>
      </c>
      <c r="X271" s="26">
        <v>15.4</v>
      </c>
      <c r="Y271" s="26"/>
      <c r="Z271" s="26">
        <v>1.4</v>
      </c>
      <c r="AA271" s="26"/>
      <c r="AB271" s="26"/>
      <c r="AC271" s="26"/>
      <c r="AD271" s="26">
        <v>1</v>
      </c>
      <c r="AE271" s="26"/>
      <c r="AF271" s="26"/>
      <c r="AG271" s="26"/>
      <c r="AH271" s="26"/>
      <c r="AI271" s="26"/>
      <c r="AJ271" s="26">
        <f t="shared" si="618"/>
        <v>97.300000000000011</v>
      </c>
      <c r="AK271" s="26">
        <f t="shared" si="603"/>
        <v>26.371544350438864</v>
      </c>
      <c r="AL271" s="26">
        <f t="shared" si="604"/>
        <v>5.2537061010639912</v>
      </c>
      <c r="AM271" s="26">
        <f t="shared" si="605"/>
        <v>2.0602769023780358</v>
      </c>
      <c r="AN271" s="26">
        <f t="shared" si="606"/>
        <v>18.027422895807817</v>
      </c>
      <c r="AO271" s="26">
        <f t="shared" si="607"/>
        <v>11.125495272841396</v>
      </c>
      <c r="AP271" s="26">
        <f t="shared" si="608"/>
        <v>16.791256754380996</v>
      </c>
      <c r="AQ271" s="26">
        <f t="shared" si="609"/>
        <v>0</v>
      </c>
      <c r="AR271" s="26">
        <f t="shared" si="610"/>
        <v>2.2663045926158398</v>
      </c>
      <c r="AS271" s="26">
        <f t="shared" si="611"/>
        <v>15.864132148310878</v>
      </c>
      <c r="AT271" s="26">
        <f t="shared" si="612"/>
        <v>1.4421938316646252</v>
      </c>
      <c r="AU271" s="26">
        <f t="shared" si="613"/>
        <v>1.0301384511890179</v>
      </c>
      <c r="AV271" s="26">
        <f t="shared" si="619"/>
        <v>100.23247130069146</v>
      </c>
      <c r="AW271" s="16">
        <v>940</v>
      </c>
      <c r="AX271" s="16">
        <v>320</v>
      </c>
      <c r="AY271" s="16"/>
      <c r="AZ271" s="16"/>
      <c r="BA271" s="26"/>
      <c r="BB271" s="26">
        <v>0.5</v>
      </c>
      <c r="BC271" s="26">
        <f>(AX271/18.02)/((AX271/18.02)+(AW271/44.01))</f>
        <v>0.4539745986719102</v>
      </c>
      <c r="BD271" s="26">
        <f>(AW271/44.01)/((AX271/18.02)+(AW271/44.01))</f>
        <v>0.54602540132808974</v>
      </c>
      <c r="BE271" s="16"/>
      <c r="BF271" s="16"/>
      <c r="BG271" s="16"/>
      <c r="BH271" s="16"/>
      <c r="BI271" s="16"/>
      <c r="BJ271" s="16">
        <v>12.35</v>
      </c>
      <c r="BK271" s="18"/>
      <c r="BL271" s="18"/>
      <c r="BM271" s="18"/>
      <c r="BN271" s="18">
        <v>20.55</v>
      </c>
      <c r="BO271" s="18"/>
      <c r="BP271" s="18"/>
      <c r="BQ271" s="18"/>
      <c r="BR271" s="18">
        <v>135.80000000000001</v>
      </c>
      <c r="BS271" s="18"/>
      <c r="BT271" s="18"/>
      <c r="BU271" s="18">
        <v>0.14300000000000002</v>
      </c>
      <c r="BV271" s="18"/>
      <c r="BW271" s="18">
        <v>130.19999999999999</v>
      </c>
      <c r="BX271" s="18">
        <v>0.87250000000000005</v>
      </c>
      <c r="BY271" s="18"/>
      <c r="BZ271" s="18">
        <v>0.42399999999999999</v>
      </c>
      <c r="CA271" s="18">
        <v>0.1895</v>
      </c>
      <c r="CB271" s="18"/>
      <c r="CC271" s="18">
        <v>3.9800000000000002E-2</v>
      </c>
      <c r="CD271" s="18"/>
      <c r="CE271" s="18">
        <v>5.4999999999999997E-3</v>
      </c>
      <c r="CF271" s="18"/>
      <c r="CG271" s="18">
        <v>6.4000000000000001E-2</v>
      </c>
      <c r="CH271" s="18">
        <v>0.85350000000000004</v>
      </c>
      <c r="CI271" s="18">
        <v>5.65</v>
      </c>
      <c r="CJ271" s="18"/>
      <c r="CK271" s="18">
        <v>3</v>
      </c>
      <c r="CL271" s="18">
        <v>2.2000000000000001E-3</v>
      </c>
      <c r="CM271" s="18"/>
      <c r="CN271" s="18"/>
      <c r="CO271" s="18"/>
      <c r="CP271" s="18"/>
      <c r="CQ271" s="18"/>
      <c r="CR271" s="18">
        <v>2.9100000000000004E-2</v>
      </c>
      <c r="CS271" s="18">
        <v>6.2629999999999999</v>
      </c>
      <c r="CT271" s="18"/>
      <c r="CU271" s="18">
        <v>0.49299999999999999</v>
      </c>
      <c r="CV271" s="18">
        <v>0.80149999999999999</v>
      </c>
      <c r="CW271" s="18"/>
      <c r="CX271" s="18"/>
      <c r="CY271" s="18">
        <v>7.5550000000000006E-2</v>
      </c>
      <c r="CZ271" s="18">
        <v>2.47E-2</v>
      </c>
      <c r="DA271" s="18">
        <v>5.4000000000000006E-2</v>
      </c>
      <c r="DB271" s="18"/>
      <c r="DC271" s="18"/>
      <c r="DD271" s="18"/>
      <c r="DE271" s="18"/>
      <c r="DF271" s="18">
        <v>7.2199999999999999E-3</v>
      </c>
      <c r="DG271" s="18">
        <v>9.4499999999999998E-4</v>
      </c>
      <c r="DH271" s="18">
        <v>2.6950000000000002E-2</v>
      </c>
      <c r="DI271" s="18">
        <v>6.6499999999999997E-3</v>
      </c>
      <c r="DJ271" s="18"/>
      <c r="DK271" s="18"/>
      <c r="DL271" s="18">
        <v>8.8000000000000009E-2</v>
      </c>
      <c r="DM271" s="18">
        <v>5.1200000000000002E-2</v>
      </c>
      <c r="DN271" s="18">
        <v>7.6500000000000005E-3</v>
      </c>
      <c r="DO271" s="18"/>
      <c r="DP271" s="18">
        <v>7.9999999999999996E-6</v>
      </c>
      <c r="DQ271" s="18"/>
      <c r="DR271" s="18">
        <v>7.9999999999999993E-4</v>
      </c>
      <c r="DS271" s="18"/>
      <c r="DT271" s="18"/>
      <c r="DU271" s="18"/>
      <c r="DV271" s="28"/>
      <c r="DW271" s="28"/>
      <c r="DX271" s="28"/>
      <c r="DY271" s="28"/>
      <c r="DZ271" s="28"/>
      <c r="EA271" s="28"/>
      <c r="EB271" s="28"/>
      <c r="EC271" s="28"/>
      <c r="ED271" s="28"/>
      <c r="EE271" s="28"/>
      <c r="EF271" s="28"/>
      <c r="EG271" s="28"/>
      <c r="EH271" s="28"/>
      <c r="EI271" s="28"/>
      <c r="EJ271" s="18"/>
      <c r="EK271" s="18"/>
      <c r="EL271" s="18">
        <f>IFERROR(CR271/'McDonough &amp; Sun 1995 values'!C$2,)</f>
        <v>1.3857142857142859</v>
      </c>
      <c r="EM271" s="18">
        <f>IFERROR(CH271/'McDonough &amp; Sun 1995 values'!D$2,)</f>
        <v>1.4225000000000001</v>
      </c>
      <c r="EN271" s="18">
        <f>IFERROR(CS271/'McDonough &amp; Sun 1995 values'!E$2,)</f>
        <v>0.94893939393939397</v>
      </c>
      <c r="EO271" s="18">
        <f>IFERROR(DL271/'McDonough &amp; Sun 1995 values'!F$2,)</f>
        <v>1.1069182389937109</v>
      </c>
      <c r="EP271" s="18">
        <f>IFERROR(DM271/'McDonough &amp; Sun 1995 values'!G$2,)</f>
        <v>2.5221674876847295</v>
      </c>
      <c r="EQ271" s="18">
        <f>IFERROR(BR271/'McDonough &amp; Sun 1995 values'!H$2,)</f>
        <v>0.56583333333333341</v>
      </c>
      <c r="ER271" s="18">
        <f>IFERROR(DI271/'McDonough &amp; Sun 1995 values'!I$2,)</f>
        <v>0.17972972972972973</v>
      </c>
      <c r="ES271" s="18">
        <f>IFERROR(CM271/'McDonough &amp; Sun 1995 values'!J$2,)</f>
        <v>0</v>
      </c>
      <c r="ET271" s="18">
        <f>IFERROR(CU271/'McDonough &amp; Sun 1995 values'!K$2,)</f>
        <v>0.76080246913580241</v>
      </c>
      <c r="EU271" s="18">
        <f>IFERROR(CV271/'McDonough &amp; Sun 1995 values'!L$2,)</f>
        <v>0.47850746268656713</v>
      </c>
      <c r="EV271" s="18">
        <f>IFERROR(CW271/'McDonough &amp; Sun 1995 values'!M$2,)</f>
        <v>0</v>
      </c>
      <c r="EW271" s="18">
        <f>IFERROR(CI271/'McDonough &amp; Sun 1995 values'!N$2,)</f>
        <v>0.28391959798994981</v>
      </c>
      <c r="EX271" s="18">
        <f>IFERROR(CX271/'McDonough &amp; Sun 1995 values'!O$2,)</f>
        <v>0</v>
      </c>
      <c r="EY271" s="18">
        <f>IFERROR(CY271/'McDonough &amp; Sun 1995 values'!P$2,)</f>
        <v>0.18608374384236454</v>
      </c>
      <c r="EZ271" s="18">
        <f>IFERROR(DH271/'McDonough &amp; Sun 1995 values'!Q$2,)</f>
        <v>9.5229681978798608E-2</v>
      </c>
      <c r="FA271" s="18">
        <f>IFERROR(CK271/'McDonough &amp; Sun 1995 values'!R$2,)</f>
        <v>0.2857142857142857</v>
      </c>
      <c r="FB271" s="18">
        <f>IFERROR(CZ271/'McDonough &amp; Sun 1995 values'!S$2,)</f>
        <v>0.16038961038961039</v>
      </c>
      <c r="FC271" s="18">
        <f>IFERROR(BT271/'McDonough &amp; Sun 1995 values'!T$2,)</f>
        <v>0</v>
      </c>
      <c r="FD271" s="18">
        <f>IFERROR(DA271/'McDonough &amp; Sun 1995 values'!U$2,)</f>
        <v>9.9264705882352949E-2</v>
      </c>
      <c r="FE271" s="18">
        <f>IFERROR(DN271/'McDonough &amp; Sun 1995 values'!V$2,)</f>
        <v>7.7272727272727271E-2</v>
      </c>
      <c r="FF271" s="18">
        <f>IFERROR(DB271/'McDonough &amp; Sun 1995 values'!W$2,)</f>
        <v>0</v>
      </c>
      <c r="FG271" s="18">
        <f>IFERROR(CJ271/'McDonough &amp; Sun 1995 values'!X$2,)</f>
        <v>0</v>
      </c>
      <c r="FH271" s="18">
        <f>IFERROR(DC271/'McDonough &amp; Sun 1995 values'!Y$2,)</f>
        <v>0</v>
      </c>
      <c r="FI271" s="18">
        <f>IFERROR(DD271/'McDonough &amp; Sun 1995 values'!Z$2,)</f>
        <v>0</v>
      </c>
      <c r="FJ271" s="18">
        <f>IFERROR(DE271/'McDonough &amp; Sun 1995 values'!AA$2,)</f>
        <v>0</v>
      </c>
      <c r="FK271" s="18">
        <f>IFERROR(DF271/'McDonough &amp; Sun 1995 values'!AB$2,)</f>
        <v>1.6371882086167799E-2</v>
      </c>
      <c r="FL271" s="18">
        <f>IFERROR(DG271/'McDonough &amp; Sun 1995 values'!AC$2,)</f>
        <v>1.3999999999999999E-2</v>
      </c>
      <c r="FN271" s="28">
        <f t="shared" si="614"/>
        <v>4.4574388589420844</v>
      </c>
      <c r="FO271" s="4">
        <f t="shared" si="620"/>
        <v>0.37623964251893932</v>
      </c>
      <c r="FP271" s="4">
        <f t="shared" si="621"/>
        <v>0</v>
      </c>
      <c r="FQ271" s="4">
        <f t="shared" si="622"/>
        <v>0.43887578616352202</v>
      </c>
      <c r="FR271" s="4">
        <f t="shared" si="623"/>
        <v>0</v>
      </c>
      <c r="FS271" s="4">
        <f t="shared" si="624"/>
        <v>4.2330362944398026</v>
      </c>
      <c r="FT271" s="4">
        <f t="shared" si="625"/>
        <v>1.0265463917525772</v>
      </c>
      <c r="FU271" s="4">
        <f t="shared" si="626"/>
        <v>0</v>
      </c>
      <c r="FV271" s="4">
        <f t="shared" si="627"/>
        <v>1.5354070152217074</v>
      </c>
      <c r="FW271" s="4">
        <f t="shared" si="628"/>
        <v>3.0002650410813669</v>
      </c>
      <c r="FX271" s="4">
        <f t="shared" si="629"/>
        <v>1.1241666849379564</v>
      </c>
      <c r="FY271" s="4">
        <f t="shared" si="630"/>
        <v>0</v>
      </c>
      <c r="FZ271" s="4">
        <f t="shared" si="631"/>
        <v>1.1801156909004438</v>
      </c>
      <c r="GA271" s="4">
        <f t="shared" si="632"/>
        <v>0</v>
      </c>
      <c r="GB271" s="4">
        <f t="shared" si="633"/>
        <v>0.86192166536309489</v>
      </c>
      <c r="GC271" s="4">
        <f t="shared" si="634"/>
        <v>0.97414009540547331</v>
      </c>
      <c r="GD271" s="4">
        <f t="shared" si="635"/>
        <v>0.85728047520661144</v>
      </c>
      <c r="GE271" s="4">
        <f t="shared" si="636"/>
        <v>0.66709271981679708</v>
      </c>
      <c r="GF271" s="4">
        <f t="shared" si="637"/>
        <v>1.6770652028383985</v>
      </c>
      <c r="GG271" s="4">
        <f t="shared" si="638"/>
        <v>0</v>
      </c>
      <c r="GH271" s="4">
        <f t="shared" si="639"/>
        <v>0</v>
      </c>
      <c r="GI271" s="4">
        <f t="shared" si="640"/>
        <v>4.0884950690818762</v>
      </c>
      <c r="GJ271" s="4">
        <f t="shared" si="641"/>
        <v>0</v>
      </c>
      <c r="GK271" s="4">
        <f t="shared" si="642"/>
        <v>46.470067713142505</v>
      </c>
      <c r="GL271" s="4">
        <f t="shared" si="643"/>
        <v>0</v>
      </c>
      <c r="GM271" s="4">
        <f t="shared" si="644"/>
        <v>0.77814990438925191</v>
      </c>
      <c r="GN271" s="4">
        <f t="shared" si="645"/>
        <v>0</v>
      </c>
      <c r="GO271" s="4">
        <f t="shared" si="646"/>
        <v>0</v>
      </c>
      <c r="GP271" s="4">
        <f t="shared" si="647"/>
        <v>0.22434407552083332</v>
      </c>
      <c r="GQ271" s="27">
        <f t="shared" si="648"/>
        <v>131694.0790316521</v>
      </c>
      <c r="GR271" s="28">
        <f t="shared" si="649"/>
        <v>28.220159792496879</v>
      </c>
      <c r="GS271" s="28">
        <f t="shared" si="650"/>
        <v>827.6943774191094</v>
      </c>
      <c r="GT271" s="28">
        <f t="shared" si="651"/>
        <v>6073.6378275054276</v>
      </c>
      <c r="GU271" s="28">
        <f t="shared" si="652"/>
        <v>85.33931483641669</v>
      </c>
      <c r="GV271" s="28">
        <f t="shared" si="653"/>
        <v>49.651964995733344</v>
      </c>
      <c r="GW271" s="28">
        <f t="shared" si="654"/>
        <v>131694.0790316521</v>
      </c>
      <c r="GX271" s="28">
        <f t="shared" si="655"/>
        <v>6.4489368597973957</v>
      </c>
      <c r="GY271" s="28">
        <f t="shared" si="656"/>
        <v>0</v>
      </c>
      <c r="GZ271" s="28">
        <f t="shared" si="657"/>
        <v>478.09411607219795</v>
      </c>
      <c r="HA271" s="28">
        <f t="shared" si="658"/>
        <v>777.26660047031771</v>
      </c>
      <c r="HB271" s="28">
        <f t="shared" si="659"/>
        <v>0</v>
      </c>
      <c r="HC271" s="28">
        <f t="shared" si="660"/>
        <v>5479.1719184744798</v>
      </c>
      <c r="HD271" s="28">
        <f t="shared" si="661"/>
        <v>0</v>
      </c>
      <c r="HE271" s="28">
        <f t="shared" si="662"/>
        <v>73.265741316946361</v>
      </c>
      <c r="HF271" s="28">
        <f t="shared" si="663"/>
        <v>26.135165168652609</v>
      </c>
      <c r="HG271" s="28">
        <f t="shared" si="664"/>
        <v>2909.2948239687503</v>
      </c>
      <c r="HH271" s="28">
        <f t="shared" si="665"/>
        <v>23.953194050676043</v>
      </c>
      <c r="HI271" s="28">
        <f t="shared" si="666"/>
        <v>0</v>
      </c>
      <c r="HJ271" s="28">
        <f t="shared" si="667"/>
        <v>52.36730683143751</v>
      </c>
      <c r="HK271" s="28">
        <f t="shared" si="668"/>
        <v>7.4187018011203136</v>
      </c>
      <c r="HL271" s="28">
        <f t="shared" si="669"/>
        <v>0</v>
      </c>
      <c r="HM271" s="28">
        <f t="shared" si="670"/>
        <v>0</v>
      </c>
      <c r="HN271" s="28">
        <f t="shared" si="671"/>
        <v>0</v>
      </c>
      <c r="HO271" s="28">
        <f t="shared" si="672"/>
        <v>0</v>
      </c>
      <c r="HP271" s="28">
        <f t="shared" si="673"/>
        <v>0</v>
      </c>
      <c r="HQ271" s="28">
        <f t="shared" si="674"/>
        <v>7.0017028763514588</v>
      </c>
      <c r="HR271" s="28">
        <f t="shared" si="675"/>
        <v>0.9164278695501562</v>
      </c>
      <c r="HT271" s="4">
        <f>IFERROR(GR271/'McDonough &amp; Sun 1995 values'!C$2,)</f>
        <v>1343.8171329760419</v>
      </c>
      <c r="HU271" s="4">
        <f>IFERROR(GS271/'McDonough &amp; Sun 1995 values'!D$2,)</f>
        <v>1379.490629031849</v>
      </c>
      <c r="HV271" s="4">
        <f>IFERROR(GT271/'McDonough &amp; Sun 1995 values'!E$2,)</f>
        <v>920.24815568264057</v>
      </c>
      <c r="HW271" s="4">
        <f>IFERROR(GU271/'McDonough &amp; Sun 1995 values'!F$2,)</f>
        <v>1073.4505010870023</v>
      </c>
      <c r="HX271" s="4">
        <f>IFERROR(GV271/'McDonough &amp; Sun 1995 values'!G$2,)</f>
        <v>2445.9096057011502</v>
      </c>
      <c r="HY271" s="4">
        <f>IFERROR(GW271/'McDonough &amp; Sun 1995 values'!H$2,)</f>
        <v>548.72532929855038</v>
      </c>
      <c r="HZ271" s="4">
        <f>IFERROR(GX271/'McDonough &amp; Sun 1995 values'!I$2,)</f>
        <v>174.29559080533502</v>
      </c>
      <c r="IA271" s="4">
        <f>IFERROR(GY271/'McDonough &amp; Sun 1995 values'!J$2,)</f>
        <v>0</v>
      </c>
      <c r="IB271" s="4">
        <f>IFERROR(GZ271/'McDonough &amp; Sun 1995 values'!K$2,)</f>
        <v>737.79956183981164</v>
      </c>
      <c r="IC271" s="4">
        <f>IFERROR(HA271/'McDonough &amp; Sun 1995 values'!L$2,)</f>
        <v>464.03976147481654</v>
      </c>
      <c r="ID271" s="4">
        <f>IFERROR(HB271/'McDonough &amp; Sun 1995 values'!M$2,)</f>
        <v>0</v>
      </c>
      <c r="IE271" s="4">
        <f>IFERROR(HC271/'McDonough &amp; Sun 1995 values'!N$2,)</f>
        <v>275.33527228514976</v>
      </c>
      <c r="IF271" s="4">
        <f>IFERROR(HD271/'McDonough &amp; Sun 1995 values'!O$2,)</f>
        <v>0</v>
      </c>
      <c r="IG271" s="4">
        <f>IFERROR(HE271/'McDonough &amp; Sun 1995 values'!P$2,)</f>
        <v>180.45749092843931</v>
      </c>
      <c r="IH271" s="4">
        <f>IFERROR(HF271/'McDonough &amp; Sun 1995 values'!Q$2,)</f>
        <v>92.350406956369653</v>
      </c>
      <c r="II271" s="4">
        <f>IFERROR(HG271/'McDonough &amp; Sun 1995 values'!R$2,)</f>
        <v>277.07569752083339</v>
      </c>
      <c r="IJ271" s="4">
        <f>IFERROR(HH271/'McDonough &amp; Sun 1995 values'!S$2,)</f>
        <v>155.540221108286</v>
      </c>
      <c r="IK271" s="4">
        <f>IFERROR(HI271/'McDonough &amp; Sun 1995 values'!T$2,)</f>
        <v>0</v>
      </c>
      <c r="IL271" s="4">
        <f>IFERROR(HJ271/'McDonough &amp; Sun 1995 values'!U$2,)</f>
        <v>96.263431675436593</v>
      </c>
      <c r="IM271" s="4">
        <f>IFERROR(HK271/'McDonough &amp; Sun 1995 values'!V$2,)</f>
        <v>74.936381829498117</v>
      </c>
      <c r="IN271" s="4">
        <f>IFERROR(HL271/'McDonough &amp; Sun 1995 values'!W$2,)</f>
        <v>0</v>
      </c>
      <c r="IO271" s="4">
        <f>IFERROR(HM271/'McDonough &amp; Sun 1995 values'!X$2,)</f>
        <v>0</v>
      </c>
      <c r="IP271" s="4">
        <f>IFERROR(HN271/'McDonough &amp; Sun 1995 values'!Y$2,)</f>
        <v>0</v>
      </c>
      <c r="IQ271" s="4">
        <f>IFERROR(HO271/'McDonough &amp; Sun 1995 values'!Z$2,)</f>
        <v>0</v>
      </c>
      <c r="IR271" s="4">
        <f>IFERROR(HP271/'McDonough &amp; Sun 1995 values'!AA$2,)</f>
        <v>0</v>
      </c>
      <c r="IS271" s="4">
        <f>IFERROR(HQ271/'McDonough &amp; Sun 1995 values'!AB$2,)</f>
        <v>15.876877270638229</v>
      </c>
      <c r="IT271" s="4">
        <f>IFERROR(HR271/'McDonough &amp; Sun 1995 values'!AC$2,)</f>
        <v>13.576709178520831</v>
      </c>
    </row>
    <row r="272" spans="1:254">
      <c r="A272" s="16" t="s">
        <v>1178</v>
      </c>
      <c r="B272" s="16" t="s">
        <v>24</v>
      </c>
      <c r="C272" s="16" t="str">
        <f t="shared" si="617"/>
        <v>silicic - low-Mg carbonatitic</v>
      </c>
      <c r="D272" s="16" t="s">
        <v>1720</v>
      </c>
      <c r="E272" s="16" t="s">
        <v>1394</v>
      </c>
      <c r="F272" s="16" t="s">
        <v>104</v>
      </c>
      <c r="G272" s="16" t="s">
        <v>595</v>
      </c>
      <c r="H272" s="27">
        <v>240</v>
      </c>
      <c r="I272" s="16" t="s">
        <v>736</v>
      </c>
      <c r="J272" s="16" t="s">
        <v>596</v>
      </c>
      <c r="K272" s="16" t="s">
        <v>48</v>
      </c>
      <c r="L272" s="16">
        <v>0</v>
      </c>
      <c r="M272" s="16" t="s">
        <v>741</v>
      </c>
      <c r="N272" s="16">
        <v>27</v>
      </c>
      <c r="O272" s="26">
        <v>29.4</v>
      </c>
      <c r="P272" s="26">
        <v>4.8</v>
      </c>
      <c r="Q272" s="26"/>
      <c r="R272" s="26">
        <v>2.9</v>
      </c>
      <c r="S272" s="26">
        <v>16.100000000000001</v>
      </c>
      <c r="T272" s="26">
        <v>8.1999999999999993</v>
      </c>
      <c r="U272" s="26"/>
      <c r="V272" s="26">
        <v>13.4</v>
      </c>
      <c r="W272" s="26">
        <v>2.2999999999999998</v>
      </c>
      <c r="X272" s="26">
        <v>18.100000000000001</v>
      </c>
      <c r="Y272" s="26"/>
      <c r="Z272" s="26">
        <v>1.9</v>
      </c>
      <c r="AA272" s="26"/>
      <c r="AB272" s="26"/>
      <c r="AC272" s="26"/>
      <c r="AD272" s="26">
        <v>0.9</v>
      </c>
      <c r="AE272" s="26"/>
      <c r="AF272" s="26"/>
      <c r="AG272" s="26"/>
      <c r="AH272" s="26"/>
      <c r="AI272" s="26"/>
      <c r="AJ272" s="26">
        <f t="shared" si="618"/>
        <v>98</v>
      </c>
      <c r="AK272" s="26">
        <f t="shared" si="603"/>
        <v>30.062303498802962</v>
      </c>
      <c r="AL272" s="26">
        <f t="shared" si="604"/>
        <v>4.9081311834780346</v>
      </c>
      <c r="AM272" s="26">
        <f t="shared" si="605"/>
        <v>2.9653292566846461</v>
      </c>
      <c r="AN272" s="26">
        <f t="shared" si="606"/>
        <v>16.462690011249244</v>
      </c>
      <c r="AO272" s="26">
        <f t="shared" si="607"/>
        <v>8.3847241051083081</v>
      </c>
      <c r="AP272" s="26">
        <f t="shared" si="608"/>
        <v>13.701866220542847</v>
      </c>
      <c r="AQ272" s="26">
        <f t="shared" si="609"/>
        <v>0</v>
      </c>
      <c r="AR272" s="26">
        <f t="shared" si="610"/>
        <v>2.3518128587498919</v>
      </c>
      <c r="AS272" s="26">
        <f t="shared" si="611"/>
        <v>18.507744671031759</v>
      </c>
      <c r="AT272" s="26">
        <f t="shared" si="612"/>
        <v>1.9428019267933889</v>
      </c>
      <c r="AU272" s="26">
        <f t="shared" si="613"/>
        <v>0.92027459690213165</v>
      </c>
      <c r="AV272" s="26">
        <f t="shared" si="619"/>
        <v>100.20767832934322</v>
      </c>
      <c r="AW272" s="16">
        <v>420</v>
      </c>
      <c r="AX272" s="16">
        <v>128</v>
      </c>
      <c r="AY272" s="16"/>
      <c r="AZ272" s="16"/>
      <c r="BA272" s="26"/>
      <c r="BB272" s="26">
        <v>0.4</v>
      </c>
      <c r="BC272" s="26">
        <f>(AX272/18.02)/((AX272/18.02)+(AW272/44.01))</f>
        <v>0.4267093279037214</v>
      </c>
      <c r="BD272" s="26">
        <f>(AW272/44.01)/((AX272/18.02)+(AW272/44.01))</f>
        <v>0.57329067209627871</v>
      </c>
      <c r="BE272" s="16"/>
      <c r="BF272" s="16"/>
      <c r="BG272" s="16"/>
      <c r="BH272" s="16"/>
      <c r="BI272" s="16"/>
      <c r="BJ272" s="16">
        <v>40</v>
      </c>
      <c r="BK272" s="18"/>
      <c r="BL272" s="18"/>
      <c r="BM272" s="18"/>
      <c r="BN272" s="18">
        <v>18.600000000000001</v>
      </c>
      <c r="BO272" s="18"/>
      <c r="BP272" s="18"/>
      <c r="BQ272" s="18"/>
      <c r="BR272" s="18">
        <v>165</v>
      </c>
      <c r="BS272" s="18"/>
      <c r="BT272" s="18"/>
      <c r="BU272" s="18">
        <v>8.5999999999999993E-2</v>
      </c>
      <c r="BV272" s="18"/>
      <c r="BW272" s="18">
        <v>97.4</v>
      </c>
      <c r="BX272" s="18">
        <v>1.18</v>
      </c>
      <c r="BY272" s="18"/>
      <c r="BZ272" s="18">
        <v>0.34399999999999997</v>
      </c>
      <c r="CA272" s="18">
        <v>8.9599999999999999E-2</v>
      </c>
      <c r="CB272" s="18"/>
      <c r="CC272" s="18">
        <v>2.92E-2</v>
      </c>
      <c r="CD272" s="18"/>
      <c r="CE272" s="18">
        <v>3.0999999999999999E-3</v>
      </c>
      <c r="CF272" s="18"/>
      <c r="CG272" s="18">
        <v>2.4300000000000002E-2</v>
      </c>
      <c r="CH272" s="18">
        <v>0.72799999999999998</v>
      </c>
      <c r="CI272" s="18">
        <v>3.75</v>
      </c>
      <c r="CJ272" s="18"/>
      <c r="CK272" s="18">
        <v>1.4</v>
      </c>
      <c r="CL272" s="18">
        <v>8.0000000000000004E-4</v>
      </c>
      <c r="CM272" s="18"/>
      <c r="CN272" s="18"/>
      <c r="CO272" s="18"/>
      <c r="CP272" s="18"/>
      <c r="CQ272" s="18"/>
      <c r="CR272" s="18">
        <v>8.8999999999999999E-3</v>
      </c>
      <c r="CS272" s="18">
        <v>3.9489999999999998</v>
      </c>
      <c r="CT272" s="18"/>
      <c r="CU272" s="18">
        <v>0.26500000000000001</v>
      </c>
      <c r="CV272" s="18">
        <v>0.47199999999999998</v>
      </c>
      <c r="CW272" s="18"/>
      <c r="CX272" s="18" t="s">
        <v>1333</v>
      </c>
      <c r="CY272" s="18">
        <v>4.4700000000000004E-2</v>
      </c>
      <c r="CZ272" s="18">
        <v>1.5300000000000001E-2</v>
      </c>
      <c r="DA272" s="18">
        <v>2.3E-2</v>
      </c>
      <c r="DB272" s="18"/>
      <c r="DC272" s="18"/>
      <c r="DD272" s="18"/>
      <c r="DE272" s="18"/>
      <c r="DF272" s="18">
        <v>5.4400000000000004E-3</v>
      </c>
      <c r="DG272" s="18">
        <v>5.9999999999999995E-4</v>
      </c>
      <c r="DH272" s="18">
        <v>2.29E-2</v>
      </c>
      <c r="DI272" s="18">
        <v>6.7000000000000002E-3</v>
      </c>
      <c r="DJ272" s="18"/>
      <c r="DK272" s="18"/>
      <c r="DL272" s="18">
        <v>4.6200000000000005E-2</v>
      </c>
      <c r="DM272" s="18">
        <v>1.2E-2</v>
      </c>
      <c r="DN272" s="18">
        <v>5.0999999999999995E-3</v>
      </c>
      <c r="DO272" s="18"/>
      <c r="DP272" s="18">
        <v>3.1000000000000001E-5</v>
      </c>
      <c r="DQ272" s="18"/>
      <c r="DR272" s="18">
        <v>8.9999999999999985E-6</v>
      </c>
      <c r="DS272" s="18"/>
      <c r="DT272" s="18"/>
      <c r="DU272" s="18"/>
      <c r="DV272" s="28"/>
      <c r="DW272" s="28"/>
      <c r="DX272" s="28"/>
      <c r="DY272" s="28"/>
      <c r="DZ272" s="28"/>
      <c r="EA272" s="28"/>
      <c r="EB272" s="28"/>
      <c r="EC272" s="28"/>
      <c r="ED272" s="28"/>
      <c r="EE272" s="28"/>
      <c r="EF272" s="28"/>
      <c r="EG272" s="28"/>
      <c r="EH272" s="28"/>
      <c r="EI272" s="28"/>
      <c r="EJ272" s="18"/>
      <c r="EK272" s="18"/>
      <c r="EL272" s="18">
        <f>IFERROR(CR272/'McDonough &amp; Sun 1995 values'!C$2,)</f>
        <v>0.4238095238095238</v>
      </c>
      <c r="EM272" s="18">
        <f>IFERROR(CH272/'McDonough &amp; Sun 1995 values'!D$2,)</f>
        <v>1.2133333333333334</v>
      </c>
      <c r="EN272" s="18">
        <f>IFERROR(CS272/'McDonough &amp; Sun 1995 values'!E$2,)</f>
        <v>0.59833333333333338</v>
      </c>
      <c r="EO272" s="18">
        <f>IFERROR(DL272/'McDonough &amp; Sun 1995 values'!F$2,)</f>
        <v>0.58113207547169821</v>
      </c>
      <c r="EP272" s="18">
        <f>IFERROR(DM272/'McDonough &amp; Sun 1995 values'!G$2,)</f>
        <v>0.59113300492610843</v>
      </c>
      <c r="EQ272" s="18">
        <f>IFERROR(BR272/'McDonough &amp; Sun 1995 values'!H$2,)</f>
        <v>0.6875</v>
      </c>
      <c r="ER272" s="18">
        <f>IFERROR(DI272/'McDonough &amp; Sun 1995 values'!I$2,)</f>
        <v>0.18108108108108109</v>
      </c>
      <c r="ES272" s="18">
        <f>IFERROR(CM272/'McDonough &amp; Sun 1995 values'!J$2,)</f>
        <v>0</v>
      </c>
      <c r="ET272" s="18">
        <f>IFERROR(CU272/'McDonough &amp; Sun 1995 values'!K$2,)</f>
        <v>0.4089506172839506</v>
      </c>
      <c r="EU272" s="18">
        <f>IFERROR(CV272/'McDonough &amp; Sun 1995 values'!L$2,)</f>
        <v>0.28179104477611938</v>
      </c>
      <c r="EV272" s="18">
        <f>IFERROR(CW272/'McDonough &amp; Sun 1995 values'!M$2,)</f>
        <v>0</v>
      </c>
      <c r="EW272" s="18">
        <f>IFERROR(CI272/'McDonough &amp; Sun 1995 values'!N$2,)</f>
        <v>0.18844221105527639</v>
      </c>
      <c r="EX272" s="18">
        <f>IFERROR(CX272/'McDonough &amp; Sun 1995 values'!O$2,)</f>
        <v>0</v>
      </c>
      <c r="EY272" s="18">
        <f>IFERROR(CY272/'McDonough &amp; Sun 1995 values'!P$2,)</f>
        <v>0.11009852216748768</v>
      </c>
      <c r="EZ272" s="18">
        <f>IFERROR(DH272/'McDonough &amp; Sun 1995 values'!Q$2,)</f>
        <v>8.0918727915194361E-2</v>
      </c>
      <c r="FA272" s="18">
        <f>IFERROR(CK272/'McDonough &amp; Sun 1995 values'!R$2,)</f>
        <v>0.13333333333333333</v>
      </c>
      <c r="FB272" s="18">
        <f>IFERROR(CZ272/'McDonough &amp; Sun 1995 values'!S$2,)</f>
        <v>9.9350649350649356E-2</v>
      </c>
      <c r="FC272" s="18">
        <f>IFERROR(BT272/'McDonough &amp; Sun 1995 values'!T$2,)</f>
        <v>0</v>
      </c>
      <c r="FD272" s="18">
        <f>IFERROR(DA272/'McDonough &amp; Sun 1995 values'!U$2,)</f>
        <v>4.2279411764705878E-2</v>
      </c>
      <c r="FE272" s="18">
        <f>IFERROR(DN272/'McDonough &amp; Sun 1995 values'!V$2,)</f>
        <v>5.1515151515151507E-2</v>
      </c>
      <c r="FF272" s="18">
        <f>IFERROR(DB272/'McDonough &amp; Sun 1995 values'!W$2,)</f>
        <v>0</v>
      </c>
      <c r="FG272" s="18">
        <f>IFERROR(CJ272/'McDonough &amp; Sun 1995 values'!X$2,)</f>
        <v>0</v>
      </c>
      <c r="FH272" s="18">
        <f>IFERROR(DC272/'McDonough &amp; Sun 1995 values'!Y$2,)</f>
        <v>0</v>
      </c>
      <c r="FI272" s="18">
        <f>IFERROR(DD272/'McDonough &amp; Sun 1995 values'!Z$2,)</f>
        <v>0</v>
      </c>
      <c r="FJ272" s="18">
        <f>IFERROR(DE272/'McDonough &amp; Sun 1995 values'!AA$2,)</f>
        <v>0</v>
      </c>
      <c r="FK272" s="18">
        <f>IFERROR(DF272/'McDonough &amp; Sun 1995 values'!AB$2,)</f>
        <v>1.233560090702948E-2</v>
      </c>
      <c r="FL272" s="18">
        <f>IFERROR(DG272/'McDonough &amp; Sun 1995 values'!AC$2,)</f>
        <v>8.8888888888888871E-3</v>
      </c>
      <c r="FN272" s="28">
        <f t="shared" si="614"/>
        <v>0.85982982534706676</v>
      </c>
      <c r="FO272" s="4">
        <f t="shared" si="620"/>
        <v>1.0121805555555556</v>
      </c>
      <c r="FP272" s="4">
        <f t="shared" si="621"/>
        <v>0</v>
      </c>
      <c r="FQ272" s="4">
        <f t="shared" si="622"/>
        <v>0.98308176100628941</v>
      </c>
      <c r="FR272" s="4">
        <f t="shared" si="623"/>
        <v>0</v>
      </c>
      <c r="FS272" s="4">
        <f t="shared" si="624"/>
        <v>2.2583840058964433</v>
      </c>
      <c r="FT272" s="4">
        <f t="shared" si="625"/>
        <v>2.862921348314607</v>
      </c>
      <c r="FU272" s="4">
        <f t="shared" si="626"/>
        <v>0</v>
      </c>
      <c r="FV272" s="4">
        <f t="shared" si="627"/>
        <v>1.2110365398956002</v>
      </c>
      <c r="FW272" s="4">
        <f t="shared" si="628"/>
        <v>1.6477438136826781</v>
      </c>
      <c r="FX272" s="4">
        <f t="shared" si="629"/>
        <v>1.3040031031639956</v>
      </c>
      <c r="FY272" s="4">
        <f t="shared" si="630"/>
        <v>0</v>
      </c>
      <c r="FZ272" s="4">
        <f t="shared" si="631"/>
        <v>1.4561814589944373</v>
      </c>
      <c r="GA272" s="4">
        <f t="shared" si="632"/>
        <v>0</v>
      </c>
      <c r="GB272" s="4">
        <f t="shared" si="633"/>
        <v>0.90237949969493603</v>
      </c>
      <c r="GC272" s="4">
        <f t="shared" si="634"/>
        <v>0.34929356357927782</v>
      </c>
      <c r="GD272" s="4">
        <f t="shared" si="635"/>
        <v>1.029599567099567</v>
      </c>
      <c r="GE272" s="4">
        <f t="shared" si="636"/>
        <v>0.49313186813186816</v>
      </c>
      <c r="GF272" s="4">
        <f t="shared" si="637"/>
        <v>0.87030303030303036</v>
      </c>
      <c r="GG272" s="4">
        <f t="shared" si="638"/>
        <v>0</v>
      </c>
      <c r="GH272" s="4">
        <f t="shared" si="639"/>
        <v>0</v>
      </c>
      <c r="GI272" s="4">
        <f t="shared" si="640"/>
        <v>3.7144060540779407</v>
      </c>
      <c r="GJ272" s="4">
        <f t="shared" si="641"/>
        <v>0</v>
      </c>
      <c r="GK272" s="4">
        <f t="shared" si="642"/>
        <v>33.152062908496724</v>
      </c>
      <c r="GL272" s="4">
        <f t="shared" si="643"/>
        <v>0</v>
      </c>
      <c r="GM272" s="4">
        <f t="shared" si="644"/>
        <v>0.47895500725689411</v>
      </c>
      <c r="GN272" s="4">
        <f t="shared" si="645"/>
        <v>0</v>
      </c>
      <c r="GO272" s="4">
        <f t="shared" si="646"/>
        <v>0</v>
      </c>
      <c r="GP272" s="4">
        <f t="shared" si="647"/>
        <v>1.1630208333333332</v>
      </c>
      <c r="GQ272" s="27">
        <f t="shared" si="648"/>
        <v>153639.69277474855</v>
      </c>
      <c r="GR272" s="28">
        <f t="shared" si="649"/>
        <v>8.2872319133046179</v>
      </c>
      <c r="GS272" s="28">
        <f t="shared" si="650"/>
        <v>677.87694751525419</v>
      </c>
      <c r="GT272" s="28">
        <f t="shared" si="651"/>
        <v>3677.1099804089813</v>
      </c>
      <c r="GU272" s="28">
        <f t="shared" si="652"/>
        <v>43.019113976929596</v>
      </c>
      <c r="GV272" s="28">
        <f t="shared" si="653"/>
        <v>11.173795838163532</v>
      </c>
      <c r="GW272" s="28">
        <f t="shared" si="654"/>
        <v>153639.69277474855</v>
      </c>
      <c r="GX272" s="28">
        <f t="shared" si="655"/>
        <v>6.2387026763079714</v>
      </c>
      <c r="GY272" s="28">
        <f t="shared" si="656"/>
        <v>0</v>
      </c>
      <c r="GZ272" s="28">
        <f t="shared" si="657"/>
        <v>246.75465809277796</v>
      </c>
      <c r="HA272" s="28">
        <f t="shared" si="658"/>
        <v>439.50263630109885</v>
      </c>
      <c r="HB272" s="28">
        <f t="shared" si="659"/>
        <v>0</v>
      </c>
      <c r="HC272" s="28">
        <f t="shared" si="660"/>
        <v>3491.8111994261035</v>
      </c>
      <c r="HD272" s="28" t="str">
        <f t="shared" si="661"/>
        <v/>
      </c>
      <c r="HE272" s="28">
        <f t="shared" si="662"/>
        <v>41.622389497159155</v>
      </c>
      <c r="HF272" s="28">
        <f t="shared" si="663"/>
        <v>21.323327057828738</v>
      </c>
      <c r="HG272" s="28">
        <f t="shared" si="664"/>
        <v>1303.6095144524118</v>
      </c>
      <c r="HH272" s="28">
        <f t="shared" si="665"/>
        <v>14.246589693658503</v>
      </c>
      <c r="HI272" s="28">
        <f t="shared" si="666"/>
        <v>0</v>
      </c>
      <c r="HJ272" s="28">
        <f t="shared" si="667"/>
        <v>21.416442023146768</v>
      </c>
      <c r="HK272" s="28">
        <f t="shared" si="668"/>
        <v>4.7488632312195005</v>
      </c>
      <c r="HL272" s="28">
        <f t="shared" si="669"/>
        <v>0</v>
      </c>
      <c r="HM272" s="28">
        <f t="shared" si="670"/>
        <v>0</v>
      </c>
      <c r="HN272" s="28">
        <f t="shared" si="671"/>
        <v>0</v>
      </c>
      <c r="HO272" s="28">
        <f t="shared" si="672"/>
        <v>0</v>
      </c>
      <c r="HP272" s="28">
        <f t="shared" si="673"/>
        <v>0</v>
      </c>
      <c r="HQ272" s="28">
        <f t="shared" si="674"/>
        <v>5.0654541133008006</v>
      </c>
      <c r="HR272" s="28">
        <f t="shared" si="675"/>
        <v>0.55868979190817647</v>
      </c>
      <c r="HT272" s="4">
        <f>IFERROR(GR272/'McDonough &amp; Sun 1995 values'!C$2,)</f>
        <v>394.63009110974366</v>
      </c>
      <c r="HU272" s="4">
        <f>IFERROR(GS272/'McDonough &amp; Sun 1995 values'!D$2,)</f>
        <v>1129.7949125254238</v>
      </c>
      <c r="HV272" s="4">
        <f>IFERROR(GT272/'McDonough &amp; Sun 1995 values'!E$2,)</f>
        <v>557.13787581954261</v>
      </c>
      <c r="HW272" s="4">
        <f>IFERROR(GU272/'McDonough &amp; Sun 1995 values'!F$2,)</f>
        <v>541.12093052741625</v>
      </c>
      <c r="HX272" s="4">
        <f>IFERROR(GV272/'McDonough &amp; Sun 1995 values'!G$2,)</f>
        <v>550.43329252037108</v>
      </c>
      <c r="HY272" s="4">
        <f>IFERROR(GW272/'McDonough &amp; Sun 1995 values'!H$2,)</f>
        <v>640.16538656145224</v>
      </c>
      <c r="HZ272" s="4">
        <f>IFERROR(GX272/'McDonough &amp; Sun 1995 values'!I$2,)</f>
        <v>168.61358584616139</v>
      </c>
      <c r="IA272" s="4">
        <f>IFERROR(GY272/'McDonough &amp; Sun 1995 values'!J$2,)</f>
        <v>0</v>
      </c>
      <c r="IB272" s="4">
        <f>IFERROR(GZ272/'McDonough &amp; Sun 1995 values'!K$2,)</f>
        <v>380.79422545181785</v>
      </c>
      <c r="IC272" s="4">
        <f>IFERROR(HA272/'McDonough &amp; Sun 1995 values'!L$2,)</f>
        <v>262.3896336125963</v>
      </c>
      <c r="ID272" s="4">
        <f>IFERROR(HB272/'McDonough &amp; Sun 1995 values'!M$2,)</f>
        <v>0</v>
      </c>
      <c r="IE272" s="4">
        <f>IFERROR(HC272/'McDonough &amp; Sun 1995 values'!N$2,)</f>
        <v>175.46789946864843</v>
      </c>
      <c r="IF272" s="4">
        <f>IFERROR(HD272/'McDonough &amp; Sun 1995 values'!O$2,)</f>
        <v>0</v>
      </c>
      <c r="IG272" s="4">
        <f>IFERROR(HE272/'McDonough &amp; Sun 1995 values'!P$2,)</f>
        <v>102.51820073191909</v>
      </c>
      <c r="IH272" s="4">
        <f>IFERROR(HF272/'McDonough &amp; Sun 1995 values'!Q$2,)</f>
        <v>75.347445434023811</v>
      </c>
      <c r="II272" s="4">
        <f>IFERROR(HG272/'McDonough &amp; Sun 1995 values'!R$2,)</f>
        <v>124.15328709070589</v>
      </c>
      <c r="IJ272" s="4">
        <f>IFERROR(HH272/'McDonough &amp; Sun 1995 values'!S$2,)</f>
        <v>92.510322686094185</v>
      </c>
      <c r="IK272" s="4">
        <f>IFERROR(HI272/'McDonough &amp; Sun 1995 values'!T$2,)</f>
        <v>0</v>
      </c>
      <c r="IL272" s="4">
        <f>IFERROR(HJ272/'McDonough &amp; Sun 1995 values'!U$2,)</f>
        <v>39.368459601372734</v>
      </c>
      <c r="IM272" s="4">
        <f>IFERROR(HK272/'McDonough &amp; Sun 1995 values'!V$2,)</f>
        <v>47.968315466863636</v>
      </c>
      <c r="IN272" s="4">
        <f>IFERROR(HL272/'McDonough &amp; Sun 1995 values'!W$2,)</f>
        <v>0</v>
      </c>
      <c r="IO272" s="4">
        <f>IFERROR(HM272/'McDonough &amp; Sun 1995 values'!X$2,)</f>
        <v>0</v>
      </c>
      <c r="IP272" s="4">
        <f>IFERROR(HN272/'McDonough &amp; Sun 1995 values'!Y$2,)</f>
        <v>0</v>
      </c>
      <c r="IQ272" s="4">
        <f>IFERROR(HO272/'McDonough &amp; Sun 1995 values'!Z$2,)</f>
        <v>0</v>
      </c>
      <c r="IR272" s="4">
        <f>IFERROR(HP272/'McDonough &amp; Sun 1995 values'!AA$2,)</f>
        <v>0</v>
      </c>
      <c r="IS272" s="4">
        <f>IFERROR(HQ272/'McDonough &amp; Sun 1995 values'!AB$2,)</f>
        <v>11.486290506351022</v>
      </c>
      <c r="IT272" s="4">
        <f>IFERROR(HR272/'McDonough &amp; Sun 1995 values'!AC$2,)</f>
        <v>8.2768858060470585</v>
      </c>
    </row>
    <row r="273" spans="1:254">
      <c r="A273" s="16" t="s">
        <v>1178</v>
      </c>
      <c r="B273" s="16" t="s">
        <v>24</v>
      </c>
      <c r="C273" s="16" t="str">
        <f t="shared" si="617"/>
        <v>silicic - low-Mg carbonatitic</v>
      </c>
      <c r="D273" s="16" t="s">
        <v>1720</v>
      </c>
      <c r="E273" s="16" t="s">
        <v>1394</v>
      </c>
      <c r="F273" s="16" t="s">
        <v>104</v>
      </c>
      <c r="G273" s="16" t="s">
        <v>595</v>
      </c>
      <c r="H273" s="27">
        <v>240</v>
      </c>
      <c r="I273" s="16" t="s">
        <v>736</v>
      </c>
      <c r="J273" s="16" t="s">
        <v>596</v>
      </c>
      <c r="K273" s="16" t="s">
        <v>48</v>
      </c>
      <c r="L273" s="16">
        <v>0</v>
      </c>
      <c r="M273" s="16" t="s">
        <v>738</v>
      </c>
      <c r="N273" s="16">
        <v>50</v>
      </c>
      <c r="O273" s="26">
        <v>25.1</v>
      </c>
      <c r="P273" s="26">
        <v>4.7</v>
      </c>
      <c r="Q273" s="26"/>
      <c r="R273" s="26">
        <v>2.5</v>
      </c>
      <c r="S273" s="26">
        <v>16.100000000000001</v>
      </c>
      <c r="T273" s="26">
        <v>10.1</v>
      </c>
      <c r="U273" s="26"/>
      <c r="V273" s="26">
        <v>15.6</v>
      </c>
      <c r="W273" s="26">
        <v>2.6</v>
      </c>
      <c r="X273" s="26">
        <v>18.3</v>
      </c>
      <c r="Y273" s="26"/>
      <c r="Z273" s="26">
        <v>2.4</v>
      </c>
      <c r="AA273" s="26"/>
      <c r="AB273" s="26"/>
      <c r="AC273" s="26"/>
      <c r="AD273" s="26">
        <v>1.3</v>
      </c>
      <c r="AE273" s="26"/>
      <c r="AF273" s="26"/>
      <c r="AG273" s="26"/>
      <c r="AH273" s="26"/>
      <c r="AI273" s="26"/>
      <c r="AJ273" s="26">
        <f t="shared" si="618"/>
        <v>98.699999999999989</v>
      </c>
      <c r="AK273" s="26">
        <f t="shared" si="603"/>
        <v>25.506411753998481</v>
      </c>
      <c r="AL273" s="26">
        <f t="shared" si="604"/>
        <v>4.7761010057287994</v>
      </c>
      <c r="AM273" s="26">
        <f t="shared" si="605"/>
        <v>2.5404792583663824</v>
      </c>
      <c r="AN273" s="26">
        <f t="shared" si="606"/>
        <v>16.360686423879507</v>
      </c>
      <c r="AO273" s="26">
        <f t="shared" si="607"/>
        <v>10.263536203800184</v>
      </c>
      <c r="AP273" s="26">
        <f t="shared" si="608"/>
        <v>15.852590572206227</v>
      </c>
      <c r="AQ273" s="26">
        <f t="shared" si="609"/>
        <v>0</v>
      </c>
      <c r="AR273" s="26">
        <f t="shared" si="610"/>
        <v>2.6420984287010381</v>
      </c>
      <c r="AS273" s="26">
        <f t="shared" si="611"/>
        <v>18.596308171241922</v>
      </c>
      <c r="AT273" s="26">
        <f t="shared" si="612"/>
        <v>2.4388600880317268</v>
      </c>
      <c r="AU273" s="26">
        <f t="shared" si="613"/>
        <v>1.321049214350519</v>
      </c>
      <c r="AV273" s="26">
        <f t="shared" si="619"/>
        <v>100.29812112030478</v>
      </c>
      <c r="AW273" s="16">
        <v>910</v>
      </c>
      <c r="AX273" s="16">
        <v>192</v>
      </c>
      <c r="AY273" s="16"/>
      <c r="AZ273" s="16"/>
      <c r="BA273" s="26"/>
      <c r="BB273" s="26">
        <v>0.3</v>
      </c>
      <c r="BC273" s="26">
        <f>(AX273/18.02)/((AX273/18.02)+(AW273/44.01))</f>
        <v>0.34006274921402502</v>
      </c>
      <c r="BD273" s="26">
        <f>(AW273/44.01)/((AX273/18.02)+(AW273/44.01))</f>
        <v>0.65993725078597487</v>
      </c>
      <c r="BE273" s="16"/>
      <c r="BF273" s="16"/>
      <c r="BG273" s="16"/>
      <c r="BH273" s="16"/>
      <c r="BI273" s="16"/>
      <c r="BJ273" s="16">
        <v>58.28</v>
      </c>
      <c r="BK273" s="18"/>
      <c r="BL273" s="18"/>
      <c r="BM273" s="18"/>
      <c r="BN273" s="18">
        <v>7.83</v>
      </c>
      <c r="BO273" s="18"/>
      <c r="BP273" s="18"/>
      <c r="BQ273" s="18"/>
      <c r="BR273" s="18">
        <v>60</v>
      </c>
      <c r="BS273" s="18"/>
      <c r="BT273" s="18"/>
      <c r="BU273" s="18">
        <v>4.9000000000000002E-2</v>
      </c>
      <c r="BV273" s="18"/>
      <c r="BW273" s="18">
        <v>38.799999999999997</v>
      </c>
      <c r="BX273" s="18">
        <v>0.627</v>
      </c>
      <c r="BY273" s="18"/>
      <c r="BZ273" s="18">
        <v>0.17199999999999999</v>
      </c>
      <c r="CA273" s="18">
        <v>4.4700000000000004E-2</v>
      </c>
      <c r="CB273" s="18"/>
      <c r="CC273" s="18">
        <v>1.15E-2</v>
      </c>
      <c r="CD273" s="18"/>
      <c r="CE273" s="18">
        <v>2.5999999999999999E-3</v>
      </c>
      <c r="CF273" s="18"/>
      <c r="CG273" s="18">
        <v>8.9999999999999993E-3</v>
      </c>
      <c r="CH273" s="18">
        <v>0.29699999999999999</v>
      </c>
      <c r="CI273" s="18">
        <v>1.65</v>
      </c>
      <c r="CJ273" s="18"/>
      <c r="CK273" s="18">
        <v>0.4</v>
      </c>
      <c r="CL273" s="18">
        <v>2.9999999999999997E-4</v>
      </c>
      <c r="CM273" s="18"/>
      <c r="CN273" s="18"/>
      <c r="CO273" s="18"/>
      <c r="CP273" s="18"/>
      <c r="CQ273" s="18"/>
      <c r="CR273" s="18">
        <v>3.5000000000000001E-3</v>
      </c>
      <c r="CS273" s="18">
        <v>1.923</v>
      </c>
      <c r="CT273" s="18"/>
      <c r="CU273" s="18">
        <v>0.129</v>
      </c>
      <c r="CV273" s="18">
        <v>0.219</v>
      </c>
      <c r="CW273" s="18"/>
      <c r="CX273" s="18" t="s">
        <v>1327</v>
      </c>
      <c r="CY273" s="18">
        <v>1.0199999999999999E-2</v>
      </c>
      <c r="CZ273" s="18">
        <v>6.7999999999999996E-3</v>
      </c>
      <c r="DA273" s="18">
        <v>1.0999999999999999E-2</v>
      </c>
      <c r="DB273" s="18"/>
      <c r="DC273" s="18"/>
      <c r="DD273" s="18"/>
      <c r="DE273" s="18"/>
      <c r="DF273" s="18">
        <v>3.0999999999999999E-3</v>
      </c>
      <c r="DG273" s="18">
        <v>2.5000000000000001E-4</v>
      </c>
      <c r="DH273" s="18">
        <v>9.300000000000001E-3</v>
      </c>
      <c r="DI273" s="18">
        <v>2.3999999999999998E-3</v>
      </c>
      <c r="DJ273" s="18"/>
      <c r="DK273" s="18"/>
      <c r="DL273" s="18">
        <v>2.4199999999999999E-2</v>
      </c>
      <c r="DM273" s="18">
        <v>7.0000000000000001E-3</v>
      </c>
      <c r="DN273" s="18">
        <v>2.2000000000000001E-3</v>
      </c>
      <c r="DO273" s="18"/>
      <c r="DP273" s="18">
        <v>2.9999999999999997E-5</v>
      </c>
      <c r="DQ273" s="18"/>
      <c r="DR273" s="18">
        <v>1.7E-5</v>
      </c>
      <c r="DS273" s="18"/>
      <c r="DT273" s="18"/>
      <c r="DU273" s="18"/>
      <c r="DV273" s="28"/>
      <c r="DW273" s="28"/>
      <c r="DX273" s="28"/>
      <c r="DY273" s="28"/>
      <c r="DZ273" s="28"/>
      <c r="EA273" s="28"/>
      <c r="EB273" s="28"/>
      <c r="EC273" s="28"/>
      <c r="ED273" s="28"/>
      <c r="EE273" s="28"/>
      <c r="EF273" s="28"/>
      <c r="EG273" s="28"/>
      <c r="EH273" s="28"/>
      <c r="EI273" s="28"/>
      <c r="EJ273" s="18"/>
      <c r="EK273" s="18"/>
      <c r="EL273" s="18">
        <f>IFERROR(CR273/'McDonough &amp; Sun 1995 values'!C$2,)</f>
        <v>0.16666666666666666</v>
      </c>
      <c r="EM273" s="18">
        <f>IFERROR(CH273/'McDonough &amp; Sun 1995 values'!D$2,)</f>
        <v>0.495</v>
      </c>
      <c r="EN273" s="18">
        <f>IFERROR(CS273/'McDonough &amp; Sun 1995 values'!E$2,)</f>
        <v>0.29136363636363638</v>
      </c>
      <c r="EO273" s="18">
        <f>IFERROR(DL273/'McDonough &amp; Sun 1995 values'!F$2,)</f>
        <v>0.30440251572327043</v>
      </c>
      <c r="EP273" s="18">
        <f>IFERROR(DM273/'McDonough &amp; Sun 1995 values'!G$2,)</f>
        <v>0.34482758620689657</v>
      </c>
      <c r="EQ273" s="18">
        <f>IFERROR(BR273/'McDonough &amp; Sun 1995 values'!H$2,)</f>
        <v>0.25</v>
      </c>
      <c r="ER273" s="18">
        <f>IFERROR(DI273/'McDonough &amp; Sun 1995 values'!I$2,)</f>
        <v>6.4864864864864868E-2</v>
      </c>
      <c r="ES273" s="18">
        <f>IFERROR(CM273/'McDonough &amp; Sun 1995 values'!J$2,)</f>
        <v>0</v>
      </c>
      <c r="ET273" s="18">
        <f>IFERROR(CU273/'McDonough &amp; Sun 1995 values'!K$2,)</f>
        <v>0.19907407407407407</v>
      </c>
      <c r="EU273" s="18">
        <f>IFERROR(CV273/'McDonough &amp; Sun 1995 values'!L$2,)</f>
        <v>0.1307462686567164</v>
      </c>
      <c r="EV273" s="18">
        <f>IFERROR(CW273/'McDonough &amp; Sun 1995 values'!M$2,)</f>
        <v>0</v>
      </c>
      <c r="EW273" s="18">
        <f>IFERROR(CI273/'McDonough &amp; Sun 1995 values'!N$2,)</f>
        <v>8.2914572864321606E-2</v>
      </c>
      <c r="EX273" s="18">
        <f>IFERROR(CX273/'McDonough &amp; Sun 1995 values'!O$2,)</f>
        <v>0</v>
      </c>
      <c r="EY273" s="18">
        <f>IFERROR(CY273/'McDonough &amp; Sun 1995 values'!P$2,)</f>
        <v>2.5123152709359602E-2</v>
      </c>
      <c r="EZ273" s="18">
        <f>IFERROR(DH273/'McDonough &amp; Sun 1995 values'!Q$2,)</f>
        <v>3.2862190812720855E-2</v>
      </c>
      <c r="FA273" s="18">
        <f>IFERROR(CK273/'McDonough &amp; Sun 1995 values'!R$2,)</f>
        <v>3.8095238095238099E-2</v>
      </c>
      <c r="FB273" s="18">
        <f>IFERROR(CZ273/'McDonough &amp; Sun 1995 values'!S$2,)</f>
        <v>4.4155844155844157E-2</v>
      </c>
      <c r="FC273" s="18">
        <f>IFERROR(BT273/'McDonough &amp; Sun 1995 values'!T$2,)</f>
        <v>0</v>
      </c>
      <c r="FD273" s="18">
        <f>IFERROR(DA273/'McDonough &amp; Sun 1995 values'!U$2,)</f>
        <v>2.0220588235294115E-2</v>
      </c>
      <c r="FE273" s="18">
        <f>IFERROR(DN273/'McDonough &amp; Sun 1995 values'!V$2,)</f>
        <v>2.2222222222222223E-2</v>
      </c>
      <c r="FF273" s="18">
        <f>IFERROR(DB273/'McDonough &amp; Sun 1995 values'!W$2,)</f>
        <v>0</v>
      </c>
      <c r="FG273" s="18">
        <f>IFERROR(CJ273/'McDonough &amp; Sun 1995 values'!X$2,)</f>
        <v>0</v>
      </c>
      <c r="FH273" s="18">
        <f>IFERROR(DC273/'McDonough &amp; Sun 1995 values'!Y$2,)</f>
        <v>0</v>
      </c>
      <c r="FI273" s="18">
        <f>IFERROR(DD273/'McDonough &amp; Sun 1995 values'!Z$2,)</f>
        <v>0</v>
      </c>
      <c r="FJ273" s="18">
        <f>IFERROR(DE273/'McDonough &amp; Sun 1995 values'!AA$2,)</f>
        <v>0</v>
      </c>
      <c r="FK273" s="18">
        <f>IFERROR(DF273/'McDonough &amp; Sun 1995 values'!AB$2,)</f>
        <v>7.0294784580498867E-3</v>
      </c>
      <c r="FL273" s="18">
        <f>IFERROR(DG273/'McDonough &amp; Sun 1995 values'!AC$2,)</f>
        <v>3.7037037037037034E-3</v>
      </c>
      <c r="FN273" s="28">
        <f t="shared" si="614"/>
        <v>1.3793103448275863</v>
      </c>
      <c r="FO273" s="4">
        <f t="shared" si="620"/>
        <v>0.8449545454545454</v>
      </c>
      <c r="FP273" s="4">
        <f t="shared" si="621"/>
        <v>0</v>
      </c>
      <c r="FQ273" s="4">
        <f t="shared" si="622"/>
        <v>0.88276729559748424</v>
      </c>
      <c r="FR273" s="4">
        <f t="shared" si="623"/>
        <v>0</v>
      </c>
      <c r="FS273" s="4">
        <f t="shared" si="624"/>
        <v>3.0690586419753085</v>
      </c>
      <c r="FT273" s="4">
        <f t="shared" si="625"/>
        <v>2.97</v>
      </c>
      <c r="FU273" s="4">
        <f t="shared" si="626"/>
        <v>0</v>
      </c>
      <c r="FV273" s="4">
        <f t="shared" si="627"/>
        <v>1.5163398692810461</v>
      </c>
      <c r="FW273" s="4">
        <f t="shared" si="628"/>
        <v>1.1592421915002558</v>
      </c>
      <c r="FX273" s="4">
        <f t="shared" si="629"/>
        <v>1.9476048175972291</v>
      </c>
      <c r="FY273" s="4">
        <f t="shared" si="630"/>
        <v>0</v>
      </c>
      <c r="FZ273" s="4">
        <f t="shared" si="631"/>
        <v>1.9590892883387763</v>
      </c>
      <c r="GA273" s="4">
        <f t="shared" si="632"/>
        <v>0</v>
      </c>
      <c r="GB273" s="4">
        <f t="shared" si="633"/>
        <v>1.757575757575758</v>
      </c>
      <c r="GC273" s="4">
        <f t="shared" si="634"/>
        <v>0.33670033670033667</v>
      </c>
      <c r="GD273" s="4">
        <f t="shared" si="635"/>
        <v>0.95716566491359889</v>
      </c>
      <c r="GE273" s="4">
        <f t="shared" si="636"/>
        <v>0.588613406795225</v>
      </c>
      <c r="GF273" s="4">
        <f t="shared" si="637"/>
        <v>1.1654545454545455</v>
      </c>
      <c r="GG273" s="4">
        <f t="shared" si="638"/>
        <v>0</v>
      </c>
      <c r="GH273" s="4">
        <f t="shared" si="639"/>
        <v>0</v>
      </c>
      <c r="GI273" s="4">
        <f t="shared" si="640"/>
        <v>7.9239288307915769</v>
      </c>
      <c r="GJ273" s="4">
        <f t="shared" si="641"/>
        <v>0</v>
      </c>
      <c r="GK273" s="4">
        <f t="shared" si="642"/>
        <v>28.31989247311828</v>
      </c>
      <c r="GL273" s="4">
        <f t="shared" si="643"/>
        <v>0</v>
      </c>
      <c r="GM273" s="4">
        <f t="shared" si="644"/>
        <v>0.61495457721872815</v>
      </c>
      <c r="GN273" s="4">
        <f t="shared" si="645"/>
        <v>0</v>
      </c>
      <c r="GO273" s="4">
        <f t="shared" si="646"/>
        <v>0</v>
      </c>
      <c r="GP273" s="4">
        <f t="shared" si="647"/>
        <v>0.72499999999999998</v>
      </c>
      <c r="GQ273" s="27">
        <f t="shared" si="648"/>
        <v>154374.89142835021</v>
      </c>
      <c r="GR273" s="28">
        <f t="shared" si="649"/>
        <v>9.0052019999870954</v>
      </c>
      <c r="GS273" s="28">
        <f t="shared" si="650"/>
        <v>764.15571257033343</v>
      </c>
      <c r="GT273" s="28">
        <f t="shared" si="651"/>
        <v>4947.7152702786243</v>
      </c>
      <c r="GU273" s="28">
        <f t="shared" si="652"/>
        <v>62.26453954276792</v>
      </c>
      <c r="GV273" s="28">
        <f t="shared" si="653"/>
        <v>18.010403999974191</v>
      </c>
      <c r="GW273" s="28">
        <f t="shared" si="654"/>
        <v>154374.89142835021</v>
      </c>
      <c r="GX273" s="28">
        <f t="shared" si="655"/>
        <v>6.1749956571340077</v>
      </c>
      <c r="GY273" s="28">
        <f t="shared" si="656"/>
        <v>0</v>
      </c>
      <c r="GZ273" s="28">
        <f t="shared" si="657"/>
        <v>331.90601657095294</v>
      </c>
      <c r="HA273" s="28">
        <f t="shared" si="658"/>
        <v>563.46835371347822</v>
      </c>
      <c r="HB273" s="28">
        <f t="shared" si="659"/>
        <v>0</v>
      </c>
      <c r="HC273" s="28">
        <f t="shared" si="660"/>
        <v>4245.309514279631</v>
      </c>
      <c r="HD273" s="28" t="str">
        <f t="shared" si="661"/>
        <v/>
      </c>
      <c r="HE273" s="28">
        <f t="shared" si="662"/>
        <v>26.243731542819532</v>
      </c>
      <c r="HF273" s="28">
        <f t="shared" si="663"/>
        <v>23.928108171394285</v>
      </c>
      <c r="HG273" s="28">
        <f t="shared" si="664"/>
        <v>1029.1659428556682</v>
      </c>
      <c r="HH273" s="28">
        <f t="shared" si="665"/>
        <v>17.495821028546356</v>
      </c>
      <c r="HI273" s="28">
        <f t="shared" si="666"/>
        <v>0</v>
      </c>
      <c r="HJ273" s="28">
        <f t="shared" si="667"/>
        <v>28.302063428530872</v>
      </c>
      <c r="HK273" s="28">
        <f t="shared" si="668"/>
        <v>5.6604126857061745</v>
      </c>
      <c r="HL273" s="28">
        <f t="shared" si="669"/>
        <v>0</v>
      </c>
      <c r="HM273" s="28">
        <f t="shared" si="670"/>
        <v>0</v>
      </c>
      <c r="HN273" s="28">
        <f t="shared" si="671"/>
        <v>0</v>
      </c>
      <c r="HO273" s="28">
        <f t="shared" si="672"/>
        <v>0</v>
      </c>
      <c r="HP273" s="28">
        <f t="shared" si="673"/>
        <v>0</v>
      </c>
      <c r="HQ273" s="28">
        <f t="shared" si="674"/>
        <v>7.9760360571314273</v>
      </c>
      <c r="HR273" s="28">
        <f t="shared" si="675"/>
        <v>0.64322871428479256</v>
      </c>
      <c r="HT273" s="4">
        <f>IFERROR(GR273/'McDonough &amp; Sun 1995 values'!C$2,)</f>
        <v>428.81914285652834</v>
      </c>
      <c r="HU273" s="4">
        <f>IFERROR(GS273/'McDonough &amp; Sun 1995 values'!D$2,)</f>
        <v>1273.5928542838892</v>
      </c>
      <c r="HV273" s="4">
        <f>IFERROR(GT273/'McDonough &amp; Sun 1995 values'!E$2,)</f>
        <v>749.65382883009465</v>
      </c>
      <c r="HW273" s="4">
        <f>IFERROR(GU273/'McDonough &amp; Sun 1995 values'!F$2,)</f>
        <v>783.20175525494233</v>
      </c>
      <c r="HX273" s="4">
        <f>IFERROR(GV273/'McDonough &amp; Sun 1995 values'!G$2,)</f>
        <v>887.21201970316213</v>
      </c>
      <c r="HY273" s="4">
        <f>IFERROR(GW273/'McDonough &amp; Sun 1995 values'!H$2,)</f>
        <v>643.22871428479255</v>
      </c>
      <c r="HZ273" s="4">
        <f>IFERROR(GX273/'McDonough &amp; Sun 1995 values'!I$2,)</f>
        <v>166.89177451713536</v>
      </c>
      <c r="IA273" s="4">
        <f>IFERROR(GY273/'McDonough &amp; Sun 1995 values'!J$2,)</f>
        <v>0</v>
      </c>
      <c r="IB273" s="4">
        <f>IFERROR(GZ273/'McDonough &amp; Sun 1995 values'!K$2,)</f>
        <v>512.20064285640888</v>
      </c>
      <c r="IC273" s="4">
        <f>IFERROR(HA273/'McDonough &amp; Sun 1995 values'!L$2,)</f>
        <v>336.39901714237504</v>
      </c>
      <c r="ID273" s="4">
        <f>IFERROR(HB273/'McDonough &amp; Sun 1995 values'!M$2,)</f>
        <v>0</v>
      </c>
      <c r="IE273" s="4">
        <f>IFERROR(HC273/'McDonough &amp; Sun 1995 values'!N$2,)</f>
        <v>213.33213639596138</v>
      </c>
      <c r="IF273" s="4">
        <f>IFERROR(HD273/'McDonough &amp; Sun 1995 values'!O$2,)</f>
        <v>0</v>
      </c>
      <c r="IG273" s="4">
        <f>IFERROR(HE273/'McDonough &amp; Sun 1995 values'!P$2,)</f>
        <v>64.639732864087506</v>
      </c>
      <c r="IH273" s="4">
        <f>IFERROR(HF273/'McDonough &amp; Sun 1995 values'!Q$2,)</f>
        <v>84.551618980191833</v>
      </c>
      <c r="II273" s="4">
        <f>IFERROR(HG273/'McDonough &amp; Sun 1995 values'!R$2,)</f>
        <v>98.015804081492206</v>
      </c>
      <c r="IJ273" s="4">
        <f>IFERROR(HH273/'McDonough &amp; Sun 1995 values'!S$2,)</f>
        <v>113.60922745809322</v>
      </c>
      <c r="IK273" s="4">
        <f>IFERROR(HI273/'McDonough &amp; Sun 1995 values'!T$2,)</f>
        <v>0</v>
      </c>
      <c r="IL273" s="4">
        <f>IFERROR(HJ273/'McDonough &amp; Sun 1995 values'!U$2,)</f>
        <v>52.025851890681743</v>
      </c>
      <c r="IM273" s="4">
        <f>IFERROR(HK273/'McDonough &amp; Sun 1995 values'!V$2,)</f>
        <v>57.17588571420378</v>
      </c>
      <c r="IN273" s="4">
        <f>IFERROR(HL273/'McDonough &amp; Sun 1995 values'!W$2,)</f>
        <v>0</v>
      </c>
      <c r="IO273" s="4">
        <f>IFERROR(HM273/'McDonough &amp; Sun 1995 values'!X$2,)</f>
        <v>0</v>
      </c>
      <c r="IP273" s="4">
        <f>IFERROR(HN273/'McDonough &amp; Sun 1995 values'!Y$2,)</f>
        <v>0</v>
      </c>
      <c r="IQ273" s="4">
        <f>IFERROR(HO273/'McDonough &amp; Sun 1995 values'!Z$2,)</f>
        <v>0</v>
      </c>
      <c r="IR273" s="4">
        <f>IFERROR(HP273/'McDonough &amp; Sun 1995 values'!AA$2,)</f>
        <v>0</v>
      </c>
      <c r="IS273" s="4">
        <f>IFERROR(HQ273/'McDonough &amp; Sun 1995 values'!AB$2,)</f>
        <v>18.086249562656299</v>
      </c>
      <c r="IT273" s="4">
        <f>IFERROR(HR273/'McDonough &amp; Sun 1995 values'!AC$2,)</f>
        <v>9.5293142857006305</v>
      </c>
    </row>
    <row r="274" spans="1:254">
      <c r="A274" s="16" t="s">
        <v>827</v>
      </c>
      <c r="B274" s="16" t="s">
        <v>24</v>
      </c>
      <c r="C274" s="16" t="str">
        <f t="shared" si="617"/>
        <v>silicic - low-Mg carbonatitic</v>
      </c>
      <c r="D274" s="16" t="s">
        <v>1718</v>
      </c>
      <c r="E274" s="16" t="s">
        <v>237</v>
      </c>
      <c r="F274" s="16" t="s">
        <v>817</v>
      </c>
      <c r="G274" s="16" t="s">
        <v>595</v>
      </c>
      <c r="H274" s="27" t="s">
        <v>1796</v>
      </c>
      <c r="I274" s="16" t="s">
        <v>735</v>
      </c>
      <c r="J274" s="16" t="s">
        <v>596</v>
      </c>
      <c r="K274" s="16" t="s">
        <v>115</v>
      </c>
      <c r="L274" s="16">
        <v>0</v>
      </c>
      <c r="M274" s="16" t="s">
        <v>590</v>
      </c>
      <c r="N274" s="16">
        <v>33</v>
      </c>
      <c r="O274" s="26">
        <v>37.1</v>
      </c>
      <c r="P274" s="26">
        <v>2</v>
      </c>
      <c r="Q274" s="26"/>
      <c r="R274" s="26">
        <v>6.6</v>
      </c>
      <c r="S274" s="26">
        <v>8.4</v>
      </c>
      <c r="T274" s="26">
        <v>3.8</v>
      </c>
      <c r="U274" s="26"/>
      <c r="V274" s="26">
        <v>16.7</v>
      </c>
      <c r="W274" s="26">
        <v>0.6</v>
      </c>
      <c r="X274" s="26">
        <v>17.3</v>
      </c>
      <c r="Y274" s="26"/>
      <c r="Z274" s="26">
        <v>1.5</v>
      </c>
      <c r="AA274" s="26"/>
      <c r="AB274" s="26"/>
      <c r="AC274" s="26"/>
      <c r="AD274" s="26">
        <v>5.9</v>
      </c>
      <c r="AE274" s="26"/>
      <c r="AF274" s="26"/>
      <c r="AG274" s="26"/>
      <c r="AH274" s="26"/>
      <c r="AI274" s="26"/>
      <c r="AJ274" s="26">
        <f t="shared" si="618"/>
        <v>99.899999999999991</v>
      </c>
      <c r="AK274" s="26">
        <f t="shared" si="603"/>
        <v>37.638781371136346</v>
      </c>
      <c r="AL274" s="26">
        <f t="shared" si="604"/>
        <v>2.0290448178510156</v>
      </c>
      <c r="AM274" s="26">
        <f t="shared" si="605"/>
        <v>6.695847898908351</v>
      </c>
      <c r="AN274" s="26">
        <f t="shared" si="606"/>
        <v>8.5219882349742662</v>
      </c>
      <c r="AO274" s="26">
        <f t="shared" si="607"/>
        <v>3.85518515391693</v>
      </c>
      <c r="AP274" s="26">
        <f t="shared" si="608"/>
        <v>16.94252422905598</v>
      </c>
      <c r="AQ274" s="26">
        <f t="shared" si="609"/>
        <v>0</v>
      </c>
      <c r="AR274" s="26">
        <f t="shared" si="610"/>
        <v>0.60871344535530469</v>
      </c>
      <c r="AS274" s="26">
        <f t="shared" si="611"/>
        <v>17.551237674411286</v>
      </c>
      <c r="AT274" s="26">
        <f t="shared" si="612"/>
        <v>1.5217836133882616</v>
      </c>
      <c r="AU274" s="26">
        <f t="shared" si="613"/>
        <v>5.9856822126604969</v>
      </c>
      <c r="AV274" s="26">
        <f t="shared" si="619"/>
        <v>101.35078865165823</v>
      </c>
      <c r="AW274" s="26">
        <v>13</v>
      </c>
      <c r="AX274" s="26">
        <v>13</v>
      </c>
      <c r="AY274" s="26"/>
      <c r="AZ274" s="26"/>
      <c r="BA274" s="26">
        <v>0.3</v>
      </c>
      <c r="BB274" s="26">
        <v>0.71</v>
      </c>
      <c r="BC274" s="26">
        <f>(AX274/18.02)/((AX274/18.02)+(AW274/44.01))</f>
        <v>0.70949540544897616</v>
      </c>
      <c r="BD274" s="26">
        <f>(AW274/44.01)/((AX274/18.02)+(AW274/44.01))</f>
        <v>0.29050459455102368</v>
      </c>
      <c r="BE274" s="16"/>
      <c r="BF274" s="16"/>
      <c r="BG274" s="16"/>
      <c r="BH274" s="16"/>
      <c r="BI274" s="16"/>
      <c r="BJ274" s="16">
        <v>216.9</v>
      </c>
      <c r="BK274" s="18"/>
      <c r="BL274" s="18"/>
      <c r="BM274" s="18"/>
      <c r="BN274" s="18">
        <v>4</v>
      </c>
      <c r="BO274" s="18"/>
      <c r="BP274" s="18"/>
      <c r="BQ274" s="18"/>
      <c r="BR274" s="18">
        <v>21.35</v>
      </c>
      <c r="BS274" s="18"/>
      <c r="BT274" s="18"/>
      <c r="BU274" s="18">
        <v>6.6000000000000003E-2</v>
      </c>
      <c r="BV274" s="18"/>
      <c r="BW274" s="18">
        <v>11.7</v>
      </c>
      <c r="BX274" s="18"/>
      <c r="BY274" s="18"/>
      <c r="BZ274" s="18">
        <v>5.6299999999999996E-2</v>
      </c>
      <c r="CA274" s="18">
        <v>1.2199999999999999E-2</v>
      </c>
      <c r="CB274" s="18"/>
      <c r="CC274" s="18">
        <v>2.2000000000000001E-3</v>
      </c>
      <c r="CD274" s="18"/>
      <c r="CE274" s="18">
        <v>2.5999999999999999E-3</v>
      </c>
      <c r="CF274" s="18"/>
      <c r="CG274" s="18">
        <v>0.11799999999999999</v>
      </c>
      <c r="CH274" s="18">
        <v>4.3299999999999998E-2</v>
      </c>
      <c r="CI274" s="18">
        <v>1.75</v>
      </c>
      <c r="CJ274" s="18"/>
      <c r="CK274" s="18">
        <v>0.32</v>
      </c>
      <c r="CL274" s="18">
        <v>2.0000000000000001E-4</v>
      </c>
      <c r="CM274" s="18"/>
      <c r="CN274" s="18"/>
      <c r="CO274" s="18"/>
      <c r="CP274" s="18"/>
      <c r="CQ274" s="18"/>
      <c r="CR274" s="18">
        <v>1.32E-3</v>
      </c>
      <c r="CS274" s="18">
        <v>6.9</v>
      </c>
      <c r="CT274" s="18"/>
      <c r="CU274" s="18">
        <v>0.438</v>
      </c>
      <c r="CV274" s="18">
        <v>0.48199999999999998</v>
      </c>
      <c r="CW274" s="18"/>
      <c r="CX274" s="18">
        <v>0.109</v>
      </c>
      <c r="CY274" s="18">
        <v>1.9199999999999998E-2</v>
      </c>
      <c r="CZ274" s="18">
        <v>3.8999999999999998E-3</v>
      </c>
      <c r="DA274" s="18">
        <v>0.125</v>
      </c>
      <c r="DB274" s="18"/>
      <c r="DC274" s="18"/>
      <c r="DD274" s="18"/>
      <c r="DE274" s="18"/>
      <c r="DF274" s="18">
        <v>2.6000000000000003E-4</v>
      </c>
      <c r="DG274" s="18">
        <v>2.0000000000000002E-5</v>
      </c>
      <c r="DH274" s="18">
        <v>4.7300000000000007E-3</v>
      </c>
      <c r="DI274" s="18">
        <v>1.1000000000000001E-3</v>
      </c>
      <c r="DJ274" s="18"/>
      <c r="DK274" s="18"/>
      <c r="DL274" s="18">
        <v>9.7000000000000003E-2</v>
      </c>
      <c r="DM274" s="18">
        <v>1.8499999999999999E-2</v>
      </c>
      <c r="DN274" s="18">
        <v>5.9999999999999995E-4</v>
      </c>
      <c r="DO274" s="18"/>
      <c r="DP274" s="18">
        <v>8.0000000000000007E-5</v>
      </c>
      <c r="DQ274" s="18"/>
      <c r="DR274" s="18">
        <v>2.9999999999999997E-5</v>
      </c>
      <c r="DS274" s="18"/>
      <c r="DT274" s="18"/>
      <c r="DU274" s="18"/>
      <c r="DV274" s="28"/>
      <c r="DW274" s="28"/>
      <c r="DX274" s="28"/>
      <c r="DY274" s="28"/>
      <c r="DZ274" s="28"/>
      <c r="EA274" s="28"/>
      <c r="EB274" s="28"/>
      <c r="EC274" s="28"/>
      <c r="ED274" s="28"/>
      <c r="EE274" s="28"/>
      <c r="EF274" s="28"/>
      <c r="EG274" s="28"/>
      <c r="EH274" s="28"/>
      <c r="EI274" s="28"/>
      <c r="EJ274" s="18"/>
      <c r="EK274" s="18"/>
      <c r="EL274" s="18">
        <f>IFERROR(CR274/'McDonough &amp; Sun 1995 values'!C$2,)</f>
        <v>6.2857142857142848E-2</v>
      </c>
      <c r="EM274" s="18">
        <f>IFERROR(CH274/'McDonough &amp; Sun 1995 values'!D$2,)</f>
        <v>7.2166666666666671E-2</v>
      </c>
      <c r="EN274" s="18">
        <f>IFERROR(CS274/'McDonough &amp; Sun 1995 values'!E$2,)</f>
        <v>1.0454545454545456</v>
      </c>
      <c r="EO274" s="18">
        <f>IFERROR(DL274/'McDonough &amp; Sun 1995 values'!F$2,)</f>
        <v>1.220125786163522</v>
      </c>
      <c r="EP274" s="18">
        <f>IFERROR(DM274/'McDonough &amp; Sun 1995 values'!G$2,)</f>
        <v>0.91133004926108374</v>
      </c>
      <c r="EQ274" s="18">
        <f>IFERROR(BR274/'McDonough &amp; Sun 1995 values'!H$2,)</f>
        <v>8.8958333333333334E-2</v>
      </c>
      <c r="ER274" s="18">
        <f>IFERROR(DI274/'McDonough &amp; Sun 1995 values'!I$2,)</f>
        <v>2.9729729729729731E-2</v>
      </c>
      <c r="ES274" s="18">
        <f>IFERROR(CM274/'McDonough &amp; Sun 1995 values'!J$2,)</f>
        <v>0</v>
      </c>
      <c r="ET274" s="18">
        <f>IFERROR(CU274/'McDonough &amp; Sun 1995 values'!K$2,)</f>
        <v>0.67592592592592593</v>
      </c>
      <c r="EU274" s="18">
        <f>IFERROR(CV274/'McDonough &amp; Sun 1995 values'!L$2,)</f>
        <v>0.28776119402985073</v>
      </c>
      <c r="EV274" s="18">
        <f>IFERROR(CW274/'McDonough &amp; Sun 1995 values'!M$2,)</f>
        <v>0</v>
      </c>
      <c r="EW274" s="18">
        <f>IFERROR(CI274/'McDonough &amp; Sun 1995 values'!N$2,)</f>
        <v>8.7939698492462318E-2</v>
      </c>
      <c r="EX274" s="18">
        <f>IFERROR(CX274/'McDonough &amp; Sun 1995 values'!O$2,)</f>
        <v>8.72E-2</v>
      </c>
      <c r="EY274" s="18">
        <f>IFERROR(CY274/'McDonough &amp; Sun 1995 values'!P$2,)</f>
        <v>4.7290640394088659E-2</v>
      </c>
      <c r="EZ274" s="18">
        <f>IFERROR(DH274/'McDonough &amp; Sun 1995 values'!Q$2,)</f>
        <v>1.6713780918727918E-2</v>
      </c>
      <c r="FA274" s="18">
        <f>IFERROR(CK274/'McDonough &amp; Sun 1995 values'!R$2,)</f>
        <v>3.0476190476190476E-2</v>
      </c>
      <c r="FB274" s="18">
        <f>IFERROR(CZ274/'McDonough &amp; Sun 1995 values'!S$2,)</f>
        <v>2.5324675324675323E-2</v>
      </c>
      <c r="FC274" s="18">
        <f>IFERROR(BT274/'McDonough &amp; Sun 1995 values'!T$2,)</f>
        <v>0</v>
      </c>
      <c r="FD274" s="18">
        <f>IFERROR(DA274/'McDonough &amp; Sun 1995 values'!U$2,)</f>
        <v>0.22977941176470587</v>
      </c>
      <c r="FE274" s="18">
        <f>IFERROR(DN274/'McDonough &amp; Sun 1995 values'!V$2,)</f>
        <v>6.0606060606060597E-3</v>
      </c>
      <c r="FF274" s="18">
        <f>IFERROR(DB274/'McDonough &amp; Sun 1995 values'!W$2,)</f>
        <v>0</v>
      </c>
      <c r="FG274" s="18">
        <f>IFERROR(CJ274/'McDonough &amp; Sun 1995 values'!X$2,)</f>
        <v>0</v>
      </c>
      <c r="FH274" s="18">
        <f>IFERROR(DC274/'McDonough &amp; Sun 1995 values'!Y$2,)</f>
        <v>0</v>
      </c>
      <c r="FI274" s="18">
        <f>IFERROR(DD274/'McDonough &amp; Sun 1995 values'!Z$2,)</f>
        <v>0</v>
      </c>
      <c r="FJ274" s="18">
        <f>IFERROR(DE274/'McDonough &amp; Sun 1995 values'!AA$2,)</f>
        <v>0</v>
      </c>
      <c r="FK274" s="18">
        <f>IFERROR(DF274/'McDonough &amp; Sun 1995 values'!AB$2,)</f>
        <v>5.8956916099773247E-4</v>
      </c>
      <c r="FL274" s="18">
        <f>IFERROR(DG274/'McDonough &amp; Sun 1995 values'!AC$2,)</f>
        <v>2.9629629629629629E-4</v>
      </c>
      <c r="FN274" s="28">
        <f t="shared" si="614"/>
        <v>10.244459570148013</v>
      </c>
      <c r="FO274" s="4">
        <f t="shared" si="620"/>
        <v>1.1471744471744474</v>
      </c>
      <c r="FP274" s="4">
        <f t="shared" si="621"/>
        <v>0</v>
      </c>
      <c r="FQ274" s="4">
        <f t="shared" si="622"/>
        <v>1.3388407275199727</v>
      </c>
      <c r="FR274" s="4">
        <f t="shared" si="623"/>
        <v>0</v>
      </c>
      <c r="FS274" s="4">
        <f t="shared" si="624"/>
        <v>22.735690235690235</v>
      </c>
      <c r="FT274" s="4">
        <f t="shared" si="625"/>
        <v>1.1481060606060609</v>
      </c>
      <c r="FU274" s="4">
        <f t="shared" si="626"/>
        <v>0</v>
      </c>
      <c r="FV274" s="4">
        <f t="shared" si="627"/>
        <v>0.6444444444444446</v>
      </c>
      <c r="FW274" s="4">
        <f t="shared" si="628"/>
        <v>1.8234168931843349</v>
      </c>
      <c r="FX274" s="4">
        <f t="shared" si="629"/>
        <v>0.18280341110385492</v>
      </c>
      <c r="FY274" s="4">
        <f t="shared" si="630"/>
        <v>0</v>
      </c>
      <c r="FZ274" s="4">
        <f t="shared" si="631"/>
        <v>0.24294095366109339</v>
      </c>
      <c r="GA274" s="4">
        <f t="shared" si="632"/>
        <v>0</v>
      </c>
      <c r="GB274" s="4">
        <f t="shared" si="633"/>
        <v>0.53551136363636376</v>
      </c>
      <c r="GC274" s="4">
        <f t="shared" si="634"/>
        <v>0.87099967007588242</v>
      </c>
      <c r="GD274" s="4">
        <f t="shared" si="635"/>
        <v>0.85684161199625131</v>
      </c>
      <c r="GE274" s="4">
        <f t="shared" si="636"/>
        <v>14.486668066344743</v>
      </c>
      <c r="GF274" s="4">
        <f t="shared" si="637"/>
        <v>11.752182243985525</v>
      </c>
      <c r="GG274" s="4">
        <f t="shared" si="638"/>
        <v>0</v>
      </c>
      <c r="GH274" s="4">
        <f t="shared" si="639"/>
        <v>0</v>
      </c>
      <c r="GI274" s="4">
        <f t="shared" si="640"/>
        <v>14.293016975308646</v>
      </c>
      <c r="GJ274" s="4">
        <f t="shared" si="641"/>
        <v>0</v>
      </c>
      <c r="GK274" s="4">
        <f t="shared" si="642"/>
        <v>1146.4743589743589</v>
      </c>
      <c r="GL274" s="4">
        <f t="shared" si="643"/>
        <v>0</v>
      </c>
      <c r="GM274" s="4">
        <f t="shared" si="644"/>
        <v>16.907054773628477</v>
      </c>
      <c r="GN274" s="4">
        <f t="shared" si="645"/>
        <v>0</v>
      </c>
      <c r="GO274" s="4">
        <f t="shared" si="646"/>
        <v>0</v>
      </c>
      <c r="GP274" s="4">
        <f t="shared" si="647"/>
        <v>9.7613738738738742E-2</v>
      </c>
      <c r="GQ274" s="27">
        <f t="shared" si="648"/>
        <v>145699.37137363889</v>
      </c>
      <c r="GR274" s="28">
        <f t="shared" si="649"/>
        <v>9.0081110170118652</v>
      </c>
      <c r="GS274" s="28">
        <f t="shared" si="650"/>
        <v>295.49333866410137</v>
      </c>
      <c r="GT274" s="28">
        <f t="shared" si="651"/>
        <v>47087.853043471114</v>
      </c>
      <c r="GU274" s="28">
        <f t="shared" si="652"/>
        <v>661.95967321981129</v>
      </c>
      <c r="GV274" s="28">
        <f t="shared" si="653"/>
        <v>126.25004076872689</v>
      </c>
      <c r="GW274" s="28">
        <f t="shared" si="654"/>
        <v>145699.37137363889</v>
      </c>
      <c r="GX274" s="28">
        <f t="shared" si="655"/>
        <v>7.5067591808432219</v>
      </c>
      <c r="GY274" s="28">
        <f t="shared" si="656"/>
        <v>0</v>
      </c>
      <c r="GZ274" s="28">
        <f t="shared" si="657"/>
        <v>2989.0550192812098</v>
      </c>
      <c r="HA274" s="28">
        <f t="shared" si="658"/>
        <v>3289.3253865149386</v>
      </c>
      <c r="HB274" s="28">
        <f t="shared" si="659"/>
        <v>0</v>
      </c>
      <c r="HC274" s="28">
        <f t="shared" si="660"/>
        <v>11942.571424068761</v>
      </c>
      <c r="HD274" s="28">
        <f t="shared" si="661"/>
        <v>743.85159155628276</v>
      </c>
      <c r="HE274" s="28">
        <f t="shared" si="662"/>
        <v>131.02706933835438</v>
      </c>
      <c r="HF274" s="28">
        <f t="shared" si="663"/>
        <v>32.279064477625852</v>
      </c>
      <c r="HG274" s="28">
        <f t="shared" si="664"/>
        <v>2183.7844889725734</v>
      </c>
      <c r="HH274" s="28">
        <f t="shared" si="665"/>
        <v>26.614873459353237</v>
      </c>
      <c r="HI274" s="28">
        <f t="shared" si="666"/>
        <v>0</v>
      </c>
      <c r="HJ274" s="28">
        <f t="shared" si="667"/>
        <v>853.04081600491145</v>
      </c>
      <c r="HK274" s="28">
        <f t="shared" si="668"/>
        <v>4.0945959168235744</v>
      </c>
      <c r="HL274" s="28">
        <f t="shared" si="669"/>
        <v>0</v>
      </c>
      <c r="HM274" s="28">
        <f t="shared" si="670"/>
        <v>0</v>
      </c>
      <c r="HN274" s="28">
        <f t="shared" si="671"/>
        <v>0</v>
      </c>
      <c r="HO274" s="28">
        <f t="shared" si="672"/>
        <v>0</v>
      </c>
      <c r="HP274" s="28">
        <f t="shared" si="673"/>
        <v>0</v>
      </c>
      <c r="HQ274" s="28">
        <f t="shared" si="674"/>
        <v>1.7743248972902161</v>
      </c>
      <c r="HR274" s="28">
        <f t="shared" si="675"/>
        <v>0.13648653056078586</v>
      </c>
      <c r="HT274" s="4">
        <f>IFERROR(GR274/'McDonough &amp; Sun 1995 values'!C$2,)</f>
        <v>428.95766747675543</v>
      </c>
      <c r="HU274" s="4">
        <f>IFERROR(GS274/'McDonough &amp; Sun 1995 values'!D$2,)</f>
        <v>492.48889777350229</v>
      </c>
      <c r="HV274" s="4">
        <f>IFERROR(GT274/'McDonough &amp; Sun 1995 values'!E$2,)</f>
        <v>7134.5231884047143</v>
      </c>
      <c r="HW274" s="4">
        <f>IFERROR(GU274/'McDonough &amp; Sun 1995 values'!F$2,)</f>
        <v>8326.5367700605184</v>
      </c>
      <c r="HX274" s="4">
        <f>IFERROR(GV274/'McDonough &amp; Sun 1995 values'!G$2,)</f>
        <v>6219.2138309717684</v>
      </c>
      <c r="HY274" s="4">
        <f>IFERROR(GW274/'McDonough &amp; Sun 1995 values'!H$2,)</f>
        <v>607.0807140568287</v>
      </c>
      <c r="HZ274" s="4">
        <f>IFERROR(GX274/'McDonough &amp; Sun 1995 values'!I$2,)</f>
        <v>202.88538326603305</v>
      </c>
      <c r="IA274" s="4">
        <f>IFERROR(GY274/'McDonough &amp; Sun 1995 values'!J$2,)</f>
        <v>0</v>
      </c>
      <c r="IB274" s="4">
        <f>IFERROR(GZ274/'McDonough &amp; Sun 1995 values'!K$2,)</f>
        <v>4612.7392272858169</v>
      </c>
      <c r="IC274" s="4">
        <f>IFERROR(HA274/'McDonough &amp; Sun 1995 values'!L$2,)</f>
        <v>1963.7763501581721</v>
      </c>
      <c r="ID274" s="4">
        <f>IFERROR(HB274/'McDonough &amp; Sun 1995 values'!M$2,)</f>
        <v>0</v>
      </c>
      <c r="IE274" s="4">
        <f>IFERROR(HC274/'McDonough &amp; Sun 1995 values'!N$2,)</f>
        <v>600.12921728988749</v>
      </c>
      <c r="IF274" s="4">
        <f>IFERROR(HD274/'McDonough &amp; Sun 1995 values'!O$2,)</f>
        <v>595.08127324502618</v>
      </c>
      <c r="IG274" s="4">
        <f>IFERROR(HE274/'McDonough &amp; Sun 1995 values'!P$2,)</f>
        <v>322.72677176934576</v>
      </c>
      <c r="IH274" s="4">
        <f>IFERROR(HF274/'McDonough &amp; Sun 1995 values'!Q$2,)</f>
        <v>114.06029850751186</v>
      </c>
      <c r="II274" s="4">
        <f>IFERROR(HG274/'McDonough &amp; Sun 1995 values'!R$2,)</f>
        <v>207.97947514024509</v>
      </c>
      <c r="IJ274" s="4">
        <f>IFERROR(HH274/'McDonough &amp; Sun 1995 values'!S$2,)</f>
        <v>172.82385363216389</v>
      </c>
      <c r="IK274" s="4">
        <f>IFERROR(HI274/'McDonough &amp; Sun 1995 values'!T$2,)</f>
        <v>0</v>
      </c>
      <c r="IL274" s="4">
        <f>IFERROR(HJ274/'McDonough &amp; Sun 1995 values'!U$2,)</f>
        <v>1568.089735303146</v>
      </c>
      <c r="IM274" s="4">
        <f>IFERROR(HK274/'McDonough &amp; Sun 1995 values'!V$2,)</f>
        <v>41.359554715389635</v>
      </c>
      <c r="IN274" s="4">
        <f>IFERROR(HL274/'McDonough &amp; Sun 1995 values'!W$2,)</f>
        <v>0</v>
      </c>
      <c r="IO274" s="4">
        <f>IFERROR(HM274/'McDonough &amp; Sun 1995 values'!X$2,)</f>
        <v>0</v>
      </c>
      <c r="IP274" s="4">
        <f>IFERROR(HN274/'McDonough &amp; Sun 1995 values'!Y$2,)</f>
        <v>0</v>
      </c>
      <c r="IQ274" s="4">
        <f>IFERROR(HO274/'McDonough &amp; Sun 1995 values'!Z$2,)</f>
        <v>0</v>
      </c>
      <c r="IR274" s="4">
        <f>IFERROR(HP274/'McDonough &amp; Sun 1995 values'!AA$2,)</f>
        <v>0</v>
      </c>
      <c r="IS274" s="4">
        <f>IFERROR(HQ274/'McDonough &amp; Sun 1995 values'!AB$2,)</f>
        <v>4.0234124655106944</v>
      </c>
      <c r="IT274" s="4">
        <f>IFERROR(HR274/'McDonough &amp; Sun 1995 values'!AC$2,)</f>
        <v>2.0220226749746053</v>
      </c>
    </row>
    <row r="275" spans="1:254">
      <c r="A275" s="16" t="s">
        <v>641</v>
      </c>
      <c r="B275" s="16" t="s">
        <v>24</v>
      </c>
      <c r="C275" s="16" t="str">
        <f t="shared" si="617"/>
        <v>silicic - low-Mg carbonatitic</v>
      </c>
      <c r="D275" s="16" t="s">
        <v>1707</v>
      </c>
      <c r="E275" s="16" t="s">
        <v>237</v>
      </c>
      <c r="F275" s="16" t="s">
        <v>639</v>
      </c>
      <c r="G275" s="16" t="s">
        <v>640</v>
      </c>
      <c r="H275" s="27">
        <v>0</v>
      </c>
      <c r="I275" s="16" t="s">
        <v>712</v>
      </c>
      <c r="J275" s="16" t="s">
        <v>635</v>
      </c>
      <c r="K275" s="16" t="s">
        <v>642</v>
      </c>
      <c r="L275" s="16">
        <v>0</v>
      </c>
      <c r="M275" s="16" t="s">
        <v>623</v>
      </c>
      <c r="N275" s="16" t="s">
        <v>1084</v>
      </c>
      <c r="O275" s="26">
        <v>23.1</v>
      </c>
      <c r="P275" s="26">
        <v>1.6</v>
      </c>
      <c r="Q275" s="26"/>
      <c r="R275" s="26">
        <v>3.88</v>
      </c>
      <c r="S275" s="26">
        <v>13.8</v>
      </c>
      <c r="T275" s="26">
        <v>14.7</v>
      </c>
      <c r="U275" s="26"/>
      <c r="V275" s="26">
        <v>37.4</v>
      </c>
      <c r="W275" s="26">
        <v>0.71</v>
      </c>
      <c r="X275" s="26">
        <v>2.79</v>
      </c>
      <c r="Y275" s="26"/>
      <c r="Z275" s="26">
        <v>2.0699999999999998</v>
      </c>
      <c r="AA275" s="26"/>
      <c r="AB275" s="26"/>
      <c r="AC275" s="26"/>
      <c r="AD275" s="26"/>
      <c r="AE275" s="26"/>
      <c r="AF275" s="26"/>
      <c r="AG275" s="26"/>
      <c r="AH275" s="26"/>
      <c r="AI275" s="26"/>
      <c r="AJ275" s="26">
        <f t="shared" si="618"/>
        <v>100.04999999999998</v>
      </c>
      <c r="AK275" s="26">
        <f t="shared" si="603"/>
        <v>23.088455772113946</v>
      </c>
      <c r="AL275" s="26">
        <f t="shared" si="604"/>
        <v>1.5992003998001003</v>
      </c>
      <c r="AM275" s="26">
        <f t="shared" si="605"/>
        <v>3.8780609695152428</v>
      </c>
      <c r="AN275" s="26">
        <f t="shared" si="606"/>
        <v>13.793103448275865</v>
      </c>
      <c r="AO275" s="26">
        <f t="shared" si="607"/>
        <v>14.69265367316342</v>
      </c>
      <c r="AP275" s="26">
        <f t="shared" si="608"/>
        <v>37.381309345327338</v>
      </c>
      <c r="AQ275" s="26">
        <f t="shared" si="609"/>
        <v>0</v>
      </c>
      <c r="AR275" s="26">
        <f t="shared" si="610"/>
        <v>0.7096451774112944</v>
      </c>
      <c r="AS275" s="26">
        <f t="shared" si="611"/>
        <v>2.7886056971514246</v>
      </c>
      <c r="AT275" s="26">
        <f t="shared" si="612"/>
        <v>2.0689655172413794</v>
      </c>
      <c r="AU275" s="26">
        <f t="shared" si="613"/>
        <v>0</v>
      </c>
      <c r="AV275" s="26">
        <f t="shared" si="619"/>
        <v>100</v>
      </c>
      <c r="AW275" s="16"/>
      <c r="AX275" s="16"/>
      <c r="AY275" s="16"/>
      <c r="AZ275" s="16"/>
      <c r="BA275" s="26"/>
      <c r="BB275" s="26">
        <v>0.08</v>
      </c>
      <c r="BC275" s="26">
        <f t="shared" ref="BC275:BC287" si="676">1-BD275</f>
        <v>7.999999999999996E-2</v>
      </c>
      <c r="BD275" s="26">
        <f t="shared" ref="BD275:BD287" si="677">1-BB275</f>
        <v>0.92</v>
      </c>
      <c r="BE275" s="25"/>
      <c r="BF275" s="16"/>
      <c r="BG275" s="16"/>
      <c r="BH275" s="16"/>
      <c r="BI275" s="16"/>
      <c r="BJ275" s="16"/>
      <c r="BK275" s="18"/>
      <c r="BL275" s="18"/>
      <c r="BM275" s="18"/>
      <c r="BN275" s="18">
        <v>77.599999999999994</v>
      </c>
      <c r="BO275" s="18">
        <v>54.32</v>
      </c>
      <c r="BP275" s="18">
        <v>11.96</v>
      </c>
      <c r="BQ275" s="18">
        <v>14.2</v>
      </c>
      <c r="BR275" s="18">
        <v>111.76</v>
      </c>
      <c r="BS275" s="18">
        <v>172.93</v>
      </c>
      <c r="BT275" s="18">
        <v>14.01</v>
      </c>
      <c r="BU275" s="18">
        <v>2.09</v>
      </c>
      <c r="BV275" s="18">
        <v>2.79</v>
      </c>
      <c r="BW275" s="18">
        <v>64.069999999999993</v>
      </c>
      <c r="BX275" s="18">
        <v>5.1999999999999998E-2</v>
      </c>
      <c r="BY275" s="18">
        <v>0.24399999999999999</v>
      </c>
      <c r="BZ275" s="18">
        <v>0.81</v>
      </c>
      <c r="CA275" s="18">
        <v>3.5000000000000003E-2</v>
      </c>
      <c r="CB275" s="18">
        <v>0.03</v>
      </c>
      <c r="CC275" s="18"/>
      <c r="CD275" s="18"/>
      <c r="CE275" s="18">
        <v>0</v>
      </c>
      <c r="CF275" s="18"/>
      <c r="CG275" s="18"/>
      <c r="CH275" s="18">
        <v>0.312</v>
      </c>
      <c r="CI275" s="18">
        <v>2.93</v>
      </c>
      <c r="CJ275" s="18">
        <v>3.6999999999999998E-2</v>
      </c>
      <c r="CK275" s="18">
        <v>0.23799999999999999</v>
      </c>
      <c r="CL275" s="18"/>
      <c r="CM275" s="18">
        <v>0.90800000000000003</v>
      </c>
      <c r="CN275" s="18"/>
      <c r="CO275" s="18"/>
      <c r="CP275" s="18"/>
      <c r="CQ275" s="18"/>
      <c r="CR275" s="18">
        <v>6.0000000000000001E-3</v>
      </c>
      <c r="CS275" s="18">
        <v>13.71</v>
      </c>
      <c r="CT275" s="18">
        <v>0.127</v>
      </c>
      <c r="CU275" s="18">
        <v>0.67900000000000005</v>
      </c>
      <c r="CV275" s="18">
        <v>0.83899999999999997</v>
      </c>
      <c r="CW275" s="18">
        <v>9.0999999999999998E-2</v>
      </c>
      <c r="CX275" s="18">
        <v>0.28399999999999997</v>
      </c>
      <c r="CY275" s="18">
        <v>2.1000000000000001E-2</v>
      </c>
      <c r="CZ275" s="18">
        <v>8.0000000000000002E-3</v>
      </c>
      <c r="DA275" s="18">
        <v>2.1999999999999999E-2</v>
      </c>
      <c r="DB275" s="18">
        <v>1.0999999999999999E-2</v>
      </c>
      <c r="DC275" s="18">
        <v>4.0000000000000001E-3</v>
      </c>
      <c r="DD275" s="18">
        <v>1.4999999999999999E-2</v>
      </c>
      <c r="DE275" s="18"/>
      <c r="DF275" s="18">
        <v>1.7999999999999999E-2</v>
      </c>
      <c r="DG275" s="18">
        <v>3.0000000000000001E-3</v>
      </c>
      <c r="DH275" s="18">
        <v>0.01</v>
      </c>
      <c r="DI275" s="18">
        <v>3.7999999999999999E-2</v>
      </c>
      <c r="DJ275" s="18">
        <v>0.05</v>
      </c>
      <c r="DK275" s="18">
        <v>0.06</v>
      </c>
      <c r="DL275" s="18">
        <v>0.125</v>
      </c>
      <c r="DM275" s="18">
        <v>1.7000000000000001E-2</v>
      </c>
      <c r="DN275" s="18"/>
      <c r="DO275" s="18"/>
      <c r="DP275" s="18"/>
      <c r="DQ275" s="18"/>
      <c r="DR275" s="18"/>
      <c r="DS275" s="18"/>
      <c r="DT275" s="18"/>
      <c r="DU275" s="18"/>
      <c r="DV275" s="28"/>
      <c r="DW275" s="28"/>
      <c r="DX275" s="28"/>
      <c r="DY275" s="28"/>
      <c r="DZ275" s="28"/>
      <c r="EA275" s="28"/>
      <c r="EB275" s="28"/>
      <c r="EC275" s="28"/>
      <c r="ED275" s="28"/>
      <c r="EE275" s="28"/>
      <c r="EF275" s="28"/>
      <c r="EG275" s="28"/>
      <c r="EH275" s="28"/>
      <c r="EI275" s="28"/>
      <c r="EJ275" s="18"/>
      <c r="EK275" s="18"/>
      <c r="EL275" s="18">
        <f>IFERROR(CR275/'McDonough &amp; Sun 1995 values'!C$2,)</f>
        <v>0.2857142857142857</v>
      </c>
      <c r="EM275" s="18">
        <f>IFERROR(CH275/'McDonough &amp; Sun 1995 values'!D$2,)</f>
        <v>0.52</v>
      </c>
      <c r="EN275" s="18">
        <f>IFERROR(CS275/'McDonough &amp; Sun 1995 values'!E$2,)</f>
        <v>2.0772727272727276</v>
      </c>
      <c r="EO275" s="18">
        <f>IFERROR(DL275/'McDonough &amp; Sun 1995 values'!F$2,)</f>
        <v>1.5723270440251571</v>
      </c>
      <c r="EP275" s="18">
        <f>IFERROR(DM275/'McDonough &amp; Sun 1995 values'!G$2,)</f>
        <v>0.83743842364532028</v>
      </c>
      <c r="EQ275" s="18">
        <f>IFERROR(BR275/'McDonough &amp; Sun 1995 values'!H$2,)</f>
        <v>0.46566666666666667</v>
      </c>
      <c r="ER275" s="18">
        <f>IFERROR(DI275/'McDonough &amp; Sun 1995 values'!I$2,)</f>
        <v>1.027027027027027</v>
      </c>
      <c r="ES275" s="18">
        <f>IFERROR(CM275/'McDonough &amp; Sun 1995 values'!J$2,)</f>
        <v>1.3799392097264438</v>
      </c>
      <c r="ET275" s="18">
        <f>IFERROR(CU275/'McDonough &amp; Sun 1995 values'!K$2,)</f>
        <v>1.0478395061728396</v>
      </c>
      <c r="EU275" s="18">
        <f>IFERROR(CV275/'McDonough &amp; Sun 1995 values'!L$2,)</f>
        <v>0.50089552238805968</v>
      </c>
      <c r="EV275" s="18">
        <f>IFERROR(CW275/'McDonough &amp; Sun 1995 values'!M$2,)</f>
        <v>0.35826771653543305</v>
      </c>
      <c r="EW275" s="18">
        <f>IFERROR(CI275/'McDonough &amp; Sun 1995 values'!N$2,)</f>
        <v>0.14723618090452262</v>
      </c>
      <c r="EX275" s="18">
        <f>IFERROR(CX275/'McDonough &amp; Sun 1995 values'!O$2,)</f>
        <v>0.22719999999999999</v>
      </c>
      <c r="EY275" s="18">
        <f>IFERROR(CY275/'McDonough &amp; Sun 1995 values'!P$2,)</f>
        <v>5.1724137931034482E-2</v>
      </c>
      <c r="EZ275" s="18">
        <f>IFERROR(DH275/'McDonough &amp; Sun 1995 values'!Q$2,)</f>
        <v>3.5335689045936397E-2</v>
      </c>
      <c r="FA275" s="18">
        <f>IFERROR(CK275/'McDonough &amp; Sun 1995 values'!R$2,)</f>
        <v>2.2666666666666665E-2</v>
      </c>
      <c r="FB275" s="18">
        <f>IFERROR(CZ275/'McDonough &amp; Sun 1995 values'!S$2,)</f>
        <v>5.1948051948051951E-2</v>
      </c>
      <c r="FC275" s="18">
        <f>IFERROR(BT275/'McDonough &amp; Sun 1995 values'!T$2,)</f>
        <v>1.162655601659751E-2</v>
      </c>
      <c r="FD275" s="18">
        <f>IFERROR(DA275/'McDonough &amp; Sun 1995 values'!U$2,)</f>
        <v>4.044117647058823E-2</v>
      </c>
      <c r="FE275" s="18">
        <f>IFERROR(DN275/'McDonough &amp; Sun 1995 values'!V$2,)</f>
        <v>0</v>
      </c>
      <c r="FF275" s="18">
        <f>IFERROR(DB275/'McDonough &amp; Sun 1995 values'!W$2,)</f>
        <v>1.6320474777448069E-2</v>
      </c>
      <c r="FG275" s="18">
        <f>IFERROR(CJ275/'McDonough &amp; Sun 1995 values'!X$2,)</f>
        <v>8.6046511627906972E-3</v>
      </c>
      <c r="FH275" s="18">
        <f>IFERROR(DC275/'McDonough &amp; Sun 1995 values'!Y$2,)</f>
        <v>2.684563758389262E-2</v>
      </c>
      <c r="FI275" s="18">
        <f>IFERROR(DD275/'McDonough &amp; Sun 1995 values'!Z$2,)</f>
        <v>3.4246575342465752E-2</v>
      </c>
      <c r="FJ275" s="18">
        <f>IFERROR(DE275/'McDonough &amp; Sun 1995 values'!AA$2,)</f>
        <v>0</v>
      </c>
      <c r="FK275" s="18">
        <f>IFERROR(DF275/'McDonough &amp; Sun 1995 values'!AB$2,)</f>
        <v>4.0816326530612242E-2</v>
      </c>
      <c r="FL275" s="18">
        <f>IFERROR(DG275/'McDonough &amp; Sun 1995 values'!AC$2,)</f>
        <v>4.4444444444444439E-2</v>
      </c>
      <c r="FN275" s="28">
        <f t="shared" si="614"/>
        <v>1.7983645461245246</v>
      </c>
      <c r="FO275" s="4">
        <f t="shared" si="620"/>
        <v>2.4805080213903743</v>
      </c>
      <c r="FP275" s="4">
        <f t="shared" si="621"/>
        <v>1.1394176156041336</v>
      </c>
      <c r="FQ275" s="4">
        <f t="shared" si="622"/>
        <v>1.8775434702182756</v>
      </c>
      <c r="FR275" s="4">
        <f t="shared" si="623"/>
        <v>0.75933743949529564</v>
      </c>
      <c r="FS275" s="4">
        <f t="shared" si="624"/>
        <v>1.0202647823261859</v>
      </c>
      <c r="FT275" s="4">
        <f t="shared" si="625"/>
        <v>1.82</v>
      </c>
      <c r="FU275" s="4">
        <f t="shared" si="626"/>
        <v>0.74425526848434331</v>
      </c>
      <c r="FV275" s="4">
        <f t="shared" si="627"/>
        <v>0.43822222222222218</v>
      </c>
      <c r="FW275" s="4">
        <f t="shared" si="628"/>
        <v>0.64146666666666663</v>
      </c>
      <c r="FX275" s="4">
        <f t="shared" si="629"/>
        <v>1.1272798728094466</v>
      </c>
      <c r="FY275" s="4">
        <f t="shared" si="630"/>
        <v>0.51606753907633751</v>
      </c>
      <c r="FZ275" s="4">
        <f t="shared" si="631"/>
        <v>1.1358232256357905</v>
      </c>
      <c r="GA275" s="4">
        <f t="shared" si="632"/>
        <v>0.41096692252471151</v>
      </c>
      <c r="GB275" s="4">
        <f t="shared" si="633"/>
        <v>1.0043290043290045</v>
      </c>
      <c r="GC275" s="4">
        <f t="shared" si="634"/>
        <v>0.54945054945054939</v>
      </c>
      <c r="GD275" s="4">
        <f t="shared" si="635"/>
        <v>1.3211454545454548</v>
      </c>
      <c r="GE275" s="4">
        <f t="shared" si="636"/>
        <v>3.9947552447552455</v>
      </c>
      <c r="GF275" s="4">
        <f t="shared" si="637"/>
        <v>4.4608576820459431</v>
      </c>
      <c r="GG275" s="4">
        <f t="shared" si="638"/>
        <v>1.5053364036844215</v>
      </c>
      <c r="GH275" s="4">
        <f t="shared" si="639"/>
        <v>2.9247388414055084</v>
      </c>
      <c r="GI275" s="4">
        <f t="shared" si="640"/>
        <v>20.258230452674898</v>
      </c>
      <c r="GJ275" s="4">
        <f t="shared" si="641"/>
        <v>64.203984287317638</v>
      </c>
      <c r="GK275" s="4">
        <f t="shared" si="642"/>
        <v>25.672067901234573</v>
      </c>
      <c r="GL275" s="4">
        <f t="shared" si="643"/>
        <v>1.9495598382108017</v>
      </c>
      <c r="GM275" s="4">
        <f t="shared" si="644"/>
        <v>3.0237058538945329</v>
      </c>
      <c r="GN275" s="4">
        <f t="shared" si="645"/>
        <v>1.3169375668670626</v>
      </c>
      <c r="GO275" s="4">
        <f t="shared" si="646"/>
        <v>1.6478097622027532</v>
      </c>
      <c r="GP275" s="4">
        <f t="shared" si="647"/>
        <v>0.55606078431372541</v>
      </c>
      <c r="GQ275" s="27">
        <f t="shared" si="648"/>
        <v>23149.256173327893</v>
      </c>
      <c r="GR275" s="28">
        <f t="shared" si="649"/>
        <v>1.2428018704363579</v>
      </c>
      <c r="GS275" s="28">
        <f t="shared" si="650"/>
        <v>64.625697262690608</v>
      </c>
      <c r="GT275" s="28">
        <f t="shared" si="651"/>
        <v>2839.802273947078</v>
      </c>
      <c r="GU275" s="28">
        <f t="shared" si="652"/>
        <v>25.891705634090787</v>
      </c>
      <c r="GV275" s="28">
        <f t="shared" si="653"/>
        <v>3.5212719662363474</v>
      </c>
      <c r="GW275" s="28">
        <f t="shared" si="654"/>
        <v>23149.256173327893</v>
      </c>
      <c r="GX275" s="28">
        <f t="shared" si="655"/>
        <v>7.8710785127635994</v>
      </c>
      <c r="GY275" s="28">
        <f t="shared" si="656"/>
        <v>188.07734972603546</v>
      </c>
      <c r="GZ275" s="28">
        <f t="shared" si="657"/>
        <v>140.64374500438117</v>
      </c>
      <c r="HA275" s="28">
        <f t="shared" si="658"/>
        <v>173.78512821601737</v>
      </c>
      <c r="HB275" s="28">
        <f t="shared" si="659"/>
        <v>18.849161701618094</v>
      </c>
      <c r="HC275" s="28">
        <f t="shared" si="660"/>
        <v>606.90158006308809</v>
      </c>
      <c r="HD275" s="28">
        <f t="shared" si="661"/>
        <v>58.825955200654263</v>
      </c>
      <c r="HE275" s="28">
        <f t="shared" si="662"/>
        <v>4.3498065465272528</v>
      </c>
      <c r="HF275" s="28">
        <f t="shared" si="663"/>
        <v>2.0713364507272631</v>
      </c>
      <c r="HG275" s="28">
        <f t="shared" si="664"/>
        <v>49.297807527308862</v>
      </c>
      <c r="HH275" s="28">
        <f t="shared" si="665"/>
        <v>1.6570691605818102</v>
      </c>
      <c r="HI275" s="28">
        <f t="shared" si="666"/>
        <v>2901.9423674688956</v>
      </c>
      <c r="HJ275" s="28">
        <f t="shared" si="667"/>
        <v>4.5569401915999785</v>
      </c>
      <c r="HK275" s="28">
        <f t="shared" si="668"/>
        <v>0</v>
      </c>
      <c r="HL275" s="28">
        <f t="shared" si="669"/>
        <v>2.2784700957999893</v>
      </c>
      <c r="HM275" s="28">
        <f t="shared" si="670"/>
        <v>7.6639448676908728</v>
      </c>
      <c r="HN275" s="28">
        <f t="shared" si="671"/>
        <v>0.8285345802909051</v>
      </c>
      <c r="HO275" s="28">
        <f t="shared" si="672"/>
        <v>3.1070046760908943</v>
      </c>
      <c r="HP275" s="28">
        <f t="shared" si="673"/>
        <v>0</v>
      </c>
      <c r="HQ275" s="28">
        <f t="shared" si="674"/>
        <v>3.7284056113090736</v>
      </c>
      <c r="HR275" s="28">
        <f t="shared" si="675"/>
        <v>0.62140093521817896</v>
      </c>
      <c r="HT275" s="4">
        <f>IFERROR(GR275/'McDonough &amp; Sun 1995 values'!C$2,)</f>
        <v>59.181041449350374</v>
      </c>
      <c r="HU275" s="4">
        <f>IFERROR(GS275/'McDonough &amp; Sun 1995 values'!D$2,)</f>
        <v>107.70949543781768</v>
      </c>
      <c r="HV275" s="4">
        <f>IFERROR(GT275/'McDonough &amp; Sun 1995 values'!E$2,)</f>
        <v>430.27307181016334</v>
      </c>
      <c r="HW275" s="4">
        <f>IFERROR(GU275/'McDonough &amp; Sun 1995 values'!F$2,)</f>
        <v>325.68183187535578</v>
      </c>
      <c r="HX275" s="4">
        <f>IFERROR(GV275/'McDonough &amp; Sun 1995 values'!G$2,)</f>
        <v>173.46167321361318</v>
      </c>
      <c r="HY275" s="4">
        <f>IFERROR(GW275/'McDonough &amp; Sun 1995 values'!H$2,)</f>
        <v>96.455234055532884</v>
      </c>
      <c r="HZ275" s="4">
        <f>IFERROR(GX275/'McDonough &amp; Sun 1995 values'!I$2,)</f>
        <v>212.7318516963135</v>
      </c>
      <c r="IA275" s="4">
        <f>IFERROR(GY275/'McDonough &amp; Sun 1995 values'!J$2,)</f>
        <v>285.83183848941559</v>
      </c>
      <c r="IB275" s="4">
        <f>IFERROR(GZ275/'McDonough &amp; Sun 1995 values'!K$2,)</f>
        <v>217.04281636478575</v>
      </c>
      <c r="IC275" s="4">
        <f>IFERROR(HA275/'McDonough &amp; Sun 1995 values'!L$2,)</f>
        <v>103.75231535284618</v>
      </c>
      <c r="ID275" s="4">
        <f>IFERROR(HB275/'McDonough &amp; Sun 1995 values'!M$2,)</f>
        <v>74.209298037866517</v>
      </c>
      <c r="IE275" s="4">
        <f>IFERROR(HC275/'McDonough &amp; Sun 1995 values'!N$2,)</f>
        <v>30.497566837341111</v>
      </c>
      <c r="IF275" s="4">
        <f>IFERROR(HD275/'McDonough &amp; Sun 1995 values'!O$2,)</f>
        <v>47.060764160523412</v>
      </c>
      <c r="IG275" s="4">
        <f>IFERROR(HE275/'McDonough &amp; Sun 1995 values'!P$2,)</f>
        <v>10.713809227899636</v>
      </c>
      <c r="IH275" s="4">
        <f>IFERROR(HF275/'McDonough &amp; Sun 1995 values'!Q$2,)</f>
        <v>7.3192100732412131</v>
      </c>
      <c r="II275" s="4">
        <f>IFERROR(HG275/'McDonough &amp; Sun 1995 values'!R$2,)</f>
        <v>4.6950292883151299</v>
      </c>
      <c r="IJ275" s="4">
        <f>IFERROR(HH275/'McDonough &amp; Sun 1995 values'!S$2,)</f>
        <v>10.760189354427339</v>
      </c>
      <c r="IK275" s="4">
        <f>IFERROR(HI275/'McDonough &amp; Sun 1995 values'!T$2,)</f>
        <v>2.4082509273600792</v>
      </c>
      <c r="IL275" s="4">
        <f>IFERROR(HJ275/'McDonough &amp; Sun 1995 values'!U$2,)</f>
        <v>8.3767282933823122</v>
      </c>
      <c r="IM275" s="4">
        <f>IFERROR(HK275/'McDonough &amp; Sun 1995 values'!V$2,)</f>
        <v>0</v>
      </c>
      <c r="IN275" s="4">
        <f>IFERROR(HL275/'McDonough &amp; Sun 1995 values'!W$2,)</f>
        <v>3.3805194299703101</v>
      </c>
      <c r="IO275" s="4">
        <f>IFERROR(HM275/'McDonough &amp; Sun 1995 values'!X$2,)</f>
        <v>1.7823127599281101</v>
      </c>
      <c r="IP275" s="4">
        <f>IFERROR(HN275/'McDonough &amp; Sun 1995 values'!Y$2,)</f>
        <v>5.5606347670530543</v>
      </c>
      <c r="IQ275" s="4">
        <f>IFERROR(HO275/'McDonough &amp; Sun 1995 values'!Z$2,)</f>
        <v>7.093617981942681</v>
      </c>
      <c r="IR275" s="4">
        <f>IFERROR(HP275/'McDonough &amp; Sun 1995 values'!AA$2,)</f>
        <v>0</v>
      </c>
      <c r="IS275" s="4">
        <f>IFERROR(HQ275/'McDonough &amp; Sun 1995 values'!AB$2,)</f>
        <v>8.4544344927643387</v>
      </c>
      <c r="IT275" s="4">
        <f>IFERROR(HR275/'McDonough &amp; Sun 1995 values'!AC$2,)</f>
        <v>9.2059397810100574</v>
      </c>
    </row>
    <row r="276" spans="1:254">
      <c r="A276" s="16" t="s">
        <v>641</v>
      </c>
      <c r="B276" s="16" t="s">
        <v>24</v>
      </c>
      <c r="C276" s="16" t="str">
        <f t="shared" si="617"/>
        <v>silicic - low-Mg carbonatitic</v>
      </c>
      <c r="D276" s="16" t="s">
        <v>1707</v>
      </c>
      <c r="E276" s="16" t="s">
        <v>237</v>
      </c>
      <c r="F276" s="16" t="s">
        <v>639</v>
      </c>
      <c r="G276" s="16" t="s">
        <v>640</v>
      </c>
      <c r="H276" s="27">
        <v>0</v>
      </c>
      <c r="I276" s="16" t="s">
        <v>712</v>
      </c>
      <c r="J276" s="16" t="s">
        <v>635</v>
      </c>
      <c r="K276" s="16" t="s">
        <v>642</v>
      </c>
      <c r="L276" s="16">
        <v>0</v>
      </c>
      <c r="M276" s="16" t="s">
        <v>624</v>
      </c>
      <c r="N276" s="16" t="s">
        <v>1084</v>
      </c>
      <c r="O276" s="26">
        <v>27.5</v>
      </c>
      <c r="P276" s="26">
        <v>1.74</v>
      </c>
      <c r="Q276" s="26"/>
      <c r="R276" s="26">
        <v>4.5199999999999996</v>
      </c>
      <c r="S276" s="26">
        <v>5.01</v>
      </c>
      <c r="T276" s="26">
        <v>14.6</v>
      </c>
      <c r="U276" s="26"/>
      <c r="V276" s="26">
        <v>33.9</v>
      </c>
      <c r="W276" s="26">
        <v>3.77</v>
      </c>
      <c r="X276" s="26">
        <v>2.7</v>
      </c>
      <c r="Y276" s="26"/>
      <c r="Z276" s="26">
        <v>5.17</v>
      </c>
      <c r="AA276" s="26"/>
      <c r="AB276" s="26"/>
      <c r="AC276" s="26"/>
      <c r="AD276" s="26">
        <v>1.1299999999999999</v>
      </c>
      <c r="AE276" s="26"/>
      <c r="AF276" s="26"/>
      <c r="AG276" s="26"/>
      <c r="AH276" s="26"/>
      <c r="AI276" s="26"/>
      <c r="AJ276" s="26">
        <f t="shared" si="618"/>
        <v>100.03999999999999</v>
      </c>
      <c r="AK276" s="26">
        <f t="shared" si="603"/>
        <v>27.559254340361704</v>
      </c>
      <c r="AL276" s="26">
        <f t="shared" si="604"/>
        <v>1.7437491837174315</v>
      </c>
      <c r="AM276" s="26">
        <f t="shared" si="605"/>
        <v>4.5297392588521781</v>
      </c>
      <c r="AN276" s="26">
        <f t="shared" si="606"/>
        <v>5.0207950634622591</v>
      </c>
      <c r="AO276" s="26">
        <f t="shared" si="607"/>
        <v>14.631458667973849</v>
      </c>
      <c r="AP276" s="26">
        <f t="shared" si="608"/>
        <v>33.973044441391338</v>
      </c>
      <c r="AQ276" s="26">
        <f t="shared" si="609"/>
        <v>0</v>
      </c>
      <c r="AR276" s="26">
        <f t="shared" si="610"/>
        <v>3.778123231387768</v>
      </c>
      <c r="AS276" s="26">
        <f t="shared" si="611"/>
        <v>2.7058176988718765</v>
      </c>
      <c r="AT276" s="26">
        <f t="shared" si="612"/>
        <v>5.1811398159879998</v>
      </c>
      <c r="AU276" s="26">
        <f t="shared" si="613"/>
        <v>1.1324348147130445</v>
      </c>
      <c r="AV276" s="26">
        <f t="shared" si="619"/>
        <v>100.25555651671947</v>
      </c>
      <c r="AW276" s="16"/>
      <c r="AX276" s="16"/>
      <c r="AY276" s="16"/>
      <c r="AZ276" s="16"/>
      <c r="BA276" s="26"/>
      <c r="BB276" s="26">
        <v>0.11</v>
      </c>
      <c r="BC276" s="26">
        <f t="shared" si="676"/>
        <v>0.10999999999999999</v>
      </c>
      <c r="BD276" s="26">
        <f t="shared" si="677"/>
        <v>0.89</v>
      </c>
      <c r="BE276" s="25">
        <v>-7.05555555555555</v>
      </c>
      <c r="BF276" s="16"/>
      <c r="BG276" s="16" t="s">
        <v>634</v>
      </c>
      <c r="BH276" s="16"/>
      <c r="BI276" s="16" t="s">
        <v>633</v>
      </c>
      <c r="BJ276" s="16"/>
      <c r="BK276" s="18"/>
      <c r="BL276" s="18"/>
      <c r="BM276" s="18"/>
      <c r="BN276" s="18">
        <v>19.48</v>
      </c>
      <c r="BO276" s="18">
        <v>26.17</v>
      </c>
      <c r="BP276" s="18">
        <v>2.2330000000000001</v>
      </c>
      <c r="BQ276" s="18">
        <v>7.85</v>
      </c>
      <c r="BR276" s="18">
        <v>15.9</v>
      </c>
      <c r="BS276" s="18">
        <v>46.86</v>
      </c>
      <c r="BT276" s="18">
        <v>3.43</v>
      </c>
      <c r="BU276" s="18">
        <v>1.97</v>
      </c>
      <c r="BV276" s="18">
        <v>0.35199999999999998</v>
      </c>
      <c r="BW276" s="18">
        <v>5.0599999999999996</v>
      </c>
      <c r="BX276" s="18">
        <v>8.1000000000000003E-2</v>
      </c>
      <c r="BY276" s="18">
        <v>0.214</v>
      </c>
      <c r="BZ276" s="18">
        <v>0.46</v>
      </c>
      <c r="CA276" s="18">
        <v>8.9999999999999993E-3</v>
      </c>
      <c r="CB276" s="18">
        <v>2.1999999999999999E-2</v>
      </c>
      <c r="CC276" s="18"/>
      <c r="CD276" s="18"/>
      <c r="CE276" s="18">
        <v>0</v>
      </c>
      <c r="CF276" s="18"/>
      <c r="CG276" s="18"/>
      <c r="CH276" s="18">
        <v>1.2999999999999999E-2</v>
      </c>
      <c r="CI276" s="18">
        <v>1.1379999999999999</v>
      </c>
      <c r="CJ276" s="18">
        <v>5.0000000000000001E-3</v>
      </c>
      <c r="CK276" s="18">
        <v>7.4999999999999997E-2</v>
      </c>
      <c r="CL276" s="18"/>
      <c r="CM276" s="18">
        <v>0.39800000000000002</v>
      </c>
      <c r="CN276" s="18"/>
      <c r="CO276" s="18"/>
      <c r="CP276" s="18"/>
      <c r="CQ276" s="18"/>
      <c r="CR276" s="18">
        <v>4.0000000000000001E-3</v>
      </c>
      <c r="CS276" s="18">
        <v>3.26</v>
      </c>
      <c r="CT276" s="18">
        <v>6.6000000000000003E-2</v>
      </c>
      <c r="CU276" s="18">
        <v>0.36099999999999999</v>
      </c>
      <c r="CV276" s="18">
        <v>0.378</v>
      </c>
      <c r="CW276" s="18">
        <v>3.5000000000000003E-2</v>
      </c>
      <c r="CX276" s="18">
        <v>0.128</v>
      </c>
      <c r="CY276" s="18">
        <v>2.5000000000000001E-2</v>
      </c>
      <c r="CZ276" s="18">
        <v>7.0000000000000001E-3</v>
      </c>
      <c r="DA276" s="18">
        <v>1.7000000000000001E-2</v>
      </c>
      <c r="DB276" s="18">
        <v>1.2E-2</v>
      </c>
      <c r="DC276" s="18">
        <v>4.0000000000000001E-3</v>
      </c>
      <c r="DD276" s="18">
        <v>1.6E-2</v>
      </c>
      <c r="DE276" s="18"/>
      <c r="DF276" s="18">
        <v>2.1999999999999999E-2</v>
      </c>
      <c r="DG276" s="18">
        <v>4.0000000000000001E-3</v>
      </c>
      <c r="DH276" s="18">
        <v>1.4E-2</v>
      </c>
      <c r="DI276" s="18">
        <v>1.4999999999999999E-2</v>
      </c>
      <c r="DJ276" s="18">
        <v>0.05</v>
      </c>
      <c r="DK276" s="18">
        <v>3.3000000000000002E-2</v>
      </c>
      <c r="DL276" s="18">
        <v>7.0000000000000007E-2</v>
      </c>
      <c r="DM276" s="18">
        <v>8.0000000000000002E-3</v>
      </c>
      <c r="DN276" s="18"/>
      <c r="DO276" s="18"/>
      <c r="DP276" s="18"/>
      <c r="DQ276" s="18"/>
      <c r="DR276" s="18"/>
      <c r="DS276" s="18"/>
      <c r="DT276" s="18"/>
      <c r="DU276" s="18"/>
      <c r="DV276" s="28"/>
      <c r="DW276" s="28"/>
      <c r="DX276" s="28"/>
      <c r="DY276" s="28"/>
      <c r="DZ276" s="28"/>
      <c r="EA276" s="28"/>
      <c r="EB276" s="28"/>
      <c r="EC276" s="28"/>
      <c r="ED276" s="28"/>
      <c r="EE276" s="28"/>
      <c r="EF276" s="28"/>
      <c r="EG276" s="28"/>
      <c r="EH276" s="28"/>
      <c r="EI276" s="28"/>
      <c r="EJ276" s="18"/>
      <c r="EK276" s="18"/>
      <c r="EL276" s="18">
        <f>IFERROR(CR276/'McDonough &amp; Sun 1995 values'!C$2,)</f>
        <v>0.19047619047619047</v>
      </c>
      <c r="EM276" s="18">
        <f>IFERROR(CH276/'McDonough &amp; Sun 1995 values'!D$2,)</f>
        <v>2.1666666666666667E-2</v>
      </c>
      <c r="EN276" s="18">
        <f>IFERROR(CS276/'McDonough &amp; Sun 1995 values'!E$2,)</f>
        <v>0.49393939393939396</v>
      </c>
      <c r="EO276" s="18">
        <f>IFERROR(DL276/'McDonough &amp; Sun 1995 values'!F$2,)</f>
        <v>0.88050314465408808</v>
      </c>
      <c r="EP276" s="18">
        <f>IFERROR(DM276/'McDonough &amp; Sun 1995 values'!G$2,)</f>
        <v>0.39408866995073893</v>
      </c>
      <c r="EQ276" s="18">
        <f>IFERROR(BR276/'McDonough &amp; Sun 1995 values'!H$2,)</f>
        <v>6.6250000000000003E-2</v>
      </c>
      <c r="ER276" s="18">
        <f>IFERROR(DI276/'McDonough &amp; Sun 1995 values'!I$2,)</f>
        <v>0.40540540540540543</v>
      </c>
      <c r="ES276" s="18">
        <f>IFERROR(CM276/'McDonough &amp; Sun 1995 values'!J$2,)</f>
        <v>0.60486322188449848</v>
      </c>
      <c r="ET276" s="18">
        <f>IFERROR(CU276/'McDonough &amp; Sun 1995 values'!K$2,)</f>
        <v>0.55709876543209869</v>
      </c>
      <c r="EU276" s="18">
        <f>IFERROR(CV276/'McDonough &amp; Sun 1995 values'!L$2,)</f>
        <v>0.22567164179104476</v>
      </c>
      <c r="EV276" s="18">
        <f>IFERROR(CW276/'McDonough &amp; Sun 1995 values'!M$2,)</f>
        <v>0.13779527559055119</v>
      </c>
      <c r="EW276" s="18">
        <f>IFERROR(CI276/'McDonough &amp; Sun 1995 values'!N$2,)</f>
        <v>5.7185929648241207E-2</v>
      </c>
      <c r="EX276" s="18">
        <f>IFERROR(CX276/'McDonough &amp; Sun 1995 values'!O$2,)</f>
        <v>0.1024</v>
      </c>
      <c r="EY276" s="18">
        <f>IFERROR(CY276/'McDonough &amp; Sun 1995 values'!P$2,)</f>
        <v>6.1576354679802957E-2</v>
      </c>
      <c r="EZ276" s="18">
        <f>IFERROR(DH276/'McDonough &amp; Sun 1995 values'!Q$2,)</f>
        <v>4.9469964664310959E-2</v>
      </c>
      <c r="FA276" s="18">
        <f>IFERROR(CK276/'McDonough &amp; Sun 1995 values'!R$2,)</f>
        <v>7.1428571428571426E-3</v>
      </c>
      <c r="FB276" s="18">
        <f>IFERROR(CZ276/'McDonough &amp; Sun 1995 values'!S$2,)</f>
        <v>4.5454545454545456E-2</v>
      </c>
      <c r="FC276" s="18">
        <f>IFERROR(BT276/'McDonough &amp; Sun 1995 values'!T$2,)</f>
        <v>2.8464730290456435E-3</v>
      </c>
      <c r="FD276" s="18">
        <f>IFERROR(DA276/'McDonough &amp; Sun 1995 values'!U$2,)</f>
        <v>3.125E-2</v>
      </c>
      <c r="FE276" s="18">
        <f>IFERROR(DN276/'McDonough &amp; Sun 1995 values'!V$2,)</f>
        <v>0</v>
      </c>
      <c r="FF276" s="18">
        <f>IFERROR(DB276/'McDonough &amp; Sun 1995 values'!W$2,)</f>
        <v>1.7804154302670624E-2</v>
      </c>
      <c r="FG276" s="18">
        <f>IFERROR(CJ276/'McDonough &amp; Sun 1995 values'!X$2,)</f>
        <v>1.1627906976744186E-3</v>
      </c>
      <c r="FH276" s="18">
        <f>IFERROR(DC276/'McDonough &amp; Sun 1995 values'!Y$2,)</f>
        <v>2.684563758389262E-2</v>
      </c>
      <c r="FI276" s="18">
        <f>IFERROR(DD276/'McDonough &amp; Sun 1995 values'!Z$2,)</f>
        <v>3.6529680365296802E-2</v>
      </c>
      <c r="FJ276" s="18">
        <f>IFERROR(DE276/'McDonough &amp; Sun 1995 values'!AA$2,)</f>
        <v>0</v>
      </c>
      <c r="FK276" s="18">
        <f>IFERROR(DF276/'McDonough &amp; Sun 1995 values'!AB$2,)</f>
        <v>4.9886621315192739E-2</v>
      </c>
      <c r="FL276" s="18">
        <f>IFERROR(DG276/'McDonough &amp; Sun 1995 values'!AC$2,)</f>
        <v>5.9259259259259255E-2</v>
      </c>
      <c r="FN276" s="28">
        <f t="shared" si="614"/>
        <v>5.9485082256715307</v>
      </c>
      <c r="FO276" s="4">
        <f t="shared" si="620"/>
        <v>1.2533712121212122</v>
      </c>
      <c r="FP276" s="4">
        <f t="shared" si="621"/>
        <v>1.4557062039758542</v>
      </c>
      <c r="FQ276" s="4">
        <f t="shared" si="622"/>
        <v>2.2342767295597485</v>
      </c>
      <c r="FR276" s="4">
        <f t="shared" si="623"/>
        <v>0.92103263229728882</v>
      </c>
      <c r="FS276" s="4">
        <f t="shared" si="624"/>
        <v>1.37417695473251</v>
      </c>
      <c r="FT276" s="4">
        <f t="shared" si="625"/>
        <v>0.11375</v>
      </c>
      <c r="FU276" s="4">
        <f t="shared" si="626"/>
        <v>0.67024310742903714</v>
      </c>
      <c r="FV276" s="4">
        <f t="shared" si="627"/>
        <v>0.11599999999999999</v>
      </c>
      <c r="FW276" s="4">
        <f t="shared" si="628"/>
        <v>0.1443877551020408</v>
      </c>
      <c r="FX276" s="4">
        <f t="shared" si="629"/>
        <v>0.97934569576360619</v>
      </c>
      <c r="FY276" s="4">
        <f t="shared" si="630"/>
        <v>0.48141768867465057</v>
      </c>
      <c r="FZ276" s="4">
        <f t="shared" si="631"/>
        <v>1.0362041344563642</v>
      </c>
      <c r="GA276" s="4">
        <f t="shared" si="632"/>
        <v>0.41500646087580761</v>
      </c>
      <c r="GB276" s="4">
        <f t="shared" si="633"/>
        <v>0.73818181818181816</v>
      </c>
      <c r="GC276" s="4">
        <f t="shared" si="634"/>
        <v>8.7912087912087902</v>
      </c>
      <c r="GD276" s="4">
        <f t="shared" si="635"/>
        <v>0.56097402597402601</v>
      </c>
      <c r="GE276" s="4">
        <f t="shared" si="636"/>
        <v>22.797202797202797</v>
      </c>
      <c r="GF276" s="4">
        <f t="shared" si="637"/>
        <v>7.4556889651229277</v>
      </c>
      <c r="GG276" s="4">
        <f t="shared" si="638"/>
        <v>0.81661336987970157</v>
      </c>
      <c r="GH276" s="4">
        <f t="shared" si="639"/>
        <v>4.0429453262786588</v>
      </c>
      <c r="GI276" s="4">
        <f t="shared" si="640"/>
        <v>9.0472839506172829</v>
      </c>
      <c r="GJ276" s="4">
        <f t="shared" si="641"/>
        <v>31.290380658436209</v>
      </c>
      <c r="GK276" s="4">
        <f t="shared" si="642"/>
        <v>11.167297979797979</v>
      </c>
      <c r="GL276" s="4">
        <f t="shared" si="643"/>
        <v>2.5093710953769257</v>
      </c>
      <c r="GM276" s="4">
        <f t="shared" si="644"/>
        <v>40.638606676342526</v>
      </c>
      <c r="GN276" s="4">
        <f t="shared" si="645"/>
        <v>1.0857378608896262</v>
      </c>
      <c r="GO276" s="4">
        <f t="shared" si="646"/>
        <v>1.5348404255319148</v>
      </c>
      <c r="GP276" s="4">
        <f t="shared" si="647"/>
        <v>0.16810937500000001</v>
      </c>
      <c r="GQ276" s="27">
        <f t="shared" si="648"/>
        <v>22462.002115786527</v>
      </c>
      <c r="GR276" s="28">
        <f t="shared" si="649"/>
        <v>5.6508181423362327</v>
      </c>
      <c r="GS276" s="28">
        <f t="shared" si="650"/>
        <v>18.365158962592755</v>
      </c>
      <c r="GT276" s="28">
        <f t="shared" si="651"/>
        <v>4605.4167860040297</v>
      </c>
      <c r="GU276" s="28">
        <f t="shared" si="652"/>
        <v>98.889317490884082</v>
      </c>
      <c r="GV276" s="28">
        <f t="shared" si="653"/>
        <v>11.301636284672465</v>
      </c>
      <c r="GW276" s="28">
        <f t="shared" si="654"/>
        <v>22462.002115786527</v>
      </c>
      <c r="GX276" s="28">
        <f t="shared" si="655"/>
        <v>21.190568033760872</v>
      </c>
      <c r="GY276" s="28">
        <f t="shared" si="656"/>
        <v>562.25640516245517</v>
      </c>
      <c r="GZ276" s="28">
        <f t="shared" si="657"/>
        <v>509.98633734584502</v>
      </c>
      <c r="HA276" s="28">
        <f t="shared" si="658"/>
        <v>534.00231445077407</v>
      </c>
      <c r="HB276" s="28">
        <f t="shared" si="659"/>
        <v>49.444658745442041</v>
      </c>
      <c r="HC276" s="28">
        <f t="shared" si="660"/>
        <v>1607.6577614946582</v>
      </c>
      <c r="HD276" s="28">
        <f t="shared" si="661"/>
        <v>180.82618055475945</v>
      </c>
      <c r="HE276" s="28">
        <f t="shared" si="662"/>
        <v>35.317613389601462</v>
      </c>
      <c r="HF276" s="28">
        <f t="shared" si="663"/>
        <v>19.777863498176814</v>
      </c>
      <c r="HG276" s="28">
        <f t="shared" si="664"/>
        <v>105.95284016880437</v>
      </c>
      <c r="HH276" s="28">
        <f t="shared" si="665"/>
        <v>9.8889317490884068</v>
      </c>
      <c r="HI276" s="28">
        <f t="shared" si="666"/>
        <v>4845.5765570533204</v>
      </c>
      <c r="HJ276" s="28">
        <f t="shared" si="667"/>
        <v>24.015977104928993</v>
      </c>
      <c r="HK276" s="28">
        <f t="shared" si="668"/>
        <v>0</v>
      </c>
      <c r="HL276" s="28">
        <f t="shared" si="669"/>
        <v>16.9524544270087</v>
      </c>
      <c r="HM276" s="28">
        <f t="shared" si="670"/>
        <v>7.0635226779202913</v>
      </c>
      <c r="HN276" s="28">
        <f t="shared" si="671"/>
        <v>5.6508181423362327</v>
      </c>
      <c r="HO276" s="28">
        <f t="shared" si="672"/>
        <v>22.603272569344931</v>
      </c>
      <c r="HP276" s="28">
        <f t="shared" si="673"/>
        <v>0</v>
      </c>
      <c r="HQ276" s="28">
        <f t="shared" si="674"/>
        <v>31.079499782849279</v>
      </c>
      <c r="HR276" s="28">
        <f t="shared" si="675"/>
        <v>5.6508181423362327</v>
      </c>
      <c r="HT276" s="4">
        <f>IFERROR(GR276/'McDonough &amp; Sun 1995 values'!C$2,)</f>
        <v>269.08657820648727</v>
      </c>
      <c r="HU276" s="4">
        <f>IFERROR(GS276/'McDonough &amp; Sun 1995 values'!D$2,)</f>
        <v>30.608598270987926</v>
      </c>
      <c r="HV276" s="4">
        <f>IFERROR(GT276/'McDonough &amp; Sun 1995 values'!E$2,)</f>
        <v>697.79042212182276</v>
      </c>
      <c r="HW276" s="4">
        <f>IFERROR(GU276/'McDonough &amp; Sun 1995 values'!F$2,)</f>
        <v>1243.8907860488564</v>
      </c>
      <c r="HX276" s="4">
        <f>IFERROR(GV276/'McDonough &amp; Sun 1995 values'!G$2,)</f>
        <v>556.73085146169785</v>
      </c>
      <c r="HY276" s="4">
        <f>IFERROR(GW276/'McDonough &amp; Sun 1995 values'!H$2,)</f>
        <v>93.591675482443861</v>
      </c>
      <c r="HZ276" s="4">
        <f>IFERROR(GX276/'McDonough &amp; Sun 1995 values'!I$2,)</f>
        <v>572.71805496651007</v>
      </c>
      <c r="IA276" s="4">
        <f>IFERROR(GY276/'McDonough &amp; Sun 1995 values'!J$2,)</f>
        <v>854.49301696421753</v>
      </c>
      <c r="IB276" s="4">
        <f>IFERROR(GZ276/'McDonough &amp; Sun 1995 values'!K$2,)</f>
        <v>787.01595269420523</v>
      </c>
      <c r="IC276" s="4">
        <f>IFERROR(HA276/'McDonough &amp; Sun 1995 values'!L$2,)</f>
        <v>318.80735191090986</v>
      </c>
      <c r="ID276" s="4">
        <f>IFERROR(HB276/'McDonough &amp; Sun 1995 values'!M$2,)</f>
        <v>194.66401080882693</v>
      </c>
      <c r="IE276" s="4">
        <f>IFERROR(HC276/'McDonough &amp; Sun 1995 values'!N$2,)</f>
        <v>80.786822185661222</v>
      </c>
      <c r="IF276" s="4">
        <f>IFERROR(HD276/'McDonough &amp; Sun 1995 values'!O$2,)</f>
        <v>144.66094444380755</v>
      </c>
      <c r="IG276" s="4">
        <f>IFERROR(HE276/'McDonough &amp; Sun 1995 values'!P$2,)</f>
        <v>86.989195540890293</v>
      </c>
      <c r="IH276" s="4">
        <f>IFERROR(HF276/'McDonough &amp; Sun 1995 values'!Q$2,)</f>
        <v>69.886443456455183</v>
      </c>
      <c r="II276" s="4">
        <f>IFERROR(HG276/'McDonough &amp; Sun 1995 values'!R$2,)</f>
        <v>10.090746682743273</v>
      </c>
      <c r="IJ276" s="4">
        <f>IFERROR(HH276/'McDonough &amp; Sun 1995 values'!S$2,)</f>
        <v>64.213842526548092</v>
      </c>
      <c r="IK276" s="4">
        <f>IFERROR(HI276/'McDonough &amp; Sun 1995 values'!T$2,)</f>
        <v>4.0212253585504731</v>
      </c>
      <c r="IL276" s="4">
        <f>IFERROR(HJ276/'McDonough &amp; Sun 1995 values'!U$2,)</f>
        <v>44.14701673700182</v>
      </c>
      <c r="IM276" s="4">
        <f>IFERROR(HK276/'McDonough &amp; Sun 1995 values'!V$2,)</f>
        <v>0</v>
      </c>
      <c r="IN276" s="4">
        <f>IFERROR(HL276/'McDonough &amp; Sun 1995 values'!W$2,)</f>
        <v>25.152009535621215</v>
      </c>
      <c r="IO276" s="4">
        <f>IFERROR(HM276/'McDonough &amp; Sun 1995 values'!X$2,)</f>
        <v>1.6426796925396028</v>
      </c>
      <c r="IP276" s="4">
        <f>IFERROR(HN276/'McDonough &amp; Sun 1995 values'!Y$2,)</f>
        <v>37.924953975410958</v>
      </c>
      <c r="IQ276" s="4">
        <f>IFERROR(HO276/'McDonough &amp; Sun 1995 values'!Z$2,)</f>
        <v>51.605645135490711</v>
      </c>
      <c r="IR276" s="4">
        <f>IFERROR(HP276/'McDonough &amp; Sun 1995 values'!AA$2,)</f>
        <v>0</v>
      </c>
      <c r="IS276" s="4">
        <f>IFERROR(HQ276/'McDonough &amp; Sun 1995 values'!AB$2,)</f>
        <v>70.475056196937146</v>
      </c>
      <c r="IT276" s="4">
        <f>IFERROR(HR276/'McDonough &amp; Sun 1995 values'!AC$2,)</f>
        <v>83.715824330907139</v>
      </c>
    </row>
    <row r="277" spans="1:254">
      <c r="A277" s="16" t="s">
        <v>672</v>
      </c>
      <c r="B277" s="16" t="s">
        <v>24</v>
      </c>
      <c r="C277" s="16" t="str">
        <f t="shared" si="617"/>
        <v>silicic - low-Mg carbonatitic</v>
      </c>
      <c r="D277" s="16" t="s">
        <v>1723</v>
      </c>
      <c r="E277" s="16" t="s">
        <v>237</v>
      </c>
      <c r="F277" s="16" t="s">
        <v>29</v>
      </c>
      <c r="G277" s="16" t="s">
        <v>595</v>
      </c>
      <c r="H277" s="27">
        <v>360</v>
      </c>
      <c r="I277" s="16" t="s">
        <v>735</v>
      </c>
      <c r="J277" s="16" t="s">
        <v>1496</v>
      </c>
      <c r="K277" s="16">
        <v>0</v>
      </c>
      <c r="L277" s="16">
        <v>0</v>
      </c>
      <c r="M277" s="16" t="s">
        <v>73</v>
      </c>
      <c r="N277" s="16">
        <v>24</v>
      </c>
      <c r="O277" s="26">
        <v>21.86</v>
      </c>
      <c r="P277" s="26">
        <v>5.42</v>
      </c>
      <c r="Q277" s="26">
        <v>0.36</v>
      </c>
      <c r="R277" s="26">
        <v>6.92</v>
      </c>
      <c r="S277" s="26">
        <v>29.69</v>
      </c>
      <c r="T277" s="26">
        <v>7.58</v>
      </c>
      <c r="U277" s="26">
        <v>0.31</v>
      </c>
      <c r="V277" s="26">
        <v>6.86</v>
      </c>
      <c r="W277" s="26">
        <v>3.61</v>
      </c>
      <c r="X277" s="26">
        <v>12.55</v>
      </c>
      <c r="Y277" s="26"/>
      <c r="Z277" s="26">
        <v>1.78</v>
      </c>
      <c r="AA277" s="26"/>
      <c r="AB277" s="26"/>
      <c r="AC277" s="26"/>
      <c r="AD277" s="26">
        <v>1.74</v>
      </c>
      <c r="AE277" s="26"/>
      <c r="AF277" s="26">
        <v>1.32</v>
      </c>
      <c r="AG277" s="26"/>
      <c r="AH277" s="26"/>
      <c r="AI277" s="26"/>
      <c r="AJ277" s="26">
        <f t="shared" si="618"/>
        <v>98.009999999999991</v>
      </c>
      <c r="AK277" s="26">
        <f t="shared" si="603"/>
        <v>22.393563768833978</v>
      </c>
      <c r="AL277" s="26">
        <f t="shared" si="604"/>
        <v>5.5522925721445633</v>
      </c>
      <c r="AM277" s="26">
        <f t="shared" si="605"/>
        <v>7.0889049076089252</v>
      </c>
      <c r="AN277" s="26">
        <f t="shared" si="606"/>
        <v>30.414680159957953</v>
      </c>
      <c r="AO277" s="26">
        <f t="shared" si="607"/>
        <v>7.7650143352132455</v>
      </c>
      <c r="AP277" s="26">
        <f t="shared" si="608"/>
        <v>7.0274404141903517</v>
      </c>
      <c r="AQ277" s="26">
        <f t="shared" si="609"/>
        <v>0</v>
      </c>
      <c r="AR277" s="26">
        <f t="shared" si="610"/>
        <v>3.6981136873508991</v>
      </c>
      <c r="AS277" s="26">
        <f t="shared" si="611"/>
        <v>12.8563232067185</v>
      </c>
      <c r="AT277" s="26">
        <f t="shared" si="612"/>
        <v>1.823446638084377</v>
      </c>
      <c r="AU277" s="26">
        <f t="shared" si="613"/>
        <v>1.7824703091386607</v>
      </c>
      <c r="AV277" s="26">
        <f t="shared" si="619"/>
        <v>100.40224999924146</v>
      </c>
      <c r="AW277" s="16"/>
      <c r="AX277" s="16"/>
      <c r="AY277" s="16"/>
      <c r="AZ277" s="16"/>
      <c r="BA277" s="26"/>
      <c r="BB277" s="26">
        <v>0.08</v>
      </c>
      <c r="BC277" s="26">
        <f t="shared" si="676"/>
        <v>7.999999999999996E-2</v>
      </c>
      <c r="BD277" s="26">
        <f t="shared" si="677"/>
        <v>0.92</v>
      </c>
      <c r="BE277" s="16"/>
      <c r="BF277" s="16"/>
      <c r="BG277" s="16">
        <v>564</v>
      </c>
      <c r="BH277" s="16">
        <v>17</v>
      </c>
      <c r="BI277" s="16"/>
      <c r="BJ277" s="16"/>
      <c r="BK277" s="18"/>
      <c r="BL277" s="18"/>
      <c r="BM277" s="18"/>
      <c r="BN277" s="18">
        <v>293</v>
      </c>
      <c r="BO277" s="18">
        <v>606</v>
      </c>
      <c r="BP277" s="18">
        <v>142</v>
      </c>
      <c r="BQ277" s="18"/>
      <c r="BR277" s="18">
        <v>1381</v>
      </c>
      <c r="BS277" s="18">
        <v>708</v>
      </c>
      <c r="BT277" s="18">
        <v>185.99</v>
      </c>
      <c r="BU277" s="18"/>
      <c r="BV277" s="18">
        <v>8.98</v>
      </c>
      <c r="BW277" s="18">
        <v>736</v>
      </c>
      <c r="BX277" s="18">
        <v>0.95199999999999996</v>
      </c>
      <c r="BY277" s="18">
        <v>4.0199999999999996</v>
      </c>
      <c r="BZ277" s="18"/>
      <c r="CA277" s="18">
        <v>0.45900000000000002</v>
      </c>
      <c r="CB277" s="18">
        <v>0.30299999999999999</v>
      </c>
      <c r="CC277" s="18"/>
      <c r="CD277" s="18"/>
      <c r="CE277" s="18"/>
      <c r="CF277" s="18"/>
      <c r="CG277" s="18"/>
      <c r="CH277" s="18">
        <v>4.66</v>
      </c>
      <c r="CI277" s="18">
        <v>26.43</v>
      </c>
      <c r="CJ277" s="18">
        <v>0.217</v>
      </c>
      <c r="CK277" s="18">
        <v>2.8889999999999998</v>
      </c>
      <c r="CL277" s="18"/>
      <c r="CM277" s="18">
        <v>9.7690000000000001</v>
      </c>
      <c r="CN277" s="18"/>
      <c r="CO277" s="18"/>
      <c r="CP277" s="18"/>
      <c r="CQ277" s="18"/>
      <c r="CR277" s="18">
        <v>7.5999999999999998E-2</v>
      </c>
      <c r="CS277" s="18">
        <v>63.46</v>
      </c>
      <c r="CT277" s="18">
        <v>1.02</v>
      </c>
      <c r="CU277" s="18">
        <v>3.82</v>
      </c>
      <c r="CV277" s="18">
        <v>5.27</v>
      </c>
      <c r="CW277" s="18">
        <v>0.57899999999999996</v>
      </c>
      <c r="CX277" s="18">
        <v>1.83</v>
      </c>
      <c r="CY277" s="18">
        <v>0.19600000000000001</v>
      </c>
      <c r="CZ277" s="18">
        <v>6.9000000000000006E-2</v>
      </c>
      <c r="DA277" s="18">
        <v>0.13</v>
      </c>
      <c r="DB277" s="18">
        <v>9.9000000000000005E-2</v>
      </c>
      <c r="DC277" s="18">
        <v>3.5999999999999997E-2</v>
      </c>
      <c r="DD277" s="18">
        <v>2.5000000000000001E-2</v>
      </c>
      <c r="DE277" s="18"/>
      <c r="DF277" s="18">
        <v>0.05</v>
      </c>
      <c r="DG277" s="18">
        <v>0.02</v>
      </c>
      <c r="DH277" s="18">
        <v>0.125</v>
      </c>
      <c r="DI277" s="18">
        <v>0.38500000000000001</v>
      </c>
      <c r="DJ277" s="18"/>
      <c r="DK277" s="18">
        <v>0.83499999999999996</v>
      </c>
      <c r="DL277" s="18">
        <v>0.59</v>
      </c>
      <c r="DM277" s="18">
        <v>0.14399999999999999</v>
      </c>
      <c r="DN277" s="18"/>
      <c r="DO277" s="18"/>
      <c r="DP277" s="18"/>
      <c r="DQ277" s="18"/>
      <c r="DR277" s="18"/>
      <c r="DS277" s="18"/>
      <c r="DT277" s="18"/>
      <c r="DU277" s="18"/>
      <c r="DV277" s="28"/>
      <c r="DW277" s="28"/>
      <c r="DX277" s="28"/>
      <c r="DY277" s="28"/>
      <c r="DZ277" s="28"/>
      <c r="EA277" s="28"/>
      <c r="EB277" s="28"/>
      <c r="EC277" s="28"/>
      <c r="ED277" s="28"/>
      <c r="EE277" s="28"/>
      <c r="EF277" s="28"/>
      <c r="EG277" s="28"/>
      <c r="EH277" s="28"/>
      <c r="EI277" s="28"/>
      <c r="EJ277" s="18"/>
      <c r="EK277" s="18"/>
      <c r="EL277" s="18">
        <f>IFERROR(CR277/'McDonough &amp; Sun 1995 values'!C$2,)</f>
        <v>3.6190476190476186</v>
      </c>
      <c r="EM277" s="18">
        <f>IFERROR(CH277/'McDonough &amp; Sun 1995 values'!D$2,)</f>
        <v>7.7666666666666675</v>
      </c>
      <c r="EN277" s="18">
        <f>IFERROR(CS277/'McDonough &amp; Sun 1995 values'!E$2,)</f>
        <v>9.6151515151515152</v>
      </c>
      <c r="EO277" s="18">
        <f>IFERROR(DL277/'McDonough &amp; Sun 1995 values'!F$2,)</f>
        <v>7.4213836477987414</v>
      </c>
      <c r="EP277" s="18">
        <f>IFERROR(DM277/'McDonough &amp; Sun 1995 values'!G$2,)</f>
        <v>7.0935960591133007</v>
      </c>
      <c r="EQ277" s="18">
        <f>IFERROR(BR277/'McDonough &amp; Sun 1995 values'!H$2,)</f>
        <v>5.7541666666666664</v>
      </c>
      <c r="ER277" s="18">
        <f>IFERROR(DI277/'McDonough &amp; Sun 1995 values'!I$2,)</f>
        <v>10.405405405405407</v>
      </c>
      <c r="ES277" s="18">
        <f>IFERROR(CM277/'McDonough &amp; Sun 1995 values'!J$2,)</f>
        <v>14.846504559270516</v>
      </c>
      <c r="ET277" s="18">
        <f>IFERROR(CU277/'McDonough &amp; Sun 1995 values'!K$2,)</f>
        <v>5.8950617283950617</v>
      </c>
      <c r="EU277" s="18">
        <f>IFERROR(CV277/'McDonough &amp; Sun 1995 values'!L$2,)</f>
        <v>3.1462686567164178</v>
      </c>
      <c r="EV277" s="18">
        <f>IFERROR(CW277/'McDonough &amp; Sun 1995 values'!M$2,)</f>
        <v>2.2795275590551181</v>
      </c>
      <c r="EW277" s="18">
        <f>IFERROR(CI277/'McDonough &amp; Sun 1995 values'!N$2,)</f>
        <v>1.3281407035175881</v>
      </c>
      <c r="EX277" s="18">
        <f>IFERROR(CX277/'McDonough &amp; Sun 1995 values'!O$2,)</f>
        <v>1.464</v>
      </c>
      <c r="EY277" s="18">
        <f>IFERROR(CY277/'McDonough &amp; Sun 1995 values'!P$2,)</f>
        <v>0.48275862068965514</v>
      </c>
      <c r="EZ277" s="18">
        <f>IFERROR(DH277/'McDonough &amp; Sun 1995 values'!Q$2,)</f>
        <v>0.44169611307420498</v>
      </c>
      <c r="FA277" s="18">
        <f>IFERROR(CK277/'McDonough &amp; Sun 1995 values'!R$2,)</f>
        <v>0.27514285714285713</v>
      </c>
      <c r="FB277" s="18">
        <f>IFERROR(CZ277/'McDonough &amp; Sun 1995 values'!S$2,)</f>
        <v>0.44805194805194809</v>
      </c>
      <c r="FC277" s="18">
        <f>IFERROR(BT277/'McDonough &amp; Sun 1995 values'!T$2,)</f>
        <v>0.15434854771784234</v>
      </c>
      <c r="FD277" s="18">
        <f>IFERROR(DA277/'McDonough &amp; Sun 1995 values'!U$2,)</f>
        <v>0.2389705882352941</v>
      </c>
      <c r="FE277" s="18">
        <f>IFERROR(DN277/'McDonough &amp; Sun 1995 values'!V$2,)</f>
        <v>0</v>
      </c>
      <c r="FF277" s="18">
        <f>IFERROR(DB277/'McDonough &amp; Sun 1995 values'!W$2,)</f>
        <v>0.14688427299703263</v>
      </c>
      <c r="FG277" s="18">
        <f>IFERROR(CJ277/'McDonough &amp; Sun 1995 values'!X$2,)</f>
        <v>5.0465116279069772E-2</v>
      </c>
      <c r="FH277" s="18">
        <f>IFERROR(DC277/'McDonough &amp; Sun 1995 values'!Y$2,)</f>
        <v>0.24161073825503354</v>
      </c>
      <c r="FI277" s="18">
        <f>IFERROR(DD277/'McDonough &amp; Sun 1995 values'!Z$2,)</f>
        <v>5.7077625570776259E-2</v>
      </c>
      <c r="FJ277" s="18">
        <f>IFERROR(DE277/'McDonough &amp; Sun 1995 values'!AA$2,)</f>
        <v>0</v>
      </c>
      <c r="FK277" s="18">
        <f>IFERROR(DF277/'McDonough &amp; Sun 1995 values'!AB$2,)</f>
        <v>0.11337868480725624</v>
      </c>
      <c r="FL277" s="18">
        <f>IFERROR(DG277/'McDonough &amp; Sun 1995 values'!AC$2,)</f>
        <v>0.29629629629629628</v>
      </c>
      <c r="FN277" s="28">
        <f t="shared" si="614"/>
        <v>1.2327755642195455</v>
      </c>
      <c r="FO277" s="4">
        <f t="shared" si="620"/>
        <v>1.3554692760942761</v>
      </c>
      <c r="FP277" s="4">
        <f t="shared" si="621"/>
        <v>0.49987413658015889</v>
      </c>
      <c r="FQ277" s="4">
        <f t="shared" si="622"/>
        <v>1.0462089447938503</v>
      </c>
      <c r="FR277" s="4">
        <f t="shared" si="623"/>
        <v>0.39706731674520945</v>
      </c>
      <c r="FS277" s="4">
        <f t="shared" si="624"/>
        <v>0.56653839987173316</v>
      </c>
      <c r="FT277" s="4">
        <f t="shared" si="625"/>
        <v>2.1460526315789479</v>
      </c>
      <c r="FU277" s="4">
        <f t="shared" si="626"/>
        <v>0.70086567271540157</v>
      </c>
      <c r="FV277" s="4">
        <f t="shared" si="627"/>
        <v>0.56993877551020411</v>
      </c>
      <c r="FW277" s="4">
        <f t="shared" si="628"/>
        <v>0.62292342857142846</v>
      </c>
      <c r="FX277" s="4">
        <f t="shared" si="629"/>
        <v>1.241606803524949</v>
      </c>
      <c r="FY277" s="4">
        <f t="shared" si="630"/>
        <v>0.72702797934246355</v>
      </c>
      <c r="FZ277" s="4">
        <f t="shared" si="631"/>
        <v>1.3191407142497051</v>
      </c>
      <c r="GA277" s="4">
        <f t="shared" si="632"/>
        <v>0.58263858150857928</v>
      </c>
      <c r="GB277" s="4">
        <f t="shared" si="633"/>
        <v>0.92810760667903536</v>
      </c>
      <c r="GC277" s="4">
        <f t="shared" si="634"/>
        <v>0.46597179644389936</v>
      </c>
      <c r="GD277" s="4">
        <f t="shared" si="635"/>
        <v>1.2956009244992297</v>
      </c>
      <c r="GE277" s="4">
        <f t="shared" si="636"/>
        <v>1.2380023410066328</v>
      </c>
      <c r="GF277" s="4">
        <f t="shared" si="637"/>
        <v>1.67098940161938</v>
      </c>
      <c r="GG277" s="4">
        <f t="shared" si="638"/>
        <v>0.64763739348650806</v>
      </c>
      <c r="GH277" s="4">
        <f t="shared" si="639"/>
        <v>2.5860892556344486</v>
      </c>
      <c r="GI277" s="4">
        <f t="shared" si="640"/>
        <v>12.211199294532628</v>
      </c>
      <c r="GJ277" s="4">
        <f t="shared" si="641"/>
        <v>40.1340566155381</v>
      </c>
      <c r="GK277" s="4">
        <f t="shared" si="642"/>
        <v>51.99444444444444</v>
      </c>
      <c r="GL277" s="4">
        <f t="shared" si="643"/>
        <v>1.7826073598426948</v>
      </c>
      <c r="GM277" s="4">
        <f t="shared" si="644"/>
        <v>0.95554295894404384</v>
      </c>
      <c r="GN277" s="4">
        <f t="shared" si="645"/>
        <v>2.5184646477506005</v>
      </c>
      <c r="GO277" s="4">
        <f t="shared" si="646"/>
        <v>2.0929447399527183</v>
      </c>
      <c r="GP277" s="4">
        <f t="shared" si="647"/>
        <v>0.81117766203703701</v>
      </c>
      <c r="GQ277" s="27">
        <f t="shared" si="648"/>
        <v>106725.13495308479</v>
      </c>
      <c r="GR277" s="28">
        <f t="shared" si="649"/>
        <v>5.873360069829431</v>
      </c>
      <c r="GS277" s="28">
        <f t="shared" si="650"/>
        <v>360.1297095448046</v>
      </c>
      <c r="GT277" s="28">
        <f t="shared" si="651"/>
        <v>4904.2556583075748</v>
      </c>
      <c r="GU277" s="28">
        <f t="shared" si="652"/>
        <v>45.595821594728477</v>
      </c>
      <c r="GV277" s="28">
        <f t="shared" si="653"/>
        <v>11.128471711255765</v>
      </c>
      <c r="GW277" s="28">
        <f t="shared" si="654"/>
        <v>106725.13495308479</v>
      </c>
      <c r="GX277" s="28">
        <f t="shared" si="655"/>
        <v>29.753205616899091</v>
      </c>
      <c r="GY277" s="28">
        <f t="shared" si="656"/>
        <v>754.95861213373303</v>
      </c>
      <c r="GZ277" s="28">
        <f t="shared" si="657"/>
        <v>295.21362456247931</v>
      </c>
      <c r="HA277" s="28">
        <f t="shared" si="658"/>
        <v>407.27115221054078</v>
      </c>
      <c r="HB277" s="28">
        <f t="shared" si="659"/>
        <v>44.745730005674218</v>
      </c>
      <c r="HC277" s="28">
        <f t="shared" si="660"/>
        <v>2042.5382453367351</v>
      </c>
      <c r="HD277" s="28">
        <f t="shared" si="661"/>
        <v>141.42432799720868</v>
      </c>
      <c r="HE277" s="28">
        <f t="shared" si="662"/>
        <v>15.1470864958759</v>
      </c>
      <c r="HF277" s="28">
        <f t="shared" si="663"/>
        <v>9.6601316937984052</v>
      </c>
      <c r="HG277" s="28">
        <f t="shared" si="664"/>
        <v>223.26496370706877</v>
      </c>
      <c r="HH277" s="28">
        <f t="shared" si="665"/>
        <v>5.3323926949767202</v>
      </c>
      <c r="HI277" s="28">
        <f t="shared" si="666"/>
        <v>14373.503149836526</v>
      </c>
      <c r="HJ277" s="28">
        <f t="shared" si="667"/>
        <v>10.046536961550343</v>
      </c>
      <c r="HK277" s="28">
        <f t="shared" si="668"/>
        <v>0</v>
      </c>
      <c r="HL277" s="28">
        <f t="shared" si="669"/>
        <v>7.6508243014883384</v>
      </c>
      <c r="HM277" s="28">
        <f t="shared" si="670"/>
        <v>16.769988620434034</v>
      </c>
      <c r="HN277" s="28">
        <f t="shared" si="671"/>
        <v>2.7821179278139412</v>
      </c>
      <c r="HO277" s="28">
        <f t="shared" si="672"/>
        <v>1.9320263387596814</v>
      </c>
      <c r="HP277" s="28">
        <f t="shared" si="673"/>
        <v>0</v>
      </c>
      <c r="HQ277" s="28">
        <f t="shared" si="674"/>
        <v>3.8640526775193629</v>
      </c>
      <c r="HR277" s="28">
        <f t="shared" si="675"/>
        <v>1.5456210710077449</v>
      </c>
      <c r="HT277" s="4">
        <f>IFERROR(GR277/'McDonough &amp; Sun 1995 values'!C$2,)</f>
        <v>279.68381284902051</v>
      </c>
      <c r="HU277" s="4">
        <f>IFERROR(GS277/'McDonough &amp; Sun 1995 values'!D$2,)</f>
        <v>600.21618257467435</v>
      </c>
      <c r="HV277" s="4">
        <f>IFERROR(GT277/'McDonough &amp; Sun 1995 values'!E$2,)</f>
        <v>743.06903913751137</v>
      </c>
      <c r="HW277" s="4">
        <f>IFERROR(GU277/'McDonough &amp; Sun 1995 values'!F$2,)</f>
        <v>573.53234710350284</v>
      </c>
      <c r="HX277" s="4">
        <f>IFERROR(GV277/'McDonough &amp; Sun 1995 values'!G$2,)</f>
        <v>548.20057690915098</v>
      </c>
      <c r="HY277" s="4">
        <f>IFERROR(GW277/'McDonough &amp; Sun 1995 values'!H$2,)</f>
        <v>444.68806230451997</v>
      </c>
      <c r="HZ277" s="4">
        <f>IFERROR(GX277/'McDonough &amp; Sun 1995 values'!I$2,)</f>
        <v>804.14069234862416</v>
      </c>
      <c r="IA277" s="4">
        <f>IFERROR(GY277/'McDonough &amp; Sun 1995 values'!J$2,)</f>
        <v>1147.3535138810532</v>
      </c>
      <c r="IB277" s="4">
        <f>IFERROR(GZ277/'McDonough &amp; Sun 1995 values'!K$2,)</f>
        <v>455.5765811149372</v>
      </c>
      <c r="IC277" s="4">
        <f>IFERROR(HA277/'McDonough &amp; Sun 1995 values'!L$2,)</f>
        <v>243.14695654360642</v>
      </c>
      <c r="ID277" s="4">
        <f>IFERROR(HB277/'McDonough &amp; Sun 1995 values'!M$2,)</f>
        <v>176.16429136092211</v>
      </c>
      <c r="IE277" s="4">
        <f>IFERROR(HC277/'McDonough &amp; Sun 1995 values'!N$2,)</f>
        <v>102.64011283099173</v>
      </c>
      <c r="IF277" s="4">
        <f>IFERROR(HD277/'McDonough &amp; Sun 1995 values'!O$2,)</f>
        <v>113.13946239776695</v>
      </c>
      <c r="IG277" s="4">
        <f>IFERROR(HE277/'McDonough &amp; Sun 1995 values'!P$2,)</f>
        <v>37.308094817428326</v>
      </c>
      <c r="IH277" s="4">
        <f>IFERROR(HF277/'McDonough &amp; Sun 1995 values'!Q$2,)</f>
        <v>34.134740967485534</v>
      </c>
      <c r="II277" s="4">
        <f>IFERROR(HG277/'McDonough &amp; Sun 1995 values'!R$2,)</f>
        <v>21.263329876863693</v>
      </c>
      <c r="IJ277" s="4">
        <f>IFERROR(HH277/'McDonough &amp; Sun 1995 values'!S$2,)</f>
        <v>34.625926590757921</v>
      </c>
      <c r="IK277" s="4">
        <f>IFERROR(HI277/'McDonough &amp; Sun 1995 values'!T$2,)</f>
        <v>11.928218381607076</v>
      </c>
      <c r="IL277" s="4">
        <f>IFERROR(HJ277/'McDonough &amp; Sun 1995 values'!U$2,)</f>
        <v>18.467898826379304</v>
      </c>
      <c r="IM277" s="4">
        <f>IFERROR(HK277/'McDonough &amp; Sun 1995 values'!V$2,)</f>
        <v>0</v>
      </c>
      <c r="IN277" s="4">
        <f>IFERROR(HL277/'McDonough &amp; Sun 1995 values'!W$2,)</f>
        <v>11.35137136719338</v>
      </c>
      <c r="IO277" s="4">
        <f>IFERROR(HM277/'McDonough &amp; Sun 1995 values'!X$2,)</f>
        <v>3.8999973535893107</v>
      </c>
      <c r="IP277" s="4">
        <f>IFERROR(HN277/'McDonough &amp; Sun 1995 values'!Y$2,)</f>
        <v>18.671932401435846</v>
      </c>
      <c r="IQ277" s="4">
        <f>IFERROR(HO277/'McDonough &amp; Sun 1995 values'!Z$2,)</f>
        <v>4.4110190382641132</v>
      </c>
      <c r="IR277" s="4">
        <f>IFERROR(HP277/'McDonough &amp; Sun 1995 values'!AA$2,)</f>
        <v>0</v>
      </c>
      <c r="IS277" s="4">
        <f>IFERROR(HQ277/'McDonough &amp; Sun 1995 values'!AB$2,)</f>
        <v>8.7620242120620464</v>
      </c>
      <c r="IT277" s="4">
        <f>IFERROR(HR277/'McDonough &amp; Sun 1995 values'!AC$2,)</f>
        <v>22.898089940855478</v>
      </c>
    </row>
    <row r="278" spans="1:254">
      <c r="A278" s="16" t="s">
        <v>672</v>
      </c>
      <c r="B278" s="16" t="s">
        <v>24</v>
      </c>
      <c r="C278" s="16" t="str">
        <f t="shared" si="617"/>
        <v>silicic - low-Mg carbonatitic</v>
      </c>
      <c r="D278" s="16" t="s">
        <v>1723</v>
      </c>
      <c r="E278" s="16" t="s">
        <v>237</v>
      </c>
      <c r="F278" s="16" t="s">
        <v>29</v>
      </c>
      <c r="G278" s="16" t="s">
        <v>595</v>
      </c>
      <c r="H278" s="27">
        <v>360</v>
      </c>
      <c r="I278" s="16" t="s">
        <v>735</v>
      </c>
      <c r="J278" s="16" t="s">
        <v>1496</v>
      </c>
      <c r="K278" s="16">
        <v>0</v>
      </c>
      <c r="L278" s="16">
        <v>0</v>
      </c>
      <c r="M278" s="16" t="s">
        <v>75</v>
      </c>
      <c r="N278" s="16">
        <v>24</v>
      </c>
      <c r="O278" s="26">
        <v>27.07</v>
      </c>
      <c r="P278" s="26">
        <v>2.65</v>
      </c>
      <c r="Q278" s="26">
        <v>0.21</v>
      </c>
      <c r="R278" s="26">
        <v>12.5</v>
      </c>
      <c r="S278" s="26">
        <v>28.08</v>
      </c>
      <c r="T278" s="26">
        <v>12.39</v>
      </c>
      <c r="U278" s="26">
        <v>0.56999999999999995</v>
      </c>
      <c r="V278" s="26">
        <v>5.7</v>
      </c>
      <c r="W278" s="26">
        <v>1.4</v>
      </c>
      <c r="X278" s="26">
        <v>5.63</v>
      </c>
      <c r="Y278" s="26"/>
      <c r="Z278" s="26">
        <v>1.92</v>
      </c>
      <c r="AA278" s="26"/>
      <c r="AB278" s="26"/>
      <c r="AC278" s="26"/>
      <c r="AD278" s="26">
        <v>0.66</v>
      </c>
      <c r="AE278" s="26"/>
      <c r="AF278" s="26">
        <v>1.23</v>
      </c>
      <c r="AG278" s="26"/>
      <c r="AH278" s="26"/>
      <c r="AI278" s="26"/>
      <c r="AJ278" s="26">
        <f t="shared" si="618"/>
        <v>98</v>
      </c>
      <c r="AK278" s="26">
        <f t="shared" ref="AK278:AK307" si="678">100*(O278/($AJ278-$AD278*8/35.45))</f>
        <v>27.664493977779188</v>
      </c>
      <c r="AL278" s="26">
        <f t="shared" ref="AL278:AL307" si="679">100*(P278/($AJ278-$AD278*8/35.45))</f>
        <v>2.7081976003367139</v>
      </c>
      <c r="AM278" s="26">
        <f t="shared" ref="AM278:AM307" si="680">100*(R278/($AJ278-$AD278*8/35.45))</f>
        <v>12.77451698272035</v>
      </c>
      <c r="AN278" s="26">
        <f t="shared" ref="AN278:AN307" si="681">100*(S278/($AJ278-$AD278*8/35.45))</f>
        <v>28.696674949982992</v>
      </c>
      <c r="AO278" s="26">
        <f t="shared" ref="AO278:AO307" si="682">100*(T278/($AJ278-$AD278*8/35.45))</f>
        <v>12.662101233272411</v>
      </c>
      <c r="AP278" s="26">
        <f t="shared" ref="AP278:AP307" si="683">100*(V278/($AJ278-$AD278*8/35.45))</f>
        <v>5.8251797441204793</v>
      </c>
      <c r="AQ278" s="26">
        <f t="shared" ref="AQ278:AQ307" si="684">100*(AB278/($AJ278-$AD278*8/35.45))</f>
        <v>0</v>
      </c>
      <c r="AR278" s="26">
        <f t="shared" ref="AR278:AR307" si="685">100*(W278/($AJ278-$AD278*8/35.45))</f>
        <v>1.4307459020646789</v>
      </c>
      <c r="AS278" s="26">
        <f t="shared" ref="AS278:AS307" si="686">100*(X278/($AJ278-$AD278*8/35.45))</f>
        <v>5.7536424490172458</v>
      </c>
      <c r="AT278" s="26">
        <f t="shared" ref="AT278:AT307" si="687">100*(Z278/($AJ278-$AD278*8/35.45))</f>
        <v>1.9621658085458455</v>
      </c>
      <c r="AU278" s="26">
        <f t="shared" ref="AU278:AU307" si="688">100*(AD278/($AJ278-$AD278*8/35.45))</f>
        <v>0.6744944966876345</v>
      </c>
      <c r="AV278" s="26">
        <f t="shared" si="619"/>
        <v>100.15221314452752</v>
      </c>
      <c r="AW278" s="16"/>
      <c r="AX278" s="16"/>
      <c r="AY278" s="16"/>
      <c r="AZ278" s="16"/>
      <c r="BA278" s="26"/>
      <c r="BB278" s="26">
        <v>0.1</v>
      </c>
      <c r="BC278" s="26">
        <f t="shared" si="676"/>
        <v>9.9999999999999978E-2</v>
      </c>
      <c r="BD278" s="26">
        <f t="shared" si="677"/>
        <v>0.9</v>
      </c>
      <c r="BE278" s="25"/>
      <c r="BF278" s="16"/>
      <c r="BG278" s="16">
        <v>341</v>
      </c>
      <c r="BH278" s="16"/>
      <c r="BI278" s="16"/>
      <c r="BJ278" s="16"/>
      <c r="BK278" s="18"/>
      <c r="BL278" s="18"/>
      <c r="BM278" s="18"/>
      <c r="BN278" s="18">
        <v>10</v>
      </c>
      <c r="BO278" s="18">
        <v>47</v>
      </c>
      <c r="BP278" s="18">
        <v>47</v>
      </c>
      <c r="BQ278" s="18"/>
      <c r="BR278" s="18">
        <v>55</v>
      </c>
      <c r="BS278" s="18">
        <v>44</v>
      </c>
      <c r="BT278" s="18">
        <v>6.29</v>
      </c>
      <c r="BU278" s="18"/>
      <c r="BV278" s="18">
        <v>1.26</v>
      </c>
      <c r="BW278" s="18">
        <v>65</v>
      </c>
      <c r="BX278" s="18">
        <v>0.312</v>
      </c>
      <c r="BY278" s="18">
        <v>0.17</v>
      </c>
      <c r="BZ278" s="18"/>
      <c r="CA278" s="18">
        <v>5.3999999999999999E-2</v>
      </c>
      <c r="CB278" s="18">
        <v>3.4000000000000002E-2</v>
      </c>
      <c r="CC278" s="18"/>
      <c r="CD278" s="18"/>
      <c r="CE278" s="18"/>
      <c r="CF278" s="18"/>
      <c r="CG278" s="18"/>
      <c r="CH278" s="18">
        <v>0.12</v>
      </c>
      <c r="CI278" s="18">
        <v>1.1599999999999999</v>
      </c>
      <c r="CJ278" s="18">
        <v>3.3000000000000002E-2</v>
      </c>
      <c r="CK278" s="18">
        <v>0.16600000000000001</v>
      </c>
      <c r="CL278" s="18"/>
      <c r="CM278" s="18">
        <v>0.17699999999999999</v>
      </c>
      <c r="CN278" s="18"/>
      <c r="CO278" s="18"/>
      <c r="CP278" s="18"/>
      <c r="CQ278" s="18"/>
      <c r="CR278" s="18">
        <v>1.2999999999999999E-2</v>
      </c>
      <c r="CS278" s="18">
        <v>3.64</v>
      </c>
      <c r="CT278" s="18">
        <v>0.107</v>
      </c>
      <c r="CU278" s="18">
        <v>0.21</v>
      </c>
      <c r="CV278" s="18">
        <v>0.28999999999999998</v>
      </c>
      <c r="CW278" s="18">
        <v>4.2000000000000003E-2</v>
      </c>
      <c r="CX278" s="18">
        <v>9.2999999999999999E-2</v>
      </c>
      <c r="CY278" s="18">
        <v>0.02</v>
      </c>
      <c r="CZ278" s="18">
        <v>1.4999999999999999E-2</v>
      </c>
      <c r="DA278" s="18">
        <v>1.6E-2</v>
      </c>
      <c r="DB278" s="18">
        <v>1.7999999999999999E-2</v>
      </c>
      <c r="DC278" s="18">
        <v>1.2999999999999999E-2</v>
      </c>
      <c r="DD278" s="18">
        <v>1.2E-2</v>
      </c>
      <c r="DE278" s="18"/>
      <c r="DF278" s="18">
        <v>8.0000000000000002E-3</v>
      </c>
      <c r="DG278" s="18">
        <v>0.01</v>
      </c>
      <c r="DH278" s="18">
        <v>1.2999999999999999E-2</v>
      </c>
      <c r="DI278" s="18">
        <v>1.2999999999999999E-2</v>
      </c>
      <c r="DJ278" s="18"/>
      <c r="DK278" s="18">
        <v>0.06</v>
      </c>
      <c r="DL278" s="18">
        <v>3.5000000000000003E-2</v>
      </c>
      <c r="DM278" s="18">
        <v>1.6E-2</v>
      </c>
      <c r="DN278" s="18"/>
      <c r="DO278" s="18"/>
      <c r="DP278" s="18"/>
      <c r="DQ278" s="18"/>
      <c r="DR278" s="18"/>
      <c r="DS278" s="18"/>
      <c r="DT278" s="18"/>
      <c r="DU278" s="18"/>
      <c r="DV278" s="28"/>
      <c r="DW278" s="28"/>
      <c r="DX278" s="28"/>
      <c r="DY278" s="28"/>
      <c r="DZ278" s="28"/>
      <c r="EA278" s="28"/>
      <c r="EB278" s="28"/>
      <c r="EC278" s="28"/>
      <c r="ED278" s="28"/>
      <c r="EE278" s="28"/>
      <c r="EF278" s="28"/>
      <c r="EG278" s="28"/>
      <c r="EH278" s="28"/>
      <c r="EI278" s="28"/>
      <c r="EJ278" s="18"/>
      <c r="EK278" s="18"/>
      <c r="EL278" s="18">
        <f>IFERROR(CR278/'McDonough &amp; Sun 1995 values'!C$2,)</f>
        <v>0.61904761904761896</v>
      </c>
      <c r="EM278" s="18">
        <f>IFERROR(CH278/'McDonough &amp; Sun 1995 values'!D$2,)</f>
        <v>0.2</v>
      </c>
      <c r="EN278" s="18">
        <f>IFERROR(CS278/'McDonough &amp; Sun 1995 values'!E$2,)</f>
        <v>0.55151515151515151</v>
      </c>
      <c r="EO278" s="18">
        <f>IFERROR(DL278/'McDonough &amp; Sun 1995 values'!F$2,)</f>
        <v>0.44025157232704404</v>
      </c>
      <c r="EP278" s="18">
        <f>IFERROR(DM278/'McDonough &amp; Sun 1995 values'!G$2,)</f>
        <v>0.78817733990147787</v>
      </c>
      <c r="EQ278" s="18">
        <f>IFERROR(BR278/'McDonough &amp; Sun 1995 values'!H$2,)</f>
        <v>0.22916666666666666</v>
      </c>
      <c r="ER278" s="18">
        <f>IFERROR(DI278/'McDonough &amp; Sun 1995 values'!I$2,)</f>
        <v>0.35135135135135137</v>
      </c>
      <c r="ES278" s="18">
        <f>IFERROR(CM278/'McDonough &amp; Sun 1995 values'!J$2,)</f>
        <v>0.26899696048632216</v>
      </c>
      <c r="ET278" s="18">
        <f>IFERROR(CU278/'McDonough &amp; Sun 1995 values'!K$2,)</f>
        <v>0.32407407407407407</v>
      </c>
      <c r="EU278" s="18">
        <f>IFERROR(CV278/'McDonough &amp; Sun 1995 values'!L$2,)</f>
        <v>0.17313432835820894</v>
      </c>
      <c r="EV278" s="18">
        <f>IFERROR(CW278/'McDonough &amp; Sun 1995 values'!M$2,)</f>
        <v>0.16535433070866143</v>
      </c>
      <c r="EW278" s="18">
        <f>IFERROR(CI278/'McDonough &amp; Sun 1995 values'!N$2,)</f>
        <v>5.8291457286432161E-2</v>
      </c>
      <c r="EX278" s="18">
        <f>IFERROR(CX278/'McDonough &amp; Sun 1995 values'!O$2,)</f>
        <v>7.4399999999999994E-2</v>
      </c>
      <c r="EY278" s="18">
        <f>IFERROR(CY278/'McDonough &amp; Sun 1995 values'!P$2,)</f>
        <v>4.926108374384236E-2</v>
      </c>
      <c r="EZ278" s="18">
        <f>IFERROR(DH278/'McDonough &amp; Sun 1995 values'!Q$2,)</f>
        <v>4.5936395759717315E-2</v>
      </c>
      <c r="FA278" s="18">
        <f>IFERROR(CK278/'McDonough &amp; Sun 1995 values'!R$2,)</f>
        <v>1.5809523809523812E-2</v>
      </c>
      <c r="FB278" s="18">
        <f>IFERROR(CZ278/'McDonough &amp; Sun 1995 values'!S$2,)</f>
        <v>9.7402597402597393E-2</v>
      </c>
      <c r="FC278" s="18">
        <f>IFERROR(BT278/'McDonough &amp; Sun 1995 values'!T$2,)</f>
        <v>5.2199170124481329E-3</v>
      </c>
      <c r="FD278" s="18">
        <f>IFERROR(DA278/'McDonough &amp; Sun 1995 values'!U$2,)</f>
        <v>2.9411764705882353E-2</v>
      </c>
      <c r="FE278" s="18">
        <f>IFERROR(DN278/'McDonough &amp; Sun 1995 values'!V$2,)</f>
        <v>0</v>
      </c>
      <c r="FF278" s="18">
        <f>IFERROR(DB278/'McDonough &amp; Sun 1995 values'!W$2,)</f>
        <v>2.670623145400593E-2</v>
      </c>
      <c r="FG278" s="18">
        <f>IFERROR(CJ278/'McDonough &amp; Sun 1995 values'!X$2,)</f>
        <v>7.6744186046511639E-3</v>
      </c>
      <c r="FH278" s="18">
        <f>IFERROR(DC278/'McDonough &amp; Sun 1995 values'!Y$2,)</f>
        <v>8.7248322147651006E-2</v>
      </c>
      <c r="FI278" s="18">
        <f>IFERROR(DD278/'McDonough &amp; Sun 1995 values'!Z$2,)</f>
        <v>2.7397260273972605E-2</v>
      </c>
      <c r="FJ278" s="18">
        <f>IFERROR(DE278/'McDonough &amp; Sun 1995 values'!AA$2,)</f>
        <v>0</v>
      </c>
      <c r="FK278" s="18">
        <f>IFERROR(DF278/'McDonough &amp; Sun 1995 values'!AB$2,)</f>
        <v>1.8140589569160998E-2</v>
      </c>
      <c r="FL278" s="18">
        <f>IFERROR(DG278/'McDonough &amp; Sun 1995 values'!AC$2,)</f>
        <v>0.14814814814814814</v>
      </c>
      <c r="FN278" s="28">
        <f t="shared" si="614"/>
        <v>3.439319301388267</v>
      </c>
      <c r="FO278" s="4">
        <f t="shared" si="620"/>
        <v>0.69973484848484846</v>
      </c>
      <c r="FP278" s="4">
        <f t="shared" si="621"/>
        <v>1.6366414383683334</v>
      </c>
      <c r="FQ278" s="4">
        <f t="shared" si="622"/>
        <v>0.55856918238993714</v>
      </c>
      <c r="FR278" s="4">
        <f t="shared" si="623"/>
        <v>1.204749947687801</v>
      </c>
      <c r="FS278" s="4">
        <f t="shared" si="624"/>
        <v>0.92236467236467234</v>
      </c>
      <c r="FT278" s="4">
        <f t="shared" si="625"/>
        <v>0.32307692307692315</v>
      </c>
      <c r="FU278" s="4">
        <f t="shared" si="626"/>
        <v>1.3061536112383572</v>
      </c>
      <c r="FV278" s="4">
        <f t="shared" si="627"/>
        <v>0.3209333333333334</v>
      </c>
      <c r="FW278" s="4">
        <f t="shared" si="628"/>
        <v>0.3441611721611722</v>
      </c>
      <c r="FX278" s="4">
        <f t="shared" si="629"/>
        <v>2.4761426418884978</v>
      </c>
      <c r="FY278" s="4">
        <f t="shared" si="630"/>
        <v>0.52554590705341786</v>
      </c>
      <c r="FZ278" s="4">
        <f t="shared" si="631"/>
        <v>2.5589277011922711</v>
      </c>
      <c r="GA278" s="4">
        <f t="shared" si="632"/>
        <v>0.35252452739889922</v>
      </c>
      <c r="GB278" s="4">
        <f t="shared" si="633"/>
        <v>1.9772727272727273</v>
      </c>
      <c r="GC278" s="4">
        <f t="shared" si="634"/>
        <v>3.0952380952380945</v>
      </c>
      <c r="GD278" s="4">
        <f t="shared" si="635"/>
        <v>1.2527272727272727</v>
      </c>
      <c r="GE278" s="4">
        <f t="shared" si="636"/>
        <v>2.7575757575757573</v>
      </c>
      <c r="GF278" s="4">
        <f t="shared" si="637"/>
        <v>2.406611570247934</v>
      </c>
      <c r="GG278" s="4">
        <f t="shared" si="638"/>
        <v>2.050265365519603</v>
      </c>
      <c r="GH278" s="4">
        <f t="shared" si="639"/>
        <v>1.9598765432098764</v>
      </c>
      <c r="GI278" s="4">
        <f t="shared" si="640"/>
        <v>6.5787037037037042</v>
      </c>
      <c r="GJ278" s="4">
        <f t="shared" si="641"/>
        <v>12.134773662551442</v>
      </c>
      <c r="GK278" s="4">
        <f t="shared" si="642"/>
        <v>17.864583333333332</v>
      </c>
      <c r="GL278" s="4">
        <f t="shared" si="643"/>
        <v>3.0286925581043231</v>
      </c>
      <c r="GM278" s="4">
        <f t="shared" si="644"/>
        <v>2.2012578616352201</v>
      </c>
      <c r="GN278" s="4">
        <f t="shared" si="645"/>
        <v>0.83004776378636547</v>
      </c>
      <c r="GO278" s="4">
        <f t="shared" si="646"/>
        <v>0.34128989361702122</v>
      </c>
      <c r="GP278" s="4">
        <f t="shared" si="647"/>
        <v>0.29075520833333329</v>
      </c>
      <c r="GQ278" s="27">
        <f t="shared" si="648"/>
        <v>47763.132348933657</v>
      </c>
      <c r="GR278" s="28">
        <f t="shared" si="649"/>
        <v>11.289467646111591</v>
      </c>
      <c r="GS278" s="28">
        <f t="shared" si="650"/>
        <v>104.21047057949163</v>
      </c>
      <c r="GT278" s="28">
        <f t="shared" si="651"/>
        <v>3161.050940911246</v>
      </c>
      <c r="GU278" s="28">
        <f t="shared" si="652"/>
        <v>30.394720585685057</v>
      </c>
      <c r="GV278" s="28">
        <f t="shared" si="653"/>
        <v>13.894729410598883</v>
      </c>
      <c r="GW278" s="28">
        <f t="shared" si="654"/>
        <v>47763.132348933657</v>
      </c>
      <c r="GX278" s="28">
        <f t="shared" si="655"/>
        <v>11.289467646111591</v>
      </c>
      <c r="GY278" s="28">
        <f t="shared" si="656"/>
        <v>153.71044410475011</v>
      </c>
      <c r="GZ278" s="28">
        <f t="shared" si="657"/>
        <v>182.36832351411033</v>
      </c>
      <c r="HA278" s="28">
        <f t="shared" si="658"/>
        <v>251.84197056710474</v>
      </c>
      <c r="HB278" s="28">
        <f t="shared" si="659"/>
        <v>36.47366470282207</v>
      </c>
      <c r="HC278" s="28">
        <f t="shared" si="660"/>
        <v>1007.367882268419</v>
      </c>
      <c r="HD278" s="28">
        <f t="shared" si="661"/>
        <v>80.763114699105998</v>
      </c>
      <c r="HE278" s="28">
        <f t="shared" si="662"/>
        <v>17.368411763248606</v>
      </c>
      <c r="HF278" s="28">
        <f t="shared" si="663"/>
        <v>11.289467646111591</v>
      </c>
      <c r="HG278" s="28">
        <f t="shared" si="664"/>
        <v>144.15781763496341</v>
      </c>
      <c r="HH278" s="28">
        <f t="shared" si="665"/>
        <v>13.026308822436453</v>
      </c>
      <c r="HI278" s="28">
        <f t="shared" si="666"/>
        <v>5462.3654995416855</v>
      </c>
      <c r="HJ278" s="28">
        <f t="shared" si="667"/>
        <v>13.894729410598883</v>
      </c>
      <c r="HK278" s="28">
        <f t="shared" si="668"/>
        <v>0</v>
      </c>
      <c r="HL278" s="28">
        <f t="shared" si="669"/>
        <v>15.631570586923742</v>
      </c>
      <c r="HM278" s="28">
        <f t="shared" si="670"/>
        <v>28.657879409360199</v>
      </c>
      <c r="HN278" s="28">
        <f t="shared" si="671"/>
        <v>11.289467646111591</v>
      </c>
      <c r="HO278" s="28">
        <f t="shared" si="672"/>
        <v>10.421047057949162</v>
      </c>
      <c r="HP278" s="28">
        <f t="shared" si="673"/>
        <v>0</v>
      </c>
      <c r="HQ278" s="28">
        <f t="shared" si="674"/>
        <v>6.9473647052994414</v>
      </c>
      <c r="HR278" s="28">
        <f t="shared" si="675"/>
        <v>8.6842058816243028</v>
      </c>
      <c r="HT278" s="4">
        <f>IFERROR(GR278/'McDonough &amp; Sun 1995 values'!C$2,)</f>
        <v>537.59369743388527</v>
      </c>
      <c r="HU278" s="4">
        <f>IFERROR(GS278/'McDonough &amp; Sun 1995 values'!D$2,)</f>
        <v>173.68411763248605</v>
      </c>
      <c r="HV278" s="4">
        <f>IFERROR(GT278/'McDonough &amp; Sun 1995 values'!E$2,)</f>
        <v>478.94711225927972</v>
      </c>
      <c r="HW278" s="4">
        <f>IFERROR(GU278/'McDonough &amp; Sun 1995 values'!F$2,)</f>
        <v>382.32352937968625</v>
      </c>
      <c r="HX278" s="4">
        <f>IFERROR(GV278/'McDonough &amp; Sun 1995 values'!G$2,)</f>
        <v>684.46942909354107</v>
      </c>
      <c r="HY278" s="4">
        <f>IFERROR(GW278/'McDonough &amp; Sun 1995 values'!H$2,)</f>
        <v>199.01305145389023</v>
      </c>
      <c r="HZ278" s="4">
        <f>IFERROR(GX278/'McDonough &amp; Sun 1995 values'!I$2,)</f>
        <v>305.12074719220516</v>
      </c>
      <c r="IA278" s="4">
        <f>IFERROR(GY278/'McDonough &amp; Sun 1995 values'!J$2,)</f>
        <v>233.60249863943784</v>
      </c>
      <c r="IB278" s="4">
        <f>IFERROR(GZ278/'McDonough &amp; Sun 1995 values'!K$2,)</f>
        <v>281.43259801560237</v>
      </c>
      <c r="IC278" s="4">
        <f>IFERROR(HA278/'McDonough &amp; Sun 1995 values'!L$2,)</f>
        <v>150.35341526394313</v>
      </c>
      <c r="ID278" s="4">
        <f>IFERROR(HB278/'McDonough &amp; Sun 1995 values'!M$2,)</f>
        <v>143.59710512922075</v>
      </c>
      <c r="IE278" s="4">
        <f>IFERROR(HC278/'McDonough &amp; Sun 1995 values'!N$2,)</f>
        <v>50.621501621528594</v>
      </c>
      <c r="IF278" s="4">
        <f>IFERROR(HD278/'McDonough &amp; Sun 1995 values'!O$2,)</f>
        <v>64.610491759284798</v>
      </c>
      <c r="IG278" s="4">
        <f>IFERROR(HE278/'McDonough &amp; Sun 1995 values'!P$2,)</f>
        <v>42.779339318346317</v>
      </c>
      <c r="IH278" s="4">
        <f>IFERROR(HF278/'McDonough &amp; Sun 1995 values'!Q$2,)</f>
        <v>39.892111823715872</v>
      </c>
      <c r="II278" s="4">
        <f>IFERROR(HG278/'McDonough &amp; Sun 1995 values'!R$2,)</f>
        <v>13.72931596523461</v>
      </c>
      <c r="IJ278" s="4">
        <f>IFERROR(HH278/'McDonough &amp; Sun 1995 values'!S$2,)</f>
        <v>84.586420924912034</v>
      </c>
      <c r="IK278" s="4">
        <f>IFERROR(HI278/'McDonough &amp; Sun 1995 values'!T$2,)</f>
        <v>4.5330834021092823</v>
      </c>
      <c r="IL278" s="4">
        <f>IFERROR(HJ278/'McDonough &amp; Sun 1995 values'!U$2,)</f>
        <v>25.541782004777357</v>
      </c>
      <c r="IM278" s="4">
        <f>IFERROR(HK278/'McDonough &amp; Sun 1995 values'!V$2,)</f>
        <v>0</v>
      </c>
      <c r="IN278" s="4">
        <f>IFERROR(HL278/'McDonough &amp; Sun 1995 values'!W$2,)</f>
        <v>23.192241226889823</v>
      </c>
      <c r="IO278" s="4">
        <f>IFERROR(HM278/'McDonough &amp; Sun 1995 values'!X$2,)</f>
        <v>6.66462311845586</v>
      </c>
      <c r="IP278" s="4">
        <f>IFERROR(HN278/'McDonough &amp; Sun 1995 values'!Y$2,)</f>
        <v>75.768239235648267</v>
      </c>
      <c r="IQ278" s="4">
        <f>IFERROR(HO278/'McDonough &amp; Sun 1995 values'!Z$2,)</f>
        <v>23.792344881162471</v>
      </c>
      <c r="IR278" s="4">
        <f>IFERROR(HP278/'McDonough &amp; Sun 1995 values'!AA$2,)</f>
        <v>0</v>
      </c>
      <c r="IS278" s="4">
        <f>IFERROR(HQ278/'McDonough &amp; Sun 1995 values'!AB$2,)</f>
        <v>15.75366146326404</v>
      </c>
      <c r="IT278" s="4">
        <f>IFERROR(HR278/'McDonough &amp; Sun 1995 values'!AC$2,)</f>
        <v>128.65490194998966</v>
      </c>
    </row>
    <row r="279" spans="1:254">
      <c r="A279" s="16" t="s">
        <v>672</v>
      </c>
      <c r="B279" s="16" t="s">
        <v>24</v>
      </c>
      <c r="C279" s="16" t="str">
        <f t="shared" si="617"/>
        <v>silicic - low-Mg carbonatitic</v>
      </c>
      <c r="D279" s="16" t="s">
        <v>1723</v>
      </c>
      <c r="E279" s="16" t="s">
        <v>237</v>
      </c>
      <c r="F279" s="16" t="s">
        <v>29</v>
      </c>
      <c r="G279" s="16" t="s">
        <v>595</v>
      </c>
      <c r="H279" s="27">
        <v>360</v>
      </c>
      <c r="I279" s="16" t="s">
        <v>735</v>
      </c>
      <c r="J279" s="16" t="s">
        <v>1496</v>
      </c>
      <c r="K279" s="16">
        <v>0</v>
      </c>
      <c r="L279" s="16">
        <v>0</v>
      </c>
      <c r="M279" s="16" t="s">
        <v>76</v>
      </c>
      <c r="N279" s="16">
        <v>24</v>
      </c>
      <c r="O279" s="26">
        <v>20.260000000000002</v>
      </c>
      <c r="P279" s="26">
        <v>2.39</v>
      </c>
      <c r="Q279" s="26">
        <v>0.49</v>
      </c>
      <c r="R279" s="26">
        <v>6.11</v>
      </c>
      <c r="S279" s="26">
        <v>24.04</v>
      </c>
      <c r="T279" s="26">
        <v>12.32</v>
      </c>
      <c r="U279" s="26">
        <v>0.65</v>
      </c>
      <c r="V279" s="26">
        <v>21.23</v>
      </c>
      <c r="W279" s="26">
        <v>1.3</v>
      </c>
      <c r="X279" s="26">
        <v>6.95</v>
      </c>
      <c r="Y279" s="26"/>
      <c r="Z279" s="26">
        <v>1.77</v>
      </c>
      <c r="AA279" s="26"/>
      <c r="AB279" s="26"/>
      <c r="AC279" s="26"/>
      <c r="AD279" s="26">
        <v>1.46</v>
      </c>
      <c r="AE279" s="26"/>
      <c r="AF279" s="26">
        <v>1.02</v>
      </c>
      <c r="AG279" s="26"/>
      <c r="AH279" s="26"/>
      <c r="AI279" s="26"/>
      <c r="AJ279" s="26">
        <f t="shared" si="618"/>
        <v>97.83</v>
      </c>
      <c r="AK279" s="26">
        <f t="shared" si="678"/>
        <v>20.779375959363424</v>
      </c>
      <c r="AL279" s="26">
        <f t="shared" si="679"/>
        <v>2.4512689310404041</v>
      </c>
      <c r="AM279" s="26">
        <f t="shared" si="680"/>
        <v>6.2666331249610323</v>
      </c>
      <c r="AN279" s="26">
        <f t="shared" si="681"/>
        <v>24.656278285444063</v>
      </c>
      <c r="AO279" s="26">
        <f t="shared" si="682"/>
        <v>12.635829803522084</v>
      </c>
      <c r="AP279" s="26">
        <f t="shared" si="683"/>
        <v>21.774242429283589</v>
      </c>
      <c r="AQ279" s="26">
        <f t="shared" si="684"/>
        <v>0</v>
      </c>
      <c r="AR279" s="26">
        <f t="shared" si="685"/>
        <v>1.3333261968002199</v>
      </c>
      <c r="AS279" s="26">
        <f t="shared" si="686"/>
        <v>7.1281669752011751</v>
      </c>
      <c r="AT279" s="26">
        <f t="shared" si="687"/>
        <v>1.8153748987202991</v>
      </c>
      <c r="AU279" s="26">
        <f t="shared" si="688"/>
        <v>1.4974278825602467</v>
      </c>
      <c r="AV279" s="26">
        <f t="shared" si="619"/>
        <v>100.33792448689653</v>
      </c>
      <c r="AW279" s="16"/>
      <c r="AX279" s="16"/>
      <c r="AY279" s="16"/>
      <c r="AZ279" s="16"/>
      <c r="BA279" s="26"/>
      <c r="BB279" s="26">
        <v>0.08</v>
      </c>
      <c r="BC279" s="26">
        <f t="shared" si="676"/>
        <v>7.999999999999996E-2</v>
      </c>
      <c r="BD279" s="26">
        <f t="shared" si="677"/>
        <v>0.92</v>
      </c>
      <c r="BE279" s="25"/>
      <c r="BF279" s="16"/>
      <c r="BG279" s="16">
        <v>267</v>
      </c>
      <c r="BH279" s="16"/>
      <c r="BI279" s="16"/>
      <c r="BJ279" s="16"/>
      <c r="BK279" s="18"/>
      <c r="BL279" s="18"/>
      <c r="BM279" s="18"/>
      <c r="BN279" s="18">
        <v>48</v>
      </c>
      <c r="BO279" s="18">
        <v>98</v>
      </c>
      <c r="BP279" s="18">
        <v>33</v>
      </c>
      <c r="BQ279" s="18"/>
      <c r="BR279" s="18">
        <v>298</v>
      </c>
      <c r="BS279" s="18">
        <v>276</v>
      </c>
      <c r="BT279" s="18">
        <v>37.659999999999997</v>
      </c>
      <c r="BU279" s="18"/>
      <c r="BV279" s="18">
        <v>2.74</v>
      </c>
      <c r="BW279" s="18">
        <v>213</v>
      </c>
      <c r="BX279" s="18">
        <v>0.64200000000000002</v>
      </c>
      <c r="BY279" s="18">
        <v>0.37</v>
      </c>
      <c r="BZ279" s="18"/>
      <c r="CA279" s="18">
        <v>0.125</v>
      </c>
      <c r="CB279" s="18">
        <v>6.4000000000000001E-2</v>
      </c>
      <c r="CC279" s="18"/>
      <c r="CD279" s="18"/>
      <c r="CE279" s="18"/>
      <c r="CF279" s="18"/>
      <c r="CG279" s="18"/>
      <c r="CH279" s="18">
        <v>0.95</v>
      </c>
      <c r="CI279" s="18">
        <v>10.47</v>
      </c>
      <c r="CJ279" s="18">
        <v>0.104</v>
      </c>
      <c r="CK279" s="18">
        <v>0.70899999999999996</v>
      </c>
      <c r="CL279" s="18"/>
      <c r="CM279" s="18">
        <v>1.349</v>
      </c>
      <c r="CN279" s="18"/>
      <c r="CO279" s="18"/>
      <c r="CP279" s="18"/>
      <c r="CQ279" s="18"/>
      <c r="CR279" s="18">
        <v>2.1999999999999999E-2</v>
      </c>
      <c r="CS279" s="18">
        <v>22.95</v>
      </c>
      <c r="CT279" s="18">
        <v>0.22600000000000001</v>
      </c>
      <c r="CU279" s="18">
        <v>1.47</v>
      </c>
      <c r="CV279" s="18">
        <v>2.14</v>
      </c>
      <c r="CW279" s="18">
        <v>0.24099999999999999</v>
      </c>
      <c r="CX279" s="18">
        <v>0.81</v>
      </c>
      <c r="CY279" s="18">
        <v>8.7999999999999995E-2</v>
      </c>
      <c r="CZ279" s="18">
        <v>2.5000000000000001E-2</v>
      </c>
      <c r="DA279" s="18">
        <v>4.9000000000000002E-2</v>
      </c>
      <c r="DB279" s="18">
        <v>3.2000000000000001E-2</v>
      </c>
      <c r="DC279" s="18">
        <v>0.01</v>
      </c>
      <c r="DD279" s="18">
        <v>1.6E-2</v>
      </c>
      <c r="DE279" s="18"/>
      <c r="DF279" s="18">
        <v>4.0000000000000001E-3</v>
      </c>
      <c r="DG279" s="18">
        <v>5.0000000000000001E-3</v>
      </c>
      <c r="DH279" s="18">
        <v>2.3E-2</v>
      </c>
      <c r="DI279" s="18">
        <v>4.2000000000000003E-2</v>
      </c>
      <c r="DJ279" s="18"/>
      <c r="DK279" s="18">
        <v>0.127</v>
      </c>
      <c r="DL279" s="18">
        <v>0.17399999999999999</v>
      </c>
      <c r="DM279" s="18">
        <v>3.9E-2</v>
      </c>
      <c r="DN279" s="18"/>
      <c r="DO279" s="18"/>
      <c r="DP279" s="18"/>
      <c r="DQ279" s="18"/>
      <c r="DR279" s="18"/>
      <c r="DS279" s="18"/>
      <c r="DT279" s="18"/>
      <c r="DU279" s="18"/>
      <c r="DV279" s="28"/>
      <c r="DW279" s="28"/>
      <c r="DX279" s="28"/>
      <c r="DY279" s="28"/>
      <c r="DZ279" s="28"/>
      <c r="EA279" s="28"/>
      <c r="EB279" s="28"/>
      <c r="EC279" s="28"/>
      <c r="ED279" s="28"/>
      <c r="EE279" s="28"/>
      <c r="EF279" s="28"/>
      <c r="EG279" s="28"/>
      <c r="EH279" s="28"/>
      <c r="EI279" s="28"/>
      <c r="EJ279" s="18"/>
      <c r="EK279" s="18"/>
      <c r="EL279" s="18">
        <f>IFERROR(CR279/'McDonough &amp; Sun 1995 values'!C$2,)</f>
        <v>1.0476190476190474</v>
      </c>
      <c r="EM279" s="18">
        <f>IFERROR(CH279/'McDonough &amp; Sun 1995 values'!D$2,)</f>
        <v>1.5833333333333333</v>
      </c>
      <c r="EN279" s="18">
        <f>IFERROR(CS279/'McDonough &amp; Sun 1995 values'!E$2,)</f>
        <v>3.4772727272727275</v>
      </c>
      <c r="EO279" s="18">
        <f>IFERROR(DL279/'McDonough &amp; Sun 1995 values'!F$2,)</f>
        <v>2.1886792452830188</v>
      </c>
      <c r="EP279" s="18">
        <f>IFERROR(DM279/'McDonough &amp; Sun 1995 values'!G$2,)</f>
        <v>1.9211822660098523</v>
      </c>
      <c r="EQ279" s="18">
        <f>IFERROR(BR279/'McDonough &amp; Sun 1995 values'!H$2,)</f>
        <v>1.2416666666666667</v>
      </c>
      <c r="ER279" s="18">
        <f>IFERROR(DI279/'McDonough &amp; Sun 1995 values'!I$2,)</f>
        <v>1.1351351351351353</v>
      </c>
      <c r="ES279" s="18">
        <f>IFERROR(CM279/'McDonough &amp; Sun 1995 values'!J$2,)</f>
        <v>2.0501519756838906</v>
      </c>
      <c r="ET279" s="18">
        <f>IFERROR(CU279/'McDonough &amp; Sun 1995 values'!K$2,)</f>
        <v>2.2685185185185186</v>
      </c>
      <c r="EU279" s="18">
        <f>IFERROR(CV279/'McDonough &amp; Sun 1995 values'!L$2,)</f>
        <v>1.2776119402985076</v>
      </c>
      <c r="EV279" s="18">
        <f>IFERROR(CW279/'McDonough &amp; Sun 1995 values'!M$2,)</f>
        <v>0.94881889763779526</v>
      </c>
      <c r="EW279" s="18">
        <f>IFERROR(CI279/'McDonough &amp; Sun 1995 values'!N$2,)</f>
        <v>0.52613065326633168</v>
      </c>
      <c r="EX279" s="18">
        <f>IFERROR(CX279/'McDonough &amp; Sun 1995 values'!O$2,)</f>
        <v>0.64800000000000002</v>
      </c>
      <c r="EY279" s="18">
        <f>IFERROR(CY279/'McDonough &amp; Sun 1995 values'!P$2,)</f>
        <v>0.21674876847290639</v>
      </c>
      <c r="EZ279" s="18">
        <f>IFERROR(DH279/'McDonough &amp; Sun 1995 values'!Q$2,)</f>
        <v>8.1272084805653719E-2</v>
      </c>
      <c r="FA279" s="18">
        <f>IFERROR(CK279/'McDonough &amp; Sun 1995 values'!R$2,)</f>
        <v>6.7523809523809514E-2</v>
      </c>
      <c r="FB279" s="18">
        <f>IFERROR(CZ279/'McDonough &amp; Sun 1995 values'!S$2,)</f>
        <v>0.16233766233766234</v>
      </c>
      <c r="FC279" s="18">
        <f>IFERROR(BT279/'McDonough &amp; Sun 1995 values'!T$2,)</f>
        <v>3.1253112033195016E-2</v>
      </c>
      <c r="FD279" s="18">
        <f>IFERROR(DA279/'McDonough &amp; Sun 1995 values'!U$2,)</f>
        <v>9.0073529411764705E-2</v>
      </c>
      <c r="FE279" s="18">
        <f>IFERROR(DN279/'McDonough &amp; Sun 1995 values'!V$2,)</f>
        <v>0</v>
      </c>
      <c r="FF279" s="18">
        <f>IFERROR(DB279/'McDonough &amp; Sun 1995 values'!W$2,)</f>
        <v>4.7477744807121657E-2</v>
      </c>
      <c r="FG279" s="18">
        <f>IFERROR(CJ279/'McDonough &amp; Sun 1995 values'!X$2,)</f>
        <v>2.4186046511627906E-2</v>
      </c>
      <c r="FH279" s="18">
        <f>IFERROR(DC279/'McDonough &amp; Sun 1995 values'!Y$2,)</f>
        <v>6.7114093959731544E-2</v>
      </c>
      <c r="FI279" s="18">
        <f>IFERROR(DD279/'McDonough &amp; Sun 1995 values'!Z$2,)</f>
        <v>3.6529680365296802E-2</v>
      </c>
      <c r="FJ279" s="18">
        <f>IFERROR(DE279/'McDonough &amp; Sun 1995 values'!AA$2,)</f>
        <v>0</v>
      </c>
      <c r="FK279" s="18">
        <f>IFERROR(DF279/'McDonough &amp; Sun 1995 values'!AB$2,)</f>
        <v>9.0702947845804991E-3</v>
      </c>
      <c r="FL279" s="18">
        <f>IFERROR(DG279/'McDonough &amp; Sun 1995 values'!AC$2,)</f>
        <v>7.407407407407407E-2</v>
      </c>
      <c r="FN279" s="28">
        <f t="shared" si="614"/>
        <v>1.5472608853770622</v>
      </c>
      <c r="FO279" s="4">
        <f t="shared" si="620"/>
        <v>1.8099650349650349</v>
      </c>
      <c r="FP279" s="4">
        <f t="shared" si="621"/>
        <v>1.0675692686406422</v>
      </c>
      <c r="FQ279" s="4">
        <f t="shared" si="622"/>
        <v>1.1392356071601353</v>
      </c>
      <c r="FR279" s="4">
        <f t="shared" si="623"/>
        <v>1.1065123685583285</v>
      </c>
      <c r="FS279" s="4">
        <f t="shared" si="624"/>
        <v>1.9984567901234565</v>
      </c>
      <c r="FT279" s="4">
        <f t="shared" si="625"/>
        <v>1.5113636363636365</v>
      </c>
      <c r="FU279" s="4">
        <f t="shared" si="626"/>
        <v>0.55368340913188951</v>
      </c>
      <c r="FV279" s="4">
        <f t="shared" si="627"/>
        <v>0.31153030303030299</v>
      </c>
      <c r="FW279" s="4">
        <f t="shared" si="628"/>
        <v>0.8308364389233952</v>
      </c>
      <c r="FX279" s="4">
        <f t="shared" si="629"/>
        <v>1.0581868622774093</v>
      </c>
      <c r="FY279" s="4">
        <f t="shared" si="630"/>
        <v>0.670987514981083</v>
      </c>
      <c r="FZ279" s="4">
        <f t="shared" si="631"/>
        <v>1.1618294436528831</v>
      </c>
      <c r="GA279" s="4">
        <f t="shared" si="632"/>
        <v>0.55451114493629983</v>
      </c>
      <c r="GB279" s="4">
        <f t="shared" si="633"/>
        <v>0.74896694214876036</v>
      </c>
      <c r="GC279" s="4">
        <f t="shared" si="634"/>
        <v>0.66165413533834583</v>
      </c>
      <c r="GD279" s="4">
        <f t="shared" si="635"/>
        <v>1.5887539184952979</v>
      </c>
      <c r="GE279" s="4">
        <f t="shared" si="636"/>
        <v>2.196172248803828</v>
      </c>
      <c r="GF279" s="4">
        <f t="shared" si="637"/>
        <v>2.8004881025015256</v>
      </c>
      <c r="GG279" s="4">
        <f t="shared" si="638"/>
        <v>1.6961048588179797</v>
      </c>
      <c r="GH279" s="4">
        <f t="shared" si="639"/>
        <v>2.3908867373597666</v>
      </c>
      <c r="GI279" s="4">
        <f t="shared" si="640"/>
        <v>10.466119528619529</v>
      </c>
      <c r="GJ279" s="4">
        <f t="shared" si="641"/>
        <v>47.780671296296305</v>
      </c>
      <c r="GK279" s="4">
        <f t="shared" si="642"/>
        <v>250.10416666666666</v>
      </c>
      <c r="GL279" s="4">
        <f t="shared" si="643"/>
        <v>2.1605467465796728</v>
      </c>
      <c r="GM279" s="4">
        <f t="shared" si="644"/>
        <v>1.3823237338629593</v>
      </c>
      <c r="GN279" s="4">
        <f t="shared" si="645"/>
        <v>0.90374046275044972</v>
      </c>
      <c r="GO279" s="4">
        <f t="shared" si="646"/>
        <v>1.0671303873431532</v>
      </c>
      <c r="GP279" s="4">
        <f t="shared" si="647"/>
        <v>0.64630341880341879</v>
      </c>
      <c r="GQ279" s="27">
        <f t="shared" si="648"/>
        <v>59173.573203177555</v>
      </c>
      <c r="GR279" s="28">
        <f t="shared" si="649"/>
        <v>4.368518827080222</v>
      </c>
      <c r="GS279" s="28">
        <f t="shared" si="650"/>
        <v>188.64058571482778</v>
      </c>
      <c r="GT279" s="28">
        <f t="shared" si="651"/>
        <v>4557.1594127950502</v>
      </c>
      <c r="GU279" s="28">
        <f t="shared" si="652"/>
        <v>34.551012541452664</v>
      </c>
      <c r="GV279" s="28">
        <f t="shared" si="653"/>
        <v>7.7441924661876662</v>
      </c>
      <c r="GW279" s="28">
        <f t="shared" si="654"/>
        <v>59173.573203177555</v>
      </c>
      <c r="GX279" s="28">
        <f t="shared" si="655"/>
        <v>8.3398995789713339</v>
      </c>
      <c r="GY279" s="28">
        <f t="shared" si="656"/>
        <v>267.86963171505545</v>
      </c>
      <c r="GZ279" s="28">
        <f t="shared" si="657"/>
        <v>291.89648526399668</v>
      </c>
      <c r="HA279" s="28">
        <f t="shared" si="658"/>
        <v>424.93774045234892</v>
      </c>
      <c r="HB279" s="28">
        <f t="shared" si="659"/>
        <v>47.855138060287892</v>
      </c>
      <c r="HC279" s="28">
        <f t="shared" si="660"/>
        <v>2079.0178236149968</v>
      </c>
      <c r="HD279" s="28">
        <f t="shared" si="661"/>
        <v>160.84092045159002</v>
      </c>
      <c r="HE279" s="28">
        <f t="shared" si="662"/>
        <v>17.474075308320888</v>
      </c>
      <c r="HF279" s="28">
        <f t="shared" si="663"/>
        <v>4.5670878646747779</v>
      </c>
      <c r="HG279" s="28">
        <f t="shared" si="664"/>
        <v>140.78544765453987</v>
      </c>
      <c r="HH279" s="28">
        <f t="shared" si="665"/>
        <v>4.9642259398638897</v>
      </c>
      <c r="HI279" s="28">
        <f t="shared" si="666"/>
        <v>7478.1099558109618</v>
      </c>
      <c r="HJ279" s="28">
        <f t="shared" si="667"/>
        <v>9.7298828421332217</v>
      </c>
      <c r="HK279" s="28">
        <f t="shared" si="668"/>
        <v>0</v>
      </c>
      <c r="HL279" s="28">
        <f t="shared" si="669"/>
        <v>6.3542092030257775</v>
      </c>
      <c r="HM279" s="28">
        <f t="shared" si="670"/>
        <v>20.651179909833779</v>
      </c>
      <c r="HN279" s="28">
        <f t="shared" si="671"/>
        <v>1.9856903759455558</v>
      </c>
      <c r="HO279" s="28">
        <f t="shared" si="672"/>
        <v>3.1771046015128888</v>
      </c>
      <c r="HP279" s="28">
        <f t="shared" si="673"/>
        <v>0</v>
      </c>
      <c r="HQ279" s="28">
        <f t="shared" si="674"/>
        <v>0.79427615037822219</v>
      </c>
      <c r="HR279" s="28">
        <f t="shared" si="675"/>
        <v>0.99284518797277788</v>
      </c>
      <c r="HT279" s="4">
        <f>IFERROR(GR279/'McDonough &amp; Sun 1995 values'!C$2,)</f>
        <v>208.02470605143913</v>
      </c>
      <c r="HU279" s="4">
        <f>IFERROR(GS279/'McDonough &amp; Sun 1995 values'!D$2,)</f>
        <v>314.40097619137964</v>
      </c>
      <c r="HV279" s="4">
        <f>IFERROR(GT279/'McDonough &amp; Sun 1995 values'!E$2,)</f>
        <v>690.47869890834102</v>
      </c>
      <c r="HW279" s="4">
        <f>IFERROR(GU279/'McDonough &amp; Sun 1995 values'!F$2,)</f>
        <v>434.60393133902721</v>
      </c>
      <c r="HX279" s="4">
        <f>IFERROR(GV279/'McDonough &amp; Sun 1995 values'!G$2,)</f>
        <v>381.48731360530377</v>
      </c>
      <c r="HY279" s="4">
        <f>IFERROR(GW279/'McDonough &amp; Sun 1995 values'!H$2,)</f>
        <v>246.5565550132398</v>
      </c>
      <c r="HZ279" s="4">
        <f>IFERROR(GX279/'McDonough &amp; Sun 1995 values'!I$2,)</f>
        <v>225.40269132354959</v>
      </c>
      <c r="IA279" s="4">
        <f>IFERROR(GY279/'McDonough &amp; Sun 1995 values'!J$2,)</f>
        <v>407.09670473412677</v>
      </c>
      <c r="IB279" s="4">
        <f>IFERROR(GZ279/'McDonough &amp; Sun 1995 values'!K$2,)</f>
        <v>450.45753898764917</v>
      </c>
      <c r="IC279" s="4">
        <f>IFERROR(HA279/'McDonough &amp; Sun 1995 values'!L$2,)</f>
        <v>253.69417340438741</v>
      </c>
      <c r="ID279" s="4">
        <f>IFERROR(HB279/'McDonough &amp; Sun 1995 values'!M$2,)</f>
        <v>188.40605535546413</v>
      </c>
      <c r="IE279" s="4">
        <f>IFERROR(HC279/'McDonough &amp; Sun 1995 values'!N$2,)</f>
        <v>104.4732574680903</v>
      </c>
      <c r="IF279" s="4">
        <f>IFERROR(HD279/'McDonough &amp; Sun 1995 values'!O$2,)</f>
        <v>128.67273636127203</v>
      </c>
      <c r="IG279" s="4">
        <f>IFERROR(HE279/'McDonough &amp; Sun 1995 values'!P$2,)</f>
        <v>43.039594355470165</v>
      </c>
      <c r="IH279" s="4">
        <f>IFERROR(HF279/'McDonough &amp; Sun 1995 values'!Q$2,)</f>
        <v>16.13811966316176</v>
      </c>
      <c r="II279" s="4">
        <f>IFERROR(HG279/'McDonough &amp; Sun 1995 values'!R$2,)</f>
        <v>13.408137871860939</v>
      </c>
      <c r="IJ279" s="4">
        <f>IFERROR(HH279/'McDonough &amp; Sun 1995 values'!S$2,)</f>
        <v>32.235233375739547</v>
      </c>
      <c r="IK279" s="4">
        <f>IFERROR(HI279/'McDonough &amp; Sun 1995 values'!T$2,)</f>
        <v>6.2059003782663584</v>
      </c>
      <c r="IL279" s="4">
        <f>IFERROR(HJ279/'McDonough &amp; Sun 1995 values'!U$2,)</f>
        <v>17.885814048039009</v>
      </c>
      <c r="IM279" s="4">
        <f>IFERROR(HK279/'McDonough &amp; Sun 1995 values'!V$2,)</f>
        <v>0</v>
      </c>
      <c r="IN279" s="4">
        <f>IFERROR(HL279/'McDonough &amp; Sun 1995 values'!W$2,)</f>
        <v>9.4276100935100544</v>
      </c>
      <c r="IO279" s="4">
        <f>IFERROR(HM279/'McDonough &amp; Sun 1995 values'!X$2,)</f>
        <v>4.802599979031112</v>
      </c>
      <c r="IP279" s="4">
        <f>IFERROR(HN279/'McDonough &amp; Sun 1995 values'!Y$2,)</f>
        <v>13.326781046614469</v>
      </c>
      <c r="IQ279" s="4">
        <f>IFERROR(HO279/'McDonough &amp; Sun 1995 values'!Z$2,)</f>
        <v>7.2536634737737185</v>
      </c>
      <c r="IR279" s="4">
        <f>IFERROR(HP279/'McDonough &amp; Sun 1995 values'!AA$2,)</f>
        <v>0</v>
      </c>
      <c r="IS279" s="4">
        <f>IFERROR(HQ279/'McDonough &amp; Sun 1995 values'!AB$2,)</f>
        <v>1.8010797060730661</v>
      </c>
      <c r="IT279" s="4">
        <f>IFERROR(HR279/'McDonough &amp; Sun 1995 values'!AC$2,)</f>
        <v>14.708817599596708</v>
      </c>
    </row>
    <row r="280" spans="1:254">
      <c r="A280" s="16" t="s">
        <v>672</v>
      </c>
      <c r="B280" s="16" t="s">
        <v>24</v>
      </c>
      <c r="C280" s="16" t="str">
        <f t="shared" si="617"/>
        <v>silicic - low-Mg carbonatitic</v>
      </c>
      <c r="D280" s="16" t="s">
        <v>1723</v>
      </c>
      <c r="E280" s="16" t="s">
        <v>237</v>
      </c>
      <c r="F280" s="16" t="s">
        <v>29</v>
      </c>
      <c r="G280" s="16" t="s">
        <v>595</v>
      </c>
      <c r="H280" s="27">
        <v>360</v>
      </c>
      <c r="I280" s="16" t="s">
        <v>735</v>
      </c>
      <c r="J280" s="16" t="s">
        <v>1496</v>
      </c>
      <c r="K280" s="16">
        <v>0</v>
      </c>
      <c r="L280" s="16">
        <v>0</v>
      </c>
      <c r="M280" s="16" t="s">
        <v>80</v>
      </c>
      <c r="N280" s="16">
        <v>20</v>
      </c>
      <c r="O280" s="26">
        <v>32.96</v>
      </c>
      <c r="P280" s="26">
        <v>4.6900000000000004</v>
      </c>
      <c r="Q280" s="26">
        <v>0.21</v>
      </c>
      <c r="R280" s="26">
        <v>8.3800000000000008</v>
      </c>
      <c r="S280" s="26">
        <v>20.85</v>
      </c>
      <c r="T280" s="26">
        <v>5.96</v>
      </c>
      <c r="U280" s="26">
        <v>0.37</v>
      </c>
      <c r="V280" s="26">
        <v>13.12</v>
      </c>
      <c r="W280" s="26">
        <v>1.42</v>
      </c>
      <c r="X280" s="26">
        <v>6.32</v>
      </c>
      <c r="Y280" s="26"/>
      <c r="Z280" s="26">
        <v>2.93</v>
      </c>
      <c r="AA280" s="26"/>
      <c r="AB280" s="26"/>
      <c r="AC280" s="26"/>
      <c r="AD280" s="26">
        <v>1.33</v>
      </c>
      <c r="AE280" s="26"/>
      <c r="AF280" s="26">
        <v>1.46</v>
      </c>
      <c r="AG280" s="26"/>
      <c r="AH280" s="26"/>
      <c r="AI280" s="26"/>
      <c r="AJ280" s="26">
        <f t="shared" si="618"/>
        <v>97.96</v>
      </c>
      <c r="AK280" s="26">
        <f t="shared" si="678"/>
        <v>33.749792752369849</v>
      </c>
      <c r="AL280" s="26">
        <f t="shared" si="679"/>
        <v>4.8023825245332104</v>
      </c>
      <c r="AM280" s="26">
        <f t="shared" si="680"/>
        <v>8.5808028903173348</v>
      </c>
      <c r="AN280" s="26">
        <f t="shared" si="681"/>
        <v>21.349611009918426</v>
      </c>
      <c r="AO280" s="26">
        <f t="shared" si="682"/>
        <v>6.1028144661445474</v>
      </c>
      <c r="AP280" s="26">
        <f t="shared" si="683"/>
        <v>13.434383522787996</v>
      </c>
      <c r="AQ280" s="26">
        <f t="shared" si="684"/>
        <v>0</v>
      </c>
      <c r="AR280" s="26">
        <f t="shared" si="685"/>
        <v>1.4540262654237008</v>
      </c>
      <c r="AS280" s="26">
        <f t="shared" si="686"/>
        <v>6.4714408432942179</v>
      </c>
      <c r="AT280" s="26">
        <f t="shared" si="687"/>
        <v>3.0002091251348197</v>
      </c>
      <c r="AU280" s="26">
        <f t="shared" si="688"/>
        <v>1.3618696711362832</v>
      </c>
      <c r="AV280" s="26">
        <f t="shared" si="619"/>
        <v>100.3073330710604</v>
      </c>
      <c r="AW280" s="16"/>
      <c r="AX280" s="16"/>
      <c r="AY280" s="16"/>
      <c r="AZ280" s="16"/>
      <c r="BA280" s="26"/>
      <c r="BB280" s="26">
        <v>0.11</v>
      </c>
      <c r="BC280" s="26">
        <f t="shared" si="676"/>
        <v>0.10999999999999999</v>
      </c>
      <c r="BD280" s="26">
        <f t="shared" si="677"/>
        <v>0.89</v>
      </c>
      <c r="BE280" s="25"/>
      <c r="BF280" s="16"/>
      <c r="BG280" s="16">
        <v>823</v>
      </c>
      <c r="BH280" s="16">
        <v>18</v>
      </c>
      <c r="BI280" s="16"/>
      <c r="BJ280" s="16"/>
      <c r="BK280" s="18"/>
      <c r="BL280" s="18"/>
      <c r="BM280" s="18"/>
      <c r="BN280" s="18">
        <v>24</v>
      </c>
      <c r="BO280" s="18">
        <v>47</v>
      </c>
      <c r="BP280" s="18">
        <v>25</v>
      </c>
      <c r="BQ280" s="18"/>
      <c r="BR280" s="18">
        <v>73</v>
      </c>
      <c r="BS280" s="18">
        <v>149</v>
      </c>
      <c r="BT280" s="18">
        <v>26</v>
      </c>
      <c r="BU280" s="18"/>
      <c r="BV280" s="18">
        <v>1.2</v>
      </c>
      <c r="BW280" s="18">
        <v>84</v>
      </c>
      <c r="BX280" s="18">
        <v>0.33200000000000002</v>
      </c>
      <c r="BY280" s="18">
        <v>0.62</v>
      </c>
      <c r="BZ280" s="18"/>
      <c r="CA280" s="18">
        <v>4.3999999999999997E-2</v>
      </c>
      <c r="CB280" s="18">
        <v>3.5999999999999997E-2</v>
      </c>
      <c r="CC280" s="18"/>
      <c r="CD280" s="18"/>
      <c r="CE280" s="18"/>
      <c r="CF280" s="18"/>
      <c r="CG280" s="18"/>
      <c r="CH280" s="18">
        <v>0.31</v>
      </c>
      <c r="CI280" s="18">
        <v>2.25</v>
      </c>
      <c r="CJ280" s="18">
        <v>5.8999999999999997E-2</v>
      </c>
      <c r="CK280" s="18">
        <v>0.50900000000000001</v>
      </c>
      <c r="CL280" s="18"/>
      <c r="CM280" s="18">
        <v>0.28899999999999998</v>
      </c>
      <c r="CN280" s="18"/>
      <c r="CO280" s="18"/>
      <c r="CP280" s="18"/>
      <c r="CQ280" s="18"/>
      <c r="CR280" s="18">
        <v>6.0000000000000001E-3</v>
      </c>
      <c r="CS280" s="18">
        <v>2.96</v>
      </c>
      <c r="CT280" s="18">
        <v>0.17599999999999999</v>
      </c>
      <c r="CU280" s="18">
        <v>0.26</v>
      </c>
      <c r="CV280" s="18">
        <v>0.45</v>
      </c>
      <c r="CW280" s="18">
        <v>5.7000000000000002E-2</v>
      </c>
      <c r="CX280" s="18">
        <v>0.21199999999999999</v>
      </c>
      <c r="CY280" s="18">
        <v>3.6999999999999998E-2</v>
      </c>
      <c r="CZ280" s="18">
        <v>1.0999999999999999E-2</v>
      </c>
      <c r="DA280" s="18">
        <v>3.3000000000000002E-2</v>
      </c>
      <c r="DB280" s="18">
        <v>2.1000000000000001E-2</v>
      </c>
      <c r="DC280" s="18">
        <v>4.0000000000000001E-3</v>
      </c>
      <c r="DD280" s="18">
        <v>5.0000000000000001E-3</v>
      </c>
      <c r="DE280" s="18"/>
      <c r="DF280" s="18">
        <v>0.01</v>
      </c>
      <c r="DG280" s="18">
        <v>2E-3</v>
      </c>
      <c r="DH280" s="18">
        <v>1.9E-2</v>
      </c>
      <c r="DI280" s="18">
        <v>1.0999999999999999E-2</v>
      </c>
      <c r="DJ280" s="18"/>
      <c r="DK280" s="18">
        <v>0.17</v>
      </c>
      <c r="DL280" s="18">
        <v>2.9000000000000001E-2</v>
      </c>
      <c r="DM280" s="18">
        <v>8.9999999999999993E-3</v>
      </c>
      <c r="DN280" s="18"/>
      <c r="DO280" s="18"/>
      <c r="DP280" s="18"/>
      <c r="DQ280" s="18"/>
      <c r="DR280" s="18"/>
      <c r="DS280" s="18"/>
      <c r="DT280" s="18"/>
      <c r="DU280" s="18"/>
      <c r="DV280" s="28"/>
      <c r="DW280" s="28"/>
      <c r="DX280" s="28"/>
      <c r="DY280" s="28"/>
      <c r="DZ280" s="28"/>
      <c r="EA280" s="28"/>
      <c r="EB280" s="28"/>
      <c r="EC280" s="28"/>
      <c r="ED280" s="28"/>
      <c r="EE280" s="28"/>
      <c r="EF280" s="28"/>
      <c r="EG280" s="28"/>
      <c r="EH280" s="28"/>
      <c r="EI280" s="28"/>
      <c r="EJ280" s="18"/>
      <c r="EK280" s="18"/>
      <c r="EL280" s="18">
        <f>IFERROR(CR280/'McDonough &amp; Sun 1995 values'!C$2,)</f>
        <v>0.2857142857142857</v>
      </c>
      <c r="EM280" s="18">
        <f>IFERROR(CH280/'McDonough &amp; Sun 1995 values'!D$2,)</f>
        <v>0.51666666666666672</v>
      </c>
      <c r="EN280" s="18">
        <f>IFERROR(CS280/'McDonough &amp; Sun 1995 values'!E$2,)</f>
        <v>0.44848484848484849</v>
      </c>
      <c r="EO280" s="18">
        <f>IFERROR(DL280/'McDonough &amp; Sun 1995 values'!F$2,)</f>
        <v>0.36477987421383651</v>
      </c>
      <c r="EP280" s="18">
        <f>IFERROR(DM280/'McDonough &amp; Sun 1995 values'!G$2,)</f>
        <v>0.44334975369458129</v>
      </c>
      <c r="EQ280" s="18">
        <f>IFERROR(BR280/'McDonough &amp; Sun 1995 values'!H$2,)</f>
        <v>0.30416666666666664</v>
      </c>
      <c r="ER280" s="18">
        <f>IFERROR(DI280/'McDonough &amp; Sun 1995 values'!I$2,)</f>
        <v>0.29729729729729731</v>
      </c>
      <c r="ES280" s="18">
        <f>IFERROR(CM280/'McDonough &amp; Sun 1995 values'!J$2,)</f>
        <v>0.43920972644376893</v>
      </c>
      <c r="ET280" s="18">
        <f>IFERROR(CU280/'McDonough &amp; Sun 1995 values'!K$2,)</f>
        <v>0.40123456790123457</v>
      </c>
      <c r="EU280" s="18">
        <f>IFERROR(CV280/'McDonough &amp; Sun 1995 values'!L$2,)</f>
        <v>0.26865671641791045</v>
      </c>
      <c r="EV280" s="18">
        <f>IFERROR(CW280/'McDonough &amp; Sun 1995 values'!M$2,)</f>
        <v>0.22440944881889766</v>
      </c>
      <c r="EW280" s="18">
        <f>IFERROR(CI280/'McDonough &amp; Sun 1995 values'!N$2,)</f>
        <v>0.11306532663316583</v>
      </c>
      <c r="EX280" s="18">
        <f>IFERROR(CX280/'McDonough &amp; Sun 1995 values'!O$2,)</f>
        <v>0.1696</v>
      </c>
      <c r="EY280" s="18">
        <f>IFERROR(CY280/'McDonough &amp; Sun 1995 values'!P$2,)</f>
        <v>9.113300492610836E-2</v>
      </c>
      <c r="EZ280" s="18">
        <f>IFERROR(DH280/'McDonough &amp; Sun 1995 values'!Q$2,)</f>
        <v>6.7137809187279157E-2</v>
      </c>
      <c r="FA280" s="18">
        <f>IFERROR(CK280/'McDonough &amp; Sun 1995 values'!R$2,)</f>
        <v>4.8476190476190478E-2</v>
      </c>
      <c r="FB280" s="18">
        <f>IFERROR(CZ280/'McDonough &amp; Sun 1995 values'!S$2,)</f>
        <v>7.1428571428571425E-2</v>
      </c>
      <c r="FC280" s="18">
        <f>IFERROR(BT280/'McDonough &amp; Sun 1995 values'!T$2,)</f>
        <v>2.1576763485477178E-2</v>
      </c>
      <c r="FD280" s="18">
        <f>IFERROR(DA280/'McDonough &amp; Sun 1995 values'!U$2,)</f>
        <v>6.0661764705882353E-2</v>
      </c>
      <c r="FE280" s="18">
        <f>IFERROR(DN280/'McDonough &amp; Sun 1995 values'!V$2,)</f>
        <v>0</v>
      </c>
      <c r="FF280" s="18">
        <f>IFERROR(DB280/'McDonough &amp; Sun 1995 values'!W$2,)</f>
        <v>3.1157270029673591E-2</v>
      </c>
      <c r="FG280" s="18">
        <f>IFERROR(CJ280/'McDonough &amp; Sun 1995 values'!X$2,)</f>
        <v>1.3720930232558139E-2</v>
      </c>
      <c r="FH280" s="18">
        <f>IFERROR(DC280/'McDonough &amp; Sun 1995 values'!Y$2,)</f>
        <v>2.684563758389262E-2</v>
      </c>
      <c r="FI280" s="18">
        <f>IFERROR(DD280/'McDonough &amp; Sun 1995 values'!Z$2,)</f>
        <v>1.1415525114155251E-2</v>
      </c>
      <c r="FJ280" s="18">
        <f>IFERROR(DE280/'McDonough &amp; Sun 1995 values'!AA$2,)</f>
        <v>0</v>
      </c>
      <c r="FK280" s="18">
        <f>IFERROR(DF280/'McDonough &amp; Sun 1995 values'!AB$2,)</f>
        <v>2.2675736961451247E-2</v>
      </c>
      <c r="FL280" s="18">
        <f>IFERROR(DG280/'McDonough &amp; Sun 1995 values'!AC$2,)</f>
        <v>2.9629629629629627E-2</v>
      </c>
      <c r="FN280" s="28">
        <f t="shared" si="614"/>
        <v>1.4575882313246509</v>
      </c>
      <c r="FO280" s="4">
        <f t="shared" si="620"/>
        <v>1.0115824915824916</v>
      </c>
      <c r="FP280" s="4">
        <f t="shared" si="621"/>
        <v>0.83053687623773165</v>
      </c>
      <c r="FQ280" s="4">
        <f t="shared" si="622"/>
        <v>0.82278127183787564</v>
      </c>
      <c r="FR280" s="4">
        <f t="shared" si="623"/>
        <v>0.91353752830108093</v>
      </c>
      <c r="FS280" s="4">
        <f t="shared" si="624"/>
        <v>1.3496071829405163</v>
      </c>
      <c r="FT280" s="4">
        <f t="shared" si="625"/>
        <v>1.8083333333333336</v>
      </c>
      <c r="FU280" s="4">
        <f t="shared" si="626"/>
        <v>0.6768914242962687</v>
      </c>
      <c r="FV280" s="4">
        <f t="shared" si="627"/>
        <v>0.53192792792792798</v>
      </c>
      <c r="FW280" s="4">
        <f t="shared" si="628"/>
        <v>0.72204010025062659</v>
      </c>
      <c r="FX280" s="4">
        <f t="shared" si="629"/>
        <v>0.94112032452424987</v>
      </c>
      <c r="FY280" s="4">
        <f t="shared" si="630"/>
        <v>0.5795567231304608</v>
      </c>
      <c r="FZ280" s="4">
        <f t="shared" si="631"/>
        <v>0.96067524319976261</v>
      </c>
      <c r="GA280" s="4">
        <f t="shared" si="632"/>
        <v>0.50383496429515995</v>
      </c>
      <c r="GB280" s="4">
        <f t="shared" si="633"/>
        <v>0.78378378378378388</v>
      </c>
      <c r="GC280" s="4">
        <f t="shared" si="634"/>
        <v>0.55299539170506906</v>
      </c>
      <c r="GD280" s="4">
        <f t="shared" si="635"/>
        <v>1.2294670846394984</v>
      </c>
      <c r="GE280" s="4">
        <f t="shared" si="636"/>
        <v>0.86803519061583567</v>
      </c>
      <c r="GF280" s="4">
        <f t="shared" si="637"/>
        <v>1.4744707347447075</v>
      </c>
      <c r="GG280" s="4">
        <f t="shared" si="638"/>
        <v>1.0211177519135999</v>
      </c>
      <c r="GH280" s="4">
        <f t="shared" si="639"/>
        <v>1.7879575481914662</v>
      </c>
      <c r="GI280" s="4">
        <f t="shared" si="640"/>
        <v>4.4027360694027369</v>
      </c>
      <c r="GJ280" s="4">
        <f t="shared" si="641"/>
        <v>12.8777189888301</v>
      </c>
      <c r="GK280" s="4">
        <f t="shared" si="642"/>
        <v>17.694444444444446</v>
      </c>
      <c r="GL280" s="4">
        <f t="shared" si="643"/>
        <v>2.2466849816849819</v>
      </c>
      <c r="GM280" s="4">
        <f t="shared" si="644"/>
        <v>0.70602556299452224</v>
      </c>
      <c r="GN280" s="4">
        <f t="shared" si="645"/>
        <v>1.0946457797521625</v>
      </c>
      <c r="GO280" s="4">
        <f t="shared" si="646"/>
        <v>0.99066193853427875</v>
      </c>
      <c r="GP280" s="4">
        <f t="shared" si="647"/>
        <v>0.68606481481481474</v>
      </c>
      <c r="GQ280" s="27">
        <f t="shared" si="648"/>
        <v>53721.844592437599</v>
      </c>
      <c r="GR280" s="28">
        <f t="shared" si="649"/>
        <v>4.4154940760907619</v>
      </c>
      <c r="GS280" s="28">
        <f t="shared" si="650"/>
        <v>228.13386059802269</v>
      </c>
      <c r="GT280" s="28">
        <f t="shared" si="651"/>
        <v>2178.3104108714424</v>
      </c>
      <c r="GU280" s="28">
        <f t="shared" si="652"/>
        <v>21.341554701105348</v>
      </c>
      <c r="GV280" s="28">
        <f t="shared" si="653"/>
        <v>6.6232411141361425</v>
      </c>
      <c r="GW280" s="28">
        <f t="shared" si="654"/>
        <v>53721.844592437599</v>
      </c>
      <c r="GX280" s="28">
        <f t="shared" si="655"/>
        <v>8.0950724728330616</v>
      </c>
      <c r="GY280" s="28">
        <f t="shared" si="656"/>
        <v>212.67963133170502</v>
      </c>
      <c r="GZ280" s="28">
        <f t="shared" si="657"/>
        <v>191.33807663059969</v>
      </c>
      <c r="HA280" s="28">
        <f t="shared" si="658"/>
        <v>331.16205570680711</v>
      </c>
      <c r="HB280" s="28">
        <f t="shared" si="659"/>
        <v>41.947193722862238</v>
      </c>
      <c r="HC280" s="28">
        <f t="shared" si="660"/>
        <v>1655.8102785340354</v>
      </c>
      <c r="HD280" s="28">
        <f t="shared" si="661"/>
        <v>156.01412402187356</v>
      </c>
      <c r="HE280" s="28">
        <f t="shared" si="662"/>
        <v>27.228880135893025</v>
      </c>
      <c r="HF280" s="28">
        <f t="shared" si="663"/>
        <v>13.982397907620744</v>
      </c>
      <c r="HG280" s="28">
        <f t="shared" si="664"/>
        <v>374.58108078836625</v>
      </c>
      <c r="HH280" s="28">
        <f t="shared" si="665"/>
        <v>8.0950724728330616</v>
      </c>
      <c r="HI280" s="28">
        <f t="shared" si="666"/>
        <v>19133.807663059964</v>
      </c>
      <c r="HJ280" s="28">
        <f t="shared" si="667"/>
        <v>24.28521741849919</v>
      </c>
      <c r="HK280" s="28">
        <f t="shared" si="668"/>
        <v>0</v>
      </c>
      <c r="HL280" s="28">
        <f t="shared" si="669"/>
        <v>15.454229266317666</v>
      </c>
      <c r="HM280" s="28">
        <f t="shared" si="670"/>
        <v>43.419025081559155</v>
      </c>
      <c r="HN280" s="28">
        <f t="shared" si="671"/>
        <v>2.943662717393841</v>
      </c>
      <c r="HO280" s="28">
        <f t="shared" si="672"/>
        <v>3.679578396742301</v>
      </c>
      <c r="HP280" s="28">
        <f t="shared" si="673"/>
        <v>0</v>
      </c>
      <c r="HQ280" s="28">
        <f t="shared" si="674"/>
        <v>7.3591567934846021</v>
      </c>
      <c r="HR280" s="28">
        <f t="shared" si="675"/>
        <v>1.4718313586969205</v>
      </c>
      <c r="HT280" s="4">
        <f>IFERROR(GR280/'McDonough &amp; Sun 1995 values'!C$2,)</f>
        <v>210.26162267098866</v>
      </c>
      <c r="HU280" s="4">
        <f>IFERROR(GS280/'McDonough &amp; Sun 1995 values'!D$2,)</f>
        <v>380.22310099670449</v>
      </c>
      <c r="HV280" s="4">
        <f>IFERROR(GT280/'McDonough &amp; Sun 1995 values'!E$2,)</f>
        <v>330.04703195021858</v>
      </c>
      <c r="HW280" s="4">
        <f>IFERROR(GU280/'McDonough &amp; Sun 1995 values'!F$2,)</f>
        <v>268.44722894472136</v>
      </c>
      <c r="HX280" s="4">
        <f>IFERROR(GV280/'McDonough &amp; Sun 1995 values'!G$2,)</f>
        <v>326.26803517912032</v>
      </c>
      <c r="HY280" s="4">
        <f>IFERROR(GW280/'McDonough &amp; Sun 1995 values'!H$2,)</f>
        <v>223.84101913515667</v>
      </c>
      <c r="HZ280" s="4">
        <f>IFERROR(GX280/'McDonough &amp; Sun 1995 values'!I$2,)</f>
        <v>218.78574250900166</v>
      </c>
      <c r="IA280" s="4">
        <f>IFERROR(GY280/'McDonough &amp; Sun 1995 values'!J$2,)</f>
        <v>323.22132421231765</v>
      </c>
      <c r="IB280" s="4">
        <f>IFERROR(GZ280/'McDonough &amp; Sun 1995 values'!K$2,)</f>
        <v>295.27480961512299</v>
      </c>
      <c r="IC280" s="4">
        <f>IFERROR(HA280/'McDonough &amp; Sun 1995 values'!L$2,)</f>
        <v>197.7086899742132</v>
      </c>
      <c r="ID280" s="4">
        <f>IFERROR(HB280/'McDonough &amp; Sun 1995 values'!M$2,)</f>
        <v>165.14643197977259</v>
      </c>
      <c r="IE280" s="4">
        <f>IFERROR(HC280/'McDonough &amp; Sun 1995 values'!N$2,)</f>
        <v>83.206546660001791</v>
      </c>
      <c r="IF280" s="4">
        <f>IFERROR(HD280/'McDonough &amp; Sun 1995 values'!O$2,)</f>
        <v>124.81129921749884</v>
      </c>
      <c r="IG280" s="4">
        <f>IFERROR(HE280/'McDonough &amp; Sun 1995 values'!P$2,)</f>
        <v>67.066207231263604</v>
      </c>
      <c r="IH280" s="4">
        <f>IFERROR(HF280/'McDonough &amp; Sun 1995 values'!Q$2,)</f>
        <v>49.407766458023836</v>
      </c>
      <c r="II280" s="4">
        <f>IFERROR(HG280/'McDonough &amp; Sun 1995 values'!R$2,)</f>
        <v>35.674388646511069</v>
      </c>
      <c r="IJ280" s="4">
        <f>IFERROR(HH280/'McDonough &amp; Sun 1995 values'!S$2,)</f>
        <v>52.565405667747157</v>
      </c>
      <c r="IK280" s="4">
        <f>IFERROR(HI280/'McDonough &amp; Sun 1995 values'!T$2,)</f>
        <v>15.878678558555986</v>
      </c>
      <c r="IL280" s="4">
        <f>IFERROR(HJ280/'McDonough &amp; Sun 1995 values'!U$2,)</f>
        <v>44.641943784005861</v>
      </c>
      <c r="IM280" s="4">
        <f>IFERROR(HK280/'McDonough &amp; Sun 1995 values'!V$2,)</f>
        <v>0</v>
      </c>
      <c r="IN280" s="4">
        <f>IFERROR(HL280/'McDonough &amp; Sun 1995 values'!W$2,)</f>
        <v>22.929123540530661</v>
      </c>
      <c r="IO280" s="4">
        <f>IFERROR(HM280/'McDonough &amp; Sun 1995 values'!X$2,)</f>
        <v>10.097447693385851</v>
      </c>
      <c r="IP280" s="4">
        <f>IFERROR(HN280/'McDonough &amp; Sun 1995 values'!Y$2,)</f>
        <v>19.756125620092895</v>
      </c>
      <c r="IQ280" s="4">
        <f>IFERROR(HO280/'McDonough &amp; Sun 1995 values'!Z$2,)</f>
        <v>8.4008639195029708</v>
      </c>
      <c r="IR280" s="4">
        <f>IFERROR(HP280/'McDonough &amp; Sun 1995 values'!AA$2,)</f>
        <v>0</v>
      </c>
      <c r="IS280" s="4">
        <f>IFERROR(HQ280/'McDonough &amp; Sun 1995 values'!AB$2,)</f>
        <v>16.687430370713383</v>
      </c>
      <c r="IT280" s="4">
        <f>IFERROR(HR280/'McDonough &amp; Sun 1995 values'!AC$2,)</f>
        <v>21.804909017732154</v>
      </c>
    </row>
    <row r="281" spans="1:254">
      <c r="A281" s="16" t="s">
        <v>672</v>
      </c>
      <c r="B281" s="16" t="s">
        <v>24</v>
      </c>
      <c r="C281" s="16" t="str">
        <f t="shared" si="617"/>
        <v>silicic - low-Mg carbonatitic</v>
      </c>
      <c r="D281" s="16" t="s">
        <v>1723</v>
      </c>
      <c r="E281" s="16" t="s">
        <v>237</v>
      </c>
      <c r="F281" s="16" t="s">
        <v>29</v>
      </c>
      <c r="G281" s="16" t="s">
        <v>595</v>
      </c>
      <c r="H281" s="27">
        <v>360</v>
      </c>
      <c r="I281" s="16" t="s">
        <v>735</v>
      </c>
      <c r="J281" s="16" t="s">
        <v>1496</v>
      </c>
      <c r="K281" s="16">
        <v>0</v>
      </c>
      <c r="L281" s="16">
        <v>0</v>
      </c>
      <c r="M281" s="16" t="s">
        <v>82</v>
      </c>
      <c r="N281" s="16">
        <v>24</v>
      </c>
      <c r="O281" s="26">
        <v>28.83</v>
      </c>
      <c r="P281" s="26">
        <v>4.0999999999999996</v>
      </c>
      <c r="Q281" s="26">
        <v>0.41</v>
      </c>
      <c r="R281" s="26">
        <v>7.55</v>
      </c>
      <c r="S281" s="26">
        <v>21.82</v>
      </c>
      <c r="T281" s="26">
        <v>8.8800000000000008</v>
      </c>
      <c r="U281" s="26">
        <v>0.67</v>
      </c>
      <c r="V281" s="26">
        <v>12.91</v>
      </c>
      <c r="W281" s="26">
        <v>1.86</v>
      </c>
      <c r="X281" s="26">
        <v>7.65</v>
      </c>
      <c r="Y281" s="26"/>
      <c r="Z281" s="26">
        <v>3.07</v>
      </c>
      <c r="AA281" s="26"/>
      <c r="AB281" s="26"/>
      <c r="AC281" s="26"/>
      <c r="AD281" s="26">
        <v>1.56</v>
      </c>
      <c r="AE281" s="26"/>
      <c r="AF281" s="26">
        <v>0.69</v>
      </c>
      <c r="AG281" s="26"/>
      <c r="AH281" s="26"/>
      <c r="AI281" s="26"/>
      <c r="AJ281" s="26">
        <f t="shared" si="618"/>
        <v>98.22999999999999</v>
      </c>
      <c r="AK281" s="26">
        <f t="shared" si="678"/>
        <v>29.455049443429086</v>
      </c>
      <c r="AL281" s="26">
        <f t="shared" si="679"/>
        <v>4.1888901393707689</v>
      </c>
      <c r="AM281" s="26">
        <f t="shared" si="680"/>
        <v>7.7136879395730009</v>
      </c>
      <c r="AN281" s="26">
        <f t="shared" si="681"/>
        <v>22.293068985626874</v>
      </c>
      <c r="AO281" s="26">
        <f t="shared" si="682"/>
        <v>9.0725230335640088</v>
      </c>
      <c r="AP281" s="26">
        <f t="shared" si="683"/>
        <v>13.189895536408935</v>
      </c>
      <c r="AQ281" s="26">
        <f t="shared" si="684"/>
        <v>0</v>
      </c>
      <c r="AR281" s="26">
        <f t="shared" si="685"/>
        <v>1.9003257705438124</v>
      </c>
      <c r="AS281" s="26">
        <f t="shared" si="686"/>
        <v>7.8158559917527768</v>
      </c>
      <c r="AT281" s="26">
        <f t="shared" si="687"/>
        <v>3.1365592019190882</v>
      </c>
      <c r="AU281" s="26">
        <f t="shared" si="688"/>
        <v>1.5938216140044881</v>
      </c>
      <c r="AV281" s="26">
        <f t="shared" si="619"/>
        <v>100.35967765619283</v>
      </c>
      <c r="AW281" s="16"/>
      <c r="AX281" s="16"/>
      <c r="AY281" s="16"/>
      <c r="AZ281" s="16"/>
      <c r="BA281" s="26"/>
      <c r="BB281" s="26">
        <v>0.1</v>
      </c>
      <c r="BC281" s="26">
        <f t="shared" si="676"/>
        <v>9.9999999999999978E-2</v>
      </c>
      <c r="BD281" s="26">
        <f t="shared" si="677"/>
        <v>0.9</v>
      </c>
      <c r="BE281" s="25">
        <v>-5.3</v>
      </c>
      <c r="BF281" s="16"/>
      <c r="BG281" s="16">
        <v>310</v>
      </c>
      <c r="BH281" s="16"/>
      <c r="BI281" s="16"/>
      <c r="BJ281" s="16"/>
      <c r="BK281" s="18"/>
      <c r="BL281" s="18"/>
      <c r="BM281" s="18"/>
      <c r="BN281" s="18">
        <v>25</v>
      </c>
      <c r="BO281" s="18">
        <v>33</v>
      </c>
      <c r="BP281" s="18">
        <v>15</v>
      </c>
      <c r="BQ281" s="18"/>
      <c r="BR281" s="18">
        <v>94</v>
      </c>
      <c r="BS281" s="18">
        <v>82</v>
      </c>
      <c r="BT281" s="18">
        <v>12.79</v>
      </c>
      <c r="BU281" s="18"/>
      <c r="BV281" s="18">
        <v>0.68</v>
      </c>
      <c r="BW281" s="18">
        <v>51</v>
      </c>
      <c r="BX281" s="18">
        <v>0.35599999999999998</v>
      </c>
      <c r="BY281" s="18">
        <v>0.14599999999999999</v>
      </c>
      <c r="BZ281" s="18"/>
      <c r="CA281" s="18">
        <v>2.7E-2</v>
      </c>
      <c r="CB281" s="18">
        <v>4.2999999999999997E-2</v>
      </c>
      <c r="CC281" s="18"/>
      <c r="CD281" s="18"/>
      <c r="CE281" s="18"/>
      <c r="CF281" s="18"/>
      <c r="CG281" s="18"/>
      <c r="CH281" s="18">
        <v>0.24</v>
      </c>
      <c r="CI281" s="18">
        <v>2.16</v>
      </c>
      <c r="CJ281" s="18">
        <v>3.1E-2</v>
      </c>
      <c r="CK281" s="18">
        <v>0.29199999999999998</v>
      </c>
      <c r="CL281" s="18"/>
      <c r="CM281" s="18">
        <v>0.40899999999999997</v>
      </c>
      <c r="CN281" s="18"/>
      <c r="CO281" s="18"/>
      <c r="CP281" s="18"/>
      <c r="CQ281" s="18"/>
      <c r="CR281" s="18">
        <v>6.0000000000000001E-3</v>
      </c>
      <c r="CS281" s="18">
        <v>13.23</v>
      </c>
      <c r="CT281" s="18">
        <v>9.7000000000000003E-2</v>
      </c>
      <c r="CU281" s="18">
        <v>0.56999999999999995</v>
      </c>
      <c r="CV281" s="18">
        <v>0.75</v>
      </c>
      <c r="CW281" s="18">
        <v>7.6999999999999999E-2</v>
      </c>
      <c r="CX281" s="18">
        <v>0.215</v>
      </c>
      <c r="CY281" s="18">
        <v>2.1000000000000001E-2</v>
      </c>
      <c r="CZ281" s="18">
        <v>6.0000000000000001E-3</v>
      </c>
      <c r="DA281" s="18">
        <v>1.6E-2</v>
      </c>
      <c r="DB281" s="18">
        <v>8.0000000000000002E-3</v>
      </c>
      <c r="DC281" s="18">
        <v>3.0000000000000001E-3</v>
      </c>
      <c r="DD281" s="18">
        <v>8.0000000000000002E-3</v>
      </c>
      <c r="DE281" s="18"/>
      <c r="DF281" s="18">
        <v>4.0000000000000001E-3</v>
      </c>
      <c r="DG281" s="18">
        <v>3.0000000000000001E-3</v>
      </c>
      <c r="DH281" s="18">
        <v>8.9999999999999993E-3</v>
      </c>
      <c r="DI281" s="18">
        <v>7.0000000000000001E-3</v>
      </c>
      <c r="DJ281" s="18"/>
      <c r="DK281" s="18">
        <v>6.9000000000000006E-2</v>
      </c>
      <c r="DL281" s="18">
        <v>0.19900000000000001</v>
      </c>
      <c r="DM281" s="18">
        <v>2.5999999999999999E-2</v>
      </c>
      <c r="DN281" s="18"/>
      <c r="DO281" s="18"/>
      <c r="DP281" s="18"/>
      <c r="DQ281" s="18"/>
      <c r="DR281" s="18"/>
      <c r="DS281" s="18"/>
      <c r="DT281" s="18"/>
      <c r="DU281" s="18"/>
      <c r="DV281" s="28"/>
      <c r="DW281" s="28"/>
      <c r="DX281" s="28"/>
      <c r="DY281" s="28"/>
      <c r="DZ281" s="28"/>
      <c r="EA281" s="28"/>
      <c r="EB281" s="28"/>
      <c r="EC281" s="28"/>
      <c r="ED281" s="28"/>
      <c r="EE281" s="28"/>
      <c r="EF281" s="28"/>
      <c r="EG281" s="28"/>
      <c r="EH281" s="28"/>
      <c r="EI281" s="28"/>
      <c r="EJ281" s="18"/>
      <c r="EK281" s="18"/>
      <c r="EL281" s="18">
        <f>IFERROR(CR281/'McDonough &amp; Sun 1995 values'!C$2,)</f>
        <v>0.2857142857142857</v>
      </c>
      <c r="EM281" s="18">
        <f>IFERROR(CH281/'McDonough &amp; Sun 1995 values'!D$2,)</f>
        <v>0.4</v>
      </c>
      <c r="EN281" s="18">
        <f>IFERROR(CS281/'McDonough &amp; Sun 1995 values'!E$2,)</f>
        <v>2.0045454545454549</v>
      </c>
      <c r="EO281" s="18">
        <f>IFERROR(DL281/'McDonough &amp; Sun 1995 values'!F$2,)</f>
        <v>2.5031446540880502</v>
      </c>
      <c r="EP281" s="18">
        <f>IFERROR(DM281/'McDonough &amp; Sun 1995 values'!G$2,)</f>
        <v>1.2807881773399015</v>
      </c>
      <c r="EQ281" s="18">
        <f>IFERROR(BR281/'McDonough &amp; Sun 1995 values'!H$2,)</f>
        <v>0.39166666666666666</v>
      </c>
      <c r="ER281" s="18">
        <f>IFERROR(DI281/'McDonough &amp; Sun 1995 values'!I$2,)</f>
        <v>0.1891891891891892</v>
      </c>
      <c r="ES281" s="18">
        <f>IFERROR(CM281/'McDonough &amp; Sun 1995 values'!J$2,)</f>
        <v>0.62158054711246191</v>
      </c>
      <c r="ET281" s="18">
        <f>IFERROR(CU281/'McDonough &amp; Sun 1995 values'!K$2,)</f>
        <v>0.87962962962962954</v>
      </c>
      <c r="EU281" s="18">
        <f>IFERROR(CV281/'McDonough &amp; Sun 1995 values'!L$2,)</f>
        <v>0.44776119402985076</v>
      </c>
      <c r="EV281" s="18">
        <f>IFERROR(CW281/'McDonough &amp; Sun 1995 values'!M$2,)</f>
        <v>0.30314960629921262</v>
      </c>
      <c r="EW281" s="18">
        <f>IFERROR(CI281/'McDonough &amp; Sun 1995 values'!N$2,)</f>
        <v>0.10854271356783921</v>
      </c>
      <c r="EX281" s="18">
        <f>IFERROR(CX281/'McDonough &amp; Sun 1995 values'!O$2,)</f>
        <v>0.17199999999999999</v>
      </c>
      <c r="EY281" s="18">
        <f>IFERROR(CY281/'McDonough &amp; Sun 1995 values'!P$2,)</f>
        <v>5.1724137931034482E-2</v>
      </c>
      <c r="EZ281" s="18">
        <f>IFERROR(DH281/'McDonough &amp; Sun 1995 values'!Q$2,)</f>
        <v>3.180212014134276E-2</v>
      </c>
      <c r="FA281" s="18">
        <f>IFERROR(CK281/'McDonough &amp; Sun 1995 values'!R$2,)</f>
        <v>2.7809523809523808E-2</v>
      </c>
      <c r="FB281" s="18">
        <f>IFERROR(CZ281/'McDonough &amp; Sun 1995 values'!S$2,)</f>
        <v>3.896103896103896E-2</v>
      </c>
      <c r="FC281" s="18">
        <f>IFERROR(BT281/'McDonough &amp; Sun 1995 values'!T$2,)</f>
        <v>1.0614107883817427E-2</v>
      </c>
      <c r="FD281" s="18">
        <f>IFERROR(DA281/'McDonough &amp; Sun 1995 values'!U$2,)</f>
        <v>2.9411764705882353E-2</v>
      </c>
      <c r="FE281" s="18">
        <f>IFERROR(DN281/'McDonough &amp; Sun 1995 values'!V$2,)</f>
        <v>0</v>
      </c>
      <c r="FF281" s="18">
        <f>IFERROR(DB281/'McDonough &amp; Sun 1995 values'!W$2,)</f>
        <v>1.1869436201780414E-2</v>
      </c>
      <c r="FG281" s="18">
        <f>IFERROR(CJ281/'McDonough &amp; Sun 1995 values'!X$2,)</f>
        <v>7.2093023255813959E-3</v>
      </c>
      <c r="FH281" s="18">
        <f>IFERROR(DC281/'McDonough &amp; Sun 1995 values'!Y$2,)</f>
        <v>2.0134228187919465E-2</v>
      </c>
      <c r="FI281" s="18">
        <f>IFERROR(DD281/'McDonough &amp; Sun 1995 values'!Z$2,)</f>
        <v>1.8264840182648401E-2</v>
      </c>
      <c r="FJ281" s="18">
        <f>IFERROR(DE281/'McDonough &amp; Sun 1995 values'!AA$2,)</f>
        <v>0</v>
      </c>
      <c r="FK281" s="18">
        <f>IFERROR(DF281/'McDonough &amp; Sun 1995 values'!AB$2,)</f>
        <v>9.0702947845804991E-3</v>
      </c>
      <c r="FL281" s="18">
        <f>IFERROR(DG281/'McDonough &amp; Sun 1995 values'!AC$2,)</f>
        <v>4.4444444444444439E-2</v>
      </c>
      <c r="FN281" s="28">
        <f t="shared" si="614"/>
        <v>3.2700974740593227</v>
      </c>
      <c r="FO281" s="4">
        <f t="shared" si="620"/>
        <v>1.5650874125874128</v>
      </c>
      <c r="FP281" s="4">
        <f t="shared" si="621"/>
        <v>4.0270640156233188</v>
      </c>
      <c r="FQ281" s="4">
        <f t="shared" si="622"/>
        <v>1.9543783260764391</v>
      </c>
      <c r="FR281" s="4">
        <f t="shared" si="623"/>
        <v>1.415149868695101</v>
      </c>
      <c r="FS281" s="4">
        <f t="shared" si="624"/>
        <v>4.6494708994708986</v>
      </c>
      <c r="FT281" s="4">
        <f t="shared" si="625"/>
        <v>1.4000000000000001</v>
      </c>
      <c r="FU281" s="4">
        <f t="shared" si="626"/>
        <v>0.30436793761977143</v>
      </c>
      <c r="FV281" s="4">
        <f t="shared" si="627"/>
        <v>0.5376507936507936</v>
      </c>
      <c r="FW281" s="4">
        <f t="shared" si="628"/>
        <v>0.87445502645502626</v>
      </c>
      <c r="FX281" s="4">
        <f t="shared" si="629"/>
        <v>0.96038961038961035</v>
      </c>
      <c r="FY281" s="4">
        <f t="shared" si="630"/>
        <v>0.4753439240245747</v>
      </c>
      <c r="FZ281" s="4">
        <f t="shared" si="631"/>
        <v>0.99890309210542383</v>
      </c>
      <c r="GA281" s="4">
        <f t="shared" si="632"/>
        <v>0.35804999021079426</v>
      </c>
      <c r="GB281" s="4">
        <f t="shared" si="633"/>
        <v>0.75324675324675328</v>
      </c>
      <c r="GC281" s="4">
        <f t="shared" si="634"/>
        <v>0.71428571428571419</v>
      </c>
      <c r="GD281" s="4">
        <f t="shared" si="635"/>
        <v>0.80081087254454109</v>
      </c>
      <c r="GE281" s="4">
        <f t="shared" si="636"/>
        <v>5.0113636363636367</v>
      </c>
      <c r="GF281" s="4">
        <f t="shared" si="637"/>
        <v>5.11798839458414</v>
      </c>
      <c r="GG281" s="4">
        <f t="shared" si="638"/>
        <v>3.224916648144033</v>
      </c>
      <c r="GH281" s="4">
        <f t="shared" si="639"/>
        <v>2.9016354016354011</v>
      </c>
      <c r="GI281" s="4">
        <f t="shared" si="640"/>
        <v>17.006172839506171</v>
      </c>
      <c r="GJ281" s="4">
        <f t="shared" si="641"/>
        <v>74.108796296296291</v>
      </c>
      <c r="GK281" s="4">
        <f t="shared" si="642"/>
        <v>96.979166666666657</v>
      </c>
      <c r="GL281" s="4">
        <f t="shared" si="643"/>
        <v>2.6200528686846125</v>
      </c>
      <c r="GM281" s="4">
        <f t="shared" si="644"/>
        <v>6.2578616352201255</v>
      </c>
      <c r="GN281" s="4">
        <f t="shared" si="645"/>
        <v>0.70663893776995679</v>
      </c>
      <c r="GO281" s="4">
        <f t="shared" si="646"/>
        <v>0.4853109656301145</v>
      </c>
      <c r="GP281" s="4">
        <f t="shared" si="647"/>
        <v>0.30580128205128204</v>
      </c>
      <c r="GQ281" s="27">
        <f t="shared" si="648"/>
        <v>64882.336269967105</v>
      </c>
      <c r="GR281" s="28">
        <f t="shared" si="649"/>
        <v>4.141425719359602</v>
      </c>
      <c r="GS281" s="28">
        <f t="shared" si="650"/>
        <v>165.65702877438409</v>
      </c>
      <c r="GT281" s="28">
        <f t="shared" si="651"/>
        <v>9131.8437111879248</v>
      </c>
      <c r="GU281" s="28">
        <f t="shared" si="652"/>
        <v>137.35728635876015</v>
      </c>
      <c r="GV281" s="28">
        <f t="shared" si="653"/>
        <v>17.946178117224942</v>
      </c>
      <c r="GW281" s="28">
        <f t="shared" si="654"/>
        <v>64882.336269967105</v>
      </c>
      <c r="GX281" s="28">
        <f t="shared" si="655"/>
        <v>4.8316633392528692</v>
      </c>
      <c r="GY281" s="28">
        <f t="shared" si="656"/>
        <v>282.30718653634619</v>
      </c>
      <c r="GZ281" s="28">
        <f t="shared" si="657"/>
        <v>393.43544333916225</v>
      </c>
      <c r="HA281" s="28">
        <f t="shared" si="658"/>
        <v>517.67821491995028</v>
      </c>
      <c r="HB281" s="28">
        <f t="shared" si="659"/>
        <v>53.148296731781564</v>
      </c>
      <c r="HC281" s="28">
        <f t="shared" si="660"/>
        <v>1490.9132589694568</v>
      </c>
      <c r="HD281" s="28">
        <f t="shared" si="661"/>
        <v>148.40108827705242</v>
      </c>
      <c r="HE281" s="28">
        <f t="shared" si="662"/>
        <v>14.49499001775861</v>
      </c>
      <c r="HF281" s="28">
        <f t="shared" si="663"/>
        <v>6.2121385790394035</v>
      </c>
      <c r="HG281" s="28">
        <f t="shared" si="664"/>
        <v>201.54938500883398</v>
      </c>
      <c r="HH281" s="28">
        <f t="shared" si="665"/>
        <v>4.141425719359602</v>
      </c>
      <c r="HI281" s="28">
        <f t="shared" si="666"/>
        <v>8828.1391584348839</v>
      </c>
      <c r="HJ281" s="28">
        <f t="shared" si="667"/>
        <v>11.043801918292274</v>
      </c>
      <c r="HK281" s="28">
        <f t="shared" si="668"/>
        <v>0</v>
      </c>
      <c r="HL281" s="28">
        <f t="shared" si="669"/>
        <v>5.5219009591461372</v>
      </c>
      <c r="HM281" s="28">
        <f t="shared" si="670"/>
        <v>21.397366216691278</v>
      </c>
      <c r="HN281" s="28">
        <f t="shared" si="671"/>
        <v>2.070712859679801</v>
      </c>
      <c r="HO281" s="28">
        <f t="shared" si="672"/>
        <v>5.5219009591461372</v>
      </c>
      <c r="HP281" s="28">
        <f t="shared" si="673"/>
        <v>0</v>
      </c>
      <c r="HQ281" s="28">
        <f t="shared" si="674"/>
        <v>2.7609504795730686</v>
      </c>
      <c r="HR281" s="28">
        <f t="shared" si="675"/>
        <v>2.070712859679801</v>
      </c>
      <c r="HT281" s="4">
        <f>IFERROR(GR281/'McDonough &amp; Sun 1995 values'!C$2,)</f>
        <v>197.21074854093342</v>
      </c>
      <c r="HU281" s="4">
        <f>IFERROR(GS281/'McDonough &amp; Sun 1995 values'!D$2,)</f>
        <v>276.0950479573068</v>
      </c>
      <c r="HV281" s="4">
        <f>IFERROR(GT281/'McDonough &amp; Sun 1995 values'!E$2,)</f>
        <v>1383.6126835133221</v>
      </c>
      <c r="HW281" s="4">
        <f>IFERROR(GU281/'McDonough &amp; Sun 1995 values'!F$2,)</f>
        <v>1727.7646082862911</v>
      </c>
      <c r="HX281" s="4">
        <f>IFERROR(GV281/'McDonough &amp; Sun 1995 values'!G$2,)</f>
        <v>884.04818311452925</v>
      </c>
      <c r="HY281" s="4">
        <f>IFERROR(GW281/'McDonough &amp; Sun 1995 values'!H$2,)</f>
        <v>270.34306779152962</v>
      </c>
      <c r="HZ281" s="4">
        <f>IFERROR(GX281/'McDonough &amp; Sun 1995 values'!I$2,)</f>
        <v>130.58549565548296</v>
      </c>
      <c r="IA281" s="4">
        <f>IFERROR(GY281/'McDonough &amp; Sun 1995 values'!J$2,)</f>
        <v>429.03827741086047</v>
      </c>
      <c r="IB281" s="4">
        <f>IFERROR(GZ281/'McDonough &amp; Sun 1995 values'!K$2,)</f>
        <v>607.15346194315157</v>
      </c>
      <c r="IC281" s="4">
        <f>IFERROR(HA281/'McDonough &amp; Sun 1995 values'!L$2,)</f>
        <v>309.06162084773149</v>
      </c>
      <c r="ID281" s="4">
        <f>IFERROR(HB281/'McDonough &amp; Sun 1995 values'!M$2,)</f>
        <v>209.24526272354947</v>
      </c>
      <c r="IE281" s="4">
        <f>IFERROR(HC281/'McDonough &amp; Sun 1995 values'!N$2,)</f>
        <v>74.920264269821956</v>
      </c>
      <c r="IF281" s="4">
        <f>IFERROR(HD281/'McDonough &amp; Sun 1995 values'!O$2,)</f>
        <v>118.72087062164194</v>
      </c>
      <c r="IG281" s="4">
        <f>IFERROR(HE281/'McDonough &amp; Sun 1995 values'!P$2,)</f>
        <v>35.701945856548299</v>
      </c>
      <c r="IH281" s="4">
        <f>IFERROR(HF281/'McDonough &amp; Sun 1995 values'!Q$2,)</f>
        <v>21.951019713920157</v>
      </c>
      <c r="II281" s="4">
        <f>IFERROR(HG281/'McDonough &amp; Sun 1995 values'!R$2,)</f>
        <v>19.195179524650854</v>
      </c>
      <c r="IJ281" s="4">
        <f>IFERROR(HH281/'McDonough &amp; Sun 1995 values'!S$2,)</f>
        <v>26.892374801036379</v>
      </c>
      <c r="IK281" s="4">
        <f>IFERROR(HI281/'McDonough &amp; Sun 1995 values'!T$2,)</f>
        <v>7.3262565630165009</v>
      </c>
      <c r="IL281" s="4">
        <f>IFERROR(HJ281/'McDonough &amp; Sun 1995 values'!U$2,)</f>
        <v>20.301106467449031</v>
      </c>
      <c r="IM281" s="4">
        <f>IFERROR(HK281/'McDonough &amp; Sun 1995 values'!V$2,)</f>
        <v>0</v>
      </c>
      <c r="IN281" s="4">
        <f>IFERROR(HL281/'McDonough &amp; Sun 1995 values'!W$2,)</f>
        <v>8.1927313933918953</v>
      </c>
      <c r="IO281" s="4">
        <f>IFERROR(HM281/'McDonough &amp; Sun 1995 values'!X$2,)</f>
        <v>4.9761316783002973</v>
      </c>
      <c r="IP281" s="4">
        <f>IFERROR(HN281/'McDonough &amp; Sun 1995 values'!Y$2,)</f>
        <v>13.897401742817458</v>
      </c>
      <c r="IQ281" s="4">
        <f>IFERROR(HO281/'McDonough &amp; Sun 1995 values'!Z$2,)</f>
        <v>12.607079815402139</v>
      </c>
      <c r="IR281" s="4">
        <f>IFERROR(HP281/'McDonough &amp; Sun 1995 values'!AA$2,)</f>
        <v>0</v>
      </c>
      <c r="IS281" s="4">
        <f>IFERROR(HQ281/'McDonough &amp; Sun 1995 values'!AB$2,)</f>
        <v>6.260658683839158</v>
      </c>
      <c r="IT281" s="4">
        <f>IFERROR(HR281/'McDonough &amp; Sun 1995 values'!AC$2,)</f>
        <v>30.677227550811864</v>
      </c>
    </row>
    <row r="282" spans="1:254">
      <c r="A282" s="16" t="s">
        <v>672</v>
      </c>
      <c r="B282" s="16" t="s">
        <v>24</v>
      </c>
      <c r="C282" s="16" t="str">
        <f t="shared" si="617"/>
        <v>silicic - low-Mg carbonatitic</v>
      </c>
      <c r="D282" s="16" t="s">
        <v>1723</v>
      </c>
      <c r="E282" s="16" t="s">
        <v>237</v>
      </c>
      <c r="F282" s="16" t="s">
        <v>29</v>
      </c>
      <c r="G282" s="16" t="s">
        <v>595</v>
      </c>
      <c r="H282" s="27">
        <v>360</v>
      </c>
      <c r="I282" s="16" t="s">
        <v>735</v>
      </c>
      <c r="J282" s="16" t="s">
        <v>1496</v>
      </c>
      <c r="K282" s="16">
        <v>0</v>
      </c>
      <c r="L282" s="16">
        <v>0</v>
      </c>
      <c r="M282" s="16" t="s">
        <v>83</v>
      </c>
      <c r="N282" s="16">
        <v>19</v>
      </c>
      <c r="O282" s="26">
        <v>33</v>
      </c>
      <c r="P282" s="26">
        <v>5.82</v>
      </c>
      <c r="Q282" s="26">
        <v>0.19</v>
      </c>
      <c r="R282" s="26">
        <v>8.06</v>
      </c>
      <c r="S282" s="26">
        <v>23.29</v>
      </c>
      <c r="T282" s="26">
        <v>8.1</v>
      </c>
      <c r="U282" s="26">
        <v>0.45</v>
      </c>
      <c r="V282" s="26">
        <v>5.22</v>
      </c>
      <c r="W282" s="26">
        <v>2.89</v>
      </c>
      <c r="X282" s="26">
        <v>8.01</v>
      </c>
      <c r="Y282" s="26"/>
      <c r="Z282" s="26">
        <v>2.85</v>
      </c>
      <c r="AA282" s="26"/>
      <c r="AB282" s="26"/>
      <c r="AC282" s="26"/>
      <c r="AD282" s="26">
        <v>1.29</v>
      </c>
      <c r="AE282" s="26"/>
      <c r="AF282" s="26">
        <v>0.83</v>
      </c>
      <c r="AG282" s="26"/>
      <c r="AH282" s="26"/>
      <c r="AI282" s="26"/>
      <c r="AJ282" s="26">
        <f t="shared" si="618"/>
        <v>98.53</v>
      </c>
      <c r="AK282" s="26">
        <f t="shared" si="678"/>
        <v>33.59158621000563</v>
      </c>
      <c r="AL282" s="26">
        <f t="shared" si="679"/>
        <v>5.9243342952191753</v>
      </c>
      <c r="AM282" s="26">
        <f t="shared" si="680"/>
        <v>8.2044904500801632</v>
      </c>
      <c r="AN282" s="26">
        <f t="shared" si="681"/>
        <v>23.707516449425185</v>
      </c>
      <c r="AO282" s="26">
        <f t="shared" si="682"/>
        <v>8.2452075242741092</v>
      </c>
      <c r="AP282" s="26">
        <f t="shared" si="683"/>
        <v>5.3135781823099819</v>
      </c>
      <c r="AQ282" s="26">
        <f t="shared" si="684"/>
        <v>0</v>
      </c>
      <c r="AR282" s="26">
        <f t="shared" si="685"/>
        <v>2.9418086105126147</v>
      </c>
      <c r="AS282" s="26">
        <f t="shared" si="686"/>
        <v>8.1535941073377298</v>
      </c>
      <c r="AT282" s="26">
        <f t="shared" si="687"/>
        <v>2.9010915363186682</v>
      </c>
      <c r="AU282" s="26">
        <f t="shared" si="688"/>
        <v>1.3131256427547655</v>
      </c>
      <c r="AV282" s="26">
        <f t="shared" si="619"/>
        <v>100.29633300823802</v>
      </c>
      <c r="AW282" s="16"/>
      <c r="AX282" s="16"/>
      <c r="AY282" s="16"/>
      <c r="AZ282" s="16"/>
      <c r="BA282" s="26"/>
      <c r="BB282" s="26">
        <v>0.31</v>
      </c>
      <c r="BC282" s="26">
        <f t="shared" si="676"/>
        <v>0.31000000000000005</v>
      </c>
      <c r="BD282" s="26">
        <f t="shared" si="677"/>
        <v>0.69</v>
      </c>
      <c r="BE282" s="25">
        <v>-4.5</v>
      </c>
      <c r="BF282" s="16"/>
      <c r="BG282" s="16">
        <v>82</v>
      </c>
      <c r="BH282" s="16"/>
      <c r="BI282" s="16"/>
      <c r="BJ282" s="16"/>
      <c r="BK282" s="18"/>
      <c r="BL282" s="18"/>
      <c r="BM282" s="18"/>
      <c r="BN282" s="18">
        <v>5</v>
      </c>
      <c r="BO282" s="18">
        <v>10</v>
      </c>
      <c r="BP282" s="18">
        <v>7</v>
      </c>
      <c r="BQ282" s="18"/>
      <c r="BR282" s="18">
        <v>18</v>
      </c>
      <c r="BS282" s="18">
        <v>85</v>
      </c>
      <c r="BT282" s="18">
        <v>1.22</v>
      </c>
      <c r="BU282" s="18"/>
      <c r="BV282" s="18">
        <v>0.17</v>
      </c>
      <c r="BW282" s="18">
        <v>10</v>
      </c>
      <c r="BX282" s="18">
        <v>0.26400000000000001</v>
      </c>
      <c r="BY282" s="18">
        <v>1.42</v>
      </c>
      <c r="BZ282" s="18"/>
      <c r="CA282" s="18">
        <v>5.8000000000000003E-2</v>
      </c>
      <c r="CB282" s="18">
        <v>8.0000000000000002E-3</v>
      </c>
      <c r="CC282" s="18"/>
      <c r="CD282" s="18"/>
      <c r="CE282" s="18"/>
      <c r="CF282" s="18"/>
      <c r="CG282" s="18"/>
      <c r="CH282" s="18">
        <v>0.06</v>
      </c>
      <c r="CI282" s="18">
        <v>0.28000000000000003</v>
      </c>
      <c r="CJ282" s="18">
        <v>7.0000000000000001E-3</v>
      </c>
      <c r="CK282" s="18">
        <v>0.28999999999999998</v>
      </c>
      <c r="CL282" s="18"/>
      <c r="CM282" s="18">
        <v>5.1999999999999998E-2</v>
      </c>
      <c r="CN282" s="18"/>
      <c r="CO282" s="18"/>
      <c r="CP282" s="18"/>
      <c r="CQ282" s="18"/>
      <c r="CR282" s="18">
        <v>3.0000000000000001E-3</v>
      </c>
      <c r="CS282" s="18">
        <v>0.72</v>
      </c>
      <c r="CT282" s="18">
        <v>6.7000000000000004E-2</v>
      </c>
      <c r="CU282" s="18">
        <v>6.6000000000000003E-2</v>
      </c>
      <c r="CV282" s="18">
        <v>0.10299999999999999</v>
      </c>
      <c r="CW282" s="18">
        <v>1.6E-2</v>
      </c>
      <c r="CX282" s="18">
        <v>5.5E-2</v>
      </c>
      <c r="CY282" s="18">
        <v>5.0000000000000001E-3</v>
      </c>
      <c r="CZ282" s="18" t="s">
        <v>1366</v>
      </c>
      <c r="DA282" s="18">
        <v>4.0000000000000001E-3</v>
      </c>
      <c r="DB282" s="18">
        <v>5.0000000000000001E-3</v>
      </c>
      <c r="DC282" s="18">
        <v>2E-3</v>
      </c>
      <c r="DD282" s="18" t="s">
        <v>1366</v>
      </c>
      <c r="DE282" s="18"/>
      <c r="DF282" s="18" t="s">
        <v>1366</v>
      </c>
      <c r="DG282" s="18" t="s">
        <v>1366</v>
      </c>
      <c r="DH282" s="18">
        <v>8.0000000000000002E-3</v>
      </c>
      <c r="DI282" s="18">
        <v>4.0000000000000001E-3</v>
      </c>
      <c r="DJ282" s="18"/>
      <c r="DK282" s="18">
        <v>0.20499999999999999</v>
      </c>
      <c r="DL282" s="18">
        <v>5.0000000000000001E-3</v>
      </c>
      <c r="DM282" s="18">
        <v>2E-3</v>
      </c>
      <c r="DN282" s="18"/>
      <c r="DO282" s="18"/>
      <c r="DP282" s="18"/>
      <c r="DQ282" s="18"/>
      <c r="DR282" s="18"/>
      <c r="DS282" s="18"/>
      <c r="DT282" s="18"/>
      <c r="DU282" s="18"/>
      <c r="DV282" s="28"/>
      <c r="DW282" s="28"/>
      <c r="DX282" s="28"/>
      <c r="DY282" s="28"/>
      <c r="DZ282" s="28"/>
      <c r="EA282" s="28"/>
      <c r="EB282" s="28"/>
      <c r="EC282" s="28"/>
      <c r="ED282" s="28"/>
      <c r="EE282" s="28"/>
      <c r="EF282" s="28"/>
      <c r="EG282" s="28"/>
      <c r="EH282" s="28"/>
      <c r="EI282" s="28"/>
      <c r="EJ282" s="18"/>
      <c r="EK282" s="18"/>
      <c r="EL282" s="18">
        <f>IFERROR(CR282/'McDonough &amp; Sun 1995 values'!C$2,)</f>
        <v>0.14285714285714285</v>
      </c>
      <c r="EM282" s="18">
        <f>IFERROR(CH282/'McDonough &amp; Sun 1995 values'!D$2,)</f>
        <v>0.1</v>
      </c>
      <c r="EN282" s="18">
        <f>IFERROR(CS282/'McDonough &amp; Sun 1995 values'!E$2,)</f>
        <v>0.1090909090909091</v>
      </c>
      <c r="EO282" s="18">
        <f>IFERROR(DL282/'McDonough &amp; Sun 1995 values'!F$2,)</f>
        <v>6.2893081761006289E-2</v>
      </c>
      <c r="EP282" s="18">
        <f>IFERROR(DM282/'McDonough &amp; Sun 1995 values'!G$2,)</f>
        <v>9.8522167487684734E-2</v>
      </c>
      <c r="EQ282" s="18">
        <f>IFERROR(BR282/'McDonough &amp; Sun 1995 values'!H$2,)</f>
        <v>7.4999999999999997E-2</v>
      </c>
      <c r="ER282" s="18">
        <f>IFERROR(DI282/'McDonough &amp; Sun 1995 values'!I$2,)</f>
        <v>0.10810810810810811</v>
      </c>
      <c r="ES282" s="18">
        <f>IFERROR(CM282/'McDonough &amp; Sun 1995 values'!J$2,)</f>
        <v>7.9027355623100301E-2</v>
      </c>
      <c r="ET282" s="18">
        <f>IFERROR(CU282/'McDonough &amp; Sun 1995 values'!K$2,)</f>
        <v>0.10185185185185186</v>
      </c>
      <c r="EU282" s="18">
        <f>IFERROR(CV282/'McDonough &amp; Sun 1995 values'!L$2,)</f>
        <v>6.1492537313432828E-2</v>
      </c>
      <c r="EV282" s="18">
        <f>IFERROR(CW282/'McDonough &amp; Sun 1995 values'!M$2,)</f>
        <v>6.2992125984251968E-2</v>
      </c>
      <c r="EW282" s="18">
        <f>IFERROR(CI282/'McDonough &amp; Sun 1995 values'!N$2,)</f>
        <v>1.4070351758793972E-2</v>
      </c>
      <c r="EX282" s="18">
        <f>IFERROR(CX282/'McDonough &amp; Sun 1995 values'!O$2,)</f>
        <v>4.3999999999999997E-2</v>
      </c>
      <c r="EY282" s="18">
        <f>IFERROR(CY282/'McDonough &amp; Sun 1995 values'!P$2,)</f>
        <v>1.231527093596059E-2</v>
      </c>
      <c r="EZ282" s="18">
        <f>IFERROR(DH282/'McDonough &amp; Sun 1995 values'!Q$2,)</f>
        <v>2.826855123674912E-2</v>
      </c>
      <c r="FA282" s="18">
        <f>IFERROR(CK282/'McDonough &amp; Sun 1995 values'!R$2,)</f>
        <v>2.7619047619047616E-2</v>
      </c>
      <c r="FB282" s="18">
        <f>IFERROR(CZ282/'McDonough &amp; Sun 1995 values'!S$2,)</f>
        <v>0</v>
      </c>
      <c r="FC282" s="18">
        <f>IFERROR(BT282/'McDonough &amp; Sun 1995 values'!T$2,)</f>
        <v>1.0124481327800829E-3</v>
      </c>
      <c r="FD282" s="18">
        <f>IFERROR(DA282/'McDonough &amp; Sun 1995 values'!U$2,)</f>
        <v>7.3529411764705881E-3</v>
      </c>
      <c r="FE282" s="18">
        <f>IFERROR(DN282/'McDonough &amp; Sun 1995 values'!V$2,)</f>
        <v>0</v>
      </c>
      <c r="FF282" s="18">
        <f>IFERROR(DB282/'McDonough &amp; Sun 1995 values'!W$2,)</f>
        <v>7.418397626112759E-3</v>
      </c>
      <c r="FG282" s="18">
        <f>IFERROR(CJ282/'McDonough &amp; Sun 1995 values'!X$2,)</f>
        <v>1.6279069767441861E-3</v>
      </c>
      <c r="FH282" s="18">
        <f>IFERROR(DC282/'McDonough &amp; Sun 1995 values'!Y$2,)</f>
        <v>1.342281879194631E-2</v>
      </c>
      <c r="FI282" s="18">
        <f>IFERROR(DD282/'McDonough &amp; Sun 1995 values'!Z$2,)</f>
        <v>0</v>
      </c>
      <c r="FJ282" s="18">
        <f>IFERROR(DE282/'McDonough &amp; Sun 1995 values'!AA$2,)</f>
        <v>0</v>
      </c>
      <c r="FK282" s="18">
        <f>IFERROR(DF282/'McDonough &amp; Sun 1995 values'!AB$2,)</f>
        <v>0</v>
      </c>
      <c r="FL282" s="18">
        <f>IFERROR(DG282/'McDonough &amp; Sun 1995 values'!AC$2,)</f>
        <v>0</v>
      </c>
      <c r="FN282" s="28">
        <f t="shared" si="614"/>
        <v>1.3136288998357966</v>
      </c>
      <c r="FO282" s="4">
        <f t="shared" si="620"/>
        <v>1.1072727272727274</v>
      </c>
      <c r="FP282" s="4">
        <f t="shared" si="621"/>
        <v>0.79583938074504113</v>
      </c>
      <c r="FQ282" s="4">
        <f t="shared" si="622"/>
        <v>0.63836477987421381</v>
      </c>
      <c r="FR282" s="4">
        <f t="shared" si="623"/>
        <v>1.288817663817664</v>
      </c>
      <c r="FS282" s="4">
        <f t="shared" si="624"/>
        <v>0.94212962962962965</v>
      </c>
      <c r="FT282" s="4">
        <f t="shared" si="625"/>
        <v>0.70000000000000007</v>
      </c>
      <c r="FU282" s="4">
        <f t="shared" si="626"/>
        <v>1.3679833679833682</v>
      </c>
      <c r="FV282" s="4">
        <f t="shared" si="627"/>
        <v>2.2426666666666666</v>
      </c>
      <c r="FW282" s="4">
        <f t="shared" si="628"/>
        <v>0.97702380952380929</v>
      </c>
      <c r="FX282" s="4">
        <f t="shared" si="629"/>
        <v>0</v>
      </c>
      <c r="FY282" s="4">
        <f t="shared" si="630"/>
        <v>0.26726093514630134</v>
      </c>
      <c r="FZ282" s="4">
        <f t="shared" si="631"/>
        <v>0</v>
      </c>
      <c r="GA282" s="4">
        <f t="shared" si="632"/>
        <v>0.22336683417085432</v>
      </c>
      <c r="GB282" s="4">
        <f t="shared" si="633"/>
        <v>0</v>
      </c>
      <c r="GC282" s="4">
        <f t="shared" si="634"/>
        <v>1.4285714285714284</v>
      </c>
      <c r="GD282" s="4">
        <f t="shared" si="635"/>
        <v>1.7345454545454546</v>
      </c>
      <c r="GE282" s="4">
        <f t="shared" si="636"/>
        <v>1.0909090909090908</v>
      </c>
      <c r="GF282" s="4">
        <f t="shared" si="637"/>
        <v>1.4545454545454548</v>
      </c>
      <c r="GG282" s="4">
        <f t="shared" si="638"/>
        <v>1.3804195804195807</v>
      </c>
      <c r="GH282" s="4">
        <f t="shared" si="639"/>
        <v>1.6168981481481484</v>
      </c>
      <c r="GI282" s="4">
        <f t="shared" si="640"/>
        <v>8.2703703703703724</v>
      </c>
      <c r="GJ282" s="4">
        <f t="shared" si="641"/>
        <v>13.729629629629631</v>
      </c>
      <c r="GK282" s="4">
        <f t="shared" si="642"/>
        <v>0</v>
      </c>
      <c r="GL282" s="4">
        <f t="shared" si="643"/>
        <v>27.279469164715064</v>
      </c>
      <c r="GM282" s="4">
        <f t="shared" si="644"/>
        <v>0.62893081761006286</v>
      </c>
      <c r="GN282" s="4">
        <f t="shared" si="645"/>
        <v>0.77590494611771199</v>
      </c>
      <c r="GO282" s="4">
        <f t="shared" si="646"/>
        <v>0.80212765957446797</v>
      </c>
      <c r="GP282" s="4">
        <f t="shared" si="647"/>
        <v>0.76124999999999998</v>
      </c>
      <c r="GQ282" s="27">
        <f t="shared" si="648"/>
        <v>67686.026359663039</v>
      </c>
      <c r="GR282" s="28">
        <f t="shared" si="649"/>
        <v>11.281004393277172</v>
      </c>
      <c r="GS282" s="28">
        <f t="shared" si="650"/>
        <v>225.62008786554344</v>
      </c>
      <c r="GT282" s="28">
        <f t="shared" si="651"/>
        <v>2707.4410543865215</v>
      </c>
      <c r="GU282" s="28">
        <f t="shared" si="652"/>
        <v>18.80167398879529</v>
      </c>
      <c r="GV282" s="28">
        <f t="shared" si="653"/>
        <v>7.5206695955181155</v>
      </c>
      <c r="GW282" s="28">
        <f t="shared" si="654"/>
        <v>67686.026359663039</v>
      </c>
      <c r="GX282" s="28">
        <f t="shared" si="655"/>
        <v>15.041339191036231</v>
      </c>
      <c r="GY282" s="28">
        <f t="shared" si="656"/>
        <v>195.53740948347098</v>
      </c>
      <c r="GZ282" s="28">
        <f t="shared" si="657"/>
        <v>248.18209665209784</v>
      </c>
      <c r="HA282" s="28">
        <f t="shared" si="658"/>
        <v>387.31448416918295</v>
      </c>
      <c r="HB282" s="28">
        <f t="shared" si="659"/>
        <v>60.165356764144924</v>
      </c>
      <c r="HC282" s="28">
        <f t="shared" si="660"/>
        <v>1052.8937433725362</v>
      </c>
      <c r="HD282" s="28">
        <f t="shared" si="661"/>
        <v>206.8184138767482</v>
      </c>
      <c r="HE282" s="28">
        <f t="shared" si="662"/>
        <v>18.80167398879529</v>
      </c>
      <c r="HF282" s="28">
        <f t="shared" si="663"/>
        <v>30.082678382072462</v>
      </c>
      <c r="HG282" s="28">
        <f t="shared" si="664"/>
        <v>1090.4970913501268</v>
      </c>
      <c r="HH282" s="28" t="str">
        <f t="shared" si="665"/>
        <v/>
      </c>
      <c r="HI282" s="28">
        <f t="shared" si="666"/>
        <v>4587.6084532660498</v>
      </c>
      <c r="HJ282" s="28">
        <f t="shared" si="667"/>
        <v>15.041339191036231</v>
      </c>
      <c r="HK282" s="28">
        <f t="shared" si="668"/>
        <v>0</v>
      </c>
      <c r="HL282" s="28">
        <f t="shared" si="669"/>
        <v>18.80167398879529</v>
      </c>
      <c r="HM282" s="28">
        <f t="shared" si="670"/>
        <v>26.322343584313405</v>
      </c>
      <c r="HN282" s="28">
        <f t="shared" si="671"/>
        <v>7.5206695955181155</v>
      </c>
      <c r="HO282" s="28" t="str">
        <f t="shared" si="672"/>
        <v/>
      </c>
      <c r="HP282" s="28">
        <f t="shared" si="673"/>
        <v>0</v>
      </c>
      <c r="HQ282" s="28" t="str">
        <f t="shared" si="674"/>
        <v/>
      </c>
      <c r="HR282" s="28" t="str">
        <f t="shared" si="675"/>
        <v/>
      </c>
      <c r="HT282" s="4">
        <f>IFERROR(GR282/'McDonough &amp; Sun 1995 values'!C$2,)</f>
        <v>537.19068539415105</v>
      </c>
      <c r="HU282" s="4">
        <f>IFERROR(GS282/'McDonough &amp; Sun 1995 values'!D$2,)</f>
        <v>376.03347977590573</v>
      </c>
      <c r="HV282" s="4">
        <f>IFERROR(GT282/'McDonough &amp; Sun 1995 values'!E$2,)</f>
        <v>410.21834157371541</v>
      </c>
      <c r="HW282" s="4">
        <f>IFERROR(GU282/'McDonough &amp; Sun 1995 values'!F$2,)</f>
        <v>236.49904388421749</v>
      </c>
      <c r="HX282" s="4">
        <f>IFERROR(GV282/'McDonough &amp; Sun 1995 values'!G$2,)</f>
        <v>370.47633475458701</v>
      </c>
      <c r="HY282" s="4">
        <f>IFERROR(GW282/'McDonough &amp; Sun 1995 values'!H$2,)</f>
        <v>282.02510983192934</v>
      </c>
      <c r="HZ282" s="4">
        <f>IFERROR(GX282/'McDonough &amp; Sun 1995 values'!I$2,)</f>
        <v>406.52268083881705</v>
      </c>
      <c r="IA282" s="4">
        <f>IFERROR(GY282/'McDonough &amp; Sun 1995 values'!J$2,)</f>
        <v>297.16931532442396</v>
      </c>
      <c r="IB282" s="4">
        <f>IFERROR(GZ282/'McDonough &amp; Sun 1995 values'!K$2,)</f>
        <v>382.9970627347189</v>
      </c>
      <c r="IC282" s="4">
        <f>IFERROR(HA282/'McDonough &amp; Sun 1995 values'!L$2,)</f>
        <v>231.23252786219876</v>
      </c>
      <c r="ID282" s="4">
        <f>IFERROR(HB282/'McDonough &amp; Sun 1995 values'!M$2,)</f>
        <v>236.87148332340522</v>
      </c>
      <c r="IE282" s="4">
        <f>IFERROR(HC282/'McDonough &amp; Sun 1995 values'!N$2,)</f>
        <v>52.909233335303327</v>
      </c>
      <c r="IF282" s="4">
        <f>IFERROR(HD282/'McDonough &amp; Sun 1995 values'!O$2,)</f>
        <v>165.45473110139855</v>
      </c>
      <c r="IG282" s="4">
        <f>IFERROR(HE282/'McDonough &amp; Sun 1995 values'!P$2,)</f>
        <v>46.30954184432337</v>
      </c>
      <c r="IH282" s="4">
        <f>IFERROR(HF282/'McDonough &amp; Sun 1995 values'!Q$2,)</f>
        <v>106.29921689778256</v>
      </c>
      <c r="II282" s="4">
        <f>IFERROR(HG282/'McDonough &amp; Sun 1995 values'!R$2,)</f>
        <v>103.85686584286921</v>
      </c>
      <c r="IJ282" s="4">
        <f>IFERROR(HH282/'McDonough &amp; Sun 1995 values'!S$2,)</f>
        <v>0</v>
      </c>
      <c r="IK282" s="4">
        <f>IFERROR(HI282/'McDonough &amp; Sun 1995 values'!T$2,)</f>
        <v>3.8071439446191286</v>
      </c>
      <c r="IL282" s="4">
        <f>IFERROR(HJ282/'McDonough &amp; Sun 1995 values'!U$2,)</f>
        <v>27.649520571757776</v>
      </c>
      <c r="IM282" s="4">
        <f>IFERROR(HK282/'McDonough &amp; Sun 1995 values'!V$2,)</f>
        <v>0</v>
      </c>
      <c r="IN282" s="4">
        <f>IFERROR(HL282/'McDonough &amp; Sun 1995 values'!W$2,)</f>
        <v>27.895658737085</v>
      </c>
      <c r="IO282" s="4">
        <f>IFERROR(HM282/'McDonough &amp; Sun 1995 values'!X$2,)</f>
        <v>6.1214752521659079</v>
      </c>
      <c r="IP282" s="4">
        <f>IFERROR(HN282/'McDonough &amp; Sun 1995 values'!Y$2,)</f>
        <v>50.474292587369902</v>
      </c>
      <c r="IQ282" s="4">
        <f>IFERROR(HO282/'McDonough &amp; Sun 1995 values'!Z$2,)</f>
        <v>0</v>
      </c>
      <c r="IR282" s="4">
        <f>IFERROR(HP282/'McDonough &amp; Sun 1995 values'!AA$2,)</f>
        <v>0</v>
      </c>
      <c r="IS282" s="4">
        <f>IFERROR(HQ282/'McDonough &amp; Sun 1995 values'!AB$2,)</f>
        <v>0</v>
      </c>
      <c r="IT282" s="4">
        <f>IFERROR(HR282/'McDonough &amp; Sun 1995 values'!AC$2,)</f>
        <v>0</v>
      </c>
    </row>
    <row r="283" spans="1:254">
      <c r="A283" s="16" t="s">
        <v>672</v>
      </c>
      <c r="B283" s="16" t="s">
        <v>24</v>
      </c>
      <c r="C283" s="16" t="str">
        <f t="shared" si="617"/>
        <v>silicic - low-Mg carbonatitic</v>
      </c>
      <c r="D283" s="16" t="s">
        <v>1723</v>
      </c>
      <c r="E283" s="16" t="s">
        <v>237</v>
      </c>
      <c r="F283" s="16" t="s">
        <v>29</v>
      </c>
      <c r="G283" s="16" t="s">
        <v>595</v>
      </c>
      <c r="H283" s="27">
        <v>360</v>
      </c>
      <c r="I283" s="16" t="s">
        <v>735</v>
      </c>
      <c r="J283" s="16" t="s">
        <v>1496</v>
      </c>
      <c r="K283" s="16">
        <v>0</v>
      </c>
      <c r="L283" s="16">
        <v>0</v>
      </c>
      <c r="M283" s="16" t="s">
        <v>87</v>
      </c>
      <c r="N283" s="16">
        <v>24</v>
      </c>
      <c r="O283" s="26">
        <v>23.93</v>
      </c>
      <c r="P283" s="26">
        <v>4.41</v>
      </c>
      <c r="Q283" s="26">
        <v>0.25</v>
      </c>
      <c r="R283" s="26">
        <v>8.4600000000000009</v>
      </c>
      <c r="S283" s="26">
        <v>22.25</v>
      </c>
      <c r="T283" s="26">
        <v>9.1199999999999992</v>
      </c>
      <c r="U283" s="26">
        <v>0.62</v>
      </c>
      <c r="V283" s="26">
        <v>9.9600000000000009</v>
      </c>
      <c r="W283" s="26">
        <v>2.4300000000000002</v>
      </c>
      <c r="X283" s="26">
        <v>11.92</v>
      </c>
      <c r="Y283" s="26"/>
      <c r="Z283" s="26">
        <v>2.06</v>
      </c>
      <c r="AA283" s="26"/>
      <c r="AB283" s="26"/>
      <c r="AC283" s="26"/>
      <c r="AD283" s="26">
        <v>3.17</v>
      </c>
      <c r="AE283" s="26"/>
      <c r="AF283" s="26">
        <v>1.41</v>
      </c>
      <c r="AG283" s="26"/>
      <c r="AH283" s="26"/>
      <c r="AI283" s="26"/>
      <c r="AJ283" s="26">
        <f t="shared" si="618"/>
        <v>97.710000000000008</v>
      </c>
      <c r="AK283" s="26">
        <f t="shared" si="678"/>
        <v>24.671469883533597</v>
      </c>
      <c r="AL283" s="26">
        <f t="shared" si="679"/>
        <v>4.5466436350348163</v>
      </c>
      <c r="AM283" s="26">
        <f t="shared" si="680"/>
        <v>8.7221326876178118</v>
      </c>
      <c r="AN283" s="26">
        <f t="shared" si="681"/>
        <v>22.939415165425096</v>
      </c>
      <c r="AO283" s="26">
        <f t="shared" si="682"/>
        <v>9.402582755446149</v>
      </c>
      <c r="AP283" s="26">
        <f t="shared" si="683"/>
        <v>10.268610114500403</v>
      </c>
      <c r="AQ283" s="26">
        <f t="shared" si="684"/>
        <v>0</v>
      </c>
      <c r="AR283" s="26">
        <f t="shared" si="685"/>
        <v>2.5052934315497972</v>
      </c>
      <c r="AS283" s="26">
        <f t="shared" si="686"/>
        <v>12.28934061896032</v>
      </c>
      <c r="AT283" s="26">
        <f t="shared" si="687"/>
        <v>2.1238289995854247</v>
      </c>
      <c r="AU283" s="26">
        <f t="shared" si="688"/>
        <v>3.2682222954785414</v>
      </c>
      <c r="AV283" s="26">
        <f t="shared" si="619"/>
        <v>100.73753958713196</v>
      </c>
      <c r="AW283" s="16"/>
      <c r="AX283" s="16"/>
      <c r="AY283" s="16"/>
      <c r="AZ283" s="16"/>
      <c r="BA283" s="26"/>
      <c r="BB283" s="26">
        <v>0.06</v>
      </c>
      <c r="BC283" s="26">
        <f t="shared" si="676"/>
        <v>6.0000000000000053E-2</v>
      </c>
      <c r="BD283" s="26">
        <f t="shared" si="677"/>
        <v>0.94</v>
      </c>
      <c r="BE283" s="25"/>
      <c r="BF283" s="16"/>
      <c r="BG283" s="16">
        <v>351</v>
      </c>
      <c r="BH283" s="16">
        <v>16</v>
      </c>
      <c r="BI283" s="16"/>
      <c r="BJ283" s="16"/>
      <c r="BK283" s="18"/>
      <c r="BL283" s="18"/>
      <c r="BM283" s="18"/>
      <c r="BN283" s="18">
        <v>188</v>
      </c>
      <c r="BO283" s="18">
        <v>224</v>
      </c>
      <c r="BP283" s="18">
        <v>104</v>
      </c>
      <c r="BQ283" s="18"/>
      <c r="BR283" s="18">
        <v>886</v>
      </c>
      <c r="BS283" s="18">
        <v>457</v>
      </c>
      <c r="BT283" s="18">
        <v>125.2</v>
      </c>
      <c r="BU283" s="18"/>
      <c r="BV283" s="18">
        <v>5.91</v>
      </c>
      <c r="BW283" s="18">
        <v>480</v>
      </c>
      <c r="BX283" s="18">
        <v>0.42199999999999999</v>
      </c>
      <c r="BY283" s="18">
        <v>6.6</v>
      </c>
      <c r="BZ283" s="18"/>
      <c r="CA283" s="18">
        <v>0.27</v>
      </c>
      <c r="CB283" s="18">
        <v>0.156</v>
      </c>
      <c r="CC283" s="18"/>
      <c r="CD283" s="18"/>
      <c r="CE283" s="18"/>
      <c r="CF283" s="18"/>
      <c r="CG283" s="18"/>
      <c r="CH283" s="18">
        <v>2.92</v>
      </c>
      <c r="CI283" s="18">
        <v>18.61</v>
      </c>
      <c r="CJ283" s="18">
        <v>0.16</v>
      </c>
      <c r="CK283" s="18">
        <v>1.7290000000000001</v>
      </c>
      <c r="CL283" s="18"/>
      <c r="CM283" s="18">
        <v>6.2389999999999999</v>
      </c>
      <c r="CN283" s="18"/>
      <c r="CO283" s="18"/>
      <c r="CP283" s="18"/>
      <c r="CQ283" s="18"/>
      <c r="CR283" s="18">
        <v>0.04</v>
      </c>
      <c r="CS283" s="18">
        <v>45.01</v>
      </c>
      <c r="CT283" s="18">
        <v>0.63</v>
      </c>
      <c r="CU283" s="18">
        <v>2.78</v>
      </c>
      <c r="CV283" s="18">
        <v>3.77</v>
      </c>
      <c r="CW283" s="18">
        <v>0.42</v>
      </c>
      <c r="CX283" s="18">
        <v>1.26</v>
      </c>
      <c r="CY283" s="18">
        <v>0.13500000000000001</v>
      </c>
      <c r="CZ283" s="18">
        <v>3.6999999999999998E-2</v>
      </c>
      <c r="DA283" s="18">
        <v>7.5999999999999998E-2</v>
      </c>
      <c r="DB283" s="18">
        <v>4.1000000000000002E-2</v>
      </c>
      <c r="DC283" s="18">
        <v>0.01</v>
      </c>
      <c r="DD283" s="18">
        <v>3.4000000000000002E-2</v>
      </c>
      <c r="DE283" s="18"/>
      <c r="DF283" s="18">
        <v>1.4999999999999999E-2</v>
      </c>
      <c r="DG283" s="18">
        <v>4.0000000000000001E-3</v>
      </c>
      <c r="DH283" s="18">
        <v>4.5999999999999999E-2</v>
      </c>
      <c r="DI283" s="18">
        <v>0.158</v>
      </c>
      <c r="DJ283" s="18"/>
      <c r="DK283" s="18">
        <v>0.48</v>
      </c>
      <c r="DL283" s="18">
        <v>0.41</v>
      </c>
      <c r="DM283" s="18">
        <v>8.6999999999999994E-2</v>
      </c>
      <c r="DN283" s="18"/>
      <c r="DO283" s="18"/>
      <c r="DP283" s="18"/>
      <c r="DQ283" s="18"/>
      <c r="DR283" s="18"/>
      <c r="DS283" s="18"/>
      <c r="DT283" s="18"/>
      <c r="DU283" s="18"/>
      <c r="DV283" s="28"/>
      <c r="DW283" s="28"/>
      <c r="DX283" s="28"/>
      <c r="DY283" s="28"/>
      <c r="DZ283" s="28"/>
      <c r="EA283" s="28"/>
      <c r="EB283" s="28"/>
      <c r="EC283" s="28"/>
      <c r="ED283" s="28"/>
      <c r="EE283" s="28"/>
      <c r="EF283" s="28"/>
      <c r="EG283" s="28"/>
      <c r="EH283" s="28"/>
      <c r="EI283" s="28"/>
      <c r="EJ283" s="18"/>
      <c r="EK283" s="18"/>
      <c r="EL283" s="18">
        <f>IFERROR(CR283/'McDonough &amp; Sun 1995 values'!C$2,)</f>
        <v>1.9047619047619047</v>
      </c>
      <c r="EM283" s="18">
        <f>IFERROR(CH283/'McDonough &amp; Sun 1995 values'!D$2,)</f>
        <v>4.8666666666666671</v>
      </c>
      <c r="EN283" s="18">
        <f>IFERROR(CS283/'McDonough &amp; Sun 1995 values'!E$2,)</f>
        <v>6.8196969696969694</v>
      </c>
      <c r="EO283" s="18">
        <f>IFERROR(DL283/'McDonough &amp; Sun 1995 values'!F$2,)</f>
        <v>5.1572327044025155</v>
      </c>
      <c r="EP283" s="18">
        <f>IFERROR(DM283/'McDonough &amp; Sun 1995 values'!G$2,)</f>
        <v>4.2857142857142856</v>
      </c>
      <c r="EQ283" s="18">
        <f>IFERROR(BR283/'McDonough &amp; Sun 1995 values'!H$2,)</f>
        <v>3.6916666666666669</v>
      </c>
      <c r="ER283" s="18">
        <f>IFERROR(DI283/'McDonough &amp; Sun 1995 values'!I$2,)</f>
        <v>4.2702702702702702</v>
      </c>
      <c r="ES283" s="18">
        <f>IFERROR(CM283/'McDonough &amp; Sun 1995 values'!J$2,)</f>
        <v>9.4817629179331302</v>
      </c>
      <c r="ET283" s="18">
        <f>IFERROR(CU283/'McDonough &amp; Sun 1995 values'!K$2,)</f>
        <v>4.2901234567901234</v>
      </c>
      <c r="EU283" s="18">
        <f>IFERROR(CV283/'McDonough &amp; Sun 1995 values'!L$2,)</f>
        <v>2.2507462686567163</v>
      </c>
      <c r="EV283" s="18">
        <f>IFERROR(CW283/'McDonough &amp; Sun 1995 values'!M$2,)</f>
        <v>1.6535433070866141</v>
      </c>
      <c r="EW283" s="18">
        <f>IFERROR(CI283/'McDonough &amp; Sun 1995 values'!N$2,)</f>
        <v>0.93517587939698499</v>
      </c>
      <c r="EX283" s="18">
        <f>IFERROR(CX283/'McDonough &amp; Sun 1995 values'!O$2,)</f>
        <v>1.008</v>
      </c>
      <c r="EY283" s="18">
        <f>IFERROR(CY283/'McDonough &amp; Sun 1995 values'!P$2,)</f>
        <v>0.33251231527093594</v>
      </c>
      <c r="EZ283" s="18">
        <f>IFERROR(DH283/'McDonough &amp; Sun 1995 values'!Q$2,)</f>
        <v>0.16254416961130744</v>
      </c>
      <c r="FA283" s="18">
        <f>IFERROR(CK283/'McDonough &amp; Sun 1995 values'!R$2,)</f>
        <v>0.16466666666666668</v>
      </c>
      <c r="FB283" s="18">
        <f>IFERROR(CZ283/'McDonough &amp; Sun 1995 values'!S$2,)</f>
        <v>0.24025974025974026</v>
      </c>
      <c r="FC283" s="18">
        <f>IFERROR(BT283/'McDonough &amp; Sun 1995 values'!T$2,)</f>
        <v>0.10390041493775934</v>
      </c>
      <c r="FD283" s="18">
        <f>IFERROR(DA283/'McDonough &amp; Sun 1995 values'!U$2,)</f>
        <v>0.13970588235294115</v>
      </c>
      <c r="FE283" s="18">
        <f>IFERROR(DN283/'McDonough &amp; Sun 1995 values'!V$2,)</f>
        <v>0</v>
      </c>
      <c r="FF283" s="18">
        <f>IFERROR(DB283/'McDonough &amp; Sun 1995 values'!W$2,)</f>
        <v>6.0830860534124627E-2</v>
      </c>
      <c r="FG283" s="18">
        <f>IFERROR(CJ283/'McDonough &amp; Sun 1995 values'!X$2,)</f>
        <v>3.7209302325581395E-2</v>
      </c>
      <c r="FH283" s="18">
        <f>IFERROR(DC283/'McDonough &amp; Sun 1995 values'!Y$2,)</f>
        <v>6.7114093959731544E-2</v>
      </c>
      <c r="FI283" s="18">
        <f>IFERROR(DD283/'McDonough &amp; Sun 1995 values'!Z$2,)</f>
        <v>7.7625570776255717E-2</v>
      </c>
      <c r="FJ283" s="18">
        <f>IFERROR(DE283/'McDonough &amp; Sun 1995 values'!AA$2,)</f>
        <v>0</v>
      </c>
      <c r="FK283" s="18">
        <f>IFERROR(DF283/'McDonough &amp; Sun 1995 values'!AB$2,)</f>
        <v>3.4013605442176867E-2</v>
      </c>
      <c r="FL283" s="18">
        <f>IFERROR(DG283/'McDonough &amp; Sun 1995 values'!AC$2,)</f>
        <v>5.9259259259259255E-2</v>
      </c>
      <c r="FN283" s="28">
        <f t="shared" si="614"/>
        <v>1.1609158336020637</v>
      </c>
      <c r="FO283" s="4">
        <f t="shared" si="620"/>
        <v>1.5912626262626262</v>
      </c>
      <c r="FP283" s="4">
        <f t="shared" si="621"/>
        <v>0.54391074202546164</v>
      </c>
      <c r="FQ283" s="4">
        <f t="shared" si="622"/>
        <v>1.2033542976939202</v>
      </c>
      <c r="FR283" s="4">
        <f t="shared" si="623"/>
        <v>0.45246052806025028</v>
      </c>
      <c r="FS283" s="4">
        <f t="shared" si="624"/>
        <v>1.0046491639318644</v>
      </c>
      <c r="FT283" s="4">
        <f t="shared" si="625"/>
        <v>2.5550000000000006</v>
      </c>
      <c r="FU283" s="4">
        <f t="shared" si="626"/>
        <v>0.4503666994450774</v>
      </c>
      <c r="FV283" s="4">
        <f t="shared" si="627"/>
        <v>0.49521975308641986</v>
      </c>
      <c r="FW283" s="4">
        <f t="shared" si="628"/>
        <v>1.0130579710144927</v>
      </c>
      <c r="FX283" s="4">
        <f t="shared" si="629"/>
        <v>1.0175793371313815</v>
      </c>
      <c r="FY283" s="4">
        <f t="shared" si="630"/>
        <v>0.72436130716579283</v>
      </c>
      <c r="FZ283" s="4">
        <f t="shared" si="631"/>
        <v>1.1147302574747702</v>
      </c>
      <c r="GA283" s="4">
        <f t="shared" si="632"/>
        <v>0.56555874611151002</v>
      </c>
      <c r="GB283" s="4">
        <f t="shared" si="633"/>
        <v>0.72255892255892262</v>
      </c>
      <c r="GC283" s="4">
        <f t="shared" si="634"/>
        <v>0.39138943248532282</v>
      </c>
      <c r="GD283" s="4">
        <f t="shared" si="635"/>
        <v>1.3223558758314855</v>
      </c>
      <c r="GE283" s="4">
        <f t="shared" si="636"/>
        <v>1.4013075965130757</v>
      </c>
      <c r="GF283" s="4">
        <f t="shared" si="637"/>
        <v>1.8473219782474859</v>
      </c>
      <c r="GG283" s="4">
        <f t="shared" si="638"/>
        <v>0.71924356564523262</v>
      </c>
      <c r="GH283" s="4">
        <f t="shared" si="639"/>
        <v>2.5945032333921225</v>
      </c>
      <c r="GI283" s="4">
        <f t="shared" si="640"/>
        <v>12.90214906264289</v>
      </c>
      <c r="GJ283" s="4">
        <f t="shared" si="641"/>
        <v>70.525444143330319</v>
      </c>
      <c r="GK283" s="4">
        <f t="shared" si="642"/>
        <v>126.12962962962965</v>
      </c>
      <c r="GL283" s="4">
        <f t="shared" si="643"/>
        <v>1.5848509052183175</v>
      </c>
      <c r="GM283" s="4">
        <f t="shared" si="644"/>
        <v>1.0597053502196949</v>
      </c>
      <c r="GN283" s="4">
        <f t="shared" si="645"/>
        <v>2.210137543460672</v>
      </c>
      <c r="GO283" s="4">
        <f t="shared" si="646"/>
        <v>2.2124113475177305</v>
      </c>
      <c r="GP283" s="4">
        <f t="shared" si="647"/>
        <v>0.86138888888888898</v>
      </c>
      <c r="GQ283" s="27">
        <f t="shared" si="648"/>
        <v>102018.4009808929</v>
      </c>
      <c r="GR283" s="28">
        <f t="shared" si="649"/>
        <v>4.6057968840132233</v>
      </c>
      <c r="GS283" s="28">
        <f t="shared" si="650"/>
        <v>336.22317253296529</v>
      </c>
      <c r="GT283" s="28">
        <f t="shared" si="651"/>
        <v>5182.672943735879</v>
      </c>
      <c r="GU283" s="28">
        <f t="shared" si="652"/>
        <v>47.209418061135537</v>
      </c>
      <c r="GV283" s="28">
        <f t="shared" si="653"/>
        <v>10.017608222728759</v>
      </c>
      <c r="GW283" s="28">
        <f t="shared" si="654"/>
        <v>102018.4009808929</v>
      </c>
      <c r="GX283" s="28">
        <f t="shared" si="655"/>
        <v>18.192897691852231</v>
      </c>
      <c r="GY283" s="28">
        <f t="shared" si="656"/>
        <v>718.38916898396246</v>
      </c>
      <c r="GZ283" s="28">
        <f t="shared" si="657"/>
        <v>320.10288343891898</v>
      </c>
      <c r="HA283" s="28">
        <f t="shared" si="658"/>
        <v>434.09635631824631</v>
      </c>
      <c r="HB283" s="28">
        <f t="shared" si="659"/>
        <v>48.360867282138841</v>
      </c>
      <c r="HC283" s="28">
        <f t="shared" si="660"/>
        <v>2142.8470002871518</v>
      </c>
      <c r="HD283" s="28">
        <f t="shared" si="661"/>
        <v>145.08260184641654</v>
      </c>
      <c r="HE283" s="28">
        <f t="shared" si="662"/>
        <v>15.544564483544629</v>
      </c>
      <c r="HF283" s="28">
        <f t="shared" si="663"/>
        <v>5.2966664166152073</v>
      </c>
      <c r="HG283" s="28">
        <f t="shared" si="664"/>
        <v>199.0855703114716</v>
      </c>
      <c r="HH283" s="28">
        <f t="shared" si="665"/>
        <v>4.2603621177122317</v>
      </c>
      <c r="HI283" s="28">
        <f t="shared" si="666"/>
        <v>14416.144246961388</v>
      </c>
      <c r="HJ283" s="28">
        <f t="shared" si="667"/>
        <v>8.7510140796251239</v>
      </c>
      <c r="HK283" s="28">
        <f t="shared" si="668"/>
        <v>0</v>
      </c>
      <c r="HL283" s="28">
        <f t="shared" si="669"/>
        <v>4.7209418061135544</v>
      </c>
      <c r="HM283" s="28">
        <f t="shared" si="670"/>
        <v>18.423187536052893</v>
      </c>
      <c r="HN283" s="28">
        <f t="shared" si="671"/>
        <v>1.1514492210033058</v>
      </c>
      <c r="HO283" s="28">
        <f t="shared" si="672"/>
        <v>3.9149273514112402</v>
      </c>
      <c r="HP283" s="28">
        <f t="shared" si="673"/>
        <v>0</v>
      </c>
      <c r="HQ283" s="28">
        <f t="shared" si="674"/>
        <v>1.7271738315049587</v>
      </c>
      <c r="HR283" s="28">
        <f t="shared" si="675"/>
        <v>0.46057968840132235</v>
      </c>
      <c r="HT283" s="4">
        <f>IFERROR(GR283/'McDonough &amp; Sun 1995 values'!C$2,)</f>
        <v>219.32366114348682</v>
      </c>
      <c r="HU283" s="4">
        <f>IFERROR(GS283/'McDonough &amp; Sun 1995 values'!D$2,)</f>
        <v>560.3719542216088</v>
      </c>
      <c r="HV283" s="4">
        <f>IFERROR(GT283/'McDonough &amp; Sun 1995 values'!E$2,)</f>
        <v>785.25347632361809</v>
      </c>
      <c r="HW283" s="4">
        <f>IFERROR(GU283/'McDonough &amp; Sun 1995 values'!F$2,)</f>
        <v>593.82915800170485</v>
      </c>
      <c r="HX283" s="4">
        <f>IFERROR(GV283/'McDonough &amp; Sun 1995 values'!G$2,)</f>
        <v>493.47823757284533</v>
      </c>
      <c r="HY283" s="4">
        <f>IFERROR(GW283/'McDonough &amp; Sun 1995 values'!H$2,)</f>
        <v>425.07667075372041</v>
      </c>
      <c r="HZ283" s="4">
        <f>IFERROR(GX283/'McDonough &amp; Sun 1995 values'!I$2,)</f>
        <v>491.69993761762788</v>
      </c>
      <c r="IA283" s="4">
        <f>IFERROR(GY283/'McDonough &amp; Sun 1995 values'!J$2,)</f>
        <v>1091.7768525592135</v>
      </c>
      <c r="IB283" s="4">
        <f>IFERROR(GZ283/'McDonough &amp; Sun 1995 values'!K$2,)</f>
        <v>493.98593123289965</v>
      </c>
      <c r="IC283" s="4">
        <f>IFERROR(HA283/'McDonough &amp; Sun 1995 values'!L$2,)</f>
        <v>259.16200377208736</v>
      </c>
      <c r="ID283" s="4">
        <f>IFERROR(HB283/'McDonough &amp; Sun 1995 values'!M$2,)</f>
        <v>190.39711528401119</v>
      </c>
      <c r="IE283" s="4">
        <f>IFERROR(HC283/'McDonough &amp; Sun 1995 values'!N$2,)</f>
        <v>107.68075378327397</v>
      </c>
      <c r="IF283" s="4">
        <f>IFERROR(HD283/'McDonough &amp; Sun 1995 values'!O$2,)</f>
        <v>116.06608147713322</v>
      </c>
      <c r="IG283" s="4">
        <f>IFERROR(HE283/'McDonough &amp; Sun 1995 values'!P$2,)</f>
        <v>38.287104639272485</v>
      </c>
      <c r="IH283" s="4">
        <f>IFERROR(HF283/'McDonough &amp; Sun 1995 values'!Q$2,)</f>
        <v>18.716135747756919</v>
      </c>
      <c r="II283" s="4">
        <f>IFERROR(HG283/'McDonough &amp; Sun 1995 values'!R$2,)</f>
        <v>18.96053050585444</v>
      </c>
      <c r="IJ283" s="4">
        <f>IFERROR(HH283/'McDonough &amp; Sun 1995 values'!S$2,)</f>
        <v>27.664689076053453</v>
      </c>
      <c r="IK283" s="4">
        <f>IFERROR(HI283/'McDonough &amp; Sun 1995 values'!T$2,)</f>
        <v>11.963605184200322</v>
      </c>
      <c r="IL283" s="4">
        <f>IFERROR(HJ283/'McDonough &amp; Sun 1995 values'!U$2,)</f>
        <v>16.08642294048736</v>
      </c>
      <c r="IM283" s="4">
        <f>IFERROR(HK283/'McDonough &amp; Sun 1995 values'!V$2,)</f>
        <v>0</v>
      </c>
      <c r="IN283" s="4">
        <f>IFERROR(HL283/'McDonough &amp; Sun 1995 values'!W$2,)</f>
        <v>7.0043646974978548</v>
      </c>
      <c r="IO283" s="4">
        <f>IFERROR(HM283/'McDonough &amp; Sun 1995 values'!X$2,)</f>
        <v>4.2844622176867198</v>
      </c>
      <c r="IP283" s="4">
        <f>IFERROR(HN283/'McDonough &amp; Sun 1995 values'!Y$2,)</f>
        <v>7.7278471208275565</v>
      </c>
      <c r="IQ283" s="4">
        <f>IFERROR(HO283/'McDonough &amp; Sun 1995 values'!Z$2,)</f>
        <v>8.9381903000256617</v>
      </c>
      <c r="IR283" s="4">
        <f>IFERROR(HP283/'McDonough &amp; Sun 1995 values'!AA$2,)</f>
        <v>0</v>
      </c>
      <c r="IS283" s="4">
        <f>IFERROR(HQ283/'McDonough &amp; Sun 1995 values'!AB$2,)</f>
        <v>3.9164939489908361</v>
      </c>
      <c r="IT283" s="4">
        <f>IFERROR(HR283/'McDonough &amp; Sun 1995 values'!AC$2,)</f>
        <v>6.8234027911307011</v>
      </c>
    </row>
    <row r="284" spans="1:254">
      <c r="A284" s="16" t="s">
        <v>672</v>
      </c>
      <c r="B284" s="16" t="s">
        <v>24</v>
      </c>
      <c r="C284" s="16" t="str">
        <f t="shared" si="617"/>
        <v>silicic - low-Mg carbonatitic</v>
      </c>
      <c r="D284" s="16" t="s">
        <v>1723</v>
      </c>
      <c r="E284" s="16" t="s">
        <v>237</v>
      </c>
      <c r="F284" s="16" t="s">
        <v>29</v>
      </c>
      <c r="G284" s="16" t="s">
        <v>595</v>
      </c>
      <c r="H284" s="27">
        <v>360</v>
      </c>
      <c r="I284" s="16" t="s">
        <v>735</v>
      </c>
      <c r="J284" s="16" t="s">
        <v>1496</v>
      </c>
      <c r="K284" s="16">
        <v>0</v>
      </c>
      <c r="L284" s="16">
        <v>0</v>
      </c>
      <c r="M284" s="16" t="s">
        <v>89</v>
      </c>
      <c r="N284" s="16">
        <v>24</v>
      </c>
      <c r="O284" s="26">
        <v>24.29</v>
      </c>
      <c r="P284" s="26">
        <v>3.4</v>
      </c>
      <c r="Q284" s="26">
        <v>0.28000000000000003</v>
      </c>
      <c r="R284" s="26">
        <v>6.02</v>
      </c>
      <c r="S284" s="26">
        <v>25.54</v>
      </c>
      <c r="T284" s="26">
        <v>6.31</v>
      </c>
      <c r="U284" s="26">
        <v>0.52</v>
      </c>
      <c r="V284" s="26">
        <v>14.74</v>
      </c>
      <c r="W284" s="26">
        <v>2.0699999999999998</v>
      </c>
      <c r="X284" s="26">
        <v>7.56</v>
      </c>
      <c r="Y284" s="26"/>
      <c r="Z284" s="26">
        <v>6.81</v>
      </c>
      <c r="AA284" s="26"/>
      <c r="AB284" s="26"/>
      <c r="AC284" s="26"/>
      <c r="AD284" s="26">
        <v>1.19</v>
      </c>
      <c r="AE284" s="26"/>
      <c r="AF284" s="26">
        <v>1.26</v>
      </c>
      <c r="AG284" s="26"/>
      <c r="AH284" s="26"/>
      <c r="AI284" s="26"/>
      <c r="AJ284" s="26">
        <f t="shared" si="618"/>
        <v>97.929999999999978</v>
      </c>
      <c r="AK284" s="26">
        <f t="shared" si="678"/>
        <v>24.871634934707959</v>
      </c>
      <c r="AL284" s="26">
        <f t="shared" si="679"/>
        <v>3.4814145235902454</v>
      </c>
      <c r="AM284" s="26">
        <f t="shared" si="680"/>
        <v>6.1641515976509638</v>
      </c>
      <c r="AN284" s="26">
        <f t="shared" si="681"/>
        <v>26.151566744851429</v>
      </c>
      <c r="AO284" s="26">
        <f t="shared" si="682"/>
        <v>6.4610957776042488</v>
      </c>
      <c r="AP284" s="26">
        <f t="shared" si="683"/>
        <v>15.092955905211831</v>
      </c>
      <c r="AQ284" s="26">
        <f t="shared" si="684"/>
        <v>0</v>
      </c>
      <c r="AR284" s="26">
        <f t="shared" si="685"/>
        <v>2.1195670775975906</v>
      </c>
      <c r="AS284" s="26">
        <f t="shared" si="686"/>
        <v>7.7410275877477215</v>
      </c>
      <c r="AT284" s="26">
        <f t="shared" si="687"/>
        <v>6.9730685016616389</v>
      </c>
      <c r="AU284" s="26">
        <f t="shared" si="688"/>
        <v>1.2184950832565857</v>
      </c>
      <c r="AV284" s="26">
        <f t="shared" si="619"/>
        <v>100.27497773388023</v>
      </c>
      <c r="AW284" s="16"/>
      <c r="AX284" s="16"/>
      <c r="AY284" s="16"/>
      <c r="AZ284" s="16"/>
      <c r="BA284" s="26"/>
      <c r="BB284" s="26">
        <v>0.23</v>
      </c>
      <c r="BC284" s="26">
        <f t="shared" si="676"/>
        <v>0.22999999999999998</v>
      </c>
      <c r="BD284" s="26">
        <f t="shared" si="677"/>
        <v>0.77</v>
      </c>
      <c r="BE284" s="25"/>
      <c r="BF284" s="16"/>
      <c r="BG284" s="16">
        <v>49</v>
      </c>
      <c r="BH284" s="16"/>
      <c r="BI284" s="16"/>
      <c r="BJ284" s="16"/>
      <c r="BK284" s="18"/>
      <c r="BL284" s="18"/>
      <c r="BM284" s="18"/>
      <c r="BN284" s="18">
        <v>69</v>
      </c>
      <c r="BO284" s="18">
        <v>123</v>
      </c>
      <c r="BP284" s="18">
        <v>67</v>
      </c>
      <c r="BQ284" s="18"/>
      <c r="BR284" s="18">
        <v>350</v>
      </c>
      <c r="BS284" s="18">
        <v>247</v>
      </c>
      <c r="BT284" s="18">
        <v>52.02</v>
      </c>
      <c r="BU284" s="18"/>
      <c r="BV284" s="18">
        <v>2.68</v>
      </c>
      <c r="BW284" s="18">
        <v>191</v>
      </c>
      <c r="BX284" s="18">
        <v>0.94199999999999995</v>
      </c>
      <c r="BY284" s="18">
        <v>2.4500000000000002</v>
      </c>
      <c r="BZ284" s="18"/>
      <c r="CA284" s="18">
        <v>0.18</v>
      </c>
      <c r="CB284" s="18">
        <v>6.5000000000000002E-2</v>
      </c>
      <c r="CC284" s="18"/>
      <c r="CD284" s="18"/>
      <c r="CE284" s="18"/>
      <c r="CF284" s="18"/>
      <c r="CG284" s="18"/>
      <c r="CH284" s="18">
        <v>1.32</v>
      </c>
      <c r="CI284" s="18">
        <v>7.42</v>
      </c>
      <c r="CJ284" s="18">
        <v>8.3000000000000004E-2</v>
      </c>
      <c r="CK284" s="18">
        <v>1.7390000000000001</v>
      </c>
      <c r="CL284" s="18"/>
      <c r="CM284" s="18">
        <v>1.4990000000000001</v>
      </c>
      <c r="CN284" s="18"/>
      <c r="CO284" s="18"/>
      <c r="CP284" s="18"/>
      <c r="CQ284" s="18"/>
      <c r="CR284" s="18">
        <v>2.3E-2</v>
      </c>
      <c r="CS284" s="18">
        <v>17.010000000000002</v>
      </c>
      <c r="CT284" s="18">
        <v>0.28299999999999997</v>
      </c>
      <c r="CU284" s="18">
        <v>1.1000000000000001</v>
      </c>
      <c r="CV284" s="18">
        <v>1.61</v>
      </c>
      <c r="CW284" s="18">
        <v>0.193</v>
      </c>
      <c r="CX284" s="18">
        <v>0.63</v>
      </c>
      <c r="CY284" s="18">
        <v>7.8E-2</v>
      </c>
      <c r="CZ284" s="18">
        <v>2.1999999999999999E-2</v>
      </c>
      <c r="DA284" s="18">
        <v>0.05</v>
      </c>
      <c r="DB284" s="18">
        <v>2.1999999999999999E-2</v>
      </c>
      <c r="DC284" s="18">
        <v>6.0000000000000001E-3</v>
      </c>
      <c r="DD284" s="18">
        <v>1.9E-2</v>
      </c>
      <c r="DE284" s="18"/>
      <c r="DF284" s="18">
        <v>5.0000000000000001E-3</v>
      </c>
      <c r="DG284" s="18">
        <v>5.0000000000000001E-3</v>
      </c>
      <c r="DH284" s="18">
        <v>4.9000000000000002E-2</v>
      </c>
      <c r="DI284" s="18">
        <v>6.3E-2</v>
      </c>
      <c r="DJ284" s="18"/>
      <c r="DK284" s="18">
        <v>0.39900000000000002</v>
      </c>
      <c r="DL284" s="18">
        <v>0.14299999999999999</v>
      </c>
      <c r="DM284" s="18">
        <v>3.1E-2</v>
      </c>
      <c r="DN284" s="18"/>
      <c r="DO284" s="18"/>
      <c r="DP284" s="18"/>
      <c r="DQ284" s="18"/>
      <c r="DR284" s="18"/>
      <c r="DS284" s="18"/>
      <c r="DT284" s="18"/>
      <c r="DU284" s="18"/>
      <c r="DV284" s="28"/>
      <c r="DW284" s="28"/>
      <c r="DX284" s="28"/>
      <c r="DY284" s="28"/>
      <c r="DZ284" s="28"/>
      <c r="EA284" s="28"/>
      <c r="EB284" s="28"/>
      <c r="EC284" s="28"/>
      <c r="ED284" s="28"/>
      <c r="EE284" s="28"/>
      <c r="EF284" s="28"/>
      <c r="EG284" s="28"/>
      <c r="EH284" s="28"/>
      <c r="EI284" s="28"/>
      <c r="EJ284" s="18"/>
      <c r="EK284" s="18"/>
      <c r="EL284" s="18">
        <f>IFERROR(CR284/'McDonough &amp; Sun 1995 values'!C$2,)</f>
        <v>1.0952380952380951</v>
      </c>
      <c r="EM284" s="18">
        <f>IFERROR(CH284/'McDonough &amp; Sun 1995 values'!D$2,)</f>
        <v>2.2000000000000002</v>
      </c>
      <c r="EN284" s="18">
        <f>IFERROR(CS284/'McDonough &amp; Sun 1995 values'!E$2,)</f>
        <v>2.5772727272727276</v>
      </c>
      <c r="EO284" s="18">
        <f>IFERROR(DL284/'McDonough &amp; Sun 1995 values'!F$2,)</f>
        <v>1.7987421383647797</v>
      </c>
      <c r="EP284" s="18">
        <f>IFERROR(DM284/'McDonough &amp; Sun 1995 values'!G$2,)</f>
        <v>1.5270935960591134</v>
      </c>
      <c r="EQ284" s="18">
        <f>IFERROR(BR284/'McDonough &amp; Sun 1995 values'!H$2,)</f>
        <v>1.4583333333333333</v>
      </c>
      <c r="ER284" s="18">
        <f>IFERROR(DI284/'McDonough &amp; Sun 1995 values'!I$2,)</f>
        <v>1.7027027027027029</v>
      </c>
      <c r="ES284" s="18">
        <f>IFERROR(CM284/'McDonough &amp; Sun 1995 values'!J$2,)</f>
        <v>2.2781155015197569</v>
      </c>
      <c r="ET284" s="18">
        <f>IFERROR(CU284/'McDonough &amp; Sun 1995 values'!K$2,)</f>
        <v>1.6975308641975309</v>
      </c>
      <c r="EU284" s="18">
        <f>IFERROR(CV284/'McDonough &amp; Sun 1995 values'!L$2,)</f>
        <v>0.96119402985074631</v>
      </c>
      <c r="EV284" s="18">
        <f>IFERROR(CW284/'McDonough &amp; Sun 1995 values'!M$2,)</f>
        <v>0.75984251968503935</v>
      </c>
      <c r="EW284" s="18">
        <f>IFERROR(CI284/'McDonough &amp; Sun 1995 values'!N$2,)</f>
        <v>0.37286432160804023</v>
      </c>
      <c r="EX284" s="18">
        <f>IFERROR(CX284/'McDonough &amp; Sun 1995 values'!O$2,)</f>
        <v>0.504</v>
      </c>
      <c r="EY284" s="18">
        <f>IFERROR(CY284/'McDonough &amp; Sun 1995 values'!P$2,)</f>
        <v>0.19211822660098521</v>
      </c>
      <c r="EZ284" s="18">
        <f>IFERROR(DH284/'McDonough &amp; Sun 1995 values'!Q$2,)</f>
        <v>0.17314487632508835</v>
      </c>
      <c r="FA284" s="18">
        <f>IFERROR(CK284/'McDonough &amp; Sun 1995 values'!R$2,)</f>
        <v>0.16561904761904764</v>
      </c>
      <c r="FB284" s="18">
        <f>IFERROR(CZ284/'McDonough &amp; Sun 1995 values'!S$2,)</f>
        <v>0.14285714285714285</v>
      </c>
      <c r="FC284" s="18">
        <f>IFERROR(BT284/'McDonough &amp; Sun 1995 values'!T$2,)</f>
        <v>4.3170124481327801E-2</v>
      </c>
      <c r="FD284" s="18">
        <f>IFERROR(DA284/'McDonough &amp; Sun 1995 values'!U$2,)</f>
        <v>9.1911764705882346E-2</v>
      </c>
      <c r="FE284" s="18">
        <f>IFERROR(DN284/'McDonough &amp; Sun 1995 values'!V$2,)</f>
        <v>0</v>
      </c>
      <c r="FF284" s="18">
        <f>IFERROR(DB284/'McDonough &amp; Sun 1995 values'!W$2,)</f>
        <v>3.2640949554896138E-2</v>
      </c>
      <c r="FG284" s="18">
        <f>IFERROR(CJ284/'McDonough &amp; Sun 1995 values'!X$2,)</f>
        <v>1.9302325581395351E-2</v>
      </c>
      <c r="FH284" s="18">
        <f>IFERROR(DC284/'McDonough &amp; Sun 1995 values'!Y$2,)</f>
        <v>4.0268456375838931E-2</v>
      </c>
      <c r="FI284" s="18">
        <f>IFERROR(DD284/'McDonough &amp; Sun 1995 values'!Z$2,)</f>
        <v>4.3378995433789952E-2</v>
      </c>
      <c r="FJ284" s="18">
        <f>IFERROR(DE284/'McDonough &amp; Sun 1995 values'!AA$2,)</f>
        <v>0</v>
      </c>
      <c r="FK284" s="18">
        <f>IFERROR(DF284/'McDonough &amp; Sun 1995 values'!AB$2,)</f>
        <v>1.1337868480725623E-2</v>
      </c>
      <c r="FL284" s="18">
        <f>IFERROR(DG284/'McDonough &amp; Sun 1995 values'!AC$2,)</f>
        <v>7.407407407407407E-2</v>
      </c>
      <c r="FN284" s="28">
        <f t="shared" si="614"/>
        <v>1.0471498944405351</v>
      </c>
      <c r="FO284" s="4">
        <f t="shared" si="620"/>
        <v>1.6876979472140763</v>
      </c>
      <c r="FP284" s="4">
        <f t="shared" si="621"/>
        <v>0.78957460109674782</v>
      </c>
      <c r="FQ284" s="4">
        <f t="shared" si="622"/>
        <v>1.1778859809291944</v>
      </c>
      <c r="FR284" s="4">
        <f t="shared" si="623"/>
        <v>0.74514697040825562</v>
      </c>
      <c r="FS284" s="4">
        <f t="shared" si="624"/>
        <v>0.99696257103664498</v>
      </c>
      <c r="FT284" s="4">
        <f t="shared" si="625"/>
        <v>2.0086956521739134</v>
      </c>
      <c r="FU284" s="4">
        <f t="shared" si="626"/>
        <v>0.74741719705028575</v>
      </c>
      <c r="FV284" s="4">
        <f t="shared" si="627"/>
        <v>0.86206837606837627</v>
      </c>
      <c r="FW284" s="4">
        <f t="shared" si="628"/>
        <v>0.95653449951409142</v>
      </c>
      <c r="FX284" s="4">
        <f t="shared" si="629"/>
        <v>1.005929987884971</v>
      </c>
      <c r="FY284" s="4">
        <f t="shared" si="630"/>
        <v>0.60252318680212613</v>
      </c>
      <c r="FZ284" s="4">
        <f t="shared" si="631"/>
        <v>1.0750585638703203</v>
      </c>
      <c r="GA284" s="4">
        <f t="shared" si="632"/>
        <v>0.49071263051006331</v>
      </c>
      <c r="GB284" s="4">
        <f t="shared" si="633"/>
        <v>0.74358974358974361</v>
      </c>
      <c r="GC284" s="4">
        <f t="shared" si="634"/>
        <v>0.49783549783549774</v>
      </c>
      <c r="GD284" s="4">
        <f t="shared" si="635"/>
        <v>1.4328194532739991</v>
      </c>
      <c r="GE284" s="4">
        <f t="shared" si="636"/>
        <v>1.1714876033057853</v>
      </c>
      <c r="GF284" s="4">
        <f t="shared" si="637"/>
        <v>1.7672727272727276</v>
      </c>
      <c r="GG284" s="4">
        <f t="shared" si="638"/>
        <v>1.1313178482624782</v>
      </c>
      <c r="GH284" s="4">
        <f t="shared" si="639"/>
        <v>2.2340561632444187</v>
      </c>
      <c r="GI284" s="4">
        <f t="shared" si="640"/>
        <v>8.8358657803102254</v>
      </c>
      <c r="GJ284" s="4">
        <f t="shared" si="641"/>
        <v>52.006172839506178</v>
      </c>
      <c r="GK284" s="4">
        <f t="shared" si="642"/>
        <v>149.72222222222223</v>
      </c>
      <c r="GL284" s="4">
        <f t="shared" si="643"/>
        <v>3.8364273814100809</v>
      </c>
      <c r="GM284" s="4">
        <f t="shared" si="644"/>
        <v>0.81761006289308158</v>
      </c>
      <c r="GN284" s="4">
        <f t="shared" si="645"/>
        <v>1.3420171318043659</v>
      </c>
      <c r="GO284" s="4">
        <f t="shared" si="646"/>
        <v>1.4917982155113245</v>
      </c>
      <c r="GP284" s="4">
        <f t="shared" si="647"/>
        <v>0.95497311827956977</v>
      </c>
      <c r="GQ284" s="27">
        <f t="shared" si="648"/>
        <v>64261.157773801868</v>
      </c>
      <c r="GR284" s="28">
        <f t="shared" si="649"/>
        <v>4.2228760822784084</v>
      </c>
      <c r="GS284" s="28">
        <f t="shared" si="650"/>
        <v>242.35636646119562</v>
      </c>
      <c r="GT284" s="28">
        <f t="shared" si="651"/>
        <v>3123.0922678067709</v>
      </c>
      <c r="GU284" s="28">
        <f t="shared" si="652"/>
        <v>26.255273033296191</v>
      </c>
      <c r="GV284" s="28">
        <f t="shared" si="653"/>
        <v>5.6917025456795933</v>
      </c>
      <c r="GW284" s="28">
        <f t="shared" si="654"/>
        <v>64261.157773801868</v>
      </c>
      <c r="GX284" s="28">
        <f t="shared" si="655"/>
        <v>11.567008399284337</v>
      </c>
      <c r="GY284" s="28">
        <f t="shared" si="656"/>
        <v>275.22135857979714</v>
      </c>
      <c r="GZ284" s="28">
        <f t="shared" si="657"/>
        <v>201.96363871766303</v>
      </c>
      <c r="HA284" s="28">
        <f t="shared" si="658"/>
        <v>295.60132575948859</v>
      </c>
      <c r="HB284" s="28">
        <f t="shared" si="659"/>
        <v>35.435438429553599</v>
      </c>
      <c r="HC284" s="28">
        <f t="shared" si="660"/>
        <v>1362.3365448045995</v>
      </c>
      <c r="HD284" s="28">
        <f t="shared" si="661"/>
        <v>115.67008399284336</v>
      </c>
      <c r="HE284" s="28">
        <f t="shared" si="662"/>
        <v>14.32105801816156</v>
      </c>
      <c r="HF284" s="28">
        <f t="shared" si="663"/>
        <v>8.9965620883322632</v>
      </c>
      <c r="HG284" s="28">
        <f t="shared" si="664"/>
        <v>319.28615248183274</v>
      </c>
      <c r="HH284" s="28">
        <f t="shared" si="665"/>
        <v>4.0392727743532593</v>
      </c>
      <c r="HI284" s="28">
        <f t="shared" si="666"/>
        <v>9551.0440782662099</v>
      </c>
      <c r="HJ284" s="28">
        <f t="shared" si="667"/>
        <v>9.1801653962574097</v>
      </c>
      <c r="HK284" s="28">
        <f t="shared" si="668"/>
        <v>0</v>
      </c>
      <c r="HL284" s="28">
        <f t="shared" si="669"/>
        <v>4.0392727743532593</v>
      </c>
      <c r="HM284" s="28">
        <f t="shared" si="670"/>
        <v>15.239074557787301</v>
      </c>
      <c r="HN284" s="28">
        <f t="shared" si="671"/>
        <v>1.1016198475508892</v>
      </c>
      <c r="HO284" s="28">
        <f t="shared" si="672"/>
        <v>3.4884628505778155</v>
      </c>
      <c r="HP284" s="28">
        <f t="shared" si="673"/>
        <v>0</v>
      </c>
      <c r="HQ284" s="28">
        <f t="shared" si="674"/>
        <v>0.91801653962574092</v>
      </c>
      <c r="HR284" s="28">
        <f t="shared" si="675"/>
        <v>0.91801653962574092</v>
      </c>
      <c r="HT284" s="4">
        <f>IFERROR(GR284/'McDonough &amp; Sun 1995 values'!C$2,)</f>
        <v>201.08933725135276</v>
      </c>
      <c r="HU284" s="4">
        <f>IFERROR(GS284/'McDonough &amp; Sun 1995 values'!D$2,)</f>
        <v>403.92727743532606</v>
      </c>
      <c r="HV284" s="4">
        <f>IFERROR(GT284/'McDonough &amp; Sun 1995 values'!E$2,)</f>
        <v>473.19579815254104</v>
      </c>
      <c r="HW284" s="4">
        <f>IFERROR(GU284/'McDonough &amp; Sun 1995 values'!F$2,)</f>
        <v>330.25500670812818</v>
      </c>
      <c r="HX284" s="4">
        <f>IFERROR(GV284/'McDonough &amp; Sun 1995 values'!G$2,)</f>
        <v>280.37943574776324</v>
      </c>
      <c r="HY284" s="4">
        <f>IFERROR(GW284/'McDonough &amp; Sun 1995 values'!H$2,)</f>
        <v>267.75482405750779</v>
      </c>
      <c r="HZ284" s="4">
        <f>IFERROR(GX284/'McDonough &amp; Sun 1995 values'!I$2,)</f>
        <v>312.62184862930638</v>
      </c>
      <c r="IA284" s="4">
        <f>IFERROR(GY284/'McDonough &amp; Sun 1995 values'!J$2,)</f>
        <v>418.26954191458532</v>
      </c>
      <c r="IB284" s="4">
        <f>IFERROR(GZ284/'McDonough &amp; Sun 1995 values'!K$2,)</f>
        <v>311.6722819717022</v>
      </c>
      <c r="IC284" s="4">
        <f>IFERROR(HA284/'McDonough &amp; Sun 1995 values'!L$2,)</f>
        <v>176.47840343850064</v>
      </c>
      <c r="ID284" s="4">
        <f>IFERROR(HB284/'McDonough &amp; Sun 1995 values'!M$2,)</f>
        <v>139.50960011635274</v>
      </c>
      <c r="IE284" s="4">
        <f>IFERROR(HC284/'McDonough &amp; Sun 1995 values'!N$2,)</f>
        <v>68.459122854502496</v>
      </c>
      <c r="IF284" s="4">
        <f>IFERROR(HD284/'McDonough &amp; Sun 1995 values'!O$2,)</f>
        <v>92.536067194274693</v>
      </c>
      <c r="IG284" s="4">
        <f>IFERROR(HE284/'McDonough &amp; Sun 1995 values'!P$2,)</f>
        <v>35.273541916654089</v>
      </c>
      <c r="IH284" s="4">
        <f>IFERROR(HF284/'McDonough &amp; Sun 1995 values'!Q$2,)</f>
        <v>31.789972043576906</v>
      </c>
      <c r="II284" s="4">
        <f>IFERROR(HG284/'McDonough &amp; Sun 1995 values'!R$2,)</f>
        <v>30.408204998269785</v>
      </c>
      <c r="IJ284" s="4">
        <f>IFERROR(HH284/'McDonough &amp; Sun 1995 values'!S$2,)</f>
        <v>26.229043989306877</v>
      </c>
      <c r="IK284" s="4">
        <f>IFERROR(HI284/'McDonough &amp; Sun 1995 values'!T$2,)</f>
        <v>7.9261776583122074</v>
      </c>
      <c r="IL284" s="4">
        <f>IFERROR(HJ284/'McDonough &amp; Sun 1995 values'!U$2,)</f>
        <v>16.875304037237886</v>
      </c>
      <c r="IM284" s="4">
        <f>IFERROR(HK284/'McDonough &amp; Sun 1995 values'!V$2,)</f>
        <v>0</v>
      </c>
      <c r="IN284" s="4">
        <f>IFERROR(HL284/'McDonough &amp; Sun 1995 values'!W$2,)</f>
        <v>5.9929863120968232</v>
      </c>
      <c r="IO284" s="4">
        <f>IFERROR(HM284/'McDonough &amp; Sun 1995 values'!X$2,)</f>
        <v>3.5439708273923958</v>
      </c>
      <c r="IP284" s="4">
        <f>IFERROR(HN284/'McDonough &amp; Sun 1995 values'!Y$2,)</f>
        <v>7.393421795643552</v>
      </c>
      <c r="IQ284" s="4">
        <f>IFERROR(HO284/'McDonough &amp; Sun 1995 values'!Z$2,)</f>
        <v>7.9645270561137336</v>
      </c>
      <c r="IR284" s="4">
        <f>IFERROR(HP284/'McDonough &amp; Sun 1995 values'!AA$2,)</f>
        <v>0</v>
      </c>
      <c r="IS284" s="4">
        <f>IFERROR(HQ284/'McDonough &amp; Sun 1995 values'!AB$2,)</f>
        <v>2.0816701578814989</v>
      </c>
      <c r="IT284" s="4">
        <f>IFERROR(HR284/'McDonough &amp; Sun 1995 values'!AC$2,)</f>
        <v>13.600245031492458</v>
      </c>
    </row>
    <row r="285" spans="1:254">
      <c r="A285" s="16" t="s">
        <v>672</v>
      </c>
      <c r="B285" s="16" t="s">
        <v>24</v>
      </c>
      <c r="C285" s="16" t="str">
        <f t="shared" si="617"/>
        <v>silicic - low-Mg carbonatitic</v>
      </c>
      <c r="D285" s="16" t="s">
        <v>1723</v>
      </c>
      <c r="E285" s="16" t="s">
        <v>237</v>
      </c>
      <c r="F285" s="16" t="s">
        <v>29</v>
      </c>
      <c r="G285" s="16" t="s">
        <v>595</v>
      </c>
      <c r="H285" s="27">
        <v>360</v>
      </c>
      <c r="I285" s="16" t="s">
        <v>735</v>
      </c>
      <c r="J285" s="16" t="s">
        <v>1496</v>
      </c>
      <c r="K285" s="16">
        <v>0</v>
      </c>
      <c r="L285" s="16">
        <v>0</v>
      </c>
      <c r="M285" s="16" t="s">
        <v>91</v>
      </c>
      <c r="N285" s="16">
        <v>22</v>
      </c>
      <c r="O285" s="26">
        <v>27.13</v>
      </c>
      <c r="P285" s="26">
        <v>4.4400000000000004</v>
      </c>
      <c r="Q285" s="26">
        <v>0.37</v>
      </c>
      <c r="R285" s="26">
        <v>8.0399999999999991</v>
      </c>
      <c r="S285" s="26">
        <v>18.54</v>
      </c>
      <c r="T285" s="26">
        <v>8.4700000000000006</v>
      </c>
      <c r="U285" s="26">
        <v>0.72</v>
      </c>
      <c r="V285" s="26">
        <v>9.67</v>
      </c>
      <c r="W285" s="26">
        <v>2.19</v>
      </c>
      <c r="X285" s="26">
        <v>14.68</v>
      </c>
      <c r="Y285" s="26"/>
      <c r="Z285" s="26">
        <v>3.01</v>
      </c>
      <c r="AA285" s="26"/>
      <c r="AB285" s="26"/>
      <c r="AC285" s="26"/>
      <c r="AD285" s="26">
        <v>2.73</v>
      </c>
      <c r="AE285" s="26"/>
      <c r="AF285" s="26" t="s">
        <v>34</v>
      </c>
      <c r="AG285" s="26"/>
      <c r="AH285" s="26"/>
      <c r="AI285" s="26"/>
      <c r="AJ285" s="26">
        <f t="shared" si="618"/>
        <v>98.9</v>
      </c>
      <c r="AK285" s="26">
        <f t="shared" si="678"/>
        <v>27.603701317245307</v>
      </c>
      <c r="AL285" s="26">
        <f t="shared" si="679"/>
        <v>4.5175242848716985</v>
      </c>
      <c r="AM285" s="26">
        <f t="shared" si="680"/>
        <v>8.1803818131460471</v>
      </c>
      <c r="AN285" s="26">
        <f t="shared" si="681"/>
        <v>18.863716270612898</v>
      </c>
      <c r="AO285" s="26">
        <f t="shared" si="682"/>
        <v>8.6178897956899281</v>
      </c>
      <c r="AP285" s="26">
        <f t="shared" si="683"/>
        <v>9.83884230511471</v>
      </c>
      <c r="AQ285" s="26">
        <f t="shared" si="684"/>
        <v>0</v>
      </c>
      <c r="AR285" s="26">
        <f t="shared" si="685"/>
        <v>2.2282383297002291</v>
      </c>
      <c r="AS285" s="26">
        <f t="shared" si="686"/>
        <v>14.93631903196318</v>
      </c>
      <c r="AT285" s="26">
        <f t="shared" si="687"/>
        <v>3.0625558778071644</v>
      </c>
      <c r="AU285" s="26">
        <f t="shared" si="688"/>
        <v>2.7776669589413818</v>
      </c>
      <c r="AV285" s="26">
        <f t="shared" si="619"/>
        <v>100.62683598509255</v>
      </c>
      <c r="AW285" s="16"/>
      <c r="AX285" s="16"/>
      <c r="AY285" s="16"/>
      <c r="AZ285" s="16"/>
      <c r="BA285" s="26"/>
      <c r="BB285" s="26">
        <v>0.15</v>
      </c>
      <c r="BC285" s="26">
        <f t="shared" si="676"/>
        <v>0.15000000000000002</v>
      </c>
      <c r="BD285" s="26">
        <f t="shared" si="677"/>
        <v>0.85</v>
      </c>
      <c r="BE285" s="25">
        <v>-5.6</v>
      </c>
      <c r="BF285" s="16"/>
      <c r="BG285" s="16">
        <v>232</v>
      </c>
      <c r="BH285" s="16">
        <v>30</v>
      </c>
      <c r="BI285" s="16"/>
      <c r="BJ285" s="16"/>
      <c r="BK285" s="18"/>
      <c r="BL285" s="18"/>
      <c r="BM285" s="18"/>
      <c r="BN285" s="18">
        <v>42</v>
      </c>
      <c r="BO285" s="18">
        <v>134</v>
      </c>
      <c r="BP285" s="18">
        <v>42</v>
      </c>
      <c r="BQ285" s="18"/>
      <c r="BR285" s="18">
        <v>397</v>
      </c>
      <c r="BS285" s="18">
        <v>223</v>
      </c>
      <c r="BT285" s="18">
        <v>50.85</v>
      </c>
      <c r="BU285" s="18"/>
      <c r="BV285" s="18">
        <v>2.58</v>
      </c>
      <c r="BW285" s="18">
        <v>322</v>
      </c>
      <c r="BX285" s="18">
        <v>2.0219999999999998</v>
      </c>
      <c r="BY285" s="18">
        <v>0.64</v>
      </c>
      <c r="BZ285" s="18"/>
      <c r="CA285" s="18">
        <v>0.14499999999999999</v>
      </c>
      <c r="CB285" s="18">
        <v>0.13600000000000001</v>
      </c>
      <c r="CC285" s="18"/>
      <c r="CD285" s="18"/>
      <c r="CE285" s="18"/>
      <c r="CF285" s="18"/>
      <c r="CG285" s="18"/>
      <c r="CH285" s="18">
        <v>0.87</v>
      </c>
      <c r="CI285" s="18">
        <v>10.84</v>
      </c>
      <c r="CJ285" s="18">
        <v>0.16800000000000001</v>
      </c>
      <c r="CK285" s="18">
        <v>1.659</v>
      </c>
      <c r="CL285" s="18"/>
      <c r="CM285" s="18">
        <v>0.44900000000000001</v>
      </c>
      <c r="CN285" s="18"/>
      <c r="CO285" s="18"/>
      <c r="CP285" s="18"/>
      <c r="CQ285" s="18"/>
      <c r="CR285" s="18">
        <v>1.7999999999999999E-2</v>
      </c>
      <c r="CS285" s="18">
        <v>64.73</v>
      </c>
      <c r="CT285" s="18">
        <v>0.34</v>
      </c>
      <c r="CU285" s="18">
        <v>3.83</v>
      </c>
      <c r="CV285" s="18">
        <v>4.84</v>
      </c>
      <c r="CW285" s="18">
        <v>0.45</v>
      </c>
      <c r="CX285" s="18">
        <v>1.44</v>
      </c>
      <c r="CY285" s="18">
        <v>0.157</v>
      </c>
      <c r="CZ285" s="18">
        <v>0.04</v>
      </c>
      <c r="DA285" s="18">
        <v>9.9000000000000005E-2</v>
      </c>
      <c r="DB285" s="18">
        <v>4.9000000000000002E-2</v>
      </c>
      <c r="DC285" s="18">
        <v>8.0000000000000002E-3</v>
      </c>
      <c r="DD285" s="18">
        <v>1.4999999999999999E-2</v>
      </c>
      <c r="DE285" s="18"/>
      <c r="DF285" s="18">
        <v>0.01</v>
      </c>
      <c r="DG285" s="18">
        <v>1E-3</v>
      </c>
      <c r="DH285" s="18">
        <v>3.6999999999999998E-2</v>
      </c>
      <c r="DI285" s="18">
        <v>8.0000000000000002E-3</v>
      </c>
      <c r="DJ285" s="18"/>
      <c r="DK285" s="18">
        <v>0.3</v>
      </c>
      <c r="DL285" s="18">
        <v>0.22800000000000001</v>
      </c>
      <c r="DM285" s="18">
        <v>7.5999999999999998E-2</v>
      </c>
      <c r="DN285" s="18"/>
      <c r="DO285" s="18"/>
      <c r="DP285" s="18"/>
      <c r="DQ285" s="18"/>
      <c r="DR285" s="18"/>
      <c r="DS285" s="18"/>
      <c r="DT285" s="18"/>
      <c r="DU285" s="18"/>
      <c r="DV285" s="28"/>
      <c r="DW285" s="28"/>
      <c r="DX285" s="28"/>
      <c r="DY285" s="28"/>
      <c r="DZ285" s="28"/>
      <c r="EA285" s="28"/>
      <c r="EB285" s="28"/>
      <c r="EC285" s="28"/>
      <c r="ED285" s="28"/>
      <c r="EE285" s="28"/>
      <c r="EF285" s="28"/>
      <c r="EG285" s="28"/>
      <c r="EH285" s="28"/>
      <c r="EI285" s="28"/>
      <c r="EJ285" s="18"/>
      <c r="EK285" s="18"/>
      <c r="EL285" s="18">
        <f>IFERROR(CR285/'McDonough &amp; Sun 1995 values'!C$2,)</f>
        <v>0.85714285714285698</v>
      </c>
      <c r="EM285" s="18">
        <f>IFERROR(CH285/'McDonough &amp; Sun 1995 values'!D$2,)</f>
        <v>1.45</v>
      </c>
      <c r="EN285" s="18">
        <f>IFERROR(CS285/'McDonough &amp; Sun 1995 values'!E$2,)</f>
        <v>9.8075757575757585</v>
      </c>
      <c r="EO285" s="18">
        <f>IFERROR(DL285/'McDonough &amp; Sun 1995 values'!F$2,)</f>
        <v>2.867924528301887</v>
      </c>
      <c r="EP285" s="18">
        <f>IFERROR(DM285/'McDonough &amp; Sun 1995 values'!G$2,)</f>
        <v>3.74384236453202</v>
      </c>
      <c r="EQ285" s="18">
        <f>IFERROR(BR285/'McDonough &amp; Sun 1995 values'!H$2,)</f>
        <v>1.6541666666666666</v>
      </c>
      <c r="ER285" s="18">
        <f>IFERROR(DI285/'McDonough &amp; Sun 1995 values'!I$2,)</f>
        <v>0.21621621621621623</v>
      </c>
      <c r="ES285" s="18">
        <f>IFERROR(CM285/'McDonough &amp; Sun 1995 values'!J$2,)</f>
        <v>0.68237082066869303</v>
      </c>
      <c r="ET285" s="18">
        <f>IFERROR(CU285/'McDonough &amp; Sun 1995 values'!K$2,)</f>
        <v>5.9104938271604937</v>
      </c>
      <c r="EU285" s="18">
        <f>IFERROR(CV285/'McDonough &amp; Sun 1995 values'!L$2,)</f>
        <v>2.8895522388059698</v>
      </c>
      <c r="EV285" s="18">
        <f>IFERROR(CW285/'McDonough &amp; Sun 1995 values'!M$2,)</f>
        <v>1.7716535433070866</v>
      </c>
      <c r="EW285" s="18">
        <f>IFERROR(CI285/'McDonough &amp; Sun 1995 values'!N$2,)</f>
        <v>0.54472361809045233</v>
      </c>
      <c r="EX285" s="18">
        <f>IFERROR(CX285/'McDonough &amp; Sun 1995 values'!O$2,)</f>
        <v>1.1519999999999999</v>
      </c>
      <c r="EY285" s="18">
        <f>IFERROR(CY285/'McDonough &amp; Sun 1995 values'!P$2,)</f>
        <v>0.38669950738916253</v>
      </c>
      <c r="EZ285" s="18">
        <f>IFERROR(DH285/'McDonough &amp; Sun 1995 values'!Q$2,)</f>
        <v>0.13074204946996468</v>
      </c>
      <c r="FA285" s="18">
        <f>IFERROR(CK285/'McDonough &amp; Sun 1995 values'!R$2,)</f>
        <v>0.158</v>
      </c>
      <c r="FB285" s="18">
        <f>IFERROR(CZ285/'McDonough &amp; Sun 1995 values'!S$2,)</f>
        <v>0.25974025974025977</v>
      </c>
      <c r="FC285" s="18">
        <f>IFERROR(BT285/'McDonough &amp; Sun 1995 values'!T$2,)</f>
        <v>4.2199170124481329E-2</v>
      </c>
      <c r="FD285" s="18">
        <f>IFERROR(DA285/'McDonough &amp; Sun 1995 values'!U$2,)</f>
        <v>0.18198529411764705</v>
      </c>
      <c r="FE285" s="18">
        <f>IFERROR(DN285/'McDonough &amp; Sun 1995 values'!V$2,)</f>
        <v>0</v>
      </c>
      <c r="FF285" s="18">
        <f>IFERROR(DB285/'McDonough &amp; Sun 1995 values'!W$2,)</f>
        <v>7.2700296735905043E-2</v>
      </c>
      <c r="FG285" s="18">
        <f>IFERROR(CJ285/'McDonough &amp; Sun 1995 values'!X$2,)</f>
        <v>3.906976744186047E-2</v>
      </c>
      <c r="FH285" s="18">
        <f>IFERROR(DC285/'McDonough &amp; Sun 1995 values'!Y$2,)</f>
        <v>5.3691275167785241E-2</v>
      </c>
      <c r="FI285" s="18">
        <f>IFERROR(DD285/'McDonough &amp; Sun 1995 values'!Z$2,)</f>
        <v>3.4246575342465752E-2</v>
      </c>
      <c r="FJ285" s="18">
        <f>IFERROR(DE285/'McDonough &amp; Sun 1995 values'!AA$2,)</f>
        <v>0</v>
      </c>
      <c r="FK285" s="18">
        <f>IFERROR(DF285/'McDonough &amp; Sun 1995 values'!AB$2,)</f>
        <v>2.2675736961451247E-2</v>
      </c>
      <c r="FL285" s="18">
        <f>IFERROR(DG285/'McDonough &amp; Sun 1995 values'!AC$2,)</f>
        <v>1.4814814814814814E-2</v>
      </c>
      <c r="FN285" s="28">
        <f t="shared" si="614"/>
        <v>2.2632800188606672</v>
      </c>
      <c r="FO285" s="4">
        <f t="shared" si="620"/>
        <v>2.6196551036682614</v>
      </c>
      <c r="FP285" s="4">
        <f t="shared" si="621"/>
        <v>4.2028827163087783</v>
      </c>
      <c r="FQ285" s="4">
        <f t="shared" si="622"/>
        <v>0.76603773584905666</v>
      </c>
      <c r="FR285" s="4">
        <f t="shared" si="623"/>
        <v>8.6617036487118142</v>
      </c>
      <c r="FS285" s="4">
        <f t="shared" si="624"/>
        <v>27.336033950617281</v>
      </c>
      <c r="FT285" s="4">
        <f t="shared" si="625"/>
        <v>1.6916666666666669</v>
      </c>
      <c r="FU285" s="4">
        <f t="shared" si="626"/>
        <v>0.31686029013423223</v>
      </c>
      <c r="FV285" s="4">
        <f t="shared" si="627"/>
        <v>0.40858598726114653</v>
      </c>
      <c r="FW285" s="4">
        <f t="shared" si="628"/>
        <v>1.2084864864864864</v>
      </c>
      <c r="FX285" s="4">
        <f t="shared" si="629"/>
        <v>0.91347705812443658</v>
      </c>
      <c r="FY285" s="4">
        <f t="shared" si="630"/>
        <v>0.38129452357610005</v>
      </c>
      <c r="FZ285" s="4">
        <f t="shared" si="631"/>
        <v>0.97911637441910326</v>
      </c>
      <c r="GA285" s="4">
        <f t="shared" si="632"/>
        <v>0.30746621998883311</v>
      </c>
      <c r="GB285" s="4">
        <f t="shared" si="633"/>
        <v>0.67168500289519406</v>
      </c>
      <c r="GC285" s="4">
        <f t="shared" si="634"/>
        <v>0.59113300492610832</v>
      </c>
      <c r="GD285" s="4">
        <f t="shared" si="635"/>
        <v>3.4197468102073367</v>
      </c>
      <c r="GE285" s="4">
        <f t="shared" si="636"/>
        <v>6.7638453500522475</v>
      </c>
      <c r="GF285" s="4">
        <f t="shared" si="637"/>
        <v>5.9290130524387461</v>
      </c>
      <c r="GG285" s="4">
        <f t="shared" si="638"/>
        <v>14.372794762772491</v>
      </c>
      <c r="GH285" s="4">
        <f t="shared" si="639"/>
        <v>3.336145404663923</v>
      </c>
      <c r="GI285" s="4">
        <f t="shared" si="640"/>
        <v>15.284461744122043</v>
      </c>
      <c r="GJ285" s="4">
        <f t="shared" si="641"/>
        <v>81.299445704207614</v>
      </c>
      <c r="GK285" s="4">
        <f t="shared" si="642"/>
        <v>260.65277777777777</v>
      </c>
      <c r="GL285" s="4">
        <f t="shared" si="643"/>
        <v>3.7441494591937068</v>
      </c>
      <c r="GM285" s="4">
        <f t="shared" si="644"/>
        <v>1.9778789850357843</v>
      </c>
      <c r="GN285" s="4">
        <f t="shared" si="645"/>
        <v>0.11545072892775798</v>
      </c>
      <c r="GO285" s="4">
        <f t="shared" si="646"/>
        <v>0.18226483762597984</v>
      </c>
      <c r="GP285" s="4">
        <f t="shared" si="647"/>
        <v>0.44183662280701747</v>
      </c>
      <c r="GQ285" s="27">
        <f t="shared" si="648"/>
        <v>123991.95623485564</v>
      </c>
      <c r="GR285" s="28">
        <f t="shared" si="649"/>
        <v>5.621801542134512</v>
      </c>
      <c r="GS285" s="28">
        <f t="shared" si="650"/>
        <v>271.72040786983479</v>
      </c>
      <c r="GT285" s="28">
        <f t="shared" si="651"/>
        <v>20216.622990131502</v>
      </c>
      <c r="GU285" s="28">
        <f t="shared" si="652"/>
        <v>71.209486200370492</v>
      </c>
      <c r="GV285" s="28">
        <f t="shared" si="653"/>
        <v>23.736495400123495</v>
      </c>
      <c r="GW285" s="28">
        <f t="shared" si="654"/>
        <v>123991.95623485564</v>
      </c>
      <c r="GX285" s="28">
        <f t="shared" si="655"/>
        <v>2.4985784631708943</v>
      </c>
      <c r="GY285" s="28">
        <f t="shared" si="656"/>
        <v>140.23271624546646</v>
      </c>
      <c r="GZ285" s="28">
        <f t="shared" si="657"/>
        <v>1196.1944392430657</v>
      </c>
      <c r="HA285" s="28">
        <f t="shared" si="658"/>
        <v>1511.6399702183912</v>
      </c>
      <c r="HB285" s="28">
        <f t="shared" si="659"/>
        <v>140.54503855336282</v>
      </c>
      <c r="HC285" s="28">
        <f t="shared" si="660"/>
        <v>3385.5738175965616</v>
      </c>
      <c r="HD285" s="28">
        <f t="shared" si="661"/>
        <v>449.74412337076097</v>
      </c>
      <c r="HE285" s="28">
        <f t="shared" si="662"/>
        <v>49.034602339728806</v>
      </c>
      <c r="HF285" s="28">
        <f t="shared" si="663"/>
        <v>11.555925392165387</v>
      </c>
      <c r="HG285" s="28">
        <f t="shared" si="664"/>
        <v>518.14270880006427</v>
      </c>
      <c r="HH285" s="28">
        <f t="shared" si="665"/>
        <v>12.492892315854473</v>
      </c>
      <c r="HI285" s="28">
        <f t="shared" si="666"/>
        <v>15881.589356529996</v>
      </c>
      <c r="HJ285" s="28">
        <f t="shared" si="667"/>
        <v>30.919908481739817</v>
      </c>
      <c r="HK285" s="28">
        <f t="shared" si="668"/>
        <v>0</v>
      </c>
      <c r="HL285" s="28">
        <f t="shared" si="669"/>
        <v>15.303793086921727</v>
      </c>
      <c r="HM285" s="28">
        <f t="shared" si="670"/>
        <v>52.470147726588785</v>
      </c>
      <c r="HN285" s="28">
        <f t="shared" si="671"/>
        <v>2.4985784631708943</v>
      </c>
      <c r="HO285" s="28">
        <f t="shared" si="672"/>
        <v>4.6848346184454268</v>
      </c>
      <c r="HP285" s="28">
        <f t="shared" si="673"/>
        <v>0</v>
      </c>
      <c r="HQ285" s="28">
        <f t="shared" si="674"/>
        <v>3.1232230789636182</v>
      </c>
      <c r="HR285" s="28">
        <f t="shared" si="675"/>
        <v>0.31232230789636178</v>
      </c>
      <c r="HT285" s="4">
        <f>IFERROR(GR285/'McDonough &amp; Sun 1995 values'!C$2,)</f>
        <v>267.70483533973862</v>
      </c>
      <c r="HU285" s="4">
        <f>IFERROR(GS285/'McDonough &amp; Sun 1995 values'!D$2,)</f>
        <v>452.86734644972466</v>
      </c>
      <c r="HV285" s="4">
        <f>IFERROR(GT285/'McDonough &amp; Sun 1995 values'!E$2,)</f>
        <v>3063.1246954744702</v>
      </c>
      <c r="HW285" s="4">
        <f>IFERROR(GU285/'McDonough &amp; Sun 1995 values'!F$2,)</f>
        <v>895.71680755183002</v>
      </c>
      <c r="HX285" s="4">
        <f>IFERROR(GV285/'McDonough &amp; Sun 1995 values'!G$2,)</f>
        <v>1169.2854876908127</v>
      </c>
      <c r="HY285" s="4">
        <f>IFERROR(GW285/'McDonough &amp; Sun 1995 values'!H$2,)</f>
        <v>516.63315097856514</v>
      </c>
      <c r="HZ285" s="4">
        <f>IFERROR(GX285/'McDonough &amp; Sun 1995 values'!I$2,)</f>
        <v>67.529147653267415</v>
      </c>
      <c r="IA285" s="4">
        <f>IFERROR(GY285/'McDonough &amp; Sun 1995 values'!J$2,)</f>
        <v>213.11962955238064</v>
      </c>
      <c r="IB285" s="4">
        <f>IFERROR(GZ285/'McDonough &amp; Sun 1995 values'!K$2,)</f>
        <v>1845.9790729059655</v>
      </c>
      <c r="IC285" s="4">
        <f>IFERROR(HA285/'McDonough &amp; Sun 1995 values'!L$2,)</f>
        <v>902.47162401097978</v>
      </c>
      <c r="ID285" s="4">
        <f>IFERROR(HB285/'McDonough &amp; Sun 1995 values'!M$2,)</f>
        <v>553.32692343843632</v>
      </c>
      <c r="IE285" s="4">
        <f>IFERROR(HC285/'McDonough &amp; Sun 1995 values'!N$2,)</f>
        <v>170.12933756766643</v>
      </c>
      <c r="IF285" s="4">
        <f>IFERROR(HD285/'McDonough &amp; Sun 1995 values'!O$2,)</f>
        <v>359.79529869660877</v>
      </c>
      <c r="IG285" s="4">
        <f>IFERROR(HE285/'McDonough &amp; Sun 1995 values'!P$2,)</f>
        <v>120.77488261016947</v>
      </c>
      <c r="IH285" s="4">
        <f>IFERROR(HF285/'McDonough &amp; Sun 1995 values'!Q$2,)</f>
        <v>40.833658629559672</v>
      </c>
      <c r="II285" s="4">
        <f>IFERROR(HG285/'McDonough &amp; Sun 1995 values'!R$2,)</f>
        <v>49.346924647625166</v>
      </c>
      <c r="IJ285" s="4">
        <f>IFERROR(HH285/'McDonough &amp; Sun 1995 values'!S$2,)</f>
        <v>81.122677375678393</v>
      </c>
      <c r="IK285" s="4">
        <f>IFERROR(HI285/'McDonough &amp; Sun 1995 values'!T$2,)</f>
        <v>13.179742204589209</v>
      </c>
      <c r="IL285" s="4">
        <f>IFERROR(HJ285/'McDonough &amp; Sun 1995 values'!U$2,)</f>
        <v>56.838067062021722</v>
      </c>
      <c r="IM285" s="4">
        <f>IFERROR(HK285/'McDonough &amp; Sun 1995 values'!V$2,)</f>
        <v>0</v>
      </c>
      <c r="IN285" s="4">
        <f>IFERROR(HL285/'McDonough &amp; Sun 1995 values'!W$2,)</f>
        <v>22.7059244613082</v>
      </c>
      <c r="IO285" s="4">
        <f>IFERROR(HM285/'McDonough &amp; Sun 1995 values'!X$2,)</f>
        <v>12.202359936415997</v>
      </c>
      <c r="IP285" s="4">
        <f>IFERROR(HN285/'McDonough &amp; Sun 1995 values'!Y$2,)</f>
        <v>16.768982974301306</v>
      </c>
      <c r="IQ285" s="4">
        <f>IFERROR(HO285/'McDonough &amp; Sun 1995 values'!Z$2,)</f>
        <v>10.69596944850554</v>
      </c>
      <c r="IR285" s="4">
        <f>IFERROR(HP285/'McDonough &amp; Sun 1995 values'!AA$2,)</f>
        <v>0</v>
      </c>
      <c r="IS285" s="4">
        <f>IFERROR(HQ285/'McDonough &amp; Sun 1995 values'!AB$2,)</f>
        <v>7.0821385010512881</v>
      </c>
      <c r="IT285" s="4">
        <f>IFERROR(HR285/'McDonough &amp; Sun 1995 values'!AC$2,)</f>
        <v>4.6269971540201746</v>
      </c>
    </row>
    <row r="286" spans="1:254">
      <c r="A286" s="16" t="s">
        <v>672</v>
      </c>
      <c r="B286" s="16" t="s">
        <v>24</v>
      </c>
      <c r="C286" s="16" t="str">
        <f t="shared" si="617"/>
        <v>silicic - low-Mg carbonatitic</v>
      </c>
      <c r="D286" s="16" t="s">
        <v>1723</v>
      </c>
      <c r="E286" s="16" t="s">
        <v>237</v>
      </c>
      <c r="F286" s="16" t="s">
        <v>29</v>
      </c>
      <c r="G286" s="16" t="s">
        <v>595</v>
      </c>
      <c r="H286" s="27">
        <v>360</v>
      </c>
      <c r="I286" s="16" t="s">
        <v>735</v>
      </c>
      <c r="J286" s="16" t="s">
        <v>1496</v>
      </c>
      <c r="K286" s="16">
        <v>0</v>
      </c>
      <c r="L286" s="16">
        <v>0</v>
      </c>
      <c r="M286" s="16" t="s">
        <v>93</v>
      </c>
      <c r="N286" s="16">
        <v>24</v>
      </c>
      <c r="O286" s="26">
        <v>28.61</v>
      </c>
      <c r="P286" s="26">
        <v>3.58</v>
      </c>
      <c r="Q286" s="26">
        <v>0.15</v>
      </c>
      <c r="R286" s="26">
        <v>8.1999999999999993</v>
      </c>
      <c r="S286" s="26">
        <v>37.01</v>
      </c>
      <c r="T286" s="26">
        <v>4.5</v>
      </c>
      <c r="U286" s="26">
        <v>0.83</v>
      </c>
      <c r="V286" s="26">
        <v>4.63</v>
      </c>
      <c r="W286" s="26">
        <v>1.04</v>
      </c>
      <c r="X286" s="26">
        <v>7.58</v>
      </c>
      <c r="Y286" s="26"/>
      <c r="Z286" s="26">
        <v>1.75</v>
      </c>
      <c r="AA286" s="26"/>
      <c r="AB286" s="26"/>
      <c r="AC286" s="26"/>
      <c r="AD286" s="26">
        <v>0.93</v>
      </c>
      <c r="AE286" s="26"/>
      <c r="AF286" s="26">
        <v>1.18</v>
      </c>
      <c r="AG286" s="26"/>
      <c r="AH286" s="26"/>
      <c r="AI286" s="26"/>
      <c r="AJ286" s="26">
        <f t="shared" si="618"/>
        <v>97.830000000000013</v>
      </c>
      <c r="AK286" s="26">
        <f t="shared" si="678"/>
        <v>29.30748084129683</v>
      </c>
      <c r="AL286" s="26">
        <f t="shared" si="679"/>
        <v>3.6672765261042519</v>
      </c>
      <c r="AM286" s="26">
        <f t="shared" si="680"/>
        <v>8.3999071268309677</v>
      </c>
      <c r="AN286" s="26">
        <f t="shared" si="681"/>
        <v>37.912263751709034</v>
      </c>
      <c r="AO286" s="26">
        <f t="shared" si="682"/>
        <v>4.6097051305779697</v>
      </c>
      <c r="AP286" s="26">
        <f t="shared" si="683"/>
        <v>4.7428743899057784</v>
      </c>
      <c r="AQ286" s="26">
        <f t="shared" si="684"/>
        <v>0</v>
      </c>
      <c r="AR286" s="26">
        <f t="shared" si="685"/>
        <v>1.0653540746224643</v>
      </c>
      <c r="AS286" s="26">
        <f t="shared" si="686"/>
        <v>7.7647921977291148</v>
      </c>
      <c r="AT286" s="26">
        <f t="shared" si="687"/>
        <v>1.7926631063358776</v>
      </c>
      <c r="AU286" s="26">
        <f t="shared" si="688"/>
        <v>0.95267239365278056</v>
      </c>
      <c r="AV286" s="26">
        <f t="shared" si="619"/>
        <v>100.21498953876507</v>
      </c>
      <c r="AW286" s="16"/>
      <c r="AX286" s="16"/>
      <c r="AY286" s="16"/>
      <c r="AZ286" s="16"/>
      <c r="BA286" s="26"/>
      <c r="BB286" s="26">
        <v>0.1</v>
      </c>
      <c r="BC286" s="26">
        <f t="shared" si="676"/>
        <v>9.9999999999999978E-2</v>
      </c>
      <c r="BD286" s="26">
        <f t="shared" si="677"/>
        <v>0.9</v>
      </c>
      <c r="BE286" s="25"/>
      <c r="BF286" s="16"/>
      <c r="BG286" s="16">
        <v>320</v>
      </c>
      <c r="BH286" s="16"/>
      <c r="BI286" s="16"/>
      <c r="BJ286" s="16"/>
      <c r="BK286" s="18"/>
      <c r="BL286" s="18"/>
      <c r="BM286" s="18"/>
      <c r="BN286" s="18">
        <v>98</v>
      </c>
      <c r="BO286" s="18">
        <v>116</v>
      </c>
      <c r="BP286" s="18">
        <v>109</v>
      </c>
      <c r="BQ286" s="18"/>
      <c r="BR286" s="18">
        <v>552</v>
      </c>
      <c r="BS286" s="18">
        <v>200</v>
      </c>
      <c r="BT286" s="18">
        <v>79.59</v>
      </c>
      <c r="BU286" s="18"/>
      <c r="BV286" s="18">
        <v>3.21</v>
      </c>
      <c r="BW286" s="18">
        <v>310</v>
      </c>
      <c r="BX286" s="18">
        <v>0.72199999999999998</v>
      </c>
      <c r="BY286" s="18">
        <v>0.57999999999999996</v>
      </c>
      <c r="BZ286" s="18"/>
      <c r="CA286" s="18">
        <v>0.19</v>
      </c>
      <c r="CB286" s="18">
        <v>0.13400000000000001</v>
      </c>
      <c r="CC286" s="18"/>
      <c r="CD286" s="18"/>
      <c r="CE286" s="18"/>
      <c r="CF286" s="18"/>
      <c r="CG286" s="18"/>
      <c r="CH286" s="18">
        <v>2.39</v>
      </c>
      <c r="CI286" s="18">
        <v>10.01</v>
      </c>
      <c r="CJ286" s="18">
        <v>0.13900000000000001</v>
      </c>
      <c r="CK286" s="18">
        <v>1.579</v>
      </c>
      <c r="CL286" s="18"/>
      <c r="CM286" s="18">
        <v>3.4990000000000001</v>
      </c>
      <c r="CN286" s="18"/>
      <c r="CO286" s="18"/>
      <c r="CP286" s="18"/>
      <c r="CQ286" s="18"/>
      <c r="CR286" s="18">
        <v>4.2000000000000003E-2</v>
      </c>
      <c r="CS286" s="18">
        <v>25.55</v>
      </c>
      <c r="CT286" s="18">
        <v>0.35</v>
      </c>
      <c r="CU286" s="18">
        <v>1.74</v>
      </c>
      <c r="CV286" s="18">
        <v>2.4900000000000002</v>
      </c>
      <c r="CW286" s="18">
        <v>0.3</v>
      </c>
      <c r="CX286" s="18">
        <v>0.94</v>
      </c>
      <c r="CY286" s="18">
        <v>0.14699999999999999</v>
      </c>
      <c r="CZ286" s="18">
        <v>0.04</v>
      </c>
      <c r="DA286" s="18">
        <v>6.2E-2</v>
      </c>
      <c r="DB286" s="18">
        <v>3.6999999999999998E-2</v>
      </c>
      <c r="DC286" s="18">
        <v>1.7999999999999999E-2</v>
      </c>
      <c r="DD286" s="18">
        <v>2.1000000000000001E-2</v>
      </c>
      <c r="DE286" s="18"/>
      <c r="DF286" s="18">
        <v>1.9E-2</v>
      </c>
      <c r="DG286" s="18">
        <v>1.9E-2</v>
      </c>
      <c r="DH286" s="18">
        <v>8.5999999999999993E-2</v>
      </c>
      <c r="DI286" s="18">
        <v>0.19600000000000001</v>
      </c>
      <c r="DJ286" s="18"/>
      <c r="DK286" s="18">
        <v>0.25</v>
      </c>
      <c r="DL286" s="18">
        <v>0.28000000000000003</v>
      </c>
      <c r="DM286" s="18">
        <v>6.8000000000000005E-2</v>
      </c>
      <c r="DN286" s="18"/>
      <c r="DO286" s="18"/>
      <c r="DP286" s="18"/>
      <c r="DQ286" s="18"/>
      <c r="DR286" s="18"/>
      <c r="DS286" s="18"/>
      <c r="DT286" s="18"/>
      <c r="DU286" s="18"/>
      <c r="DV286" s="28"/>
      <c r="DW286" s="28"/>
      <c r="DX286" s="28"/>
      <c r="DY286" s="28"/>
      <c r="DZ286" s="28"/>
      <c r="EA286" s="28"/>
      <c r="EB286" s="28"/>
      <c r="EC286" s="28"/>
      <c r="ED286" s="28"/>
      <c r="EE286" s="28"/>
      <c r="EF286" s="28"/>
      <c r="EG286" s="28"/>
      <c r="EH286" s="28"/>
      <c r="EI286" s="28"/>
      <c r="EJ286" s="18"/>
      <c r="EK286" s="18"/>
      <c r="EL286" s="18">
        <f>IFERROR(CR286/'McDonough &amp; Sun 1995 values'!C$2,)</f>
        <v>2</v>
      </c>
      <c r="EM286" s="18">
        <f>IFERROR(CH286/'McDonough &amp; Sun 1995 values'!D$2,)</f>
        <v>3.9833333333333338</v>
      </c>
      <c r="EN286" s="18">
        <f>IFERROR(CS286/'McDonough &amp; Sun 1995 values'!E$2,)</f>
        <v>3.8712121212121215</v>
      </c>
      <c r="EO286" s="18">
        <f>IFERROR(DL286/'McDonough &amp; Sun 1995 values'!F$2,)</f>
        <v>3.5220125786163523</v>
      </c>
      <c r="EP286" s="18">
        <f>IFERROR(DM286/'McDonough &amp; Sun 1995 values'!G$2,)</f>
        <v>3.3497536945812811</v>
      </c>
      <c r="EQ286" s="18">
        <f>IFERROR(BR286/'McDonough &amp; Sun 1995 values'!H$2,)</f>
        <v>2.2999999999999998</v>
      </c>
      <c r="ER286" s="18">
        <f>IFERROR(DI286/'McDonough &amp; Sun 1995 values'!I$2,)</f>
        <v>5.2972972972972974</v>
      </c>
      <c r="ES286" s="18">
        <f>IFERROR(CM286/'McDonough &amp; Sun 1995 values'!J$2,)</f>
        <v>5.3176291793313073</v>
      </c>
      <c r="ET286" s="18">
        <f>IFERROR(CU286/'McDonough &amp; Sun 1995 values'!K$2,)</f>
        <v>2.6851851851851851</v>
      </c>
      <c r="EU286" s="18">
        <f>IFERROR(CV286/'McDonough &amp; Sun 1995 values'!L$2,)</f>
        <v>1.4865671641791045</v>
      </c>
      <c r="EV286" s="18">
        <f>IFERROR(CW286/'McDonough &amp; Sun 1995 values'!M$2,)</f>
        <v>1.1811023622047243</v>
      </c>
      <c r="EW286" s="18">
        <f>IFERROR(CI286/'McDonough &amp; Sun 1995 values'!N$2,)</f>
        <v>0.5030150753768845</v>
      </c>
      <c r="EX286" s="18">
        <f>IFERROR(CX286/'McDonough &amp; Sun 1995 values'!O$2,)</f>
        <v>0.752</v>
      </c>
      <c r="EY286" s="18">
        <f>IFERROR(CY286/'McDonough &amp; Sun 1995 values'!P$2,)</f>
        <v>0.36206896551724133</v>
      </c>
      <c r="EZ286" s="18">
        <f>IFERROR(DH286/'McDonough &amp; Sun 1995 values'!Q$2,)</f>
        <v>0.303886925795053</v>
      </c>
      <c r="FA286" s="18">
        <f>IFERROR(CK286/'McDonough &amp; Sun 1995 values'!R$2,)</f>
        <v>0.15038095238095237</v>
      </c>
      <c r="FB286" s="18">
        <f>IFERROR(CZ286/'McDonough &amp; Sun 1995 values'!S$2,)</f>
        <v>0.25974025974025977</v>
      </c>
      <c r="FC286" s="18">
        <f>IFERROR(BT286/'McDonough &amp; Sun 1995 values'!T$2,)</f>
        <v>6.6049792531120338E-2</v>
      </c>
      <c r="FD286" s="18">
        <f>IFERROR(DA286/'McDonough &amp; Sun 1995 values'!U$2,)</f>
        <v>0.11397058823529412</v>
      </c>
      <c r="FE286" s="18">
        <f>IFERROR(DN286/'McDonough &amp; Sun 1995 values'!V$2,)</f>
        <v>0</v>
      </c>
      <c r="FF286" s="18">
        <f>IFERROR(DB286/'McDonough &amp; Sun 1995 values'!W$2,)</f>
        <v>5.4896142433234416E-2</v>
      </c>
      <c r="FG286" s="18">
        <f>IFERROR(CJ286/'McDonough &amp; Sun 1995 values'!X$2,)</f>
        <v>3.2325581395348843E-2</v>
      </c>
      <c r="FH286" s="18">
        <f>IFERROR(DC286/'McDonough &amp; Sun 1995 values'!Y$2,)</f>
        <v>0.12080536912751677</v>
      </c>
      <c r="FI286" s="18">
        <f>IFERROR(DD286/'McDonough &amp; Sun 1995 values'!Z$2,)</f>
        <v>4.7945205479452059E-2</v>
      </c>
      <c r="FJ286" s="18">
        <f>IFERROR(DE286/'McDonough &amp; Sun 1995 values'!AA$2,)</f>
        <v>0</v>
      </c>
      <c r="FK286" s="18">
        <f>IFERROR(DF286/'McDonough &amp; Sun 1995 values'!AB$2,)</f>
        <v>4.3083900226757371E-2</v>
      </c>
      <c r="FL286" s="18">
        <f>IFERROR(DG286/'McDonough &amp; Sun 1995 values'!AC$2,)</f>
        <v>0.28148148148148144</v>
      </c>
      <c r="FN286" s="28">
        <f t="shared" si="614"/>
        <v>1.4564146498179484</v>
      </c>
      <c r="FO286" s="4">
        <f t="shared" si="620"/>
        <v>1.1556706773618539</v>
      </c>
      <c r="FP286" s="4">
        <f t="shared" si="621"/>
        <v>0.66232760123737056</v>
      </c>
      <c r="FQ286" s="4">
        <f t="shared" si="622"/>
        <v>1.0514243433222346</v>
      </c>
      <c r="FR286" s="4">
        <f t="shared" si="623"/>
        <v>0.50495908884019769</v>
      </c>
      <c r="FS286" s="4">
        <f t="shared" si="624"/>
        <v>0.5068972033257747</v>
      </c>
      <c r="FT286" s="4">
        <f t="shared" si="625"/>
        <v>1.9916666666666669</v>
      </c>
      <c r="FU286" s="4">
        <f t="shared" si="626"/>
        <v>0.99617651375296412</v>
      </c>
      <c r="FV286" s="4">
        <f t="shared" si="627"/>
        <v>0.41533786848072562</v>
      </c>
      <c r="FW286" s="4">
        <f t="shared" si="628"/>
        <v>0.49485825027685487</v>
      </c>
      <c r="FX286" s="4">
        <f t="shared" si="629"/>
        <v>1.0912549501098106</v>
      </c>
      <c r="FY286" s="4">
        <f t="shared" si="630"/>
        <v>0.53373823079990734</v>
      </c>
      <c r="FZ286" s="4">
        <f t="shared" si="631"/>
        <v>1.2786368749296237</v>
      </c>
      <c r="GA286" s="4">
        <f t="shared" si="632"/>
        <v>0.42588609715242892</v>
      </c>
      <c r="GB286" s="4">
        <f t="shared" si="633"/>
        <v>0.71737786023500327</v>
      </c>
      <c r="GC286" s="4">
        <f t="shared" si="634"/>
        <v>0.502092050209205</v>
      </c>
      <c r="GD286" s="4">
        <f t="shared" si="635"/>
        <v>1.0991477272727272</v>
      </c>
      <c r="GE286" s="4">
        <f t="shared" si="636"/>
        <v>0.97185241536705969</v>
      </c>
      <c r="GF286" s="4">
        <f t="shared" si="637"/>
        <v>1.6831357048748357</v>
      </c>
      <c r="GG286" s="4">
        <f t="shared" si="638"/>
        <v>0.72799587761005313</v>
      </c>
      <c r="GH286" s="4">
        <f t="shared" si="639"/>
        <v>2.2734567901234568</v>
      </c>
      <c r="GI286" s="4">
        <f t="shared" si="640"/>
        <v>7.416225749559084</v>
      </c>
      <c r="GJ286" s="4">
        <f t="shared" si="641"/>
        <v>48.913913913913916</v>
      </c>
      <c r="GK286" s="4">
        <f t="shared" si="642"/>
        <v>62.324561403508767</v>
      </c>
      <c r="GL286" s="4">
        <f t="shared" si="643"/>
        <v>2.2767816009429271</v>
      </c>
      <c r="GM286" s="4">
        <f t="shared" si="644"/>
        <v>0.88418725823004651</v>
      </c>
      <c r="GN286" s="4">
        <f t="shared" si="645"/>
        <v>1.980358452992349</v>
      </c>
      <c r="GO286" s="4">
        <f t="shared" si="646"/>
        <v>1.5874687108886107</v>
      </c>
      <c r="GP286" s="4">
        <f t="shared" si="647"/>
        <v>0.68661764705882344</v>
      </c>
      <c r="GQ286" s="27">
        <f t="shared" si="648"/>
        <v>64458.436666576301</v>
      </c>
      <c r="GR286" s="28">
        <f t="shared" si="649"/>
        <v>4.9044462681090666</v>
      </c>
      <c r="GS286" s="28">
        <f t="shared" si="650"/>
        <v>279.08634716144451</v>
      </c>
      <c r="GT286" s="28">
        <f t="shared" si="651"/>
        <v>2983.5381464330153</v>
      </c>
      <c r="GU286" s="28">
        <f t="shared" si="652"/>
        <v>32.696308454060443</v>
      </c>
      <c r="GV286" s="28">
        <f t="shared" si="653"/>
        <v>7.9405320531289645</v>
      </c>
      <c r="GW286" s="28">
        <f t="shared" si="654"/>
        <v>64458.436666576301</v>
      </c>
      <c r="GX286" s="28">
        <f t="shared" si="655"/>
        <v>22.887415917842308</v>
      </c>
      <c r="GY286" s="28">
        <f t="shared" si="656"/>
        <v>408.58708314556247</v>
      </c>
      <c r="GZ286" s="28">
        <f t="shared" si="657"/>
        <v>203.18420253594704</v>
      </c>
      <c r="HA286" s="28">
        <f t="shared" si="658"/>
        <v>290.76360018075184</v>
      </c>
      <c r="HB286" s="28">
        <f t="shared" si="659"/>
        <v>35.031759057921903</v>
      </c>
      <c r="HC286" s="28">
        <f t="shared" si="660"/>
        <v>1168.8930272326609</v>
      </c>
      <c r="HD286" s="28">
        <f t="shared" si="661"/>
        <v>109.76617838148861</v>
      </c>
      <c r="HE286" s="28">
        <f t="shared" si="662"/>
        <v>17.165561938381728</v>
      </c>
      <c r="HF286" s="28">
        <f t="shared" si="663"/>
        <v>10.042437596604278</v>
      </c>
      <c r="HG286" s="28">
        <f t="shared" si="664"/>
        <v>184.3838251748623</v>
      </c>
      <c r="HH286" s="28">
        <f t="shared" si="665"/>
        <v>4.6709012077229204</v>
      </c>
      <c r="HI286" s="28">
        <f t="shared" si="666"/>
        <v>9293.9256780666819</v>
      </c>
      <c r="HJ286" s="28">
        <f t="shared" si="667"/>
        <v>7.2398968719705268</v>
      </c>
      <c r="HK286" s="28">
        <f t="shared" si="668"/>
        <v>0</v>
      </c>
      <c r="HL286" s="28">
        <f t="shared" si="669"/>
        <v>4.3205836171437015</v>
      </c>
      <c r="HM286" s="28">
        <f t="shared" si="670"/>
        <v>16.23138169683715</v>
      </c>
      <c r="HN286" s="28">
        <f t="shared" si="671"/>
        <v>2.101905543475314</v>
      </c>
      <c r="HO286" s="28">
        <f t="shared" si="672"/>
        <v>2.4522231340545333</v>
      </c>
      <c r="HP286" s="28">
        <f t="shared" si="673"/>
        <v>0</v>
      </c>
      <c r="HQ286" s="28">
        <f t="shared" si="674"/>
        <v>2.2186780736683871</v>
      </c>
      <c r="HR286" s="28">
        <f t="shared" si="675"/>
        <v>2.2186780736683871</v>
      </c>
      <c r="HT286" s="4">
        <f>IFERROR(GR286/'McDonough &amp; Sun 1995 values'!C$2,)</f>
        <v>233.54506038614602</v>
      </c>
      <c r="HU286" s="4">
        <f>IFERROR(GS286/'McDonough &amp; Sun 1995 values'!D$2,)</f>
        <v>465.14391193574085</v>
      </c>
      <c r="HV286" s="4">
        <f>IFERROR(GT286/'McDonough &amp; Sun 1995 values'!E$2,)</f>
        <v>452.05123430803263</v>
      </c>
      <c r="HW286" s="4">
        <f>IFERROR(GU286/'McDonough &amp; Sun 1995 values'!F$2,)</f>
        <v>411.2743201768609</v>
      </c>
      <c r="HX286" s="4">
        <f>IFERROR(GV286/'McDonough &amp; Sun 1995 values'!G$2,)</f>
        <v>391.15921443985047</v>
      </c>
      <c r="HY286" s="4">
        <f>IFERROR(GW286/'McDonough &amp; Sun 1995 values'!H$2,)</f>
        <v>268.57681944406789</v>
      </c>
      <c r="HZ286" s="4">
        <f>IFERROR(GX286/'McDonough &amp; Sun 1995 values'!I$2,)</f>
        <v>618.57880859033264</v>
      </c>
      <c r="IA286" s="4">
        <f>IFERROR(GY286/'McDonough &amp; Sun 1995 values'!J$2,)</f>
        <v>620.95301389903113</v>
      </c>
      <c r="IB286" s="4">
        <f>IFERROR(GZ286/'McDonough &amp; Sun 1995 values'!K$2,)</f>
        <v>313.55586811102938</v>
      </c>
      <c r="IC286" s="4">
        <f>IFERROR(HA286/'McDonough &amp; Sun 1995 values'!L$2,)</f>
        <v>173.59020906313543</v>
      </c>
      <c r="ID286" s="4">
        <f>IFERROR(HB286/'McDonough &amp; Sun 1995 values'!M$2,)</f>
        <v>137.92031125166102</v>
      </c>
      <c r="IE286" s="4">
        <f>IFERROR(HC286/'McDonough &amp; Sun 1995 values'!N$2,)</f>
        <v>58.738343077018136</v>
      </c>
      <c r="IF286" s="4">
        <f>IFERROR(HD286/'McDonough &amp; Sun 1995 values'!O$2,)</f>
        <v>87.812942705190892</v>
      </c>
      <c r="IG286" s="4">
        <f>IFERROR(HE286/'McDonough &amp; Sun 1995 values'!P$2,)</f>
        <v>42.279709207836767</v>
      </c>
      <c r="IH286" s="4">
        <f>IFERROR(HF286/'McDonough &amp; Sun 1995 values'!Q$2,)</f>
        <v>35.485645217682965</v>
      </c>
      <c r="II286" s="4">
        <f>IFERROR(HG286/'McDonough &amp; Sun 1995 values'!R$2,)</f>
        <v>17.560364302367837</v>
      </c>
      <c r="IJ286" s="4">
        <f>IFERROR(HH286/'McDonough &amp; Sun 1995 values'!S$2,)</f>
        <v>30.330527322876108</v>
      </c>
      <c r="IK286" s="4">
        <f>IFERROR(HI286/'McDonough &amp; Sun 1995 values'!T$2,)</f>
        <v>7.7128013925864582</v>
      </c>
      <c r="IL286" s="4">
        <f>IFERROR(HJ286/'McDonough &amp; Sun 1995 values'!U$2,)</f>
        <v>13.308633955828173</v>
      </c>
      <c r="IM286" s="4">
        <f>IFERROR(HK286/'McDonough &amp; Sun 1995 values'!V$2,)</f>
        <v>0</v>
      </c>
      <c r="IN286" s="4">
        <f>IFERROR(HL286/'McDonough &amp; Sun 1995 values'!W$2,)</f>
        <v>6.4103614497681027</v>
      </c>
      <c r="IO286" s="4">
        <f>IFERROR(HM286/'McDonough &amp; Sun 1995 values'!X$2,)</f>
        <v>3.7747399294970121</v>
      </c>
      <c r="IP286" s="4">
        <f>IFERROR(HN286/'McDonough &amp; Sun 1995 values'!Y$2,)</f>
        <v>14.106748613928282</v>
      </c>
      <c r="IQ286" s="4">
        <f>IFERROR(HO286/'McDonough &amp; Sun 1995 values'!Z$2,)</f>
        <v>5.5986829544624044</v>
      </c>
      <c r="IR286" s="4">
        <f>IFERROR(HP286/'McDonough &amp; Sun 1995 values'!AA$2,)</f>
        <v>0</v>
      </c>
      <c r="IS286" s="4">
        <f>IFERROR(HQ286/'McDonough &amp; Sun 1995 values'!AB$2,)</f>
        <v>5.0310160400643698</v>
      </c>
      <c r="IT286" s="4">
        <f>IFERROR(HR286/'McDonough &amp; Sun 1995 values'!AC$2,)</f>
        <v>32.869304795087217</v>
      </c>
    </row>
    <row r="287" spans="1:254">
      <c r="A287" s="16" t="s">
        <v>672</v>
      </c>
      <c r="B287" s="16" t="s">
        <v>24</v>
      </c>
      <c r="C287" s="16" t="str">
        <f t="shared" si="617"/>
        <v>silicic - low-Mg carbonatitic</v>
      </c>
      <c r="D287" s="16" t="s">
        <v>1723</v>
      </c>
      <c r="E287" s="16" t="s">
        <v>237</v>
      </c>
      <c r="F287" s="16" t="s">
        <v>29</v>
      </c>
      <c r="G287" s="16" t="s">
        <v>595</v>
      </c>
      <c r="H287" s="27">
        <v>360</v>
      </c>
      <c r="I287" s="16" t="s">
        <v>735</v>
      </c>
      <c r="J287" s="16" t="s">
        <v>1496</v>
      </c>
      <c r="K287" s="16">
        <v>0</v>
      </c>
      <c r="L287" s="16">
        <v>0</v>
      </c>
      <c r="M287" s="16" t="s">
        <v>96</v>
      </c>
      <c r="N287" s="16">
        <v>24</v>
      </c>
      <c r="O287" s="26">
        <v>21.57</v>
      </c>
      <c r="P287" s="26">
        <v>0.8</v>
      </c>
      <c r="Q287" s="26">
        <v>0.75</v>
      </c>
      <c r="R287" s="26">
        <v>5.83</v>
      </c>
      <c r="S287" s="26">
        <v>58.59</v>
      </c>
      <c r="T287" s="26">
        <v>1.97</v>
      </c>
      <c r="U287" s="26">
        <v>0.96</v>
      </c>
      <c r="V287" s="26">
        <v>0.91</v>
      </c>
      <c r="W287" s="26">
        <v>0.95</v>
      </c>
      <c r="X287" s="26">
        <v>5.22</v>
      </c>
      <c r="Y287" s="26"/>
      <c r="Z287" s="26">
        <v>1.32</v>
      </c>
      <c r="AA287" s="26"/>
      <c r="AB287" s="26"/>
      <c r="AC287" s="26"/>
      <c r="AD287" s="26">
        <v>1</v>
      </c>
      <c r="AE287" s="26"/>
      <c r="AF287" s="26">
        <v>0.13</v>
      </c>
      <c r="AG287" s="26"/>
      <c r="AH287" s="26"/>
      <c r="AI287" s="26"/>
      <c r="AJ287" s="26">
        <f t="shared" si="618"/>
        <v>98.16</v>
      </c>
      <c r="AK287" s="26">
        <f t="shared" si="678"/>
        <v>22.024963044808242</v>
      </c>
      <c r="AL287" s="26">
        <f t="shared" si="679"/>
        <v>0.81687391913985141</v>
      </c>
      <c r="AM287" s="26">
        <f t="shared" si="680"/>
        <v>5.9529686857316673</v>
      </c>
      <c r="AN287" s="26">
        <f t="shared" si="681"/>
        <v>59.825803653004868</v>
      </c>
      <c r="AO287" s="26">
        <f t="shared" si="682"/>
        <v>2.0115520258818842</v>
      </c>
      <c r="AP287" s="26">
        <f t="shared" si="683"/>
        <v>0.92919408302158091</v>
      </c>
      <c r="AQ287" s="26">
        <f t="shared" si="684"/>
        <v>0</v>
      </c>
      <c r="AR287" s="26">
        <f t="shared" si="685"/>
        <v>0.97003777897857346</v>
      </c>
      <c r="AS287" s="26">
        <f t="shared" si="686"/>
        <v>5.3301023223875301</v>
      </c>
      <c r="AT287" s="26">
        <f t="shared" si="687"/>
        <v>1.3478419665807551</v>
      </c>
      <c r="AU287" s="26">
        <f t="shared" si="688"/>
        <v>1.0210923989248144</v>
      </c>
      <c r="AV287" s="26">
        <f t="shared" si="619"/>
        <v>100.23042987845977</v>
      </c>
      <c r="AW287" s="16"/>
      <c r="AX287" s="16"/>
      <c r="AY287" s="16"/>
      <c r="AZ287" s="16"/>
      <c r="BA287" s="26"/>
      <c r="BB287" s="26">
        <v>0.09</v>
      </c>
      <c r="BC287" s="26">
        <f t="shared" si="676"/>
        <v>8.9999999999999969E-2</v>
      </c>
      <c r="BD287" s="26">
        <f t="shared" si="677"/>
        <v>0.91</v>
      </c>
      <c r="BE287" s="25"/>
      <c r="BF287" s="16"/>
      <c r="BG287" s="16">
        <v>835</v>
      </c>
      <c r="BH287" s="16">
        <v>23</v>
      </c>
      <c r="BI287" s="16"/>
      <c r="BJ287" s="16"/>
      <c r="BK287" s="18"/>
      <c r="BL287" s="18"/>
      <c r="BM287" s="18"/>
      <c r="BN287" s="18">
        <v>20</v>
      </c>
      <c r="BO287" s="18">
        <v>58</v>
      </c>
      <c r="BP287" s="18">
        <v>106</v>
      </c>
      <c r="BQ287" s="18"/>
      <c r="BR287" s="18">
        <v>335</v>
      </c>
      <c r="BS287" s="18">
        <v>77</v>
      </c>
      <c r="BT287" s="18">
        <v>16.399999999999999</v>
      </c>
      <c r="BU287" s="18"/>
      <c r="BV287" s="18">
        <v>0.98</v>
      </c>
      <c r="BW287" s="18">
        <v>82</v>
      </c>
      <c r="BX287" s="18">
        <v>0.53200000000000003</v>
      </c>
      <c r="BY287" s="18">
        <v>0.78</v>
      </c>
      <c r="BZ287" s="18"/>
      <c r="CA287" s="18">
        <v>0.20399999999999999</v>
      </c>
      <c r="CB287" s="18">
        <v>5.1999999999999998E-2</v>
      </c>
      <c r="CC287" s="18"/>
      <c r="CD287" s="18"/>
      <c r="CE287" s="18"/>
      <c r="CF287" s="18"/>
      <c r="CG287" s="18"/>
      <c r="CH287" s="18">
        <v>1.1000000000000001</v>
      </c>
      <c r="CI287" s="18">
        <v>3.33</v>
      </c>
      <c r="CJ287" s="18">
        <v>0.02</v>
      </c>
      <c r="CK287" s="18">
        <v>0.20300000000000001</v>
      </c>
      <c r="CL287" s="18"/>
      <c r="CM287" s="18">
        <v>0.64900000000000002</v>
      </c>
      <c r="CN287" s="18"/>
      <c r="CO287" s="18"/>
      <c r="CP287" s="18"/>
      <c r="CQ287" s="18"/>
      <c r="CR287" s="18">
        <v>1.4E-2</v>
      </c>
      <c r="CS287" s="18">
        <v>13.5</v>
      </c>
      <c r="CT287" s="18">
        <v>0.156</v>
      </c>
      <c r="CU287" s="18">
        <v>0.82</v>
      </c>
      <c r="CV287" s="18">
        <v>1.05</v>
      </c>
      <c r="CW287" s="18">
        <v>9.1999999999999998E-2</v>
      </c>
      <c r="CX287" s="18">
        <v>0.22</v>
      </c>
      <c r="CY287" s="18">
        <v>2.1000000000000001E-2</v>
      </c>
      <c r="CZ287" s="18">
        <v>7.0000000000000001E-3</v>
      </c>
      <c r="DA287" s="18">
        <v>0.01</v>
      </c>
      <c r="DB287" s="18">
        <v>6.0000000000000001E-3</v>
      </c>
      <c r="DC287" s="18">
        <v>5.0000000000000001E-3</v>
      </c>
      <c r="DD287" s="18">
        <v>6.0000000000000001E-3</v>
      </c>
      <c r="DE287" s="18"/>
      <c r="DF287" s="18">
        <v>3.0000000000000001E-3</v>
      </c>
      <c r="DG287" s="18">
        <v>4.0000000000000001E-3</v>
      </c>
      <c r="DH287" s="18">
        <v>0.01</v>
      </c>
      <c r="DI287" s="18">
        <v>3.4000000000000002E-2</v>
      </c>
      <c r="DJ287" s="18"/>
      <c r="DK287" s="18">
        <v>0.18</v>
      </c>
      <c r="DL287" s="18">
        <v>0.08</v>
      </c>
      <c r="DM287" s="18">
        <v>1.7000000000000001E-2</v>
      </c>
      <c r="DN287" s="18"/>
      <c r="DO287" s="18"/>
      <c r="DP287" s="18"/>
      <c r="DQ287" s="18"/>
      <c r="DR287" s="18"/>
      <c r="DS287" s="18"/>
      <c r="DT287" s="18"/>
      <c r="DU287" s="18"/>
      <c r="DV287" s="28"/>
      <c r="DW287" s="28"/>
      <c r="DX287" s="28"/>
      <c r="DY287" s="28"/>
      <c r="DZ287" s="28"/>
      <c r="EA287" s="28"/>
      <c r="EB287" s="28"/>
      <c r="EC287" s="28"/>
      <c r="ED287" s="28"/>
      <c r="EE287" s="28"/>
      <c r="EF287" s="28"/>
      <c r="EG287" s="28"/>
      <c r="EH287" s="28"/>
      <c r="EI287" s="28"/>
      <c r="EJ287" s="18"/>
      <c r="EK287" s="18"/>
      <c r="EL287" s="18">
        <f>IFERROR(CR287/'McDonough &amp; Sun 1995 values'!C$2,)</f>
        <v>0.66666666666666663</v>
      </c>
      <c r="EM287" s="18">
        <f>IFERROR(CH287/'McDonough &amp; Sun 1995 values'!D$2,)</f>
        <v>1.8333333333333335</v>
      </c>
      <c r="EN287" s="18">
        <f>IFERROR(CS287/'McDonough &amp; Sun 1995 values'!E$2,)</f>
        <v>2.0454545454545454</v>
      </c>
      <c r="EO287" s="18">
        <f>IFERROR(DL287/'McDonough &amp; Sun 1995 values'!F$2,)</f>
        <v>1.0062893081761006</v>
      </c>
      <c r="EP287" s="18">
        <f>IFERROR(DM287/'McDonough &amp; Sun 1995 values'!G$2,)</f>
        <v>0.83743842364532028</v>
      </c>
      <c r="EQ287" s="18">
        <f>IFERROR(BR287/'McDonough &amp; Sun 1995 values'!H$2,)</f>
        <v>1.3958333333333333</v>
      </c>
      <c r="ER287" s="18">
        <f>IFERROR(DI287/'McDonough &amp; Sun 1995 values'!I$2,)</f>
        <v>0.91891891891891908</v>
      </c>
      <c r="ES287" s="18">
        <f>IFERROR(CM287/'McDonough &amp; Sun 1995 values'!J$2,)</f>
        <v>0.98632218844984798</v>
      </c>
      <c r="ET287" s="18">
        <f>IFERROR(CU287/'McDonough &amp; Sun 1995 values'!K$2,)</f>
        <v>1.2654320987654319</v>
      </c>
      <c r="EU287" s="18">
        <f>IFERROR(CV287/'McDonough &amp; Sun 1995 values'!L$2,)</f>
        <v>0.62686567164179108</v>
      </c>
      <c r="EV287" s="18">
        <f>IFERROR(CW287/'McDonough &amp; Sun 1995 values'!M$2,)</f>
        <v>0.36220472440944879</v>
      </c>
      <c r="EW287" s="18">
        <f>IFERROR(CI287/'McDonough &amp; Sun 1995 values'!N$2,)</f>
        <v>0.16733668341708544</v>
      </c>
      <c r="EX287" s="18">
        <f>IFERROR(CX287/'McDonough &amp; Sun 1995 values'!O$2,)</f>
        <v>0.17599999999999999</v>
      </c>
      <c r="EY287" s="18">
        <f>IFERROR(CY287/'McDonough &amp; Sun 1995 values'!P$2,)</f>
        <v>5.1724137931034482E-2</v>
      </c>
      <c r="EZ287" s="18">
        <f>IFERROR(DH287/'McDonough &amp; Sun 1995 values'!Q$2,)</f>
        <v>3.5335689045936397E-2</v>
      </c>
      <c r="FA287" s="18">
        <f>IFERROR(CK287/'McDonough &amp; Sun 1995 values'!R$2,)</f>
        <v>1.9333333333333334E-2</v>
      </c>
      <c r="FB287" s="18">
        <f>IFERROR(CZ287/'McDonough &amp; Sun 1995 values'!S$2,)</f>
        <v>4.5454545454545456E-2</v>
      </c>
      <c r="FC287" s="18">
        <f>IFERROR(BT287/'McDonough &amp; Sun 1995 values'!T$2,)</f>
        <v>1.3609958506224065E-2</v>
      </c>
      <c r="FD287" s="18">
        <f>IFERROR(DA287/'McDonough &amp; Sun 1995 values'!U$2,)</f>
        <v>1.8382352941176471E-2</v>
      </c>
      <c r="FE287" s="18">
        <f>IFERROR(DN287/'McDonough &amp; Sun 1995 values'!V$2,)</f>
        <v>0</v>
      </c>
      <c r="FF287" s="18">
        <f>IFERROR(DB287/'McDonough &amp; Sun 1995 values'!W$2,)</f>
        <v>8.9020771513353119E-3</v>
      </c>
      <c r="FG287" s="18">
        <f>IFERROR(CJ287/'McDonough &amp; Sun 1995 values'!X$2,)</f>
        <v>4.6511627906976744E-3</v>
      </c>
      <c r="FH287" s="18">
        <f>IFERROR(DC287/'McDonough &amp; Sun 1995 values'!Y$2,)</f>
        <v>3.3557046979865772E-2</v>
      </c>
      <c r="FI287" s="18">
        <f>IFERROR(DD287/'McDonough &amp; Sun 1995 values'!Z$2,)</f>
        <v>1.3698630136986302E-2</v>
      </c>
      <c r="FJ287" s="18">
        <f>IFERROR(DE287/'McDonough &amp; Sun 1995 values'!AA$2,)</f>
        <v>0</v>
      </c>
      <c r="FK287" s="18">
        <f>IFERROR(DF287/'McDonough &amp; Sun 1995 values'!AB$2,)</f>
        <v>6.8027210884353739E-3</v>
      </c>
      <c r="FL287" s="18">
        <f>IFERROR(DG287/'McDonough &amp; Sun 1995 values'!AC$2,)</f>
        <v>5.9259259259259255E-2</v>
      </c>
      <c r="FN287" s="28">
        <f t="shared" si="614"/>
        <v>0.59995588559664736</v>
      </c>
      <c r="FO287" s="4">
        <f t="shared" si="620"/>
        <v>2.4425133689839571</v>
      </c>
      <c r="FP287" s="4">
        <f t="shared" si="621"/>
        <v>1.0202440135283115</v>
      </c>
      <c r="FQ287" s="4">
        <f t="shared" si="622"/>
        <v>1.2016278209396964</v>
      </c>
      <c r="FR287" s="4">
        <f t="shared" si="623"/>
        <v>1.2829804637714242</v>
      </c>
      <c r="FS287" s="4">
        <f t="shared" si="624"/>
        <v>1.377087872185911</v>
      </c>
      <c r="FT287" s="4">
        <f t="shared" si="625"/>
        <v>2.7500000000000004</v>
      </c>
      <c r="FU287" s="4">
        <f t="shared" si="626"/>
        <v>0.93166201640777935</v>
      </c>
      <c r="FV287" s="4">
        <f t="shared" si="627"/>
        <v>0.37377777777777782</v>
      </c>
      <c r="FW287" s="4">
        <f t="shared" si="628"/>
        <v>0.54713333333333336</v>
      </c>
      <c r="FX287" s="4">
        <f t="shared" si="629"/>
        <v>1.2967285878678285</v>
      </c>
      <c r="FY287" s="4">
        <f t="shared" si="630"/>
        <v>0.66276225637005359</v>
      </c>
      <c r="FZ287" s="4">
        <f t="shared" si="631"/>
        <v>1.4741108353244463</v>
      </c>
      <c r="GA287" s="4">
        <f t="shared" si="632"/>
        <v>0.46199475639064896</v>
      </c>
      <c r="GB287" s="4">
        <f t="shared" si="633"/>
        <v>0.87878787878787878</v>
      </c>
      <c r="GC287" s="4">
        <f t="shared" si="634"/>
        <v>0.36363636363636359</v>
      </c>
      <c r="GD287" s="4">
        <f t="shared" si="635"/>
        <v>2.0326704545454546</v>
      </c>
      <c r="GE287" s="4">
        <f t="shared" si="636"/>
        <v>1.1157024793388428</v>
      </c>
      <c r="GF287" s="4">
        <f t="shared" si="637"/>
        <v>1.4654002713704206</v>
      </c>
      <c r="GG287" s="4">
        <f t="shared" si="638"/>
        <v>2.0738198627258719</v>
      </c>
      <c r="GH287" s="4">
        <f t="shared" si="639"/>
        <v>3.4936929683306492</v>
      </c>
      <c r="GI287" s="4">
        <f t="shared" si="640"/>
        <v>24.465020576131685</v>
      </c>
      <c r="GJ287" s="4">
        <f t="shared" si="641"/>
        <v>142.15020576131684</v>
      </c>
      <c r="GK287" s="4">
        <f t="shared" si="642"/>
        <v>186.0185185185185</v>
      </c>
      <c r="GL287" s="4">
        <f t="shared" si="643"/>
        <v>1.4205284552845532</v>
      </c>
      <c r="GM287" s="4">
        <f t="shared" si="644"/>
        <v>0.54888507718696389</v>
      </c>
      <c r="GN287" s="4">
        <f t="shared" si="645"/>
        <v>0.77943509526280674</v>
      </c>
      <c r="GO287" s="4">
        <f t="shared" si="646"/>
        <v>1.1777847309136418</v>
      </c>
      <c r="GP287" s="4">
        <f t="shared" si="647"/>
        <v>1.6667892156862743</v>
      </c>
      <c r="GQ287" s="27">
        <f t="shared" si="648"/>
        <v>44247.167757363568</v>
      </c>
      <c r="GR287" s="28">
        <f t="shared" si="649"/>
        <v>1.8491353689644476</v>
      </c>
      <c r="GS287" s="28">
        <f t="shared" si="650"/>
        <v>145.28920756149233</v>
      </c>
      <c r="GT287" s="28">
        <f t="shared" si="651"/>
        <v>1783.0948200728601</v>
      </c>
      <c r="GU287" s="28">
        <f t="shared" si="652"/>
        <v>10.566487822653986</v>
      </c>
      <c r="GV287" s="28">
        <f t="shared" si="653"/>
        <v>2.2453786623139722</v>
      </c>
      <c r="GW287" s="28">
        <f t="shared" si="654"/>
        <v>44247.167757363568</v>
      </c>
      <c r="GX287" s="28">
        <f t="shared" si="655"/>
        <v>4.4907573246279444</v>
      </c>
      <c r="GY287" s="28">
        <f t="shared" si="656"/>
        <v>85.720632461280474</v>
      </c>
      <c r="GZ287" s="28">
        <f t="shared" si="657"/>
        <v>108.30650018220335</v>
      </c>
      <c r="HA287" s="28">
        <f t="shared" si="658"/>
        <v>138.68515267233357</v>
      </c>
      <c r="HB287" s="28">
        <f t="shared" si="659"/>
        <v>12.151460996052084</v>
      </c>
      <c r="HC287" s="28">
        <f t="shared" si="660"/>
        <v>439.83005561797216</v>
      </c>
      <c r="HD287" s="28">
        <f t="shared" si="661"/>
        <v>29.057841512298463</v>
      </c>
      <c r="HE287" s="28">
        <f t="shared" si="662"/>
        <v>2.7737030534466718</v>
      </c>
      <c r="HF287" s="28">
        <f t="shared" si="663"/>
        <v>1.3208109778317483</v>
      </c>
      <c r="HG287" s="28">
        <f t="shared" si="664"/>
        <v>26.812462849984492</v>
      </c>
      <c r="HH287" s="28">
        <f t="shared" si="665"/>
        <v>0.92456768448222382</v>
      </c>
      <c r="HI287" s="28">
        <f t="shared" si="666"/>
        <v>2166.1300036440671</v>
      </c>
      <c r="HJ287" s="28">
        <f t="shared" si="667"/>
        <v>1.3208109778317483</v>
      </c>
      <c r="HK287" s="28">
        <f t="shared" si="668"/>
        <v>0</v>
      </c>
      <c r="HL287" s="28">
        <f t="shared" si="669"/>
        <v>0.79248658669904903</v>
      </c>
      <c r="HM287" s="28">
        <f t="shared" si="670"/>
        <v>2.6416219556634966</v>
      </c>
      <c r="HN287" s="28">
        <f t="shared" si="671"/>
        <v>0.66040548891587414</v>
      </c>
      <c r="HO287" s="28">
        <f t="shared" si="672"/>
        <v>0.79248658669904903</v>
      </c>
      <c r="HP287" s="28">
        <f t="shared" si="673"/>
        <v>0</v>
      </c>
      <c r="HQ287" s="28">
        <f t="shared" si="674"/>
        <v>0.39624329334952452</v>
      </c>
      <c r="HR287" s="28">
        <f t="shared" si="675"/>
        <v>0.52832439113269936</v>
      </c>
      <c r="HT287" s="4">
        <f>IFERROR(GR287/'McDonough &amp; Sun 1995 values'!C$2,)</f>
        <v>88.054065188783213</v>
      </c>
      <c r="HU287" s="4">
        <f>IFERROR(GS287/'McDonough &amp; Sun 1995 values'!D$2,)</f>
        <v>242.14867926915389</v>
      </c>
      <c r="HV287" s="4">
        <f>IFERROR(GT287/'McDonough &amp; Sun 1995 values'!E$2,)</f>
        <v>270.16588182922123</v>
      </c>
      <c r="HW287" s="4">
        <f>IFERROR(GU287/'McDonough &amp; Sun 1995 values'!F$2,)</f>
        <v>132.91179651137088</v>
      </c>
      <c r="HX287" s="4">
        <f>IFERROR(GV287/'McDonough &amp; Sun 1995 values'!G$2,)</f>
        <v>110.60978632088533</v>
      </c>
      <c r="HY287" s="4">
        <f>IFERROR(GW287/'McDonough &amp; Sun 1995 values'!H$2,)</f>
        <v>184.36319898901488</v>
      </c>
      <c r="HZ287" s="4">
        <f>IFERROR(GX287/'McDonough &amp; Sun 1995 values'!I$2,)</f>
        <v>121.37181958453904</v>
      </c>
      <c r="IA287" s="4">
        <f>IFERROR(GY287/'McDonough &amp; Sun 1995 values'!J$2,)</f>
        <v>130.27451741835938</v>
      </c>
      <c r="IB287" s="4">
        <f>IFERROR(GZ287/'McDonough &amp; Sun 1995 values'!K$2,)</f>
        <v>167.13966077500515</v>
      </c>
      <c r="IC287" s="4">
        <f>IFERROR(HA287/'McDonough &amp; Sun 1995 values'!L$2,)</f>
        <v>82.797106073034968</v>
      </c>
      <c r="ID287" s="4">
        <f>IFERROR(HB287/'McDonough &amp; Sun 1995 values'!M$2,)</f>
        <v>47.840397622252297</v>
      </c>
      <c r="IE287" s="4">
        <f>IFERROR(HC287/'McDonough &amp; Sun 1995 values'!N$2,)</f>
        <v>22.102012845124232</v>
      </c>
      <c r="IF287" s="4">
        <f>IFERROR(HD287/'McDonough &amp; Sun 1995 values'!O$2,)</f>
        <v>23.246273209838769</v>
      </c>
      <c r="IG287" s="4">
        <f>IFERROR(HE287/'McDonough &amp; Sun 1995 values'!P$2,)</f>
        <v>6.831780919819388</v>
      </c>
      <c r="IH287" s="4">
        <f>IFERROR(HF287/'McDonough &amp; Sun 1995 values'!Q$2,)</f>
        <v>4.6671766001121853</v>
      </c>
      <c r="II287" s="4">
        <f>IFERROR(HG287/'McDonough &amp; Sun 1995 values'!R$2,)</f>
        <v>2.5535678904747137</v>
      </c>
      <c r="IJ287" s="4">
        <f>IFERROR(HH287/'McDonough &amp; Sun 1995 values'!S$2,)</f>
        <v>6.0036862628715832</v>
      </c>
      <c r="IK287" s="4">
        <f>IFERROR(HI287/'McDonough &amp; Sun 1995 values'!T$2,)</f>
        <v>1.7976182602855328</v>
      </c>
      <c r="IL287" s="4">
        <f>IFERROR(HJ287/'McDonough &amp; Sun 1995 values'!U$2,)</f>
        <v>2.4279613563083609</v>
      </c>
      <c r="IM287" s="4">
        <f>IFERROR(HK287/'McDonough &amp; Sun 1995 values'!V$2,)</f>
        <v>0</v>
      </c>
      <c r="IN287" s="4">
        <f>IFERROR(HL287/'McDonough &amp; Sun 1995 values'!W$2,)</f>
        <v>1.1757961226988858</v>
      </c>
      <c r="IO287" s="4">
        <f>IFERROR(HM287/'McDonough &amp; Sun 1995 values'!X$2,)</f>
        <v>0.61433068736360386</v>
      </c>
      <c r="IP287" s="4">
        <f>IFERROR(HN287/'McDonough &amp; Sun 1995 values'!Y$2,)</f>
        <v>4.4322516034622428</v>
      </c>
      <c r="IQ287" s="4">
        <f>IFERROR(HO287/'McDonough &amp; Sun 1995 values'!Z$2,)</f>
        <v>1.8093301066188334</v>
      </c>
      <c r="IR287" s="4">
        <f>IFERROR(HP287/'McDonough &amp; Sun 1995 values'!AA$2,)</f>
        <v>0</v>
      </c>
      <c r="IS287" s="4">
        <f>IFERROR(HQ287/'McDonough &amp; Sun 1995 values'!AB$2,)</f>
        <v>0.89851086927329826</v>
      </c>
      <c r="IT287" s="4">
        <f>IFERROR(HR287/'McDonough &amp; Sun 1995 values'!AC$2,)</f>
        <v>7.8270280167807309</v>
      </c>
    </row>
    <row r="288" spans="1:254">
      <c r="A288" s="16" t="s">
        <v>827</v>
      </c>
      <c r="B288" s="16" t="s">
        <v>24</v>
      </c>
      <c r="C288" s="16" t="str">
        <f t="shared" si="617"/>
        <v>silicic - low-Mg carbonatitic</v>
      </c>
      <c r="D288" s="16" t="s">
        <v>1718</v>
      </c>
      <c r="E288" s="16" t="s">
        <v>237</v>
      </c>
      <c r="F288" s="16" t="s">
        <v>825</v>
      </c>
      <c r="G288" s="16" t="s">
        <v>595</v>
      </c>
      <c r="H288" s="27">
        <v>359</v>
      </c>
      <c r="I288" s="16" t="s">
        <v>735</v>
      </c>
      <c r="J288" s="16">
        <v>0</v>
      </c>
      <c r="K288" s="16" t="s">
        <v>115</v>
      </c>
      <c r="L288" s="16">
        <v>0</v>
      </c>
      <c r="M288" s="16" t="s">
        <v>822</v>
      </c>
      <c r="N288" s="16">
        <v>20</v>
      </c>
      <c r="O288" s="26">
        <v>26.2</v>
      </c>
      <c r="P288" s="26">
        <v>2.5</v>
      </c>
      <c r="Q288" s="26"/>
      <c r="R288" s="26">
        <v>5.5</v>
      </c>
      <c r="S288" s="26">
        <v>9</v>
      </c>
      <c r="T288" s="26">
        <v>6.7</v>
      </c>
      <c r="U288" s="26"/>
      <c r="V288" s="26">
        <v>17.5</v>
      </c>
      <c r="W288" s="26">
        <v>4.7</v>
      </c>
      <c r="X288" s="26">
        <v>20.7</v>
      </c>
      <c r="Y288" s="26"/>
      <c r="Z288" s="26">
        <v>4.3</v>
      </c>
      <c r="AA288" s="26"/>
      <c r="AB288" s="26">
        <v>0.9</v>
      </c>
      <c r="AC288" s="26"/>
      <c r="AD288" s="26">
        <v>2.1</v>
      </c>
      <c r="AE288" s="26"/>
      <c r="AF288" s="26"/>
      <c r="AG288" s="26"/>
      <c r="AH288" s="26"/>
      <c r="AI288" s="26">
        <v>5</v>
      </c>
      <c r="AJ288" s="26">
        <f t="shared" si="618"/>
        <v>100.10000000000001</v>
      </c>
      <c r="AK288" s="26">
        <f t="shared" si="678"/>
        <v>26.298331278164188</v>
      </c>
      <c r="AL288" s="26">
        <f t="shared" si="679"/>
        <v>2.5093827555500181</v>
      </c>
      <c r="AM288" s="26">
        <f t="shared" si="680"/>
        <v>5.5206420622100394</v>
      </c>
      <c r="AN288" s="26">
        <f t="shared" si="681"/>
        <v>9.0337779199800661</v>
      </c>
      <c r="AO288" s="26">
        <f t="shared" si="682"/>
        <v>6.7251457848740497</v>
      </c>
      <c r="AP288" s="26">
        <f t="shared" si="683"/>
        <v>17.565679288850127</v>
      </c>
      <c r="AQ288" s="26">
        <f t="shared" si="684"/>
        <v>0.90337779199800661</v>
      </c>
      <c r="AR288" s="26">
        <f t="shared" si="685"/>
        <v>4.7176395804340343</v>
      </c>
      <c r="AS288" s="26">
        <f t="shared" si="686"/>
        <v>20.777689215954151</v>
      </c>
      <c r="AT288" s="26">
        <f t="shared" si="687"/>
        <v>4.3161383395460309</v>
      </c>
      <c r="AU288" s="26">
        <f t="shared" si="688"/>
        <v>2.1078815146620156</v>
      </c>
      <c r="AV288" s="26">
        <f t="shared" si="619"/>
        <v>100.47568553222274</v>
      </c>
      <c r="AW288" s="16"/>
      <c r="AX288" s="16"/>
      <c r="AY288" s="16"/>
      <c r="AZ288" s="16"/>
      <c r="BA288" s="26"/>
      <c r="BB288" s="26"/>
      <c r="BC288" s="26"/>
      <c r="BD288" s="26"/>
      <c r="BE288" s="16"/>
      <c r="BF288" s="16"/>
      <c r="BG288" s="16"/>
      <c r="BH288" s="16"/>
      <c r="BI288" s="16"/>
      <c r="BJ288" s="16"/>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c r="DS288" s="18"/>
      <c r="DT288" s="18"/>
      <c r="DU288" s="18"/>
      <c r="DV288" s="28"/>
      <c r="DW288" s="28"/>
      <c r="DX288" s="28"/>
      <c r="DY288" s="28"/>
      <c r="DZ288" s="28"/>
      <c r="EA288" s="28"/>
      <c r="EB288" s="28"/>
      <c r="EC288" s="28"/>
      <c r="ED288" s="28"/>
      <c r="EE288" s="28"/>
      <c r="EF288" s="28"/>
      <c r="EG288" s="28"/>
      <c r="EH288" s="28"/>
      <c r="EI288" s="28"/>
      <c r="EJ288" s="18"/>
      <c r="EK288" s="18"/>
      <c r="EL288" s="18">
        <f>IFERROR(CR288/'McDonough &amp; Sun 1995 values'!C$2,)</f>
        <v>0</v>
      </c>
      <c r="EM288" s="18">
        <f>IFERROR(CH288/'McDonough &amp; Sun 1995 values'!D$2,)</f>
        <v>0</v>
      </c>
      <c r="EN288" s="18">
        <f>IFERROR(CS288/'McDonough &amp; Sun 1995 values'!E$2,)</f>
        <v>0</v>
      </c>
      <c r="EO288" s="18">
        <f>IFERROR(DL288/'McDonough &amp; Sun 1995 values'!F$2,)</f>
        <v>0</v>
      </c>
      <c r="EP288" s="18">
        <f>IFERROR(DM288/'McDonough &amp; Sun 1995 values'!G$2,)</f>
        <v>0</v>
      </c>
      <c r="EQ288" s="18">
        <f>IFERROR(BR288/'McDonough &amp; Sun 1995 values'!H$2,)</f>
        <v>0</v>
      </c>
      <c r="ER288" s="18">
        <f>IFERROR(DI288/'McDonough &amp; Sun 1995 values'!I$2,)</f>
        <v>0</v>
      </c>
      <c r="ES288" s="18">
        <f>IFERROR(CM288/'McDonough &amp; Sun 1995 values'!J$2,)</f>
        <v>0</v>
      </c>
      <c r="ET288" s="18">
        <f>IFERROR(CU288/'McDonough &amp; Sun 1995 values'!K$2,)</f>
        <v>0</v>
      </c>
      <c r="EU288" s="18">
        <f>IFERROR(CV288/'McDonough &amp; Sun 1995 values'!L$2,)</f>
        <v>0</v>
      </c>
      <c r="EV288" s="18">
        <f>IFERROR(CW288/'McDonough &amp; Sun 1995 values'!M$2,)</f>
        <v>0</v>
      </c>
      <c r="EW288" s="18">
        <f>IFERROR(CI288/'McDonough &amp; Sun 1995 values'!N$2,)</f>
        <v>0</v>
      </c>
      <c r="EX288" s="18">
        <f>IFERROR(CX288/'McDonough &amp; Sun 1995 values'!O$2,)</f>
        <v>0</v>
      </c>
      <c r="EY288" s="18">
        <f>IFERROR(CY288/'McDonough &amp; Sun 1995 values'!P$2,)</f>
        <v>0</v>
      </c>
      <c r="EZ288" s="18">
        <f>IFERROR(DH288/'McDonough &amp; Sun 1995 values'!Q$2,)</f>
        <v>0</v>
      </c>
      <c r="FA288" s="18">
        <f>IFERROR(CK288/'McDonough &amp; Sun 1995 values'!R$2,)</f>
        <v>0</v>
      </c>
      <c r="FB288" s="18">
        <f>IFERROR(CZ288/'McDonough &amp; Sun 1995 values'!S$2,)</f>
        <v>0</v>
      </c>
      <c r="FC288" s="18">
        <f>IFERROR(BT288/'McDonough &amp; Sun 1995 values'!T$2,)</f>
        <v>0</v>
      </c>
      <c r="FD288" s="18">
        <f>IFERROR(DA288/'McDonough &amp; Sun 1995 values'!U$2,)</f>
        <v>0</v>
      </c>
      <c r="FE288" s="18">
        <f>IFERROR(DN288/'McDonough &amp; Sun 1995 values'!V$2,)</f>
        <v>0</v>
      </c>
      <c r="FF288" s="18">
        <f>IFERROR(DB288/'McDonough &amp; Sun 1995 values'!W$2,)</f>
        <v>0</v>
      </c>
      <c r="FG288" s="18">
        <f>IFERROR(CJ288/'McDonough &amp; Sun 1995 values'!X$2,)</f>
        <v>0</v>
      </c>
      <c r="FH288" s="18">
        <f>IFERROR(DC288/'McDonough &amp; Sun 1995 values'!Y$2,)</f>
        <v>0</v>
      </c>
      <c r="FI288" s="18">
        <f>IFERROR(DD288/'McDonough &amp; Sun 1995 values'!Z$2,)</f>
        <v>0</v>
      </c>
      <c r="FJ288" s="18">
        <f>IFERROR(DE288/'McDonough &amp; Sun 1995 values'!AA$2,)</f>
        <v>0</v>
      </c>
      <c r="FK288" s="18">
        <f>IFERROR(DF288/'McDonough &amp; Sun 1995 values'!AB$2,)</f>
        <v>0</v>
      </c>
      <c r="FL288" s="18">
        <f>IFERROR(DG288/'McDonough &amp; Sun 1995 values'!AC$2,)</f>
        <v>0</v>
      </c>
      <c r="FN288" s="28">
        <f t="shared" si="614"/>
        <v>0</v>
      </c>
      <c r="FO288" s="4">
        <f t="shared" si="620"/>
        <v>0</v>
      </c>
      <c r="FP288" s="4">
        <f t="shared" si="621"/>
        <v>0</v>
      </c>
      <c r="FQ288" s="4">
        <f t="shared" si="622"/>
        <v>0</v>
      </c>
      <c r="FR288" s="4">
        <f t="shared" si="623"/>
        <v>0</v>
      </c>
      <c r="FS288" s="4">
        <f t="shared" si="624"/>
        <v>0</v>
      </c>
      <c r="FT288" s="4">
        <f t="shared" si="625"/>
        <v>0</v>
      </c>
      <c r="FU288" s="4">
        <f t="shared" si="626"/>
        <v>0</v>
      </c>
      <c r="FV288" s="4">
        <f t="shared" si="627"/>
        <v>0</v>
      </c>
      <c r="FW288" s="4">
        <f t="shared" si="628"/>
        <v>0</v>
      </c>
      <c r="FX288" s="4">
        <f t="shared" si="629"/>
        <v>0</v>
      </c>
      <c r="FY288" s="4">
        <f t="shared" si="630"/>
        <v>0</v>
      </c>
      <c r="FZ288" s="4">
        <f t="shared" si="631"/>
        <v>0</v>
      </c>
      <c r="GA288" s="4">
        <f t="shared" si="632"/>
        <v>0</v>
      </c>
      <c r="GB288" s="4">
        <f t="shared" si="633"/>
        <v>0</v>
      </c>
      <c r="GC288" s="4">
        <f t="shared" si="634"/>
        <v>0</v>
      </c>
      <c r="GD288" s="4">
        <f t="shared" si="635"/>
        <v>0</v>
      </c>
      <c r="GE288" s="4">
        <f t="shared" si="636"/>
        <v>0</v>
      </c>
      <c r="GF288" s="4">
        <f t="shared" si="637"/>
        <v>0</v>
      </c>
      <c r="GG288" s="4">
        <f t="shared" si="638"/>
        <v>0</v>
      </c>
      <c r="GH288" s="4">
        <f t="shared" si="639"/>
        <v>0</v>
      </c>
      <c r="GI288" s="4">
        <f t="shared" si="640"/>
        <v>0</v>
      </c>
      <c r="GJ288" s="4">
        <f t="shared" si="641"/>
        <v>0</v>
      </c>
      <c r="GK288" s="4">
        <f t="shared" si="642"/>
        <v>0</v>
      </c>
      <c r="GL288" s="4">
        <f t="shared" si="643"/>
        <v>0</v>
      </c>
      <c r="GM288" s="4">
        <f t="shared" si="644"/>
        <v>0</v>
      </c>
      <c r="GN288" s="4">
        <f t="shared" si="645"/>
        <v>0</v>
      </c>
      <c r="GO288" s="4">
        <f t="shared" si="646"/>
        <v>0</v>
      </c>
      <c r="GP288" s="4">
        <f t="shared" si="647"/>
        <v>0</v>
      </c>
      <c r="GQ288" s="27">
        <f t="shared" si="648"/>
        <v>172483.3492383835</v>
      </c>
      <c r="GR288" s="28" t="str">
        <f t="shared" si="649"/>
        <v/>
      </c>
      <c r="GS288" s="28" t="str">
        <f t="shared" si="650"/>
        <v/>
      </c>
      <c r="GT288" s="28" t="str">
        <f t="shared" si="651"/>
        <v/>
      </c>
      <c r="GU288" s="28" t="str">
        <f t="shared" si="652"/>
        <v/>
      </c>
      <c r="GV288" s="28" t="str">
        <f t="shared" si="653"/>
        <v/>
      </c>
      <c r="GW288" s="28" t="str">
        <f t="shared" si="654"/>
        <v/>
      </c>
      <c r="GX288" s="28" t="str">
        <f t="shared" si="655"/>
        <v/>
      </c>
      <c r="GY288" s="28" t="str">
        <f t="shared" si="656"/>
        <v/>
      </c>
      <c r="GZ288" s="28" t="str">
        <f t="shared" si="657"/>
        <v/>
      </c>
      <c r="HA288" s="28" t="str">
        <f t="shared" si="658"/>
        <v/>
      </c>
      <c r="HB288" s="28" t="str">
        <f t="shared" si="659"/>
        <v/>
      </c>
      <c r="HC288" s="28" t="str">
        <f t="shared" si="660"/>
        <v/>
      </c>
      <c r="HD288" s="28" t="str">
        <f t="shared" si="661"/>
        <v/>
      </c>
      <c r="HE288" s="28" t="str">
        <f t="shared" si="662"/>
        <v/>
      </c>
      <c r="HF288" s="28" t="str">
        <f t="shared" si="663"/>
        <v/>
      </c>
      <c r="HG288" s="28" t="str">
        <f t="shared" si="664"/>
        <v/>
      </c>
      <c r="HH288" s="28" t="str">
        <f t="shared" si="665"/>
        <v/>
      </c>
      <c r="HI288" s="28" t="str">
        <f t="shared" si="666"/>
        <v/>
      </c>
      <c r="HJ288" s="28" t="str">
        <f t="shared" si="667"/>
        <v/>
      </c>
      <c r="HK288" s="28" t="str">
        <f t="shared" si="668"/>
        <v/>
      </c>
      <c r="HL288" s="28" t="str">
        <f t="shared" si="669"/>
        <v/>
      </c>
      <c r="HM288" s="28" t="str">
        <f t="shared" si="670"/>
        <v/>
      </c>
      <c r="HN288" s="28" t="str">
        <f t="shared" si="671"/>
        <v/>
      </c>
      <c r="HO288" s="28" t="str">
        <f t="shared" si="672"/>
        <v/>
      </c>
      <c r="HP288" s="28" t="str">
        <f t="shared" si="673"/>
        <v/>
      </c>
      <c r="HQ288" s="28" t="str">
        <f t="shared" si="674"/>
        <v/>
      </c>
      <c r="HR288" s="28" t="str">
        <f t="shared" si="675"/>
        <v/>
      </c>
      <c r="HT288" s="4">
        <f>IFERROR(GR288/'McDonough &amp; Sun 1995 values'!C$2,)</f>
        <v>0</v>
      </c>
      <c r="HU288" s="4">
        <f>IFERROR(GS288/'McDonough &amp; Sun 1995 values'!D$2,)</f>
        <v>0</v>
      </c>
      <c r="HV288" s="4">
        <f>IFERROR(GT288/'McDonough &amp; Sun 1995 values'!E$2,)</f>
        <v>0</v>
      </c>
      <c r="HW288" s="4">
        <f>IFERROR(GU288/'McDonough &amp; Sun 1995 values'!F$2,)</f>
        <v>0</v>
      </c>
      <c r="HX288" s="4">
        <f>IFERROR(GV288/'McDonough &amp; Sun 1995 values'!G$2,)</f>
        <v>0</v>
      </c>
      <c r="HY288" s="4">
        <f>IFERROR(GW288/'McDonough &amp; Sun 1995 values'!H$2,)</f>
        <v>0</v>
      </c>
      <c r="HZ288" s="4">
        <f>IFERROR(GX288/'McDonough &amp; Sun 1995 values'!I$2,)</f>
        <v>0</v>
      </c>
      <c r="IA288" s="4">
        <f>IFERROR(GY288/'McDonough &amp; Sun 1995 values'!J$2,)</f>
        <v>0</v>
      </c>
      <c r="IB288" s="4">
        <f>IFERROR(GZ288/'McDonough &amp; Sun 1995 values'!K$2,)</f>
        <v>0</v>
      </c>
      <c r="IC288" s="4">
        <f>IFERROR(HA288/'McDonough &amp; Sun 1995 values'!L$2,)</f>
        <v>0</v>
      </c>
      <c r="ID288" s="4">
        <f>IFERROR(HB288/'McDonough &amp; Sun 1995 values'!M$2,)</f>
        <v>0</v>
      </c>
      <c r="IE288" s="4">
        <f>IFERROR(HC288/'McDonough &amp; Sun 1995 values'!N$2,)</f>
        <v>0</v>
      </c>
      <c r="IF288" s="4">
        <f>IFERROR(HD288/'McDonough &amp; Sun 1995 values'!O$2,)</f>
        <v>0</v>
      </c>
      <c r="IG288" s="4">
        <f>IFERROR(HE288/'McDonough &amp; Sun 1995 values'!P$2,)</f>
        <v>0</v>
      </c>
      <c r="IH288" s="4">
        <f>IFERROR(HF288/'McDonough &amp; Sun 1995 values'!Q$2,)</f>
        <v>0</v>
      </c>
      <c r="II288" s="4">
        <f>IFERROR(HG288/'McDonough &amp; Sun 1995 values'!R$2,)</f>
        <v>0</v>
      </c>
      <c r="IJ288" s="4">
        <f>IFERROR(HH288/'McDonough &amp; Sun 1995 values'!S$2,)</f>
        <v>0</v>
      </c>
      <c r="IK288" s="4">
        <f>IFERROR(HI288/'McDonough &amp; Sun 1995 values'!T$2,)</f>
        <v>0</v>
      </c>
      <c r="IL288" s="4">
        <f>IFERROR(HJ288/'McDonough &amp; Sun 1995 values'!U$2,)</f>
        <v>0</v>
      </c>
      <c r="IM288" s="4">
        <f>IFERROR(HK288/'McDonough &amp; Sun 1995 values'!V$2,)</f>
        <v>0</v>
      </c>
      <c r="IN288" s="4">
        <f>IFERROR(HL288/'McDonough &amp; Sun 1995 values'!W$2,)</f>
        <v>0</v>
      </c>
      <c r="IO288" s="4">
        <f>IFERROR(HM288/'McDonough &amp; Sun 1995 values'!X$2,)</f>
        <v>0</v>
      </c>
      <c r="IP288" s="4">
        <f>IFERROR(HN288/'McDonough &amp; Sun 1995 values'!Y$2,)</f>
        <v>0</v>
      </c>
      <c r="IQ288" s="4">
        <f>IFERROR(HO288/'McDonough &amp; Sun 1995 values'!Z$2,)</f>
        <v>0</v>
      </c>
      <c r="IR288" s="4">
        <f>IFERROR(HP288/'McDonough &amp; Sun 1995 values'!AA$2,)</f>
        <v>0</v>
      </c>
      <c r="IS288" s="4">
        <f>IFERROR(HQ288/'McDonough &amp; Sun 1995 values'!AB$2,)</f>
        <v>0</v>
      </c>
      <c r="IT288" s="4">
        <f>IFERROR(HR288/'McDonough &amp; Sun 1995 values'!AC$2,)</f>
        <v>0</v>
      </c>
    </row>
    <row r="289" spans="1:254">
      <c r="A289" s="16" t="s">
        <v>844</v>
      </c>
      <c r="B289" s="16" t="s">
        <v>24</v>
      </c>
      <c r="C289" s="16" t="str">
        <f t="shared" si="617"/>
        <v>silicic - low-Mg carbonatitic</v>
      </c>
      <c r="D289" s="16" t="s">
        <v>1721</v>
      </c>
      <c r="E289" s="16" t="s">
        <v>237</v>
      </c>
      <c r="F289" s="16" t="s">
        <v>238</v>
      </c>
      <c r="G289" s="16" t="s">
        <v>595</v>
      </c>
      <c r="H289" s="27">
        <v>355</v>
      </c>
      <c r="I289" s="16" t="s">
        <v>712</v>
      </c>
      <c r="J289" s="16">
        <v>0</v>
      </c>
      <c r="K289" s="16" t="s">
        <v>488</v>
      </c>
      <c r="L289" s="16">
        <v>0</v>
      </c>
      <c r="M289" s="16" t="s">
        <v>487</v>
      </c>
      <c r="N289" s="16">
        <v>40</v>
      </c>
      <c r="O289" s="26">
        <v>34.5</v>
      </c>
      <c r="P289" s="26">
        <v>5.01</v>
      </c>
      <c r="Q289" s="26"/>
      <c r="R289" s="26">
        <v>5.47</v>
      </c>
      <c r="S289" s="26">
        <v>15.3</v>
      </c>
      <c r="T289" s="26">
        <v>8.5</v>
      </c>
      <c r="U289" s="26"/>
      <c r="V289" s="26">
        <v>13.6</v>
      </c>
      <c r="W289" s="26">
        <v>1.57</v>
      </c>
      <c r="X289" s="26">
        <v>12.5</v>
      </c>
      <c r="Y289" s="26"/>
      <c r="Z289" s="26">
        <v>3.58</v>
      </c>
      <c r="AA289" s="26"/>
      <c r="AB289" s="26">
        <v>0</v>
      </c>
      <c r="AC289" s="26"/>
      <c r="AD289" s="26">
        <v>1.94</v>
      </c>
      <c r="AE289" s="26"/>
      <c r="AF289" s="26"/>
      <c r="AG289" s="26"/>
      <c r="AH289" s="26"/>
      <c r="AI289" s="26"/>
      <c r="AJ289" s="26">
        <f t="shared" si="618"/>
        <v>101.96999999999998</v>
      </c>
      <c r="AK289" s="26">
        <f t="shared" si="678"/>
        <v>33.979368027235175</v>
      </c>
      <c r="AL289" s="26">
        <f t="shared" si="679"/>
        <v>4.9343951830854555</v>
      </c>
      <c r="AM289" s="26">
        <f t="shared" si="680"/>
        <v>5.3874534234485916</v>
      </c>
      <c r="AN289" s="26">
        <f t="shared" si="681"/>
        <v>15.069111038165167</v>
      </c>
      <c r="AO289" s="26">
        <f t="shared" si="682"/>
        <v>8.3717283545362022</v>
      </c>
      <c r="AP289" s="26">
        <f t="shared" si="683"/>
        <v>13.394765367257925</v>
      </c>
      <c r="AQ289" s="26">
        <f t="shared" si="684"/>
        <v>0</v>
      </c>
      <c r="AR289" s="26">
        <f t="shared" si="685"/>
        <v>1.5463074725437458</v>
      </c>
      <c r="AS289" s="26">
        <f t="shared" si="686"/>
        <v>12.311365227259122</v>
      </c>
      <c r="AT289" s="26">
        <f t="shared" si="687"/>
        <v>3.5259750010870126</v>
      </c>
      <c r="AU289" s="26">
        <f t="shared" si="688"/>
        <v>1.9107238832706157</v>
      </c>
      <c r="AV289" s="26">
        <f t="shared" si="619"/>
        <v>100.43119297788903</v>
      </c>
      <c r="AW289" s="16"/>
      <c r="AX289" s="16"/>
      <c r="AY289" s="16"/>
      <c r="AZ289" s="16"/>
      <c r="BA289" s="26"/>
      <c r="BB289" s="26">
        <v>0.56000000000000005</v>
      </c>
      <c r="BC289" s="26">
        <f>1-BD289</f>
        <v>0.56000000000000005</v>
      </c>
      <c r="BD289" s="26">
        <f>1-BB289</f>
        <v>0.43999999999999995</v>
      </c>
      <c r="BE289" s="16"/>
      <c r="BF289" s="16"/>
      <c r="BG289" s="16"/>
      <c r="BH289" s="16"/>
      <c r="BI289" s="16"/>
      <c r="BJ289" s="16"/>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c r="DS289" s="18"/>
      <c r="DT289" s="18"/>
      <c r="DU289" s="18"/>
      <c r="DV289" s="28"/>
      <c r="DW289" s="28"/>
      <c r="DX289" s="28"/>
      <c r="DY289" s="28"/>
      <c r="DZ289" s="28"/>
      <c r="EA289" s="28"/>
      <c r="EB289" s="28"/>
      <c r="EC289" s="28"/>
      <c r="ED289" s="28"/>
      <c r="EE289" s="28"/>
      <c r="EF289" s="28"/>
      <c r="EG289" s="28"/>
      <c r="EH289" s="28"/>
      <c r="EI289" s="28"/>
      <c r="EJ289" s="18"/>
      <c r="EK289" s="18"/>
      <c r="EL289" s="18">
        <f>IFERROR(CR289/'McDonough &amp; Sun 1995 values'!C$2,)</f>
        <v>0</v>
      </c>
      <c r="EM289" s="18">
        <f>IFERROR(CH289/'McDonough &amp; Sun 1995 values'!D$2,)</f>
        <v>0</v>
      </c>
      <c r="EN289" s="18">
        <f>IFERROR(CS289/'McDonough &amp; Sun 1995 values'!E$2,)</f>
        <v>0</v>
      </c>
      <c r="EO289" s="18">
        <f>IFERROR(DL289/'McDonough &amp; Sun 1995 values'!F$2,)</f>
        <v>0</v>
      </c>
      <c r="EP289" s="18">
        <f>IFERROR(DM289/'McDonough &amp; Sun 1995 values'!G$2,)</f>
        <v>0</v>
      </c>
      <c r="EQ289" s="18">
        <f>IFERROR(BR289/'McDonough &amp; Sun 1995 values'!H$2,)</f>
        <v>0</v>
      </c>
      <c r="ER289" s="18">
        <f>IFERROR(DI289/'McDonough &amp; Sun 1995 values'!I$2,)</f>
        <v>0</v>
      </c>
      <c r="ES289" s="18">
        <f>IFERROR(CM289/'McDonough &amp; Sun 1995 values'!J$2,)</f>
        <v>0</v>
      </c>
      <c r="ET289" s="18">
        <f>IFERROR(CU289/'McDonough &amp; Sun 1995 values'!K$2,)</f>
        <v>0</v>
      </c>
      <c r="EU289" s="18">
        <f>IFERROR(CV289/'McDonough &amp; Sun 1995 values'!L$2,)</f>
        <v>0</v>
      </c>
      <c r="EV289" s="18">
        <f>IFERROR(CW289/'McDonough &amp; Sun 1995 values'!M$2,)</f>
        <v>0</v>
      </c>
      <c r="EW289" s="18">
        <f>IFERROR(CI289/'McDonough &amp; Sun 1995 values'!N$2,)</f>
        <v>0</v>
      </c>
      <c r="EX289" s="18">
        <f>IFERROR(CX289/'McDonough &amp; Sun 1995 values'!O$2,)</f>
        <v>0</v>
      </c>
      <c r="EY289" s="18">
        <f>IFERROR(CY289/'McDonough &amp; Sun 1995 values'!P$2,)</f>
        <v>0</v>
      </c>
      <c r="EZ289" s="18">
        <f>IFERROR(DH289/'McDonough &amp; Sun 1995 values'!Q$2,)</f>
        <v>0</v>
      </c>
      <c r="FA289" s="18">
        <f>IFERROR(CK289/'McDonough &amp; Sun 1995 values'!R$2,)</f>
        <v>0</v>
      </c>
      <c r="FB289" s="18">
        <f>IFERROR(CZ289/'McDonough &amp; Sun 1995 values'!S$2,)</f>
        <v>0</v>
      </c>
      <c r="FC289" s="18">
        <f>IFERROR(BT289/'McDonough &amp; Sun 1995 values'!T$2,)</f>
        <v>0</v>
      </c>
      <c r="FD289" s="18">
        <f>IFERROR(DA289/'McDonough &amp; Sun 1995 values'!U$2,)</f>
        <v>0</v>
      </c>
      <c r="FE289" s="18">
        <f>IFERROR(DN289/'McDonough &amp; Sun 1995 values'!V$2,)</f>
        <v>0</v>
      </c>
      <c r="FF289" s="18">
        <f>IFERROR(DB289/'McDonough &amp; Sun 1995 values'!W$2,)</f>
        <v>0</v>
      </c>
      <c r="FG289" s="18">
        <f>IFERROR(CJ289/'McDonough &amp; Sun 1995 values'!X$2,)</f>
        <v>0</v>
      </c>
      <c r="FH289" s="18">
        <f>IFERROR(DC289/'McDonough &amp; Sun 1995 values'!Y$2,)</f>
        <v>0</v>
      </c>
      <c r="FI289" s="18">
        <f>IFERROR(DD289/'McDonough &amp; Sun 1995 values'!Z$2,)</f>
        <v>0</v>
      </c>
      <c r="FJ289" s="18">
        <f>IFERROR(DE289/'McDonough &amp; Sun 1995 values'!AA$2,)</f>
        <v>0</v>
      </c>
      <c r="FK289" s="18">
        <f>IFERROR(DF289/'McDonough &amp; Sun 1995 values'!AB$2,)</f>
        <v>0</v>
      </c>
      <c r="FL289" s="18">
        <f>IFERROR(DG289/'McDonough &amp; Sun 1995 values'!AC$2,)</f>
        <v>0</v>
      </c>
      <c r="FN289" s="28">
        <f t="shared" si="614"/>
        <v>0</v>
      </c>
      <c r="FO289" s="4">
        <f t="shared" si="620"/>
        <v>0</v>
      </c>
      <c r="FP289" s="4">
        <f t="shared" si="621"/>
        <v>0</v>
      </c>
      <c r="FQ289" s="4">
        <f t="shared" si="622"/>
        <v>0</v>
      </c>
      <c r="FR289" s="4">
        <f t="shared" si="623"/>
        <v>0</v>
      </c>
      <c r="FS289" s="4">
        <f t="shared" si="624"/>
        <v>0</v>
      </c>
      <c r="FT289" s="4">
        <f t="shared" si="625"/>
        <v>0</v>
      </c>
      <c r="FU289" s="4">
        <f t="shared" si="626"/>
        <v>0</v>
      </c>
      <c r="FV289" s="4">
        <f t="shared" si="627"/>
        <v>0</v>
      </c>
      <c r="FW289" s="4">
        <f t="shared" si="628"/>
        <v>0</v>
      </c>
      <c r="FX289" s="4">
        <f t="shared" si="629"/>
        <v>0</v>
      </c>
      <c r="FY289" s="4">
        <f t="shared" si="630"/>
        <v>0</v>
      </c>
      <c r="FZ289" s="4">
        <f t="shared" si="631"/>
        <v>0</v>
      </c>
      <c r="GA289" s="4">
        <f t="shared" si="632"/>
        <v>0</v>
      </c>
      <c r="GB289" s="4">
        <f t="shared" si="633"/>
        <v>0</v>
      </c>
      <c r="GC289" s="4">
        <f t="shared" si="634"/>
        <v>0</v>
      </c>
      <c r="GD289" s="4">
        <f t="shared" si="635"/>
        <v>0</v>
      </c>
      <c r="GE289" s="4">
        <f t="shared" si="636"/>
        <v>0</v>
      </c>
      <c r="GF289" s="4">
        <f t="shared" si="637"/>
        <v>0</v>
      </c>
      <c r="GG289" s="4">
        <f t="shared" si="638"/>
        <v>0</v>
      </c>
      <c r="GH289" s="4">
        <f t="shared" si="639"/>
        <v>0</v>
      </c>
      <c r="GI289" s="4">
        <f t="shared" si="640"/>
        <v>0</v>
      </c>
      <c r="GJ289" s="4">
        <f t="shared" si="641"/>
        <v>0</v>
      </c>
      <c r="GK289" s="4">
        <f t="shared" si="642"/>
        <v>0</v>
      </c>
      <c r="GL289" s="4">
        <f t="shared" si="643"/>
        <v>0</v>
      </c>
      <c r="GM289" s="4">
        <f t="shared" si="644"/>
        <v>0</v>
      </c>
      <c r="GN289" s="4">
        <f t="shared" si="645"/>
        <v>0</v>
      </c>
      <c r="GO289" s="4">
        <f t="shared" si="646"/>
        <v>0</v>
      </c>
      <c r="GP289" s="4">
        <f t="shared" si="647"/>
        <v>0</v>
      </c>
      <c r="GQ289" s="27">
        <f t="shared" si="648"/>
        <v>102201.23547059754</v>
      </c>
      <c r="GR289" s="28" t="str">
        <f t="shared" si="649"/>
        <v/>
      </c>
      <c r="GS289" s="28" t="str">
        <f t="shared" si="650"/>
        <v/>
      </c>
      <c r="GT289" s="28" t="str">
        <f t="shared" si="651"/>
        <v/>
      </c>
      <c r="GU289" s="28" t="str">
        <f t="shared" si="652"/>
        <v/>
      </c>
      <c r="GV289" s="28" t="str">
        <f t="shared" si="653"/>
        <v/>
      </c>
      <c r="GW289" s="28" t="str">
        <f t="shared" si="654"/>
        <v/>
      </c>
      <c r="GX289" s="28" t="str">
        <f t="shared" si="655"/>
        <v/>
      </c>
      <c r="GY289" s="28" t="str">
        <f t="shared" si="656"/>
        <v/>
      </c>
      <c r="GZ289" s="28" t="str">
        <f t="shared" si="657"/>
        <v/>
      </c>
      <c r="HA289" s="28" t="str">
        <f t="shared" si="658"/>
        <v/>
      </c>
      <c r="HB289" s="28" t="str">
        <f t="shared" si="659"/>
        <v/>
      </c>
      <c r="HC289" s="28" t="str">
        <f t="shared" si="660"/>
        <v/>
      </c>
      <c r="HD289" s="28" t="str">
        <f t="shared" si="661"/>
        <v/>
      </c>
      <c r="HE289" s="28" t="str">
        <f t="shared" si="662"/>
        <v/>
      </c>
      <c r="HF289" s="28" t="str">
        <f t="shared" si="663"/>
        <v/>
      </c>
      <c r="HG289" s="28" t="str">
        <f t="shared" si="664"/>
        <v/>
      </c>
      <c r="HH289" s="28" t="str">
        <f t="shared" si="665"/>
        <v/>
      </c>
      <c r="HI289" s="28" t="str">
        <f t="shared" si="666"/>
        <v/>
      </c>
      <c r="HJ289" s="28" t="str">
        <f t="shared" si="667"/>
        <v/>
      </c>
      <c r="HK289" s="28" t="str">
        <f t="shared" si="668"/>
        <v/>
      </c>
      <c r="HL289" s="28" t="str">
        <f t="shared" si="669"/>
        <v/>
      </c>
      <c r="HM289" s="28" t="str">
        <f t="shared" si="670"/>
        <v/>
      </c>
      <c r="HN289" s="28" t="str">
        <f t="shared" si="671"/>
        <v/>
      </c>
      <c r="HO289" s="28" t="str">
        <f t="shared" si="672"/>
        <v/>
      </c>
      <c r="HP289" s="28" t="str">
        <f t="shared" si="673"/>
        <v/>
      </c>
      <c r="HQ289" s="28" t="str">
        <f t="shared" si="674"/>
        <v/>
      </c>
      <c r="HR289" s="28" t="str">
        <f t="shared" si="675"/>
        <v/>
      </c>
      <c r="HT289" s="4">
        <f>IFERROR(GR289/'McDonough &amp; Sun 1995 values'!C$2,)</f>
        <v>0</v>
      </c>
      <c r="HU289" s="4">
        <f>IFERROR(GS289/'McDonough &amp; Sun 1995 values'!D$2,)</f>
        <v>0</v>
      </c>
      <c r="HV289" s="4">
        <f>IFERROR(GT289/'McDonough &amp; Sun 1995 values'!E$2,)</f>
        <v>0</v>
      </c>
      <c r="HW289" s="4">
        <f>IFERROR(GU289/'McDonough &amp; Sun 1995 values'!F$2,)</f>
        <v>0</v>
      </c>
      <c r="HX289" s="4">
        <f>IFERROR(GV289/'McDonough &amp; Sun 1995 values'!G$2,)</f>
        <v>0</v>
      </c>
      <c r="HY289" s="4">
        <f>IFERROR(GW289/'McDonough &amp; Sun 1995 values'!H$2,)</f>
        <v>0</v>
      </c>
      <c r="HZ289" s="4">
        <f>IFERROR(GX289/'McDonough &amp; Sun 1995 values'!I$2,)</f>
        <v>0</v>
      </c>
      <c r="IA289" s="4">
        <f>IFERROR(GY289/'McDonough &amp; Sun 1995 values'!J$2,)</f>
        <v>0</v>
      </c>
      <c r="IB289" s="4">
        <f>IFERROR(GZ289/'McDonough &amp; Sun 1995 values'!K$2,)</f>
        <v>0</v>
      </c>
      <c r="IC289" s="4">
        <f>IFERROR(HA289/'McDonough &amp; Sun 1995 values'!L$2,)</f>
        <v>0</v>
      </c>
      <c r="ID289" s="4">
        <f>IFERROR(HB289/'McDonough &amp; Sun 1995 values'!M$2,)</f>
        <v>0</v>
      </c>
      <c r="IE289" s="4">
        <f>IFERROR(HC289/'McDonough &amp; Sun 1995 values'!N$2,)</f>
        <v>0</v>
      </c>
      <c r="IF289" s="4">
        <f>IFERROR(HD289/'McDonough &amp; Sun 1995 values'!O$2,)</f>
        <v>0</v>
      </c>
      <c r="IG289" s="4">
        <f>IFERROR(HE289/'McDonough &amp; Sun 1995 values'!P$2,)</f>
        <v>0</v>
      </c>
      <c r="IH289" s="4">
        <f>IFERROR(HF289/'McDonough &amp; Sun 1995 values'!Q$2,)</f>
        <v>0</v>
      </c>
      <c r="II289" s="4">
        <f>IFERROR(HG289/'McDonough &amp; Sun 1995 values'!R$2,)</f>
        <v>0</v>
      </c>
      <c r="IJ289" s="4">
        <f>IFERROR(HH289/'McDonough &amp; Sun 1995 values'!S$2,)</f>
        <v>0</v>
      </c>
      <c r="IK289" s="4">
        <f>IFERROR(HI289/'McDonough &amp; Sun 1995 values'!T$2,)</f>
        <v>0</v>
      </c>
      <c r="IL289" s="4">
        <f>IFERROR(HJ289/'McDonough &amp; Sun 1995 values'!U$2,)</f>
        <v>0</v>
      </c>
      <c r="IM289" s="4">
        <f>IFERROR(HK289/'McDonough &amp; Sun 1995 values'!V$2,)</f>
        <v>0</v>
      </c>
      <c r="IN289" s="4">
        <f>IFERROR(HL289/'McDonough &amp; Sun 1995 values'!W$2,)</f>
        <v>0</v>
      </c>
      <c r="IO289" s="4">
        <f>IFERROR(HM289/'McDonough &amp; Sun 1995 values'!X$2,)</f>
        <v>0</v>
      </c>
      <c r="IP289" s="4">
        <f>IFERROR(HN289/'McDonough &amp; Sun 1995 values'!Y$2,)</f>
        <v>0</v>
      </c>
      <c r="IQ289" s="4">
        <f>IFERROR(HO289/'McDonough &amp; Sun 1995 values'!Z$2,)</f>
        <v>0</v>
      </c>
      <c r="IR289" s="4">
        <f>IFERROR(HP289/'McDonough &amp; Sun 1995 values'!AA$2,)</f>
        <v>0</v>
      </c>
      <c r="IS289" s="4">
        <f>IFERROR(HQ289/'McDonough &amp; Sun 1995 values'!AB$2,)</f>
        <v>0</v>
      </c>
      <c r="IT289" s="4">
        <f>IFERROR(HR289/'McDonough &amp; Sun 1995 values'!AC$2,)</f>
        <v>0</v>
      </c>
    </row>
    <row r="290" spans="1:254">
      <c r="A290" s="16" t="s">
        <v>836</v>
      </c>
      <c r="B290" s="16" t="s">
        <v>24</v>
      </c>
      <c r="C290" s="16" t="str">
        <f t="shared" si="617"/>
        <v>silicic - low-Mg carbonatitic</v>
      </c>
      <c r="D290" s="16" t="s">
        <v>1705</v>
      </c>
      <c r="E290" s="16" t="s">
        <v>237</v>
      </c>
      <c r="F290" s="16" t="s">
        <v>163</v>
      </c>
      <c r="G290" s="16" t="s">
        <v>595</v>
      </c>
      <c r="H290" s="27">
        <v>355</v>
      </c>
      <c r="I290" s="16" t="s">
        <v>1148</v>
      </c>
      <c r="J290" s="3" t="s">
        <v>635</v>
      </c>
      <c r="K290" s="16" t="s">
        <v>128</v>
      </c>
      <c r="L290" s="16" t="s">
        <v>1509</v>
      </c>
      <c r="M290" s="16" t="s">
        <v>380</v>
      </c>
      <c r="N290" s="16">
        <v>17</v>
      </c>
      <c r="O290" s="26">
        <v>31.5</v>
      </c>
      <c r="P290" s="26">
        <v>2.34</v>
      </c>
      <c r="Q290" s="26"/>
      <c r="R290" s="26">
        <v>5.52</v>
      </c>
      <c r="S290" s="26">
        <v>11.1</v>
      </c>
      <c r="T290" s="26">
        <v>10.3</v>
      </c>
      <c r="U290" s="26"/>
      <c r="V290" s="26">
        <v>9.11</v>
      </c>
      <c r="W290" s="26">
        <v>3.89</v>
      </c>
      <c r="X290" s="26">
        <v>18.3</v>
      </c>
      <c r="Y290" s="26"/>
      <c r="Z290" s="26">
        <v>3.74</v>
      </c>
      <c r="AA290" s="26"/>
      <c r="AB290" s="26">
        <v>1.1100000000000001</v>
      </c>
      <c r="AC290" s="26"/>
      <c r="AD290" s="26">
        <v>3.18</v>
      </c>
      <c r="AE290" s="26"/>
      <c r="AF290" s="26"/>
      <c r="AG290" s="26"/>
      <c r="AH290" s="26"/>
      <c r="AI290" s="26"/>
      <c r="AJ290" s="26">
        <f t="shared" si="618"/>
        <v>100.09</v>
      </c>
      <c r="AK290" s="26">
        <f t="shared" si="678"/>
        <v>31.698952281746891</v>
      </c>
      <c r="AL290" s="26">
        <f t="shared" si="679"/>
        <v>2.3547793123583403</v>
      </c>
      <c r="AM290" s="26">
        <f t="shared" si="680"/>
        <v>5.5548640188965974</v>
      </c>
      <c r="AN290" s="26">
        <f t="shared" si="681"/>
        <v>11.170106994520332</v>
      </c>
      <c r="AO290" s="26">
        <f t="shared" si="682"/>
        <v>10.365054238158507</v>
      </c>
      <c r="AP290" s="26">
        <f t="shared" si="683"/>
        <v>9.1675382630702913</v>
      </c>
      <c r="AQ290" s="26">
        <f t="shared" si="684"/>
        <v>1.1170106994520332</v>
      </c>
      <c r="AR290" s="26">
        <f t="shared" si="685"/>
        <v>3.9145690278093781</v>
      </c>
      <c r="AS290" s="26">
        <f t="shared" si="686"/>
        <v>18.415581801776764</v>
      </c>
      <c r="AT290" s="26">
        <f t="shared" si="687"/>
        <v>3.7636216359915355</v>
      </c>
      <c r="AU290" s="26">
        <f t="shared" si="688"/>
        <v>3.2000847065382572</v>
      </c>
      <c r="AV290" s="26">
        <f t="shared" si="619"/>
        <v>100.72216298031894</v>
      </c>
      <c r="AW290" s="16"/>
      <c r="AX290" s="16"/>
      <c r="AY290" s="16"/>
      <c r="AZ290" s="16"/>
      <c r="BA290" s="26"/>
      <c r="BB290" s="26">
        <v>0.31</v>
      </c>
      <c r="BC290" s="26">
        <f>1-BD290</f>
        <v>0.31000000000000005</v>
      </c>
      <c r="BD290" s="26">
        <f>1-BB290</f>
        <v>0.69</v>
      </c>
      <c r="BE290" s="25"/>
      <c r="BF290" s="16"/>
      <c r="BG290" s="16" t="s">
        <v>1100</v>
      </c>
      <c r="BH290" s="16"/>
      <c r="BI290" s="16" t="s">
        <v>1101</v>
      </c>
      <c r="BJ290" s="16"/>
      <c r="BK290" s="18"/>
      <c r="BL290" s="18"/>
      <c r="BM290" s="18"/>
      <c r="BN290" s="18"/>
      <c r="BO290" s="18"/>
      <c r="BP290" s="18"/>
      <c r="BQ290" s="18"/>
      <c r="BR290" s="18">
        <v>209423</v>
      </c>
      <c r="BS290" s="18"/>
      <c r="BT290" s="18">
        <v>33563</v>
      </c>
      <c r="BU290" s="18"/>
      <c r="BV290" s="18"/>
      <c r="BW290" s="18"/>
      <c r="BX290" s="18"/>
      <c r="BY290" s="18"/>
      <c r="BZ290" s="18"/>
      <c r="CA290" s="18"/>
      <c r="CB290" s="18"/>
      <c r="CC290" s="18"/>
      <c r="CD290" s="18"/>
      <c r="CE290" s="18"/>
      <c r="CF290" s="18"/>
      <c r="CG290" s="18"/>
      <c r="CH290" s="18" t="s">
        <v>1366</v>
      </c>
      <c r="CI290" s="18">
        <v>5000</v>
      </c>
      <c r="CJ290" s="18">
        <v>36.799999999999997</v>
      </c>
      <c r="CK290" s="18">
        <v>569</v>
      </c>
      <c r="CL290" s="18"/>
      <c r="CM290" s="18">
        <v>83.4</v>
      </c>
      <c r="CN290" s="18"/>
      <c r="CO290" s="18"/>
      <c r="CP290" s="18"/>
      <c r="CQ290" s="18"/>
      <c r="CR290" s="18"/>
      <c r="CS290" s="18">
        <v>20623</v>
      </c>
      <c r="CT290" s="18"/>
      <c r="CU290" s="18">
        <v>4487</v>
      </c>
      <c r="CV290" s="18">
        <v>1737</v>
      </c>
      <c r="CW290" s="18">
        <v>163</v>
      </c>
      <c r="CX290" s="18">
        <v>294</v>
      </c>
      <c r="CY290" s="18">
        <v>38.4</v>
      </c>
      <c r="CZ290" s="18">
        <v>17</v>
      </c>
      <c r="DA290" s="18">
        <v>19.3</v>
      </c>
      <c r="DB290" s="18">
        <v>12.8</v>
      </c>
      <c r="DC290" s="18">
        <v>1.52</v>
      </c>
      <c r="DD290" s="18">
        <v>15.8</v>
      </c>
      <c r="DE290" s="18"/>
      <c r="DF290" s="18" t="s">
        <v>1366</v>
      </c>
      <c r="DG290" s="18">
        <v>0.41899999999999998</v>
      </c>
      <c r="DH290" s="18">
        <v>27.1</v>
      </c>
      <c r="DI290" s="18">
        <v>0.745</v>
      </c>
      <c r="DJ290" s="18"/>
      <c r="DK290" s="18"/>
      <c r="DL290" s="18">
        <v>115</v>
      </c>
      <c r="DM290" s="18">
        <v>29.6</v>
      </c>
      <c r="DN290" s="18">
        <v>2.2200000000000002</v>
      </c>
      <c r="DO290" s="18"/>
      <c r="DP290" s="18"/>
      <c r="DQ290" s="18"/>
      <c r="DR290" s="18"/>
      <c r="DS290" s="18"/>
      <c r="DT290" s="18"/>
      <c r="DU290" s="18"/>
      <c r="DV290" s="28"/>
      <c r="DW290" s="28"/>
      <c r="DX290" s="28"/>
      <c r="DY290" s="28"/>
      <c r="DZ290" s="28"/>
      <c r="EA290" s="28"/>
      <c r="EB290" s="28"/>
      <c r="EC290" s="28"/>
      <c r="ED290" s="28"/>
      <c r="EE290" s="28"/>
      <c r="EF290" s="28"/>
      <c r="EG290" s="28"/>
      <c r="EH290" s="28"/>
      <c r="EI290" s="28"/>
      <c r="EJ290" s="18"/>
      <c r="EK290" s="18"/>
      <c r="EL290" s="18">
        <f>IFERROR(CR290/'McDonough &amp; Sun 1995 values'!C$2,)</f>
        <v>0</v>
      </c>
      <c r="EM290" s="18">
        <f>IFERROR(CH290/'McDonough &amp; Sun 1995 values'!D$2,)</f>
        <v>0</v>
      </c>
      <c r="EN290" s="18">
        <f>IFERROR(CS290/'McDonough &amp; Sun 1995 values'!E$2,)</f>
        <v>3124.69696969697</v>
      </c>
      <c r="EO290" s="18">
        <f>IFERROR(DL290/'McDonough &amp; Sun 1995 values'!F$2,)</f>
        <v>1446.5408805031445</v>
      </c>
      <c r="EP290" s="18">
        <f>IFERROR(DM290/'McDonough &amp; Sun 1995 values'!G$2,)</f>
        <v>1458.1280788177341</v>
      </c>
      <c r="EQ290" s="18">
        <f>IFERROR(BR290/'McDonough &amp; Sun 1995 values'!H$2,)</f>
        <v>872.5958333333333</v>
      </c>
      <c r="ER290" s="18">
        <f>IFERROR(DI290/'McDonough &amp; Sun 1995 values'!I$2,)</f>
        <v>20.135135135135137</v>
      </c>
      <c r="ES290" s="18">
        <f>IFERROR(CM290/'McDonough &amp; Sun 1995 values'!J$2,)</f>
        <v>126.74772036474164</v>
      </c>
      <c r="ET290" s="18">
        <f>IFERROR(CU290/'McDonough &amp; Sun 1995 values'!K$2,)</f>
        <v>6924.3827160493829</v>
      </c>
      <c r="EU290" s="18">
        <f>IFERROR(CV290/'McDonough &amp; Sun 1995 values'!L$2,)</f>
        <v>1037.0149253731342</v>
      </c>
      <c r="EV290" s="18">
        <f>IFERROR(CW290/'McDonough &amp; Sun 1995 values'!M$2,)</f>
        <v>641.73228346456688</v>
      </c>
      <c r="EW290" s="18">
        <f>IFERROR(CI290/'McDonough &amp; Sun 1995 values'!N$2,)</f>
        <v>251.2562814070352</v>
      </c>
      <c r="EX290" s="18">
        <f>IFERROR(CX290/'McDonough &amp; Sun 1995 values'!O$2,)</f>
        <v>235.2</v>
      </c>
      <c r="EY290" s="18">
        <f>IFERROR(CY290/'McDonough &amp; Sun 1995 values'!P$2,)</f>
        <v>94.581280788177324</v>
      </c>
      <c r="EZ290" s="18">
        <f>IFERROR(DH290/'McDonough &amp; Sun 1995 values'!Q$2,)</f>
        <v>95.759717314487645</v>
      </c>
      <c r="FA290" s="18">
        <f>IFERROR(CK290/'McDonough &amp; Sun 1995 values'!R$2,)</f>
        <v>54.19047619047619</v>
      </c>
      <c r="FB290" s="18">
        <f>IFERROR(CZ290/'McDonough &amp; Sun 1995 values'!S$2,)</f>
        <v>110.3896103896104</v>
      </c>
      <c r="FC290" s="18">
        <f>IFERROR(BT290/'McDonough &amp; Sun 1995 values'!T$2,)</f>
        <v>27.853112033195021</v>
      </c>
      <c r="FD290" s="18">
        <f>IFERROR(DA290/'McDonough &amp; Sun 1995 values'!U$2,)</f>
        <v>35.477941176470587</v>
      </c>
      <c r="FE290" s="18">
        <f>IFERROR(DN290/'McDonough &amp; Sun 1995 values'!V$2,)</f>
        <v>22.424242424242426</v>
      </c>
      <c r="FF290" s="18">
        <f>IFERROR(DB290/'McDonough &amp; Sun 1995 values'!W$2,)</f>
        <v>18.991097922848663</v>
      </c>
      <c r="FG290" s="18">
        <f>IFERROR(CJ290/'McDonough &amp; Sun 1995 values'!X$2,)</f>
        <v>8.5581395348837201</v>
      </c>
      <c r="FH290" s="18">
        <f>IFERROR(DC290/'McDonough &amp; Sun 1995 values'!Y$2,)</f>
        <v>10.201342281879196</v>
      </c>
      <c r="FI290" s="18">
        <f>IFERROR(DD290/'McDonough &amp; Sun 1995 values'!Z$2,)</f>
        <v>36.073059360730596</v>
      </c>
      <c r="FJ290" s="18">
        <f>IFERROR(DE290/'McDonough &amp; Sun 1995 values'!AA$2,)</f>
        <v>0</v>
      </c>
      <c r="FK290" s="18">
        <f>IFERROR(DF290/'McDonough &amp; Sun 1995 values'!AB$2,)</f>
        <v>0</v>
      </c>
      <c r="FL290" s="18">
        <f>IFERROR(DG290/'McDonough &amp; Sun 1995 values'!AC$2,)</f>
        <v>6.2074074074074064</v>
      </c>
      <c r="FN290" s="28">
        <f t="shared" si="614"/>
        <v>1.6710234258713523</v>
      </c>
      <c r="FO290" s="4">
        <f t="shared" si="620"/>
        <v>2.1429509623259624</v>
      </c>
      <c r="FP290" s="4">
        <f t="shared" si="621"/>
        <v>11.412756587183083</v>
      </c>
      <c r="FQ290" s="4">
        <f t="shared" si="622"/>
        <v>0.99205337412884564</v>
      </c>
      <c r="FR290" s="4">
        <f t="shared" si="623"/>
        <v>54.631220949166597</v>
      </c>
      <c r="FS290" s="4">
        <f t="shared" si="624"/>
        <v>343.89551744137873</v>
      </c>
      <c r="FT290" s="4">
        <f t="shared" si="625"/>
        <v>0</v>
      </c>
      <c r="FU290" s="4">
        <f t="shared" si="626"/>
        <v>0.15885993907576643</v>
      </c>
      <c r="FV290" s="4">
        <f t="shared" si="627"/>
        <v>0.57295138888888897</v>
      </c>
      <c r="FW290" s="4">
        <f t="shared" si="628"/>
        <v>0.56590054471973283</v>
      </c>
      <c r="FX290" s="4">
        <f t="shared" si="629"/>
        <v>1.6975283831794101</v>
      </c>
      <c r="FY290" s="4">
        <f t="shared" si="630"/>
        <v>0.64672749556397113</v>
      </c>
      <c r="FZ290" s="4">
        <f t="shared" si="631"/>
        <v>1.9056643103216564</v>
      </c>
      <c r="GA290" s="4">
        <f t="shared" si="632"/>
        <v>0.39152819311280335</v>
      </c>
      <c r="GB290" s="4">
        <f t="shared" si="633"/>
        <v>1.1671401515151518</v>
      </c>
      <c r="GC290" s="4">
        <f t="shared" si="634"/>
        <v>0</v>
      </c>
      <c r="GD290" s="4">
        <f t="shared" si="635"/>
        <v>2.1601166007905142</v>
      </c>
      <c r="GE290" s="4">
        <f t="shared" si="636"/>
        <v>0</v>
      </c>
      <c r="GF290" s="4">
        <f t="shared" si="637"/>
        <v>3.5809212585402408</v>
      </c>
      <c r="GG290" s="4">
        <f t="shared" si="638"/>
        <v>24.652884964755472</v>
      </c>
      <c r="GH290" s="4">
        <f t="shared" si="639"/>
        <v>10.790142391880634</v>
      </c>
      <c r="GI290" s="4">
        <f t="shared" si="640"/>
        <v>73.210921424897137</v>
      </c>
      <c r="GJ290" s="4">
        <f t="shared" si="641"/>
        <v>364.61202739197535</v>
      </c>
      <c r="GK290" s="4">
        <f t="shared" si="642"/>
        <v>0</v>
      </c>
      <c r="GL290" s="4">
        <f t="shared" si="643"/>
        <v>1.945580663514102</v>
      </c>
      <c r="GM290" s="4">
        <f t="shared" si="644"/>
        <v>0</v>
      </c>
      <c r="GN290" s="4">
        <f t="shared" si="645"/>
        <v>1.8304551548106212E-2</v>
      </c>
      <c r="GO290" s="4">
        <f t="shared" si="646"/>
        <v>8.6924956871765366E-2</v>
      </c>
      <c r="GP290" s="4">
        <f t="shared" si="647"/>
        <v>0.59843565596846837</v>
      </c>
      <c r="GQ290" s="27">
        <f t="shared" si="648"/>
        <v>152874.61441597153</v>
      </c>
      <c r="GR290" s="28">
        <f t="shared" si="649"/>
        <v>0</v>
      </c>
      <c r="GS290" s="28" t="str">
        <f t="shared" si="650"/>
        <v/>
      </c>
      <c r="GT290" s="28">
        <f t="shared" si="651"/>
        <v>15054.378807965606</v>
      </c>
      <c r="GU290" s="28">
        <f t="shared" si="652"/>
        <v>83.947707070554458</v>
      </c>
      <c r="GV290" s="28">
        <f t="shared" si="653"/>
        <v>21.607409819899235</v>
      </c>
      <c r="GW290" s="28">
        <f t="shared" si="654"/>
        <v>152874.61441597153</v>
      </c>
      <c r="GX290" s="28">
        <f t="shared" si="655"/>
        <v>0.54383514580489623</v>
      </c>
      <c r="GY290" s="28">
        <f t="shared" si="656"/>
        <v>60.88033712768906</v>
      </c>
      <c r="GZ290" s="28">
        <f t="shared" si="657"/>
        <v>3275.4205358745903</v>
      </c>
      <c r="HA290" s="28">
        <f t="shared" si="658"/>
        <v>1267.975366796114</v>
      </c>
      <c r="HB290" s="28">
        <f t="shared" si="659"/>
        <v>118.98675002174241</v>
      </c>
      <c r="HC290" s="28">
        <f t="shared" si="660"/>
        <v>3649.9003074154111</v>
      </c>
      <c r="HD290" s="28">
        <f t="shared" si="661"/>
        <v>214.61413807602617</v>
      </c>
      <c r="HE290" s="28">
        <f t="shared" si="662"/>
        <v>28.031234360950357</v>
      </c>
      <c r="HF290" s="28">
        <f t="shared" si="663"/>
        <v>19.782459666191532</v>
      </c>
      <c r="HG290" s="28">
        <f t="shared" si="664"/>
        <v>415.35865498387381</v>
      </c>
      <c r="HH290" s="28">
        <f t="shared" si="665"/>
        <v>12.409661045212399</v>
      </c>
      <c r="HI290" s="28">
        <f t="shared" si="666"/>
        <v>24500.320803556689</v>
      </c>
      <c r="HJ290" s="28">
        <f t="shared" si="667"/>
        <v>14.088615186623487</v>
      </c>
      <c r="HK290" s="28">
        <f t="shared" si="668"/>
        <v>1.6205557364924428</v>
      </c>
      <c r="HL290" s="28">
        <f t="shared" si="669"/>
        <v>9.3437447869834536</v>
      </c>
      <c r="HM290" s="28">
        <f t="shared" si="670"/>
        <v>26.863266262577422</v>
      </c>
      <c r="HN290" s="28">
        <f t="shared" si="671"/>
        <v>1.1095696934542849</v>
      </c>
      <c r="HO290" s="28">
        <f t="shared" si="672"/>
        <v>11.533684971432701</v>
      </c>
      <c r="HP290" s="28">
        <f t="shared" si="673"/>
        <v>0</v>
      </c>
      <c r="HQ290" s="28" t="str">
        <f t="shared" si="674"/>
        <v/>
      </c>
      <c r="HR290" s="28">
        <f t="shared" si="675"/>
        <v>0.30586164576141145</v>
      </c>
      <c r="HT290" s="4">
        <f>IFERROR(GR290/'McDonough &amp; Sun 1995 values'!C$2,)</f>
        <v>0</v>
      </c>
      <c r="HU290" s="4">
        <f>IFERROR(GS290/'McDonough &amp; Sun 1995 values'!D$2,)</f>
        <v>0</v>
      </c>
      <c r="HV290" s="4">
        <f>IFERROR(GT290/'McDonough &amp; Sun 1995 values'!E$2,)</f>
        <v>2280.9664860553949</v>
      </c>
      <c r="HW290" s="4">
        <f>IFERROR(GU290/'McDonough &amp; Sun 1995 values'!F$2,)</f>
        <v>1055.9460008874773</v>
      </c>
      <c r="HX290" s="4">
        <f>IFERROR(GV290/'McDonough &amp; Sun 1995 values'!G$2,)</f>
        <v>1064.4044246255783</v>
      </c>
      <c r="HY290" s="4">
        <f>IFERROR(GW290/'McDonough &amp; Sun 1995 values'!H$2,)</f>
        <v>636.97756006654811</v>
      </c>
      <c r="HZ290" s="4">
        <f>IFERROR(GX290/'McDonough &amp; Sun 1995 values'!I$2,)</f>
        <v>14.698247183916115</v>
      </c>
      <c r="IA290" s="4">
        <f>IFERROR(GY290/'McDonough &amp; Sun 1995 values'!J$2,)</f>
        <v>92.523308704694614</v>
      </c>
      <c r="IB290" s="4">
        <f>IFERROR(GZ290/'McDonough &amp; Sun 1995 values'!K$2,)</f>
        <v>5054.6613207941209</v>
      </c>
      <c r="IC290" s="4">
        <f>IFERROR(HA290/'McDonough &amp; Sun 1995 values'!L$2,)</f>
        <v>757.00021898275463</v>
      </c>
      <c r="ID290" s="4">
        <f>IFERROR(HB290/'McDonough &amp; Sun 1995 values'!M$2,)</f>
        <v>468.45177173914334</v>
      </c>
      <c r="IE290" s="4">
        <f>IFERROR(HC290/'McDonough &amp; Sun 1995 values'!N$2,)</f>
        <v>183.41207574951815</v>
      </c>
      <c r="IF290" s="4">
        <f>IFERROR(HD290/'McDonough &amp; Sun 1995 values'!O$2,)</f>
        <v>171.69131046082094</v>
      </c>
      <c r="IG290" s="4">
        <f>IFERROR(HE290/'McDonough &amp; Sun 1995 values'!P$2,)</f>
        <v>69.042449164902351</v>
      </c>
      <c r="IH290" s="4">
        <f>IFERROR(HF290/'McDonough &amp; Sun 1995 values'!Q$2,)</f>
        <v>69.90268433283228</v>
      </c>
      <c r="II290" s="4">
        <f>IFERROR(HG290/'McDonough &amp; Sun 1995 values'!R$2,)</f>
        <v>39.557967141321313</v>
      </c>
      <c r="IJ290" s="4">
        <f>IFERROR(HH290/'McDonough &amp; Sun 1995 values'!S$2,)</f>
        <v>80.582214579301294</v>
      </c>
      <c r="IK290" s="4">
        <f>IFERROR(HI290/'McDonough &amp; Sun 1995 values'!T$2,)</f>
        <v>20.332216434486881</v>
      </c>
      <c r="IL290" s="4">
        <f>IFERROR(HJ290/'McDonough &amp; Sun 1995 values'!U$2,)</f>
        <v>25.898189681293172</v>
      </c>
      <c r="IM290" s="4">
        <f>IFERROR(HK290/'McDonough &amp; Sun 1995 values'!V$2,)</f>
        <v>16.369249863560029</v>
      </c>
      <c r="IN290" s="4">
        <f>IFERROR(HL290/'McDonough &amp; Sun 1995 values'!W$2,)</f>
        <v>13.863122829352305</v>
      </c>
      <c r="IO290" s="4">
        <f>IFERROR(HM290/'McDonough &amp; Sun 1995 values'!X$2,)</f>
        <v>6.2472712238552148</v>
      </c>
      <c r="IP290" s="4">
        <f>IFERROR(HN290/'McDonough &amp; Sun 1995 values'!Y$2,)</f>
        <v>7.4467764661361411</v>
      </c>
      <c r="IQ290" s="4">
        <f>IFERROR(HO290/'McDonough &amp; Sun 1995 values'!Z$2,)</f>
        <v>26.332614090028997</v>
      </c>
      <c r="IR290" s="4">
        <f>IFERROR(HP290/'McDonough &amp; Sun 1995 values'!AA$2,)</f>
        <v>0</v>
      </c>
      <c r="IS290" s="4">
        <f>IFERROR(HQ290/'McDonough &amp; Sun 1995 values'!AB$2,)</f>
        <v>0</v>
      </c>
      <c r="IT290" s="4">
        <f>IFERROR(HR290/'McDonough &amp; Sun 1995 values'!AC$2,)</f>
        <v>4.5312836409097992</v>
      </c>
    </row>
    <row r="291" spans="1:254">
      <c r="A291" s="16" t="s">
        <v>1176</v>
      </c>
      <c r="B291" s="16" t="s">
        <v>24</v>
      </c>
      <c r="C291" s="16" t="str">
        <f t="shared" si="617"/>
        <v>silicic - low-Mg carbonatitic</v>
      </c>
      <c r="D291" s="16" t="s">
        <v>1707</v>
      </c>
      <c r="E291" s="16" t="s">
        <v>171</v>
      </c>
      <c r="F291" s="16" t="s">
        <v>45</v>
      </c>
      <c r="G291" s="16" t="s">
        <v>595</v>
      </c>
      <c r="H291" s="27">
        <v>55</v>
      </c>
      <c r="I291" s="16" t="s">
        <v>712</v>
      </c>
      <c r="J291" s="16" t="s">
        <v>635</v>
      </c>
      <c r="K291" s="16" t="s">
        <v>115</v>
      </c>
      <c r="L291" s="16" t="s">
        <v>1725</v>
      </c>
      <c r="M291" s="16" t="s">
        <v>109</v>
      </c>
      <c r="N291" s="16">
        <v>48</v>
      </c>
      <c r="O291" s="26">
        <v>27.5</v>
      </c>
      <c r="P291" s="26">
        <v>2.2999999999999998</v>
      </c>
      <c r="Q291" s="26"/>
      <c r="R291" s="26">
        <v>3.6</v>
      </c>
      <c r="S291" s="26">
        <v>12.6</v>
      </c>
      <c r="T291" s="26">
        <v>6.2</v>
      </c>
      <c r="U291" s="26"/>
      <c r="V291" s="26">
        <v>14.3</v>
      </c>
      <c r="W291" s="26">
        <v>3.2</v>
      </c>
      <c r="X291" s="26">
        <v>22.5</v>
      </c>
      <c r="Y291" s="26"/>
      <c r="Z291" s="26">
        <v>3.2</v>
      </c>
      <c r="AA291" s="26">
        <v>0.3</v>
      </c>
      <c r="AB291" s="26">
        <v>2.5</v>
      </c>
      <c r="AC291" s="26"/>
      <c r="AD291" s="26">
        <v>1.6</v>
      </c>
      <c r="AE291" s="26"/>
      <c r="AF291" s="26"/>
      <c r="AG291" s="26"/>
      <c r="AH291" s="26"/>
      <c r="AI291" s="26"/>
      <c r="AJ291" s="26">
        <f t="shared" si="618"/>
        <v>99.5</v>
      </c>
      <c r="AK291" s="26">
        <f t="shared" si="678"/>
        <v>27.738851464301213</v>
      </c>
      <c r="AL291" s="26">
        <f t="shared" si="679"/>
        <v>2.319976667923374</v>
      </c>
      <c r="AM291" s="26">
        <f t="shared" si="680"/>
        <v>3.6312678280539767</v>
      </c>
      <c r="AN291" s="26">
        <f t="shared" si="681"/>
        <v>12.709437398188919</v>
      </c>
      <c r="AO291" s="26">
        <f t="shared" si="682"/>
        <v>6.2538501483151823</v>
      </c>
      <c r="AP291" s="26">
        <f t="shared" si="683"/>
        <v>14.42420276143663</v>
      </c>
      <c r="AQ291" s="26">
        <f t="shared" si="684"/>
        <v>2.521713769481928</v>
      </c>
      <c r="AR291" s="26">
        <f t="shared" si="685"/>
        <v>3.2277936249368686</v>
      </c>
      <c r="AS291" s="26">
        <f t="shared" si="686"/>
        <v>22.695423925337355</v>
      </c>
      <c r="AT291" s="26">
        <f t="shared" si="687"/>
        <v>3.2277936249368686</v>
      </c>
      <c r="AU291" s="26">
        <f t="shared" si="688"/>
        <v>1.6138968124684343</v>
      </c>
      <c r="AV291" s="26">
        <f t="shared" si="619"/>
        <v>100.36420802538075</v>
      </c>
      <c r="AW291" s="26">
        <v>29.2</v>
      </c>
      <c r="AX291" s="26">
        <v>78.900000000000006</v>
      </c>
      <c r="AY291" s="98"/>
      <c r="AZ291" s="98"/>
      <c r="BA291" s="26">
        <v>0.73</v>
      </c>
      <c r="BB291" s="26">
        <v>0.27</v>
      </c>
      <c r="BC291" s="26">
        <f>1-BA291</f>
        <v>0.27</v>
      </c>
      <c r="BD291" s="26">
        <f>1-BB291</f>
        <v>0.73</v>
      </c>
      <c r="BE291" s="25">
        <v>-9.5166666666666675</v>
      </c>
      <c r="BF291" s="25">
        <v>-14.33</v>
      </c>
      <c r="BG291" s="16">
        <v>948.44444444444446</v>
      </c>
      <c r="BH291" s="16"/>
      <c r="BI291" s="16">
        <v>0</v>
      </c>
      <c r="BJ291" s="16"/>
      <c r="BK291" s="18"/>
      <c r="BL291" s="18"/>
      <c r="BM291" s="18"/>
      <c r="BN291" s="18">
        <v>0</v>
      </c>
      <c r="BO291" s="18">
        <v>0</v>
      </c>
      <c r="BP291" s="18">
        <v>0</v>
      </c>
      <c r="BQ291" s="18">
        <v>0</v>
      </c>
      <c r="BR291" s="18">
        <v>289</v>
      </c>
      <c r="BS291" s="18"/>
      <c r="BT291" s="18">
        <v>29</v>
      </c>
      <c r="BU291" s="18"/>
      <c r="BV291" s="18"/>
      <c r="BW291" s="18"/>
      <c r="BX291" s="18"/>
      <c r="BY291" s="18"/>
      <c r="BZ291" s="18"/>
      <c r="CA291" s="18"/>
      <c r="CB291" s="18"/>
      <c r="CC291" s="18"/>
      <c r="CD291" s="18"/>
      <c r="CE291" s="18"/>
      <c r="CF291" s="18"/>
      <c r="CG291" s="18"/>
      <c r="CH291" s="18">
        <v>1.6</v>
      </c>
      <c r="CI291" s="18">
        <v>6.8</v>
      </c>
      <c r="CJ291" s="18">
        <v>0.18</v>
      </c>
      <c r="CK291" s="18">
        <v>1.2</v>
      </c>
      <c r="CL291" s="18"/>
      <c r="CM291" s="18">
        <v>0.95</v>
      </c>
      <c r="CN291" s="18"/>
      <c r="CO291" s="18"/>
      <c r="CP291" s="18"/>
      <c r="CQ291" s="18"/>
      <c r="CR291" s="18">
        <v>1.4E-2</v>
      </c>
      <c r="CS291" s="18">
        <v>35</v>
      </c>
      <c r="CT291" s="18"/>
      <c r="CU291" s="18">
        <v>2</v>
      </c>
      <c r="CV291" s="18">
        <v>2.7</v>
      </c>
      <c r="CW291" s="18">
        <v>0.28000000000000003</v>
      </c>
      <c r="CX291" s="18">
        <v>0.95</v>
      </c>
      <c r="CY291" s="18">
        <v>0.09</v>
      </c>
      <c r="CZ291" s="18">
        <v>2.5999999999999999E-2</v>
      </c>
      <c r="DA291" s="18">
        <v>0.08</v>
      </c>
      <c r="DB291" s="18">
        <v>5.0999999999999997E-2</v>
      </c>
      <c r="DC291" s="18">
        <v>8.0000000000000002E-3</v>
      </c>
      <c r="DD291" s="18">
        <v>0.02</v>
      </c>
      <c r="DE291" s="18"/>
      <c r="DF291" s="18">
        <v>2.5000000000000001E-2</v>
      </c>
      <c r="DG291" s="18">
        <v>0</v>
      </c>
      <c r="DH291" s="18">
        <v>3.2000000000000001E-2</v>
      </c>
      <c r="DI291" s="18">
        <v>0.02</v>
      </c>
      <c r="DJ291" s="18"/>
      <c r="DK291" s="18">
        <v>0</v>
      </c>
      <c r="DL291" s="18">
        <v>0.22</v>
      </c>
      <c r="DM291" s="18">
        <v>4.1000000000000002E-2</v>
      </c>
      <c r="DN291" s="18"/>
      <c r="DO291" s="18"/>
      <c r="DP291" s="18"/>
      <c r="DQ291" s="18"/>
      <c r="DR291" s="18"/>
      <c r="DS291" s="18"/>
      <c r="DT291" s="18"/>
      <c r="DU291" s="18"/>
      <c r="DV291" s="28"/>
      <c r="DW291" s="28"/>
      <c r="DX291" s="28"/>
      <c r="DY291" s="28"/>
      <c r="DZ291" s="28"/>
      <c r="EA291" s="28"/>
      <c r="EB291" s="28"/>
      <c r="EC291" s="28"/>
      <c r="ED291" s="28"/>
      <c r="EE291" s="28"/>
      <c r="EF291" s="28"/>
      <c r="EG291" s="28"/>
      <c r="EH291" s="28"/>
      <c r="EI291" s="28"/>
      <c r="EJ291" s="18"/>
      <c r="EK291" s="18"/>
      <c r="EL291" s="18">
        <f>IFERROR(CR291/'McDonough &amp; Sun 1995 values'!C$2,)</f>
        <v>0.66666666666666663</v>
      </c>
      <c r="EM291" s="18">
        <f>IFERROR(CH291/'McDonough &amp; Sun 1995 values'!D$2,)</f>
        <v>2.666666666666667</v>
      </c>
      <c r="EN291" s="18">
        <f>IFERROR(CS291/'McDonough &amp; Sun 1995 values'!E$2,)</f>
        <v>5.3030303030303036</v>
      </c>
      <c r="EO291" s="18">
        <f>IFERROR(DL291/'McDonough &amp; Sun 1995 values'!F$2,)</f>
        <v>2.7672955974842766</v>
      </c>
      <c r="EP291" s="18">
        <f>IFERROR(DM291/'McDonough &amp; Sun 1995 values'!G$2,)</f>
        <v>2.0197044334975374</v>
      </c>
      <c r="EQ291" s="18">
        <f>IFERROR(BR291/'McDonough &amp; Sun 1995 values'!H$2,)</f>
        <v>1.2041666666666666</v>
      </c>
      <c r="ER291" s="18">
        <f>IFERROR(DI291/'McDonough &amp; Sun 1995 values'!I$2,)</f>
        <v>0.54054054054054057</v>
      </c>
      <c r="ES291" s="18">
        <f>IFERROR(CM291/'McDonough &amp; Sun 1995 values'!J$2,)</f>
        <v>1.4437689969604861</v>
      </c>
      <c r="ET291" s="18">
        <f>IFERROR(CU291/'McDonough &amp; Sun 1995 values'!K$2,)</f>
        <v>3.0864197530864197</v>
      </c>
      <c r="EU291" s="18">
        <f>IFERROR(CV291/'McDonough &amp; Sun 1995 values'!L$2,)</f>
        <v>1.6119402985074627</v>
      </c>
      <c r="EV291" s="18">
        <f>IFERROR(CW291/'McDonough &amp; Sun 1995 values'!M$2,)</f>
        <v>1.1023622047244095</v>
      </c>
      <c r="EW291" s="18">
        <f>IFERROR(CI291/'McDonough &amp; Sun 1995 values'!N$2,)</f>
        <v>0.34170854271356788</v>
      </c>
      <c r="EX291" s="18">
        <f>IFERROR(CX291/'McDonough &amp; Sun 1995 values'!O$2,)</f>
        <v>0.76</v>
      </c>
      <c r="EY291" s="18">
        <f>IFERROR(CY291/'McDonough &amp; Sun 1995 values'!P$2,)</f>
        <v>0.22167487684729062</v>
      </c>
      <c r="EZ291" s="18">
        <f>IFERROR(DH291/'McDonough &amp; Sun 1995 values'!Q$2,)</f>
        <v>0.11307420494699648</v>
      </c>
      <c r="FA291" s="18">
        <f>IFERROR(CK291/'McDonough &amp; Sun 1995 values'!R$2,)</f>
        <v>0.11428571428571428</v>
      </c>
      <c r="FB291" s="18">
        <f>IFERROR(CZ291/'McDonough &amp; Sun 1995 values'!S$2,)</f>
        <v>0.16883116883116883</v>
      </c>
      <c r="FC291" s="18">
        <f>IFERROR(BT291/'McDonough &amp; Sun 1995 values'!T$2,)</f>
        <v>2.4066390041493777E-2</v>
      </c>
      <c r="FD291" s="18">
        <f>IFERROR(DA291/'McDonough &amp; Sun 1995 values'!U$2,)</f>
        <v>0.14705882352941177</v>
      </c>
      <c r="FE291" s="18">
        <f>IFERROR(DN291/'McDonough &amp; Sun 1995 values'!V$2,)</f>
        <v>0</v>
      </c>
      <c r="FF291" s="18">
        <f>IFERROR(DB291/'McDonough &amp; Sun 1995 values'!W$2,)</f>
        <v>7.5667655786350138E-2</v>
      </c>
      <c r="FG291" s="18">
        <f>IFERROR(CJ291/'McDonough &amp; Sun 1995 values'!X$2,)</f>
        <v>4.1860465116279069E-2</v>
      </c>
      <c r="FH291" s="18">
        <f>IFERROR(DC291/'McDonough &amp; Sun 1995 values'!Y$2,)</f>
        <v>5.3691275167785241E-2</v>
      </c>
      <c r="FI291" s="18">
        <f>IFERROR(DD291/'McDonough &amp; Sun 1995 values'!Z$2,)</f>
        <v>4.5662100456621002E-2</v>
      </c>
      <c r="FJ291" s="18">
        <f>IFERROR(DE291/'McDonough &amp; Sun 1995 values'!AA$2,)</f>
        <v>0</v>
      </c>
      <c r="FK291" s="18">
        <f>IFERROR(DF291/'McDonough &amp; Sun 1995 values'!AB$2,)</f>
        <v>5.6689342403628121E-2</v>
      </c>
      <c r="FL291" s="18">
        <f>IFERROR(DG291/'McDonough &amp; Sun 1995 values'!AC$2,)</f>
        <v>0</v>
      </c>
      <c r="FN291" s="28">
        <f t="shared" si="614"/>
        <v>1.6772631973681973</v>
      </c>
      <c r="FO291" s="4">
        <f t="shared" si="620"/>
        <v>2.6256467110125645</v>
      </c>
      <c r="FP291" s="4">
        <f t="shared" si="621"/>
        <v>1.9167163190996361</v>
      </c>
      <c r="FQ291" s="4">
        <f t="shared" si="622"/>
        <v>1.3701487958275806</v>
      </c>
      <c r="FR291" s="4">
        <f t="shared" si="623"/>
        <v>2.1377517868745941</v>
      </c>
      <c r="FS291" s="4">
        <f t="shared" si="624"/>
        <v>5.7098765432098757</v>
      </c>
      <c r="FT291" s="4">
        <f t="shared" si="625"/>
        <v>4.0000000000000009</v>
      </c>
      <c r="FU291" s="4">
        <f t="shared" si="626"/>
        <v>0.37439544807965869</v>
      </c>
      <c r="FV291" s="4">
        <f t="shared" si="627"/>
        <v>0.51555555555555554</v>
      </c>
      <c r="FW291" s="4">
        <f t="shared" si="628"/>
        <v>1.0107142857142857</v>
      </c>
      <c r="FX291" s="4">
        <f t="shared" si="629"/>
        <v>0.91573495267011973</v>
      </c>
      <c r="FY291" s="4">
        <f t="shared" si="630"/>
        <v>0.37332483583631915</v>
      </c>
      <c r="FZ291" s="4">
        <f t="shared" si="631"/>
        <v>0.93508016662277771</v>
      </c>
      <c r="GA291" s="4">
        <f t="shared" si="632"/>
        <v>0.30997846374730798</v>
      </c>
      <c r="GB291" s="4">
        <f t="shared" si="633"/>
        <v>0.76161616161616175</v>
      </c>
      <c r="GC291" s="4">
        <f t="shared" si="634"/>
        <v>0.24999999999999994</v>
      </c>
      <c r="GD291" s="4">
        <f t="shared" si="635"/>
        <v>1.9163223140495871</v>
      </c>
      <c r="GE291" s="4">
        <f t="shared" si="636"/>
        <v>1.9886363636363638</v>
      </c>
      <c r="GF291" s="4">
        <f t="shared" si="637"/>
        <v>4.4039005976722247</v>
      </c>
      <c r="GG291" s="4">
        <f t="shared" si="638"/>
        <v>3.6730462519936213</v>
      </c>
      <c r="GH291" s="4">
        <f t="shared" si="639"/>
        <v>2.7998236331569664</v>
      </c>
      <c r="GI291" s="4">
        <f t="shared" si="640"/>
        <v>13.923182441700961</v>
      </c>
      <c r="GJ291" s="4">
        <f t="shared" si="641"/>
        <v>40.789155168240143</v>
      </c>
      <c r="GK291" s="4">
        <f t="shared" si="642"/>
        <v>54.444444444444443</v>
      </c>
      <c r="GL291" s="4">
        <f t="shared" si="643"/>
        <v>4.7487684729064039</v>
      </c>
      <c r="GM291" s="4">
        <f t="shared" si="644"/>
        <v>1.0377358490566035</v>
      </c>
      <c r="GN291" s="4">
        <f t="shared" si="645"/>
        <v>0.46778115501519751</v>
      </c>
      <c r="GO291" s="4">
        <f t="shared" si="646"/>
        <v>0.71484172288531367</v>
      </c>
      <c r="GP291" s="4">
        <f t="shared" si="647"/>
        <v>0.59620934959349581</v>
      </c>
      <c r="GQ291" s="27">
        <f t="shared" si="648"/>
        <v>188403.18046634918</v>
      </c>
      <c r="GR291" s="28">
        <f t="shared" si="649"/>
        <v>9.1267976696501343</v>
      </c>
      <c r="GS291" s="28">
        <f t="shared" si="650"/>
        <v>1043.0625908171583</v>
      </c>
      <c r="GT291" s="28">
        <f t="shared" si="651"/>
        <v>22816.994174125331</v>
      </c>
      <c r="GU291" s="28">
        <f t="shared" si="652"/>
        <v>143.42110623735923</v>
      </c>
      <c r="GV291" s="28">
        <f t="shared" si="653"/>
        <v>26.728478889689676</v>
      </c>
      <c r="GW291" s="28">
        <f t="shared" si="654"/>
        <v>188403.18046634918</v>
      </c>
      <c r="GX291" s="28">
        <f t="shared" si="655"/>
        <v>13.038282385214478</v>
      </c>
      <c r="GY291" s="28">
        <f t="shared" si="656"/>
        <v>619.31841329768758</v>
      </c>
      <c r="GZ291" s="28">
        <f t="shared" si="657"/>
        <v>1303.8282385214477</v>
      </c>
      <c r="HA291" s="28">
        <f t="shared" si="658"/>
        <v>1760.1681220039545</v>
      </c>
      <c r="HB291" s="28">
        <f t="shared" si="659"/>
        <v>182.53595339300267</v>
      </c>
      <c r="HC291" s="28">
        <f t="shared" si="660"/>
        <v>4433.0160109729222</v>
      </c>
      <c r="HD291" s="28">
        <f t="shared" si="661"/>
        <v>619.31841329768758</v>
      </c>
      <c r="HE291" s="28">
        <f t="shared" si="662"/>
        <v>58.67227073346514</v>
      </c>
      <c r="HF291" s="28">
        <f t="shared" si="663"/>
        <v>20.86125181634316</v>
      </c>
      <c r="HG291" s="28">
        <f t="shared" si="664"/>
        <v>782.29694311286846</v>
      </c>
      <c r="HH291" s="28">
        <f t="shared" si="665"/>
        <v>16.949767100778818</v>
      </c>
      <c r="HI291" s="28">
        <f t="shared" si="666"/>
        <v>18905.509458560991</v>
      </c>
      <c r="HJ291" s="28">
        <f t="shared" si="667"/>
        <v>52.153129540857911</v>
      </c>
      <c r="HK291" s="28">
        <f t="shared" si="668"/>
        <v>0</v>
      </c>
      <c r="HL291" s="28">
        <f t="shared" si="669"/>
        <v>33.247620082296912</v>
      </c>
      <c r="HM291" s="28">
        <f t="shared" si="670"/>
        <v>117.34454146693028</v>
      </c>
      <c r="HN291" s="28">
        <f t="shared" si="671"/>
        <v>5.2153129540857899</v>
      </c>
      <c r="HO291" s="28">
        <f t="shared" si="672"/>
        <v>13.038282385214478</v>
      </c>
      <c r="HP291" s="28">
        <f t="shared" si="673"/>
        <v>0</v>
      </c>
      <c r="HQ291" s="28">
        <f t="shared" si="674"/>
        <v>16.297852981518098</v>
      </c>
      <c r="HR291" s="28">
        <f t="shared" si="675"/>
        <v>0</v>
      </c>
      <c r="HT291" s="4">
        <f>IFERROR(GR291/'McDonough &amp; Sun 1995 values'!C$2,)</f>
        <v>434.60941284048255</v>
      </c>
      <c r="HU291" s="4">
        <f>IFERROR(GS291/'McDonough &amp; Sun 1995 values'!D$2,)</f>
        <v>1738.4376513619304</v>
      </c>
      <c r="HV291" s="4">
        <f>IFERROR(GT291/'McDonough &amp; Sun 1995 values'!E$2,)</f>
        <v>3457.1203294129291</v>
      </c>
      <c r="HW291" s="4">
        <f>IFERROR(GU291/'McDonough &amp; Sun 1995 values'!F$2,)</f>
        <v>1804.0390721680405</v>
      </c>
      <c r="HX291" s="4">
        <f>IFERROR(GV291/'McDonough &amp; Sun 1995 values'!G$2,)</f>
        <v>1316.673836930526</v>
      </c>
      <c r="HY291" s="4">
        <f>IFERROR(GW291/'McDonough &amp; Sun 1995 values'!H$2,)</f>
        <v>785.01325194312153</v>
      </c>
      <c r="HZ291" s="4">
        <f>IFERROR(GX291/'McDonough &amp; Sun 1995 values'!I$2,)</f>
        <v>352.38601041120211</v>
      </c>
      <c r="IA291" s="4">
        <f>IFERROR(GY291/'McDonough &amp; Sun 1995 values'!J$2,)</f>
        <v>941.213394069434</v>
      </c>
      <c r="IB291" s="4">
        <f>IFERROR(GZ291/'McDonough &amp; Sun 1995 values'!K$2,)</f>
        <v>2012.080615002234</v>
      </c>
      <c r="IC291" s="4">
        <f>IFERROR(HA291/'McDonough &amp; Sun 1995 values'!L$2,)</f>
        <v>1050.8466400023608</v>
      </c>
      <c r="ID291" s="4">
        <f>IFERROR(HB291/'McDonough &amp; Sun 1995 values'!M$2,)</f>
        <v>718.64548579922314</v>
      </c>
      <c r="IE291" s="4">
        <f>IFERROR(HC291/'McDonough &amp; Sun 1995 values'!N$2,)</f>
        <v>222.76462366698104</v>
      </c>
      <c r="IF291" s="4">
        <f>IFERROR(HD291/'McDonough &amp; Sun 1995 values'!O$2,)</f>
        <v>495.45473063815007</v>
      </c>
      <c r="IG291" s="4">
        <f>IFERROR(HE291/'McDonough &amp; Sun 1995 values'!P$2,)</f>
        <v>144.51298210213088</v>
      </c>
      <c r="IH291" s="4">
        <f>IFERROR(HF291/'McDonough &amp; Sun 1995 values'!Q$2,)</f>
        <v>73.714670729127775</v>
      </c>
      <c r="II291" s="4">
        <f>IFERROR(HG291/'McDonough &amp; Sun 1995 values'!R$2,)</f>
        <v>74.504470772654145</v>
      </c>
      <c r="IJ291" s="4">
        <f>IFERROR(HH291/'McDonough &amp; Sun 1995 values'!S$2,)</f>
        <v>110.06342273232998</v>
      </c>
      <c r="IK291" s="4">
        <f>IFERROR(HI291/'McDonough &amp; Sun 1995 values'!T$2,)</f>
        <v>15.68921946768547</v>
      </c>
      <c r="IL291" s="4">
        <f>IFERROR(HJ291/'McDonough &amp; Sun 1995 values'!U$2,)</f>
        <v>95.869723420694683</v>
      </c>
      <c r="IM291" s="4">
        <f>IFERROR(HK291/'McDonough &amp; Sun 1995 values'!V$2,)</f>
        <v>0</v>
      </c>
      <c r="IN291" s="4">
        <f>IFERROR(HL291/'McDonough &amp; Sun 1995 values'!W$2,)</f>
        <v>49.328813178482065</v>
      </c>
      <c r="IO291" s="4">
        <f>IFERROR(HM291/'McDonough &amp; Sun 1995 values'!X$2,)</f>
        <v>27.289428248123322</v>
      </c>
      <c r="IP291" s="4">
        <f>IFERROR(HN291/'McDonough &amp; Sun 1995 values'!Y$2,)</f>
        <v>35.002100362991882</v>
      </c>
      <c r="IQ291" s="4">
        <f>IFERROR(HO291/'McDonough &amp; Sun 1995 values'!Z$2,)</f>
        <v>29.76776800277278</v>
      </c>
      <c r="IR291" s="4">
        <f>IFERROR(HP291/'McDonough &amp; Sun 1995 values'!AA$2,)</f>
        <v>0</v>
      </c>
      <c r="IS291" s="4">
        <f>IFERROR(HQ291/'McDonough &amp; Sun 1995 values'!AB$2,)</f>
        <v>36.956582724530833</v>
      </c>
      <c r="IT291" s="4">
        <f>IFERROR(HR291/'McDonough &amp; Sun 1995 values'!AC$2,)</f>
        <v>0</v>
      </c>
    </row>
    <row r="292" spans="1:254">
      <c r="A292" s="16" t="s">
        <v>1362</v>
      </c>
      <c r="B292" s="16" t="s">
        <v>24</v>
      </c>
      <c r="C292" s="16" t="str">
        <f t="shared" si="617"/>
        <v>silicic - low-Mg carbonatitic</v>
      </c>
      <c r="D292" s="16" t="s">
        <v>1265</v>
      </c>
      <c r="E292" s="16" t="s">
        <v>171</v>
      </c>
      <c r="F292" s="16" t="s">
        <v>1266</v>
      </c>
      <c r="G292" s="16" t="s">
        <v>595</v>
      </c>
      <c r="H292" s="27">
        <v>540</v>
      </c>
      <c r="I292" s="16" t="s">
        <v>735</v>
      </c>
      <c r="J292" s="16" t="s">
        <v>1311</v>
      </c>
      <c r="K292" s="16" t="s">
        <v>115</v>
      </c>
      <c r="L292" s="16">
        <v>0</v>
      </c>
      <c r="M292" s="16" t="s">
        <v>1263</v>
      </c>
      <c r="N292" s="16">
        <v>15</v>
      </c>
      <c r="O292" s="26">
        <v>30.512095606691698</v>
      </c>
      <c r="P292" s="26">
        <v>3.7367639949597455</v>
      </c>
      <c r="Q292" s="26"/>
      <c r="R292" s="26">
        <v>1.8982624410741733</v>
      </c>
      <c r="S292" s="26">
        <v>10.563088017119297</v>
      </c>
      <c r="T292" s="26">
        <v>8.8525869781476061</v>
      </c>
      <c r="U292" s="26"/>
      <c r="V292" s="26">
        <v>6.5163589130836561</v>
      </c>
      <c r="W292" s="26">
        <v>4.0996828775399221</v>
      </c>
      <c r="X292" s="26">
        <v>25.740725216945258</v>
      </c>
      <c r="Y292" s="26"/>
      <c r="Z292" s="26">
        <v>4.2955917907608585</v>
      </c>
      <c r="AA292" s="26"/>
      <c r="AB292" s="26">
        <v>0</v>
      </c>
      <c r="AC292" s="26"/>
      <c r="AD292" s="26">
        <v>4.7476712052360996</v>
      </c>
      <c r="AE292" s="26"/>
      <c r="AF292" s="26"/>
      <c r="AG292" s="26"/>
      <c r="AH292" s="26"/>
      <c r="AI292" s="26"/>
      <c r="AJ292" s="26">
        <f t="shared" si="618"/>
        <v>100.96282704155833</v>
      </c>
      <c r="AK292" s="26">
        <f t="shared" si="678"/>
        <v>30.545261565696048</v>
      </c>
      <c r="AL292" s="26">
        <f t="shared" si="679"/>
        <v>3.7408257730514012</v>
      </c>
      <c r="AM292" s="26">
        <f t="shared" si="680"/>
        <v>1.9003258094875297</v>
      </c>
      <c r="AN292" s="26">
        <f t="shared" si="681"/>
        <v>10.574569855294261</v>
      </c>
      <c r="AO292" s="26">
        <f t="shared" si="682"/>
        <v>8.8622095403139109</v>
      </c>
      <c r="AP292" s="26">
        <f t="shared" si="683"/>
        <v>6.523442048091975</v>
      </c>
      <c r="AQ292" s="26">
        <f t="shared" si="684"/>
        <v>0</v>
      </c>
      <c r="AR292" s="26">
        <f t="shared" si="685"/>
        <v>4.1041391402627445</v>
      </c>
      <c r="AS292" s="26">
        <f t="shared" si="686"/>
        <v>25.768704804066772</v>
      </c>
      <c r="AT292" s="26">
        <f t="shared" si="687"/>
        <v>4.3002610020490053</v>
      </c>
      <c r="AU292" s="26">
        <f t="shared" si="688"/>
        <v>4.7528318166404651</v>
      </c>
      <c r="AV292" s="26">
        <f t="shared" si="619"/>
        <v>101.07257135495409</v>
      </c>
      <c r="AW292" s="16"/>
      <c r="AX292" s="16"/>
      <c r="AY292" s="16"/>
      <c r="AZ292" s="16"/>
      <c r="BA292" s="26"/>
      <c r="BB292" s="26"/>
      <c r="BC292" s="26"/>
      <c r="BD292" s="26"/>
      <c r="BE292" s="16"/>
      <c r="BF292" s="16"/>
      <c r="BG292" s="16"/>
      <c r="BH292" s="16"/>
      <c r="BI292" s="16"/>
      <c r="BJ292" s="16"/>
      <c r="BK292" s="18"/>
      <c r="BL292" s="18"/>
      <c r="BM292" s="18"/>
      <c r="BN292" s="18"/>
      <c r="BO292" s="18"/>
      <c r="BP292" s="18"/>
      <c r="BQ292" s="18"/>
      <c r="BR292" s="18"/>
      <c r="BS292" s="18"/>
      <c r="BT292" s="18">
        <v>18.04</v>
      </c>
      <c r="BU292" s="18"/>
      <c r="BV292" s="18"/>
      <c r="BW292" s="18"/>
      <c r="BX292" s="18"/>
      <c r="BY292" s="18"/>
      <c r="BZ292" s="18"/>
      <c r="CA292" s="18"/>
      <c r="CB292" s="18"/>
      <c r="CC292" s="18"/>
      <c r="CD292" s="18"/>
      <c r="CE292" s="18"/>
      <c r="CF292" s="18"/>
      <c r="CG292" s="18"/>
      <c r="CH292" s="18">
        <v>5.8730000000000002</v>
      </c>
      <c r="CI292" s="18">
        <v>395.2</v>
      </c>
      <c r="CJ292" s="18">
        <v>5.7320000000000002</v>
      </c>
      <c r="CK292" s="18">
        <v>5.8390000000000004</v>
      </c>
      <c r="CL292" s="18"/>
      <c r="CM292" s="18">
        <v>1.633</v>
      </c>
      <c r="CN292" s="18"/>
      <c r="CO292" s="18"/>
      <c r="CP292" s="18"/>
      <c r="CQ292" s="18"/>
      <c r="CR292" s="18">
        <v>0</v>
      </c>
      <c r="CS292" s="18">
        <v>213.3</v>
      </c>
      <c r="CT292" s="18"/>
      <c r="CU292" s="18">
        <v>8.27</v>
      </c>
      <c r="CV292" s="18">
        <v>15.15</v>
      </c>
      <c r="CW292" s="18">
        <v>1.7010000000000001</v>
      </c>
      <c r="CX292" s="18">
        <v>6.2709999999999999</v>
      </c>
      <c r="CY292" s="18">
        <v>1.0169999999999999</v>
      </c>
      <c r="CZ292" s="18">
        <v>0.255</v>
      </c>
      <c r="DA292" s="18">
        <v>1.357</v>
      </c>
      <c r="DB292" s="18">
        <v>1.0229999999999999</v>
      </c>
      <c r="DC292" s="18"/>
      <c r="DD292" s="18">
        <v>0.51200000000000001</v>
      </c>
      <c r="DE292" s="18"/>
      <c r="DF292" s="18">
        <v>0.45500000000000002</v>
      </c>
      <c r="DG292" s="18">
        <v>0.09</v>
      </c>
      <c r="DH292" s="18">
        <v>6.0999999999999999E-2</v>
      </c>
      <c r="DI292" s="18"/>
      <c r="DJ292" s="18"/>
      <c r="DK292" s="18">
        <v>10.79</v>
      </c>
      <c r="DL292" s="18" t="s">
        <v>1191</v>
      </c>
      <c r="DM292" s="18">
        <v>0.60699999999999998</v>
      </c>
      <c r="DN292" s="18">
        <v>0.19</v>
      </c>
      <c r="DO292" s="18"/>
      <c r="DP292" s="18"/>
      <c r="DQ292" s="18"/>
      <c r="DR292" s="18"/>
      <c r="DS292" s="18"/>
      <c r="DT292" s="18">
        <v>0</v>
      </c>
      <c r="DU292" s="18">
        <v>0</v>
      </c>
      <c r="DV292" s="28">
        <v>0.70718000000000003</v>
      </c>
      <c r="DW292" s="28">
        <v>2.1000000000000001E-4</v>
      </c>
      <c r="DX292" s="28">
        <v>0.70684999999999998</v>
      </c>
      <c r="DY292" s="28">
        <v>0</v>
      </c>
      <c r="DZ292" s="28">
        <v>42.33</v>
      </c>
      <c r="EA292" s="28">
        <v>0</v>
      </c>
      <c r="EB292" s="28">
        <v>0</v>
      </c>
      <c r="EC292" s="28">
        <v>0</v>
      </c>
      <c r="ED292" s="28">
        <v>0</v>
      </c>
      <c r="EE292" s="28">
        <v>0</v>
      </c>
      <c r="EF292" s="28">
        <v>0</v>
      </c>
      <c r="EG292" s="28">
        <v>0</v>
      </c>
      <c r="EH292" s="28">
        <v>0</v>
      </c>
      <c r="EI292" s="28">
        <v>0</v>
      </c>
      <c r="EJ292" s="18">
        <v>0</v>
      </c>
      <c r="EK292" s="18"/>
      <c r="EL292" s="18">
        <f>IFERROR(CR292/'McDonough &amp; Sun 1995 values'!C$2,)</f>
        <v>0</v>
      </c>
      <c r="EM292" s="18">
        <f>IFERROR(CH292/'McDonough &amp; Sun 1995 values'!D$2,)</f>
        <v>9.788333333333334</v>
      </c>
      <c r="EN292" s="18">
        <f>IFERROR(CS292/'McDonough &amp; Sun 1995 values'!E$2,)</f>
        <v>32.31818181818182</v>
      </c>
      <c r="EO292" s="18">
        <f>IFERROR(DL292/'McDonough &amp; Sun 1995 values'!F$2,)</f>
        <v>0</v>
      </c>
      <c r="EP292" s="18">
        <f>IFERROR(DM292/'McDonough &amp; Sun 1995 values'!G$2,)</f>
        <v>29.901477832512317</v>
      </c>
      <c r="EQ292" s="18">
        <f>IFERROR(BR292/'McDonough &amp; Sun 1995 values'!H$2,)</f>
        <v>0</v>
      </c>
      <c r="ER292" s="18">
        <f>IFERROR(DI292/'McDonough &amp; Sun 1995 values'!I$2,)</f>
        <v>0</v>
      </c>
      <c r="ES292" s="18">
        <f>IFERROR(CM292/'McDonough &amp; Sun 1995 values'!J$2,)</f>
        <v>2.4817629179331306</v>
      </c>
      <c r="ET292" s="18">
        <f>IFERROR(CU292/'McDonough &amp; Sun 1995 values'!K$2,)</f>
        <v>12.762345679012345</v>
      </c>
      <c r="EU292" s="18">
        <f>IFERROR(CV292/'McDonough &amp; Sun 1995 values'!L$2,)</f>
        <v>9.0447761194029859</v>
      </c>
      <c r="EV292" s="18">
        <f>IFERROR(CW292/'McDonough &amp; Sun 1995 values'!M$2,)</f>
        <v>6.6968503937007879</v>
      </c>
      <c r="EW292" s="18">
        <f>IFERROR(CI292/'McDonough &amp; Sun 1995 values'!N$2,)</f>
        <v>19.859296482412063</v>
      </c>
      <c r="EX292" s="18">
        <f>IFERROR(CX292/'McDonough &amp; Sun 1995 values'!O$2,)</f>
        <v>5.0167999999999999</v>
      </c>
      <c r="EY292" s="18">
        <f>IFERROR(CY292/'McDonough &amp; Sun 1995 values'!P$2,)</f>
        <v>2.5049261083743839</v>
      </c>
      <c r="EZ292" s="18">
        <f>IFERROR(DH292/'McDonough &amp; Sun 1995 values'!Q$2,)</f>
        <v>0.21554770318021202</v>
      </c>
      <c r="FA292" s="18">
        <f>IFERROR(CK292/'McDonough &amp; Sun 1995 values'!R$2,)</f>
        <v>0.55609523809523809</v>
      </c>
      <c r="FB292" s="18">
        <f>IFERROR(CZ292/'McDonough &amp; Sun 1995 values'!S$2,)</f>
        <v>1.6558441558441559</v>
      </c>
      <c r="FC292" s="18">
        <f>IFERROR(BT292/'McDonough &amp; Sun 1995 values'!T$2,)</f>
        <v>1.4970954356846472E-2</v>
      </c>
      <c r="FD292" s="18">
        <f>IFERROR(DA292/'McDonough &amp; Sun 1995 values'!U$2,)</f>
        <v>2.4944852941176467</v>
      </c>
      <c r="FE292" s="18">
        <f>IFERROR(DN292/'McDonough &amp; Sun 1995 values'!V$2,)</f>
        <v>1.9191919191919191</v>
      </c>
      <c r="FF292" s="18">
        <f>IFERROR(DB292/'McDonough &amp; Sun 1995 values'!W$2,)</f>
        <v>1.5178041543026703</v>
      </c>
      <c r="FG292" s="18">
        <f>IFERROR(CJ292/'McDonough &amp; Sun 1995 values'!X$2,)</f>
        <v>1.3330232558139536</v>
      </c>
      <c r="FH292" s="18">
        <f>IFERROR(DC292/'McDonough &amp; Sun 1995 values'!Y$2,)</f>
        <v>0</v>
      </c>
      <c r="FI292" s="18">
        <f>IFERROR(DD292/'McDonough &amp; Sun 1995 values'!Z$2,)</f>
        <v>1.1689497716894977</v>
      </c>
      <c r="FJ292" s="18">
        <f>IFERROR(DE292/'McDonough &amp; Sun 1995 values'!AA$2,)</f>
        <v>0</v>
      </c>
      <c r="FK292" s="18">
        <f>IFERROR(DF292/'McDonough &amp; Sun 1995 values'!AB$2,)</f>
        <v>1.0317460317460319</v>
      </c>
      <c r="FL292" s="18">
        <f>IFERROR(DG292/'McDonough &amp; Sun 1995 values'!AC$2,)</f>
        <v>1.3333333333333333</v>
      </c>
      <c r="FN292" s="28">
        <f t="shared" si="614"/>
        <v>0</v>
      </c>
      <c r="FO292" s="4">
        <f t="shared" si="620"/>
        <v>1.080822225550397</v>
      </c>
      <c r="FP292" s="4">
        <f t="shared" si="621"/>
        <v>0</v>
      </c>
      <c r="FQ292" s="4">
        <f t="shared" si="622"/>
        <v>0</v>
      </c>
      <c r="FR292" s="4">
        <f t="shared" si="623"/>
        <v>5.1424515963197326</v>
      </c>
      <c r="FS292" s="4">
        <f t="shared" si="624"/>
        <v>0</v>
      </c>
      <c r="FT292" s="4">
        <f t="shared" si="625"/>
        <v>0</v>
      </c>
      <c r="FU292" s="4">
        <f t="shared" si="626"/>
        <v>0</v>
      </c>
      <c r="FV292" s="4">
        <f t="shared" si="627"/>
        <v>0.22200065552277945</v>
      </c>
      <c r="FW292" s="4">
        <f t="shared" si="628"/>
        <v>2.5799172521467604</v>
      </c>
      <c r="FX292" s="4">
        <f t="shared" si="629"/>
        <v>0.66241564157683674</v>
      </c>
      <c r="FY292" s="4">
        <f t="shared" si="630"/>
        <v>3.4262193787004041</v>
      </c>
      <c r="FZ292" s="4">
        <f t="shared" si="631"/>
        <v>0.66241708612820649</v>
      </c>
      <c r="GA292" s="4">
        <f t="shared" si="632"/>
        <v>2.9654681402308429</v>
      </c>
      <c r="GB292" s="4">
        <f t="shared" si="633"/>
        <v>0.6610351300616788</v>
      </c>
      <c r="GC292" s="4">
        <f t="shared" si="634"/>
        <v>0</v>
      </c>
      <c r="GD292" s="4">
        <f t="shared" si="635"/>
        <v>0</v>
      </c>
      <c r="GE292" s="4">
        <f t="shared" si="636"/>
        <v>3.3017042552203457</v>
      </c>
      <c r="GF292" s="4">
        <f t="shared" si="637"/>
        <v>0</v>
      </c>
      <c r="GG292" s="4">
        <f t="shared" si="638"/>
        <v>13.022267995323721</v>
      </c>
      <c r="GH292" s="4">
        <f t="shared" si="639"/>
        <v>1.9057235758195974</v>
      </c>
      <c r="GI292" s="4">
        <f t="shared" si="640"/>
        <v>5.0948990616312813</v>
      </c>
      <c r="GJ292" s="4">
        <f t="shared" si="641"/>
        <v>8.4084271629074507</v>
      </c>
      <c r="GK292" s="4">
        <f t="shared" si="642"/>
        <v>12.369658119658117</v>
      </c>
      <c r="GL292" s="4">
        <f t="shared" si="643"/>
        <v>37.14494245591807</v>
      </c>
      <c r="GM292" s="4">
        <f t="shared" si="644"/>
        <v>0</v>
      </c>
      <c r="GN292" s="4">
        <f t="shared" si="645"/>
        <v>0.19445977881749321</v>
      </c>
      <c r="GO292" s="4">
        <f t="shared" si="646"/>
        <v>8.2998002033019033E-2</v>
      </c>
      <c r="GP292" s="4">
        <f t="shared" si="647"/>
        <v>0</v>
      </c>
      <c r="GQ292" s="27">
        <f t="shared" si="648"/>
        <v>213915.63151920747</v>
      </c>
      <c r="GR292" s="28" t="str">
        <f t="shared" si="649"/>
        <v/>
      </c>
      <c r="GS292" s="28" t="str">
        <f t="shared" si="650"/>
        <v/>
      </c>
      <c r="GT292" s="28" t="str">
        <f t="shared" si="651"/>
        <v/>
      </c>
      <c r="GU292" s="28" t="str">
        <f t="shared" si="652"/>
        <v/>
      </c>
      <c r="GV292" s="28" t="str">
        <f t="shared" si="653"/>
        <v/>
      </c>
      <c r="GW292" s="28" t="str">
        <f t="shared" si="654"/>
        <v/>
      </c>
      <c r="GX292" s="28" t="str">
        <f t="shared" si="655"/>
        <v/>
      </c>
      <c r="GY292" s="28" t="str">
        <f t="shared" si="656"/>
        <v/>
      </c>
      <c r="GZ292" s="28" t="str">
        <f t="shared" si="657"/>
        <v/>
      </c>
      <c r="HA292" s="28" t="str">
        <f t="shared" si="658"/>
        <v/>
      </c>
      <c r="HB292" s="28" t="str">
        <f t="shared" si="659"/>
        <v/>
      </c>
      <c r="HC292" s="28" t="str">
        <f t="shared" si="660"/>
        <v/>
      </c>
      <c r="HD292" s="28" t="str">
        <f t="shared" si="661"/>
        <v/>
      </c>
      <c r="HE292" s="28" t="str">
        <f t="shared" si="662"/>
        <v/>
      </c>
      <c r="HF292" s="28" t="str">
        <f t="shared" si="663"/>
        <v/>
      </c>
      <c r="HG292" s="28" t="str">
        <f t="shared" si="664"/>
        <v/>
      </c>
      <c r="HH292" s="28" t="str">
        <f t="shared" si="665"/>
        <v/>
      </c>
      <c r="HI292" s="28" t="str">
        <f t="shared" si="666"/>
        <v/>
      </c>
      <c r="HJ292" s="28" t="str">
        <f t="shared" si="667"/>
        <v/>
      </c>
      <c r="HK292" s="28" t="str">
        <f t="shared" si="668"/>
        <v/>
      </c>
      <c r="HL292" s="28" t="str">
        <f t="shared" si="669"/>
        <v/>
      </c>
      <c r="HM292" s="28" t="str">
        <f t="shared" si="670"/>
        <v/>
      </c>
      <c r="HN292" s="28" t="str">
        <f t="shared" si="671"/>
        <v/>
      </c>
      <c r="HO292" s="28" t="str">
        <f t="shared" si="672"/>
        <v/>
      </c>
      <c r="HP292" s="28" t="str">
        <f t="shared" si="673"/>
        <v/>
      </c>
      <c r="HQ292" s="28" t="str">
        <f t="shared" si="674"/>
        <v/>
      </c>
      <c r="HR292" s="28" t="str">
        <f t="shared" si="675"/>
        <v/>
      </c>
      <c r="HT292" s="4">
        <f>IFERROR(GR292/'McDonough &amp; Sun 1995 values'!C$2,)</f>
        <v>0</v>
      </c>
      <c r="HU292" s="4">
        <f>IFERROR(GS292/'McDonough &amp; Sun 1995 values'!D$2,)</f>
        <v>0</v>
      </c>
      <c r="HV292" s="4">
        <f>IFERROR(GT292/'McDonough &amp; Sun 1995 values'!E$2,)</f>
        <v>0</v>
      </c>
      <c r="HW292" s="4">
        <f>IFERROR(GU292/'McDonough &amp; Sun 1995 values'!F$2,)</f>
        <v>0</v>
      </c>
      <c r="HX292" s="4">
        <f>IFERROR(GV292/'McDonough &amp; Sun 1995 values'!G$2,)</f>
        <v>0</v>
      </c>
      <c r="HY292" s="4">
        <f>IFERROR(GW292/'McDonough &amp; Sun 1995 values'!H$2,)</f>
        <v>0</v>
      </c>
      <c r="HZ292" s="4">
        <f>IFERROR(GX292/'McDonough &amp; Sun 1995 values'!I$2,)</f>
        <v>0</v>
      </c>
      <c r="IA292" s="4">
        <f>IFERROR(GY292/'McDonough &amp; Sun 1995 values'!J$2,)</f>
        <v>0</v>
      </c>
      <c r="IB292" s="4">
        <f>IFERROR(GZ292/'McDonough &amp; Sun 1995 values'!K$2,)</f>
        <v>0</v>
      </c>
      <c r="IC292" s="4">
        <f>IFERROR(HA292/'McDonough &amp; Sun 1995 values'!L$2,)</f>
        <v>0</v>
      </c>
      <c r="ID292" s="4">
        <f>IFERROR(HB292/'McDonough &amp; Sun 1995 values'!M$2,)</f>
        <v>0</v>
      </c>
      <c r="IE292" s="4">
        <f>IFERROR(HC292/'McDonough &amp; Sun 1995 values'!N$2,)</f>
        <v>0</v>
      </c>
      <c r="IF292" s="4">
        <f>IFERROR(HD292/'McDonough &amp; Sun 1995 values'!O$2,)</f>
        <v>0</v>
      </c>
      <c r="IG292" s="4">
        <f>IFERROR(HE292/'McDonough &amp; Sun 1995 values'!P$2,)</f>
        <v>0</v>
      </c>
      <c r="IH292" s="4">
        <f>IFERROR(HF292/'McDonough &amp; Sun 1995 values'!Q$2,)</f>
        <v>0</v>
      </c>
      <c r="II292" s="4">
        <f>IFERROR(HG292/'McDonough &amp; Sun 1995 values'!R$2,)</f>
        <v>0</v>
      </c>
      <c r="IJ292" s="4">
        <f>IFERROR(HH292/'McDonough &amp; Sun 1995 values'!S$2,)</f>
        <v>0</v>
      </c>
      <c r="IK292" s="4">
        <f>IFERROR(HI292/'McDonough &amp; Sun 1995 values'!T$2,)</f>
        <v>0</v>
      </c>
      <c r="IL292" s="4">
        <f>IFERROR(HJ292/'McDonough &amp; Sun 1995 values'!U$2,)</f>
        <v>0</v>
      </c>
      <c r="IM292" s="4">
        <f>IFERROR(HK292/'McDonough &amp; Sun 1995 values'!V$2,)</f>
        <v>0</v>
      </c>
      <c r="IN292" s="4">
        <f>IFERROR(HL292/'McDonough &amp; Sun 1995 values'!W$2,)</f>
        <v>0</v>
      </c>
      <c r="IO292" s="4">
        <f>IFERROR(HM292/'McDonough &amp; Sun 1995 values'!X$2,)</f>
        <v>0</v>
      </c>
      <c r="IP292" s="4">
        <f>IFERROR(HN292/'McDonough &amp; Sun 1995 values'!Y$2,)</f>
        <v>0</v>
      </c>
      <c r="IQ292" s="4">
        <f>IFERROR(HO292/'McDonough &amp; Sun 1995 values'!Z$2,)</f>
        <v>0</v>
      </c>
      <c r="IR292" s="4">
        <f>IFERROR(HP292/'McDonough &amp; Sun 1995 values'!AA$2,)</f>
        <v>0</v>
      </c>
      <c r="IS292" s="4">
        <f>IFERROR(HQ292/'McDonough &amp; Sun 1995 values'!AB$2,)</f>
        <v>0</v>
      </c>
      <c r="IT292" s="4">
        <f>IFERROR(HR292/'McDonough &amp; Sun 1995 values'!AC$2,)</f>
        <v>0</v>
      </c>
    </row>
    <row r="293" spans="1:254">
      <c r="A293" s="4" t="s">
        <v>1362</v>
      </c>
      <c r="B293" s="16" t="s">
        <v>24</v>
      </c>
      <c r="C293" s="16" t="str">
        <f t="shared" si="617"/>
        <v>silicic - low-Mg carbonatitic</v>
      </c>
      <c r="D293" s="4" t="s">
        <v>1265</v>
      </c>
      <c r="E293" s="4" t="s">
        <v>171</v>
      </c>
      <c r="F293" s="4" t="s">
        <v>1266</v>
      </c>
      <c r="G293" s="4" t="s">
        <v>595</v>
      </c>
      <c r="H293" s="49">
        <v>540</v>
      </c>
      <c r="I293" s="4" t="s">
        <v>735</v>
      </c>
      <c r="J293" s="4" t="s">
        <v>1311</v>
      </c>
      <c r="K293" s="4" t="s">
        <v>115</v>
      </c>
      <c r="L293" s="4">
        <v>0</v>
      </c>
      <c r="M293" s="4" t="s">
        <v>1262</v>
      </c>
      <c r="N293" s="4">
        <v>30</v>
      </c>
      <c r="O293" s="53">
        <v>22.195938485509597</v>
      </c>
      <c r="P293" s="53">
        <v>1.4764448139533004</v>
      </c>
      <c r="Q293" s="53"/>
      <c r="R293" s="53">
        <v>2.6677801875475819</v>
      </c>
      <c r="S293" s="53">
        <v>10.057459076595354</v>
      </c>
      <c r="T293" s="53">
        <v>9.0098394332265066</v>
      </c>
      <c r="U293" s="53"/>
      <c r="V293" s="53">
        <v>15.036087625267296</v>
      </c>
      <c r="W293" s="53">
        <v>5.7954218005242186</v>
      </c>
      <c r="X293" s="53">
        <v>23.027110623387792</v>
      </c>
      <c r="Y293" s="53"/>
      <c r="Z293" s="53">
        <v>5.1091919298252302</v>
      </c>
      <c r="AA293" s="53"/>
      <c r="AB293" s="53">
        <v>1.9301345422257346</v>
      </c>
      <c r="AC293" s="53"/>
      <c r="AD293" s="53">
        <v>4.7713394548153216</v>
      </c>
      <c r="AE293" s="53"/>
      <c r="AF293" s="53"/>
      <c r="AG293" s="53"/>
      <c r="AH293" s="53"/>
      <c r="AI293" s="53"/>
      <c r="AJ293" s="91">
        <f t="shared" si="618"/>
        <v>101.07674797287794</v>
      </c>
      <c r="AK293" s="26">
        <f t="shared" si="678"/>
        <v>22.195938485509593</v>
      </c>
      <c r="AL293" s="26">
        <f t="shared" si="679"/>
        <v>1.4764448139533002</v>
      </c>
      <c r="AM293" s="26">
        <f t="shared" si="680"/>
        <v>2.6677801875475815</v>
      </c>
      <c r="AN293" s="26">
        <f t="shared" si="681"/>
        <v>10.057459076595352</v>
      </c>
      <c r="AO293" s="26">
        <f t="shared" si="682"/>
        <v>9.0098394332265048</v>
      </c>
      <c r="AP293" s="26">
        <f t="shared" si="683"/>
        <v>15.036087625267294</v>
      </c>
      <c r="AQ293" s="26">
        <f t="shared" si="684"/>
        <v>1.9301345422257341</v>
      </c>
      <c r="AR293" s="26">
        <f t="shared" si="685"/>
        <v>5.7954218005242177</v>
      </c>
      <c r="AS293" s="26">
        <f t="shared" si="686"/>
        <v>23.027110623387788</v>
      </c>
      <c r="AT293" s="26">
        <f t="shared" si="687"/>
        <v>5.1091919298252293</v>
      </c>
      <c r="AU293" s="26">
        <f t="shared" si="688"/>
        <v>4.7713394548153207</v>
      </c>
      <c r="AV293" s="91">
        <f t="shared" si="619"/>
        <v>101.07674797287791</v>
      </c>
      <c r="AW293" s="16"/>
      <c r="AX293" s="16"/>
      <c r="AY293" s="16"/>
      <c r="AZ293" s="16"/>
      <c r="BA293" s="26"/>
      <c r="BB293" s="26"/>
      <c r="BC293" s="26"/>
      <c r="BD293" s="26"/>
      <c r="BT293" s="44" t="s">
        <v>1192</v>
      </c>
      <c r="CH293" s="44">
        <v>0.32</v>
      </c>
      <c r="CI293" s="44">
        <v>4.0119999999999996</v>
      </c>
      <c r="CJ293" s="44">
        <v>5.0000000000000001E-3</v>
      </c>
      <c r="CK293" s="44">
        <v>3.6999999999999998E-2</v>
      </c>
      <c r="CM293" s="44">
        <v>0.13</v>
      </c>
      <c r="CS293" s="44">
        <v>128.9</v>
      </c>
      <c r="CT293" s="44">
        <v>0</v>
      </c>
      <c r="CU293" s="44">
        <v>0.85799999999999998</v>
      </c>
      <c r="CV293" s="44">
        <v>0.70399999999999996</v>
      </c>
      <c r="CX293" s="44">
        <v>0.24399999999999999</v>
      </c>
      <c r="CY293" s="44">
        <v>1.2E-2</v>
      </c>
      <c r="CZ293" s="44">
        <v>4.0000000000000001E-3</v>
      </c>
      <c r="DA293" s="44">
        <v>4.0000000000000001E-3</v>
      </c>
      <c r="DB293" s="44">
        <v>2E-3</v>
      </c>
      <c r="DD293" s="44">
        <v>0</v>
      </c>
      <c r="DF293" s="44">
        <v>1.0999999999999999E-2</v>
      </c>
      <c r="DK293" s="44">
        <v>0.96899999999999997</v>
      </c>
      <c r="DL293" s="44">
        <v>0.65100000000000002</v>
      </c>
      <c r="DM293" s="44">
        <v>2.5999999999999999E-2</v>
      </c>
      <c r="EK293" s="18"/>
      <c r="EL293" s="18">
        <f>IFERROR(CR293/'McDonough &amp; Sun 1995 values'!C$2,)</f>
        <v>0</v>
      </c>
      <c r="EM293" s="18">
        <f>IFERROR(CH293/'McDonough &amp; Sun 1995 values'!D$2,)</f>
        <v>0.53333333333333333</v>
      </c>
      <c r="EN293" s="18">
        <f>IFERROR(CS293/'McDonough &amp; Sun 1995 values'!E$2,)</f>
        <v>19.530303030303031</v>
      </c>
      <c r="EO293" s="18">
        <f>IFERROR(DL293/'McDonough &amp; Sun 1995 values'!F$2,)</f>
        <v>8.1886792452830193</v>
      </c>
      <c r="EP293" s="18">
        <f>IFERROR(DM293/'McDonough &amp; Sun 1995 values'!G$2,)</f>
        <v>1.2807881773399015</v>
      </c>
      <c r="EQ293" s="18">
        <f>IFERROR(BR293/'McDonough &amp; Sun 1995 values'!H$2,)</f>
        <v>0</v>
      </c>
      <c r="ER293" s="18">
        <f>IFERROR(DI293/'McDonough &amp; Sun 1995 values'!I$2,)</f>
        <v>0</v>
      </c>
      <c r="ES293" s="18">
        <f>IFERROR(CM293/'McDonough &amp; Sun 1995 values'!J$2,)</f>
        <v>0.19756838905775076</v>
      </c>
      <c r="ET293" s="18">
        <f>IFERROR(CU293/'McDonough &amp; Sun 1995 values'!K$2,)</f>
        <v>1.324074074074074</v>
      </c>
      <c r="EU293" s="18">
        <f>IFERROR(CV293/'McDonough &amp; Sun 1995 values'!L$2,)</f>
        <v>0.42029850746268654</v>
      </c>
      <c r="EV293" s="18">
        <f>IFERROR(CW293/'McDonough &amp; Sun 1995 values'!M$2,)</f>
        <v>0</v>
      </c>
      <c r="EW293" s="18">
        <f>IFERROR(CI293/'McDonough &amp; Sun 1995 values'!N$2,)</f>
        <v>0.20160804020100501</v>
      </c>
      <c r="EX293" s="18">
        <f>IFERROR(CX293/'McDonough &amp; Sun 1995 values'!O$2,)</f>
        <v>0.19519999999999998</v>
      </c>
      <c r="EY293" s="18">
        <f>IFERROR(CY293/'McDonough &amp; Sun 1995 values'!P$2,)</f>
        <v>2.9556650246305417E-2</v>
      </c>
      <c r="EZ293" s="18">
        <f>IFERROR(DH293/'McDonough &amp; Sun 1995 values'!Q$2,)</f>
        <v>0</v>
      </c>
      <c r="FA293" s="18">
        <f>IFERROR(CK293/'McDonough &amp; Sun 1995 values'!R$2,)</f>
        <v>3.5238095238095237E-3</v>
      </c>
      <c r="FB293" s="18">
        <f>IFERROR(CZ293/'McDonough &amp; Sun 1995 values'!S$2,)</f>
        <v>2.5974025974025976E-2</v>
      </c>
      <c r="FC293" s="18">
        <f>IFERROR(BT293/'McDonough &amp; Sun 1995 values'!T$2,)</f>
        <v>0</v>
      </c>
      <c r="FD293" s="18">
        <f>IFERROR(DA293/'McDonough &amp; Sun 1995 values'!U$2,)</f>
        <v>7.3529411764705881E-3</v>
      </c>
      <c r="FE293" s="18">
        <f>IFERROR(DN293/'McDonough &amp; Sun 1995 values'!V$2,)</f>
        <v>0</v>
      </c>
      <c r="FF293" s="18">
        <f>IFERROR(DB293/'McDonough &amp; Sun 1995 values'!W$2,)</f>
        <v>2.9673590504451035E-3</v>
      </c>
      <c r="FG293" s="18">
        <f>IFERROR(CJ293/'McDonough &amp; Sun 1995 values'!X$2,)</f>
        <v>1.1627906976744186E-3</v>
      </c>
      <c r="FH293" s="18">
        <f>IFERROR(DC293/'McDonough &amp; Sun 1995 values'!Y$2,)</f>
        <v>0</v>
      </c>
      <c r="FI293" s="18">
        <f>IFERROR(DD293/'McDonough &amp; Sun 1995 values'!Z$2,)</f>
        <v>0</v>
      </c>
      <c r="FJ293" s="18">
        <f>IFERROR(DE293/'McDonough &amp; Sun 1995 values'!AA$2,)</f>
        <v>0</v>
      </c>
      <c r="FK293" s="18">
        <f>IFERROR(DF293/'McDonough &amp; Sun 1995 values'!AB$2,)</f>
        <v>2.494331065759637E-2</v>
      </c>
      <c r="FL293" s="18">
        <f>IFERROR(DG293/'McDonough &amp; Sun 1995 values'!AC$2,)</f>
        <v>0</v>
      </c>
      <c r="FN293" s="28">
        <f t="shared" si="614"/>
        <v>0</v>
      </c>
      <c r="FO293" s="4">
        <f t="shared" si="620"/>
        <v>15.248659673659674</v>
      </c>
      <c r="FP293" s="4">
        <f t="shared" si="621"/>
        <v>41.447314949201747</v>
      </c>
      <c r="FQ293" s="4">
        <f t="shared" si="622"/>
        <v>6.393468795355588</v>
      </c>
      <c r="FR293" s="4">
        <f t="shared" si="623"/>
        <v>6.7018518518518508</v>
      </c>
      <c r="FS293" s="4">
        <f t="shared" si="624"/>
        <v>0</v>
      </c>
      <c r="FT293" s="4">
        <f t="shared" si="625"/>
        <v>0</v>
      </c>
      <c r="FU293" s="4">
        <f t="shared" si="626"/>
        <v>0</v>
      </c>
      <c r="FV293" s="4">
        <f t="shared" si="627"/>
        <v>0.11922222222222223</v>
      </c>
      <c r="FW293" s="4">
        <f t="shared" si="628"/>
        <v>0</v>
      </c>
      <c r="FX293" s="4">
        <f t="shared" si="629"/>
        <v>1.4074404496386832</v>
      </c>
      <c r="FY293" s="4">
        <f t="shared" si="630"/>
        <v>0</v>
      </c>
      <c r="FZ293" s="4">
        <f t="shared" si="631"/>
        <v>1.7618994437095994</v>
      </c>
      <c r="GA293" s="4">
        <f t="shared" si="632"/>
        <v>0</v>
      </c>
      <c r="GB293" s="4">
        <f t="shared" si="633"/>
        <v>0.8787878787878789</v>
      </c>
      <c r="GC293" s="4">
        <f t="shared" si="634"/>
        <v>0</v>
      </c>
      <c r="GD293" s="4">
        <f t="shared" si="635"/>
        <v>2.3850370060047479</v>
      </c>
      <c r="GE293" s="4">
        <f t="shared" si="636"/>
        <v>36.619318181818187</v>
      </c>
      <c r="GF293" s="4">
        <f t="shared" si="637"/>
        <v>0</v>
      </c>
      <c r="GG293" s="4">
        <f t="shared" si="638"/>
        <v>98.853379953379957</v>
      </c>
      <c r="GH293" s="4">
        <f t="shared" si="639"/>
        <v>0</v>
      </c>
      <c r="GI293" s="4">
        <f t="shared" si="640"/>
        <v>44.797839506172835</v>
      </c>
      <c r="GJ293" s="4">
        <f t="shared" si="641"/>
        <v>446.21296296296299</v>
      </c>
      <c r="GK293" s="4">
        <f t="shared" si="642"/>
        <v>53.083333333333336</v>
      </c>
      <c r="GL293" s="4">
        <f t="shared" si="643"/>
        <v>0</v>
      </c>
      <c r="GM293" s="4">
        <f t="shared" si="644"/>
        <v>15.353773584905662</v>
      </c>
      <c r="GN293" s="4">
        <f t="shared" si="645"/>
        <v>0.14921248963802156</v>
      </c>
      <c r="GO293" s="4">
        <f t="shared" si="646"/>
        <v>0.15425531914893617</v>
      </c>
      <c r="GP293" s="4">
        <f t="shared" si="647"/>
        <v>0</v>
      </c>
      <c r="GQ293" s="27">
        <f t="shared" si="648"/>
        <v>191156.63548162731</v>
      </c>
      <c r="GR293" s="28" t="str">
        <f t="shared" si="649"/>
        <v/>
      </c>
      <c r="GS293" s="28" t="str">
        <f t="shared" si="650"/>
        <v/>
      </c>
      <c r="GT293" s="28" t="str">
        <f t="shared" si="651"/>
        <v/>
      </c>
      <c r="GU293" s="28" t="str">
        <f t="shared" si="652"/>
        <v/>
      </c>
      <c r="GV293" s="28" t="str">
        <f t="shared" si="653"/>
        <v/>
      </c>
      <c r="GW293" s="28" t="str">
        <f t="shared" si="654"/>
        <v/>
      </c>
      <c r="GX293" s="28" t="str">
        <f t="shared" si="655"/>
        <v/>
      </c>
      <c r="GY293" s="28" t="str">
        <f t="shared" si="656"/>
        <v/>
      </c>
      <c r="GZ293" s="28" t="str">
        <f t="shared" si="657"/>
        <v/>
      </c>
      <c r="HA293" s="28" t="str">
        <f t="shared" si="658"/>
        <v/>
      </c>
      <c r="HB293" s="28" t="str">
        <f t="shared" si="659"/>
        <v/>
      </c>
      <c r="HC293" s="28" t="str">
        <f t="shared" si="660"/>
        <v/>
      </c>
      <c r="HD293" s="28" t="str">
        <f t="shared" si="661"/>
        <v/>
      </c>
      <c r="HE293" s="28" t="str">
        <f t="shared" si="662"/>
        <v/>
      </c>
      <c r="HF293" s="28" t="str">
        <f t="shared" si="663"/>
        <v/>
      </c>
      <c r="HG293" s="28" t="str">
        <f t="shared" si="664"/>
        <v/>
      </c>
      <c r="HH293" s="28" t="str">
        <f t="shared" si="665"/>
        <v/>
      </c>
      <c r="HI293" s="28" t="str">
        <f t="shared" si="666"/>
        <v/>
      </c>
      <c r="HJ293" s="28" t="str">
        <f t="shared" si="667"/>
        <v/>
      </c>
      <c r="HK293" s="28" t="str">
        <f t="shared" si="668"/>
        <v/>
      </c>
      <c r="HL293" s="28" t="str">
        <f t="shared" si="669"/>
        <v/>
      </c>
      <c r="HM293" s="28" t="str">
        <f t="shared" si="670"/>
        <v/>
      </c>
      <c r="HN293" s="28" t="str">
        <f t="shared" si="671"/>
        <v/>
      </c>
      <c r="HO293" s="28" t="str">
        <f t="shared" si="672"/>
        <v/>
      </c>
      <c r="HP293" s="28" t="str">
        <f t="shared" si="673"/>
        <v/>
      </c>
      <c r="HQ293" s="28" t="str">
        <f t="shared" si="674"/>
        <v/>
      </c>
      <c r="HR293" s="28" t="str">
        <f t="shared" si="675"/>
        <v/>
      </c>
      <c r="HT293" s="4">
        <f>IFERROR(GR293/'McDonough &amp; Sun 1995 values'!C$2,)</f>
        <v>0</v>
      </c>
      <c r="HU293" s="4">
        <f>IFERROR(GS293/'McDonough &amp; Sun 1995 values'!D$2,)</f>
        <v>0</v>
      </c>
      <c r="HV293" s="4">
        <f>IFERROR(GT293/'McDonough &amp; Sun 1995 values'!E$2,)</f>
        <v>0</v>
      </c>
      <c r="HW293" s="4">
        <f>IFERROR(GU293/'McDonough &amp; Sun 1995 values'!F$2,)</f>
        <v>0</v>
      </c>
      <c r="HX293" s="4">
        <f>IFERROR(GV293/'McDonough &amp; Sun 1995 values'!G$2,)</f>
        <v>0</v>
      </c>
      <c r="HY293" s="4">
        <f>IFERROR(GW293/'McDonough &amp; Sun 1995 values'!H$2,)</f>
        <v>0</v>
      </c>
      <c r="HZ293" s="4">
        <f>IFERROR(GX293/'McDonough &amp; Sun 1995 values'!I$2,)</f>
        <v>0</v>
      </c>
      <c r="IA293" s="4">
        <f>IFERROR(GY293/'McDonough &amp; Sun 1995 values'!J$2,)</f>
        <v>0</v>
      </c>
      <c r="IB293" s="4">
        <f>IFERROR(GZ293/'McDonough &amp; Sun 1995 values'!K$2,)</f>
        <v>0</v>
      </c>
      <c r="IC293" s="4">
        <f>IFERROR(HA293/'McDonough &amp; Sun 1995 values'!L$2,)</f>
        <v>0</v>
      </c>
      <c r="ID293" s="4">
        <f>IFERROR(HB293/'McDonough &amp; Sun 1995 values'!M$2,)</f>
        <v>0</v>
      </c>
      <c r="IE293" s="4">
        <f>IFERROR(HC293/'McDonough &amp; Sun 1995 values'!N$2,)</f>
        <v>0</v>
      </c>
      <c r="IF293" s="4">
        <f>IFERROR(HD293/'McDonough &amp; Sun 1995 values'!O$2,)</f>
        <v>0</v>
      </c>
      <c r="IG293" s="4">
        <f>IFERROR(HE293/'McDonough &amp; Sun 1995 values'!P$2,)</f>
        <v>0</v>
      </c>
      <c r="IH293" s="4">
        <f>IFERROR(HF293/'McDonough &amp; Sun 1995 values'!Q$2,)</f>
        <v>0</v>
      </c>
      <c r="II293" s="4">
        <f>IFERROR(HG293/'McDonough &amp; Sun 1995 values'!R$2,)</f>
        <v>0</v>
      </c>
      <c r="IJ293" s="4">
        <f>IFERROR(HH293/'McDonough &amp; Sun 1995 values'!S$2,)</f>
        <v>0</v>
      </c>
      <c r="IK293" s="4">
        <f>IFERROR(HI293/'McDonough &amp; Sun 1995 values'!T$2,)</f>
        <v>0</v>
      </c>
      <c r="IL293" s="4">
        <f>IFERROR(HJ293/'McDonough &amp; Sun 1995 values'!U$2,)</f>
        <v>0</v>
      </c>
      <c r="IM293" s="4">
        <f>IFERROR(HK293/'McDonough &amp; Sun 1995 values'!V$2,)</f>
        <v>0</v>
      </c>
      <c r="IN293" s="4">
        <f>IFERROR(HL293/'McDonough &amp; Sun 1995 values'!W$2,)</f>
        <v>0</v>
      </c>
      <c r="IO293" s="4">
        <f>IFERROR(HM293/'McDonough &amp; Sun 1995 values'!X$2,)</f>
        <v>0</v>
      </c>
      <c r="IP293" s="4">
        <f>IFERROR(HN293/'McDonough &amp; Sun 1995 values'!Y$2,)</f>
        <v>0</v>
      </c>
      <c r="IQ293" s="4">
        <f>IFERROR(HO293/'McDonough &amp; Sun 1995 values'!Z$2,)</f>
        <v>0</v>
      </c>
      <c r="IR293" s="4">
        <f>IFERROR(HP293/'McDonough &amp; Sun 1995 values'!AA$2,)</f>
        <v>0</v>
      </c>
      <c r="IS293" s="4">
        <f>IFERROR(HQ293/'McDonough &amp; Sun 1995 values'!AB$2,)</f>
        <v>0</v>
      </c>
      <c r="IT293" s="4">
        <f>IFERROR(HR293/'McDonough &amp; Sun 1995 values'!AC$2,)</f>
        <v>0</v>
      </c>
    </row>
    <row r="294" spans="1:254">
      <c r="A294" s="4" t="s">
        <v>1362</v>
      </c>
      <c r="B294" s="16" t="s">
        <v>24</v>
      </c>
      <c r="C294" s="16" t="str">
        <f t="shared" si="617"/>
        <v>silicic - low-Mg carbonatitic</v>
      </c>
      <c r="D294" s="4" t="s">
        <v>1265</v>
      </c>
      <c r="E294" s="4" t="s">
        <v>171</v>
      </c>
      <c r="F294" s="4" t="s">
        <v>1266</v>
      </c>
      <c r="G294" s="4" t="s">
        <v>595</v>
      </c>
      <c r="H294" s="49">
        <v>540</v>
      </c>
      <c r="I294" s="4" t="s">
        <v>735</v>
      </c>
      <c r="J294" s="4" t="s">
        <v>1311</v>
      </c>
      <c r="K294" s="4" t="s">
        <v>115</v>
      </c>
      <c r="L294" s="4">
        <v>0</v>
      </c>
      <c r="M294" s="4" t="s">
        <v>1262</v>
      </c>
      <c r="N294" s="4">
        <v>30</v>
      </c>
      <c r="O294" s="53">
        <v>22.195938485509597</v>
      </c>
      <c r="P294" s="53">
        <v>1.4764448139533004</v>
      </c>
      <c r="Q294" s="53"/>
      <c r="R294" s="53">
        <v>2.6677801875475819</v>
      </c>
      <c r="S294" s="53">
        <v>10.057459076595354</v>
      </c>
      <c r="T294" s="53">
        <v>9.0098394332265066</v>
      </c>
      <c r="U294" s="53"/>
      <c r="V294" s="53">
        <v>15.036087625267296</v>
      </c>
      <c r="W294" s="53">
        <v>5.7954218005242186</v>
      </c>
      <c r="X294" s="53">
        <v>23.027110623387792</v>
      </c>
      <c r="Y294" s="53"/>
      <c r="Z294" s="53">
        <v>5.1091919298252302</v>
      </c>
      <c r="AA294" s="53"/>
      <c r="AB294" s="53">
        <v>1.9301345422257346</v>
      </c>
      <c r="AC294" s="53"/>
      <c r="AD294" s="53">
        <v>4.7713394548153216</v>
      </c>
      <c r="AE294" s="53"/>
      <c r="AF294" s="53"/>
      <c r="AG294" s="53"/>
      <c r="AH294" s="53"/>
      <c r="AI294" s="53"/>
      <c r="AJ294" s="91">
        <f t="shared" si="618"/>
        <v>101.07674797287794</v>
      </c>
      <c r="AK294" s="26">
        <f t="shared" si="678"/>
        <v>22.195938485509593</v>
      </c>
      <c r="AL294" s="26">
        <f t="shared" si="679"/>
        <v>1.4764448139533002</v>
      </c>
      <c r="AM294" s="26">
        <f t="shared" si="680"/>
        <v>2.6677801875475815</v>
      </c>
      <c r="AN294" s="26">
        <f t="shared" si="681"/>
        <v>10.057459076595352</v>
      </c>
      <c r="AO294" s="26">
        <f t="shared" si="682"/>
        <v>9.0098394332265048</v>
      </c>
      <c r="AP294" s="26">
        <f t="shared" si="683"/>
        <v>15.036087625267294</v>
      </c>
      <c r="AQ294" s="26">
        <f t="shared" si="684"/>
        <v>1.9301345422257341</v>
      </c>
      <c r="AR294" s="26">
        <f t="shared" si="685"/>
        <v>5.7954218005242177</v>
      </c>
      <c r="AS294" s="26">
        <f t="shared" si="686"/>
        <v>23.027110623387788</v>
      </c>
      <c r="AT294" s="26">
        <f t="shared" si="687"/>
        <v>5.1091919298252293</v>
      </c>
      <c r="AU294" s="26">
        <f t="shared" si="688"/>
        <v>4.7713394548153207</v>
      </c>
      <c r="AV294" s="91">
        <f t="shared" si="619"/>
        <v>101.07674797287791</v>
      </c>
      <c r="AW294" s="16"/>
      <c r="AX294" s="16"/>
      <c r="AY294" s="16"/>
      <c r="AZ294" s="16"/>
      <c r="BA294" s="26"/>
      <c r="BB294" s="26"/>
      <c r="BC294" s="26"/>
      <c r="BD294" s="26"/>
      <c r="BT294" s="44" t="s">
        <v>1192</v>
      </c>
      <c r="CH294" s="44">
        <v>0.32</v>
      </c>
      <c r="CI294" s="44">
        <v>4.0119999999999996</v>
      </c>
      <c r="CJ294" s="44">
        <v>5.0000000000000001E-3</v>
      </c>
      <c r="CK294" s="44">
        <v>3.6999999999999998E-2</v>
      </c>
      <c r="CM294" s="44">
        <v>0.13</v>
      </c>
      <c r="CS294" s="44">
        <v>128.9</v>
      </c>
      <c r="CT294" s="44">
        <v>0</v>
      </c>
      <c r="CU294" s="44">
        <v>0.85799999999999998</v>
      </c>
      <c r="CV294" s="44">
        <v>0.70399999999999996</v>
      </c>
      <c r="CX294" s="44">
        <v>0.24399999999999999</v>
      </c>
      <c r="CY294" s="44">
        <v>1.2E-2</v>
      </c>
      <c r="CZ294" s="44">
        <v>4.0000000000000001E-3</v>
      </c>
      <c r="DA294" s="44">
        <v>4.0000000000000001E-3</v>
      </c>
      <c r="DB294" s="44">
        <v>2E-3</v>
      </c>
      <c r="DD294" s="44">
        <v>0</v>
      </c>
      <c r="DF294" s="44">
        <v>1.0999999999999999E-2</v>
      </c>
      <c r="DK294" s="44">
        <v>0.96899999999999997</v>
      </c>
      <c r="DL294" s="44">
        <v>0.65100000000000002</v>
      </c>
      <c r="DM294" s="44">
        <v>2.5999999999999999E-2</v>
      </c>
      <c r="EK294" s="18"/>
      <c r="EL294" s="18">
        <f>IFERROR(CR294/'McDonough &amp; Sun 1995 values'!C$2,)</f>
        <v>0</v>
      </c>
      <c r="EM294" s="18">
        <f>IFERROR(CH294/'McDonough &amp; Sun 1995 values'!D$2,)</f>
        <v>0.53333333333333333</v>
      </c>
      <c r="EN294" s="18">
        <f>IFERROR(CS294/'McDonough &amp; Sun 1995 values'!E$2,)</f>
        <v>19.530303030303031</v>
      </c>
      <c r="EO294" s="18">
        <f>IFERROR(DL294/'McDonough &amp; Sun 1995 values'!F$2,)</f>
        <v>8.1886792452830193</v>
      </c>
      <c r="EP294" s="18">
        <f>IFERROR(DM294/'McDonough &amp; Sun 1995 values'!G$2,)</f>
        <v>1.2807881773399015</v>
      </c>
      <c r="EQ294" s="18">
        <f>IFERROR(BR294/'McDonough &amp; Sun 1995 values'!H$2,)</f>
        <v>0</v>
      </c>
      <c r="ER294" s="18">
        <f>IFERROR(DI294/'McDonough &amp; Sun 1995 values'!I$2,)</f>
        <v>0</v>
      </c>
      <c r="ES294" s="18">
        <f>IFERROR(CM294/'McDonough &amp; Sun 1995 values'!J$2,)</f>
        <v>0.19756838905775076</v>
      </c>
      <c r="ET294" s="18">
        <f>IFERROR(CU294/'McDonough &amp; Sun 1995 values'!K$2,)</f>
        <v>1.324074074074074</v>
      </c>
      <c r="EU294" s="18">
        <f>IFERROR(CV294/'McDonough &amp; Sun 1995 values'!L$2,)</f>
        <v>0.42029850746268654</v>
      </c>
      <c r="EV294" s="18">
        <f>IFERROR(CW294/'McDonough &amp; Sun 1995 values'!M$2,)</f>
        <v>0</v>
      </c>
      <c r="EW294" s="18">
        <f>IFERROR(CI294/'McDonough &amp; Sun 1995 values'!N$2,)</f>
        <v>0.20160804020100501</v>
      </c>
      <c r="EX294" s="18">
        <f>IFERROR(CX294/'McDonough &amp; Sun 1995 values'!O$2,)</f>
        <v>0.19519999999999998</v>
      </c>
      <c r="EY294" s="18">
        <f>IFERROR(CY294/'McDonough &amp; Sun 1995 values'!P$2,)</f>
        <v>2.9556650246305417E-2</v>
      </c>
      <c r="EZ294" s="18">
        <f>IFERROR(DH294/'McDonough &amp; Sun 1995 values'!Q$2,)</f>
        <v>0</v>
      </c>
      <c r="FA294" s="18">
        <f>IFERROR(CK294/'McDonough &amp; Sun 1995 values'!R$2,)</f>
        <v>3.5238095238095237E-3</v>
      </c>
      <c r="FB294" s="18">
        <f>IFERROR(CZ294/'McDonough &amp; Sun 1995 values'!S$2,)</f>
        <v>2.5974025974025976E-2</v>
      </c>
      <c r="FC294" s="18">
        <f>IFERROR(BT294/'McDonough &amp; Sun 1995 values'!T$2,)</f>
        <v>0</v>
      </c>
      <c r="FD294" s="18">
        <f>IFERROR(DA294/'McDonough &amp; Sun 1995 values'!U$2,)</f>
        <v>7.3529411764705881E-3</v>
      </c>
      <c r="FE294" s="18">
        <f>IFERROR(DN294/'McDonough &amp; Sun 1995 values'!V$2,)</f>
        <v>0</v>
      </c>
      <c r="FF294" s="18">
        <f>IFERROR(DB294/'McDonough &amp; Sun 1995 values'!W$2,)</f>
        <v>2.9673590504451035E-3</v>
      </c>
      <c r="FG294" s="18">
        <f>IFERROR(CJ294/'McDonough &amp; Sun 1995 values'!X$2,)</f>
        <v>1.1627906976744186E-3</v>
      </c>
      <c r="FH294" s="18">
        <f>IFERROR(DC294/'McDonough &amp; Sun 1995 values'!Y$2,)</f>
        <v>0</v>
      </c>
      <c r="FI294" s="18">
        <f>IFERROR(DD294/'McDonough &amp; Sun 1995 values'!Z$2,)</f>
        <v>0</v>
      </c>
      <c r="FJ294" s="18">
        <f>IFERROR(DE294/'McDonough &amp; Sun 1995 values'!AA$2,)</f>
        <v>0</v>
      </c>
      <c r="FK294" s="18">
        <f>IFERROR(DF294/'McDonough &amp; Sun 1995 values'!AB$2,)</f>
        <v>2.494331065759637E-2</v>
      </c>
      <c r="FL294" s="18">
        <f>IFERROR(DG294/'McDonough &amp; Sun 1995 values'!AC$2,)</f>
        <v>0</v>
      </c>
      <c r="FN294" s="28">
        <f t="shared" si="614"/>
        <v>0</v>
      </c>
      <c r="FO294" s="4">
        <f t="shared" si="620"/>
        <v>15.248659673659674</v>
      </c>
      <c r="FP294" s="4">
        <f t="shared" si="621"/>
        <v>41.447314949201747</v>
      </c>
      <c r="FQ294" s="4">
        <f t="shared" si="622"/>
        <v>6.393468795355588</v>
      </c>
      <c r="FR294" s="4">
        <f t="shared" si="623"/>
        <v>6.7018518518518508</v>
      </c>
      <c r="FS294" s="4">
        <f t="shared" si="624"/>
        <v>0</v>
      </c>
      <c r="FT294" s="4">
        <f t="shared" si="625"/>
        <v>0</v>
      </c>
      <c r="FU294" s="4">
        <f t="shared" si="626"/>
        <v>0</v>
      </c>
      <c r="FV294" s="4">
        <f t="shared" si="627"/>
        <v>0.11922222222222223</v>
      </c>
      <c r="FW294" s="4">
        <f t="shared" si="628"/>
        <v>0</v>
      </c>
      <c r="FX294" s="4">
        <f t="shared" si="629"/>
        <v>1.4074404496386832</v>
      </c>
      <c r="FY294" s="4">
        <f t="shared" si="630"/>
        <v>0</v>
      </c>
      <c r="FZ294" s="4">
        <f t="shared" si="631"/>
        <v>1.7618994437095994</v>
      </c>
      <c r="GA294" s="4">
        <f t="shared" si="632"/>
        <v>0</v>
      </c>
      <c r="GB294" s="4">
        <f t="shared" si="633"/>
        <v>0.8787878787878789</v>
      </c>
      <c r="GC294" s="4">
        <f t="shared" si="634"/>
        <v>0</v>
      </c>
      <c r="GD294" s="4">
        <f t="shared" si="635"/>
        <v>2.3850370060047479</v>
      </c>
      <c r="GE294" s="4">
        <f t="shared" si="636"/>
        <v>36.619318181818187</v>
      </c>
      <c r="GF294" s="4">
        <f t="shared" si="637"/>
        <v>0</v>
      </c>
      <c r="GG294" s="4">
        <f t="shared" si="638"/>
        <v>98.853379953379957</v>
      </c>
      <c r="GH294" s="4">
        <f t="shared" si="639"/>
        <v>0</v>
      </c>
      <c r="GI294" s="4">
        <f t="shared" si="640"/>
        <v>44.797839506172835</v>
      </c>
      <c r="GJ294" s="4">
        <f t="shared" si="641"/>
        <v>446.21296296296299</v>
      </c>
      <c r="GK294" s="4">
        <f t="shared" si="642"/>
        <v>53.083333333333336</v>
      </c>
      <c r="GL294" s="4">
        <f t="shared" si="643"/>
        <v>0</v>
      </c>
      <c r="GM294" s="4">
        <f t="shared" si="644"/>
        <v>15.353773584905662</v>
      </c>
      <c r="GN294" s="4">
        <f t="shared" si="645"/>
        <v>0.14921248963802156</v>
      </c>
      <c r="GO294" s="4">
        <f t="shared" si="646"/>
        <v>0.15425531914893617</v>
      </c>
      <c r="GP294" s="4">
        <f t="shared" si="647"/>
        <v>0</v>
      </c>
      <c r="GQ294" s="27">
        <f t="shared" si="648"/>
        <v>191156.63548162731</v>
      </c>
      <c r="GR294" s="28" t="str">
        <f t="shared" si="649"/>
        <v/>
      </c>
      <c r="GS294" s="28" t="str">
        <f t="shared" si="650"/>
        <v/>
      </c>
      <c r="GT294" s="28" t="str">
        <f t="shared" si="651"/>
        <v/>
      </c>
      <c r="GU294" s="28" t="str">
        <f t="shared" si="652"/>
        <v/>
      </c>
      <c r="GV294" s="28" t="str">
        <f t="shared" si="653"/>
        <v/>
      </c>
      <c r="GW294" s="28" t="str">
        <f t="shared" si="654"/>
        <v/>
      </c>
      <c r="GX294" s="28" t="str">
        <f t="shared" si="655"/>
        <v/>
      </c>
      <c r="GY294" s="28" t="str">
        <f t="shared" si="656"/>
        <v/>
      </c>
      <c r="GZ294" s="28" t="str">
        <f t="shared" si="657"/>
        <v/>
      </c>
      <c r="HA294" s="28" t="str">
        <f t="shared" si="658"/>
        <v/>
      </c>
      <c r="HB294" s="28" t="str">
        <f t="shared" si="659"/>
        <v/>
      </c>
      <c r="HC294" s="28" t="str">
        <f t="shared" si="660"/>
        <v/>
      </c>
      <c r="HD294" s="28" t="str">
        <f t="shared" si="661"/>
        <v/>
      </c>
      <c r="HE294" s="28" t="str">
        <f t="shared" si="662"/>
        <v/>
      </c>
      <c r="HF294" s="28" t="str">
        <f t="shared" si="663"/>
        <v/>
      </c>
      <c r="HG294" s="28" t="str">
        <f t="shared" si="664"/>
        <v/>
      </c>
      <c r="HH294" s="28" t="str">
        <f t="shared" si="665"/>
        <v/>
      </c>
      <c r="HI294" s="28" t="str">
        <f t="shared" si="666"/>
        <v/>
      </c>
      <c r="HJ294" s="28" t="str">
        <f t="shared" si="667"/>
        <v/>
      </c>
      <c r="HK294" s="28" t="str">
        <f t="shared" si="668"/>
        <v/>
      </c>
      <c r="HL294" s="28" t="str">
        <f t="shared" si="669"/>
        <v/>
      </c>
      <c r="HM294" s="28" t="str">
        <f t="shared" si="670"/>
        <v/>
      </c>
      <c r="HN294" s="28" t="str">
        <f t="shared" si="671"/>
        <v/>
      </c>
      <c r="HO294" s="28" t="str">
        <f t="shared" si="672"/>
        <v/>
      </c>
      <c r="HP294" s="28" t="str">
        <f t="shared" si="673"/>
        <v/>
      </c>
      <c r="HQ294" s="28" t="str">
        <f t="shared" si="674"/>
        <v/>
      </c>
      <c r="HR294" s="28" t="str">
        <f t="shared" si="675"/>
        <v/>
      </c>
      <c r="HT294" s="4">
        <f>IFERROR(GR294/'McDonough &amp; Sun 1995 values'!C$2,)</f>
        <v>0</v>
      </c>
      <c r="HU294" s="4">
        <f>IFERROR(GS294/'McDonough &amp; Sun 1995 values'!D$2,)</f>
        <v>0</v>
      </c>
      <c r="HV294" s="4">
        <f>IFERROR(GT294/'McDonough &amp; Sun 1995 values'!E$2,)</f>
        <v>0</v>
      </c>
      <c r="HW294" s="4">
        <f>IFERROR(GU294/'McDonough &amp; Sun 1995 values'!F$2,)</f>
        <v>0</v>
      </c>
      <c r="HX294" s="4">
        <f>IFERROR(GV294/'McDonough &amp; Sun 1995 values'!G$2,)</f>
        <v>0</v>
      </c>
      <c r="HY294" s="4">
        <f>IFERROR(GW294/'McDonough &amp; Sun 1995 values'!H$2,)</f>
        <v>0</v>
      </c>
      <c r="HZ294" s="4">
        <f>IFERROR(GX294/'McDonough &amp; Sun 1995 values'!I$2,)</f>
        <v>0</v>
      </c>
      <c r="IA294" s="4">
        <f>IFERROR(GY294/'McDonough &amp; Sun 1995 values'!J$2,)</f>
        <v>0</v>
      </c>
      <c r="IB294" s="4">
        <f>IFERROR(GZ294/'McDonough &amp; Sun 1995 values'!K$2,)</f>
        <v>0</v>
      </c>
      <c r="IC294" s="4">
        <f>IFERROR(HA294/'McDonough &amp; Sun 1995 values'!L$2,)</f>
        <v>0</v>
      </c>
      <c r="ID294" s="4">
        <f>IFERROR(HB294/'McDonough &amp; Sun 1995 values'!M$2,)</f>
        <v>0</v>
      </c>
      <c r="IE294" s="4">
        <f>IFERROR(HC294/'McDonough &amp; Sun 1995 values'!N$2,)</f>
        <v>0</v>
      </c>
      <c r="IF294" s="4">
        <f>IFERROR(HD294/'McDonough &amp; Sun 1995 values'!O$2,)</f>
        <v>0</v>
      </c>
      <c r="IG294" s="4">
        <f>IFERROR(HE294/'McDonough &amp; Sun 1995 values'!P$2,)</f>
        <v>0</v>
      </c>
      <c r="IH294" s="4">
        <f>IFERROR(HF294/'McDonough &amp; Sun 1995 values'!Q$2,)</f>
        <v>0</v>
      </c>
      <c r="II294" s="4">
        <f>IFERROR(HG294/'McDonough &amp; Sun 1995 values'!R$2,)</f>
        <v>0</v>
      </c>
      <c r="IJ294" s="4">
        <f>IFERROR(HH294/'McDonough &amp; Sun 1995 values'!S$2,)</f>
        <v>0</v>
      </c>
      <c r="IK294" s="4">
        <f>IFERROR(HI294/'McDonough &amp; Sun 1995 values'!T$2,)</f>
        <v>0</v>
      </c>
      <c r="IL294" s="4">
        <f>IFERROR(HJ294/'McDonough &amp; Sun 1995 values'!U$2,)</f>
        <v>0</v>
      </c>
      <c r="IM294" s="4">
        <f>IFERROR(HK294/'McDonough &amp; Sun 1995 values'!V$2,)</f>
        <v>0</v>
      </c>
      <c r="IN294" s="4">
        <f>IFERROR(HL294/'McDonough &amp; Sun 1995 values'!W$2,)</f>
        <v>0</v>
      </c>
      <c r="IO294" s="4">
        <f>IFERROR(HM294/'McDonough &amp; Sun 1995 values'!X$2,)</f>
        <v>0</v>
      </c>
      <c r="IP294" s="4">
        <f>IFERROR(HN294/'McDonough &amp; Sun 1995 values'!Y$2,)</f>
        <v>0</v>
      </c>
      <c r="IQ294" s="4">
        <f>IFERROR(HO294/'McDonough &amp; Sun 1995 values'!Z$2,)</f>
        <v>0</v>
      </c>
      <c r="IR294" s="4">
        <f>IFERROR(HP294/'McDonough &amp; Sun 1995 values'!AA$2,)</f>
        <v>0</v>
      </c>
      <c r="IS294" s="4">
        <f>IFERROR(HQ294/'McDonough &amp; Sun 1995 values'!AB$2,)</f>
        <v>0</v>
      </c>
      <c r="IT294" s="4">
        <f>IFERROR(HR294/'McDonough &amp; Sun 1995 values'!AC$2,)</f>
        <v>0</v>
      </c>
    </row>
    <row r="295" spans="1:254">
      <c r="A295" s="16" t="s">
        <v>1181</v>
      </c>
      <c r="B295" s="16" t="s">
        <v>24</v>
      </c>
      <c r="C295" s="16" t="str">
        <f t="shared" si="617"/>
        <v>silicic - low-Mg carbonatitic</v>
      </c>
      <c r="D295" s="16" t="s">
        <v>819</v>
      </c>
      <c r="E295" s="16" t="s">
        <v>801</v>
      </c>
      <c r="F295" s="16" t="s">
        <v>800</v>
      </c>
      <c r="G295" s="16" t="s">
        <v>829</v>
      </c>
      <c r="H295" s="27">
        <v>0</v>
      </c>
      <c r="I295" s="16" t="s">
        <v>712</v>
      </c>
      <c r="J295" s="16" t="s">
        <v>635</v>
      </c>
      <c r="K295" s="16" t="s">
        <v>1169</v>
      </c>
      <c r="L295" s="16" t="s">
        <v>789</v>
      </c>
      <c r="M295" s="16" t="s">
        <v>787</v>
      </c>
      <c r="N295" s="16">
        <v>25</v>
      </c>
      <c r="O295" s="26">
        <v>28.578321596262803</v>
      </c>
      <c r="P295" s="26">
        <v>1.4543903536437859</v>
      </c>
      <c r="Q295" s="26"/>
      <c r="R295" s="26">
        <v>3.5835299918124588</v>
      </c>
      <c r="S295" s="26">
        <v>12.625237470158057</v>
      </c>
      <c r="T295" s="26">
        <v>6.635966998684613</v>
      </c>
      <c r="U295" s="26"/>
      <c r="V295" s="26">
        <v>18.855879543076515</v>
      </c>
      <c r="W295" s="26">
        <v>4.301734661548454</v>
      </c>
      <c r="X295" s="26">
        <v>11.913290244351634</v>
      </c>
      <c r="Y295" s="26"/>
      <c r="Z295" s="26">
        <v>5.5493004596843294</v>
      </c>
      <c r="AA295" s="26"/>
      <c r="AB295" s="26">
        <v>4.2785794123340093</v>
      </c>
      <c r="AC295" s="26"/>
      <c r="AD295" s="26">
        <v>2.8706839647177613</v>
      </c>
      <c r="AE295" s="26"/>
      <c r="AF295" s="26"/>
      <c r="AG295" s="26"/>
      <c r="AH295" s="26"/>
      <c r="AI295" s="26">
        <v>3.4</v>
      </c>
      <c r="AJ295" s="26">
        <f t="shared" si="618"/>
        <v>100.64691469627441</v>
      </c>
      <c r="AK295" s="26">
        <f t="shared" si="678"/>
        <v>28.578582356557941</v>
      </c>
      <c r="AL295" s="26">
        <f t="shared" si="679"/>
        <v>1.4544036240962366</v>
      </c>
      <c r="AM295" s="26">
        <f t="shared" si="680"/>
        <v>3.5835626894058135</v>
      </c>
      <c r="AN295" s="26">
        <f t="shared" si="681"/>
        <v>12.625352667988615</v>
      </c>
      <c r="AO295" s="26">
        <f t="shared" si="682"/>
        <v>6.6360275479617039</v>
      </c>
      <c r="AP295" s="26">
        <f t="shared" si="683"/>
        <v>18.856051591833761</v>
      </c>
      <c r="AQ295" s="26">
        <f t="shared" si="684"/>
        <v>4.2786184518425605</v>
      </c>
      <c r="AR295" s="26">
        <f t="shared" si="685"/>
        <v>4.3017739123349701</v>
      </c>
      <c r="AS295" s="26">
        <f t="shared" si="686"/>
        <v>11.913398946084511</v>
      </c>
      <c r="AT295" s="26">
        <f t="shared" si="687"/>
        <v>5.5493510937714579</v>
      </c>
      <c r="AU295" s="26">
        <f t="shared" si="688"/>
        <v>2.8707101580124017</v>
      </c>
      <c r="AV295" s="26">
        <f t="shared" si="619"/>
        <v>100.64783303988997</v>
      </c>
      <c r="AW295" s="26">
        <v>12.7</v>
      </c>
      <c r="AX295" s="26">
        <v>16.399999999999999</v>
      </c>
      <c r="AY295" s="94"/>
      <c r="AZ295" s="94"/>
      <c r="BA295" s="26">
        <v>0.24</v>
      </c>
      <c r="BB295" s="26"/>
      <c r="BC295" s="26">
        <f>(AX295/18.02)/((AX295/18.02)+(AW295/44.01))</f>
        <v>0.75925766185786514</v>
      </c>
      <c r="BD295" s="26">
        <f>(AW295/44.01)/((AX295/18.02)+(AW295/44.01))</f>
        <v>0.24074233814213492</v>
      </c>
      <c r="BE295" s="16"/>
      <c r="BF295" s="16"/>
      <c r="BG295" s="16"/>
      <c r="BH295" s="16"/>
      <c r="BI295" s="16"/>
      <c r="BJ295" s="16"/>
      <c r="BK295" s="18"/>
      <c r="BL295" s="18"/>
      <c r="BM295" s="18"/>
      <c r="BN295" s="18"/>
      <c r="BO295" s="18"/>
      <c r="BP295" s="18"/>
      <c r="BQ295" s="18"/>
      <c r="BR295" s="18">
        <v>159</v>
      </c>
      <c r="BS295" s="18"/>
      <c r="BT295" s="18">
        <v>21</v>
      </c>
      <c r="BU295" s="18"/>
      <c r="BV295" s="18"/>
      <c r="BW295" s="18"/>
      <c r="BX295" s="18"/>
      <c r="BY295" s="18"/>
      <c r="BZ295" s="18"/>
      <c r="CA295" s="18"/>
      <c r="CB295" s="18"/>
      <c r="CC295" s="18"/>
      <c r="CD295" s="18"/>
      <c r="CE295" s="18"/>
      <c r="CF295" s="18"/>
      <c r="CG295" s="18"/>
      <c r="CH295" s="18">
        <v>0.54</v>
      </c>
      <c r="CI295" s="18">
        <v>6</v>
      </c>
      <c r="CJ295" s="18">
        <v>0.22</v>
      </c>
      <c r="CK295" s="18">
        <v>1.6</v>
      </c>
      <c r="CL295" s="18"/>
      <c r="CM295" s="18">
        <v>0.15</v>
      </c>
      <c r="CN295" s="18"/>
      <c r="CO295" s="18"/>
      <c r="CP295" s="18"/>
      <c r="CQ295" s="18"/>
      <c r="CR295" s="18">
        <v>1.2E-2</v>
      </c>
      <c r="CS295" s="18">
        <v>29</v>
      </c>
      <c r="CT295" s="18"/>
      <c r="CU295" s="18">
        <v>2.2999999999999998</v>
      </c>
      <c r="CV295" s="18">
        <v>3.2</v>
      </c>
      <c r="CW295" s="18">
        <v>0.38</v>
      </c>
      <c r="CX295" s="18">
        <v>2.7</v>
      </c>
      <c r="CY295" s="18">
        <v>0.24</v>
      </c>
      <c r="CZ295" s="18">
        <v>5.8999999999999997E-2</v>
      </c>
      <c r="DA295" s="18">
        <v>0.16</v>
      </c>
      <c r="DB295" s="18">
        <v>6.9000000000000006E-2</v>
      </c>
      <c r="DC295" s="18">
        <v>0.01</v>
      </c>
      <c r="DD295" s="18">
        <v>1.9E-2</v>
      </c>
      <c r="DE295" s="18"/>
      <c r="DF295" s="18">
        <v>1.0999999999999999E-2</v>
      </c>
      <c r="DG295" s="18">
        <v>2E-3</v>
      </c>
      <c r="DH295" s="18">
        <v>4.1000000000000002E-2</v>
      </c>
      <c r="DI295" s="18">
        <v>0.01</v>
      </c>
      <c r="DJ295" s="18"/>
      <c r="DK295" s="18"/>
      <c r="DL295" s="18">
        <v>0.33</v>
      </c>
      <c r="DM295" s="18">
        <v>5.6000000000000001E-2</v>
      </c>
      <c r="DN295" s="18"/>
      <c r="DO295" s="18"/>
      <c r="DP295" s="18"/>
      <c r="DQ295" s="18"/>
      <c r="DR295" s="18"/>
      <c r="DS295" s="18"/>
      <c r="DT295" s="18"/>
      <c r="DU295" s="18"/>
      <c r="DV295" s="28"/>
      <c r="DW295" s="28"/>
      <c r="DX295" s="28"/>
      <c r="DY295" s="28"/>
      <c r="DZ295" s="28"/>
      <c r="EA295" s="28"/>
      <c r="EB295" s="28"/>
      <c r="EC295" s="28"/>
      <c r="ED295" s="28"/>
      <c r="EE295" s="28"/>
      <c r="EF295" s="28"/>
      <c r="EG295" s="28"/>
      <c r="EH295" s="28"/>
      <c r="EI295" s="28"/>
      <c r="EJ295" s="18"/>
      <c r="EK295" s="18"/>
      <c r="EL295" s="18">
        <f>IFERROR(CR295/'McDonough &amp; Sun 1995 values'!C$2,)</f>
        <v>0.5714285714285714</v>
      </c>
      <c r="EM295" s="18">
        <f>IFERROR(CH295/'McDonough &amp; Sun 1995 values'!D$2,)</f>
        <v>0.90000000000000013</v>
      </c>
      <c r="EN295" s="18">
        <f>IFERROR(CS295/'McDonough &amp; Sun 1995 values'!E$2,)</f>
        <v>4.3939393939393945</v>
      </c>
      <c r="EO295" s="18">
        <f>IFERROR(DL295/'McDonough &amp; Sun 1995 values'!F$2,)</f>
        <v>4.1509433962264151</v>
      </c>
      <c r="EP295" s="18">
        <f>IFERROR(DM295/'McDonough &amp; Sun 1995 values'!G$2,)</f>
        <v>2.7586206896551726</v>
      </c>
      <c r="EQ295" s="18">
        <f>IFERROR(BR295/'McDonough &amp; Sun 1995 values'!H$2,)</f>
        <v>0.66249999999999998</v>
      </c>
      <c r="ER295" s="18">
        <f>IFERROR(DI295/'McDonough &amp; Sun 1995 values'!I$2,)</f>
        <v>0.27027027027027029</v>
      </c>
      <c r="ES295" s="18">
        <f>IFERROR(CM295/'McDonough &amp; Sun 1995 values'!J$2,)</f>
        <v>0.22796352583586624</v>
      </c>
      <c r="ET295" s="18">
        <f>IFERROR(CU295/'McDonough &amp; Sun 1995 values'!K$2,)</f>
        <v>3.5493827160493825</v>
      </c>
      <c r="EU295" s="18">
        <f>IFERROR(CV295/'McDonough &amp; Sun 1995 values'!L$2,)</f>
        <v>1.9104477611940298</v>
      </c>
      <c r="EV295" s="18">
        <f>IFERROR(CW295/'McDonough &amp; Sun 1995 values'!M$2,)</f>
        <v>1.4960629921259843</v>
      </c>
      <c r="EW295" s="18">
        <f>IFERROR(CI295/'McDonough &amp; Sun 1995 values'!N$2,)</f>
        <v>0.30150753768844224</v>
      </c>
      <c r="EX295" s="18">
        <f>IFERROR(CX295/'McDonough &amp; Sun 1995 values'!O$2,)</f>
        <v>2.16</v>
      </c>
      <c r="EY295" s="18">
        <f>IFERROR(CY295/'McDonough &amp; Sun 1995 values'!P$2,)</f>
        <v>0.59113300492610832</v>
      </c>
      <c r="EZ295" s="18">
        <f>IFERROR(DH295/'McDonough &amp; Sun 1995 values'!Q$2,)</f>
        <v>0.14487632508833925</v>
      </c>
      <c r="FA295" s="18">
        <f>IFERROR(CK295/'McDonough &amp; Sun 1995 values'!R$2,)</f>
        <v>0.15238095238095239</v>
      </c>
      <c r="FB295" s="18">
        <f>IFERROR(CZ295/'McDonough &amp; Sun 1995 values'!S$2,)</f>
        <v>0.38311688311688308</v>
      </c>
      <c r="FC295" s="18">
        <f>IFERROR(BT295/'McDonough &amp; Sun 1995 values'!T$2,)</f>
        <v>1.7427385892116183E-2</v>
      </c>
      <c r="FD295" s="18">
        <f>IFERROR(DA295/'McDonough &amp; Sun 1995 values'!U$2,)</f>
        <v>0.29411764705882354</v>
      </c>
      <c r="FE295" s="18">
        <f>IFERROR(DN295/'McDonough &amp; Sun 1995 values'!V$2,)</f>
        <v>0</v>
      </c>
      <c r="FF295" s="18">
        <f>IFERROR(DB295/'McDonough &amp; Sun 1995 values'!W$2,)</f>
        <v>0.10237388724035608</v>
      </c>
      <c r="FG295" s="18">
        <f>IFERROR(CJ295/'McDonough &amp; Sun 1995 values'!X$2,)</f>
        <v>5.1162790697674418E-2</v>
      </c>
      <c r="FH295" s="18">
        <f>IFERROR(DC295/'McDonough &amp; Sun 1995 values'!Y$2,)</f>
        <v>6.7114093959731544E-2</v>
      </c>
      <c r="FI295" s="18">
        <f>IFERROR(DD295/'McDonough &amp; Sun 1995 values'!Z$2,)</f>
        <v>4.3378995433789952E-2</v>
      </c>
      <c r="FJ295" s="18">
        <f>IFERROR(DE295/'McDonough &amp; Sun 1995 values'!AA$2,)</f>
        <v>0</v>
      </c>
      <c r="FK295" s="18">
        <f>IFERROR(DF295/'McDonough &amp; Sun 1995 values'!AB$2,)</f>
        <v>2.494331065759637E-2</v>
      </c>
      <c r="FL295" s="18">
        <f>IFERROR(DG295/'McDonough &amp; Sun 1995 values'!AC$2,)</f>
        <v>2.9629629629629627E-2</v>
      </c>
      <c r="FN295" s="28">
        <f t="shared" si="614"/>
        <v>4.1639557579700721</v>
      </c>
      <c r="FO295" s="4">
        <f t="shared" si="620"/>
        <v>1.5928030303030305</v>
      </c>
      <c r="FP295" s="4">
        <f t="shared" si="621"/>
        <v>18.208805031446541</v>
      </c>
      <c r="FQ295" s="4">
        <f t="shared" si="622"/>
        <v>1.5047169811320753</v>
      </c>
      <c r="FR295" s="4">
        <f t="shared" si="623"/>
        <v>15.569958847736626</v>
      </c>
      <c r="FS295" s="4">
        <f t="shared" si="624"/>
        <v>13.132716049382715</v>
      </c>
      <c r="FT295" s="4">
        <f t="shared" si="625"/>
        <v>1.5750000000000004</v>
      </c>
      <c r="FU295" s="4">
        <f t="shared" si="626"/>
        <v>1.1855855855855857</v>
      </c>
      <c r="FV295" s="4">
        <f t="shared" si="627"/>
        <v>0.25777777777777783</v>
      </c>
      <c r="FW295" s="4">
        <f t="shared" si="628"/>
        <v>1.0518002322880371</v>
      </c>
      <c r="FX295" s="4">
        <f t="shared" si="629"/>
        <v>0.86555572087486976</v>
      </c>
      <c r="FY295" s="4">
        <f t="shared" si="630"/>
        <v>0.16772444304185247</v>
      </c>
      <c r="FZ295" s="4">
        <f t="shared" si="631"/>
        <v>0.91881514525669916</v>
      </c>
      <c r="GA295" s="4">
        <f t="shared" si="632"/>
        <v>0.20153398571806402</v>
      </c>
      <c r="GB295" s="4">
        <f t="shared" si="633"/>
        <v>0.64810606060606057</v>
      </c>
      <c r="GC295" s="4">
        <f t="shared" si="634"/>
        <v>0.63492063492063477</v>
      </c>
      <c r="GD295" s="4">
        <f t="shared" si="635"/>
        <v>1.0585399449035815</v>
      </c>
      <c r="GE295" s="4">
        <f t="shared" si="636"/>
        <v>4.8821548821548824</v>
      </c>
      <c r="GF295" s="4">
        <f t="shared" si="637"/>
        <v>6.6323613493424824</v>
      </c>
      <c r="GG295" s="4">
        <f t="shared" si="638"/>
        <v>19.274747474747478</v>
      </c>
      <c r="GH295" s="4">
        <f t="shared" si="639"/>
        <v>2.3724821312540607</v>
      </c>
      <c r="GI295" s="4">
        <f t="shared" si="640"/>
        <v>6.0043724279835393</v>
      </c>
      <c r="GJ295" s="4">
        <f t="shared" si="641"/>
        <v>34.670781893004111</v>
      </c>
      <c r="GK295" s="4">
        <f t="shared" si="642"/>
        <v>142.29797979797979</v>
      </c>
      <c r="GL295" s="4">
        <f t="shared" si="643"/>
        <v>8.7437641723356005</v>
      </c>
      <c r="GM295" s="4">
        <f t="shared" si="644"/>
        <v>4.6121593291404608</v>
      </c>
      <c r="GN295" s="4">
        <f t="shared" si="645"/>
        <v>6.422624553984406E-2</v>
      </c>
      <c r="GO295" s="4">
        <f t="shared" si="646"/>
        <v>8.2636778115501505E-2</v>
      </c>
      <c r="GP295" s="4">
        <f t="shared" si="647"/>
        <v>0.24015624999999999</v>
      </c>
      <c r="GQ295" s="27">
        <f t="shared" si="648"/>
        <v>98897.568910399219</v>
      </c>
      <c r="GR295" s="28">
        <f t="shared" si="649"/>
        <v>7.4639674649357906</v>
      </c>
      <c r="GS295" s="28">
        <f t="shared" si="650"/>
        <v>335.87853592211059</v>
      </c>
      <c r="GT295" s="28">
        <f t="shared" si="651"/>
        <v>18037.921373594825</v>
      </c>
      <c r="GU295" s="28">
        <f t="shared" si="652"/>
        <v>205.25910528573422</v>
      </c>
      <c r="GV295" s="28">
        <f t="shared" si="653"/>
        <v>34.831848169700351</v>
      </c>
      <c r="GW295" s="28">
        <f t="shared" si="654"/>
        <v>98897.568910399219</v>
      </c>
      <c r="GX295" s="28">
        <f t="shared" si="655"/>
        <v>6.2199728874464917</v>
      </c>
      <c r="GY295" s="28">
        <f t="shared" si="656"/>
        <v>93.299593311697379</v>
      </c>
      <c r="GZ295" s="28">
        <f t="shared" si="657"/>
        <v>1430.593764112693</v>
      </c>
      <c r="HA295" s="28">
        <f t="shared" si="658"/>
        <v>1990.3913239828776</v>
      </c>
      <c r="HB295" s="28">
        <f t="shared" si="659"/>
        <v>236.35896972296669</v>
      </c>
      <c r="HC295" s="28">
        <f t="shared" si="660"/>
        <v>3731.9837324678947</v>
      </c>
      <c r="HD295" s="28">
        <f t="shared" si="661"/>
        <v>1679.3926796105527</v>
      </c>
      <c r="HE295" s="28">
        <f t="shared" si="662"/>
        <v>149.2793492987158</v>
      </c>
      <c r="HF295" s="28">
        <f t="shared" si="663"/>
        <v>25.501888838530618</v>
      </c>
      <c r="HG295" s="28">
        <f t="shared" si="664"/>
        <v>995.19566199143878</v>
      </c>
      <c r="HH295" s="28">
        <f t="shared" si="665"/>
        <v>36.697840035934298</v>
      </c>
      <c r="HI295" s="28">
        <f t="shared" si="666"/>
        <v>13061.943063637633</v>
      </c>
      <c r="HJ295" s="28">
        <f t="shared" si="667"/>
        <v>99.519566199143867</v>
      </c>
      <c r="HK295" s="28">
        <f t="shared" si="668"/>
        <v>0</v>
      </c>
      <c r="HL295" s="28">
        <f t="shared" si="669"/>
        <v>42.917812923380801</v>
      </c>
      <c r="HM295" s="28">
        <f t="shared" si="670"/>
        <v>136.83940352382282</v>
      </c>
      <c r="HN295" s="28">
        <f t="shared" si="671"/>
        <v>6.2199728874464917</v>
      </c>
      <c r="HO295" s="28">
        <f t="shared" si="672"/>
        <v>11.817948486148333</v>
      </c>
      <c r="HP295" s="28">
        <f t="shared" si="673"/>
        <v>0</v>
      </c>
      <c r="HQ295" s="28">
        <f t="shared" si="674"/>
        <v>6.8419701761911407</v>
      </c>
      <c r="HR295" s="28">
        <f t="shared" si="675"/>
        <v>1.2439945774892984</v>
      </c>
      <c r="HT295" s="4">
        <f>IFERROR(GR295/'McDonough &amp; Sun 1995 values'!C$2,)</f>
        <v>355.42702213979953</v>
      </c>
      <c r="HU295" s="4">
        <f>IFERROR(GS295/'McDonough &amp; Sun 1995 values'!D$2,)</f>
        <v>559.79755987018439</v>
      </c>
      <c r="HV295" s="4">
        <f>IFERROR(GT295/'McDonough &amp; Sun 1995 values'!E$2,)</f>
        <v>2733.0183899386102</v>
      </c>
      <c r="HW295" s="4">
        <f>IFERROR(GU295/'McDonough &amp; Sun 1995 values'!F$2,)</f>
        <v>2581.8755381853362</v>
      </c>
      <c r="HX295" s="4">
        <f>IFERROR(GV295/'McDonough &amp; Sun 1995 values'!G$2,)</f>
        <v>1715.8545896404114</v>
      </c>
      <c r="HY295" s="4">
        <f>IFERROR(GW295/'McDonough &amp; Sun 1995 values'!H$2,)</f>
        <v>412.07320379333009</v>
      </c>
      <c r="HZ295" s="4">
        <f>IFERROR(GX295/'McDonough &amp; Sun 1995 values'!I$2,)</f>
        <v>168.10737533639167</v>
      </c>
      <c r="IA295" s="4">
        <f>IFERROR(GY295/'McDonough &amp; Sun 1995 values'!J$2,)</f>
        <v>141.79269500257959</v>
      </c>
      <c r="IB295" s="4">
        <f>IFERROR(GZ295/'McDonough &amp; Sun 1995 values'!K$2,)</f>
        <v>2207.7064260998345</v>
      </c>
      <c r="IC295" s="4">
        <f>IFERROR(HA295/'McDonough &amp; Sun 1995 values'!L$2,)</f>
        <v>1188.2933277509717</v>
      </c>
      <c r="ID295" s="4">
        <f>IFERROR(HB295/'McDonough &amp; Sun 1995 values'!M$2,)</f>
        <v>930.54712489356962</v>
      </c>
      <c r="IE295" s="4">
        <f>IFERROR(HC295/'McDonough &amp; Sun 1995 values'!N$2,)</f>
        <v>187.53687097828617</v>
      </c>
      <c r="IF295" s="4">
        <f>IFERROR(HD295/'McDonough &amp; Sun 1995 values'!O$2,)</f>
        <v>1343.5141436884421</v>
      </c>
      <c r="IG295" s="4">
        <f>IFERROR(HE295/'McDonough &amp; Sun 1995 values'!P$2,)</f>
        <v>367.68312635151671</v>
      </c>
      <c r="IH295" s="4">
        <f>IFERROR(HF295/'McDonough &amp; Sun 1995 values'!Q$2,)</f>
        <v>90.112681408235403</v>
      </c>
      <c r="II295" s="4">
        <f>IFERROR(HG295/'McDonough &amp; Sun 1995 values'!R$2,)</f>
        <v>94.780539237279882</v>
      </c>
      <c r="IJ295" s="4">
        <f>IFERROR(HH295/'McDonough &amp; Sun 1995 values'!S$2,)</f>
        <v>238.29766257100195</v>
      </c>
      <c r="IK295" s="4">
        <f>IFERROR(HI295/'McDonough &amp; Sun 1995 values'!T$2,)</f>
        <v>10.839786774803015</v>
      </c>
      <c r="IL295" s="4">
        <f>IFERROR(HJ295/'McDonough &amp; Sun 1995 values'!U$2,)</f>
        <v>182.94037904254387</v>
      </c>
      <c r="IM295" s="4">
        <f>IFERROR(HK295/'McDonough &amp; Sun 1995 values'!V$2,)</f>
        <v>0</v>
      </c>
      <c r="IN295" s="4">
        <f>IFERROR(HL295/'McDonough &amp; Sun 1995 values'!W$2,)</f>
        <v>63.676280301751923</v>
      </c>
      <c r="IO295" s="4">
        <f>IFERROR(HM295/'McDonough &amp; Sun 1995 values'!X$2,)</f>
        <v>31.823117098563447</v>
      </c>
      <c r="IP295" s="4">
        <f>IFERROR(HN295/'McDonough &amp; Sun 1995 values'!Y$2,)</f>
        <v>41.744784479506656</v>
      </c>
      <c r="IQ295" s="4">
        <f>IFERROR(HO295/'McDonough &amp; Sun 1995 values'!Z$2,)</f>
        <v>26.981617548283868</v>
      </c>
      <c r="IR295" s="4">
        <f>IFERROR(HP295/'McDonough &amp; Sun 1995 values'!AA$2,)</f>
        <v>0</v>
      </c>
      <c r="IS295" s="4">
        <f>IFERROR(HQ295/'McDonough &amp; Sun 1995 values'!AB$2,)</f>
        <v>15.514671601340455</v>
      </c>
      <c r="IT295" s="4">
        <f>IFERROR(HR295/'McDonough &amp; Sun 1995 values'!AC$2,)</f>
        <v>18.429549296137754</v>
      </c>
    </row>
    <row r="296" spans="1:254">
      <c r="A296" s="16" t="s">
        <v>1181</v>
      </c>
      <c r="B296" s="16" t="s">
        <v>24</v>
      </c>
      <c r="C296" s="16" t="str">
        <f t="shared" si="617"/>
        <v>silicic - low-Mg carbonatitic</v>
      </c>
      <c r="D296" s="16" t="s">
        <v>110</v>
      </c>
      <c r="E296" s="16" t="s">
        <v>801</v>
      </c>
      <c r="F296" s="16" t="s">
        <v>800</v>
      </c>
      <c r="G296" s="16" t="s">
        <v>829</v>
      </c>
      <c r="H296" s="27">
        <v>0</v>
      </c>
      <c r="I296" s="16" t="s">
        <v>712</v>
      </c>
      <c r="J296" s="16" t="s">
        <v>635</v>
      </c>
      <c r="K296" s="16" t="s">
        <v>1169</v>
      </c>
      <c r="L296" s="16" t="s">
        <v>99</v>
      </c>
      <c r="M296" s="16" t="s">
        <v>787</v>
      </c>
      <c r="N296" s="16">
        <v>26</v>
      </c>
      <c r="O296" s="26">
        <v>37.086907435282363</v>
      </c>
      <c r="P296" s="26">
        <v>1.9609993626234847</v>
      </c>
      <c r="Q296" s="26"/>
      <c r="R296" s="26">
        <v>4.1034338963340451</v>
      </c>
      <c r="S296" s="26">
        <v>11.448278713798381</v>
      </c>
      <c r="T296" s="26">
        <v>5.3304980035367002</v>
      </c>
      <c r="U296" s="26"/>
      <c r="V296" s="26">
        <v>9.5735563738774765</v>
      </c>
      <c r="W296" s="26">
        <v>3.867381650788638</v>
      </c>
      <c r="X296" s="26">
        <v>14.301205524232882</v>
      </c>
      <c r="Y296" s="26"/>
      <c r="Z296" s="26">
        <v>5.5385503218421199</v>
      </c>
      <c r="AA296" s="26"/>
      <c r="AB296" s="26">
        <v>3.5793493892127546</v>
      </c>
      <c r="AC296" s="26"/>
      <c r="AD296" s="26">
        <v>4.1436107694809401</v>
      </c>
      <c r="AE296" s="26"/>
      <c r="AF296" s="26"/>
      <c r="AG296" s="26"/>
      <c r="AH296" s="26"/>
      <c r="AI296" s="26">
        <v>3.3</v>
      </c>
      <c r="AJ296" s="26">
        <f t="shared" si="618"/>
        <v>100.9337714410098</v>
      </c>
      <c r="AK296" s="26">
        <f t="shared" si="678"/>
        <v>37.087395885932573</v>
      </c>
      <c r="AL296" s="26">
        <f t="shared" si="679"/>
        <v>1.9610251898352953</v>
      </c>
      <c r="AM296" s="26">
        <f t="shared" si="680"/>
        <v>4.1034879403375317</v>
      </c>
      <c r="AN296" s="26">
        <f t="shared" si="681"/>
        <v>11.448429492592521</v>
      </c>
      <c r="AO296" s="26">
        <f t="shared" si="682"/>
        <v>5.3305682085064809</v>
      </c>
      <c r="AP296" s="26">
        <f t="shared" si="683"/>
        <v>9.5736824617656016</v>
      </c>
      <c r="AQ296" s="26">
        <f t="shared" si="684"/>
        <v>3.5793965307960618</v>
      </c>
      <c r="AR296" s="26">
        <f t="shared" si="685"/>
        <v>3.8674325858817089</v>
      </c>
      <c r="AS296" s="26">
        <f t="shared" si="686"/>
        <v>14.301393877310023</v>
      </c>
      <c r="AT296" s="26">
        <f t="shared" si="687"/>
        <v>5.5386232669511353</v>
      </c>
      <c r="AU296" s="26">
        <f t="shared" si="688"/>
        <v>4.1436653426312651</v>
      </c>
      <c r="AV296" s="26">
        <f t="shared" si="619"/>
        <v>100.93510078254019</v>
      </c>
      <c r="AW296" s="26">
        <v>7.8</v>
      </c>
      <c r="AX296" s="26">
        <v>10.1</v>
      </c>
      <c r="AY296" s="94"/>
      <c r="AZ296" s="94"/>
      <c r="BA296" s="26">
        <v>0.24</v>
      </c>
      <c r="BB296" s="26"/>
      <c r="BC296" s="26">
        <f>(AX296/18.02)/((AX296/18.02)+(AW296/44.01))</f>
        <v>0.75975674165081342</v>
      </c>
      <c r="BD296" s="26">
        <f>(AW296/44.01)/((AX296/18.02)+(AW296/44.01))</f>
        <v>0.24024325834918647</v>
      </c>
      <c r="BE296" s="16"/>
      <c r="BF296" s="16"/>
      <c r="BG296" s="16"/>
      <c r="BH296" s="16"/>
      <c r="BI296" s="16"/>
      <c r="BJ296" s="16"/>
      <c r="BK296" s="18"/>
      <c r="BL296" s="18"/>
      <c r="BM296" s="18"/>
      <c r="BN296" s="18"/>
      <c r="BO296" s="18"/>
      <c r="BP296" s="18"/>
      <c r="BQ296" s="18"/>
      <c r="BR296" s="18">
        <v>137</v>
      </c>
      <c r="BS296" s="18"/>
      <c r="BT296" s="18">
        <v>24</v>
      </c>
      <c r="BU296" s="18"/>
      <c r="BV296" s="18"/>
      <c r="BW296" s="18"/>
      <c r="BX296" s="18"/>
      <c r="BY296" s="18"/>
      <c r="BZ296" s="18"/>
      <c r="CA296" s="18"/>
      <c r="CB296" s="18"/>
      <c r="CC296" s="18"/>
      <c r="CD296" s="18"/>
      <c r="CE296" s="18"/>
      <c r="CF296" s="18"/>
      <c r="CG296" s="18"/>
      <c r="CH296" s="18">
        <v>0.37</v>
      </c>
      <c r="CI296" s="18">
        <v>4.3</v>
      </c>
      <c r="CJ296" s="18">
        <v>0.18</v>
      </c>
      <c r="CK296" s="18">
        <v>1.8</v>
      </c>
      <c r="CL296" s="18"/>
      <c r="CM296" s="18">
        <v>0.08</v>
      </c>
      <c r="CN296" s="18"/>
      <c r="CO296" s="18"/>
      <c r="CP296" s="18"/>
      <c r="CQ296" s="18"/>
      <c r="CR296" s="18">
        <v>0.01</v>
      </c>
      <c r="CS296" s="18">
        <v>34</v>
      </c>
      <c r="CT296" s="18"/>
      <c r="CU296" s="18">
        <v>2.5</v>
      </c>
      <c r="CV296" s="18">
        <v>3.1</v>
      </c>
      <c r="CW296" s="18">
        <v>0.33</v>
      </c>
      <c r="CX296" s="18">
        <v>1.4</v>
      </c>
      <c r="CY296" s="18">
        <v>0.19</v>
      </c>
      <c r="CZ296" s="18">
        <v>4.2000000000000003E-2</v>
      </c>
      <c r="DA296" s="18">
        <v>0.12</v>
      </c>
      <c r="DB296" s="18">
        <v>4.9000000000000002E-2</v>
      </c>
      <c r="DC296" s="18">
        <v>8.0000000000000002E-3</v>
      </c>
      <c r="DD296" s="18">
        <v>1.4E-2</v>
      </c>
      <c r="DE296" s="18"/>
      <c r="DF296" s="18">
        <v>8.0000000000000002E-3</v>
      </c>
      <c r="DG296" s="18">
        <v>2E-3</v>
      </c>
      <c r="DH296" s="18">
        <v>4.4999999999999998E-2</v>
      </c>
      <c r="DI296" s="18">
        <v>6.0000000000000001E-3</v>
      </c>
      <c r="DJ296" s="18"/>
      <c r="DK296" s="18"/>
      <c r="DL296" s="18">
        <v>0.41</v>
      </c>
      <c r="DM296" s="18">
        <v>0.06</v>
      </c>
      <c r="DN296" s="18"/>
      <c r="DO296" s="18"/>
      <c r="DP296" s="18"/>
      <c r="DQ296" s="18"/>
      <c r="DR296" s="18"/>
      <c r="DS296" s="18"/>
      <c r="DT296" s="18"/>
      <c r="DU296" s="18"/>
      <c r="DV296" s="28"/>
      <c r="DW296" s="28"/>
      <c r="DX296" s="28"/>
      <c r="DY296" s="28"/>
      <c r="DZ296" s="28"/>
      <c r="EA296" s="28"/>
      <c r="EB296" s="28"/>
      <c r="EC296" s="28"/>
      <c r="ED296" s="28"/>
      <c r="EE296" s="28"/>
      <c r="EF296" s="28"/>
      <c r="EG296" s="28"/>
      <c r="EH296" s="28"/>
      <c r="EI296" s="28"/>
      <c r="EJ296" s="18"/>
      <c r="EK296" s="18"/>
      <c r="EL296" s="18">
        <f>IFERROR(CR296/'McDonough &amp; Sun 1995 values'!C$2,)</f>
        <v>0.47619047619047616</v>
      </c>
      <c r="EM296" s="18">
        <f>IFERROR(CH296/'McDonough &amp; Sun 1995 values'!D$2,)</f>
        <v>0.6166666666666667</v>
      </c>
      <c r="EN296" s="18">
        <f>IFERROR(CS296/'McDonough &amp; Sun 1995 values'!E$2,)</f>
        <v>5.1515151515151514</v>
      </c>
      <c r="EO296" s="18">
        <f>IFERROR(DL296/'McDonough &amp; Sun 1995 values'!F$2,)</f>
        <v>5.1572327044025155</v>
      </c>
      <c r="EP296" s="18">
        <f>IFERROR(DM296/'McDonough &amp; Sun 1995 values'!G$2,)</f>
        <v>2.9556650246305418</v>
      </c>
      <c r="EQ296" s="18">
        <f>IFERROR(BR296/'McDonough &amp; Sun 1995 values'!H$2,)</f>
        <v>0.5708333333333333</v>
      </c>
      <c r="ER296" s="18">
        <f>IFERROR(DI296/'McDonough &amp; Sun 1995 values'!I$2,)</f>
        <v>0.16216216216216217</v>
      </c>
      <c r="ES296" s="18">
        <f>IFERROR(CM296/'McDonough &amp; Sun 1995 values'!J$2,)</f>
        <v>0.12158054711246201</v>
      </c>
      <c r="ET296" s="18">
        <f>IFERROR(CU296/'McDonough &amp; Sun 1995 values'!K$2,)</f>
        <v>3.8580246913580245</v>
      </c>
      <c r="EU296" s="18">
        <f>IFERROR(CV296/'McDonough &amp; Sun 1995 values'!L$2,)</f>
        <v>1.8507462686567164</v>
      </c>
      <c r="EV296" s="18">
        <f>IFERROR(CW296/'McDonough &amp; Sun 1995 values'!M$2,)</f>
        <v>1.299212598425197</v>
      </c>
      <c r="EW296" s="18">
        <f>IFERROR(CI296/'McDonough &amp; Sun 1995 values'!N$2,)</f>
        <v>0.21608040201005027</v>
      </c>
      <c r="EX296" s="18">
        <f>IFERROR(CX296/'McDonough &amp; Sun 1995 values'!O$2,)</f>
        <v>1.1199999999999999</v>
      </c>
      <c r="EY296" s="18">
        <f>IFERROR(CY296/'McDonough &amp; Sun 1995 values'!P$2,)</f>
        <v>0.46798029556650245</v>
      </c>
      <c r="EZ296" s="18">
        <f>IFERROR(DH296/'McDonough &amp; Sun 1995 values'!Q$2,)</f>
        <v>0.1590106007067138</v>
      </c>
      <c r="FA296" s="18">
        <f>IFERROR(CK296/'McDonough &amp; Sun 1995 values'!R$2,)</f>
        <v>0.17142857142857143</v>
      </c>
      <c r="FB296" s="18">
        <f>IFERROR(CZ296/'McDonough &amp; Sun 1995 values'!S$2,)</f>
        <v>0.27272727272727276</v>
      </c>
      <c r="FC296" s="18">
        <f>IFERROR(BT296/'McDonough &amp; Sun 1995 values'!T$2,)</f>
        <v>1.9917012448132779E-2</v>
      </c>
      <c r="FD296" s="18">
        <f>IFERROR(DA296/'McDonough &amp; Sun 1995 values'!U$2,)</f>
        <v>0.22058823529411761</v>
      </c>
      <c r="FE296" s="18">
        <f>IFERROR(DN296/'McDonough &amp; Sun 1995 values'!V$2,)</f>
        <v>0</v>
      </c>
      <c r="FF296" s="18">
        <f>IFERROR(DB296/'McDonough &amp; Sun 1995 values'!W$2,)</f>
        <v>7.2700296735905043E-2</v>
      </c>
      <c r="FG296" s="18">
        <f>IFERROR(CJ296/'McDonough &amp; Sun 1995 values'!X$2,)</f>
        <v>4.1860465116279069E-2</v>
      </c>
      <c r="FH296" s="18">
        <f>IFERROR(DC296/'McDonough &amp; Sun 1995 values'!Y$2,)</f>
        <v>5.3691275167785241E-2</v>
      </c>
      <c r="FI296" s="18">
        <f>IFERROR(DD296/'McDonough &amp; Sun 1995 values'!Z$2,)</f>
        <v>3.1963470319634701E-2</v>
      </c>
      <c r="FJ296" s="18">
        <f>IFERROR(DE296/'McDonough &amp; Sun 1995 values'!AA$2,)</f>
        <v>0</v>
      </c>
      <c r="FK296" s="18">
        <f>IFERROR(DF296/'McDonough &amp; Sun 1995 values'!AB$2,)</f>
        <v>1.8140589569160998E-2</v>
      </c>
      <c r="FL296" s="18">
        <f>IFERROR(DG296/'McDonough &amp; Sun 1995 values'!AC$2,)</f>
        <v>2.9629629629629627E-2</v>
      </c>
      <c r="FN296" s="28">
        <f t="shared" si="614"/>
        <v>5.1778073424184674</v>
      </c>
      <c r="FO296" s="4">
        <f t="shared" si="620"/>
        <v>1.742929292929293</v>
      </c>
      <c r="FP296" s="4">
        <f t="shared" si="621"/>
        <v>42.418238993710688</v>
      </c>
      <c r="FQ296" s="4">
        <f t="shared" si="622"/>
        <v>1.7448637316561844</v>
      </c>
      <c r="FR296" s="4">
        <f t="shared" si="623"/>
        <v>31.73225308641975</v>
      </c>
      <c r="FS296" s="4">
        <f t="shared" si="624"/>
        <v>23.791152263374482</v>
      </c>
      <c r="FT296" s="4">
        <f t="shared" si="625"/>
        <v>1.2950000000000002</v>
      </c>
      <c r="FU296" s="4">
        <f t="shared" si="626"/>
        <v>1.3337837837837838</v>
      </c>
      <c r="FV296" s="4">
        <f t="shared" si="627"/>
        <v>0.36631578947368421</v>
      </c>
      <c r="FW296" s="4">
        <f t="shared" si="628"/>
        <v>1.078095238095238</v>
      </c>
      <c r="FX296" s="4">
        <f t="shared" si="629"/>
        <v>0.79215723781741676</v>
      </c>
      <c r="FY296" s="4">
        <f t="shared" si="630"/>
        <v>0.17912914633109592</v>
      </c>
      <c r="FZ296" s="4">
        <f t="shared" si="631"/>
        <v>0.8488356531580219</v>
      </c>
      <c r="GA296" s="4">
        <f t="shared" si="632"/>
        <v>0.16631643063803866</v>
      </c>
      <c r="GB296" s="4">
        <f t="shared" si="633"/>
        <v>0.58277511961722495</v>
      </c>
      <c r="GC296" s="4">
        <f t="shared" si="634"/>
        <v>0.7722007722007721</v>
      </c>
      <c r="GD296" s="4">
        <f t="shared" si="635"/>
        <v>0.99889135254988914</v>
      </c>
      <c r="GE296" s="4">
        <f t="shared" si="636"/>
        <v>8.3538083538083541</v>
      </c>
      <c r="GF296" s="4">
        <f t="shared" si="637"/>
        <v>9.0245520902455212</v>
      </c>
      <c r="GG296" s="4">
        <f t="shared" si="638"/>
        <v>42.371212121212118</v>
      </c>
      <c r="GH296" s="4">
        <f t="shared" si="639"/>
        <v>2.9695099139543579</v>
      </c>
      <c r="GI296" s="4">
        <f t="shared" si="640"/>
        <v>8.2439896036387257</v>
      </c>
      <c r="GJ296" s="4">
        <f t="shared" si="641"/>
        <v>53.067523305618543</v>
      </c>
      <c r="GK296" s="4">
        <f t="shared" si="642"/>
        <v>212.67361111111109</v>
      </c>
      <c r="GL296" s="4">
        <f t="shared" si="643"/>
        <v>8.6071428571428577</v>
      </c>
      <c r="GM296" s="4">
        <f t="shared" si="644"/>
        <v>8.3630800611932674</v>
      </c>
      <c r="GN296" s="4">
        <f t="shared" si="645"/>
        <v>3.1513677811550157E-2</v>
      </c>
      <c r="GO296" s="4">
        <f t="shared" si="646"/>
        <v>4.1134751773049649E-2</v>
      </c>
      <c r="GP296" s="4">
        <f t="shared" si="647"/>
        <v>0.19313194444444443</v>
      </c>
      <c r="GQ296" s="27">
        <f t="shared" si="648"/>
        <v>118721.20566909086</v>
      </c>
      <c r="GR296" s="28">
        <f t="shared" si="649"/>
        <v>8.6657814357000635</v>
      </c>
      <c r="GS296" s="28">
        <f t="shared" si="650"/>
        <v>320.63391312090232</v>
      </c>
      <c r="GT296" s="28">
        <f t="shared" si="651"/>
        <v>29463.656881380215</v>
      </c>
      <c r="GU296" s="28">
        <f t="shared" si="652"/>
        <v>355.29703886370254</v>
      </c>
      <c r="GV296" s="28">
        <f t="shared" si="653"/>
        <v>51.994688614200378</v>
      </c>
      <c r="GW296" s="28">
        <f t="shared" si="654"/>
        <v>118721.20566909086</v>
      </c>
      <c r="GX296" s="28">
        <f t="shared" si="655"/>
        <v>5.1994688614200379</v>
      </c>
      <c r="GY296" s="28">
        <f t="shared" si="656"/>
        <v>69.326251485600508</v>
      </c>
      <c r="GZ296" s="28">
        <f t="shared" si="657"/>
        <v>2166.4453589250156</v>
      </c>
      <c r="HA296" s="28">
        <f t="shared" si="658"/>
        <v>2686.3922450670198</v>
      </c>
      <c r="HB296" s="28">
        <f t="shared" si="659"/>
        <v>285.9707873781021</v>
      </c>
      <c r="HC296" s="28">
        <f t="shared" si="660"/>
        <v>3726.2860173510271</v>
      </c>
      <c r="HD296" s="28">
        <f t="shared" si="661"/>
        <v>1213.2094009980087</v>
      </c>
      <c r="HE296" s="28">
        <f t="shared" si="662"/>
        <v>164.64984727830122</v>
      </c>
      <c r="HF296" s="28">
        <f t="shared" si="663"/>
        <v>38.996016460650281</v>
      </c>
      <c r="HG296" s="28">
        <f t="shared" si="664"/>
        <v>1559.8406584260115</v>
      </c>
      <c r="HH296" s="28">
        <f t="shared" si="665"/>
        <v>36.396282029940267</v>
      </c>
      <c r="HI296" s="28">
        <f t="shared" si="666"/>
        <v>20797.875445680151</v>
      </c>
      <c r="HJ296" s="28">
        <f t="shared" si="667"/>
        <v>103.98937722840076</v>
      </c>
      <c r="HK296" s="28">
        <f t="shared" si="668"/>
        <v>0</v>
      </c>
      <c r="HL296" s="28">
        <f t="shared" si="669"/>
        <v>42.462329034930313</v>
      </c>
      <c r="HM296" s="28">
        <f t="shared" si="670"/>
        <v>155.98406584260113</v>
      </c>
      <c r="HN296" s="28">
        <f t="shared" si="671"/>
        <v>6.9326251485600512</v>
      </c>
      <c r="HO296" s="28">
        <f t="shared" si="672"/>
        <v>12.132094009980088</v>
      </c>
      <c r="HP296" s="28">
        <f t="shared" si="673"/>
        <v>0</v>
      </c>
      <c r="HQ296" s="28">
        <f t="shared" si="674"/>
        <v>6.9326251485600512</v>
      </c>
      <c r="HR296" s="28">
        <f t="shared" si="675"/>
        <v>1.7331562871400128</v>
      </c>
      <c r="HT296" s="4">
        <f>IFERROR(GR296/'McDonough &amp; Sun 1995 values'!C$2,)</f>
        <v>412.65625884286015</v>
      </c>
      <c r="HU296" s="4">
        <f>IFERROR(GS296/'McDonough &amp; Sun 1995 values'!D$2,)</f>
        <v>534.38985520150391</v>
      </c>
      <c r="HV296" s="4">
        <f>IFERROR(GT296/'McDonough &amp; Sun 1995 values'!E$2,)</f>
        <v>4464.1904365727605</v>
      </c>
      <c r="HW296" s="4">
        <f>IFERROR(GU296/'McDonough &amp; Sun 1995 values'!F$2,)</f>
        <v>4469.1451429396548</v>
      </c>
      <c r="HX296" s="4">
        <f>IFERROR(GV296/'McDonough &amp; Sun 1995 values'!G$2,)</f>
        <v>2561.3147100591323</v>
      </c>
      <c r="HY296" s="4">
        <f>IFERROR(GW296/'McDonough &amp; Sun 1995 values'!H$2,)</f>
        <v>494.67169028787862</v>
      </c>
      <c r="HZ296" s="4">
        <f>IFERROR(GX296/'McDonough &amp; Sun 1995 values'!I$2,)</f>
        <v>140.52618544378481</v>
      </c>
      <c r="IA296" s="4">
        <f>IFERROR(GY296/'McDonough &amp; Sun 1995 values'!J$2,)</f>
        <v>105.35904481094302</v>
      </c>
      <c r="IB296" s="4">
        <f>IFERROR(GZ296/'McDonough &amp; Sun 1995 values'!K$2,)</f>
        <v>3343.2798748842833</v>
      </c>
      <c r="IC296" s="4">
        <f>IFERROR(HA296/'McDonough &amp; Sun 1995 values'!L$2,)</f>
        <v>1603.8162657116536</v>
      </c>
      <c r="ID296" s="4">
        <f>IFERROR(HB296/'McDonough &amp; Sun 1995 values'!M$2,)</f>
        <v>1125.8692416460713</v>
      </c>
      <c r="IE296" s="4">
        <f>IFERROR(HC296/'McDonough &amp; Sun 1995 values'!N$2,)</f>
        <v>187.25055363573003</v>
      </c>
      <c r="IF296" s="4">
        <f>IFERROR(HD296/'McDonough &amp; Sun 1995 values'!O$2,)</f>
        <v>970.56752079840703</v>
      </c>
      <c r="IG296" s="4">
        <f>IFERROR(HE296/'McDonough &amp; Sun 1995 values'!P$2,)</f>
        <v>405.54149575936259</v>
      </c>
      <c r="IH296" s="4">
        <f>IFERROR(HF296/'McDonough &amp; Sun 1995 values'!Q$2,)</f>
        <v>137.79511116837557</v>
      </c>
      <c r="II296" s="4">
        <f>IFERROR(HG296/'McDonough &amp; Sun 1995 values'!R$2,)</f>
        <v>148.55625318342967</v>
      </c>
      <c r="IJ296" s="4">
        <f>IFERROR(HH296/'McDonough &amp; Sun 1995 values'!S$2,)</f>
        <v>236.33949370091082</v>
      </c>
      <c r="IK296" s="4">
        <f>IFERROR(HI296/'McDonough &amp; Sun 1995 values'!T$2,)</f>
        <v>17.259647672763609</v>
      </c>
      <c r="IL296" s="4">
        <f>IFERROR(HJ296/'McDonough &amp; Sun 1995 values'!U$2,)</f>
        <v>191.15694343456019</v>
      </c>
      <c r="IM296" s="4">
        <f>IFERROR(HK296/'McDonough &amp; Sun 1995 values'!V$2,)</f>
        <v>0</v>
      </c>
      <c r="IN296" s="4">
        <f>IFERROR(HL296/'McDonough &amp; Sun 1995 values'!W$2,)</f>
        <v>63.000488182389184</v>
      </c>
      <c r="IO296" s="4">
        <f>IFERROR(HM296/'McDonough &amp; Sun 1995 values'!X$2,)</f>
        <v>36.275364149442126</v>
      </c>
      <c r="IP296" s="4">
        <f>IFERROR(HN296/'McDonough &amp; Sun 1995 values'!Y$2,)</f>
        <v>46.527685560805715</v>
      </c>
      <c r="IQ296" s="4">
        <f>IFERROR(HO296/'McDonough &amp; Sun 1995 values'!Z$2,)</f>
        <v>27.698844771644037</v>
      </c>
      <c r="IR296" s="4">
        <f>IFERROR(HP296/'McDonough &amp; Sun 1995 values'!AA$2,)</f>
        <v>0</v>
      </c>
      <c r="IS296" s="4">
        <f>IFERROR(HQ296/'McDonough &amp; Sun 1995 values'!AB$2,)</f>
        <v>15.72023843210896</v>
      </c>
      <c r="IT296" s="4">
        <f>IFERROR(HR296/'McDonough &amp; Sun 1995 values'!AC$2,)</f>
        <v>25.676389439111301</v>
      </c>
    </row>
    <row r="297" spans="1:254">
      <c r="A297" s="16" t="s">
        <v>1181</v>
      </c>
      <c r="B297" s="16" t="s">
        <v>24</v>
      </c>
      <c r="C297" s="16" t="str">
        <f t="shared" si="617"/>
        <v>silicic - low-Mg carbonatitic</v>
      </c>
      <c r="D297" s="16" t="s">
        <v>110</v>
      </c>
      <c r="E297" s="16" t="s">
        <v>801</v>
      </c>
      <c r="F297" s="16" t="s">
        <v>800</v>
      </c>
      <c r="G297" s="16" t="s">
        <v>829</v>
      </c>
      <c r="H297" s="27">
        <v>0</v>
      </c>
      <c r="I297" s="16" t="s">
        <v>712</v>
      </c>
      <c r="J297" s="16" t="s">
        <v>635</v>
      </c>
      <c r="K297" s="16" t="s">
        <v>1169</v>
      </c>
      <c r="L297" s="16">
        <v>0</v>
      </c>
      <c r="M297" s="16" t="s">
        <v>788</v>
      </c>
      <c r="N297" s="16">
        <v>58</v>
      </c>
      <c r="O297" s="26">
        <v>35.709844223508853</v>
      </c>
      <c r="P297" s="26">
        <v>1.7711182519990591</v>
      </c>
      <c r="Q297" s="26">
        <v>0.36027598776134107</v>
      </c>
      <c r="R297" s="26">
        <v>5.6798205687951784</v>
      </c>
      <c r="S297" s="26">
        <v>5.4394854973371967</v>
      </c>
      <c r="T297" s="26">
        <v>2.7995259540001141</v>
      </c>
      <c r="U297" s="26">
        <v>0.4328509632119053</v>
      </c>
      <c r="V297" s="26">
        <v>13.734095005661992</v>
      </c>
      <c r="W297" s="26">
        <v>3.4011350999161798</v>
      </c>
      <c r="X297" s="26">
        <v>17.004840679704955</v>
      </c>
      <c r="Y297" s="26"/>
      <c r="Z297" s="26">
        <v>2.609657525007687</v>
      </c>
      <c r="AA297" s="26">
        <v>1.6625390851275972</v>
      </c>
      <c r="AB297" s="26">
        <v>10.76105695322031</v>
      </c>
      <c r="AC297" s="26"/>
      <c r="AD297" s="26">
        <v>1.4063424927316697</v>
      </c>
      <c r="AE297" s="26"/>
      <c r="AF297" s="26"/>
      <c r="AG297" s="26"/>
      <c r="AH297" s="26"/>
      <c r="AI297" s="26">
        <v>4.8</v>
      </c>
      <c r="AJ297" s="26">
        <f t="shared" si="618"/>
        <v>100.31692225188318</v>
      </c>
      <c r="AK297" s="26">
        <f t="shared" si="678"/>
        <v>35.710003846849247</v>
      </c>
      <c r="AL297" s="26">
        <f t="shared" si="679"/>
        <v>1.771126168914346</v>
      </c>
      <c r="AM297" s="26">
        <f t="shared" si="680"/>
        <v>5.6798459576466769</v>
      </c>
      <c r="AN297" s="26">
        <f t="shared" si="681"/>
        <v>5.4395098118886605</v>
      </c>
      <c r="AO297" s="26">
        <f t="shared" si="682"/>
        <v>2.7995384679075261</v>
      </c>
      <c r="AP297" s="26">
        <f t="shared" si="683"/>
        <v>13.73415639719617</v>
      </c>
      <c r="AQ297" s="26">
        <f t="shared" si="684"/>
        <v>10.761105055246361</v>
      </c>
      <c r="AR297" s="26">
        <f t="shared" si="685"/>
        <v>3.4011503030221468</v>
      </c>
      <c r="AS297" s="26">
        <f t="shared" si="686"/>
        <v>17.004916691503137</v>
      </c>
      <c r="AT297" s="26">
        <f t="shared" si="687"/>
        <v>2.6096691902014308</v>
      </c>
      <c r="AU297" s="26">
        <f t="shared" si="688"/>
        <v>1.4063487790958731</v>
      </c>
      <c r="AV297" s="26">
        <f t="shared" si="619"/>
        <v>100.31737066947159</v>
      </c>
      <c r="AW297" s="26">
        <v>13.2</v>
      </c>
      <c r="AX297" s="26">
        <v>18.100000000000001</v>
      </c>
      <c r="AY297" s="94"/>
      <c r="AZ297" s="94"/>
      <c r="BA297" s="26">
        <v>0.23</v>
      </c>
      <c r="BB297" s="26"/>
      <c r="BC297" s="26">
        <f>(AX297/18.02)/((AX297/18.02)+(AW297/44.01))</f>
        <v>0.77005640705885769</v>
      </c>
      <c r="BD297" s="26">
        <f>(AW297/44.01)/((AX297/18.02)+(AW297/44.01))</f>
        <v>0.22994359294114236</v>
      </c>
      <c r="BE297" s="16"/>
      <c r="BF297" s="16"/>
      <c r="BG297" s="16"/>
      <c r="BH297" s="16"/>
      <c r="BI297" s="16"/>
      <c r="BJ297" s="16"/>
      <c r="BK297" s="18"/>
      <c r="BL297" s="18"/>
      <c r="BM297" s="18"/>
      <c r="BN297" s="18"/>
      <c r="BO297" s="18"/>
      <c r="BP297" s="18"/>
      <c r="BQ297" s="18"/>
      <c r="BR297" s="18">
        <v>165</v>
      </c>
      <c r="BS297" s="18"/>
      <c r="BT297" s="18">
        <v>13.3</v>
      </c>
      <c r="BU297" s="18"/>
      <c r="BV297" s="18"/>
      <c r="BW297" s="18"/>
      <c r="BX297" s="18"/>
      <c r="BY297" s="18"/>
      <c r="BZ297" s="18"/>
      <c r="CA297" s="18"/>
      <c r="CB297" s="18"/>
      <c r="CC297" s="18"/>
      <c r="CD297" s="18"/>
      <c r="CE297" s="18"/>
      <c r="CF297" s="18"/>
      <c r="CG297" s="18"/>
      <c r="CH297" s="18">
        <v>0.48</v>
      </c>
      <c r="CI297" s="18">
        <v>3.8</v>
      </c>
      <c r="CJ297" s="18">
        <v>4.2999999999999997E-2</v>
      </c>
      <c r="CK297" s="18">
        <v>0.99</v>
      </c>
      <c r="CL297" s="18"/>
      <c r="CM297" s="18">
        <v>0.16</v>
      </c>
      <c r="CN297" s="18"/>
      <c r="CO297" s="18"/>
      <c r="CP297" s="18"/>
      <c r="CQ297" s="18"/>
      <c r="CR297" s="18">
        <v>1.0999999999999999E-2</v>
      </c>
      <c r="CS297" s="18">
        <v>29</v>
      </c>
      <c r="CT297" s="18"/>
      <c r="CU297" s="18">
        <v>1.29</v>
      </c>
      <c r="CV297" s="18">
        <v>1.5</v>
      </c>
      <c r="CW297" s="18">
        <v>0.14199999999999999</v>
      </c>
      <c r="CX297" s="18">
        <v>0.48</v>
      </c>
      <c r="CY297" s="18">
        <v>6.5000000000000002E-2</v>
      </c>
      <c r="CZ297" s="18">
        <v>1.4E-2</v>
      </c>
      <c r="DA297" s="18">
        <v>6.3E-2</v>
      </c>
      <c r="DB297" s="18">
        <v>1.6E-2</v>
      </c>
      <c r="DC297" s="18">
        <v>4.0000000000000001E-3</v>
      </c>
      <c r="DD297" s="18">
        <v>8.0000000000000002E-3</v>
      </c>
      <c r="DE297" s="18"/>
      <c r="DF297" s="18">
        <v>8.0000000000000002E-3</v>
      </c>
      <c r="DG297" s="18">
        <v>1E-3</v>
      </c>
      <c r="DH297" s="18">
        <v>2.1999999999999999E-2</v>
      </c>
      <c r="DI297" s="18">
        <v>6.0000000000000001E-3</v>
      </c>
      <c r="DJ297" s="18"/>
      <c r="DK297" s="18"/>
      <c r="DL297" s="18">
        <v>0.157</v>
      </c>
      <c r="DM297" s="18">
        <v>0.03</v>
      </c>
      <c r="DN297" s="18"/>
      <c r="DO297" s="18"/>
      <c r="DP297" s="18"/>
      <c r="DQ297" s="18"/>
      <c r="DR297" s="18"/>
      <c r="DS297" s="18"/>
      <c r="DT297" s="18"/>
      <c r="DU297" s="18"/>
      <c r="DV297" s="28"/>
      <c r="DW297" s="28"/>
      <c r="DX297" s="28"/>
      <c r="DY297" s="28"/>
      <c r="DZ297" s="28"/>
      <c r="EA297" s="28"/>
      <c r="EB297" s="28"/>
      <c r="EC297" s="28"/>
      <c r="ED297" s="28"/>
      <c r="EE297" s="28"/>
      <c r="EF297" s="28"/>
      <c r="EG297" s="28"/>
      <c r="EH297" s="28"/>
      <c r="EI297" s="28"/>
      <c r="EJ297" s="18"/>
      <c r="EK297" s="18"/>
      <c r="EL297" s="18">
        <f>IFERROR(CR297/'McDonough &amp; Sun 1995 values'!C$2,)</f>
        <v>0.52380952380952372</v>
      </c>
      <c r="EM297" s="18">
        <f>IFERROR(CH297/'McDonough &amp; Sun 1995 values'!D$2,)</f>
        <v>0.8</v>
      </c>
      <c r="EN297" s="18">
        <f>IFERROR(CS297/'McDonough &amp; Sun 1995 values'!E$2,)</f>
        <v>4.3939393939393945</v>
      </c>
      <c r="EO297" s="18">
        <f>IFERROR(DL297/'McDonough &amp; Sun 1995 values'!F$2,)</f>
        <v>1.9748427672955975</v>
      </c>
      <c r="EP297" s="18">
        <f>IFERROR(DM297/'McDonough &amp; Sun 1995 values'!G$2,)</f>
        <v>1.4778325123152709</v>
      </c>
      <c r="EQ297" s="18">
        <f>IFERROR(BR297/'McDonough &amp; Sun 1995 values'!H$2,)</f>
        <v>0.6875</v>
      </c>
      <c r="ER297" s="18">
        <f>IFERROR(DI297/'McDonough &amp; Sun 1995 values'!I$2,)</f>
        <v>0.16216216216216217</v>
      </c>
      <c r="ES297" s="18">
        <f>IFERROR(CM297/'McDonough &amp; Sun 1995 values'!J$2,)</f>
        <v>0.24316109422492402</v>
      </c>
      <c r="ET297" s="18">
        <f>IFERROR(CU297/'McDonough &amp; Sun 1995 values'!K$2,)</f>
        <v>1.9907407407407407</v>
      </c>
      <c r="EU297" s="18">
        <f>IFERROR(CV297/'McDonough &amp; Sun 1995 values'!L$2,)</f>
        <v>0.89552238805970152</v>
      </c>
      <c r="EV297" s="18">
        <f>IFERROR(CW297/'McDonough &amp; Sun 1995 values'!M$2,)</f>
        <v>0.55905511811023612</v>
      </c>
      <c r="EW297" s="18">
        <f>IFERROR(CI297/'McDonough &amp; Sun 1995 values'!N$2,)</f>
        <v>0.19095477386934673</v>
      </c>
      <c r="EX297" s="18">
        <f>IFERROR(CX297/'McDonough &amp; Sun 1995 values'!O$2,)</f>
        <v>0.38400000000000001</v>
      </c>
      <c r="EY297" s="18">
        <f>IFERROR(CY297/'McDonough &amp; Sun 1995 values'!P$2,)</f>
        <v>0.16009852216748768</v>
      </c>
      <c r="EZ297" s="18">
        <f>IFERROR(DH297/'McDonough &amp; Sun 1995 values'!Q$2,)</f>
        <v>7.7738515901060068E-2</v>
      </c>
      <c r="FA297" s="18">
        <f>IFERROR(CK297/'McDonough &amp; Sun 1995 values'!R$2,)</f>
        <v>9.4285714285714278E-2</v>
      </c>
      <c r="FB297" s="18">
        <f>IFERROR(CZ297/'McDonough &amp; Sun 1995 values'!S$2,)</f>
        <v>9.0909090909090912E-2</v>
      </c>
      <c r="FC297" s="18">
        <f>IFERROR(BT297/'McDonough &amp; Sun 1995 values'!T$2,)</f>
        <v>1.1037344398340249E-2</v>
      </c>
      <c r="FD297" s="18">
        <f>IFERROR(DA297/'McDonough &amp; Sun 1995 values'!U$2,)</f>
        <v>0.11580882352941176</v>
      </c>
      <c r="FE297" s="18">
        <f>IFERROR(DN297/'McDonough &amp; Sun 1995 values'!V$2,)</f>
        <v>0</v>
      </c>
      <c r="FF297" s="18">
        <f>IFERROR(DB297/'McDonough &amp; Sun 1995 values'!W$2,)</f>
        <v>2.3738872403560828E-2</v>
      </c>
      <c r="FG297" s="18">
        <f>IFERROR(CJ297/'McDonough &amp; Sun 1995 values'!X$2,)</f>
        <v>0.01</v>
      </c>
      <c r="FH297" s="18">
        <f>IFERROR(DC297/'McDonough &amp; Sun 1995 values'!Y$2,)</f>
        <v>2.684563758389262E-2</v>
      </c>
      <c r="FI297" s="18">
        <f>IFERROR(DD297/'McDonough &amp; Sun 1995 values'!Z$2,)</f>
        <v>1.8264840182648401E-2</v>
      </c>
      <c r="FJ297" s="18">
        <f>IFERROR(DE297/'McDonough &amp; Sun 1995 values'!AA$2,)</f>
        <v>0</v>
      </c>
      <c r="FK297" s="18">
        <f>IFERROR(DF297/'McDonough &amp; Sun 1995 values'!AB$2,)</f>
        <v>1.8140589569160998E-2</v>
      </c>
      <c r="FL297" s="18">
        <f>IFERROR(DG297/'McDonough &amp; Sun 1995 values'!AC$2,)</f>
        <v>1.4814814814814814E-2</v>
      </c>
      <c r="FN297" s="28">
        <f t="shared" si="614"/>
        <v>2.1495745633676666</v>
      </c>
      <c r="FO297" s="4">
        <f t="shared" si="620"/>
        <v>2.9732323232323234</v>
      </c>
      <c r="FP297" s="4">
        <f t="shared" si="621"/>
        <v>8.1215408805031437</v>
      </c>
      <c r="FQ297" s="4">
        <f t="shared" si="622"/>
        <v>1.3363102725366878</v>
      </c>
      <c r="FR297" s="4">
        <f t="shared" si="623"/>
        <v>8.1869212962962958</v>
      </c>
      <c r="FS297" s="4">
        <f t="shared" si="624"/>
        <v>12.276234567901234</v>
      </c>
      <c r="FT297" s="4">
        <f t="shared" si="625"/>
        <v>1.5272727272727276</v>
      </c>
      <c r="FU297" s="4">
        <f t="shared" si="626"/>
        <v>0.66689189189189191</v>
      </c>
      <c r="FV297" s="4">
        <f t="shared" si="627"/>
        <v>0.58892307692307688</v>
      </c>
      <c r="FW297" s="4">
        <f t="shared" si="628"/>
        <v>1.2128571428571429</v>
      </c>
      <c r="FX297" s="4">
        <f t="shared" si="629"/>
        <v>0.65898275147019769</v>
      </c>
      <c r="FY297" s="4">
        <f t="shared" si="630"/>
        <v>0.41213319333167281</v>
      </c>
      <c r="FZ297" s="4">
        <f t="shared" si="631"/>
        <v>0.66764073784863076</v>
      </c>
      <c r="GA297" s="4">
        <f t="shared" si="632"/>
        <v>0.34156698987897238</v>
      </c>
      <c r="GB297" s="4">
        <f t="shared" si="633"/>
        <v>0.56783216783216783</v>
      </c>
      <c r="GC297" s="4">
        <f t="shared" si="634"/>
        <v>0.65476190476190466</v>
      </c>
      <c r="GD297" s="4">
        <f t="shared" si="635"/>
        <v>2.2249565720903304</v>
      </c>
      <c r="GE297" s="4">
        <f t="shared" si="636"/>
        <v>5.4924242424242431</v>
      </c>
      <c r="GF297" s="4">
        <f t="shared" si="637"/>
        <v>6.3911845730027554</v>
      </c>
      <c r="GG297" s="4">
        <f t="shared" si="638"/>
        <v>18.070075757575758</v>
      </c>
      <c r="GH297" s="4">
        <f t="shared" si="639"/>
        <v>3.560902451747523</v>
      </c>
      <c r="GI297" s="4">
        <f t="shared" si="640"/>
        <v>12.434472934472934</v>
      </c>
      <c r="GJ297" s="4">
        <f t="shared" si="641"/>
        <v>83.859953703703709</v>
      </c>
      <c r="GK297" s="4">
        <f t="shared" si="642"/>
        <v>109.73958333333333</v>
      </c>
      <c r="GL297" s="4">
        <f t="shared" si="643"/>
        <v>8.5424274973147138</v>
      </c>
      <c r="GM297" s="4">
        <f t="shared" si="644"/>
        <v>2.4685534591194966</v>
      </c>
      <c r="GN297" s="4">
        <f t="shared" si="645"/>
        <v>0.12214603802926416</v>
      </c>
      <c r="GO297" s="4">
        <f t="shared" si="646"/>
        <v>0.1645390070921986</v>
      </c>
      <c r="GP297" s="4">
        <f t="shared" si="647"/>
        <v>0.46520833333333333</v>
      </c>
      <c r="GQ297" s="27">
        <f t="shared" si="648"/>
        <v>141164.15709105891</v>
      </c>
      <c r="GR297" s="28">
        <f t="shared" si="649"/>
        <v>9.410943806070593</v>
      </c>
      <c r="GS297" s="28">
        <f t="shared" si="650"/>
        <v>410.65936608308044</v>
      </c>
      <c r="GT297" s="28">
        <f t="shared" si="651"/>
        <v>24810.670034186111</v>
      </c>
      <c r="GU297" s="28">
        <f t="shared" si="652"/>
        <v>134.31983432300757</v>
      </c>
      <c r="GV297" s="28">
        <f t="shared" si="653"/>
        <v>25.666210380192528</v>
      </c>
      <c r="GW297" s="28">
        <f t="shared" si="654"/>
        <v>141164.15709105891</v>
      </c>
      <c r="GX297" s="28">
        <f t="shared" si="655"/>
        <v>5.1332420760385054</v>
      </c>
      <c r="GY297" s="28">
        <f t="shared" si="656"/>
        <v>136.8864553610268</v>
      </c>
      <c r="GZ297" s="28">
        <f t="shared" si="657"/>
        <v>1103.6470463482788</v>
      </c>
      <c r="HA297" s="28">
        <f t="shared" si="658"/>
        <v>1283.3105190096264</v>
      </c>
      <c r="HB297" s="28">
        <f t="shared" si="659"/>
        <v>121.48672913291129</v>
      </c>
      <c r="HC297" s="28">
        <f t="shared" si="660"/>
        <v>3251.0533148243867</v>
      </c>
      <c r="HD297" s="28">
        <f t="shared" si="661"/>
        <v>410.65936608308044</v>
      </c>
      <c r="HE297" s="28">
        <f t="shared" si="662"/>
        <v>55.610122490417147</v>
      </c>
      <c r="HF297" s="28">
        <f t="shared" si="663"/>
        <v>18.821887612141186</v>
      </c>
      <c r="HG297" s="28">
        <f t="shared" si="664"/>
        <v>846.98494254635341</v>
      </c>
      <c r="HH297" s="28">
        <f t="shared" si="665"/>
        <v>11.977564844089846</v>
      </c>
      <c r="HI297" s="28">
        <f t="shared" si="666"/>
        <v>11378.686601885354</v>
      </c>
      <c r="HJ297" s="28">
        <f t="shared" si="667"/>
        <v>53.899041798404312</v>
      </c>
      <c r="HK297" s="28">
        <f t="shared" si="668"/>
        <v>0</v>
      </c>
      <c r="HL297" s="28">
        <f t="shared" si="669"/>
        <v>13.688645536102683</v>
      </c>
      <c r="HM297" s="28">
        <f t="shared" si="670"/>
        <v>36.788234878275951</v>
      </c>
      <c r="HN297" s="28">
        <f t="shared" si="671"/>
        <v>3.4221613840256708</v>
      </c>
      <c r="HO297" s="28">
        <f t="shared" si="672"/>
        <v>6.8443227680513417</v>
      </c>
      <c r="HP297" s="28">
        <f t="shared" si="673"/>
        <v>0</v>
      </c>
      <c r="HQ297" s="28">
        <f t="shared" si="674"/>
        <v>6.8443227680513417</v>
      </c>
      <c r="HR297" s="28">
        <f t="shared" si="675"/>
        <v>0.85554034600641771</v>
      </c>
      <c r="HT297" s="4">
        <f>IFERROR(GR297/'McDonough &amp; Sun 1995 values'!C$2,)</f>
        <v>448.14018124145679</v>
      </c>
      <c r="HU297" s="4">
        <f>IFERROR(GS297/'McDonough &amp; Sun 1995 values'!D$2,)</f>
        <v>684.43227680513405</v>
      </c>
      <c r="HV297" s="4">
        <f>IFERROR(GT297/'McDonough &amp; Sun 1995 values'!E$2,)</f>
        <v>3759.192429422138</v>
      </c>
      <c r="HW297" s="4">
        <f>IFERROR(GU297/'McDonough &amp; Sun 1995 values'!F$2,)</f>
        <v>1689.5576644403468</v>
      </c>
      <c r="HX297" s="4">
        <f>IFERROR(GV297/'McDonough &amp; Sun 1995 values'!G$2,)</f>
        <v>1264.3453389257404</v>
      </c>
      <c r="HY297" s="4">
        <f>IFERROR(GW297/'McDonough &amp; Sun 1995 values'!H$2,)</f>
        <v>588.18398787941214</v>
      </c>
      <c r="HZ297" s="4">
        <f>IFERROR(GX297/'McDonough &amp; Sun 1995 values'!I$2,)</f>
        <v>138.73627232536501</v>
      </c>
      <c r="IA297" s="4">
        <f>IFERROR(GY297/'McDonough &amp; Sun 1995 values'!J$2,)</f>
        <v>208.03412668849057</v>
      </c>
      <c r="IB297" s="4">
        <f>IFERROR(GZ297/'McDonough &amp; Sun 1995 values'!K$2,)</f>
        <v>1703.1590221424055</v>
      </c>
      <c r="IC297" s="4">
        <f>IFERROR(HA297/'McDonough &amp; Sun 1995 values'!L$2,)</f>
        <v>766.15553373709042</v>
      </c>
      <c r="ID297" s="4">
        <f>IFERROR(HB297/'McDonough &amp; Sun 1995 values'!M$2,)</f>
        <v>478.29420918469015</v>
      </c>
      <c r="IE297" s="4">
        <f>IFERROR(HC297/'McDonough &amp; Sun 1995 values'!N$2,)</f>
        <v>163.36951330775813</v>
      </c>
      <c r="IF297" s="4">
        <f>IFERROR(HD297/'McDonough &amp; Sun 1995 values'!O$2,)</f>
        <v>328.52749286646434</v>
      </c>
      <c r="IG297" s="4">
        <f>IFERROR(HE297/'McDonough &amp; Sun 1995 values'!P$2,)</f>
        <v>136.97074505028854</v>
      </c>
      <c r="IH297" s="4">
        <f>IFERROR(HF297/'McDonough &amp; Sun 1995 values'!Q$2,)</f>
        <v>66.50843679201833</v>
      </c>
      <c r="II297" s="4">
        <f>IFERROR(HG297/'McDonough &amp; Sun 1995 values'!R$2,)</f>
        <v>80.665232623462231</v>
      </c>
      <c r="IJ297" s="4">
        <f>IFERROR(HH297/'McDonough &amp; Sun 1995 values'!S$2,)</f>
        <v>77.776395091492503</v>
      </c>
      <c r="IK297" s="4">
        <f>IFERROR(HI297/'McDonough &amp; Sun 1995 values'!T$2,)</f>
        <v>9.4428934455480125</v>
      </c>
      <c r="IL297" s="4">
        <f>IFERROR(HJ297/'McDonough &amp; Sun 1995 values'!U$2,)</f>
        <v>99.079120952949097</v>
      </c>
      <c r="IM297" s="4">
        <f>IFERROR(HK297/'McDonough &amp; Sun 1995 values'!V$2,)</f>
        <v>0</v>
      </c>
      <c r="IN297" s="4">
        <f>IFERROR(HL297/'McDonough &amp; Sun 1995 values'!W$2,)</f>
        <v>20.309563109944634</v>
      </c>
      <c r="IO297" s="4">
        <f>IFERROR(HM297/'McDonough &amp; Sun 1995 values'!X$2,)</f>
        <v>8.5554034600641753</v>
      </c>
      <c r="IP297" s="4">
        <f>IFERROR(HN297/'McDonough &amp; Sun 1995 values'!Y$2,)</f>
        <v>22.967526067286382</v>
      </c>
      <c r="IQ297" s="4">
        <f>IFERROR(HO297/'McDonough &amp; Sun 1995 values'!Z$2,)</f>
        <v>15.626307689614935</v>
      </c>
      <c r="IR297" s="4">
        <f>IFERROR(HP297/'McDonough &amp; Sun 1995 values'!AA$2,)</f>
        <v>0</v>
      </c>
      <c r="IS297" s="4">
        <f>IFERROR(HQ297/'McDonough &amp; Sun 1995 values'!AB$2,)</f>
        <v>15.520006276760412</v>
      </c>
      <c r="IT297" s="4">
        <f>IFERROR(HR297/'McDonough &amp; Sun 1995 values'!AC$2,)</f>
        <v>12.674671792687668</v>
      </c>
    </row>
    <row r="298" spans="1:254">
      <c r="A298" s="16" t="s">
        <v>1181</v>
      </c>
      <c r="B298" s="16" t="s">
        <v>24</v>
      </c>
      <c r="C298" s="16" t="str">
        <f t="shared" si="617"/>
        <v>silicic - low-Mg carbonatitic</v>
      </c>
      <c r="D298" s="16" t="s">
        <v>831</v>
      </c>
      <c r="E298" s="16" t="s">
        <v>801</v>
      </c>
      <c r="F298" s="16" t="s">
        <v>800</v>
      </c>
      <c r="G298" s="16" t="s">
        <v>829</v>
      </c>
      <c r="H298" s="27">
        <v>0</v>
      </c>
      <c r="I298" s="16" t="s">
        <v>712</v>
      </c>
      <c r="J298" s="16" t="s">
        <v>635</v>
      </c>
      <c r="K298" s="16" t="s">
        <v>1169</v>
      </c>
      <c r="L298" s="16" t="s">
        <v>773</v>
      </c>
      <c r="M298" s="16" t="s">
        <v>786</v>
      </c>
      <c r="N298" s="16">
        <v>25</v>
      </c>
      <c r="O298" s="26">
        <v>20.983449909756736</v>
      </c>
      <c r="P298" s="26">
        <v>1.6758935099014556</v>
      </c>
      <c r="Q298" s="26">
        <v>0.44876832418192419</v>
      </c>
      <c r="R298" s="26">
        <v>3.6493163527593935</v>
      </c>
      <c r="S298" s="26">
        <v>10.015515556869618</v>
      </c>
      <c r="T298" s="26">
        <v>5.8632954989492463</v>
      </c>
      <c r="U298" s="26">
        <v>0.88054549574573171</v>
      </c>
      <c r="V298" s="26">
        <v>21.114596957214598</v>
      </c>
      <c r="W298" s="26">
        <v>4.4128633144512381</v>
      </c>
      <c r="X298" s="26">
        <v>17.245123345403041</v>
      </c>
      <c r="Y298" s="26"/>
      <c r="Z298" s="26">
        <v>4.9277981834229587</v>
      </c>
      <c r="AA298" s="26">
        <v>2.4784548227127097</v>
      </c>
      <c r="AB298" s="26">
        <v>8.903130799807581</v>
      </c>
      <c r="AC298" s="26"/>
      <c r="AD298" s="26">
        <v>1.5607304831627988</v>
      </c>
      <c r="AE298" s="26"/>
      <c r="AF298" s="26"/>
      <c r="AG298" s="26"/>
      <c r="AH298" s="26"/>
      <c r="AI298" s="26">
        <v>2.7</v>
      </c>
      <c r="AJ298" s="26">
        <f t="shared" si="618"/>
        <v>100.35171391169868</v>
      </c>
      <c r="AK298" s="26">
        <f t="shared" si="678"/>
        <v>20.983554002956446</v>
      </c>
      <c r="AL298" s="26">
        <f t="shared" si="679"/>
        <v>1.6759018235542897</v>
      </c>
      <c r="AM298" s="26">
        <f t="shared" si="680"/>
        <v>3.6493344560273275</v>
      </c>
      <c r="AN298" s="26">
        <f t="shared" si="681"/>
        <v>10.0155652411239</v>
      </c>
      <c r="AO298" s="26">
        <f t="shared" si="682"/>
        <v>5.8633245851668105</v>
      </c>
      <c r="AP298" s="26">
        <f t="shared" si="683"/>
        <v>21.114701700999213</v>
      </c>
      <c r="AQ298" s="26">
        <f t="shared" si="684"/>
        <v>8.9031749658230055</v>
      </c>
      <c r="AR298" s="26">
        <f t="shared" si="685"/>
        <v>4.4128852054684087</v>
      </c>
      <c r="AS298" s="26">
        <f t="shared" si="686"/>
        <v>17.245208893779314</v>
      </c>
      <c r="AT298" s="26">
        <f t="shared" si="687"/>
        <v>4.927822628892252</v>
      </c>
      <c r="AU298" s="26">
        <f t="shared" si="688"/>
        <v>1.5607382255231148</v>
      </c>
      <c r="AV298" s="26">
        <f t="shared" si="619"/>
        <v>100.35221172931409</v>
      </c>
      <c r="AW298" s="26">
        <v>16.2</v>
      </c>
      <c r="AX298" s="26">
        <v>9.6</v>
      </c>
      <c r="AY298" s="94"/>
      <c r="AZ298" s="94"/>
      <c r="BA298" s="26">
        <v>0.41</v>
      </c>
      <c r="BB298" s="26"/>
      <c r="BC298" s="26">
        <f>(AX298/18.02)/((AX298/18.02)+(AW298/44.01))</f>
        <v>0.5913832199546486</v>
      </c>
      <c r="BD298" s="26">
        <f>(AW298/44.01)/((AX298/18.02)+(AW298/44.01))</f>
        <v>0.40861678004535146</v>
      </c>
      <c r="BE298" s="16"/>
      <c r="BF298" s="16"/>
      <c r="BG298" s="16"/>
      <c r="BH298" s="16"/>
      <c r="BI298" s="16"/>
      <c r="BJ298" s="16"/>
      <c r="BK298" s="18"/>
      <c r="BL298" s="18"/>
      <c r="BM298" s="18"/>
      <c r="BN298" s="18"/>
      <c r="BO298" s="18"/>
      <c r="BP298" s="18"/>
      <c r="BQ298" s="18"/>
      <c r="BR298" s="18">
        <v>44</v>
      </c>
      <c r="BS298" s="18"/>
      <c r="BT298" s="18">
        <v>5.2</v>
      </c>
      <c r="BU298" s="18"/>
      <c r="BV298" s="18"/>
      <c r="BW298" s="18"/>
      <c r="BX298" s="18"/>
      <c r="BY298" s="18"/>
      <c r="BZ298" s="18"/>
      <c r="CA298" s="18"/>
      <c r="CB298" s="18"/>
      <c r="CC298" s="18"/>
      <c r="CD298" s="18"/>
      <c r="CE298" s="18"/>
      <c r="CF298" s="18"/>
      <c r="CG298" s="18"/>
      <c r="CH298" s="18">
        <v>0.14799999999999999</v>
      </c>
      <c r="CI298" s="18">
        <v>1.92</v>
      </c>
      <c r="CJ298" s="18">
        <v>2.1000000000000001E-2</v>
      </c>
      <c r="CK298" s="18">
        <v>0.22</v>
      </c>
      <c r="CL298" s="18"/>
      <c r="CM298" s="18">
        <v>0.17</v>
      </c>
      <c r="CN298" s="18"/>
      <c r="CO298" s="18"/>
      <c r="CP298" s="18"/>
      <c r="CQ298" s="18"/>
      <c r="CR298" s="18">
        <v>5.0000000000000001E-3</v>
      </c>
      <c r="CS298" s="18">
        <v>4.4000000000000004</v>
      </c>
      <c r="CT298" s="18"/>
      <c r="CU298" s="18">
        <v>0.46</v>
      </c>
      <c r="CV298" s="18">
        <v>0.6</v>
      </c>
      <c r="CW298" s="18">
        <v>7.4999999999999997E-2</v>
      </c>
      <c r="CX298" s="18">
        <v>0.38</v>
      </c>
      <c r="CY298" s="18">
        <v>2.4E-2</v>
      </c>
      <c r="CZ298" s="18">
        <v>6.0000000000000001E-3</v>
      </c>
      <c r="DA298" s="18">
        <v>1.9E-2</v>
      </c>
      <c r="DB298" s="18">
        <v>6.0000000000000001E-3</v>
      </c>
      <c r="DC298" s="18">
        <v>2E-3</v>
      </c>
      <c r="DD298" s="18">
        <v>0</v>
      </c>
      <c r="DE298" s="18"/>
      <c r="DF298" s="18">
        <v>1.0999999999999999E-2</v>
      </c>
      <c r="DG298" s="18">
        <v>2E-3</v>
      </c>
      <c r="DH298" s="18">
        <v>7.0000000000000001E-3</v>
      </c>
      <c r="DI298" s="18">
        <v>6.0000000000000001E-3</v>
      </c>
      <c r="DJ298" s="18"/>
      <c r="DK298" s="18"/>
      <c r="DL298" s="18">
        <v>4.7E-2</v>
      </c>
      <c r="DM298" s="18">
        <v>1.2E-2</v>
      </c>
      <c r="DN298" s="18"/>
      <c r="DO298" s="18"/>
      <c r="DP298" s="18"/>
      <c r="DQ298" s="18"/>
      <c r="DR298" s="18"/>
      <c r="DS298" s="18"/>
      <c r="DT298" s="18"/>
      <c r="DU298" s="18"/>
      <c r="DV298" s="28"/>
      <c r="DW298" s="28"/>
      <c r="DX298" s="28"/>
      <c r="DY298" s="28"/>
      <c r="DZ298" s="28"/>
      <c r="EA298" s="28"/>
      <c r="EB298" s="28"/>
      <c r="EC298" s="28"/>
      <c r="ED298" s="28"/>
      <c r="EE298" s="28"/>
      <c r="EF298" s="28"/>
      <c r="EG298" s="28"/>
      <c r="EH298" s="28"/>
      <c r="EI298" s="28"/>
      <c r="EJ298" s="18"/>
      <c r="EK298" s="18"/>
      <c r="EL298" s="18">
        <f>IFERROR(CR298/'McDonough &amp; Sun 1995 values'!C$2,)</f>
        <v>0.23809523809523808</v>
      </c>
      <c r="EM298" s="18">
        <f>IFERROR(CH298/'McDonough &amp; Sun 1995 values'!D$2,)</f>
        <v>0.24666666666666667</v>
      </c>
      <c r="EN298" s="18">
        <f>IFERROR(CS298/'McDonough &amp; Sun 1995 values'!E$2,)</f>
        <v>0.66666666666666674</v>
      </c>
      <c r="EO298" s="18">
        <f>IFERROR(DL298/'McDonough &amp; Sun 1995 values'!F$2,)</f>
        <v>0.5911949685534591</v>
      </c>
      <c r="EP298" s="18">
        <f>IFERROR(DM298/'McDonough &amp; Sun 1995 values'!G$2,)</f>
        <v>0.59113300492610843</v>
      </c>
      <c r="EQ298" s="18">
        <f>IFERROR(BR298/'McDonough &amp; Sun 1995 values'!H$2,)</f>
        <v>0.18333333333333332</v>
      </c>
      <c r="ER298" s="18">
        <f>IFERROR(DI298/'McDonough &amp; Sun 1995 values'!I$2,)</f>
        <v>0.16216216216216217</v>
      </c>
      <c r="ES298" s="18">
        <f>IFERROR(CM298/'McDonough &amp; Sun 1995 values'!J$2,)</f>
        <v>0.25835866261398177</v>
      </c>
      <c r="ET298" s="18">
        <f>IFERROR(CU298/'McDonough &amp; Sun 1995 values'!K$2,)</f>
        <v>0.70987654320987659</v>
      </c>
      <c r="EU298" s="18">
        <f>IFERROR(CV298/'McDonough &amp; Sun 1995 values'!L$2,)</f>
        <v>0.35820895522388058</v>
      </c>
      <c r="EV298" s="18">
        <f>IFERROR(CW298/'McDonough &amp; Sun 1995 values'!M$2,)</f>
        <v>0.29527559055118108</v>
      </c>
      <c r="EW298" s="18">
        <f>IFERROR(CI298/'McDonough &amp; Sun 1995 values'!N$2,)</f>
        <v>9.6482412060301517E-2</v>
      </c>
      <c r="EX298" s="18">
        <f>IFERROR(CX298/'McDonough &amp; Sun 1995 values'!O$2,)</f>
        <v>0.30399999999999999</v>
      </c>
      <c r="EY298" s="18">
        <f>IFERROR(CY298/'McDonough &amp; Sun 1995 values'!P$2,)</f>
        <v>5.9113300492610835E-2</v>
      </c>
      <c r="EZ298" s="18">
        <f>IFERROR(DH298/'McDonough &amp; Sun 1995 values'!Q$2,)</f>
        <v>2.4734982332155479E-2</v>
      </c>
      <c r="FA298" s="18">
        <f>IFERROR(CK298/'McDonough &amp; Sun 1995 values'!R$2,)</f>
        <v>2.0952380952380951E-2</v>
      </c>
      <c r="FB298" s="18">
        <f>IFERROR(CZ298/'McDonough &amp; Sun 1995 values'!S$2,)</f>
        <v>3.896103896103896E-2</v>
      </c>
      <c r="FC298" s="18">
        <f>IFERROR(BT298/'McDonough &amp; Sun 1995 values'!T$2,)</f>
        <v>4.3153526970954358E-3</v>
      </c>
      <c r="FD298" s="18">
        <f>IFERROR(DA298/'McDonough &amp; Sun 1995 values'!U$2,)</f>
        <v>3.4926470588235288E-2</v>
      </c>
      <c r="FE298" s="18">
        <f>IFERROR(DN298/'McDonough &amp; Sun 1995 values'!V$2,)</f>
        <v>0</v>
      </c>
      <c r="FF298" s="18">
        <f>IFERROR(DB298/'McDonough &amp; Sun 1995 values'!W$2,)</f>
        <v>8.9020771513353119E-3</v>
      </c>
      <c r="FG298" s="18">
        <f>IFERROR(CJ298/'McDonough &amp; Sun 1995 values'!X$2,)</f>
        <v>4.8837209302325588E-3</v>
      </c>
      <c r="FH298" s="18">
        <f>IFERROR(DC298/'McDonough &amp; Sun 1995 values'!Y$2,)</f>
        <v>1.342281879194631E-2</v>
      </c>
      <c r="FI298" s="18">
        <f>IFERROR(DD298/'McDonough &amp; Sun 1995 values'!Z$2,)</f>
        <v>0</v>
      </c>
      <c r="FJ298" s="18">
        <f>IFERROR(DE298/'McDonough &amp; Sun 1995 values'!AA$2,)</f>
        <v>0</v>
      </c>
      <c r="FK298" s="18">
        <f>IFERROR(DF298/'McDonough &amp; Sun 1995 values'!AB$2,)</f>
        <v>2.494331065759637E-2</v>
      </c>
      <c r="FL298" s="18">
        <f>IFERROR(DG298/'McDonough &amp; Sun 1995 values'!AC$2,)</f>
        <v>2.9629629629629627E-2</v>
      </c>
      <c r="FN298" s="28">
        <f t="shared" si="614"/>
        <v>3.2243618450515008</v>
      </c>
      <c r="FO298" s="4">
        <f t="shared" si="620"/>
        <v>1.1277777777777778</v>
      </c>
      <c r="FP298" s="4">
        <f t="shared" si="621"/>
        <v>2.2882722900480945</v>
      </c>
      <c r="FQ298" s="4">
        <f t="shared" si="622"/>
        <v>1.0001048218029349</v>
      </c>
      <c r="FR298" s="4">
        <f t="shared" si="623"/>
        <v>2.7476397966594046</v>
      </c>
      <c r="FS298" s="4">
        <f t="shared" si="624"/>
        <v>4.3775720164609053</v>
      </c>
      <c r="FT298" s="4">
        <f t="shared" si="625"/>
        <v>1.036</v>
      </c>
      <c r="FU298" s="4">
        <f t="shared" si="626"/>
        <v>0.62766295707472175</v>
      </c>
      <c r="FV298" s="4">
        <f t="shared" si="627"/>
        <v>0.35444444444444445</v>
      </c>
      <c r="FW298" s="4">
        <f t="shared" si="628"/>
        <v>0.84707482993197269</v>
      </c>
      <c r="FX298" s="4">
        <f t="shared" si="629"/>
        <v>0.82860769466450734</v>
      </c>
      <c r="FY298" s="4">
        <f t="shared" si="630"/>
        <v>0.32203093064035676</v>
      </c>
      <c r="FZ298" s="4">
        <f t="shared" si="631"/>
        <v>0.85745349494421352</v>
      </c>
      <c r="GA298" s="4">
        <f t="shared" si="632"/>
        <v>0.32675376884422119</v>
      </c>
      <c r="GB298" s="4">
        <f t="shared" si="633"/>
        <v>0.65909090909090906</v>
      </c>
      <c r="GC298" s="4">
        <f t="shared" si="634"/>
        <v>0.96525096525096521</v>
      </c>
      <c r="GD298" s="4">
        <f t="shared" si="635"/>
        <v>1.1276595744680853</v>
      </c>
      <c r="GE298" s="4">
        <f t="shared" si="636"/>
        <v>2.7027027027027031</v>
      </c>
      <c r="GF298" s="4">
        <f t="shared" si="637"/>
        <v>3.6363636363636371</v>
      </c>
      <c r="GG298" s="4">
        <f t="shared" si="638"/>
        <v>2.5803921568627453</v>
      </c>
      <c r="GH298" s="4">
        <f t="shared" si="639"/>
        <v>2.4041152263374488</v>
      </c>
      <c r="GI298" s="4">
        <f t="shared" si="640"/>
        <v>12.008744855967079</v>
      </c>
      <c r="GJ298" s="4">
        <f t="shared" si="641"/>
        <v>79.742798353909464</v>
      </c>
      <c r="GK298" s="4">
        <f t="shared" si="642"/>
        <v>28.459595959595966</v>
      </c>
      <c r="GL298" s="4">
        <f t="shared" si="643"/>
        <v>4.8553113553113549</v>
      </c>
      <c r="GM298" s="4">
        <f t="shared" si="644"/>
        <v>2.39673635900051</v>
      </c>
      <c r="GN298" s="4">
        <f t="shared" si="645"/>
        <v>0.36394872472578299</v>
      </c>
      <c r="GO298" s="4">
        <f t="shared" si="646"/>
        <v>0.43705673758865243</v>
      </c>
      <c r="GP298" s="4">
        <f t="shared" si="647"/>
        <v>0.31013888888888885</v>
      </c>
      <c r="GQ298" s="27">
        <f t="shared" si="648"/>
        <v>143158.91230246311</v>
      </c>
      <c r="GR298" s="28">
        <f t="shared" si="649"/>
        <v>16.26805821618899</v>
      </c>
      <c r="GS298" s="28">
        <f t="shared" si="650"/>
        <v>481.53452319919404</v>
      </c>
      <c r="GT298" s="28">
        <f t="shared" si="651"/>
        <v>14315.891230246312</v>
      </c>
      <c r="GU298" s="28">
        <f t="shared" si="652"/>
        <v>152.91974723217649</v>
      </c>
      <c r="GV298" s="28">
        <f t="shared" si="653"/>
        <v>39.043339718853581</v>
      </c>
      <c r="GW298" s="28">
        <f t="shared" si="654"/>
        <v>143158.91230246311</v>
      </c>
      <c r="GX298" s="28">
        <f t="shared" si="655"/>
        <v>19.52166985942679</v>
      </c>
      <c r="GY298" s="28">
        <f t="shared" si="656"/>
        <v>553.11397935042567</v>
      </c>
      <c r="GZ298" s="28">
        <f t="shared" si="657"/>
        <v>1496.6613558893871</v>
      </c>
      <c r="HA298" s="28">
        <f t="shared" si="658"/>
        <v>1952.1669859426786</v>
      </c>
      <c r="HB298" s="28">
        <f t="shared" si="659"/>
        <v>244.02087324283482</v>
      </c>
      <c r="HC298" s="28">
        <f t="shared" si="660"/>
        <v>6246.9343550165713</v>
      </c>
      <c r="HD298" s="28">
        <f t="shared" si="661"/>
        <v>1236.3724244303633</v>
      </c>
      <c r="HE298" s="28">
        <f t="shared" si="662"/>
        <v>78.086679437707161</v>
      </c>
      <c r="HF298" s="28">
        <f t="shared" si="663"/>
        <v>22.775281502664587</v>
      </c>
      <c r="HG298" s="28">
        <f t="shared" si="664"/>
        <v>715.79456151231557</v>
      </c>
      <c r="HH298" s="28">
        <f t="shared" si="665"/>
        <v>19.52166985942679</v>
      </c>
      <c r="HI298" s="28">
        <f t="shared" si="666"/>
        <v>16918.780544836551</v>
      </c>
      <c r="HJ298" s="28">
        <f t="shared" si="667"/>
        <v>61.818621221518164</v>
      </c>
      <c r="HK298" s="28">
        <f t="shared" si="668"/>
        <v>0</v>
      </c>
      <c r="HL298" s="28">
        <f t="shared" si="669"/>
        <v>19.52166985942679</v>
      </c>
      <c r="HM298" s="28">
        <f t="shared" si="670"/>
        <v>68.325844507993764</v>
      </c>
      <c r="HN298" s="28">
        <f t="shared" si="671"/>
        <v>6.5072232864755968</v>
      </c>
      <c r="HO298" s="28">
        <f t="shared" si="672"/>
        <v>0</v>
      </c>
      <c r="HP298" s="28">
        <f t="shared" si="673"/>
        <v>0</v>
      </c>
      <c r="HQ298" s="28">
        <f t="shared" si="674"/>
        <v>35.789728075615777</v>
      </c>
      <c r="HR298" s="28">
        <f t="shared" si="675"/>
        <v>6.5072232864755968</v>
      </c>
      <c r="HT298" s="4">
        <f>IFERROR(GR298/'McDonough &amp; Sun 1995 values'!C$2,)</f>
        <v>774.66943886614229</v>
      </c>
      <c r="HU298" s="4">
        <f>IFERROR(GS298/'McDonough &amp; Sun 1995 values'!D$2,)</f>
        <v>802.55753866532348</v>
      </c>
      <c r="HV298" s="4">
        <f>IFERROR(GT298/'McDonough &amp; Sun 1995 values'!E$2,)</f>
        <v>2169.074428825199</v>
      </c>
      <c r="HW298" s="4">
        <f>IFERROR(GU298/'McDonough &amp; Sun 1995 values'!F$2,)</f>
        <v>1923.5188331091383</v>
      </c>
      <c r="HX298" s="4">
        <f>IFERROR(GV298/'McDonough &amp; Sun 1995 values'!G$2,)</f>
        <v>1923.3172275297331</v>
      </c>
      <c r="HY298" s="4">
        <f>IFERROR(GW298/'McDonough &amp; Sun 1995 values'!H$2,)</f>
        <v>596.49546792692968</v>
      </c>
      <c r="HZ298" s="4">
        <f>IFERROR(GX298/'McDonough &amp; Sun 1995 values'!I$2,)</f>
        <v>527.6126989034268</v>
      </c>
      <c r="IA298" s="4">
        <f>IFERROR(GY298/'McDonough &amp; Sun 1995 values'!J$2,)</f>
        <v>840.59875281219706</v>
      </c>
      <c r="IB298" s="4">
        <f>IFERROR(GZ298/'McDonough &amp; Sun 1995 values'!K$2,)</f>
        <v>2309.6625862490541</v>
      </c>
      <c r="IC298" s="4">
        <f>IFERROR(HA298/'McDonough &amp; Sun 1995 values'!L$2,)</f>
        <v>1165.4728274284648</v>
      </c>
      <c r="ID298" s="4">
        <f>IFERROR(HB298/'McDonough &amp; Sun 1995 values'!M$2,)</f>
        <v>960.71209938123945</v>
      </c>
      <c r="IE298" s="4">
        <f>IFERROR(HC298/'McDonough &amp; Sun 1995 values'!N$2,)</f>
        <v>313.91629924706393</v>
      </c>
      <c r="IF298" s="4">
        <f>IFERROR(HD298/'McDonough &amp; Sun 1995 values'!O$2,)</f>
        <v>989.09793954429063</v>
      </c>
      <c r="IG298" s="4">
        <f>IFERROR(HE298/'McDonough &amp; Sun 1995 values'!P$2,)</f>
        <v>192.33172275297329</v>
      </c>
      <c r="IH298" s="4">
        <f>IFERROR(HF298/'McDonough &amp; Sun 1995 values'!Q$2,)</f>
        <v>80.478026511182293</v>
      </c>
      <c r="II298" s="4">
        <f>IFERROR(HG298/'McDonough &amp; Sun 1995 values'!R$2,)</f>
        <v>68.170910620220525</v>
      </c>
      <c r="IJ298" s="4">
        <f>IFERROR(HH298/'McDonough &amp; Sun 1995 values'!S$2,)</f>
        <v>126.76408999627786</v>
      </c>
      <c r="IK298" s="4">
        <f>IFERROR(HI298/'McDonough &amp; Sun 1995 values'!T$2,)</f>
        <v>14.040481779947346</v>
      </c>
      <c r="IL298" s="4">
        <f>IFERROR(HJ298/'McDonough &amp; Sun 1995 values'!U$2,)</f>
        <v>113.63717136308485</v>
      </c>
      <c r="IM298" s="4">
        <f>IFERROR(HK298/'McDonough &amp; Sun 1995 values'!V$2,)</f>
        <v>0</v>
      </c>
      <c r="IN298" s="4">
        <f>IFERROR(HL298/'McDonough &amp; Sun 1995 values'!W$2,)</f>
        <v>28.96390186858574</v>
      </c>
      <c r="IO298" s="4">
        <f>IFERROR(HM298/'McDonough &amp; Sun 1995 values'!X$2,)</f>
        <v>15.889731280928784</v>
      </c>
      <c r="IP298" s="4">
        <f>IFERROR(HN298/'McDonough &amp; Sun 1995 values'!Y$2,)</f>
        <v>43.672639506547632</v>
      </c>
      <c r="IQ298" s="4">
        <f>IFERROR(HO298/'McDonough &amp; Sun 1995 values'!Z$2,)</f>
        <v>0</v>
      </c>
      <c r="IR298" s="4">
        <f>IFERROR(HP298/'McDonough &amp; Sun 1995 values'!AA$2,)</f>
        <v>0</v>
      </c>
      <c r="IS298" s="4">
        <f>IFERROR(HQ298/'McDonough &amp; Sun 1995 values'!AB$2,)</f>
        <v>81.155845976453008</v>
      </c>
      <c r="IT298" s="4">
        <f>IFERROR(HR298/'McDonough &amp; Sun 1995 values'!AC$2,)</f>
        <v>96.403307947786615</v>
      </c>
    </row>
    <row r="299" spans="1:254">
      <c r="A299" s="16" t="s">
        <v>1229</v>
      </c>
      <c r="B299" s="16" t="s">
        <v>24</v>
      </c>
      <c r="C299" s="16" t="str">
        <f t="shared" si="617"/>
        <v>silicic - low-Mg carbonatitic</v>
      </c>
      <c r="D299" s="16">
        <v>0</v>
      </c>
      <c r="E299" s="16" t="s">
        <v>1394</v>
      </c>
      <c r="F299" s="16" t="s">
        <v>1432</v>
      </c>
      <c r="G299" s="16" t="s">
        <v>595</v>
      </c>
      <c r="H299" s="27">
        <v>93</v>
      </c>
      <c r="I299" s="16">
        <v>0</v>
      </c>
      <c r="J299" s="16" t="s">
        <v>1311</v>
      </c>
      <c r="K299" s="16" t="s">
        <v>1274</v>
      </c>
      <c r="L299" s="16">
        <v>0</v>
      </c>
      <c r="M299" s="16" t="s">
        <v>1487</v>
      </c>
      <c r="N299" s="16">
        <v>32</v>
      </c>
      <c r="O299" s="26">
        <v>29.903241983560743</v>
      </c>
      <c r="P299" s="26">
        <v>2.1263830661968517</v>
      </c>
      <c r="Q299" s="26">
        <v>0.418573297882953</v>
      </c>
      <c r="R299" s="26">
        <v>4.3528993554712745</v>
      </c>
      <c r="S299" s="26">
        <v>11.494286709853341</v>
      </c>
      <c r="T299" s="26">
        <v>6.0698183747549264</v>
      </c>
      <c r="U299" s="26">
        <v>0.76160452818495061</v>
      </c>
      <c r="V299" s="26">
        <v>13.692130069197622</v>
      </c>
      <c r="W299" s="26">
        <v>4.8716470380416013</v>
      </c>
      <c r="X299" s="26">
        <v>13.657928075225101</v>
      </c>
      <c r="Y299" s="26"/>
      <c r="Z299" s="26">
        <v>4.7540184584331691</v>
      </c>
      <c r="AA299" s="26">
        <v>2.1429573521632896</v>
      </c>
      <c r="AB299" s="26">
        <v>2.4541386940142527</v>
      </c>
      <c r="AC299" s="26">
        <v>7.0316238453123112E-2</v>
      </c>
      <c r="AD299" s="26">
        <v>4.2622303367707133</v>
      </c>
      <c r="AE299" s="26">
        <v>1.1969744451564357</v>
      </c>
      <c r="AF299" s="26"/>
      <c r="AG299" s="26"/>
      <c r="AH299" s="26"/>
      <c r="AI299" s="26"/>
      <c r="AJ299" s="26">
        <f t="shared" si="618"/>
        <v>97.638722161519581</v>
      </c>
      <c r="AK299" s="26">
        <f t="shared" si="678"/>
        <v>30.931125082189688</v>
      </c>
      <c r="AL299" s="26">
        <f t="shared" si="679"/>
        <v>2.1994745796908099</v>
      </c>
      <c r="AM299" s="26">
        <f t="shared" si="680"/>
        <v>4.5025243252314588</v>
      </c>
      <c r="AN299" s="26">
        <f t="shared" si="681"/>
        <v>11.889387115566832</v>
      </c>
      <c r="AO299" s="26">
        <f t="shared" si="682"/>
        <v>6.2784600906795038</v>
      </c>
      <c r="AP299" s="26">
        <f t="shared" si="683"/>
        <v>14.162778338375073</v>
      </c>
      <c r="AQ299" s="26">
        <f t="shared" si="684"/>
        <v>2.5384963595361159</v>
      </c>
      <c r="AR299" s="26">
        <f t="shared" si="685"/>
        <v>5.0391032508375773</v>
      </c>
      <c r="AS299" s="26">
        <f t="shared" si="686"/>
        <v>14.127400697575929</v>
      </c>
      <c r="AT299" s="26">
        <f t="shared" si="687"/>
        <v>4.9174313494728716</v>
      </c>
      <c r="AU299" s="26">
        <f t="shared" si="688"/>
        <v>4.408738682857023</v>
      </c>
      <c r="AV299" s="26">
        <f t="shared" si="619"/>
        <v>100.99491987201289</v>
      </c>
      <c r="AW299" s="93"/>
      <c r="AX299" s="93"/>
      <c r="AY299" s="93"/>
      <c r="AZ299" s="93"/>
      <c r="BA299" s="103"/>
      <c r="BB299" s="107"/>
      <c r="BC299" s="26"/>
      <c r="BD299" s="26"/>
      <c r="BE299" s="25">
        <v>-6</v>
      </c>
      <c r="BF299" s="25">
        <v>-4.5</v>
      </c>
      <c r="BG299" s="16">
        <v>902</v>
      </c>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v>0.09</v>
      </c>
      <c r="CI299" s="16">
        <v>4.833333333333333</v>
      </c>
      <c r="CJ299" s="16">
        <v>2.3666666666666667</v>
      </c>
      <c r="CK299" s="16">
        <v>1.615</v>
      </c>
      <c r="CL299" s="16"/>
      <c r="CM299" s="16">
        <v>1.25</v>
      </c>
      <c r="CN299" s="16"/>
      <c r="CO299" s="16"/>
      <c r="CP299" s="16"/>
      <c r="CQ299" s="16"/>
      <c r="CR299" s="16"/>
      <c r="CS299" s="16">
        <v>7</v>
      </c>
      <c r="CT299" s="16"/>
      <c r="CU299" s="16">
        <v>16.566666666666666</v>
      </c>
      <c r="CV299" s="16">
        <v>13.833333333333334</v>
      </c>
      <c r="CW299" s="16">
        <v>4.0333333333333341</v>
      </c>
      <c r="CX299" s="16">
        <v>14.700000000000001</v>
      </c>
      <c r="CY299" s="16">
        <v>1.92</v>
      </c>
      <c r="CZ299" s="16">
        <v>0.4466666666666666</v>
      </c>
      <c r="DA299" s="16">
        <v>1.1500000000000001</v>
      </c>
      <c r="DB299" s="16">
        <v>0.62666666666666659</v>
      </c>
      <c r="DC299" s="16"/>
      <c r="DD299" s="16">
        <v>0.25666666666666665</v>
      </c>
      <c r="DE299" s="16"/>
      <c r="DF299" s="16">
        <v>0.16333333333333336</v>
      </c>
      <c r="DG299" s="16">
        <v>2.6666666666666668E-2</v>
      </c>
      <c r="DH299" s="16">
        <v>3.5000000000000003E-2</v>
      </c>
      <c r="DI299" s="16"/>
      <c r="DJ299" s="16"/>
      <c r="DK299" s="16">
        <v>1.51</v>
      </c>
      <c r="DL299" s="16">
        <v>1.1133333333333333</v>
      </c>
      <c r="DM299" s="16">
        <v>6.3333333333333339E-2</v>
      </c>
      <c r="DN299" s="16">
        <v>0.14000000000000001</v>
      </c>
      <c r="DO299" s="16"/>
      <c r="DP299" s="16"/>
      <c r="DQ299" s="16"/>
      <c r="DR299" s="16"/>
      <c r="DS299" s="16"/>
      <c r="DT299" s="16"/>
      <c r="DU299" s="16"/>
      <c r="DV299" s="31">
        <f>AVERAGE('Excluded Analyses'!DW240:DW242)</f>
        <v>0.70709</v>
      </c>
      <c r="DW299" s="31">
        <f>AVERAGE('Excluded Analyses'!DX240:DX242)</f>
        <v>1.8333333333333334E-4</v>
      </c>
      <c r="DX299" s="31">
        <f>AVERAGE('Excluded Analyses'!DY240:DY242)</f>
        <v>0.70704</v>
      </c>
      <c r="DY299" s="31">
        <f>AVERAGE('Excluded Analyses'!DZ240:DZ242)</f>
        <v>0</v>
      </c>
      <c r="DZ299" s="31">
        <f>AVERAGE('Excluded Analyses'!EA240:EA242)</f>
        <v>37.666666666666664</v>
      </c>
      <c r="EA299" s="31"/>
      <c r="EB299" s="31"/>
      <c r="EC299" s="31"/>
      <c r="ED299" s="31"/>
      <c r="EE299" s="31"/>
      <c r="EF299" s="31"/>
      <c r="EG299" s="31"/>
      <c r="EH299" s="31"/>
      <c r="EI299" s="31"/>
      <c r="EJ299" s="31"/>
      <c r="EK299" s="18"/>
      <c r="EL299" s="18">
        <f>IFERROR(CR299/'McDonough &amp; Sun 1995 values'!C$2,)</f>
        <v>0</v>
      </c>
      <c r="EM299" s="18">
        <f>IFERROR(CH299/'McDonough &amp; Sun 1995 values'!D$2,)</f>
        <v>0.15</v>
      </c>
      <c r="EN299" s="18">
        <f>IFERROR(CS299/'McDonough &amp; Sun 1995 values'!E$2,)</f>
        <v>1.0606060606060606</v>
      </c>
      <c r="EO299" s="18">
        <f>IFERROR(DL299/'McDonough &amp; Sun 1995 values'!F$2,)</f>
        <v>14.0041928721174</v>
      </c>
      <c r="EP299" s="18">
        <f>IFERROR(DM299/'McDonough &amp; Sun 1995 values'!G$2,)</f>
        <v>3.1198686371100171</v>
      </c>
      <c r="EQ299" s="18">
        <f>IFERROR(BR299/'McDonough &amp; Sun 1995 values'!H$2,)</f>
        <v>0</v>
      </c>
      <c r="ER299" s="18">
        <f>IFERROR(DI299/'McDonough &amp; Sun 1995 values'!I$2,)</f>
        <v>0</v>
      </c>
      <c r="ES299" s="18">
        <f>IFERROR(CM299/'McDonough &amp; Sun 1995 values'!J$2,)</f>
        <v>1.8996960486322187</v>
      </c>
      <c r="ET299" s="18">
        <f>IFERROR(CU299/'McDonough &amp; Sun 1995 values'!K$2,)</f>
        <v>25.565843621399175</v>
      </c>
      <c r="EU299" s="18">
        <f>IFERROR(CV299/'McDonough &amp; Sun 1995 values'!L$2,)</f>
        <v>8.2587064676616908</v>
      </c>
      <c r="EV299" s="18">
        <f>IFERROR(CW299/'McDonough &amp; Sun 1995 values'!M$2,)</f>
        <v>15.87926509186352</v>
      </c>
      <c r="EW299" s="18">
        <f>IFERROR(CI299/'McDonough &amp; Sun 1995 values'!N$2,)</f>
        <v>0.24288107202680068</v>
      </c>
      <c r="EX299" s="18">
        <f>IFERROR(CX299/'McDonough &amp; Sun 1995 values'!O$2,)</f>
        <v>11.760000000000002</v>
      </c>
      <c r="EY299" s="18">
        <f>IFERROR(CY299/'McDonough &amp; Sun 1995 values'!P$2,)</f>
        <v>4.7290640394088665</v>
      </c>
      <c r="EZ299" s="18">
        <f>IFERROR(DH299/'McDonough &amp; Sun 1995 values'!Q$2,)</f>
        <v>0.1236749116607774</v>
      </c>
      <c r="FA299" s="18">
        <f>IFERROR(CK299/'McDonough &amp; Sun 1995 values'!R$2,)</f>
        <v>0.15380952380952381</v>
      </c>
      <c r="FB299" s="18">
        <f>IFERROR(CZ299/'McDonough &amp; Sun 1995 values'!S$2,)</f>
        <v>2.9004329004329001</v>
      </c>
      <c r="FC299" s="18">
        <f>IFERROR(BT299/'McDonough &amp; Sun 1995 values'!T$2,)</f>
        <v>0</v>
      </c>
      <c r="FD299" s="18">
        <f>IFERROR(DA299/'McDonough &amp; Sun 1995 values'!U$2,)</f>
        <v>2.1139705882352944</v>
      </c>
      <c r="FE299" s="18">
        <f>IFERROR(DN299/'McDonough &amp; Sun 1995 values'!V$2,)</f>
        <v>1.4141414141414141</v>
      </c>
      <c r="FF299" s="18">
        <f>IFERROR(DB299/'McDonough &amp; Sun 1995 values'!W$2,)</f>
        <v>0.92977250247279908</v>
      </c>
      <c r="FG299" s="18">
        <f>IFERROR(CJ299/'McDonough &amp; Sun 1995 values'!X$2,)</f>
        <v>0.55038759689922478</v>
      </c>
      <c r="FH299" s="18">
        <f>IFERROR(DC299/'McDonough &amp; Sun 1995 values'!Y$2,)</f>
        <v>0</v>
      </c>
      <c r="FI299" s="18">
        <f>IFERROR(DD299/'McDonough &amp; Sun 1995 values'!Z$2,)</f>
        <v>0.58599695585996958</v>
      </c>
      <c r="FJ299" s="18">
        <f>IFERROR(DE299/'McDonough &amp; Sun 1995 values'!AA$2,)</f>
        <v>0</v>
      </c>
      <c r="FK299" s="18">
        <f>IFERROR(DF299/'McDonough &amp; Sun 1995 values'!AB$2,)</f>
        <v>0.37037037037037041</v>
      </c>
      <c r="FL299" s="18">
        <f>IFERROR(DG299/'McDonough &amp; Sun 1995 values'!AC$2,)</f>
        <v>0.39506172839506171</v>
      </c>
      <c r="FM299" s="16"/>
      <c r="FN299" s="28">
        <f t="shared" si="614"/>
        <v>0</v>
      </c>
      <c r="FO299" s="4">
        <f t="shared" si="620"/>
        <v>0.33995215311004778</v>
      </c>
      <c r="FP299" s="4">
        <f t="shared" si="621"/>
        <v>7.3718071278826001</v>
      </c>
      <c r="FQ299" s="4">
        <f t="shared" si="622"/>
        <v>4.4887123469049977</v>
      </c>
      <c r="FR299" s="4">
        <f t="shared" si="623"/>
        <v>13.457860082304526</v>
      </c>
      <c r="FS299" s="4">
        <f t="shared" si="624"/>
        <v>0</v>
      </c>
      <c r="FT299" s="4">
        <f t="shared" si="625"/>
        <v>0</v>
      </c>
      <c r="FU299" s="4">
        <f t="shared" si="626"/>
        <v>0</v>
      </c>
      <c r="FV299" s="4">
        <f t="shared" si="627"/>
        <v>3.2524305555555556E-2</v>
      </c>
      <c r="FW299" s="4">
        <f t="shared" si="628"/>
        <v>1.243659863945578</v>
      </c>
      <c r="FX299" s="4">
        <f t="shared" si="629"/>
        <v>0.8477037040601465</v>
      </c>
      <c r="FY299" s="4">
        <f t="shared" si="630"/>
        <v>1.7773575802059793E-2</v>
      </c>
      <c r="FZ299" s="4">
        <f t="shared" si="631"/>
        <v>0.91733033411645049</v>
      </c>
      <c r="GA299" s="4">
        <f t="shared" si="632"/>
        <v>1.5295485692927446E-2</v>
      </c>
      <c r="GB299" s="4">
        <f t="shared" si="633"/>
        <v>0.61332070707070707</v>
      </c>
      <c r="GC299" s="4">
        <f t="shared" si="634"/>
        <v>0</v>
      </c>
      <c r="GD299" s="4">
        <f t="shared" si="635"/>
        <v>7.5734893848666301E-2</v>
      </c>
      <c r="GE299" s="4">
        <f t="shared" si="636"/>
        <v>7.0707070707070709</v>
      </c>
      <c r="GF299" s="4">
        <f t="shared" si="637"/>
        <v>0</v>
      </c>
      <c r="GG299" s="4">
        <f t="shared" si="638"/>
        <v>0.5583030303030303</v>
      </c>
      <c r="GH299" s="4">
        <f t="shared" si="639"/>
        <v>1.610014284256708</v>
      </c>
      <c r="GI299" s="4">
        <f t="shared" si="640"/>
        <v>5.4061106824417013</v>
      </c>
      <c r="GJ299" s="4">
        <f t="shared" si="641"/>
        <v>27.496880745994222</v>
      </c>
      <c r="GK299" s="4">
        <f t="shared" si="642"/>
        <v>69.027777777777771</v>
      </c>
      <c r="GL299" s="4">
        <f t="shared" si="643"/>
        <v>0</v>
      </c>
      <c r="GM299" s="4">
        <f t="shared" si="644"/>
        <v>93.361285814116002</v>
      </c>
      <c r="GN299" s="4">
        <f t="shared" si="645"/>
        <v>7.4306018481710936E-2</v>
      </c>
      <c r="GO299" s="4">
        <f t="shared" si="646"/>
        <v>0.60890257558790573</v>
      </c>
      <c r="GP299" s="4">
        <f t="shared" si="647"/>
        <v>0</v>
      </c>
      <c r="GQ299" s="27">
        <f t="shared" si="648"/>
        <v>117276.82337646668</v>
      </c>
      <c r="GR299" s="28" t="str">
        <f t="shared" si="649"/>
        <v/>
      </c>
      <c r="GS299" s="28" t="str">
        <f t="shared" si="650"/>
        <v/>
      </c>
      <c r="GT299" s="28" t="str">
        <f t="shared" si="651"/>
        <v/>
      </c>
      <c r="GU299" s="28" t="str">
        <f t="shared" si="652"/>
        <v/>
      </c>
      <c r="GV299" s="28" t="str">
        <f t="shared" si="653"/>
        <v/>
      </c>
      <c r="GW299" s="28" t="str">
        <f t="shared" si="654"/>
        <v/>
      </c>
      <c r="GX299" s="28" t="str">
        <f t="shared" si="655"/>
        <v/>
      </c>
      <c r="GY299" s="28" t="str">
        <f t="shared" si="656"/>
        <v/>
      </c>
      <c r="GZ299" s="28" t="str">
        <f t="shared" si="657"/>
        <v/>
      </c>
      <c r="HA299" s="28" t="str">
        <f t="shared" si="658"/>
        <v/>
      </c>
      <c r="HB299" s="28" t="str">
        <f t="shared" si="659"/>
        <v/>
      </c>
      <c r="HC299" s="28" t="str">
        <f t="shared" si="660"/>
        <v/>
      </c>
      <c r="HD299" s="28" t="str">
        <f t="shared" si="661"/>
        <v/>
      </c>
      <c r="HE299" s="28" t="str">
        <f t="shared" si="662"/>
        <v/>
      </c>
      <c r="HF299" s="28" t="str">
        <f t="shared" si="663"/>
        <v/>
      </c>
      <c r="HG299" s="28" t="str">
        <f t="shared" si="664"/>
        <v/>
      </c>
      <c r="HH299" s="28" t="str">
        <f t="shared" si="665"/>
        <v/>
      </c>
      <c r="HI299" s="28" t="str">
        <f t="shared" si="666"/>
        <v/>
      </c>
      <c r="HJ299" s="28" t="str">
        <f t="shared" si="667"/>
        <v/>
      </c>
      <c r="HK299" s="28" t="str">
        <f t="shared" si="668"/>
        <v/>
      </c>
      <c r="HL299" s="28" t="str">
        <f t="shared" si="669"/>
        <v/>
      </c>
      <c r="HM299" s="28" t="str">
        <f t="shared" si="670"/>
        <v/>
      </c>
      <c r="HN299" s="28" t="str">
        <f t="shared" si="671"/>
        <v/>
      </c>
      <c r="HO299" s="28" t="str">
        <f t="shared" si="672"/>
        <v/>
      </c>
      <c r="HP299" s="28" t="str">
        <f t="shared" si="673"/>
        <v/>
      </c>
      <c r="HQ299" s="28" t="str">
        <f t="shared" si="674"/>
        <v/>
      </c>
      <c r="HR299" s="28" t="str">
        <f t="shared" si="675"/>
        <v/>
      </c>
      <c r="HT299" s="4">
        <f>IFERROR(GR299/'McDonough &amp; Sun 1995 values'!C$2,)</f>
        <v>0</v>
      </c>
      <c r="HU299" s="4">
        <f>IFERROR(GS299/'McDonough &amp; Sun 1995 values'!D$2,)</f>
        <v>0</v>
      </c>
      <c r="HV299" s="4">
        <f>IFERROR(GT299/'McDonough &amp; Sun 1995 values'!E$2,)</f>
        <v>0</v>
      </c>
      <c r="HW299" s="4">
        <f>IFERROR(GU299/'McDonough &amp; Sun 1995 values'!F$2,)</f>
        <v>0</v>
      </c>
      <c r="HX299" s="4">
        <f>IFERROR(GV299/'McDonough &amp; Sun 1995 values'!G$2,)</f>
        <v>0</v>
      </c>
      <c r="HY299" s="4">
        <f>IFERROR(GW299/'McDonough &amp; Sun 1995 values'!H$2,)</f>
        <v>0</v>
      </c>
      <c r="HZ299" s="4">
        <f>IFERROR(GX299/'McDonough &amp; Sun 1995 values'!I$2,)</f>
        <v>0</v>
      </c>
      <c r="IA299" s="4">
        <f>IFERROR(GY299/'McDonough &amp; Sun 1995 values'!J$2,)</f>
        <v>0</v>
      </c>
      <c r="IB299" s="4">
        <f>IFERROR(GZ299/'McDonough &amp; Sun 1995 values'!K$2,)</f>
        <v>0</v>
      </c>
      <c r="IC299" s="4">
        <f>IFERROR(HA299/'McDonough &amp; Sun 1995 values'!L$2,)</f>
        <v>0</v>
      </c>
      <c r="ID299" s="4">
        <f>IFERROR(HB299/'McDonough &amp; Sun 1995 values'!M$2,)</f>
        <v>0</v>
      </c>
      <c r="IE299" s="4">
        <f>IFERROR(HC299/'McDonough &amp; Sun 1995 values'!N$2,)</f>
        <v>0</v>
      </c>
      <c r="IF299" s="4">
        <f>IFERROR(HD299/'McDonough &amp; Sun 1995 values'!O$2,)</f>
        <v>0</v>
      </c>
      <c r="IG299" s="4">
        <f>IFERROR(HE299/'McDonough &amp; Sun 1995 values'!P$2,)</f>
        <v>0</v>
      </c>
      <c r="IH299" s="4">
        <f>IFERROR(HF299/'McDonough &amp; Sun 1995 values'!Q$2,)</f>
        <v>0</v>
      </c>
      <c r="II299" s="4">
        <f>IFERROR(HG299/'McDonough &amp; Sun 1995 values'!R$2,)</f>
        <v>0</v>
      </c>
      <c r="IJ299" s="4">
        <f>IFERROR(HH299/'McDonough &amp; Sun 1995 values'!S$2,)</f>
        <v>0</v>
      </c>
      <c r="IK299" s="4">
        <f>IFERROR(HI299/'McDonough &amp; Sun 1995 values'!T$2,)</f>
        <v>0</v>
      </c>
      <c r="IL299" s="4">
        <f>IFERROR(HJ299/'McDonough &amp; Sun 1995 values'!U$2,)</f>
        <v>0</v>
      </c>
      <c r="IM299" s="4">
        <f>IFERROR(HK299/'McDonough &amp; Sun 1995 values'!V$2,)</f>
        <v>0</v>
      </c>
      <c r="IN299" s="4">
        <f>IFERROR(HL299/'McDonough &amp; Sun 1995 values'!W$2,)</f>
        <v>0</v>
      </c>
      <c r="IO299" s="4">
        <f>IFERROR(HM299/'McDonough &amp; Sun 1995 values'!X$2,)</f>
        <v>0</v>
      </c>
      <c r="IP299" s="4">
        <f>IFERROR(HN299/'McDonough &amp; Sun 1995 values'!Y$2,)</f>
        <v>0</v>
      </c>
      <c r="IQ299" s="4">
        <f>IFERROR(HO299/'McDonough &amp; Sun 1995 values'!Z$2,)</f>
        <v>0</v>
      </c>
      <c r="IR299" s="4">
        <f>IFERROR(HP299/'McDonough &amp; Sun 1995 values'!AA$2,)</f>
        <v>0</v>
      </c>
      <c r="IS299" s="4">
        <f>IFERROR(HQ299/'McDonough &amp; Sun 1995 values'!AB$2,)</f>
        <v>0</v>
      </c>
      <c r="IT299" s="4">
        <f>IFERROR(HR299/'McDonough &amp; Sun 1995 values'!AC$2,)</f>
        <v>0</v>
      </c>
    </row>
    <row r="300" spans="1:254">
      <c r="A300" s="16" t="s">
        <v>1229</v>
      </c>
      <c r="B300" s="16" t="s">
        <v>24</v>
      </c>
      <c r="C300" s="16" t="str">
        <f t="shared" si="617"/>
        <v>silicic - low-Mg carbonatitic</v>
      </c>
      <c r="D300" s="16">
        <v>0</v>
      </c>
      <c r="E300" s="16" t="s">
        <v>1394</v>
      </c>
      <c r="F300" s="16" t="s">
        <v>1432</v>
      </c>
      <c r="G300" s="16" t="s">
        <v>595</v>
      </c>
      <c r="H300" s="27">
        <v>93</v>
      </c>
      <c r="I300" s="16">
        <v>0</v>
      </c>
      <c r="J300" s="16" t="s">
        <v>1311</v>
      </c>
      <c r="K300" s="16" t="s">
        <v>1274</v>
      </c>
      <c r="L300" s="16">
        <v>0</v>
      </c>
      <c r="M300" s="16" t="s">
        <v>1488</v>
      </c>
      <c r="N300" s="16">
        <v>29</v>
      </c>
      <c r="O300" s="26">
        <v>31.737860991413736</v>
      </c>
      <c r="P300" s="26">
        <v>1.2208817446402143</v>
      </c>
      <c r="Q300" s="26">
        <v>1.5264711228628236</v>
      </c>
      <c r="R300" s="26">
        <v>4.0095200875365826</v>
      </c>
      <c r="S300" s="26">
        <v>9.4365126155717132</v>
      </c>
      <c r="T300" s="26">
        <v>6.106146102120988</v>
      </c>
      <c r="U300" s="26">
        <v>1.5285928484939235</v>
      </c>
      <c r="V300" s="26">
        <v>17.442930558238416</v>
      </c>
      <c r="W300" s="26">
        <v>4.9418797759878741</v>
      </c>
      <c r="X300" s="26">
        <v>12.307236451755921</v>
      </c>
      <c r="Y300" s="26"/>
      <c r="Z300" s="26">
        <v>5.1072432197265281</v>
      </c>
      <c r="AA300" s="26">
        <v>1.6007863498805461</v>
      </c>
      <c r="AB300" s="26">
        <v>0.97795746548273066</v>
      </c>
      <c r="AC300" s="26">
        <v>0.74073156378756677</v>
      </c>
      <c r="AD300" s="26">
        <v>2.6551735744958034</v>
      </c>
      <c r="AE300" s="26">
        <v>1.088012349727979</v>
      </c>
      <c r="AF300" s="26"/>
      <c r="AG300" s="26"/>
      <c r="AH300" s="26"/>
      <c r="AI300" s="26"/>
      <c r="AJ300" s="26">
        <f t="shared" si="618"/>
        <v>95.943342586970516</v>
      </c>
      <c r="AK300" s="26">
        <f t="shared" si="678"/>
        <v>33.287685818528132</v>
      </c>
      <c r="AL300" s="26">
        <f t="shared" si="679"/>
        <v>1.2804999035112876</v>
      </c>
      <c r="AM300" s="26">
        <f t="shared" si="680"/>
        <v>4.2053131744796257</v>
      </c>
      <c r="AN300" s="26">
        <f t="shared" si="681"/>
        <v>9.8973168750946812</v>
      </c>
      <c r="AO300" s="26">
        <f t="shared" si="682"/>
        <v>6.4043217362513145</v>
      </c>
      <c r="AP300" s="26">
        <f t="shared" si="683"/>
        <v>18.294704622158601</v>
      </c>
      <c r="AQ300" s="26">
        <f t="shared" si="684"/>
        <v>1.0257131337137135</v>
      </c>
      <c r="AR300" s="26">
        <f t="shared" si="685"/>
        <v>5.1832018982163577</v>
      </c>
      <c r="AS300" s="26">
        <f t="shared" si="686"/>
        <v>12.908224042295146</v>
      </c>
      <c r="AT300" s="26">
        <f t="shared" si="687"/>
        <v>5.356640377971857</v>
      </c>
      <c r="AU300" s="26">
        <f t="shared" si="688"/>
        <v>2.7848311442723221</v>
      </c>
      <c r="AV300" s="26">
        <f t="shared" si="619"/>
        <v>100.62845272649302</v>
      </c>
      <c r="AW300" s="93"/>
      <c r="AX300" s="93"/>
      <c r="AY300" s="93"/>
      <c r="AZ300" s="93"/>
      <c r="BA300" s="103"/>
      <c r="BB300" s="107"/>
      <c r="BC300" s="26"/>
      <c r="BD300" s="26"/>
      <c r="BE300" s="25">
        <v>-6.39</v>
      </c>
      <c r="BF300" s="25">
        <v>-5.8</v>
      </c>
      <c r="BG300" s="16">
        <v>874</v>
      </c>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v>0.04</v>
      </c>
      <c r="CI300" s="16">
        <v>5</v>
      </c>
      <c r="CJ300" s="16">
        <v>1.5666666666666667</v>
      </c>
      <c r="CK300" s="16">
        <v>0.51</v>
      </c>
      <c r="CL300" s="16"/>
      <c r="CM300" s="16">
        <v>0.49666666666666665</v>
      </c>
      <c r="CN300" s="16"/>
      <c r="CO300" s="16"/>
      <c r="CP300" s="16"/>
      <c r="CQ300" s="16"/>
      <c r="CR300" s="16"/>
      <c r="CS300" s="16">
        <v>7.5666666666666673</v>
      </c>
      <c r="CT300" s="16"/>
      <c r="CU300" s="16">
        <v>11.766666666666666</v>
      </c>
      <c r="CV300" s="16">
        <v>11.299999999999999</v>
      </c>
      <c r="CW300" s="16">
        <v>2</v>
      </c>
      <c r="CX300" s="16">
        <v>7.1333333333333329</v>
      </c>
      <c r="CY300" s="16">
        <v>0.75666666666666671</v>
      </c>
      <c r="CZ300" s="16">
        <v>0.25</v>
      </c>
      <c r="DA300" s="16">
        <v>0.71</v>
      </c>
      <c r="DB300" s="16">
        <v>0.37666666666666671</v>
      </c>
      <c r="DC300" s="16"/>
      <c r="DD300" s="16">
        <v>0.19</v>
      </c>
      <c r="DE300" s="16"/>
      <c r="DF300" s="16">
        <v>0.17666666666666667</v>
      </c>
      <c r="DG300" s="16">
        <v>0.06</v>
      </c>
      <c r="DH300" s="16"/>
      <c r="DI300" s="16"/>
      <c r="DJ300" s="16"/>
      <c r="DK300" s="16">
        <v>0.93</v>
      </c>
      <c r="DL300" s="16">
        <v>1.1166666666666667</v>
      </c>
      <c r="DM300" s="16">
        <v>3.4333333333333334E-2</v>
      </c>
      <c r="DN300" s="16">
        <v>0.1</v>
      </c>
      <c r="DO300" s="16"/>
      <c r="DP300" s="16"/>
      <c r="DQ300" s="16"/>
      <c r="DR300" s="16"/>
      <c r="DS300" s="16"/>
      <c r="DT300" s="16"/>
      <c r="DU300" s="16"/>
      <c r="DV300" s="31">
        <f>AVERAGE('Excluded Analyses'!DW243:DW245)</f>
        <v>0.70750666666666662</v>
      </c>
      <c r="DW300" s="31">
        <f>AVERAGE('Excluded Analyses'!DX243:DX245)</f>
        <v>1.5333333333333334E-4</v>
      </c>
      <c r="DX300" s="31">
        <f>AVERAGE('Excluded Analyses'!DY243:DY245)</f>
        <v>0.70746333333333322</v>
      </c>
      <c r="DY300" s="31">
        <f>AVERAGE('Excluded Analyses'!DZ243:DZ245)</f>
        <v>0</v>
      </c>
      <c r="DZ300" s="31">
        <f>AVERAGE('Excluded Analyses'!EA243:EA245)</f>
        <v>43.6</v>
      </c>
      <c r="EA300" s="31"/>
      <c r="EB300" s="31"/>
      <c r="EC300" s="31"/>
      <c r="ED300" s="31"/>
      <c r="EE300" s="31"/>
      <c r="EF300" s="31"/>
      <c r="EG300" s="31"/>
      <c r="EH300" s="31"/>
      <c r="EI300" s="31"/>
      <c r="EJ300" s="31"/>
      <c r="EK300" s="18"/>
      <c r="EL300" s="18">
        <f>IFERROR(CR300/'McDonough &amp; Sun 1995 values'!C$2,)</f>
        <v>0</v>
      </c>
      <c r="EM300" s="18">
        <f>IFERROR(CH300/'McDonough &amp; Sun 1995 values'!D$2,)</f>
        <v>6.6666666666666666E-2</v>
      </c>
      <c r="EN300" s="18">
        <f>IFERROR(CS300/'McDonough &amp; Sun 1995 values'!E$2,)</f>
        <v>1.1464646464646466</v>
      </c>
      <c r="EO300" s="18">
        <f>IFERROR(DL300/'McDonough &amp; Sun 1995 values'!F$2,)</f>
        <v>14.046121593291405</v>
      </c>
      <c r="EP300" s="18">
        <f>IFERROR(DM300/'McDonough &amp; Sun 1995 values'!G$2,)</f>
        <v>1.691297208538588</v>
      </c>
      <c r="EQ300" s="18">
        <f>IFERROR(BR300/'McDonough &amp; Sun 1995 values'!H$2,)</f>
        <v>0</v>
      </c>
      <c r="ER300" s="18">
        <f>IFERROR(DI300/'McDonough &amp; Sun 1995 values'!I$2,)</f>
        <v>0</v>
      </c>
      <c r="ES300" s="18">
        <f>IFERROR(CM300/'McDonough &amp; Sun 1995 values'!J$2,)</f>
        <v>0.75481256332320157</v>
      </c>
      <c r="ET300" s="18">
        <f>IFERROR(CU300/'McDonough &amp; Sun 1995 values'!K$2,)</f>
        <v>18.158436213991767</v>
      </c>
      <c r="EU300" s="18">
        <f>IFERROR(CV300/'McDonough &amp; Sun 1995 values'!L$2,)</f>
        <v>6.746268656716417</v>
      </c>
      <c r="EV300" s="18">
        <f>IFERROR(CW300/'McDonough &amp; Sun 1995 values'!M$2,)</f>
        <v>7.8740157480314963</v>
      </c>
      <c r="EW300" s="18">
        <f>IFERROR(CI300/'McDonough &amp; Sun 1995 values'!N$2,)</f>
        <v>0.25125628140703521</v>
      </c>
      <c r="EX300" s="18">
        <f>IFERROR(CX300/'McDonough &amp; Sun 1995 values'!O$2,)</f>
        <v>5.7066666666666661</v>
      </c>
      <c r="EY300" s="18">
        <f>IFERROR(CY300/'McDonough &amp; Sun 1995 values'!P$2,)</f>
        <v>1.8637110016420362</v>
      </c>
      <c r="EZ300" s="18">
        <f>IFERROR(DH300/'McDonough &amp; Sun 1995 values'!Q$2,)</f>
        <v>0</v>
      </c>
      <c r="FA300" s="18">
        <f>IFERROR(CK300/'McDonough &amp; Sun 1995 values'!R$2,)</f>
        <v>4.8571428571428571E-2</v>
      </c>
      <c r="FB300" s="18">
        <f>IFERROR(CZ300/'McDonough &amp; Sun 1995 values'!S$2,)</f>
        <v>1.6233766233766234</v>
      </c>
      <c r="FC300" s="18">
        <f>IFERROR(BT300/'McDonough &amp; Sun 1995 values'!T$2,)</f>
        <v>0</v>
      </c>
      <c r="FD300" s="18">
        <f>IFERROR(DA300/'McDonough &amp; Sun 1995 values'!U$2,)</f>
        <v>1.3051470588235292</v>
      </c>
      <c r="FE300" s="18">
        <f>IFERROR(DN300/'McDonough &amp; Sun 1995 values'!V$2,)</f>
        <v>1.0101010101010102</v>
      </c>
      <c r="FF300" s="18">
        <f>IFERROR(DB300/'McDonough &amp; Sun 1995 values'!W$2,)</f>
        <v>0.55885262116716128</v>
      </c>
      <c r="FG300" s="18">
        <f>IFERROR(CJ300/'McDonough &amp; Sun 1995 values'!X$2,)</f>
        <v>0.36434108527131787</v>
      </c>
      <c r="FH300" s="18">
        <f>IFERROR(DC300/'McDonough &amp; Sun 1995 values'!Y$2,)</f>
        <v>0</v>
      </c>
      <c r="FI300" s="18">
        <f>IFERROR(DD300/'McDonough &amp; Sun 1995 values'!Z$2,)</f>
        <v>0.43378995433789957</v>
      </c>
      <c r="FJ300" s="18">
        <f>IFERROR(DE300/'McDonough &amp; Sun 1995 values'!AA$2,)</f>
        <v>0</v>
      </c>
      <c r="FK300" s="18">
        <f>IFERROR(DF300/'McDonough &amp; Sun 1995 values'!AB$2,)</f>
        <v>0.400604686318972</v>
      </c>
      <c r="FL300" s="18">
        <f>IFERROR(DG300/'McDonough &amp; Sun 1995 values'!AC$2,)</f>
        <v>0.88888888888888884</v>
      </c>
      <c r="FM300" s="16"/>
      <c r="FN300" s="28">
        <f t="shared" si="614"/>
        <v>0</v>
      </c>
      <c r="FO300" s="4">
        <f t="shared" si="620"/>
        <v>0.677861135628126</v>
      </c>
      <c r="FP300" s="4">
        <f t="shared" si="621"/>
        <v>18.608754379300159</v>
      </c>
      <c r="FQ300" s="4">
        <f t="shared" si="622"/>
        <v>8.3049398546742381</v>
      </c>
      <c r="FR300" s="4">
        <f t="shared" si="623"/>
        <v>24.056881266053523</v>
      </c>
      <c r="FS300" s="4">
        <f t="shared" si="624"/>
        <v>0</v>
      </c>
      <c r="FT300" s="4">
        <f t="shared" si="625"/>
        <v>0</v>
      </c>
      <c r="FU300" s="4">
        <f t="shared" si="626"/>
        <v>0</v>
      </c>
      <c r="FV300" s="4">
        <f t="shared" si="627"/>
        <v>2.606167400881057E-2</v>
      </c>
      <c r="FW300" s="4">
        <f t="shared" si="628"/>
        <v>0</v>
      </c>
      <c r="FX300" s="4">
        <f t="shared" si="629"/>
        <v>1.0245814690343806</v>
      </c>
      <c r="FY300" s="4">
        <f t="shared" si="630"/>
        <v>3.7482412479002691E-2</v>
      </c>
      <c r="FZ300" s="4">
        <f t="shared" si="631"/>
        <v>1.0408790773050693</v>
      </c>
      <c r="GA300" s="4">
        <f t="shared" si="632"/>
        <v>3.1909547738693471E-2</v>
      </c>
      <c r="GB300" s="4">
        <f t="shared" si="633"/>
        <v>0.87104525430516622</v>
      </c>
      <c r="GC300" s="4">
        <f t="shared" si="634"/>
        <v>0</v>
      </c>
      <c r="GD300" s="4">
        <f t="shared" si="635"/>
        <v>8.1621438263229318E-2</v>
      </c>
      <c r="GE300" s="4">
        <f t="shared" si="636"/>
        <v>17.196969696969699</v>
      </c>
      <c r="GF300" s="4">
        <f t="shared" si="637"/>
        <v>0</v>
      </c>
      <c r="GG300" s="4">
        <f t="shared" si="638"/>
        <v>1.518873296725646</v>
      </c>
      <c r="GH300" s="4">
        <f t="shared" si="639"/>
        <v>2.3061213991769542</v>
      </c>
      <c r="GI300" s="4">
        <f t="shared" si="640"/>
        <v>9.7431609289171686</v>
      </c>
      <c r="GJ300" s="4">
        <f t="shared" si="641"/>
        <v>32.49235223424013</v>
      </c>
      <c r="GK300" s="4">
        <f t="shared" si="642"/>
        <v>45.327568134171905</v>
      </c>
      <c r="GL300" s="4">
        <f t="shared" si="643"/>
        <v>0</v>
      </c>
      <c r="GM300" s="4">
        <f t="shared" si="644"/>
        <v>210.69182389937109</v>
      </c>
      <c r="GN300" s="4">
        <f t="shared" si="645"/>
        <v>4.1568147963181416E-2</v>
      </c>
      <c r="GO300" s="4">
        <f t="shared" si="646"/>
        <v>0.44629208841148515</v>
      </c>
      <c r="GP300" s="4">
        <f t="shared" si="647"/>
        <v>0</v>
      </c>
      <c r="GQ300" s="27">
        <f t="shared" si="648"/>
        <v>107155.98315066283</v>
      </c>
      <c r="GR300" s="28" t="str">
        <f t="shared" si="649"/>
        <v/>
      </c>
      <c r="GS300" s="28" t="str">
        <f t="shared" si="650"/>
        <v/>
      </c>
      <c r="GT300" s="28" t="str">
        <f t="shared" si="651"/>
        <v/>
      </c>
      <c r="GU300" s="28" t="str">
        <f t="shared" si="652"/>
        <v/>
      </c>
      <c r="GV300" s="28" t="str">
        <f t="shared" si="653"/>
        <v/>
      </c>
      <c r="GW300" s="28" t="str">
        <f t="shared" si="654"/>
        <v/>
      </c>
      <c r="GX300" s="28" t="str">
        <f t="shared" si="655"/>
        <v/>
      </c>
      <c r="GY300" s="28" t="str">
        <f t="shared" si="656"/>
        <v/>
      </c>
      <c r="GZ300" s="28" t="str">
        <f t="shared" si="657"/>
        <v/>
      </c>
      <c r="HA300" s="28" t="str">
        <f t="shared" si="658"/>
        <v/>
      </c>
      <c r="HB300" s="28" t="str">
        <f t="shared" si="659"/>
        <v/>
      </c>
      <c r="HC300" s="28" t="str">
        <f t="shared" si="660"/>
        <v/>
      </c>
      <c r="HD300" s="28" t="str">
        <f t="shared" si="661"/>
        <v/>
      </c>
      <c r="HE300" s="28" t="str">
        <f t="shared" si="662"/>
        <v/>
      </c>
      <c r="HF300" s="28" t="str">
        <f t="shared" si="663"/>
        <v/>
      </c>
      <c r="HG300" s="28" t="str">
        <f t="shared" si="664"/>
        <v/>
      </c>
      <c r="HH300" s="28" t="str">
        <f t="shared" si="665"/>
        <v/>
      </c>
      <c r="HI300" s="28" t="str">
        <f t="shared" si="666"/>
        <v/>
      </c>
      <c r="HJ300" s="28" t="str">
        <f t="shared" si="667"/>
        <v/>
      </c>
      <c r="HK300" s="28" t="str">
        <f t="shared" si="668"/>
        <v/>
      </c>
      <c r="HL300" s="28" t="str">
        <f t="shared" si="669"/>
        <v/>
      </c>
      <c r="HM300" s="28" t="str">
        <f t="shared" si="670"/>
        <v/>
      </c>
      <c r="HN300" s="28" t="str">
        <f t="shared" si="671"/>
        <v/>
      </c>
      <c r="HO300" s="28" t="str">
        <f t="shared" si="672"/>
        <v/>
      </c>
      <c r="HP300" s="28" t="str">
        <f t="shared" si="673"/>
        <v/>
      </c>
      <c r="HQ300" s="28" t="str">
        <f t="shared" si="674"/>
        <v/>
      </c>
      <c r="HR300" s="28" t="str">
        <f t="shared" si="675"/>
        <v/>
      </c>
      <c r="HT300" s="4">
        <f>IFERROR(GR300/'McDonough &amp; Sun 1995 values'!C$2,)</f>
        <v>0</v>
      </c>
      <c r="HU300" s="4">
        <f>IFERROR(GS300/'McDonough &amp; Sun 1995 values'!D$2,)</f>
        <v>0</v>
      </c>
      <c r="HV300" s="4">
        <f>IFERROR(GT300/'McDonough &amp; Sun 1995 values'!E$2,)</f>
        <v>0</v>
      </c>
      <c r="HW300" s="4">
        <f>IFERROR(GU300/'McDonough &amp; Sun 1995 values'!F$2,)</f>
        <v>0</v>
      </c>
      <c r="HX300" s="4">
        <f>IFERROR(GV300/'McDonough &amp; Sun 1995 values'!G$2,)</f>
        <v>0</v>
      </c>
      <c r="HY300" s="4">
        <f>IFERROR(GW300/'McDonough &amp; Sun 1995 values'!H$2,)</f>
        <v>0</v>
      </c>
      <c r="HZ300" s="4">
        <f>IFERROR(GX300/'McDonough &amp; Sun 1995 values'!I$2,)</f>
        <v>0</v>
      </c>
      <c r="IA300" s="4">
        <f>IFERROR(GY300/'McDonough &amp; Sun 1995 values'!J$2,)</f>
        <v>0</v>
      </c>
      <c r="IB300" s="4">
        <f>IFERROR(GZ300/'McDonough &amp; Sun 1995 values'!K$2,)</f>
        <v>0</v>
      </c>
      <c r="IC300" s="4">
        <f>IFERROR(HA300/'McDonough &amp; Sun 1995 values'!L$2,)</f>
        <v>0</v>
      </c>
      <c r="ID300" s="4">
        <f>IFERROR(HB300/'McDonough &amp; Sun 1995 values'!M$2,)</f>
        <v>0</v>
      </c>
      <c r="IE300" s="4">
        <f>IFERROR(HC300/'McDonough &amp; Sun 1995 values'!N$2,)</f>
        <v>0</v>
      </c>
      <c r="IF300" s="4">
        <f>IFERROR(HD300/'McDonough &amp; Sun 1995 values'!O$2,)</f>
        <v>0</v>
      </c>
      <c r="IG300" s="4">
        <f>IFERROR(HE300/'McDonough &amp; Sun 1995 values'!P$2,)</f>
        <v>0</v>
      </c>
      <c r="IH300" s="4">
        <f>IFERROR(HF300/'McDonough &amp; Sun 1995 values'!Q$2,)</f>
        <v>0</v>
      </c>
      <c r="II300" s="4">
        <f>IFERROR(HG300/'McDonough &amp; Sun 1995 values'!R$2,)</f>
        <v>0</v>
      </c>
      <c r="IJ300" s="4">
        <f>IFERROR(HH300/'McDonough &amp; Sun 1995 values'!S$2,)</f>
        <v>0</v>
      </c>
      <c r="IK300" s="4">
        <f>IFERROR(HI300/'McDonough &amp; Sun 1995 values'!T$2,)</f>
        <v>0</v>
      </c>
      <c r="IL300" s="4">
        <f>IFERROR(HJ300/'McDonough &amp; Sun 1995 values'!U$2,)</f>
        <v>0</v>
      </c>
      <c r="IM300" s="4">
        <f>IFERROR(HK300/'McDonough &amp; Sun 1995 values'!V$2,)</f>
        <v>0</v>
      </c>
      <c r="IN300" s="4">
        <f>IFERROR(HL300/'McDonough &amp; Sun 1995 values'!W$2,)</f>
        <v>0</v>
      </c>
      <c r="IO300" s="4">
        <f>IFERROR(HM300/'McDonough &amp; Sun 1995 values'!X$2,)</f>
        <v>0</v>
      </c>
      <c r="IP300" s="4">
        <f>IFERROR(HN300/'McDonough &amp; Sun 1995 values'!Y$2,)</f>
        <v>0</v>
      </c>
      <c r="IQ300" s="4">
        <f>IFERROR(HO300/'McDonough &amp; Sun 1995 values'!Z$2,)</f>
        <v>0</v>
      </c>
      <c r="IR300" s="4">
        <f>IFERROR(HP300/'McDonough &amp; Sun 1995 values'!AA$2,)</f>
        <v>0</v>
      </c>
      <c r="IS300" s="4">
        <f>IFERROR(HQ300/'McDonough &amp; Sun 1995 values'!AB$2,)</f>
        <v>0</v>
      </c>
      <c r="IT300" s="4">
        <f>IFERROR(HR300/'McDonough &amp; Sun 1995 values'!AC$2,)</f>
        <v>0</v>
      </c>
    </row>
    <row r="301" spans="1:254">
      <c r="A301" s="16" t="s">
        <v>1229</v>
      </c>
      <c r="B301" s="16" t="s">
        <v>24</v>
      </c>
      <c r="C301" s="16" t="str">
        <f t="shared" si="617"/>
        <v>silicic - low-Mg carbonatitic</v>
      </c>
      <c r="D301" s="16">
        <v>0</v>
      </c>
      <c r="E301" s="16" t="s">
        <v>1394</v>
      </c>
      <c r="F301" s="16" t="s">
        <v>1432</v>
      </c>
      <c r="G301" s="16" t="s">
        <v>595</v>
      </c>
      <c r="H301" s="27">
        <v>93</v>
      </c>
      <c r="I301" s="16">
        <v>0</v>
      </c>
      <c r="J301" s="16" t="s">
        <v>1311</v>
      </c>
      <c r="K301" s="16" t="s">
        <v>1274</v>
      </c>
      <c r="L301" s="16">
        <v>0</v>
      </c>
      <c r="M301" s="16" t="s">
        <v>1489</v>
      </c>
      <c r="N301" s="16">
        <v>35</v>
      </c>
      <c r="O301" s="26">
        <v>25.711139058490783</v>
      </c>
      <c r="P301" s="26">
        <v>1.5741091436775703</v>
      </c>
      <c r="Q301" s="26">
        <v>0.94463475200439773</v>
      </c>
      <c r="R301" s="26">
        <v>3.5020332007206147</v>
      </c>
      <c r="S301" s="26">
        <v>13.908717806657103</v>
      </c>
      <c r="T301" s="26">
        <v>9.3578911616591132</v>
      </c>
      <c r="U301" s="26">
        <v>0.59231434698249807</v>
      </c>
      <c r="V301" s="26">
        <v>8.0463236549395489</v>
      </c>
      <c r="W301" s="26">
        <v>11.750029684519367</v>
      </c>
      <c r="X301" s="26">
        <v>12.721036794489629</v>
      </c>
      <c r="Y301" s="26"/>
      <c r="Z301" s="26">
        <v>5.7911269936910301</v>
      </c>
      <c r="AA301" s="26">
        <v>0.70636097364676298</v>
      </c>
      <c r="AB301" s="26">
        <v>2.350177296461907</v>
      </c>
      <c r="AC301" s="26"/>
      <c r="AD301" s="26">
        <v>3.9312760266490279</v>
      </c>
      <c r="AE301" s="26">
        <v>1.7210463709916668</v>
      </c>
      <c r="AF301" s="26"/>
      <c r="AG301" s="26"/>
      <c r="AH301" s="26"/>
      <c r="AI301" s="26"/>
      <c r="AJ301" s="26">
        <f t="shared" si="618"/>
        <v>98.643860821955698</v>
      </c>
      <c r="AK301" s="26">
        <f t="shared" si="678"/>
        <v>26.30115552970776</v>
      </c>
      <c r="AL301" s="26">
        <f t="shared" si="679"/>
        <v>1.6102316320725878</v>
      </c>
      <c r="AM301" s="26">
        <f t="shared" si="680"/>
        <v>3.5823974843283266</v>
      </c>
      <c r="AN301" s="26">
        <f t="shared" si="681"/>
        <v>14.227893576379621</v>
      </c>
      <c r="AO301" s="26">
        <f t="shared" si="682"/>
        <v>9.57263504790523</v>
      </c>
      <c r="AP301" s="26">
        <f t="shared" si="683"/>
        <v>8.2309698302162264</v>
      </c>
      <c r="AQ301" s="26">
        <f t="shared" si="684"/>
        <v>2.4041089138841536</v>
      </c>
      <c r="AR301" s="26">
        <f t="shared" si="685"/>
        <v>12.019668109926481</v>
      </c>
      <c r="AS301" s="26">
        <f t="shared" si="686"/>
        <v>13.012957787279229</v>
      </c>
      <c r="AT301" s="26">
        <f t="shared" si="687"/>
        <v>5.9240211570112109</v>
      </c>
      <c r="AU301" s="26">
        <f t="shared" si="688"/>
        <v>4.0214905287504958</v>
      </c>
      <c r="AV301" s="26">
        <f t="shared" si="619"/>
        <v>100.90752959746132</v>
      </c>
      <c r="AW301" s="93"/>
      <c r="AX301" s="93"/>
      <c r="AY301" s="93"/>
      <c r="AZ301" s="93"/>
      <c r="BA301" s="103"/>
      <c r="BB301" s="107"/>
      <c r="BC301" s="26"/>
      <c r="BD301" s="26"/>
      <c r="BE301" s="25">
        <v>-5.72</v>
      </c>
      <c r="BF301" s="25">
        <v>-4.2</v>
      </c>
      <c r="BG301" s="16">
        <v>337</v>
      </c>
      <c r="BH301" s="16"/>
      <c r="BI301" s="16"/>
      <c r="BJ301" s="16"/>
      <c r="BK301" s="16"/>
      <c r="BL301" s="16"/>
      <c r="BM301" s="16"/>
      <c r="BN301" s="16"/>
      <c r="BO301" s="16"/>
      <c r="BP301" s="16"/>
      <c r="BQ301" s="16"/>
      <c r="BR301" s="16"/>
      <c r="BS301" s="16"/>
      <c r="BT301" s="16">
        <v>616.33333333333337</v>
      </c>
      <c r="BU301" s="16"/>
      <c r="BV301" s="16"/>
      <c r="BW301" s="16"/>
      <c r="BX301" s="16"/>
      <c r="BY301" s="16"/>
      <c r="BZ301" s="16"/>
      <c r="CA301" s="16"/>
      <c r="CB301" s="16"/>
      <c r="CC301" s="16"/>
      <c r="CD301" s="16"/>
      <c r="CE301" s="16"/>
      <c r="CF301" s="16"/>
      <c r="CG301" s="16"/>
      <c r="CH301" s="16">
        <v>0.49666666666666676</v>
      </c>
      <c r="CI301" s="16">
        <v>760.66666666666663</v>
      </c>
      <c r="CJ301" s="16">
        <v>698.33333333333337</v>
      </c>
      <c r="CK301" s="16">
        <v>15.233333333333334</v>
      </c>
      <c r="CL301" s="16"/>
      <c r="CM301" s="16">
        <v>66.399999999999991</v>
      </c>
      <c r="CN301" s="16"/>
      <c r="CO301" s="16"/>
      <c r="CP301" s="16"/>
      <c r="CQ301" s="16"/>
      <c r="CR301" s="16"/>
      <c r="CS301" s="16">
        <v>3906.3333333333335</v>
      </c>
      <c r="CT301" s="16"/>
      <c r="CU301" s="16">
        <v>4895.666666666667</v>
      </c>
      <c r="CV301" s="16">
        <v>8976.3333333333339</v>
      </c>
      <c r="CW301" s="16">
        <v>1036.3333333333333</v>
      </c>
      <c r="CX301" s="16">
        <v>3576.3333333333335</v>
      </c>
      <c r="CY301" s="16">
        <v>551</v>
      </c>
      <c r="CZ301" s="16">
        <v>120.89999999999999</v>
      </c>
      <c r="DA301" s="16">
        <v>312.66666666666669</v>
      </c>
      <c r="DB301" s="16">
        <v>197.9</v>
      </c>
      <c r="DC301" s="16"/>
      <c r="DD301" s="16">
        <v>67.399999999999991</v>
      </c>
      <c r="DE301" s="16"/>
      <c r="DF301" s="16">
        <v>46.566666666666663</v>
      </c>
      <c r="DG301" s="16">
        <v>5.413333333333334</v>
      </c>
      <c r="DH301" s="16">
        <v>1.95</v>
      </c>
      <c r="DI301" s="16"/>
      <c r="DJ301" s="16"/>
      <c r="DK301" s="16">
        <v>1358</v>
      </c>
      <c r="DL301" s="16">
        <v>91</v>
      </c>
      <c r="DM301" s="16">
        <v>7.830000000000001</v>
      </c>
      <c r="DN301" s="16">
        <v>60.5</v>
      </c>
      <c r="DO301" s="16"/>
      <c r="DP301" s="16"/>
      <c r="DQ301" s="16"/>
      <c r="DR301" s="16"/>
      <c r="DS301" s="16"/>
      <c r="DT301" s="16"/>
      <c r="DU301" s="16"/>
      <c r="DV301" s="31">
        <f>AVERAGE('Excluded Analyses'!DW246:DW248)</f>
        <v>0.71727000000000007</v>
      </c>
      <c r="DW301" s="31">
        <f>AVERAGE('Excluded Analyses'!DX246:DX248)</f>
        <v>1.3333333333333335E-5</v>
      </c>
      <c r="DX301" s="31">
        <f>AVERAGE('Excluded Analyses'!DY246:DY248)</f>
        <v>0.71726666666666661</v>
      </c>
      <c r="DY301" s="31">
        <f>AVERAGE('Excluded Analyses'!DZ246:DZ248)</f>
        <v>0</v>
      </c>
      <c r="DZ301" s="31">
        <f>AVERAGE('Excluded Analyses'!EA246:EA248)</f>
        <v>182.79999999999998</v>
      </c>
      <c r="EA301" s="31">
        <f>AVERAGE('Excluded Analyses'!EB246:EB248)</f>
        <v>0.51139933333333332</v>
      </c>
      <c r="EB301" s="31">
        <f>AVERAGE('Excluded Analyses'!EC246:EC248)</f>
        <v>5.3333333333333345E-6</v>
      </c>
      <c r="EC301" s="31"/>
      <c r="ED301" s="31">
        <f>AVERAGE('Excluded Analyses'!EE246:EE248)</f>
        <v>-22.966666666666669</v>
      </c>
      <c r="EE301" s="31">
        <f>AVERAGE('Excluded Analyses'!EF246:EF248)</f>
        <v>18.026666666666667</v>
      </c>
      <c r="EF301" s="31">
        <f>AVERAGE('Excluded Analyses'!EG246:EG248)</f>
        <v>2E-3</v>
      </c>
      <c r="EG301" s="31">
        <f>AVERAGE('Excluded Analyses'!EH246:EH248)</f>
        <v>15.663333333333334</v>
      </c>
      <c r="EH301" s="31">
        <f>AVERAGE('Excluded Analyses'!EI246:EI248)</f>
        <v>1.6666666666666668E-3</v>
      </c>
      <c r="EI301" s="31"/>
      <c r="EJ301" s="31"/>
      <c r="EK301" s="18"/>
      <c r="EL301" s="18">
        <f>IFERROR(CR301/'McDonough &amp; Sun 1995 values'!C$2,)</f>
        <v>0</v>
      </c>
      <c r="EM301" s="18">
        <f>IFERROR(CH301/'McDonough &amp; Sun 1995 values'!D$2,)</f>
        <v>0.82777777777777795</v>
      </c>
      <c r="EN301" s="18">
        <f>IFERROR(CS301/'McDonough &amp; Sun 1995 values'!E$2,)</f>
        <v>591.86868686868695</v>
      </c>
      <c r="EO301" s="18">
        <f>IFERROR(DL301/'McDonough &amp; Sun 1995 values'!F$2,)</f>
        <v>1144.6540880503144</v>
      </c>
      <c r="EP301" s="18">
        <f>IFERROR(DM301/'McDonough &amp; Sun 1995 values'!G$2,)</f>
        <v>385.71428571428578</v>
      </c>
      <c r="EQ301" s="18">
        <f>IFERROR(BR301/'McDonough &amp; Sun 1995 values'!H$2,)</f>
        <v>0</v>
      </c>
      <c r="ER301" s="18">
        <f>IFERROR(DI301/'McDonough &amp; Sun 1995 values'!I$2,)</f>
        <v>0</v>
      </c>
      <c r="ES301" s="18">
        <f>IFERROR(CM301/'McDonough &amp; Sun 1995 values'!J$2,)</f>
        <v>100.91185410334344</v>
      </c>
      <c r="ET301" s="18">
        <f>IFERROR(CU301/'McDonough &amp; Sun 1995 values'!K$2,)</f>
        <v>7555.0411522633749</v>
      </c>
      <c r="EU301" s="18">
        <f>IFERROR(CV301/'McDonough &amp; Sun 1995 values'!L$2,)</f>
        <v>5359.0049751243787</v>
      </c>
      <c r="EV301" s="18">
        <f>IFERROR(CW301/'McDonough &amp; Sun 1995 values'!M$2,)</f>
        <v>4080.0524934383197</v>
      </c>
      <c r="EW301" s="18">
        <f>IFERROR(CI301/'McDonough &amp; Sun 1995 values'!N$2,)</f>
        <v>38.224455611390283</v>
      </c>
      <c r="EX301" s="18">
        <f>IFERROR(CX301/'McDonough &amp; Sun 1995 values'!O$2,)</f>
        <v>2861.0666666666666</v>
      </c>
      <c r="EY301" s="18">
        <f>IFERROR(CY301/'McDonough &amp; Sun 1995 values'!P$2,)</f>
        <v>1357.1428571428571</v>
      </c>
      <c r="EZ301" s="18">
        <f>IFERROR(DH301/'McDonough &amp; Sun 1995 values'!Q$2,)</f>
        <v>6.8904593639575973</v>
      </c>
      <c r="FA301" s="18">
        <f>IFERROR(CK301/'McDonough &amp; Sun 1995 values'!R$2,)</f>
        <v>1.450793650793651</v>
      </c>
      <c r="FB301" s="18">
        <f>IFERROR(CZ301/'McDonough &amp; Sun 1995 values'!S$2,)</f>
        <v>785.06493506493507</v>
      </c>
      <c r="FC301" s="18">
        <f>IFERROR(BT301/'McDonough &amp; Sun 1995 values'!T$2,)</f>
        <v>0.51147994467496549</v>
      </c>
      <c r="FD301" s="18">
        <f>IFERROR(DA301/'McDonough &amp; Sun 1995 values'!U$2,)</f>
        <v>574.75490196078431</v>
      </c>
      <c r="FE301" s="18">
        <f>IFERROR(DN301/'McDonough &amp; Sun 1995 values'!V$2,)</f>
        <v>611.11111111111109</v>
      </c>
      <c r="FF301" s="18">
        <f>IFERROR(DB301/'McDonough &amp; Sun 1995 values'!W$2,)</f>
        <v>293.620178041543</v>
      </c>
      <c r="FG301" s="18">
        <f>IFERROR(CJ301/'McDonough &amp; Sun 1995 values'!X$2,)</f>
        <v>162.40310077519382</v>
      </c>
      <c r="FH301" s="18">
        <f>IFERROR(DC301/'McDonough &amp; Sun 1995 values'!Y$2,)</f>
        <v>0</v>
      </c>
      <c r="FI301" s="18">
        <f>IFERROR(DD301/'McDonough &amp; Sun 1995 values'!Z$2,)</f>
        <v>153.88127853881278</v>
      </c>
      <c r="FJ301" s="18">
        <f>IFERROR(DE301/'McDonough &amp; Sun 1995 values'!AA$2,)</f>
        <v>0</v>
      </c>
      <c r="FK301" s="18">
        <f>IFERROR(DF301/'McDonough &amp; Sun 1995 values'!AB$2,)</f>
        <v>105.59334845049131</v>
      </c>
      <c r="FL301" s="18">
        <f>IFERROR(DG301/'McDonough &amp; Sun 1995 values'!AC$2,)</f>
        <v>80.197530864197532</v>
      </c>
      <c r="FM301" s="16"/>
      <c r="FN301" s="28">
        <f t="shared" si="614"/>
        <v>0</v>
      </c>
      <c r="FO301" s="4">
        <f t="shared" si="620"/>
        <v>1.5344743733632622</v>
      </c>
      <c r="FP301" s="4">
        <f t="shared" si="621"/>
        <v>11.343108282185346</v>
      </c>
      <c r="FQ301" s="4">
        <f t="shared" si="622"/>
        <v>2.9676217097600737</v>
      </c>
      <c r="FR301" s="4">
        <f t="shared" si="623"/>
        <v>74.867727081164176</v>
      </c>
      <c r="FS301" s="4">
        <f t="shared" si="624"/>
        <v>0</v>
      </c>
      <c r="FT301" s="4">
        <f t="shared" si="625"/>
        <v>0</v>
      </c>
      <c r="FU301" s="4">
        <f t="shared" si="626"/>
        <v>0</v>
      </c>
      <c r="FV301" s="4">
        <f t="shared" si="627"/>
        <v>1.0690058479532166E-3</v>
      </c>
      <c r="FW301" s="4">
        <f t="shared" si="628"/>
        <v>0.21055107855107857</v>
      </c>
      <c r="FX301" s="4">
        <f t="shared" si="629"/>
        <v>0.81273963010256622</v>
      </c>
      <c r="FY301" s="4">
        <f t="shared" si="630"/>
        <v>1.1187793579517722E-2</v>
      </c>
      <c r="FZ301" s="4">
        <f t="shared" si="631"/>
        <v>0.88889703056779656</v>
      </c>
      <c r="GA301" s="4">
        <f t="shared" si="632"/>
        <v>9.3686185834285611E-3</v>
      </c>
      <c r="GB301" s="4">
        <f t="shared" si="633"/>
        <v>0.57846889952153113</v>
      </c>
      <c r="GC301" s="4">
        <f t="shared" si="634"/>
        <v>0</v>
      </c>
      <c r="GD301" s="4">
        <f t="shared" si="635"/>
        <v>0.51707209457209469</v>
      </c>
      <c r="GE301" s="4">
        <f t="shared" si="636"/>
        <v>715.00915192190359</v>
      </c>
      <c r="GF301" s="4">
        <f t="shared" si="637"/>
        <v>0</v>
      </c>
      <c r="GG301" s="4">
        <f t="shared" si="638"/>
        <v>5.8652047584276517</v>
      </c>
      <c r="GH301" s="4">
        <f t="shared" si="639"/>
        <v>1.851701948544449</v>
      </c>
      <c r="GI301" s="4">
        <f t="shared" si="640"/>
        <v>5.5668724279835393</v>
      </c>
      <c r="GJ301" s="4">
        <f t="shared" si="641"/>
        <v>25.730660619633731</v>
      </c>
      <c r="GK301" s="4">
        <f t="shared" si="642"/>
        <v>71.548457011055447</v>
      </c>
      <c r="GL301" s="4">
        <f t="shared" si="643"/>
        <v>2.8364624378686032</v>
      </c>
      <c r="GM301" s="4">
        <f t="shared" si="644"/>
        <v>1382.8035963023929</v>
      </c>
      <c r="GN301" s="4">
        <f t="shared" si="645"/>
        <v>1.3356890064471957E-2</v>
      </c>
      <c r="GO301" s="4">
        <f t="shared" si="646"/>
        <v>0.26162332545311257</v>
      </c>
      <c r="GP301" s="4">
        <f t="shared" si="647"/>
        <v>0</v>
      </c>
      <c r="GQ301" s="27">
        <f t="shared" si="648"/>
        <v>108025.41703839575</v>
      </c>
      <c r="GR301" s="28" t="str">
        <f t="shared" si="649"/>
        <v/>
      </c>
      <c r="GS301" s="28" t="str">
        <f t="shared" si="650"/>
        <v/>
      </c>
      <c r="GT301" s="28" t="str">
        <f t="shared" si="651"/>
        <v/>
      </c>
      <c r="GU301" s="28" t="str">
        <f t="shared" si="652"/>
        <v/>
      </c>
      <c r="GV301" s="28" t="str">
        <f t="shared" si="653"/>
        <v/>
      </c>
      <c r="GW301" s="28" t="str">
        <f t="shared" si="654"/>
        <v/>
      </c>
      <c r="GX301" s="28" t="str">
        <f t="shared" si="655"/>
        <v/>
      </c>
      <c r="GY301" s="28" t="str">
        <f t="shared" si="656"/>
        <v/>
      </c>
      <c r="GZ301" s="28" t="str">
        <f t="shared" si="657"/>
        <v/>
      </c>
      <c r="HA301" s="28" t="str">
        <f t="shared" si="658"/>
        <v/>
      </c>
      <c r="HB301" s="28" t="str">
        <f t="shared" si="659"/>
        <v/>
      </c>
      <c r="HC301" s="28" t="str">
        <f t="shared" si="660"/>
        <v/>
      </c>
      <c r="HD301" s="28" t="str">
        <f t="shared" si="661"/>
        <v/>
      </c>
      <c r="HE301" s="28" t="str">
        <f t="shared" si="662"/>
        <v/>
      </c>
      <c r="HF301" s="28" t="str">
        <f t="shared" si="663"/>
        <v/>
      </c>
      <c r="HG301" s="28" t="str">
        <f t="shared" si="664"/>
        <v/>
      </c>
      <c r="HH301" s="28" t="str">
        <f t="shared" si="665"/>
        <v/>
      </c>
      <c r="HI301" s="28" t="str">
        <f t="shared" si="666"/>
        <v/>
      </c>
      <c r="HJ301" s="28" t="str">
        <f t="shared" si="667"/>
        <v/>
      </c>
      <c r="HK301" s="28" t="str">
        <f t="shared" si="668"/>
        <v/>
      </c>
      <c r="HL301" s="28" t="str">
        <f t="shared" si="669"/>
        <v/>
      </c>
      <c r="HM301" s="28" t="str">
        <f t="shared" si="670"/>
        <v/>
      </c>
      <c r="HN301" s="28" t="str">
        <f t="shared" si="671"/>
        <v/>
      </c>
      <c r="HO301" s="28" t="str">
        <f t="shared" si="672"/>
        <v/>
      </c>
      <c r="HP301" s="28" t="str">
        <f t="shared" si="673"/>
        <v/>
      </c>
      <c r="HQ301" s="28" t="str">
        <f t="shared" si="674"/>
        <v/>
      </c>
      <c r="HR301" s="28" t="str">
        <f t="shared" si="675"/>
        <v/>
      </c>
      <c r="HT301" s="4">
        <f>IFERROR(GR301/'McDonough &amp; Sun 1995 values'!C$2,)</f>
        <v>0</v>
      </c>
      <c r="HU301" s="4">
        <f>IFERROR(GS301/'McDonough &amp; Sun 1995 values'!D$2,)</f>
        <v>0</v>
      </c>
      <c r="HV301" s="4">
        <f>IFERROR(GT301/'McDonough &amp; Sun 1995 values'!E$2,)</f>
        <v>0</v>
      </c>
      <c r="HW301" s="4">
        <f>IFERROR(GU301/'McDonough &amp; Sun 1995 values'!F$2,)</f>
        <v>0</v>
      </c>
      <c r="HX301" s="4">
        <f>IFERROR(GV301/'McDonough &amp; Sun 1995 values'!G$2,)</f>
        <v>0</v>
      </c>
      <c r="HY301" s="4">
        <f>IFERROR(GW301/'McDonough &amp; Sun 1995 values'!H$2,)</f>
        <v>0</v>
      </c>
      <c r="HZ301" s="4">
        <f>IFERROR(GX301/'McDonough &amp; Sun 1995 values'!I$2,)</f>
        <v>0</v>
      </c>
      <c r="IA301" s="4">
        <f>IFERROR(GY301/'McDonough &amp; Sun 1995 values'!J$2,)</f>
        <v>0</v>
      </c>
      <c r="IB301" s="4">
        <f>IFERROR(GZ301/'McDonough &amp; Sun 1995 values'!K$2,)</f>
        <v>0</v>
      </c>
      <c r="IC301" s="4">
        <f>IFERROR(HA301/'McDonough &amp; Sun 1995 values'!L$2,)</f>
        <v>0</v>
      </c>
      <c r="ID301" s="4">
        <f>IFERROR(HB301/'McDonough &amp; Sun 1995 values'!M$2,)</f>
        <v>0</v>
      </c>
      <c r="IE301" s="4">
        <f>IFERROR(HC301/'McDonough &amp; Sun 1995 values'!N$2,)</f>
        <v>0</v>
      </c>
      <c r="IF301" s="4">
        <f>IFERROR(HD301/'McDonough &amp; Sun 1995 values'!O$2,)</f>
        <v>0</v>
      </c>
      <c r="IG301" s="4">
        <f>IFERROR(HE301/'McDonough &amp; Sun 1995 values'!P$2,)</f>
        <v>0</v>
      </c>
      <c r="IH301" s="4">
        <f>IFERROR(HF301/'McDonough &amp; Sun 1995 values'!Q$2,)</f>
        <v>0</v>
      </c>
      <c r="II301" s="4">
        <f>IFERROR(HG301/'McDonough &amp; Sun 1995 values'!R$2,)</f>
        <v>0</v>
      </c>
      <c r="IJ301" s="4">
        <f>IFERROR(HH301/'McDonough &amp; Sun 1995 values'!S$2,)</f>
        <v>0</v>
      </c>
      <c r="IK301" s="4">
        <f>IFERROR(HI301/'McDonough &amp; Sun 1995 values'!T$2,)</f>
        <v>0</v>
      </c>
      <c r="IL301" s="4">
        <f>IFERROR(HJ301/'McDonough &amp; Sun 1995 values'!U$2,)</f>
        <v>0</v>
      </c>
      <c r="IM301" s="4">
        <f>IFERROR(HK301/'McDonough &amp; Sun 1995 values'!V$2,)</f>
        <v>0</v>
      </c>
      <c r="IN301" s="4">
        <f>IFERROR(HL301/'McDonough &amp; Sun 1995 values'!W$2,)</f>
        <v>0</v>
      </c>
      <c r="IO301" s="4">
        <f>IFERROR(HM301/'McDonough &amp; Sun 1995 values'!X$2,)</f>
        <v>0</v>
      </c>
      <c r="IP301" s="4">
        <f>IFERROR(HN301/'McDonough &amp; Sun 1995 values'!Y$2,)</f>
        <v>0</v>
      </c>
      <c r="IQ301" s="4">
        <f>IFERROR(HO301/'McDonough &amp; Sun 1995 values'!Z$2,)</f>
        <v>0</v>
      </c>
      <c r="IR301" s="4">
        <f>IFERROR(HP301/'McDonough &amp; Sun 1995 values'!AA$2,)</f>
        <v>0</v>
      </c>
      <c r="IS301" s="4">
        <f>IFERROR(HQ301/'McDonough &amp; Sun 1995 values'!AB$2,)</f>
        <v>0</v>
      </c>
      <c r="IT301" s="4">
        <f>IFERROR(HR301/'McDonough &amp; Sun 1995 values'!AC$2,)</f>
        <v>0</v>
      </c>
    </row>
    <row r="302" spans="1:254">
      <c r="A302" s="16" t="s">
        <v>1229</v>
      </c>
      <c r="B302" s="16" t="s">
        <v>24</v>
      </c>
      <c r="C302" s="16" t="str">
        <f t="shared" si="617"/>
        <v>silicic - low-Mg carbonatitic</v>
      </c>
      <c r="D302" s="16">
        <v>0</v>
      </c>
      <c r="E302" s="16" t="s">
        <v>1394</v>
      </c>
      <c r="F302" s="16" t="s">
        <v>1432</v>
      </c>
      <c r="G302" s="16" t="s">
        <v>595</v>
      </c>
      <c r="H302" s="27">
        <v>93</v>
      </c>
      <c r="I302" s="16">
        <v>0</v>
      </c>
      <c r="J302" s="16" t="s">
        <v>1311</v>
      </c>
      <c r="K302" s="16" t="s">
        <v>1274</v>
      </c>
      <c r="L302" s="16">
        <v>0</v>
      </c>
      <c r="M302" s="16" t="s">
        <v>1490</v>
      </c>
      <c r="N302" s="16">
        <v>25</v>
      </c>
      <c r="O302" s="26">
        <v>27.246499397968165</v>
      </c>
      <c r="P302" s="26">
        <v>2.8015369478299004</v>
      </c>
      <c r="Q302" s="26">
        <v>0.37931843783046942</v>
      </c>
      <c r="R302" s="26">
        <v>4.2785895283802553</v>
      </c>
      <c r="S302" s="26">
        <v>10.252167891877516</v>
      </c>
      <c r="T302" s="26">
        <v>6.851723708344255</v>
      </c>
      <c r="U302" s="26">
        <v>0.37663983000003343</v>
      </c>
      <c r="V302" s="26">
        <v>20.398525509357118</v>
      </c>
      <c r="W302" s="26">
        <v>4.7415950195240431</v>
      </c>
      <c r="X302" s="26">
        <v>12.167843279514541</v>
      </c>
      <c r="Y302" s="26"/>
      <c r="Z302" s="26">
        <v>5.9158165721080547</v>
      </c>
      <c r="AA302" s="26">
        <v>0.68813532700144575</v>
      </c>
      <c r="AB302" s="26">
        <v>1.5745949832027855</v>
      </c>
      <c r="AC302" s="26">
        <v>0.13053423515607149</v>
      </c>
      <c r="AD302" s="26">
        <v>3.0051960274071918</v>
      </c>
      <c r="AE302" s="26">
        <v>0.48756217913618388</v>
      </c>
      <c r="AF302" s="26"/>
      <c r="AG302" s="26"/>
      <c r="AH302" s="26"/>
      <c r="AI302" s="26"/>
      <c r="AJ302" s="26">
        <f t="shared" si="618"/>
        <v>99.234088865513826</v>
      </c>
      <c r="AK302" s="26">
        <f t="shared" si="678"/>
        <v>27.64572960848891</v>
      </c>
      <c r="AL302" s="26">
        <f t="shared" si="679"/>
        <v>2.8425865582450709</v>
      </c>
      <c r="AM302" s="26">
        <f t="shared" si="680"/>
        <v>4.3412816993339476</v>
      </c>
      <c r="AN302" s="26">
        <f t="shared" si="681"/>
        <v>10.402388112317047</v>
      </c>
      <c r="AO302" s="26">
        <f t="shared" si="682"/>
        <v>6.9521188107960681</v>
      </c>
      <c r="AP302" s="26">
        <f t="shared" si="683"/>
        <v>20.697415561780542</v>
      </c>
      <c r="AQ302" s="26">
        <f t="shared" si="684"/>
        <v>1.5976667869397394</v>
      </c>
      <c r="AR302" s="26">
        <f t="shared" si="685"/>
        <v>4.811071393358322</v>
      </c>
      <c r="AS302" s="26">
        <f t="shared" si="686"/>
        <v>12.346132995309235</v>
      </c>
      <c r="AT302" s="26">
        <f t="shared" si="687"/>
        <v>6.0024982650840313</v>
      </c>
      <c r="AU302" s="26">
        <f t="shared" si="688"/>
        <v>3.0492297590493327</v>
      </c>
      <c r="AV302" s="26">
        <f t="shared" si="619"/>
        <v>100.68811955070224</v>
      </c>
      <c r="AW302" s="93"/>
      <c r="AX302" s="93"/>
      <c r="AY302" s="93"/>
      <c r="AZ302" s="93"/>
      <c r="BA302" s="103"/>
      <c r="BB302" s="107"/>
      <c r="BC302" s="26"/>
      <c r="BD302" s="26"/>
      <c r="BE302" s="25">
        <v>-6.77</v>
      </c>
      <c r="BF302" s="25">
        <v>-6.7</v>
      </c>
      <c r="BG302" s="16">
        <v>1212</v>
      </c>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v>0.05</v>
      </c>
      <c r="CI302" s="16">
        <v>43.5</v>
      </c>
      <c r="CJ302" s="16">
        <v>16</v>
      </c>
      <c r="CK302" s="16">
        <v>3.95</v>
      </c>
      <c r="CL302" s="16"/>
      <c r="CM302" s="16">
        <v>2.2999999999999998</v>
      </c>
      <c r="CN302" s="16"/>
      <c r="CO302" s="16"/>
      <c r="CP302" s="16"/>
      <c r="CQ302" s="16"/>
      <c r="CR302" s="16"/>
      <c r="CS302" s="16">
        <v>255</v>
      </c>
      <c r="CT302" s="16"/>
      <c r="CU302" s="16">
        <v>390.5</v>
      </c>
      <c r="CV302" s="16">
        <v>457</v>
      </c>
      <c r="CW302" s="16">
        <v>41.5</v>
      </c>
      <c r="CX302" s="16">
        <v>130</v>
      </c>
      <c r="CY302" s="16">
        <v>16.5</v>
      </c>
      <c r="CZ302" s="16">
        <v>3.7</v>
      </c>
      <c r="DA302" s="16">
        <v>9.1499999999999986</v>
      </c>
      <c r="DB302" s="16">
        <v>4.8</v>
      </c>
      <c r="DC302" s="16"/>
      <c r="DD302" s="16">
        <v>1.5</v>
      </c>
      <c r="DE302" s="16"/>
      <c r="DF302" s="16">
        <v>0.94</v>
      </c>
      <c r="DG302" s="16">
        <v>0.125</v>
      </c>
      <c r="DH302" s="16">
        <v>0.1</v>
      </c>
      <c r="DI302" s="16"/>
      <c r="DJ302" s="16"/>
      <c r="DK302" s="16">
        <v>18.149999999999999</v>
      </c>
      <c r="DL302" s="16">
        <v>6.15</v>
      </c>
      <c r="DM302" s="16">
        <v>0.05</v>
      </c>
      <c r="DN302" s="16">
        <v>0.93</v>
      </c>
      <c r="DO302" s="16"/>
      <c r="DP302" s="16"/>
      <c r="DQ302" s="16"/>
      <c r="DR302" s="16"/>
      <c r="DS302" s="16"/>
      <c r="DT302" s="16"/>
      <c r="DU302" s="16"/>
      <c r="DV302" s="31">
        <f>AVERAGE('Excluded Analyses'!DW249:DW250)</f>
        <v>0.71744999999999992</v>
      </c>
      <c r="DW302" s="31">
        <f>AVERAGE('Excluded Analyses'!DX249:DX250)</f>
        <v>4.0000000000000003E-5</v>
      </c>
      <c r="DX302" s="31">
        <f>AVERAGE('Excluded Analyses'!DY249:DY250)</f>
        <v>0.717445</v>
      </c>
      <c r="DY302" s="31">
        <f>AVERAGE('Excluded Analyses'!DZ249:DZ250)</f>
        <v>0</v>
      </c>
      <c r="DZ302" s="31">
        <f>AVERAGE('Excluded Analyses'!EA249:EA250)</f>
        <v>185.3</v>
      </c>
      <c r="EA302" s="31">
        <f>AVERAGE('Excluded Analyses'!EB249:EB250)</f>
        <v>0.51129749999999996</v>
      </c>
      <c r="EB302" s="31">
        <f>AVERAGE('Excluded Analyses'!EC249:EC250)</f>
        <v>2.4000000000000001E-5</v>
      </c>
      <c r="EC302" s="31"/>
      <c r="ED302" s="31">
        <f>AVERAGE('Excluded Analyses'!EE249:EE250)</f>
        <v>-24.75</v>
      </c>
      <c r="EE302" s="31"/>
      <c r="EF302" s="31"/>
      <c r="EG302" s="31"/>
      <c r="EH302" s="31"/>
      <c r="EI302" s="31"/>
      <c r="EJ302" s="31"/>
      <c r="EK302" s="18"/>
      <c r="EL302" s="18">
        <f>IFERROR(CR302/'McDonough &amp; Sun 1995 values'!C$2,)</f>
        <v>0</v>
      </c>
      <c r="EM302" s="18">
        <f>IFERROR(CH302/'McDonough &amp; Sun 1995 values'!D$2,)</f>
        <v>8.3333333333333343E-2</v>
      </c>
      <c r="EN302" s="18">
        <f>IFERROR(CS302/'McDonough &amp; Sun 1995 values'!E$2,)</f>
        <v>38.63636363636364</v>
      </c>
      <c r="EO302" s="18">
        <f>IFERROR(DL302/'McDonough &amp; Sun 1995 values'!F$2,)</f>
        <v>77.358490566037744</v>
      </c>
      <c r="EP302" s="18">
        <f>IFERROR(DM302/'McDonough &amp; Sun 1995 values'!G$2,)</f>
        <v>2.4630541871921183</v>
      </c>
      <c r="EQ302" s="18">
        <f>IFERROR(BR302/'McDonough &amp; Sun 1995 values'!H$2,)</f>
        <v>0</v>
      </c>
      <c r="ER302" s="18">
        <f>IFERROR(DI302/'McDonough &amp; Sun 1995 values'!I$2,)</f>
        <v>0</v>
      </c>
      <c r="ES302" s="18">
        <f>IFERROR(CM302/'McDonough &amp; Sun 1995 values'!J$2,)</f>
        <v>3.4954407294832821</v>
      </c>
      <c r="ET302" s="18">
        <f>IFERROR(CU302/'McDonough &amp; Sun 1995 values'!K$2,)</f>
        <v>602.62345679012344</v>
      </c>
      <c r="EU302" s="18">
        <f>IFERROR(CV302/'McDonough &amp; Sun 1995 values'!L$2,)</f>
        <v>272.83582089552237</v>
      </c>
      <c r="EV302" s="18">
        <f>IFERROR(CW302/'McDonough &amp; Sun 1995 values'!M$2,)</f>
        <v>163.38582677165354</v>
      </c>
      <c r="EW302" s="18">
        <f>IFERROR(CI302/'McDonough &amp; Sun 1995 values'!N$2,)</f>
        <v>2.1859296482412063</v>
      </c>
      <c r="EX302" s="18">
        <f>IFERROR(CX302/'McDonough &amp; Sun 1995 values'!O$2,)</f>
        <v>104</v>
      </c>
      <c r="EY302" s="18">
        <f>IFERROR(CY302/'McDonough &amp; Sun 1995 values'!P$2,)</f>
        <v>40.64039408866995</v>
      </c>
      <c r="EZ302" s="18">
        <f>IFERROR(DH302/'McDonough &amp; Sun 1995 values'!Q$2,)</f>
        <v>0.35335689045936403</v>
      </c>
      <c r="FA302" s="18">
        <f>IFERROR(CK302/'McDonough &amp; Sun 1995 values'!R$2,)</f>
        <v>0.37619047619047619</v>
      </c>
      <c r="FB302" s="18">
        <f>IFERROR(CZ302/'McDonough &amp; Sun 1995 values'!S$2,)</f>
        <v>24.025974025974026</v>
      </c>
      <c r="FC302" s="18">
        <f>IFERROR(BT302/'McDonough &amp; Sun 1995 values'!T$2,)</f>
        <v>0</v>
      </c>
      <c r="FD302" s="18">
        <f>IFERROR(DA302/'McDonough &amp; Sun 1995 values'!U$2,)</f>
        <v>16.819852941176467</v>
      </c>
      <c r="FE302" s="18">
        <f>IFERROR(DN302/'McDonough &amp; Sun 1995 values'!V$2,)</f>
        <v>9.3939393939393945</v>
      </c>
      <c r="FF302" s="18">
        <f>IFERROR(DB302/'McDonough &amp; Sun 1995 values'!W$2,)</f>
        <v>7.1216617210682482</v>
      </c>
      <c r="FG302" s="18">
        <f>IFERROR(CJ302/'McDonough &amp; Sun 1995 values'!X$2,)</f>
        <v>3.7209302325581395</v>
      </c>
      <c r="FH302" s="18">
        <f>IFERROR(DC302/'McDonough &amp; Sun 1995 values'!Y$2,)</f>
        <v>0</v>
      </c>
      <c r="FI302" s="18">
        <f>IFERROR(DD302/'McDonough &amp; Sun 1995 values'!Z$2,)</f>
        <v>3.4246575342465753</v>
      </c>
      <c r="FJ302" s="18">
        <f>IFERROR(DE302/'McDonough &amp; Sun 1995 values'!AA$2,)</f>
        <v>0</v>
      </c>
      <c r="FK302" s="18">
        <f>IFERROR(DF302/'McDonough &amp; Sun 1995 values'!AB$2,)</f>
        <v>2.1315192743764171</v>
      </c>
      <c r="FL302" s="18">
        <f>IFERROR(DG302/'McDonough &amp; Sun 1995 values'!AC$2,)</f>
        <v>1.8518518518518516</v>
      </c>
      <c r="FM302" s="16"/>
      <c r="FN302" s="28">
        <f t="shared" si="614"/>
        <v>0</v>
      </c>
      <c r="FO302" s="4">
        <f t="shared" si="620"/>
        <v>15.686363636363637</v>
      </c>
      <c r="FP302" s="4">
        <f t="shared" si="621"/>
        <v>22.131255127153409</v>
      </c>
      <c r="FQ302" s="4">
        <f t="shared" si="622"/>
        <v>31.407547169811323</v>
      </c>
      <c r="FR302" s="4">
        <f t="shared" si="623"/>
        <v>172.40271068169622</v>
      </c>
      <c r="FS302" s="4">
        <f t="shared" si="624"/>
        <v>0</v>
      </c>
      <c r="FT302" s="4">
        <f t="shared" si="625"/>
        <v>0</v>
      </c>
      <c r="FU302" s="4">
        <f t="shared" si="626"/>
        <v>0</v>
      </c>
      <c r="FV302" s="4">
        <f t="shared" si="627"/>
        <v>9.2565656565656573E-3</v>
      </c>
      <c r="FW302" s="4">
        <f t="shared" si="628"/>
        <v>1.0646190476190474</v>
      </c>
      <c r="FX302" s="4">
        <f t="shared" si="629"/>
        <v>0.83626420935831625</v>
      </c>
      <c r="FY302" s="4">
        <f t="shared" si="630"/>
        <v>1.6769199089634236E-2</v>
      </c>
      <c r="FZ302" s="4">
        <f t="shared" si="631"/>
        <v>0.91894802925783625</v>
      </c>
      <c r="GA302" s="4">
        <f t="shared" si="632"/>
        <v>1.3378942907307624E-2</v>
      </c>
      <c r="GB302" s="4">
        <f t="shared" si="633"/>
        <v>0.59118457300275484</v>
      </c>
      <c r="GC302" s="4">
        <f t="shared" si="634"/>
        <v>0</v>
      </c>
      <c r="GD302" s="4">
        <f t="shared" si="635"/>
        <v>0.49944567627494457</v>
      </c>
      <c r="GE302" s="4">
        <f t="shared" si="636"/>
        <v>463.63636363636363</v>
      </c>
      <c r="GF302" s="4">
        <f t="shared" si="637"/>
        <v>0</v>
      </c>
      <c r="GG302" s="4">
        <f t="shared" si="638"/>
        <v>11.053359683794469</v>
      </c>
      <c r="GH302" s="4">
        <f t="shared" si="639"/>
        <v>3.6883459764985869</v>
      </c>
      <c r="GI302" s="4">
        <f t="shared" si="640"/>
        <v>14.828189300411523</v>
      </c>
      <c r="GJ302" s="4">
        <f t="shared" si="641"/>
        <v>84.618377057613174</v>
      </c>
      <c r="GK302" s="4">
        <f t="shared" si="642"/>
        <v>282.72015366430259</v>
      </c>
      <c r="GL302" s="4">
        <f t="shared" si="643"/>
        <v>0</v>
      </c>
      <c r="GM302" s="4">
        <f t="shared" si="644"/>
        <v>928.30188679245282</v>
      </c>
      <c r="GN302" s="4">
        <f t="shared" si="645"/>
        <v>5.8003728366329494E-3</v>
      </c>
      <c r="GO302" s="4">
        <f t="shared" si="646"/>
        <v>1.4191489361702125</v>
      </c>
      <c r="GP302" s="4">
        <f t="shared" si="647"/>
        <v>0</v>
      </c>
      <c r="GQ302" s="27">
        <f t="shared" si="648"/>
        <v>102489.85568319666</v>
      </c>
      <c r="GR302" s="28" t="str">
        <f t="shared" si="649"/>
        <v/>
      </c>
      <c r="GS302" s="28" t="str">
        <f t="shared" si="650"/>
        <v/>
      </c>
      <c r="GT302" s="28" t="str">
        <f t="shared" si="651"/>
        <v/>
      </c>
      <c r="GU302" s="28" t="str">
        <f t="shared" si="652"/>
        <v/>
      </c>
      <c r="GV302" s="28" t="str">
        <f t="shared" si="653"/>
        <v/>
      </c>
      <c r="GW302" s="28" t="str">
        <f t="shared" si="654"/>
        <v/>
      </c>
      <c r="GX302" s="28" t="str">
        <f t="shared" si="655"/>
        <v/>
      </c>
      <c r="GY302" s="28" t="str">
        <f t="shared" si="656"/>
        <v/>
      </c>
      <c r="GZ302" s="28" t="str">
        <f t="shared" si="657"/>
        <v/>
      </c>
      <c r="HA302" s="28" t="str">
        <f t="shared" si="658"/>
        <v/>
      </c>
      <c r="HB302" s="28" t="str">
        <f t="shared" si="659"/>
        <v/>
      </c>
      <c r="HC302" s="28" t="str">
        <f t="shared" si="660"/>
        <v/>
      </c>
      <c r="HD302" s="28" t="str">
        <f t="shared" si="661"/>
        <v/>
      </c>
      <c r="HE302" s="28" t="str">
        <f t="shared" si="662"/>
        <v/>
      </c>
      <c r="HF302" s="28" t="str">
        <f t="shared" si="663"/>
        <v/>
      </c>
      <c r="HG302" s="28" t="str">
        <f t="shared" si="664"/>
        <v/>
      </c>
      <c r="HH302" s="28" t="str">
        <f t="shared" si="665"/>
        <v/>
      </c>
      <c r="HI302" s="28" t="str">
        <f t="shared" si="666"/>
        <v/>
      </c>
      <c r="HJ302" s="28" t="str">
        <f t="shared" si="667"/>
        <v/>
      </c>
      <c r="HK302" s="28" t="str">
        <f t="shared" si="668"/>
        <v/>
      </c>
      <c r="HL302" s="28" t="str">
        <f t="shared" si="669"/>
        <v/>
      </c>
      <c r="HM302" s="28" t="str">
        <f t="shared" si="670"/>
        <v/>
      </c>
      <c r="HN302" s="28" t="str">
        <f t="shared" si="671"/>
        <v/>
      </c>
      <c r="HO302" s="28" t="str">
        <f t="shared" si="672"/>
        <v/>
      </c>
      <c r="HP302" s="28" t="str">
        <f t="shared" si="673"/>
        <v/>
      </c>
      <c r="HQ302" s="28" t="str">
        <f t="shared" si="674"/>
        <v/>
      </c>
      <c r="HR302" s="28" t="str">
        <f t="shared" si="675"/>
        <v/>
      </c>
      <c r="HT302" s="4">
        <f>IFERROR(GR302/'McDonough &amp; Sun 1995 values'!C$2,)</f>
        <v>0</v>
      </c>
      <c r="HU302" s="4">
        <f>IFERROR(GS302/'McDonough &amp; Sun 1995 values'!D$2,)</f>
        <v>0</v>
      </c>
      <c r="HV302" s="4">
        <f>IFERROR(GT302/'McDonough &amp; Sun 1995 values'!E$2,)</f>
        <v>0</v>
      </c>
      <c r="HW302" s="4">
        <f>IFERROR(GU302/'McDonough &amp; Sun 1995 values'!F$2,)</f>
        <v>0</v>
      </c>
      <c r="HX302" s="4">
        <f>IFERROR(GV302/'McDonough &amp; Sun 1995 values'!G$2,)</f>
        <v>0</v>
      </c>
      <c r="HY302" s="4">
        <f>IFERROR(GW302/'McDonough &amp; Sun 1995 values'!H$2,)</f>
        <v>0</v>
      </c>
      <c r="HZ302" s="4">
        <f>IFERROR(GX302/'McDonough &amp; Sun 1995 values'!I$2,)</f>
        <v>0</v>
      </c>
      <c r="IA302" s="4">
        <f>IFERROR(GY302/'McDonough &amp; Sun 1995 values'!J$2,)</f>
        <v>0</v>
      </c>
      <c r="IB302" s="4">
        <f>IFERROR(GZ302/'McDonough &amp; Sun 1995 values'!K$2,)</f>
        <v>0</v>
      </c>
      <c r="IC302" s="4">
        <f>IFERROR(HA302/'McDonough &amp; Sun 1995 values'!L$2,)</f>
        <v>0</v>
      </c>
      <c r="ID302" s="4">
        <f>IFERROR(HB302/'McDonough &amp; Sun 1995 values'!M$2,)</f>
        <v>0</v>
      </c>
      <c r="IE302" s="4">
        <f>IFERROR(HC302/'McDonough &amp; Sun 1995 values'!N$2,)</f>
        <v>0</v>
      </c>
      <c r="IF302" s="4">
        <f>IFERROR(HD302/'McDonough &amp; Sun 1995 values'!O$2,)</f>
        <v>0</v>
      </c>
      <c r="IG302" s="4">
        <f>IFERROR(HE302/'McDonough &amp; Sun 1995 values'!P$2,)</f>
        <v>0</v>
      </c>
      <c r="IH302" s="4">
        <f>IFERROR(HF302/'McDonough &amp; Sun 1995 values'!Q$2,)</f>
        <v>0</v>
      </c>
      <c r="II302" s="4">
        <f>IFERROR(HG302/'McDonough &amp; Sun 1995 values'!R$2,)</f>
        <v>0</v>
      </c>
      <c r="IJ302" s="4">
        <f>IFERROR(HH302/'McDonough &amp; Sun 1995 values'!S$2,)</f>
        <v>0</v>
      </c>
      <c r="IK302" s="4">
        <f>IFERROR(HI302/'McDonough &amp; Sun 1995 values'!T$2,)</f>
        <v>0</v>
      </c>
      <c r="IL302" s="4">
        <f>IFERROR(HJ302/'McDonough &amp; Sun 1995 values'!U$2,)</f>
        <v>0</v>
      </c>
      <c r="IM302" s="4">
        <f>IFERROR(HK302/'McDonough &amp; Sun 1995 values'!V$2,)</f>
        <v>0</v>
      </c>
      <c r="IN302" s="4">
        <f>IFERROR(HL302/'McDonough &amp; Sun 1995 values'!W$2,)</f>
        <v>0</v>
      </c>
      <c r="IO302" s="4">
        <f>IFERROR(HM302/'McDonough &amp; Sun 1995 values'!X$2,)</f>
        <v>0</v>
      </c>
      <c r="IP302" s="4">
        <f>IFERROR(HN302/'McDonough &amp; Sun 1995 values'!Y$2,)</f>
        <v>0</v>
      </c>
      <c r="IQ302" s="4">
        <f>IFERROR(HO302/'McDonough &amp; Sun 1995 values'!Z$2,)</f>
        <v>0</v>
      </c>
      <c r="IR302" s="4">
        <f>IFERROR(HP302/'McDonough &amp; Sun 1995 values'!AA$2,)</f>
        <v>0</v>
      </c>
      <c r="IS302" s="4">
        <f>IFERROR(HQ302/'McDonough &amp; Sun 1995 values'!AB$2,)</f>
        <v>0</v>
      </c>
      <c r="IT302" s="4">
        <f>IFERROR(HR302/'McDonough &amp; Sun 1995 values'!AC$2,)</f>
        <v>0</v>
      </c>
    </row>
    <row r="303" spans="1:254">
      <c r="A303" s="16" t="s">
        <v>1229</v>
      </c>
      <c r="B303" s="16" t="s">
        <v>24</v>
      </c>
      <c r="C303" s="16" t="str">
        <f t="shared" si="617"/>
        <v>silicic - low-Mg carbonatitic</v>
      </c>
      <c r="D303" s="16">
        <v>0</v>
      </c>
      <c r="E303" s="16" t="s">
        <v>1394</v>
      </c>
      <c r="F303" s="16" t="s">
        <v>1432</v>
      </c>
      <c r="G303" s="16" t="s">
        <v>595</v>
      </c>
      <c r="H303" s="27">
        <v>93</v>
      </c>
      <c r="I303" s="16">
        <v>0</v>
      </c>
      <c r="J303" s="16" t="s">
        <v>1311</v>
      </c>
      <c r="K303" s="16" t="s">
        <v>1274</v>
      </c>
      <c r="L303" s="16">
        <v>0</v>
      </c>
      <c r="M303" s="16" t="s">
        <v>1491</v>
      </c>
      <c r="N303" s="16">
        <v>35</v>
      </c>
      <c r="O303" s="26">
        <v>38.45717679771365</v>
      </c>
      <c r="P303" s="26">
        <v>1.2737542914507487</v>
      </c>
      <c r="Q303" s="26">
        <v>0.46608444725804682</v>
      </c>
      <c r="R303" s="26">
        <v>4.9959731220395156</v>
      </c>
      <c r="S303" s="26">
        <v>11.646981087823002</v>
      </c>
      <c r="T303" s="26">
        <v>5.9356205593897498</v>
      </c>
      <c r="U303" s="26">
        <v>0.73816371914254486</v>
      </c>
      <c r="V303" s="26">
        <v>11.219903557057854</v>
      </c>
      <c r="W303" s="26">
        <v>5.7829826220188876</v>
      </c>
      <c r="X303" s="26">
        <v>8.0951827494861739</v>
      </c>
      <c r="Y303" s="26"/>
      <c r="Z303" s="26">
        <v>6.7292497822724266</v>
      </c>
      <c r="AA303" s="26">
        <v>1.1972625844301852</v>
      </c>
      <c r="AB303" s="26">
        <v>1.8189699101240215</v>
      </c>
      <c r="AC303" s="26">
        <v>0.50481805124694101</v>
      </c>
      <c r="AD303" s="26">
        <v>2.1214400578932113</v>
      </c>
      <c r="AE303" s="26">
        <v>1.6943146447354362</v>
      </c>
      <c r="AF303" s="26"/>
      <c r="AG303" s="26"/>
      <c r="AH303" s="26"/>
      <c r="AI303" s="26"/>
      <c r="AJ303" s="26">
        <f t="shared" si="618"/>
        <v>98.077234537269248</v>
      </c>
      <c r="AK303" s="26">
        <f t="shared" si="678"/>
        <v>39.403455005878591</v>
      </c>
      <c r="AL303" s="26">
        <f t="shared" si="679"/>
        <v>1.3050963198813972</v>
      </c>
      <c r="AM303" s="26">
        <f t="shared" si="680"/>
        <v>5.1189041556624728</v>
      </c>
      <c r="AN303" s="26">
        <f t="shared" si="681"/>
        <v>11.933566981849713</v>
      </c>
      <c r="AO303" s="26">
        <f t="shared" si="682"/>
        <v>6.0816725802344065</v>
      </c>
      <c r="AP303" s="26">
        <f t="shared" si="683"/>
        <v>11.495980771191455</v>
      </c>
      <c r="AQ303" s="26">
        <f t="shared" si="684"/>
        <v>1.8637275270523768</v>
      </c>
      <c r="AR303" s="26">
        <f t="shared" si="685"/>
        <v>5.9252788301414334</v>
      </c>
      <c r="AS303" s="26">
        <f t="shared" si="686"/>
        <v>8.2943730090115917</v>
      </c>
      <c r="AT303" s="26">
        <f t="shared" si="687"/>
        <v>6.8948298626760831</v>
      </c>
      <c r="AU303" s="26">
        <f t="shared" si="688"/>
        <v>2.1736402624810807</v>
      </c>
      <c r="AV303" s="26">
        <f t="shared" si="619"/>
        <v>100.49052530606062</v>
      </c>
      <c r="AW303" s="93"/>
      <c r="AX303" s="93"/>
      <c r="AY303" s="93"/>
      <c r="AZ303" s="93"/>
      <c r="BA303" s="103"/>
      <c r="BB303" s="107"/>
      <c r="BC303" s="26"/>
      <c r="BD303" s="26"/>
      <c r="BE303" s="25">
        <v>-6.15</v>
      </c>
      <c r="BF303" s="25">
        <v>-5.2</v>
      </c>
      <c r="BG303" s="16">
        <v>152</v>
      </c>
      <c r="BH303" s="16"/>
      <c r="BI303" s="16"/>
      <c r="BJ303" s="16"/>
      <c r="BK303" s="16"/>
      <c r="BL303" s="16"/>
      <c r="BM303" s="16"/>
      <c r="BN303" s="16"/>
      <c r="BO303" s="16"/>
      <c r="BP303" s="16"/>
      <c r="BQ303" s="16"/>
      <c r="BR303" s="16"/>
      <c r="BS303" s="16"/>
      <c r="BT303" s="16">
        <v>216</v>
      </c>
      <c r="BU303" s="16"/>
      <c r="BV303" s="16"/>
      <c r="BW303" s="16"/>
      <c r="BX303" s="16"/>
      <c r="BY303" s="16"/>
      <c r="BZ303" s="16"/>
      <c r="CA303" s="16"/>
      <c r="CB303" s="16"/>
      <c r="CC303" s="16"/>
      <c r="CD303" s="16"/>
      <c r="CE303" s="16"/>
      <c r="CF303" s="16"/>
      <c r="CG303" s="16"/>
      <c r="CH303" s="16">
        <v>0.13</v>
      </c>
      <c r="CI303" s="16">
        <v>5.2666666666666666</v>
      </c>
      <c r="CJ303" s="16">
        <v>0.65333333333333332</v>
      </c>
      <c r="CK303" s="16">
        <v>0.57999999999999996</v>
      </c>
      <c r="CL303" s="16"/>
      <c r="CM303" s="16">
        <v>0.93000000000000016</v>
      </c>
      <c r="CN303" s="16"/>
      <c r="CO303" s="16"/>
      <c r="CP303" s="16"/>
      <c r="CQ303" s="16"/>
      <c r="CR303" s="16"/>
      <c r="CS303" s="16">
        <v>7.333333333333333</v>
      </c>
      <c r="CT303" s="16"/>
      <c r="CU303" s="16">
        <v>3.6999999999999997</v>
      </c>
      <c r="CV303" s="16">
        <v>4.7</v>
      </c>
      <c r="CW303" s="16">
        <v>0.80999999999999994</v>
      </c>
      <c r="CX303" s="16">
        <v>3.2999999999999994</v>
      </c>
      <c r="CY303" s="16">
        <v>0.71</v>
      </c>
      <c r="CZ303" s="16">
        <v>0.12666666666666668</v>
      </c>
      <c r="DA303" s="16">
        <v>0.42333333333333334</v>
      </c>
      <c r="DB303" s="16">
        <v>0.20333333333333334</v>
      </c>
      <c r="DC303" s="16"/>
      <c r="DD303" s="16">
        <v>5.6666666666666671E-2</v>
      </c>
      <c r="DE303" s="16"/>
      <c r="DF303" s="16">
        <v>6.9999999999999993E-2</v>
      </c>
      <c r="DG303" s="16">
        <v>1.4666666666666666E-2</v>
      </c>
      <c r="DH303" s="16">
        <v>0.02</v>
      </c>
      <c r="DI303" s="16"/>
      <c r="DJ303" s="16"/>
      <c r="DK303" s="16">
        <v>4.04</v>
      </c>
      <c r="DL303" s="16">
        <v>0.35333333333333328</v>
      </c>
      <c r="DM303" s="16">
        <v>0.02</v>
      </c>
      <c r="DN303" s="16">
        <v>4.6666666666666669E-2</v>
      </c>
      <c r="DO303" s="16"/>
      <c r="DP303" s="16"/>
      <c r="DQ303" s="16"/>
      <c r="DR303" s="16"/>
      <c r="DS303" s="16"/>
      <c r="DT303" s="16"/>
      <c r="DU303" s="16"/>
      <c r="DV303" s="31">
        <f>AVERAGE('Excluded Analyses'!DW251:DW253)</f>
        <v>0.70531999999999995</v>
      </c>
      <c r="DW303" s="31">
        <f>AVERAGE('Excluded Analyses'!DX251:DX253)</f>
        <v>2.3000000000000001E-4</v>
      </c>
      <c r="DX303" s="31">
        <f>AVERAGE('Excluded Analyses'!DY251:DY253)</f>
        <v>0.70526500000000003</v>
      </c>
      <c r="DY303" s="31">
        <f>AVERAGE('Excluded Analyses'!DZ251:DZ253)</f>
        <v>0</v>
      </c>
      <c r="DZ303" s="31">
        <f>AVERAGE('Excluded Analyses'!EA251:EA253)</f>
        <v>12.45</v>
      </c>
      <c r="EA303" s="31">
        <f>AVERAGE('Excluded Analyses'!EB251:EB253)</f>
        <v>0</v>
      </c>
      <c r="EB303" s="31">
        <f>AVERAGE('Excluded Analyses'!EC251:EC253)</f>
        <v>0</v>
      </c>
      <c r="EC303" s="31"/>
      <c r="ED303" s="31"/>
      <c r="EE303" s="31"/>
      <c r="EF303" s="31"/>
      <c r="EG303" s="31"/>
      <c r="EH303" s="31"/>
      <c r="EI303" s="31"/>
      <c r="EJ303" s="31"/>
      <c r="EK303" s="18"/>
      <c r="EL303" s="18">
        <f>IFERROR(CR303/'McDonough &amp; Sun 1995 values'!C$2,)</f>
        <v>0</v>
      </c>
      <c r="EM303" s="18">
        <f>IFERROR(CH303/'McDonough &amp; Sun 1995 values'!D$2,)</f>
        <v>0.21666666666666667</v>
      </c>
      <c r="EN303" s="18">
        <f>IFERROR(CS303/'McDonough &amp; Sun 1995 values'!E$2,)</f>
        <v>1.1111111111111112</v>
      </c>
      <c r="EO303" s="18">
        <f>IFERROR(DL303/'McDonough &amp; Sun 1995 values'!F$2,)</f>
        <v>4.4444444444444438</v>
      </c>
      <c r="EP303" s="18">
        <f>IFERROR(DM303/'McDonough &amp; Sun 1995 values'!G$2,)</f>
        <v>0.98522167487684742</v>
      </c>
      <c r="EQ303" s="18">
        <f>IFERROR(BR303/'McDonough &amp; Sun 1995 values'!H$2,)</f>
        <v>0</v>
      </c>
      <c r="ER303" s="18">
        <f>IFERROR(DI303/'McDonough &amp; Sun 1995 values'!I$2,)</f>
        <v>0</v>
      </c>
      <c r="ES303" s="18">
        <f>IFERROR(CM303/'McDonough &amp; Sun 1995 values'!J$2,)</f>
        <v>1.4133738601823711</v>
      </c>
      <c r="ET303" s="18">
        <f>IFERROR(CU303/'McDonough &amp; Sun 1995 values'!K$2,)</f>
        <v>5.7098765432098757</v>
      </c>
      <c r="EU303" s="18">
        <f>IFERROR(CV303/'McDonough &amp; Sun 1995 values'!L$2,)</f>
        <v>2.8059701492537314</v>
      </c>
      <c r="EV303" s="18">
        <f>IFERROR(CW303/'McDonough &amp; Sun 1995 values'!M$2,)</f>
        <v>3.1889763779527556</v>
      </c>
      <c r="EW303" s="18">
        <f>IFERROR(CI303/'McDonough &amp; Sun 1995 values'!N$2,)</f>
        <v>0.26465661641541038</v>
      </c>
      <c r="EX303" s="18">
        <f>IFERROR(CX303/'McDonough &amp; Sun 1995 values'!O$2,)</f>
        <v>2.6399999999999997</v>
      </c>
      <c r="EY303" s="18">
        <f>IFERROR(CY303/'McDonough &amp; Sun 1995 values'!P$2,)</f>
        <v>1.7487684729064037</v>
      </c>
      <c r="EZ303" s="18">
        <f>IFERROR(DH303/'McDonough &amp; Sun 1995 values'!Q$2,)</f>
        <v>7.0671378091872794E-2</v>
      </c>
      <c r="FA303" s="18">
        <f>IFERROR(CK303/'McDonough &amp; Sun 1995 values'!R$2,)</f>
        <v>5.5238095238095232E-2</v>
      </c>
      <c r="FB303" s="18">
        <f>IFERROR(CZ303/'McDonough &amp; Sun 1995 values'!S$2,)</f>
        <v>0.82251082251082264</v>
      </c>
      <c r="FC303" s="18">
        <f>IFERROR(BT303/'McDonough &amp; Sun 1995 values'!T$2,)</f>
        <v>0.17925311203319502</v>
      </c>
      <c r="FD303" s="18">
        <f>IFERROR(DA303/'McDonough &amp; Sun 1995 values'!U$2,)</f>
        <v>0.77818627450980382</v>
      </c>
      <c r="FE303" s="18">
        <f>IFERROR(DN303/'McDonough &amp; Sun 1995 values'!V$2,)</f>
        <v>0.4713804713804714</v>
      </c>
      <c r="FF303" s="18">
        <f>IFERROR(DB303/'McDonough &amp; Sun 1995 values'!W$2,)</f>
        <v>0.30168150346191885</v>
      </c>
      <c r="FG303" s="18">
        <f>IFERROR(CJ303/'McDonough &amp; Sun 1995 values'!X$2,)</f>
        <v>0.15193798449612403</v>
      </c>
      <c r="FH303" s="18">
        <f>IFERROR(DC303/'McDonough &amp; Sun 1995 values'!Y$2,)</f>
        <v>0</v>
      </c>
      <c r="FI303" s="18">
        <f>IFERROR(DD303/'McDonough &amp; Sun 1995 values'!Z$2,)</f>
        <v>0.12937595129375953</v>
      </c>
      <c r="FJ303" s="18">
        <f>IFERROR(DE303/'McDonough &amp; Sun 1995 values'!AA$2,)</f>
        <v>0</v>
      </c>
      <c r="FK303" s="18">
        <f>IFERROR(DF303/'McDonough &amp; Sun 1995 values'!AB$2,)</f>
        <v>0.15873015873015872</v>
      </c>
      <c r="FL303" s="18">
        <f>IFERROR(DG303/'McDonough &amp; Sun 1995 values'!AC$2,)</f>
        <v>0.21728395061728392</v>
      </c>
      <c r="FM303" s="16"/>
      <c r="FN303" s="28">
        <f t="shared" si="614"/>
        <v>0</v>
      </c>
      <c r="FO303" s="4">
        <f t="shared" si="620"/>
        <v>1.1277777777777778</v>
      </c>
      <c r="FP303" s="4">
        <f t="shared" si="621"/>
        <v>3.1445639187574659</v>
      </c>
      <c r="FQ303" s="4">
        <f t="shared" si="622"/>
        <v>4.5111111111111102</v>
      </c>
      <c r="FR303" s="4">
        <f t="shared" si="623"/>
        <v>4.0398911456259112</v>
      </c>
      <c r="FS303" s="4">
        <f t="shared" si="624"/>
        <v>0</v>
      </c>
      <c r="FT303" s="4">
        <f t="shared" si="625"/>
        <v>0</v>
      </c>
      <c r="FU303" s="4">
        <f t="shared" si="626"/>
        <v>0</v>
      </c>
      <c r="FV303" s="4">
        <f t="shared" si="627"/>
        <v>3.1586854460093898E-2</v>
      </c>
      <c r="FW303" s="4">
        <f t="shared" si="628"/>
        <v>0.78161904761904755</v>
      </c>
      <c r="FX303" s="4">
        <f t="shared" si="629"/>
        <v>0.65098975227145151</v>
      </c>
      <c r="FY303" s="4">
        <f t="shared" si="630"/>
        <v>9.1212664239352578E-2</v>
      </c>
      <c r="FZ303" s="4">
        <f t="shared" si="631"/>
        <v>0.70507234420393428</v>
      </c>
      <c r="GA303" s="4">
        <f t="shared" si="632"/>
        <v>8.2991087122857091E-2</v>
      </c>
      <c r="GB303" s="4">
        <f t="shared" si="633"/>
        <v>0.47033717456252683</v>
      </c>
      <c r="GC303" s="4">
        <f t="shared" si="634"/>
        <v>0</v>
      </c>
      <c r="GD303" s="4">
        <f t="shared" si="635"/>
        <v>0.25000000000000006</v>
      </c>
      <c r="GE303" s="4">
        <f t="shared" si="636"/>
        <v>5.1282051282051286</v>
      </c>
      <c r="GF303" s="4">
        <f t="shared" si="637"/>
        <v>0</v>
      </c>
      <c r="GG303" s="4">
        <f t="shared" si="638"/>
        <v>0.78614097968936669</v>
      </c>
      <c r="GH303" s="4">
        <f t="shared" si="639"/>
        <v>1.790504496265813</v>
      </c>
      <c r="GI303" s="4">
        <f t="shared" si="640"/>
        <v>3.2650843331594506</v>
      </c>
      <c r="GJ303" s="4">
        <f t="shared" si="641"/>
        <v>18.926836672738311</v>
      </c>
      <c r="GK303" s="4">
        <f t="shared" si="642"/>
        <v>35.972222222222221</v>
      </c>
      <c r="GL303" s="4">
        <f t="shared" si="643"/>
        <v>0.30815696649029978</v>
      </c>
      <c r="GM303" s="4">
        <f t="shared" si="644"/>
        <v>20.512820512820507</v>
      </c>
      <c r="GN303" s="4">
        <f t="shared" si="645"/>
        <v>0.2475314219995072</v>
      </c>
      <c r="GO303" s="4">
        <f t="shared" si="646"/>
        <v>1.4345744680851065</v>
      </c>
      <c r="GP303" s="4">
        <f t="shared" si="647"/>
        <v>0</v>
      </c>
      <c r="GQ303" s="27">
        <f t="shared" si="648"/>
        <v>68854.684539619062</v>
      </c>
      <c r="GR303" s="28" t="str">
        <f t="shared" si="649"/>
        <v/>
      </c>
      <c r="GS303" s="28" t="str">
        <f t="shared" si="650"/>
        <v/>
      </c>
      <c r="GT303" s="28" t="str">
        <f t="shared" si="651"/>
        <v/>
      </c>
      <c r="GU303" s="28" t="str">
        <f t="shared" si="652"/>
        <v/>
      </c>
      <c r="GV303" s="28" t="str">
        <f t="shared" si="653"/>
        <v/>
      </c>
      <c r="GW303" s="28" t="str">
        <f t="shared" si="654"/>
        <v/>
      </c>
      <c r="GX303" s="28" t="str">
        <f t="shared" si="655"/>
        <v/>
      </c>
      <c r="GY303" s="28" t="str">
        <f t="shared" si="656"/>
        <v/>
      </c>
      <c r="GZ303" s="28" t="str">
        <f t="shared" si="657"/>
        <v/>
      </c>
      <c r="HA303" s="28" t="str">
        <f t="shared" si="658"/>
        <v/>
      </c>
      <c r="HB303" s="28" t="str">
        <f t="shared" si="659"/>
        <v/>
      </c>
      <c r="HC303" s="28" t="str">
        <f t="shared" si="660"/>
        <v/>
      </c>
      <c r="HD303" s="28" t="str">
        <f t="shared" si="661"/>
        <v/>
      </c>
      <c r="HE303" s="28" t="str">
        <f t="shared" si="662"/>
        <v/>
      </c>
      <c r="HF303" s="28" t="str">
        <f t="shared" si="663"/>
        <v/>
      </c>
      <c r="HG303" s="28" t="str">
        <f t="shared" si="664"/>
        <v/>
      </c>
      <c r="HH303" s="28" t="str">
        <f t="shared" si="665"/>
        <v/>
      </c>
      <c r="HI303" s="28" t="str">
        <f t="shared" si="666"/>
        <v/>
      </c>
      <c r="HJ303" s="28" t="str">
        <f t="shared" si="667"/>
        <v/>
      </c>
      <c r="HK303" s="28" t="str">
        <f t="shared" si="668"/>
        <v/>
      </c>
      <c r="HL303" s="28" t="str">
        <f t="shared" si="669"/>
        <v/>
      </c>
      <c r="HM303" s="28" t="str">
        <f t="shared" si="670"/>
        <v/>
      </c>
      <c r="HN303" s="28" t="str">
        <f t="shared" si="671"/>
        <v/>
      </c>
      <c r="HO303" s="28" t="str">
        <f t="shared" si="672"/>
        <v/>
      </c>
      <c r="HP303" s="28" t="str">
        <f t="shared" si="673"/>
        <v/>
      </c>
      <c r="HQ303" s="28" t="str">
        <f t="shared" si="674"/>
        <v/>
      </c>
      <c r="HR303" s="28" t="str">
        <f t="shared" si="675"/>
        <v/>
      </c>
      <c r="HT303" s="4">
        <f>IFERROR(GR303/'McDonough &amp; Sun 1995 values'!C$2,)</f>
        <v>0</v>
      </c>
      <c r="HU303" s="4">
        <f>IFERROR(GS303/'McDonough &amp; Sun 1995 values'!D$2,)</f>
        <v>0</v>
      </c>
      <c r="HV303" s="4">
        <f>IFERROR(GT303/'McDonough &amp; Sun 1995 values'!E$2,)</f>
        <v>0</v>
      </c>
      <c r="HW303" s="4">
        <f>IFERROR(GU303/'McDonough &amp; Sun 1995 values'!F$2,)</f>
        <v>0</v>
      </c>
      <c r="HX303" s="4">
        <f>IFERROR(GV303/'McDonough &amp; Sun 1995 values'!G$2,)</f>
        <v>0</v>
      </c>
      <c r="HY303" s="4">
        <f>IFERROR(GW303/'McDonough &amp; Sun 1995 values'!H$2,)</f>
        <v>0</v>
      </c>
      <c r="HZ303" s="4">
        <f>IFERROR(GX303/'McDonough &amp; Sun 1995 values'!I$2,)</f>
        <v>0</v>
      </c>
      <c r="IA303" s="4">
        <f>IFERROR(GY303/'McDonough &amp; Sun 1995 values'!J$2,)</f>
        <v>0</v>
      </c>
      <c r="IB303" s="4">
        <f>IFERROR(GZ303/'McDonough &amp; Sun 1995 values'!K$2,)</f>
        <v>0</v>
      </c>
      <c r="IC303" s="4">
        <f>IFERROR(HA303/'McDonough &amp; Sun 1995 values'!L$2,)</f>
        <v>0</v>
      </c>
      <c r="ID303" s="4">
        <f>IFERROR(HB303/'McDonough &amp; Sun 1995 values'!M$2,)</f>
        <v>0</v>
      </c>
      <c r="IE303" s="4">
        <f>IFERROR(HC303/'McDonough &amp; Sun 1995 values'!N$2,)</f>
        <v>0</v>
      </c>
      <c r="IF303" s="4">
        <f>IFERROR(HD303/'McDonough &amp; Sun 1995 values'!O$2,)</f>
        <v>0</v>
      </c>
      <c r="IG303" s="4">
        <f>IFERROR(HE303/'McDonough &amp; Sun 1995 values'!P$2,)</f>
        <v>0</v>
      </c>
      <c r="IH303" s="4">
        <f>IFERROR(HF303/'McDonough &amp; Sun 1995 values'!Q$2,)</f>
        <v>0</v>
      </c>
      <c r="II303" s="4">
        <f>IFERROR(HG303/'McDonough &amp; Sun 1995 values'!R$2,)</f>
        <v>0</v>
      </c>
      <c r="IJ303" s="4">
        <f>IFERROR(HH303/'McDonough &amp; Sun 1995 values'!S$2,)</f>
        <v>0</v>
      </c>
      <c r="IK303" s="4">
        <f>IFERROR(HI303/'McDonough &amp; Sun 1995 values'!T$2,)</f>
        <v>0</v>
      </c>
      <c r="IL303" s="4">
        <f>IFERROR(HJ303/'McDonough &amp; Sun 1995 values'!U$2,)</f>
        <v>0</v>
      </c>
      <c r="IM303" s="4">
        <f>IFERROR(HK303/'McDonough &amp; Sun 1995 values'!V$2,)</f>
        <v>0</v>
      </c>
      <c r="IN303" s="4">
        <f>IFERROR(HL303/'McDonough &amp; Sun 1995 values'!W$2,)</f>
        <v>0</v>
      </c>
      <c r="IO303" s="4">
        <f>IFERROR(HM303/'McDonough &amp; Sun 1995 values'!X$2,)</f>
        <v>0</v>
      </c>
      <c r="IP303" s="4">
        <f>IFERROR(HN303/'McDonough &amp; Sun 1995 values'!Y$2,)</f>
        <v>0</v>
      </c>
      <c r="IQ303" s="4">
        <f>IFERROR(HO303/'McDonough &amp; Sun 1995 values'!Z$2,)</f>
        <v>0</v>
      </c>
      <c r="IR303" s="4">
        <f>IFERROR(HP303/'McDonough &amp; Sun 1995 values'!AA$2,)</f>
        <v>0</v>
      </c>
      <c r="IS303" s="4">
        <f>IFERROR(HQ303/'McDonough &amp; Sun 1995 values'!AB$2,)</f>
        <v>0</v>
      </c>
      <c r="IT303" s="4">
        <f>IFERROR(HR303/'McDonough &amp; Sun 1995 values'!AC$2,)</f>
        <v>0</v>
      </c>
    </row>
    <row r="304" spans="1:254">
      <c r="A304" s="4" t="s">
        <v>1431</v>
      </c>
      <c r="B304" s="16" t="s">
        <v>24</v>
      </c>
      <c r="C304" s="16" t="str">
        <f t="shared" si="617"/>
        <v>silicic - low-Mg carbonatitic</v>
      </c>
      <c r="D304" s="16" t="s">
        <v>1722</v>
      </c>
      <c r="E304" s="4" t="s">
        <v>388</v>
      </c>
      <c r="F304" s="4" t="s">
        <v>342</v>
      </c>
      <c r="G304" s="4" t="s">
        <v>640</v>
      </c>
      <c r="H304" s="49">
        <v>71.3</v>
      </c>
      <c r="I304" s="4">
        <v>0</v>
      </c>
      <c r="J304" s="4" t="s">
        <v>1311</v>
      </c>
      <c r="K304" s="4" t="s">
        <v>115</v>
      </c>
      <c r="L304" s="4">
        <v>0</v>
      </c>
      <c r="M304" s="4" t="s">
        <v>1255</v>
      </c>
      <c r="N304" s="4">
        <v>18</v>
      </c>
      <c r="O304" s="53">
        <v>23.07</v>
      </c>
      <c r="P304" s="53">
        <v>2.52</v>
      </c>
      <c r="Q304" s="53"/>
      <c r="R304" s="53">
        <v>3.03</v>
      </c>
      <c r="S304" s="53">
        <v>14.18</v>
      </c>
      <c r="T304" s="53">
        <v>5.38</v>
      </c>
      <c r="U304" s="53"/>
      <c r="V304" s="53">
        <v>22.4</v>
      </c>
      <c r="W304" s="53">
        <v>3.6</v>
      </c>
      <c r="X304" s="53">
        <v>15.86</v>
      </c>
      <c r="Y304" s="53"/>
      <c r="Z304" s="53">
        <v>7.38</v>
      </c>
      <c r="AA304" s="53"/>
      <c r="AB304" s="53"/>
      <c r="AC304" s="53"/>
      <c r="AD304" s="53">
        <v>3.57</v>
      </c>
      <c r="AE304" s="53"/>
      <c r="AF304" s="53"/>
      <c r="AG304" s="53"/>
      <c r="AH304" s="53"/>
      <c r="AI304" s="53">
        <v>13.66</v>
      </c>
      <c r="AJ304" s="91">
        <f t="shared" si="618"/>
        <v>100.98999999999998</v>
      </c>
      <c r="AK304" s="26">
        <f t="shared" si="678"/>
        <v>23.027546817425879</v>
      </c>
      <c r="AL304" s="26">
        <f t="shared" si="679"/>
        <v>2.5153627212792897</v>
      </c>
      <c r="AM304" s="26">
        <f t="shared" si="680"/>
        <v>3.0244242243953363</v>
      </c>
      <c r="AN304" s="26">
        <f t="shared" si="681"/>
        <v>14.153906106246161</v>
      </c>
      <c r="AO304" s="26">
        <f t="shared" si="682"/>
        <v>5.3700997779692772</v>
      </c>
      <c r="AP304" s="26">
        <f t="shared" si="683"/>
        <v>22.358779744704798</v>
      </c>
      <c r="AQ304" s="26">
        <f t="shared" si="684"/>
        <v>0</v>
      </c>
      <c r="AR304" s="26">
        <f t="shared" si="685"/>
        <v>3.5933753161132711</v>
      </c>
      <c r="AS304" s="26">
        <f t="shared" si="686"/>
        <v>15.83081458709902</v>
      </c>
      <c r="AT304" s="26">
        <f t="shared" si="687"/>
        <v>7.366419398032205</v>
      </c>
      <c r="AU304" s="26">
        <f t="shared" si="688"/>
        <v>3.5634305218123266</v>
      </c>
      <c r="AV304" s="91">
        <f t="shared" si="619"/>
        <v>100.80415921507755</v>
      </c>
      <c r="AW304" s="90"/>
      <c r="AX304" s="90"/>
      <c r="AY304" s="90"/>
      <c r="AZ304" s="90"/>
      <c r="BA304" s="104"/>
      <c r="BB304" s="104"/>
      <c r="BC304" s="26"/>
      <c r="BD304" s="26"/>
      <c r="BG304" s="4" t="s">
        <v>522</v>
      </c>
      <c r="BT304" s="44">
        <v>61.17</v>
      </c>
      <c r="CH304" s="44">
        <v>0.74</v>
      </c>
      <c r="CI304" s="44">
        <v>6.3019999999999996</v>
      </c>
      <c r="CJ304" s="44">
        <v>0.48499999999999999</v>
      </c>
      <c r="CK304" s="44">
        <v>0.86299999999999999</v>
      </c>
      <c r="CM304" s="44">
        <v>7.3999999999999996E-2</v>
      </c>
      <c r="CR304" s="44">
        <v>0</v>
      </c>
      <c r="CS304" s="44">
        <v>74.709999999999994</v>
      </c>
      <c r="CT304" s="44">
        <v>0</v>
      </c>
      <c r="CU304" s="44" t="s">
        <v>1191</v>
      </c>
      <c r="CV304" s="44" t="s">
        <v>1191</v>
      </c>
      <c r="CW304" s="44">
        <v>0.52400000000000002</v>
      </c>
      <c r="CX304" s="44">
        <v>1.9950000000000001</v>
      </c>
      <c r="CY304" s="44">
        <v>0.17</v>
      </c>
      <c r="CZ304" s="44">
        <v>6.8000000000000005E-2</v>
      </c>
      <c r="DA304" s="44" t="s">
        <v>1192</v>
      </c>
      <c r="DB304" s="44">
        <v>4.4999999999999998E-2</v>
      </c>
      <c r="DD304" s="44">
        <v>1.2999999999999999E-2</v>
      </c>
      <c r="DF304" s="44">
        <v>3.6999999999999998E-2</v>
      </c>
      <c r="DG304" s="44">
        <v>7.0000000000000001E-3</v>
      </c>
      <c r="DH304" s="44">
        <v>0.21</v>
      </c>
      <c r="DK304" s="44">
        <v>15.22</v>
      </c>
      <c r="DL304" s="44">
        <v>0.44900000000000001</v>
      </c>
      <c r="DM304" s="44">
        <v>0.13</v>
      </c>
      <c r="DN304" s="44" t="s">
        <v>1192</v>
      </c>
      <c r="DT304" s="44">
        <v>0</v>
      </c>
      <c r="DU304" s="44">
        <v>0</v>
      </c>
      <c r="DV304" s="51">
        <v>0.71091000000000004</v>
      </c>
      <c r="DW304" s="51">
        <v>2.4000000000000001E-4</v>
      </c>
      <c r="DX304" s="51">
        <v>0.71055999999999997</v>
      </c>
      <c r="DZ304" s="52">
        <v>87.23</v>
      </c>
      <c r="EA304" s="45">
        <v>0</v>
      </c>
      <c r="EB304" s="45">
        <v>0</v>
      </c>
      <c r="EC304" s="45">
        <v>0</v>
      </c>
      <c r="ED304" s="45">
        <v>0</v>
      </c>
      <c r="EE304" s="45">
        <v>0</v>
      </c>
      <c r="EF304" s="45">
        <v>0</v>
      </c>
      <c r="EG304" s="45">
        <v>0</v>
      </c>
      <c r="EH304" s="45">
        <v>0</v>
      </c>
      <c r="EI304" s="45">
        <v>0</v>
      </c>
      <c r="EJ304" s="44">
        <v>0</v>
      </c>
      <c r="EK304" s="18"/>
      <c r="EL304" s="18">
        <f>IFERROR(CR304/'McDonough &amp; Sun 1995 values'!C$2,)</f>
        <v>0</v>
      </c>
      <c r="EM304" s="18">
        <f>IFERROR(CH304/'McDonough &amp; Sun 1995 values'!D$2,)</f>
        <v>1.2333333333333334</v>
      </c>
      <c r="EN304" s="18">
        <f>IFERROR(CS304/'McDonough &amp; Sun 1995 values'!E$2,)</f>
        <v>11.319696969696968</v>
      </c>
      <c r="EO304" s="18">
        <f>IFERROR(DL304/'McDonough &amp; Sun 1995 values'!F$2,)</f>
        <v>5.6477987421383649</v>
      </c>
      <c r="EP304" s="18">
        <f>IFERROR(DM304/'McDonough &amp; Sun 1995 values'!G$2,)</f>
        <v>6.403940886699508</v>
      </c>
      <c r="EQ304" s="18">
        <f>IFERROR(BR304/'McDonough &amp; Sun 1995 values'!H$2,)</f>
        <v>0</v>
      </c>
      <c r="ER304" s="18">
        <f>IFERROR(DI304/'McDonough &amp; Sun 1995 values'!I$2,)</f>
        <v>0</v>
      </c>
      <c r="ES304" s="18">
        <f>IFERROR(CM304/'McDonough &amp; Sun 1995 values'!J$2,)</f>
        <v>0.11246200607902734</v>
      </c>
      <c r="ET304" s="18">
        <f>IFERROR(CU304/'McDonough &amp; Sun 1995 values'!K$2,)</f>
        <v>0</v>
      </c>
      <c r="EU304" s="18">
        <f>IFERROR(CV304/'McDonough &amp; Sun 1995 values'!L$2,)</f>
        <v>0</v>
      </c>
      <c r="EV304" s="18">
        <f>IFERROR(CW304/'McDonough &amp; Sun 1995 values'!M$2,)</f>
        <v>2.0629921259842519</v>
      </c>
      <c r="EW304" s="18">
        <f>IFERROR(CI304/'McDonough &amp; Sun 1995 values'!N$2,)</f>
        <v>0.31668341708542713</v>
      </c>
      <c r="EX304" s="18">
        <f>IFERROR(CX304/'McDonough &amp; Sun 1995 values'!O$2,)</f>
        <v>1.5960000000000001</v>
      </c>
      <c r="EY304" s="18">
        <f>IFERROR(CY304/'McDonough &amp; Sun 1995 values'!P$2,)</f>
        <v>0.41871921182266009</v>
      </c>
      <c r="EZ304" s="18">
        <f>IFERROR(DH304/'McDonough &amp; Sun 1995 values'!Q$2,)</f>
        <v>0.74204946996466437</v>
      </c>
      <c r="FA304" s="18">
        <f>IFERROR(CK304/'McDonough &amp; Sun 1995 values'!R$2,)</f>
        <v>8.2190476190476189E-2</v>
      </c>
      <c r="FB304" s="18">
        <f>IFERROR(CZ304/'McDonough &amp; Sun 1995 values'!S$2,)</f>
        <v>0.44155844155844159</v>
      </c>
      <c r="FC304" s="18">
        <f>IFERROR(BT304/'McDonough &amp; Sun 1995 values'!T$2,)</f>
        <v>5.0763485477178426E-2</v>
      </c>
      <c r="FD304" s="18">
        <f>IFERROR(DA304/'McDonough &amp; Sun 1995 values'!U$2,)</f>
        <v>0</v>
      </c>
      <c r="FE304" s="18">
        <f>IFERROR(DN304/'McDonough &amp; Sun 1995 values'!V$2,)</f>
        <v>0</v>
      </c>
      <c r="FF304" s="18">
        <f>IFERROR(DB304/'McDonough &amp; Sun 1995 values'!W$2,)</f>
        <v>6.6765578635014824E-2</v>
      </c>
      <c r="FG304" s="18">
        <f>IFERROR(CJ304/'McDonough &amp; Sun 1995 values'!X$2,)</f>
        <v>0.1127906976744186</v>
      </c>
      <c r="FH304" s="18">
        <f>IFERROR(DC304/'McDonough &amp; Sun 1995 values'!Y$2,)</f>
        <v>0</v>
      </c>
      <c r="FI304" s="18">
        <f>IFERROR(DD304/'McDonough &amp; Sun 1995 values'!Z$2,)</f>
        <v>2.9680365296803651E-2</v>
      </c>
      <c r="FJ304" s="18">
        <f>IFERROR(DE304/'McDonough &amp; Sun 1995 values'!AA$2,)</f>
        <v>0</v>
      </c>
      <c r="FK304" s="18">
        <f>IFERROR(DF304/'McDonough &amp; Sun 1995 values'!AB$2,)</f>
        <v>8.3900226757369606E-2</v>
      </c>
      <c r="FL304" s="18">
        <f>IFERROR(DG304/'McDonough &amp; Sun 1995 values'!AC$2,)</f>
        <v>0.1037037037037037</v>
      </c>
      <c r="FN304" s="28">
        <f t="shared" si="614"/>
        <v>0</v>
      </c>
      <c r="FO304" s="4">
        <f t="shared" si="620"/>
        <v>1.7676142191142188</v>
      </c>
      <c r="FP304" s="4">
        <f t="shared" si="621"/>
        <v>50.219615842257355</v>
      </c>
      <c r="FQ304" s="4">
        <f t="shared" si="622"/>
        <v>0.88192549588775992</v>
      </c>
      <c r="FR304" s="4">
        <f t="shared" si="623"/>
        <v>0</v>
      </c>
      <c r="FS304" s="4">
        <f t="shared" si="624"/>
        <v>0</v>
      </c>
      <c r="FT304" s="4">
        <f t="shared" si="625"/>
        <v>0</v>
      </c>
      <c r="FU304" s="4">
        <f t="shared" si="626"/>
        <v>0</v>
      </c>
      <c r="FV304" s="4">
        <f t="shared" si="627"/>
        <v>0.19629019607843137</v>
      </c>
      <c r="FW304" s="4">
        <f t="shared" si="628"/>
        <v>0.11076145124716552</v>
      </c>
      <c r="FX304" s="4">
        <f t="shared" si="629"/>
        <v>2.1090909090909093</v>
      </c>
      <c r="FY304" s="4">
        <f t="shared" si="630"/>
        <v>0.17452598337527012</v>
      </c>
      <c r="FZ304" s="4">
        <f t="shared" si="631"/>
        <v>0</v>
      </c>
      <c r="GA304" s="4">
        <f t="shared" si="632"/>
        <v>0.15350684721316507</v>
      </c>
      <c r="GB304" s="4">
        <f t="shared" si="633"/>
        <v>1.0545454545454547</v>
      </c>
      <c r="GC304" s="4">
        <f t="shared" si="634"/>
        <v>0</v>
      </c>
      <c r="GD304" s="4">
        <f t="shared" si="635"/>
        <v>2.0042670581089288</v>
      </c>
      <c r="GE304" s="4">
        <f t="shared" si="636"/>
        <v>9.1781326781326769</v>
      </c>
      <c r="GF304" s="4">
        <f t="shared" si="637"/>
        <v>0</v>
      </c>
      <c r="GG304" s="4">
        <f t="shared" si="638"/>
        <v>100.6535217035217</v>
      </c>
      <c r="GH304" s="4">
        <f t="shared" si="639"/>
        <v>0</v>
      </c>
      <c r="GI304" s="4">
        <f t="shared" si="640"/>
        <v>0</v>
      </c>
      <c r="GJ304" s="4">
        <f t="shared" si="641"/>
        <v>0</v>
      </c>
      <c r="GK304" s="4">
        <f t="shared" si="642"/>
        <v>0</v>
      </c>
      <c r="GL304" s="4">
        <f t="shared" si="643"/>
        <v>1.6190865425784502</v>
      </c>
      <c r="GM304" s="4">
        <f t="shared" si="644"/>
        <v>4.579296277409485</v>
      </c>
      <c r="GN304" s="4">
        <f t="shared" si="645"/>
        <v>0</v>
      </c>
      <c r="GO304" s="4">
        <f t="shared" si="646"/>
        <v>1.7561374795417344E-2</v>
      </c>
      <c r="GP304" s="4">
        <f t="shared" si="647"/>
        <v>0</v>
      </c>
      <c r="GQ304" s="27">
        <f t="shared" si="648"/>
        <v>131417.49752701283</v>
      </c>
      <c r="GR304" s="28" t="str">
        <f t="shared" si="649"/>
        <v/>
      </c>
      <c r="GS304" s="28" t="str">
        <f t="shared" si="650"/>
        <v/>
      </c>
      <c r="GT304" s="28" t="str">
        <f t="shared" si="651"/>
        <v/>
      </c>
      <c r="GU304" s="28" t="str">
        <f t="shared" si="652"/>
        <v/>
      </c>
      <c r="GV304" s="28" t="str">
        <f t="shared" si="653"/>
        <v/>
      </c>
      <c r="GW304" s="28" t="str">
        <f t="shared" si="654"/>
        <v/>
      </c>
      <c r="GX304" s="28" t="str">
        <f t="shared" si="655"/>
        <v/>
      </c>
      <c r="GY304" s="28" t="str">
        <f t="shared" si="656"/>
        <v/>
      </c>
      <c r="GZ304" s="28" t="str">
        <f t="shared" si="657"/>
        <v/>
      </c>
      <c r="HA304" s="28" t="str">
        <f t="shared" si="658"/>
        <v/>
      </c>
      <c r="HB304" s="28" t="str">
        <f t="shared" si="659"/>
        <v/>
      </c>
      <c r="HC304" s="28" t="str">
        <f t="shared" si="660"/>
        <v/>
      </c>
      <c r="HD304" s="28" t="str">
        <f t="shared" si="661"/>
        <v/>
      </c>
      <c r="HE304" s="28" t="str">
        <f t="shared" si="662"/>
        <v/>
      </c>
      <c r="HF304" s="28" t="str">
        <f t="shared" si="663"/>
        <v/>
      </c>
      <c r="HG304" s="28" t="str">
        <f t="shared" si="664"/>
        <v/>
      </c>
      <c r="HH304" s="28" t="str">
        <f t="shared" si="665"/>
        <v/>
      </c>
      <c r="HI304" s="28" t="str">
        <f t="shared" si="666"/>
        <v/>
      </c>
      <c r="HJ304" s="28" t="str">
        <f t="shared" si="667"/>
        <v/>
      </c>
      <c r="HK304" s="28" t="str">
        <f t="shared" si="668"/>
        <v/>
      </c>
      <c r="HL304" s="28" t="str">
        <f t="shared" si="669"/>
        <v/>
      </c>
      <c r="HM304" s="28" t="str">
        <f t="shared" si="670"/>
        <v/>
      </c>
      <c r="HN304" s="28" t="str">
        <f t="shared" si="671"/>
        <v/>
      </c>
      <c r="HO304" s="28" t="str">
        <f t="shared" si="672"/>
        <v/>
      </c>
      <c r="HP304" s="28" t="str">
        <f t="shared" si="673"/>
        <v/>
      </c>
      <c r="HQ304" s="28" t="str">
        <f t="shared" si="674"/>
        <v/>
      </c>
      <c r="HR304" s="28" t="str">
        <f t="shared" si="675"/>
        <v/>
      </c>
      <c r="HT304" s="4">
        <f>IFERROR(GR304/'McDonough &amp; Sun 1995 values'!C$2,)</f>
        <v>0</v>
      </c>
      <c r="HU304" s="4">
        <f>IFERROR(GS304/'McDonough &amp; Sun 1995 values'!D$2,)</f>
        <v>0</v>
      </c>
      <c r="HV304" s="4">
        <f>IFERROR(GT304/'McDonough &amp; Sun 1995 values'!E$2,)</f>
        <v>0</v>
      </c>
      <c r="HW304" s="4">
        <f>IFERROR(GU304/'McDonough &amp; Sun 1995 values'!F$2,)</f>
        <v>0</v>
      </c>
      <c r="HX304" s="4">
        <f>IFERROR(GV304/'McDonough &amp; Sun 1995 values'!G$2,)</f>
        <v>0</v>
      </c>
      <c r="HY304" s="4">
        <f>IFERROR(GW304/'McDonough &amp; Sun 1995 values'!H$2,)</f>
        <v>0</v>
      </c>
      <c r="HZ304" s="4">
        <f>IFERROR(GX304/'McDonough &amp; Sun 1995 values'!I$2,)</f>
        <v>0</v>
      </c>
      <c r="IA304" s="4">
        <f>IFERROR(GY304/'McDonough &amp; Sun 1995 values'!J$2,)</f>
        <v>0</v>
      </c>
      <c r="IB304" s="4">
        <f>IFERROR(GZ304/'McDonough &amp; Sun 1995 values'!K$2,)</f>
        <v>0</v>
      </c>
      <c r="IC304" s="4">
        <f>IFERROR(HA304/'McDonough &amp; Sun 1995 values'!L$2,)</f>
        <v>0</v>
      </c>
      <c r="ID304" s="4">
        <f>IFERROR(HB304/'McDonough &amp; Sun 1995 values'!M$2,)</f>
        <v>0</v>
      </c>
      <c r="IE304" s="4">
        <f>IFERROR(HC304/'McDonough &amp; Sun 1995 values'!N$2,)</f>
        <v>0</v>
      </c>
      <c r="IF304" s="4">
        <f>IFERROR(HD304/'McDonough &amp; Sun 1995 values'!O$2,)</f>
        <v>0</v>
      </c>
      <c r="IG304" s="4">
        <f>IFERROR(HE304/'McDonough &amp; Sun 1995 values'!P$2,)</f>
        <v>0</v>
      </c>
      <c r="IH304" s="4">
        <f>IFERROR(HF304/'McDonough &amp; Sun 1995 values'!Q$2,)</f>
        <v>0</v>
      </c>
      <c r="II304" s="4">
        <f>IFERROR(HG304/'McDonough &amp; Sun 1995 values'!R$2,)</f>
        <v>0</v>
      </c>
      <c r="IJ304" s="4">
        <f>IFERROR(HH304/'McDonough &amp; Sun 1995 values'!S$2,)</f>
        <v>0</v>
      </c>
      <c r="IK304" s="4">
        <f>IFERROR(HI304/'McDonough &amp; Sun 1995 values'!T$2,)</f>
        <v>0</v>
      </c>
      <c r="IL304" s="4">
        <f>IFERROR(HJ304/'McDonough &amp; Sun 1995 values'!U$2,)</f>
        <v>0</v>
      </c>
      <c r="IM304" s="4">
        <f>IFERROR(HK304/'McDonough &amp; Sun 1995 values'!V$2,)</f>
        <v>0</v>
      </c>
      <c r="IN304" s="4">
        <f>IFERROR(HL304/'McDonough &amp; Sun 1995 values'!W$2,)</f>
        <v>0</v>
      </c>
      <c r="IO304" s="4">
        <f>IFERROR(HM304/'McDonough &amp; Sun 1995 values'!X$2,)</f>
        <v>0</v>
      </c>
      <c r="IP304" s="4">
        <f>IFERROR(HN304/'McDonough &amp; Sun 1995 values'!Y$2,)</f>
        <v>0</v>
      </c>
      <c r="IQ304" s="4">
        <f>IFERROR(HO304/'McDonough &amp; Sun 1995 values'!Z$2,)</f>
        <v>0</v>
      </c>
      <c r="IR304" s="4">
        <f>IFERROR(HP304/'McDonough &amp; Sun 1995 values'!AA$2,)</f>
        <v>0</v>
      </c>
      <c r="IS304" s="4">
        <f>IFERROR(HQ304/'McDonough &amp; Sun 1995 values'!AB$2,)</f>
        <v>0</v>
      </c>
      <c r="IT304" s="4">
        <f>IFERROR(HR304/'McDonough &amp; Sun 1995 values'!AC$2,)</f>
        <v>0</v>
      </c>
    </row>
    <row r="305" spans="1:254">
      <c r="A305" s="4" t="s">
        <v>1651</v>
      </c>
      <c r="B305" s="4" t="s">
        <v>24</v>
      </c>
      <c r="C305" s="16" t="str">
        <f t="shared" si="617"/>
        <v>silicic - low-Mg carbonatitic</v>
      </c>
      <c r="D305" s="4" t="s">
        <v>1717</v>
      </c>
      <c r="E305" s="4" t="s">
        <v>1394</v>
      </c>
      <c r="F305" s="4" t="s">
        <v>1628</v>
      </c>
      <c r="G305" s="4" t="s">
        <v>595</v>
      </c>
      <c r="H305" s="49">
        <v>132</v>
      </c>
      <c r="I305" s="4" t="s">
        <v>735</v>
      </c>
      <c r="K305" s="4" t="s">
        <v>1276</v>
      </c>
      <c r="M305" s="4" t="s">
        <v>1642</v>
      </c>
      <c r="N305" s="4">
        <v>29</v>
      </c>
      <c r="O305" s="4">
        <v>21</v>
      </c>
      <c r="P305" s="53">
        <v>11.7</v>
      </c>
      <c r="Q305" s="53">
        <v>0.6</v>
      </c>
      <c r="R305" s="53">
        <v>2.6</v>
      </c>
      <c r="S305" s="53">
        <v>11</v>
      </c>
      <c r="T305" s="53">
        <v>8.1999999999999993</v>
      </c>
      <c r="U305" s="53"/>
      <c r="V305" s="53">
        <v>5.7</v>
      </c>
      <c r="W305" s="53">
        <v>0.7</v>
      </c>
      <c r="X305" s="53">
        <v>15</v>
      </c>
      <c r="Y305" s="53">
        <v>1.3</v>
      </c>
      <c r="Z305" s="53">
        <v>8.8000000000000007</v>
      </c>
      <c r="AA305" s="53"/>
      <c r="AB305" s="53">
        <v>9.1999999999999993</v>
      </c>
      <c r="AC305" s="53"/>
      <c r="AD305" s="53">
        <v>3.1</v>
      </c>
      <c r="AE305" s="53"/>
      <c r="AF305" s="53"/>
      <c r="AG305" s="53"/>
      <c r="AH305" s="53"/>
      <c r="AI305" s="53">
        <v>2.1</v>
      </c>
      <c r="AJ305" s="91">
        <f t="shared" si="618"/>
        <v>97</v>
      </c>
      <c r="AK305" s="26">
        <f t="shared" si="678"/>
        <v>21.806757766158444</v>
      </c>
      <c r="AL305" s="26">
        <f t="shared" si="679"/>
        <v>12.149479326859703</v>
      </c>
      <c r="AM305" s="26">
        <f t="shared" si="680"/>
        <v>2.699884294857712</v>
      </c>
      <c r="AN305" s="26">
        <f t="shared" si="681"/>
        <v>11.42258740132109</v>
      </c>
      <c r="AO305" s="26">
        <f t="shared" si="682"/>
        <v>8.5150196991666309</v>
      </c>
      <c r="AP305" s="26">
        <f t="shared" si="683"/>
        <v>5.9189771079572919</v>
      </c>
      <c r="AQ305" s="26">
        <f t="shared" si="684"/>
        <v>9.5534367356503651</v>
      </c>
      <c r="AR305" s="26">
        <f t="shared" si="685"/>
        <v>0.7268919255386147</v>
      </c>
      <c r="AS305" s="26">
        <f t="shared" si="686"/>
        <v>15.576255547256032</v>
      </c>
      <c r="AT305" s="26">
        <f t="shared" si="687"/>
        <v>9.1380699210568732</v>
      </c>
      <c r="AU305" s="26">
        <f t="shared" si="688"/>
        <v>3.21909281309958</v>
      </c>
      <c r="AV305" s="91">
        <f t="shared" si="619"/>
        <v>100.72645253892233</v>
      </c>
      <c r="AW305" s="90"/>
      <c r="AX305" s="90"/>
      <c r="AY305" s="90"/>
      <c r="AZ305" s="90"/>
      <c r="BA305" s="104"/>
      <c r="BB305" s="104"/>
      <c r="BC305" s="26"/>
      <c r="BD305" s="26"/>
      <c r="BE305" s="44"/>
      <c r="BF305" s="44"/>
      <c r="BG305" s="16">
        <v>1091.3333333333333</v>
      </c>
      <c r="BH305" s="16">
        <v>76.666666666666671</v>
      </c>
      <c r="BI305" s="16"/>
      <c r="DB305" s="45"/>
      <c r="DC305" s="45"/>
      <c r="DD305" s="45"/>
      <c r="DE305" s="45"/>
      <c r="DF305" s="45"/>
      <c r="DG305" s="45"/>
      <c r="DH305" s="45"/>
      <c r="DI305" s="45"/>
      <c r="DJ305" s="45"/>
      <c r="DK305" s="45"/>
      <c r="DL305" s="45"/>
      <c r="DM305" s="45"/>
      <c r="DN305" s="45"/>
      <c r="DO305" s="45"/>
      <c r="DQ305" s="4"/>
      <c r="DR305" s="4"/>
      <c r="DS305" s="4"/>
      <c r="DT305" s="4"/>
      <c r="DU305" s="4"/>
      <c r="DV305" s="4"/>
      <c r="DW305" s="4"/>
      <c r="DX305" s="4"/>
      <c r="DY305" s="4"/>
      <c r="DZ305" s="4"/>
      <c r="EA305" s="4"/>
      <c r="EB305" s="4"/>
      <c r="EC305" s="4"/>
      <c r="ED305" s="4"/>
      <c r="EE305" s="4"/>
      <c r="EF305" s="4"/>
      <c r="EG305" s="4"/>
      <c r="EH305" s="4"/>
      <c r="EI305" s="4"/>
      <c r="EJ305" s="4"/>
      <c r="ET305" s="45"/>
      <c r="EU305" s="45"/>
      <c r="EV305" s="45"/>
      <c r="EW305" s="45"/>
      <c r="FN305" s="4"/>
      <c r="FW305" s="45"/>
      <c r="FX305" s="45"/>
      <c r="FY305" s="45"/>
      <c r="FZ305" s="45"/>
      <c r="GA305" s="45"/>
      <c r="GB305" s="45"/>
      <c r="GC305" s="45"/>
      <c r="GD305" s="45"/>
      <c r="GE305" s="45"/>
      <c r="GF305" s="45"/>
      <c r="GG305" s="45"/>
      <c r="GH305" s="45"/>
      <c r="GI305" s="45"/>
      <c r="GJ305" s="45"/>
      <c r="GK305" s="45"/>
      <c r="GL305" s="45"/>
      <c r="GM305" s="45"/>
      <c r="GN305" s="45"/>
      <c r="GO305" s="45"/>
      <c r="GP305" s="45"/>
      <c r="GY305" s="4"/>
      <c r="GZ305" s="4"/>
      <c r="HA305" s="4"/>
      <c r="HB305" s="4"/>
      <c r="HC305" s="4"/>
      <c r="HD305" s="4"/>
      <c r="HE305" s="4"/>
      <c r="HF305" s="4"/>
      <c r="HG305" s="4"/>
      <c r="HH305" s="4"/>
      <c r="HI305" s="4"/>
      <c r="HJ305" s="4"/>
      <c r="HK305" s="4"/>
      <c r="HL305" s="4"/>
      <c r="HM305" s="4"/>
      <c r="HN305" s="4"/>
      <c r="HO305" s="4"/>
      <c r="HP305" s="4"/>
      <c r="HQ305" s="4"/>
      <c r="HR305" s="4"/>
    </row>
    <row r="306" spans="1:254" ht="16">
      <c r="A306" s="4" t="s">
        <v>1651</v>
      </c>
      <c r="B306" s="4" t="s">
        <v>24</v>
      </c>
      <c r="C306" s="16" t="str">
        <f t="shared" si="617"/>
        <v>silicic - low-Mg carbonatitic</v>
      </c>
      <c r="D306" s="4" t="s">
        <v>1717</v>
      </c>
      <c r="E306" s="4" t="s">
        <v>1394</v>
      </c>
      <c r="F306" s="4" t="s">
        <v>1628</v>
      </c>
      <c r="G306" s="4" t="s">
        <v>595</v>
      </c>
      <c r="H306" s="49">
        <v>132</v>
      </c>
      <c r="I306" s="4" t="s">
        <v>735</v>
      </c>
      <c r="K306" s="4" t="s">
        <v>1276</v>
      </c>
      <c r="L306" s="4" t="s">
        <v>1645</v>
      </c>
      <c r="M306" s="4" t="s">
        <v>1644</v>
      </c>
      <c r="N306" s="4">
        <v>41</v>
      </c>
      <c r="O306" s="4">
        <v>33</v>
      </c>
      <c r="P306" s="53">
        <v>3.9</v>
      </c>
      <c r="Q306" s="53">
        <v>0.3</v>
      </c>
      <c r="R306" s="53">
        <v>3.7</v>
      </c>
      <c r="S306" s="53">
        <v>14.2</v>
      </c>
      <c r="T306" s="53">
        <v>7.1</v>
      </c>
      <c r="U306" s="53"/>
      <c r="V306" s="53">
        <v>12.1</v>
      </c>
      <c r="W306" s="53">
        <v>3.5</v>
      </c>
      <c r="X306" s="53">
        <v>15.6</v>
      </c>
      <c r="Y306" s="53">
        <v>0.8</v>
      </c>
      <c r="Z306" s="53">
        <v>2.8</v>
      </c>
      <c r="AA306" s="53"/>
      <c r="AB306" s="53">
        <v>1.3</v>
      </c>
      <c r="AC306" s="53"/>
      <c r="AD306" s="53">
        <v>1</v>
      </c>
      <c r="AE306" s="53"/>
      <c r="AF306" s="53"/>
      <c r="AG306" s="53"/>
      <c r="AH306" s="53"/>
      <c r="AI306" s="53">
        <v>2.6</v>
      </c>
      <c r="AJ306" s="91">
        <f t="shared" si="618"/>
        <v>98.199999999999989</v>
      </c>
      <c r="AK306" s="26">
        <f t="shared" si="678"/>
        <v>33.682292071553817</v>
      </c>
      <c r="AL306" s="26">
        <f t="shared" si="679"/>
        <v>3.9806345175472697</v>
      </c>
      <c r="AM306" s="26">
        <f t="shared" si="680"/>
        <v>3.7764994140833079</v>
      </c>
      <c r="AN306" s="26">
        <f t="shared" si="681"/>
        <v>14.493592345941341</v>
      </c>
      <c r="AO306" s="26">
        <f t="shared" si="682"/>
        <v>7.2467961729706705</v>
      </c>
      <c r="AP306" s="26">
        <f t="shared" si="683"/>
        <v>12.350173759569735</v>
      </c>
      <c r="AQ306" s="26">
        <f t="shared" si="684"/>
        <v>1.3268781725157566</v>
      </c>
      <c r="AR306" s="26">
        <f t="shared" si="685"/>
        <v>3.5723643106193448</v>
      </c>
      <c r="AS306" s="26">
        <f t="shared" si="686"/>
        <v>15.922538070189079</v>
      </c>
      <c r="AT306" s="26">
        <f t="shared" si="687"/>
        <v>2.8578914484954758</v>
      </c>
      <c r="AU306" s="26">
        <f t="shared" si="688"/>
        <v>1.0206755173198128</v>
      </c>
      <c r="AV306" s="91">
        <f t="shared" si="619"/>
        <v>100.23033580080563</v>
      </c>
      <c r="AW306" s="90"/>
      <c r="AX306" s="90"/>
      <c r="AY306" s="90"/>
      <c r="AZ306" s="90"/>
      <c r="BA306" s="104"/>
      <c r="BB306" s="104"/>
      <c r="BC306" s="26"/>
      <c r="BD306" s="26"/>
      <c r="BE306" s="47"/>
      <c r="BF306" s="46"/>
      <c r="BG306" s="16">
        <v>867.2</v>
      </c>
      <c r="BH306" s="16">
        <v>23</v>
      </c>
      <c r="BI306" s="16"/>
      <c r="BJ306" s="46"/>
      <c r="BK306" s="46"/>
      <c r="BL306" s="26"/>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c r="CR306" s="47"/>
      <c r="CS306" s="47"/>
      <c r="CT306" s="47"/>
      <c r="CU306" s="47"/>
      <c r="CV306" s="47"/>
      <c r="CW306" s="47"/>
      <c r="DB306" s="45"/>
      <c r="DC306" s="45"/>
      <c r="DD306" s="45"/>
      <c r="DE306" s="45"/>
      <c r="DF306" s="45"/>
      <c r="DG306" s="45"/>
      <c r="DH306" s="45"/>
      <c r="DI306" s="45"/>
      <c r="DJ306" s="45"/>
      <c r="DK306" s="45"/>
      <c r="DL306" s="45"/>
      <c r="DM306" s="45"/>
      <c r="DN306" s="45"/>
      <c r="DO306" s="45"/>
      <c r="DQ306" s="4"/>
      <c r="DR306" s="4"/>
      <c r="DS306" s="4"/>
      <c r="DT306" s="4"/>
      <c r="DU306" s="4"/>
      <c r="DV306" s="4"/>
      <c r="DW306" s="4"/>
      <c r="DX306" s="4"/>
      <c r="DY306" s="4"/>
      <c r="DZ306" s="4"/>
      <c r="EA306" s="4"/>
      <c r="EB306" s="4"/>
      <c r="EC306" s="4"/>
      <c r="ED306" s="4"/>
      <c r="EE306" s="4"/>
      <c r="EF306" s="4"/>
      <c r="EG306" s="4"/>
      <c r="EH306" s="4"/>
      <c r="EI306" s="4"/>
      <c r="EJ306" s="4"/>
      <c r="ET306" s="45"/>
      <c r="EU306" s="45"/>
      <c r="EV306" s="45"/>
      <c r="EW306" s="45"/>
      <c r="FN306" s="4"/>
      <c r="FW306" s="45"/>
      <c r="FX306" s="45"/>
      <c r="FY306" s="45"/>
      <c r="FZ306" s="45"/>
      <c r="GA306" s="45"/>
      <c r="GB306" s="45"/>
      <c r="GC306" s="45"/>
      <c r="GD306" s="45"/>
      <c r="GE306" s="45"/>
      <c r="GF306" s="45"/>
      <c r="GG306" s="45"/>
      <c r="GH306" s="45"/>
      <c r="GI306" s="45"/>
      <c r="GJ306" s="45"/>
      <c r="GK306" s="45"/>
      <c r="GL306" s="45"/>
      <c r="GM306" s="45"/>
      <c r="GN306" s="45"/>
      <c r="GO306" s="45"/>
      <c r="GP306" s="45"/>
      <c r="GY306" s="4"/>
      <c r="GZ306" s="4"/>
      <c r="HA306" s="4"/>
      <c r="HB306" s="4"/>
      <c r="HC306" s="4"/>
      <c r="HD306" s="4"/>
      <c r="HE306" s="4"/>
      <c r="HF306" s="4"/>
      <c r="HG306" s="4"/>
      <c r="HH306" s="4"/>
      <c r="HI306" s="4"/>
      <c r="HJ306" s="4"/>
      <c r="HK306" s="4"/>
      <c r="HL306" s="4"/>
      <c r="HM306" s="4"/>
      <c r="HN306" s="4"/>
      <c r="HO306" s="4"/>
      <c r="HP306" s="4"/>
      <c r="HQ306" s="4"/>
      <c r="HR306" s="4"/>
    </row>
    <row r="307" spans="1:254" s="46" customFormat="1" ht="16">
      <c r="A307" s="4" t="s">
        <v>1651</v>
      </c>
      <c r="B307" s="4" t="s">
        <v>24</v>
      </c>
      <c r="C307" s="16" t="str">
        <f t="shared" si="617"/>
        <v>silicic - low-Mg carbonatitic</v>
      </c>
      <c r="D307" s="4" t="s">
        <v>1717</v>
      </c>
      <c r="E307" s="4" t="s">
        <v>1394</v>
      </c>
      <c r="F307" s="4" t="s">
        <v>1628</v>
      </c>
      <c r="G307" s="4" t="s">
        <v>595</v>
      </c>
      <c r="H307" s="49">
        <v>132</v>
      </c>
      <c r="I307" s="4" t="s">
        <v>735</v>
      </c>
      <c r="K307" s="4" t="s">
        <v>1276</v>
      </c>
      <c r="L307" s="4" t="s">
        <v>1646</v>
      </c>
      <c r="M307" s="4" t="s">
        <v>1644</v>
      </c>
      <c r="N307" s="4">
        <v>10</v>
      </c>
      <c r="O307" s="4">
        <v>33.1</v>
      </c>
      <c r="P307" s="53">
        <v>3.8</v>
      </c>
      <c r="Q307" s="53">
        <v>0.3</v>
      </c>
      <c r="R307" s="53">
        <v>4</v>
      </c>
      <c r="S307" s="53">
        <v>17.7</v>
      </c>
      <c r="T307" s="53">
        <v>8.1</v>
      </c>
      <c r="U307" s="53"/>
      <c r="V307" s="53">
        <v>14.9</v>
      </c>
      <c r="W307" s="53">
        <v>4.5999999999999996</v>
      </c>
      <c r="X307" s="53">
        <v>8.1999999999999993</v>
      </c>
      <c r="Y307" s="53">
        <v>0.9</v>
      </c>
      <c r="Z307" s="53">
        <v>3</v>
      </c>
      <c r="AA307" s="53"/>
      <c r="AB307" s="53">
        <v>0.3</v>
      </c>
      <c r="AC307" s="53"/>
      <c r="AD307" s="53">
        <v>0.3</v>
      </c>
      <c r="AE307" s="53"/>
      <c r="AF307" s="53"/>
      <c r="AG307" s="53"/>
      <c r="AH307" s="53"/>
      <c r="AI307" s="53">
        <v>3.2</v>
      </c>
      <c r="AJ307" s="91">
        <f t="shared" si="618"/>
        <v>97.999999999999986</v>
      </c>
      <c r="AK307" s="26">
        <f t="shared" si="678"/>
        <v>33.798859348446015</v>
      </c>
      <c r="AL307" s="26">
        <f t="shared" si="679"/>
        <v>3.8802315868306598</v>
      </c>
      <c r="AM307" s="26">
        <f t="shared" si="680"/>
        <v>4.0844543019270105</v>
      </c>
      <c r="AN307" s="26">
        <f t="shared" si="681"/>
        <v>18.073710286027019</v>
      </c>
      <c r="AO307" s="26">
        <f t="shared" si="682"/>
        <v>8.271019961402196</v>
      </c>
      <c r="AP307" s="26">
        <f t="shared" si="683"/>
        <v>15.214592274678115</v>
      </c>
      <c r="AQ307" s="26">
        <f t="shared" si="684"/>
        <v>0.30633407264452578</v>
      </c>
      <c r="AR307" s="26">
        <f t="shared" si="685"/>
        <v>4.6971224472160618</v>
      </c>
      <c r="AS307" s="26">
        <f t="shared" si="686"/>
        <v>8.3731313189503709</v>
      </c>
      <c r="AT307" s="26">
        <f t="shared" si="687"/>
        <v>3.0633407264452579</v>
      </c>
      <c r="AU307" s="26">
        <f t="shared" si="688"/>
        <v>0.30633407264452578</v>
      </c>
      <c r="AV307" s="91">
        <f t="shared" si="619"/>
        <v>100.06913039721178</v>
      </c>
      <c r="AW307" s="90"/>
      <c r="AX307" s="90"/>
      <c r="AY307" s="90"/>
      <c r="AZ307" s="90"/>
      <c r="BA307" s="104"/>
      <c r="BB307" s="104"/>
      <c r="BC307" s="26"/>
      <c r="BD307" s="26"/>
      <c r="BE307" s="44"/>
      <c r="BF307" s="4"/>
      <c r="BG307" s="16">
        <v>867.2</v>
      </c>
      <c r="BH307" s="16">
        <v>23</v>
      </c>
      <c r="BI307" s="16"/>
      <c r="BJ307" s="4"/>
      <c r="BK307" s="44"/>
      <c r="BL307" s="26"/>
      <c r="BM307" s="44"/>
      <c r="BN307" s="44"/>
      <c r="BO307" s="44"/>
      <c r="BP307" s="44"/>
      <c r="BQ307" s="44"/>
      <c r="BR307" s="44"/>
      <c r="BS307" s="44"/>
      <c r="BT307" s="44"/>
      <c r="BU307" s="44"/>
      <c r="BV307" s="44"/>
      <c r="BW307" s="44"/>
      <c r="BX307" s="44"/>
      <c r="BY307" s="44"/>
      <c r="BZ307" s="44"/>
      <c r="CA307" s="44"/>
      <c r="CB307" s="44"/>
      <c r="CC307" s="44"/>
      <c r="CD307" s="44"/>
      <c r="CE307" s="44"/>
      <c r="CF307" s="44"/>
      <c r="CG307" s="44"/>
      <c r="CH307" s="44"/>
      <c r="CI307" s="44"/>
      <c r="CJ307" s="44"/>
      <c r="CK307" s="44"/>
      <c r="CL307" s="44"/>
      <c r="CM307" s="44"/>
      <c r="CN307" s="44"/>
      <c r="CO307" s="44"/>
      <c r="CP307" s="44"/>
      <c r="CQ307" s="44"/>
      <c r="CR307" s="44"/>
      <c r="CS307" s="44"/>
      <c r="CT307" s="44"/>
      <c r="CU307" s="44"/>
      <c r="CV307" s="44"/>
      <c r="CW307" s="44"/>
      <c r="CX307" s="47"/>
      <c r="CY307" s="47"/>
      <c r="CZ307" s="47"/>
      <c r="DA307" s="47"/>
      <c r="DB307" s="48"/>
      <c r="DC307" s="48"/>
      <c r="DD307" s="48"/>
      <c r="DE307" s="48"/>
      <c r="DF307" s="48"/>
      <c r="DG307" s="48"/>
      <c r="DH307" s="48"/>
      <c r="DI307" s="48"/>
      <c r="DJ307" s="48"/>
      <c r="DK307" s="48"/>
      <c r="DL307" s="48"/>
      <c r="DM307" s="48"/>
      <c r="DN307" s="48"/>
      <c r="DO307" s="48"/>
      <c r="DP307" s="47"/>
      <c r="ET307" s="48"/>
      <c r="EU307" s="48"/>
      <c r="EV307" s="48"/>
      <c r="EW307" s="48"/>
      <c r="FW307" s="48"/>
      <c r="FX307" s="48"/>
      <c r="FY307" s="48"/>
      <c r="FZ307" s="48"/>
      <c r="GA307" s="48"/>
      <c r="GB307" s="48"/>
      <c r="GC307" s="48"/>
      <c r="GD307" s="48"/>
      <c r="GE307" s="48"/>
      <c r="GF307" s="48"/>
      <c r="GG307" s="48"/>
      <c r="GH307" s="48"/>
      <c r="GI307" s="48"/>
      <c r="GJ307" s="48"/>
      <c r="GK307" s="48"/>
      <c r="GL307" s="48"/>
      <c r="GM307" s="48"/>
      <c r="GN307" s="48"/>
      <c r="GO307" s="48"/>
      <c r="GP307" s="48"/>
      <c r="GQ307" s="48"/>
      <c r="GR307" s="48"/>
      <c r="GS307" s="48"/>
      <c r="GT307" s="48"/>
      <c r="GU307" s="48"/>
      <c r="GV307" s="48"/>
      <c r="GW307" s="48"/>
      <c r="GX307" s="48"/>
    </row>
    <row r="308" spans="1:254">
      <c r="A308" s="16" t="s">
        <v>1656</v>
      </c>
      <c r="B308" s="4" t="s">
        <v>24</v>
      </c>
      <c r="C308" s="16" t="str">
        <f t="shared" si="617"/>
        <v>silicic - low-Mg carbonatitic</v>
      </c>
      <c r="D308" s="4" t="s">
        <v>1724</v>
      </c>
      <c r="E308" s="4" t="s">
        <v>237</v>
      </c>
      <c r="F308" s="4" t="s">
        <v>849</v>
      </c>
      <c r="G308" s="4" t="s">
        <v>595</v>
      </c>
      <c r="H308" s="49">
        <v>364</v>
      </c>
      <c r="I308" s="4" t="s">
        <v>1148</v>
      </c>
      <c r="J308" s="4" t="s">
        <v>635</v>
      </c>
      <c r="K308" s="4" t="s">
        <v>128</v>
      </c>
      <c r="M308" s="4" t="s">
        <v>1662</v>
      </c>
      <c r="N308" s="4">
        <v>26</v>
      </c>
      <c r="O308" s="4">
        <v>21.5</v>
      </c>
      <c r="P308" s="4">
        <v>0.93</v>
      </c>
      <c r="R308" s="4">
        <v>2.83</v>
      </c>
      <c r="S308" s="4">
        <v>14.2</v>
      </c>
      <c r="T308" s="4">
        <v>9.94</v>
      </c>
      <c r="V308" s="4">
        <v>4.8099999999999996</v>
      </c>
      <c r="W308" s="4">
        <v>6.18</v>
      </c>
      <c r="X308" s="4">
        <v>32.4</v>
      </c>
      <c r="Z308" s="4">
        <v>4.6100000000000003</v>
      </c>
      <c r="AD308" s="4">
        <v>2.58</v>
      </c>
      <c r="AJ308" s="26">
        <f t="shared" si="618"/>
        <v>99.97999999999999</v>
      </c>
      <c r="AK308" s="26">
        <f t="shared" ref="AK308:AL314" si="689">100*(O308/$AJ308)*(($AJ308+$AD308*8/35.45)/$AJ308)</f>
        <v>21.629530072376664</v>
      </c>
      <c r="AL308" s="26">
        <f t="shared" si="689"/>
        <v>0.93560292871210693</v>
      </c>
      <c r="AM308" s="26">
        <f t="shared" ref="AM308:AO314" si="690">100*(R308/$AJ308)*(($AJ308+$AD308*8/35.45)/$AJ308)</f>
        <v>2.8470497723174861</v>
      </c>
      <c r="AN308" s="26">
        <f t="shared" si="690"/>
        <v>14.285550094313887</v>
      </c>
      <c r="AO308" s="26">
        <f t="shared" si="690"/>
        <v>9.9998850660197238</v>
      </c>
      <c r="AP308" s="26">
        <f t="shared" ref="AP308:AP314" si="691">100*(V308/$AJ308)*(($AJ308+$AD308*8/35.45)/$AJ308)</f>
        <v>4.8389785882851974</v>
      </c>
      <c r="AQ308" s="26">
        <f t="shared" ref="AQ308:AQ314" si="692">100*(AB308/$AJ308)*(($AJ308+$AD308*8/35.45)/$AJ308)</f>
        <v>0</v>
      </c>
      <c r="AR308" s="26">
        <f t="shared" ref="AR308:AS314" si="693">100*(W308/$AJ308)*(($AJ308+$AD308*8/35.45)/$AJ308)</f>
        <v>6.2172323649901289</v>
      </c>
      <c r="AS308" s="26">
        <f t="shared" si="693"/>
        <v>32.595198806744364</v>
      </c>
      <c r="AT308" s="26">
        <f t="shared" ref="AT308:AT314" si="694">100*(Z308/$AJ308)*(($AJ308+$AD308*8/35.45)/$AJ308)</f>
        <v>4.637773657379368</v>
      </c>
      <c r="AU308" s="26">
        <f t="shared" ref="AU308:AU314" si="695">100*(AD308/$AJ308)*(($AJ308+$AD308*8/35.45)/$AJ308)</f>
        <v>2.5955436086852002</v>
      </c>
      <c r="AV308" s="26">
        <f t="shared" si="619"/>
        <v>100.58234495982413</v>
      </c>
      <c r="BB308" s="26">
        <v>0.13</v>
      </c>
      <c r="BC308" s="26">
        <f t="shared" ref="BC308:BC314" si="696">1-BD308</f>
        <v>0.13</v>
      </c>
      <c r="BD308" s="26">
        <f t="shared" ref="BD308:BD314" si="697">1-BB308</f>
        <v>0.87</v>
      </c>
      <c r="BE308" s="4">
        <v>-3.9959108838202084</v>
      </c>
      <c r="BG308" s="4">
        <v>715.70437500000003</v>
      </c>
      <c r="BH308" s="4">
        <v>0.31465717046712027</v>
      </c>
      <c r="BL308" s="26"/>
      <c r="BT308" s="44">
        <v>13869.271059692153</v>
      </c>
      <c r="CH308" s="44">
        <v>107.75201640367656</v>
      </c>
      <c r="CI308" s="44">
        <v>3557.6692566839379</v>
      </c>
      <c r="CJ308" s="44">
        <v>37.068655005267011</v>
      </c>
      <c r="CK308" s="44">
        <v>228.33888988813032</v>
      </c>
      <c r="CM308" s="44">
        <v>383.72054594088769</v>
      </c>
      <c r="CR308" s="44">
        <v>35225.859984402618</v>
      </c>
      <c r="CS308" s="44">
        <v>11544.188910852368</v>
      </c>
      <c r="CU308" s="44">
        <v>242.69160684233876</v>
      </c>
      <c r="CV308" s="44">
        <v>417.46615019838413</v>
      </c>
      <c r="CW308" s="44">
        <v>50.515938391367541</v>
      </c>
      <c r="CX308" s="44">
        <v>232.78853124407127</v>
      </c>
      <c r="CY308" s="44">
        <v>43.321792773207321</v>
      </c>
      <c r="CZ308" s="44">
        <v>8.6624711958246206</v>
      </c>
      <c r="DA308" s="44">
        <v>25.332438292470997</v>
      </c>
      <c r="DB308" s="45">
        <v>11.426880721979119</v>
      </c>
      <c r="DC308" s="45">
        <v>1.6983144367250842</v>
      </c>
      <c r="DD308" s="45">
        <v>3.0319856147934692</v>
      </c>
      <c r="DE308" s="45"/>
      <c r="DF308" s="45">
        <v>1.9779815074647897</v>
      </c>
      <c r="DG308" s="45">
        <v>0.46338501241582036</v>
      </c>
      <c r="DH308" s="45">
        <v>3.6880222707312251</v>
      </c>
      <c r="DI308" s="45">
        <v>17.105443336481443</v>
      </c>
      <c r="DJ308" s="45"/>
      <c r="DK308" s="45">
        <v>96.665781195951567</v>
      </c>
      <c r="DL308" s="45">
        <v>12.081015857475599</v>
      </c>
      <c r="DM308" s="45">
        <v>3.3171728550840509</v>
      </c>
      <c r="DN308" s="45">
        <v>2.1396450942609557</v>
      </c>
      <c r="DO308" s="45"/>
      <c r="DQ308" s="4"/>
      <c r="DR308" s="4"/>
      <c r="DS308" s="4"/>
      <c r="DT308" s="4"/>
      <c r="DU308" s="4"/>
      <c r="DV308" s="4"/>
      <c r="DW308" s="4"/>
      <c r="DX308" s="4"/>
      <c r="DY308" s="4"/>
      <c r="DZ308" s="4"/>
      <c r="EA308" s="4"/>
      <c r="EB308" s="4"/>
      <c r="EC308" s="4"/>
      <c r="ED308" s="4"/>
      <c r="EE308" s="4"/>
      <c r="EF308" s="4"/>
      <c r="EG308" s="4"/>
      <c r="EH308" s="4"/>
      <c r="EI308" s="4"/>
      <c r="EJ308" s="4"/>
      <c r="EL308" s="18">
        <f>IFERROR(CR308/'McDonough &amp; Sun 1995 values'!C$2,)</f>
        <v>1677421.9040191721</v>
      </c>
      <c r="EM308" s="18">
        <f>IFERROR(CH308/'McDonough &amp; Sun 1995 values'!D$2,)</f>
        <v>179.5866940061276</v>
      </c>
      <c r="EN308" s="18">
        <f>IFERROR(CS308/'McDonough &amp; Sun 1995 values'!E$2,)</f>
        <v>1749.1195319473286</v>
      </c>
      <c r="EO308" s="18">
        <f>IFERROR(DL308/'McDonough &amp; Sun 1995 values'!F$2,)</f>
        <v>151.96246361604526</v>
      </c>
      <c r="EP308" s="18">
        <f>IFERROR(DM308/'McDonough &amp; Sun 1995 values'!G$2,)</f>
        <v>163.40752980709613</v>
      </c>
      <c r="EQ308" s="18">
        <f>IFERROR(BR308/'McDonough &amp; Sun 1995 values'!H$2,)</f>
        <v>0</v>
      </c>
      <c r="ER308" s="18">
        <f>IFERROR(DI308/'McDonough &amp; Sun 1995 values'!I$2,)</f>
        <v>462.30927936436336</v>
      </c>
      <c r="ES308" s="18">
        <f>IFERROR(CM308/'McDonough &amp; Sun 1995 values'!J$2,)</f>
        <v>583.16192392232165</v>
      </c>
      <c r="ET308" s="18">
        <f>IFERROR(CU308/'McDonough &amp; Sun 1995 values'!K$2,)</f>
        <v>374.52408463323883</v>
      </c>
      <c r="EU308" s="18">
        <f>IFERROR(CV308/'McDonough &amp; Sun 1995 values'!L$2,)</f>
        <v>249.23352250649799</v>
      </c>
      <c r="EV308" s="18">
        <f>IFERROR(CW308/'McDonough &amp; Sun 1995 values'!M$2,)</f>
        <v>198.88164721010844</v>
      </c>
      <c r="EW308" s="18">
        <f>IFERROR(CI308/'McDonough &amp; Sun 1995 values'!N$2,)</f>
        <v>178.77734958210743</v>
      </c>
      <c r="EX308" s="18">
        <f>IFERROR(CX308/'McDonough &amp; Sun 1995 values'!O$2,)</f>
        <v>186.23082499525702</v>
      </c>
      <c r="EY308" s="18">
        <f>IFERROR(CY308/'McDonough &amp; Sun 1995 values'!P$2,)</f>
        <v>106.70392308671754</v>
      </c>
      <c r="EZ308" s="18">
        <f>IFERROR(DH308/'McDonough &amp; Sun 1995 values'!Q$2,)</f>
        <v>13.031880815304683</v>
      </c>
      <c r="FA308" s="18">
        <f>IFERROR(CK308/'McDonough &amp; Sun 1995 values'!R$2,)</f>
        <v>21.746560941726699</v>
      </c>
      <c r="FB308" s="18">
        <f>IFERROR(CZ308/'McDonough &amp; Sun 1995 values'!S$2,)</f>
        <v>56.249812959900133</v>
      </c>
      <c r="FC308" s="18">
        <f>IFERROR(BT308/'McDonough &amp; Sun 1995 values'!T$2,)</f>
        <v>11.509768514267348</v>
      </c>
      <c r="FD308" s="18">
        <f>IFERROR(DA308/'McDonough &amp; Sun 1995 values'!U$2,)</f>
        <v>46.566982155277564</v>
      </c>
      <c r="FE308" s="18">
        <f>IFERROR(DN308/'McDonough &amp; Sun 1995 values'!V$2,)</f>
        <v>21.612576709706623</v>
      </c>
      <c r="FF308" s="18">
        <f>IFERROR(DB308/'McDonough &amp; Sun 1995 values'!W$2,)</f>
        <v>16.95382896436071</v>
      </c>
      <c r="FG308" s="18">
        <f>IFERROR(CJ308/'McDonough &amp; Sun 1995 values'!X$2,)</f>
        <v>8.6206174430853526</v>
      </c>
      <c r="FH308" s="18">
        <f>IFERROR(DC308/'McDonough &amp; Sun 1995 values'!Y$2,)</f>
        <v>11.398083467953585</v>
      </c>
      <c r="FI308" s="18">
        <f>IFERROR(DD308/'McDonough &amp; Sun 1995 values'!Z$2,)</f>
        <v>6.9223415862864597</v>
      </c>
      <c r="FJ308" s="18">
        <f>IFERROR(DE308/'McDonough &amp; Sun 1995 values'!AA$2,)</f>
        <v>0</v>
      </c>
      <c r="FK308" s="18">
        <f>IFERROR(DF308/'McDonough &amp; Sun 1995 values'!AB$2,)</f>
        <v>4.4852188377886391</v>
      </c>
      <c r="FL308" s="18">
        <f>IFERROR(DG308/'McDonough &amp; Sun 1995 values'!AC$2,)</f>
        <v>6.8649631469010419</v>
      </c>
      <c r="FN308" s="28">
        <f t="shared" ref="FN308:FN314" si="698">IFERROR(BR308/DM308,)</f>
        <v>0</v>
      </c>
      <c r="FO308" s="4">
        <f t="shared" ref="FO308:FO337" si="699">IFERROR(EN308/EP308,)</f>
        <v>10.704032635535082</v>
      </c>
      <c r="FP308" s="4">
        <f t="shared" ref="FP308:FP337" si="700">IFERROR(EO308/ES308,)</f>
        <v>0.26058365161077796</v>
      </c>
      <c r="FQ308" s="4">
        <f t="shared" ref="FQ308:FQ337" si="701">IFERROR(EO308/EP308,)</f>
        <v>0.92995998284435322</v>
      </c>
      <c r="FR308" s="4">
        <f t="shared" ref="FR308:FR337" si="702">IFERROR(ET308/ES308,)</f>
        <v>0.64223000382844986</v>
      </c>
      <c r="FS308" s="4">
        <f t="shared" ref="FS308:FS337" si="703">IFERROR(ET308/ER308,)</f>
        <v>0.81011587123706053</v>
      </c>
      <c r="FT308" s="4">
        <f t="shared" ref="FT308:FT337" si="704">IFERROR(EM308/EL308,)</f>
        <v>1.0706113564859889E-4</v>
      </c>
      <c r="FU308" s="4">
        <f t="shared" ref="FU308:FU337" si="705">IFERROR(ER308/ES308,)</f>
        <v>0.79276314244745494</v>
      </c>
      <c r="FV308" s="4">
        <f t="shared" ref="FV308:FV337" si="706">IFERROR(FA308/EY308,)</f>
        <v>0.20380282479448689</v>
      </c>
      <c r="FW308" s="4">
        <f t="shared" ref="FW308:FW337" si="707">IFERROR(FA308/EZ308,)</f>
        <v>1.6687200604372829</v>
      </c>
      <c r="FX308" s="4">
        <f t="shared" ref="FX308:FX337" si="708">IFERROR(FB308/(0.5*FD308+0.5*EY308),)</f>
        <v>0.73399204984258282</v>
      </c>
      <c r="FY308" s="4">
        <f t="shared" ref="FY308:FY337" si="709">IFERROR(EW308/SQRT(EV308*EX308),)</f>
        <v>0.92894362084612581</v>
      </c>
      <c r="FZ308" s="4">
        <f t="shared" ref="FZ308:FZ337" si="710">IFERROR(FB308/SQRT(EY308*FD308),)</f>
        <v>0.79797969804823743</v>
      </c>
      <c r="GA308" s="4">
        <f t="shared" ref="GA308:GA337" si="711">IFERROR(EW308/EV308,)</f>
        <v>0.89891325866402427</v>
      </c>
      <c r="GB308" s="4">
        <f t="shared" ref="GB308:GB337" si="712">IFERROR(FB308/EY308,)</f>
        <v>0.52715787135760983</v>
      </c>
      <c r="GC308" s="4">
        <f t="shared" ref="GC308:GC337" si="713">IFERROR(EL308/EM308,)</f>
        <v>9340.4576174331578</v>
      </c>
      <c r="GD308" s="4">
        <f t="shared" ref="GD308:GD337" si="714">IFERROR(EN308/EO308,)</f>
        <v>11.510207786356554</v>
      </c>
      <c r="GE308" s="4">
        <f t="shared" ref="GE308:GE337" si="715">IFERROR(EN308/EM308,)</f>
        <v>9.7396944780755721</v>
      </c>
      <c r="GF308" s="4">
        <f t="shared" ref="GF308:GF337" si="716">IFERROR(EN308/EQ308,)</f>
        <v>0</v>
      </c>
      <c r="GG308" s="4">
        <f t="shared" ref="GG308:GG337" si="717">IFERROR(EN308/ES308,)</f>
        <v>2.9993719757675996</v>
      </c>
      <c r="GH308" s="4">
        <f t="shared" ref="GH308:GH337" si="718">IFERROR(ET308/EV308,)</f>
        <v>1.8831505565597664</v>
      </c>
      <c r="GI308" s="4">
        <f t="shared" ref="GI308:GI337" si="719">IFERROR(ET308/EY308,)</f>
        <v>3.5099373462479511</v>
      </c>
      <c r="GJ308" s="4">
        <f t="shared" ref="GJ308:GJ337" si="720">IFERROR(ET308/FF308,)</f>
        <v>22.090825937936508</v>
      </c>
      <c r="GK308" s="4">
        <f t="shared" ref="GK308:GK337" si="721">IFERROR(ET308/FK308,)</f>
        <v>83.501853126500194</v>
      </c>
      <c r="GL308" s="4">
        <f t="shared" ref="GL308:GL337" si="722">IFERROR(FA308/FC308,)</f>
        <v>1.8894003745401104</v>
      </c>
      <c r="GM308" s="4">
        <f t="shared" ref="GM308:GM337" si="723">IFERROR(EO308/EM308,)</f>
        <v>0.84617885783264213</v>
      </c>
      <c r="GN308" s="4">
        <f t="shared" ref="GN308:GN337" si="724">IFERROR(ES308/ET308,)</f>
        <v>1.5570745590190711</v>
      </c>
      <c r="GO308" s="4">
        <f t="shared" ref="GO308:GO337" si="725">IFERROR(ES308/EP308,)</f>
        <v>3.5687579673393808</v>
      </c>
      <c r="GP308" s="4">
        <f t="shared" ref="GP308:GP337" si="726">IFERROR(EQ308/EP308,)</f>
        <v>0</v>
      </c>
      <c r="GQ308" s="27">
        <f t="shared" ref="GQ308:GQ337" si="727">AS308*10000/1.20462</f>
        <v>270584.90483923862</v>
      </c>
      <c r="GR308" s="28" t="str">
        <f t="shared" ref="GR308:GR337" si="728">IFERROR(CR308/$BR308*$GQ308,"")</f>
        <v/>
      </c>
      <c r="GS308" s="28" t="str">
        <f t="shared" ref="GS308:GS337" si="729">IFERROR(CH308/$BR308*$GQ308,"")</f>
        <v/>
      </c>
      <c r="GT308" s="28" t="str">
        <f t="shared" ref="GT308:GT337" si="730">IFERROR(CS308/$BR308*$GQ308,"")</f>
        <v/>
      </c>
      <c r="GU308" s="28" t="str">
        <f t="shared" ref="GU308:GU337" si="731">IFERROR(DL308/$BR308*$GQ308,"")</f>
        <v/>
      </c>
      <c r="GV308" s="28" t="str">
        <f t="shared" ref="GV308:GV337" si="732">IFERROR(DM308/$BR308*$GQ308,"")</f>
        <v/>
      </c>
      <c r="GW308" s="28" t="str">
        <f t="shared" ref="GW308:GW337" si="733">IFERROR(BR308/$BR308*$GQ308,"")</f>
        <v/>
      </c>
      <c r="GX308" s="28" t="str">
        <f t="shared" ref="GX308:GX337" si="734">IFERROR(DI308/$BR308*$GQ308,"")</f>
        <v/>
      </c>
      <c r="GY308" s="28" t="str">
        <f t="shared" ref="GY308:GY337" si="735">IFERROR(CM308/$BR308*$GQ308,"")</f>
        <v/>
      </c>
      <c r="GZ308" s="28" t="str">
        <f t="shared" ref="GZ308:GZ337" si="736">IFERROR(CU308/$BR308*$GQ308,"")</f>
        <v/>
      </c>
      <c r="HA308" s="28" t="str">
        <f t="shared" ref="HA308:HA337" si="737">IFERROR(CV308/$BR308*$GQ308,"")</f>
        <v/>
      </c>
      <c r="HB308" s="28" t="str">
        <f t="shared" ref="HB308:HB337" si="738">IFERROR(CW308/$BR308*$GQ308,"")</f>
        <v/>
      </c>
      <c r="HC308" s="28" t="str">
        <f t="shared" ref="HC308:HC337" si="739">IFERROR(CI308/$BR308*$GQ308,"")</f>
        <v/>
      </c>
      <c r="HD308" s="28" t="str">
        <f t="shared" ref="HD308:HD337" si="740">IFERROR(CX308/$BR308*$GQ308,"")</f>
        <v/>
      </c>
      <c r="HE308" s="28" t="str">
        <f t="shared" ref="HE308:HE337" si="741">IFERROR(CY308/$BR308*$GQ308,"")</f>
        <v/>
      </c>
      <c r="HF308" s="28" t="str">
        <f t="shared" ref="HF308:HF337" si="742">IFERROR(DH308/$BR308*$GQ308,"")</f>
        <v/>
      </c>
      <c r="HG308" s="28" t="str">
        <f t="shared" ref="HG308:HG337" si="743">IFERROR(CK308/$BR308*$GQ308,"")</f>
        <v/>
      </c>
      <c r="HH308" s="28" t="str">
        <f t="shared" ref="HH308:HH337" si="744">IFERROR(CZ308/$BR308*$GQ308,"")</f>
        <v/>
      </c>
      <c r="HI308" s="28" t="str">
        <f t="shared" ref="HI308:HI337" si="745">IFERROR(BT308/$BR308*$GQ308,"")</f>
        <v/>
      </c>
      <c r="HJ308" s="28" t="str">
        <f t="shared" ref="HJ308:HJ337" si="746">IFERROR(DA308/$BR308*$GQ308,"")</f>
        <v/>
      </c>
      <c r="HK308" s="28" t="str">
        <f t="shared" ref="HK308:HK337" si="747">IFERROR(DN308/$BR308*$GQ308,"")</f>
        <v/>
      </c>
      <c r="HL308" s="28" t="str">
        <f t="shared" ref="HL308:HL337" si="748">IFERROR(DB308/$BR308*$GQ308,"")</f>
        <v/>
      </c>
      <c r="HM308" s="28" t="str">
        <f t="shared" ref="HM308:HM337" si="749">IFERROR(CJ308/$BR308*$GQ308,"")</f>
        <v/>
      </c>
      <c r="HN308" s="28" t="str">
        <f t="shared" ref="HN308:HN337" si="750">IFERROR(DC308/$BR308*$GQ308,"")</f>
        <v/>
      </c>
      <c r="HO308" s="28" t="str">
        <f t="shared" ref="HO308:HO337" si="751">IFERROR(DD308/$BR308*$GQ308,"")</f>
        <v/>
      </c>
      <c r="HP308" s="28" t="str">
        <f t="shared" ref="HP308:HP337" si="752">IFERROR(DE308/$BR308*$GQ308,"")</f>
        <v/>
      </c>
      <c r="HQ308" s="28" t="str">
        <f t="shared" ref="HQ308:HQ337" si="753">IFERROR(DF308/$BR308*$GQ308,"")</f>
        <v/>
      </c>
      <c r="HR308" s="28" t="str">
        <f t="shared" ref="HR308:HR337" si="754">IFERROR(DG308/$BR308*$GQ308,"")</f>
        <v/>
      </c>
      <c r="HT308" s="4">
        <f>IFERROR(GR308/'McDonough &amp; Sun 1995 values'!C$2,)</f>
        <v>0</v>
      </c>
      <c r="HU308" s="4">
        <f>IFERROR(GS308/'McDonough &amp; Sun 1995 values'!D$2,)</f>
        <v>0</v>
      </c>
      <c r="HV308" s="4">
        <f>IFERROR(GT308/'McDonough &amp; Sun 1995 values'!E$2,)</f>
        <v>0</v>
      </c>
      <c r="HW308" s="4">
        <f>IFERROR(GU308/'McDonough &amp; Sun 1995 values'!F$2,)</f>
        <v>0</v>
      </c>
      <c r="HX308" s="4">
        <f>IFERROR(GV308/'McDonough &amp; Sun 1995 values'!G$2,)</f>
        <v>0</v>
      </c>
      <c r="HY308" s="4">
        <f>IFERROR(GW308/'McDonough &amp; Sun 1995 values'!H$2,)</f>
        <v>0</v>
      </c>
      <c r="HZ308" s="4">
        <f>IFERROR(GX308/'McDonough &amp; Sun 1995 values'!I$2,)</f>
        <v>0</v>
      </c>
      <c r="IA308" s="4">
        <f>IFERROR(GY308/'McDonough &amp; Sun 1995 values'!J$2,)</f>
        <v>0</v>
      </c>
      <c r="IB308" s="4">
        <f>IFERROR(GZ308/'McDonough &amp; Sun 1995 values'!K$2,)</f>
        <v>0</v>
      </c>
      <c r="IC308" s="4">
        <f>IFERROR(HA308/'McDonough &amp; Sun 1995 values'!L$2,)</f>
        <v>0</v>
      </c>
      <c r="ID308" s="4">
        <f>IFERROR(HB308/'McDonough &amp; Sun 1995 values'!M$2,)</f>
        <v>0</v>
      </c>
      <c r="IE308" s="4">
        <f>IFERROR(HC308/'McDonough &amp; Sun 1995 values'!N$2,)</f>
        <v>0</v>
      </c>
      <c r="IF308" s="4">
        <f>IFERROR(HD308/'McDonough &amp; Sun 1995 values'!O$2,)</f>
        <v>0</v>
      </c>
      <c r="IG308" s="4">
        <f>IFERROR(HE308/'McDonough &amp; Sun 1995 values'!P$2,)</f>
        <v>0</v>
      </c>
      <c r="IH308" s="4">
        <f>IFERROR(HF308/'McDonough &amp; Sun 1995 values'!Q$2,)</f>
        <v>0</v>
      </c>
      <c r="II308" s="4">
        <f>IFERROR(HG308/'McDonough &amp; Sun 1995 values'!R$2,)</f>
        <v>0</v>
      </c>
      <c r="IJ308" s="4">
        <f>IFERROR(HH308/'McDonough &amp; Sun 1995 values'!S$2,)</f>
        <v>0</v>
      </c>
      <c r="IK308" s="4">
        <f>IFERROR(HI308/'McDonough &amp; Sun 1995 values'!T$2,)</f>
        <v>0</v>
      </c>
      <c r="IL308" s="4">
        <f>IFERROR(HJ308/'McDonough &amp; Sun 1995 values'!U$2,)</f>
        <v>0</v>
      </c>
      <c r="IM308" s="4">
        <f>IFERROR(HK308/'McDonough &amp; Sun 1995 values'!V$2,)</f>
        <v>0</v>
      </c>
      <c r="IN308" s="4">
        <f>IFERROR(HL308/'McDonough &amp; Sun 1995 values'!W$2,)</f>
        <v>0</v>
      </c>
      <c r="IO308" s="4">
        <f>IFERROR(HM308/'McDonough &amp; Sun 1995 values'!X$2,)</f>
        <v>0</v>
      </c>
      <c r="IP308" s="4">
        <f>IFERROR(HN308/'McDonough &amp; Sun 1995 values'!Y$2,)</f>
        <v>0</v>
      </c>
      <c r="IQ308" s="4">
        <f>IFERROR(HO308/'McDonough &amp; Sun 1995 values'!Z$2,)</f>
        <v>0</v>
      </c>
      <c r="IR308" s="4">
        <f>IFERROR(HP308/'McDonough &amp; Sun 1995 values'!AA$2,)</f>
        <v>0</v>
      </c>
      <c r="IS308" s="4">
        <f>IFERROR(HQ308/'McDonough &amp; Sun 1995 values'!AB$2,)</f>
        <v>0</v>
      </c>
      <c r="IT308" s="4">
        <f>IFERROR(HR308/'McDonough &amp; Sun 1995 values'!AC$2,)</f>
        <v>0</v>
      </c>
    </row>
    <row r="309" spans="1:254">
      <c r="A309" s="16" t="s">
        <v>1656</v>
      </c>
      <c r="B309" s="4" t="s">
        <v>24</v>
      </c>
      <c r="C309" s="16" t="str">
        <f t="shared" si="617"/>
        <v>silicic - low-Mg carbonatitic</v>
      </c>
      <c r="D309" s="4" t="s">
        <v>1724</v>
      </c>
      <c r="E309" s="4" t="s">
        <v>237</v>
      </c>
      <c r="F309" s="4" t="s">
        <v>849</v>
      </c>
      <c r="G309" s="4" t="s">
        <v>595</v>
      </c>
      <c r="H309" s="49">
        <v>364</v>
      </c>
      <c r="I309" s="4" t="s">
        <v>1148</v>
      </c>
      <c r="J309" s="4" t="s">
        <v>635</v>
      </c>
      <c r="K309" s="4" t="s">
        <v>128</v>
      </c>
      <c r="M309" s="4" t="s">
        <v>1658</v>
      </c>
      <c r="N309" s="4">
        <v>31</v>
      </c>
      <c r="O309" s="4">
        <v>23.8</v>
      </c>
      <c r="P309" s="4">
        <v>2.27</v>
      </c>
      <c r="R309" s="4">
        <v>14.3</v>
      </c>
      <c r="S309" s="4">
        <v>11.6</v>
      </c>
      <c r="T309" s="4">
        <v>7.02</v>
      </c>
      <c r="V309" s="4">
        <v>15.9</v>
      </c>
      <c r="W309" s="4">
        <v>3.97</v>
      </c>
      <c r="X309" s="4">
        <v>16.600000000000001</v>
      </c>
      <c r="Z309" s="4">
        <v>3.77</v>
      </c>
      <c r="AD309" s="4">
        <v>0.86</v>
      </c>
      <c r="AJ309" s="26">
        <f t="shared" si="618"/>
        <v>100.09</v>
      </c>
      <c r="AK309" s="26">
        <f t="shared" si="689"/>
        <v>23.824706357483731</v>
      </c>
      <c r="AL309" s="26">
        <f t="shared" si="689"/>
        <v>2.2723564467011794</v>
      </c>
      <c r="AM309" s="26">
        <f t="shared" si="690"/>
        <v>14.314844576135183</v>
      </c>
      <c r="AN309" s="26">
        <f t="shared" si="690"/>
        <v>11.612041754067699</v>
      </c>
      <c r="AO309" s="26">
        <f t="shared" si="690"/>
        <v>7.0272873373754523</v>
      </c>
      <c r="AP309" s="26">
        <f t="shared" si="691"/>
        <v>15.916505507730726</v>
      </c>
      <c r="AQ309" s="26">
        <f t="shared" si="692"/>
        <v>0</v>
      </c>
      <c r="AR309" s="26">
        <f t="shared" si="693"/>
        <v>3.9741211865214456</v>
      </c>
      <c r="AS309" s="26">
        <f t="shared" si="693"/>
        <v>16.617232165303779</v>
      </c>
      <c r="AT309" s="26">
        <f t="shared" si="694"/>
        <v>3.7739135700720023</v>
      </c>
      <c r="AU309" s="26">
        <f t="shared" si="695"/>
        <v>0.86089275073260529</v>
      </c>
      <c r="AV309" s="26">
        <f t="shared" si="619"/>
        <v>100.19390165212378</v>
      </c>
      <c r="BB309" s="26">
        <v>0.14000000000000001</v>
      </c>
      <c r="BC309" s="26">
        <f t="shared" si="696"/>
        <v>0.14000000000000001</v>
      </c>
      <c r="BD309" s="26">
        <f t="shared" si="697"/>
        <v>0.86</v>
      </c>
      <c r="BE309" s="4">
        <v>-5.2858981034579759</v>
      </c>
      <c r="BG309" s="4">
        <v>1227.48525</v>
      </c>
      <c r="BH309" s="4">
        <v>6.7016066534659684</v>
      </c>
      <c r="BL309" s="26"/>
      <c r="BT309" s="44">
        <v>20020.051606298959</v>
      </c>
      <c r="CI309" s="44">
        <v>1660.5561409487298</v>
      </c>
      <c r="CJ309" s="44">
        <v>92.484677246752611</v>
      </c>
      <c r="CK309" s="44">
        <v>514.83091498623185</v>
      </c>
      <c r="CM309" s="44">
        <v>75.591211597111467</v>
      </c>
      <c r="CR309" s="44">
        <v>164889.37223696348</v>
      </c>
      <c r="CS309" s="44">
        <v>6570.9339697773694</v>
      </c>
      <c r="CU309" s="44">
        <v>75.657142852153754</v>
      </c>
      <c r="CV309" s="44">
        <v>150.89581380600893</v>
      </c>
      <c r="CW309" s="44">
        <v>22.363068530832763</v>
      </c>
      <c r="CX309" s="44">
        <v>202.09723687286856</v>
      </c>
      <c r="CY309" s="44">
        <v>83.218072163874538</v>
      </c>
      <c r="CZ309" s="44">
        <v>8.5313337658512598</v>
      </c>
      <c r="DA309" s="44">
        <v>31.0695171657865</v>
      </c>
      <c r="DB309" s="45">
        <v>29.479491729314635</v>
      </c>
      <c r="DC309" s="45">
        <v>4.492647531463132</v>
      </c>
      <c r="DD309" s="45">
        <v>8.0332061036416356</v>
      </c>
      <c r="DE309" s="45"/>
      <c r="DF309" s="45">
        <v>4.3127339959399311</v>
      </c>
      <c r="DG309" s="45">
        <v>1.6390666920570303</v>
      </c>
      <c r="DH309" s="45">
        <v>8.9996289617744925</v>
      </c>
      <c r="DI309" s="45">
        <v>2.6379061905752255</v>
      </c>
      <c r="DJ309" s="45"/>
      <c r="DK309" s="45">
        <v>118.38498955208574</v>
      </c>
      <c r="DL309" s="45">
        <v>8.1544708123517839</v>
      </c>
      <c r="DM309" s="45">
        <v>0.95083238005398019</v>
      </c>
      <c r="DN309" s="45">
        <v>4.6262891747493695</v>
      </c>
      <c r="DO309" s="45"/>
      <c r="DQ309" s="4"/>
      <c r="DR309" s="4"/>
      <c r="DS309" s="4"/>
      <c r="DT309" s="4"/>
      <c r="DU309" s="4"/>
      <c r="DV309" s="4"/>
      <c r="DW309" s="4"/>
      <c r="DX309" s="4"/>
      <c r="DY309" s="4"/>
      <c r="DZ309" s="4"/>
      <c r="EA309" s="4"/>
      <c r="EB309" s="4"/>
      <c r="EC309" s="4"/>
      <c r="ED309" s="4"/>
      <c r="EE309" s="4"/>
      <c r="EF309" s="4"/>
      <c r="EG309" s="4"/>
      <c r="EH309" s="4"/>
      <c r="EI309" s="4"/>
      <c r="EJ309" s="4"/>
      <c r="EL309" s="18">
        <f>IFERROR(CR309/'McDonough &amp; Sun 1995 values'!C$2,)</f>
        <v>7851874.8684268314</v>
      </c>
      <c r="EM309" s="18">
        <f>IFERROR(CH309/'McDonough &amp; Sun 1995 values'!D$2,)</f>
        <v>0</v>
      </c>
      <c r="EN309" s="18">
        <f>IFERROR(CS309/'McDonough &amp; Sun 1995 values'!E$2,)</f>
        <v>995.59605602687418</v>
      </c>
      <c r="EO309" s="18">
        <f>IFERROR(DL309/'McDonough &amp; Sun 1995 values'!F$2,)</f>
        <v>102.57195990379603</v>
      </c>
      <c r="EP309" s="18">
        <f>IFERROR(DM309/'McDonough &amp; Sun 1995 values'!G$2,)</f>
        <v>46.839033500196074</v>
      </c>
      <c r="EQ309" s="18">
        <f>IFERROR(BR309/'McDonough &amp; Sun 1995 values'!H$2,)</f>
        <v>0</v>
      </c>
      <c r="ER309" s="18">
        <f>IFERROR(DI309/'McDonough &amp; Sun 1995 values'!I$2,)</f>
        <v>71.294761907438527</v>
      </c>
      <c r="ES309" s="18">
        <f>IFERROR(CM309/'McDonough &amp; Sun 1995 values'!J$2,)</f>
        <v>114.88026078588368</v>
      </c>
      <c r="ET309" s="18">
        <f>IFERROR(CU309/'McDonough &amp; Sun 1995 values'!K$2,)</f>
        <v>116.75485008048419</v>
      </c>
      <c r="EU309" s="18">
        <f>IFERROR(CV309/'McDonough &amp; Sun 1995 values'!L$2,)</f>
        <v>90.08705301851279</v>
      </c>
      <c r="EV309" s="18">
        <f>IFERROR(CW309/'McDonough &amp; Sun 1995 values'!M$2,)</f>
        <v>88.043576893042371</v>
      </c>
      <c r="EW309" s="18">
        <f>IFERROR(CI309/'McDonough &amp; Sun 1995 values'!N$2,)</f>
        <v>83.445032208478892</v>
      </c>
      <c r="EX309" s="18">
        <f>IFERROR(CX309/'McDonough &amp; Sun 1995 values'!O$2,)</f>
        <v>161.67778949829486</v>
      </c>
      <c r="EY309" s="18">
        <f>IFERROR(CY309/'McDonough &amp; Sun 1995 values'!P$2,)</f>
        <v>204.97062109328704</v>
      </c>
      <c r="EZ309" s="18">
        <f>IFERROR(DH309/'McDonough &amp; Sun 1995 values'!Q$2,)</f>
        <v>31.800809052206692</v>
      </c>
      <c r="FA309" s="18">
        <f>IFERROR(CK309/'McDonough &amp; Sun 1995 values'!R$2,)</f>
        <v>49.031515712974461</v>
      </c>
      <c r="FB309" s="18">
        <f>IFERROR(CZ309/'McDonough &amp; Sun 1995 values'!S$2,)</f>
        <v>55.398271206826365</v>
      </c>
      <c r="FC309" s="18">
        <f>IFERROR(BT309/'McDonough &amp; Sun 1995 values'!T$2,)</f>
        <v>16.614150710621544</v>
      </c>
      <c r="FD309" s="18">
        <f>IFERROR(DA309/'McDonough &amp; Sun 1995 values'!U$2,)</f>
        <v>57.113083025342824</v>
      </c>
      <c r="FE309" s="18">
        <f>IFERROR(DN309/'McDonough &amp; Sun 1995 values'!V$2,)</f>
        <v>46.730193684337067</v>
      </c>
      <c r="FF309" s="18">
        <f>IFERROR(DB309/'McDonough &amp; Sun 1995 values'!W$2,)</f>
        <v>43.738118292751679</v>
      </c>
      <c r="FG309" s="18">
        <f>IFERROR(CJ309/'McDonough &amp; Sun 1995 values'!X$2,)</f>
        <v>21.508064475988981</v>
      </c>
      <c r="FH309" s="18">
        <f>IFERROR(DC309/'McDonough &amp; Sun 1995 values'!Y$2,)</f>
        <v>30.151996855457263</v>
      </c>
      <c r="FI309" s="18">
        <f>IFERROR(DD309/'McDonough &amp; Sun 1995 values'!Z$2,)</f>
        <v>18.340653204661269</v>
      </c>
      <c r="FJ309" s="18">
        <f>IFERROR(DE309/'McDonough &amp; Sun 1995 values'!AA$2,)</f>
        <v>0</v>
      </c>
      <c r="FK309" s="18">
        <f>IFERROR(DF309/'McDonough &amp; Sun 1995 values'!AB$2,)</f>
        <v>9.7794421676642429</v>
      </c>
      <c r="FL309" s="18">
        <f>IFERROR(DG309/'McDonough &amp; Sun 1995 values'!AC$2,)</f>
        <v>24.282469511956002</v>
      </c>
      <c r="FN309" s="28">
        <f t="shared" si="698"/>
        <v>0</v>
      </c>
      <c r="FO309" s="4">
        <f t="shared" si="699"/>
        <v>21.255691708982564</v>
      </c>
      <c r="FP309" s="4">
        <f t="shared" si="700"/>
        <v>0.89285974110880428</v>
      </c>
      <c r="FQ309" s="4">
        <f t="shared" si="701"/>
        <v>2.1898820756702131</v>
      </c>
      <c r="FR309" s="4">
        <f t="shared" si="702"/>
        <v>1.0163177667057564</v>
      </c>
      <c r="FS309" s="4">
        <f t="shared" si="703"/>
        <v>1.637635738682544</v>
      </c>
      <c r="FT309" s="4">
        <f t="shared" si="704"/>
        <v>0</v>
      </c>
      <c r="FU309" s="4">
        <f t="shared" si="705"/>
        <v>0.62060062729418108</v>
      </c>
      <c r="FV309" s="4">
        <f t="shared" si="706"/>
        <v>0.23921240737548941</v>
      </c>
      <c r="FW309" s="4">
        <f t="shared" si="707"/>
        <v>1.5418323361673125</v>
      </c>
      <c r="FX309" s="4">
        <f t="shared" si="708"/>
        <v>0.42275250491538258</v>
      </c>
      <c r="FY309" s="4">
        <f t="shared" si="709"/>
        <v>0.69940134993589376</v>
      </c>
      <c r="FZ309" s="4">
        <f t="shared" si="710"/>
        <v>0.51201490217649437</v>
      </c>
      <c r="GA309" s="4">
        <f t="shared" si="711"/>
        <v>0.94776967444030691</v>
      </c>
      <c r="GB309" s="4">
        <f t="shared" si="712"/>
        <v>0.27027420276788489</v>
      </c>
      <c r="GC309" s="4">
        <f t="shared" si="713"/>
        <v>0</v>
      </c>
      <c r="GD309" s="4">
        <f t="shared" si="714"/>
        <v>9.7063179543479574</v>
      </c>
      <c r="GE309" s="4">
        <f t="shared" si="715"/>
        <v>0</v>
      </c>
      <c r="GF309" s="4">
        <f t="shared" si="716"/>
        <v>0</v>
      </c>
      <c r="GG309" s="4">
        <f t="shared" si="717"/>
        <v>8.6663805358388561</v>
      </c>
      <c r="GH309" s="4">
        <f t="shared" si="718"/>
        <v>1.3261029844609904</v>
      </c>
      <c r="GI309" s="4">
        <f t="shared" si="719"/>
        <v>0.56961748692436398</v>
      </c>
      <c r="GJ309" s="4">
        <f t="shared" si="720"/>
        <v>2.669407250193315</v>
      </c>
      <c r="GK309" s="4">
        <f t="shared" si="721"/>
        <v>11.938804696502473</v>
      </c>
      <c r="GL309" s="4">
        <f t="shared" si="722"/>
        <v>2.9511900166903065</v>
      </c>
      <c r="GM309" s="4">
        <f t="shared" si="723"/>
        <v>0</v>
      </c>
      <c r="GN309" s="4">
        <f t="shared" si="724"/>
        <v>0.98394422764186429</v>
      </c>
      <c r="GO309" s="4">
        <f t="shared" si="725"/>
        <v>2.452660787405077</v>
      </c>
      <c r="GP309" s="4">
        <f t="shared" si="726"/>
        <v>0</v>
      </c>
      <c r="GQ309" s="27">
        <f t="shared" si="727"/>
        <v>137945.84321448905</v>
      </c>
      <c r="GR309" s="28" t="str">
        <f t="shared" si="728"/>
        <v/>
      </c>
      <c r="GS309" s="28" t="str">
        <f t="shared" si="729"/>
        <v/>
      </c>
      <c r="GT309" s="28" t="str">
        <f t="shared" si="730"/>
        <v/>
      </c>
      <c r="GU309" s="28" t="str">
        <f t="shared" si="731"/>
        <v/>
      </c>
      <c r="GV309" s="28" t="str">
        <f t="shared" si="732"/>
        <v/>
      </c>
      <c r="GW309" s="28" t="str">
        <f t="shared" si="733"/>
        <v/>
      </c>
      <c r="GX309" s="28" t="str">
        <f t="shared" si="734"/>
        <v/>
      </c>
      <c r="GY309" s="28" t="str">
        <f t="shared" si="735"/>
        <v/>
      </c>
      <c r="GZ309" s="28" t="str">
        <f t="shared" si="736"/>
        <v/>
      </c>
      <c r="HA309" s="28" t="str">
        <f t="shared" si="737"/>
        <v/>
      </c>
      <c r="HB309" s="28" t="str">
        <f t="shared" si="738"/>
        <v/>
      </c>
      <c r="HC309" s="28" t="str">
        <f t="shared" si="739"/>
        <v/>
      </c>
      <c r="HD309" s="28" t="str">
        <f t="shared" si="740"/>
        <v/>
      </c>
      <c r="HE309" s="28" t="str">
        <f t="shared" si="741"/>
        <v/>
      </c>
      <c r="HF309" s="28" t="str">
        <f t="shared" si="742"/>
        <v/>
      </c>
      <c r="HG309" s="28" t="str">
        <f t="shared" si="743"/>
        <v/>
      </c>
      <c r="HH309" s="28" t="str">
        <f t="shared" si="744"/>
        <v/>
      </c>
      <c r="HI309" s="28" t="str">
        <f t="shared" si="745"/>
        <v/>
      </c>
      <c r="HJ309" s="28" t="str">
        <f t="shared" si="746"/>
        <v/>
      </c>
      <c r="HK309" s="28" t="str">
        <f t="shared" si="747"/>
        <v/>
      </c>
      <c r="HL309" s="28" t="str">
        <f t="shared" si="748"/>
        <v/>
      </c>
      <c r="HM309" s="28" t="str">
        <f t="shared" si="749"/>
        <v/>
      </c>
      <c r="HN309" s="28" t="str">
        <f t="shared" si="750"/>
        <v/>
      </c>
      <c r="HO309" s="28" t="str">
        <f t="shared" si="751"/>
        <v/>
      </c>
      <c r="HP309" s="28" t="str">
        <f t="shared" si="752"/>
        <v/>
      </c>
      <c r="HQ309" s="28" t="str">
        <f t="shared" si="753"/>
        <v/>
      </c>
      <c r="HR309" s="28" t="str">
        <f t="shared" si="754"/>
        <v/>
      </c>
      <c r="HT309" s="4">
        <f>IFERROR(GR309/'McDonough &amp; Sun 1995 values'!C$2,)</f>
        <v>0</v>
      </c>
      <c r="HU309" s="4">
        <f>IFERROR(GS309/'McDonough &amp; Sun 1995 values'!D$2,)</f>
        <v>0</v>
      </c>
      <c r="HV309" s="4">
        <f>IFERROR(GT309/'McDonough &amp; Sun 1995 values'!E$2,)</f>
        <v>0</v>
      </c>
      <c r="HW309" s="4">
        <f>IFERROR(GU309/'McDonough &amp; Sun 1995 values'!F$2,)</f>
        <v>0</v>
      </c>
      <c r="HX309" s="4">
        <f>IFERROR(GV309/'McDonough &amp; Sun 1995 values'!G$2,)</f>
        <v>0</v>
      </c>
      <c r="HY309" s="4">
        <f>IFERROR(GW309/'McDonough &amp; Sun 1995 values'!H$2,)</f>
        <v>0</v>
      </c>
      <c r="HZ309" s="4">
        <f>IFERROR(GX309/'McDonough &amp; Sun 1995 values'!I$2,)</f>
        <v>0</v>
      </c>
      <c r="IA309" s="4">
        <f>IFERROR(GY309/'McDonough &amp; Sun 1995 values'!J$2,)</f>
        <v>0</v>
      </c>
      <c r="IB309" s="4">
        <f>IFERROR(GZ309/'McDonough &amp; Sun 1995 values'!K$2,)</f>
        <v>0</v>
      </c>
      <c r="IC309" s="4">
        <f>IFERROR(HA309/'McDonough &amp; Sun 1995 values'!L$2,)</f>
        <v>0</v>
      </c>
      <c r="ID309" s="4">
        <f>IFERROR(HB309/'McDonough &amp; Sun 1995 values'!M$2,)</f>
        <v>0</v>
      </c>
      <c r="IE309" s="4">
        <f>IFERROR(HC309/'McDonough &amp; Sun 1995 values'!N$2,)</f>
        <v>0</v>
      </c>
      <c r="IF309" s="4">
        <f>IFERROR(HD309/'McDonough &amp; Sun 1995 values'!O$2,)</f>
        <v>0</v>
      </c>
      <c r="IG309" s="4">
        <f>IFERROR(HE309/'McDonough &amp; Sun 1995 values'!P$2,)</f>
        <v>0</v>
      </c>
      <c r="IH309" s="4">
        <f>IFERROR(HF309/'McDonough &amp; Sun 1995 values'!Q$2,)</f>
        <v>0</v>
      </c>
      <c r="II309" s="4">
        <f>IFERROR(HG309/'McDonough &amp; Sun 1995 values'!R$2,)</f>
        <v>0</v>
      </c>
      <c r="IJ309" s="4">
        <f>IFERROR(HH309/'McDonough &amp; Sun 1995 values'!S$2,)</f>
        <v>0</v>
      </c>
      <c r="IK309" s="4">
        <f>IFERROR(HI309/'McDonough &amp; Sun 1995 values'!T$2,)</f>
        <v>0</v>
      </c>
      <c r="IL309" s="4">
        <f>IFERROR(HJ309/'McDonough &amp; Sun 1995 values'!U$2,)</f>
        <v>0</v>
      </c>
      <c r="IM309" s="4">
        <f>IFERROR(HK309/'McDonough &amp; Sun 1995 values'!V$2,)</f>
        <v>0</v>
      </c>
      <c r="IN309" s="4">
        <f>IFERROR(HL309/'McDonough &amp; Sun 1995 values'!W$2,)</f>
        <v>0</v>
      </c>
      <c r="IO309" s="4">
        <f>IFERROR(HM309/'McDonough &amp; Sun 1995 values'!X$2,)</f>
        <v>0</v>
      </c>
      <c r="IP309" s="4">
        <f>IFERROR(HN309/'McDonough &amp; Sun 1995 values'!Y$2,)</f>
        <v>0</v>
      </c>
      <c r="IQ309" s="4">
        <f>IFERROR(HO309/'McDonough &amp; Sun 1995 values'!Z$2,)</f>
        <v>0</v>
      </c>
      <c r="IR309" s="4">
        <f>IFERROR(HP309/'McDonough &amp; Sun 1995 values'!AA$2,)</f>
        <v>0</v>
      </c>
      <c r="IS309" s="4">
        <f>IFERROR(HQ309/'McDonough &amp; Sun 1995 values'!AB$2,)</f>
        <v>0</v>
      </c>
      <c r="IT309" s="4">
        <f>IFERROR(HR309/'McDonough &amp; Sun 1995 values'!AC$2,)</f>
        <v>0</v>
      </c>
    </row>
    <row r="310" spans="1:254">
      <c r="A310" s="16" t="s">
        <v>1656</v>
      </c>
      <c r="B310" s="4" t="s">
        <v>24</v>
      </c>
      <c r="C310" s="16" t="str">
        <f t="shared" si="617"/>
        <v>silicic - low-Mg carbonatitic</v>
      </c>
      <c r="D310" s="4" t="s">
        <v>1724</v>
      </c>
      <c r="E310" s="4" t="s">
        <v>237</v>
      </c>
      <c r="F310" s="4" t="s">
        <v>849</v>
      </c>
      <c r="G310" s="4" t="s">
        <v>595</v>
      </c>
      <c r="H310" s="49">
        <v>364</v>
      </c>
      <c r="I310" s="4" t="s">
        <v>1148</v>
      </c>
      <c r="J310" s="4" t="s">
        <v>635</v>
      </c>
      <c r="K310" s="4" t="s">
        <v>128</v>
      </c>
      <c r="M310" s="4" t="s">
        <v>1666</v>
      </c>
      <c r="N310" s="4">
        <v>27</v>
      </c>
      <c r="O310" s="4">
        <v>36.299999999999997</v>
      </c>
      <c r="P310" s="4">
        <v>1.46</v>
      </c>
      <c r="R310" s="4">
        <v>10.5</v>
      </c>
      <c r="S310" s="4">
        <v>7.94</v>
      </c>
      <c r="T310" s="4">
        <v>5</v>
      </c>
      <c r="V310" s="4">
        <v>7.2</v>
      </c>
      <c r="W310" s="4">
        <v>5.66</v>
      </c>
      <c r="X310" s="4">
        <v>20.6</v>
      </c>
      <c r="Z310" s="4">
        <v>4.5</v>
      </c>
      <c r="AD310" s="4">
        <v>0.85</v>
      </c>
      <c r="AJ310" s="26">
        <f t="shared" si="618"/>
        <v>100.00999999999999</v>
      </c>
      <c r="AK310" s="26">
        <f t="shared" si="689"/>
        <v>36.365986904403542</v>
      </c>
      <c r="AL310" s="26">
        <f t="shared" si="689"/>
        <v>1.4626540187446053</v>
      </c>
      <c r="AM310" s="26">
        <f t="shared" si="690"/>
        <v>10.519087121108463</v>
      </c>
      <c r="AN310" s="26">
        <f t="shared" si="690"/>
        <v>7.954433499200114</v>
      </c>
      <c r="AO310" s="26">
        <f t="shared" si="690"/>
        <v>5.0090891052897444</v>
      </c>
      <c r="AP310" s="26">
        <f t="shared" si="691"/>
        <v>7.2130883116172315</v>
      </c>
      <c r="AQ310" s="26">
        <f t="shared" si="692"/>
        <v>0</v>
      </c>
      <c r="AR310" s="26">
        <f t="shared" si="693"/>
        <v>5.6702888671879901</v>
      </c>
      <c r="AS310" s="26">
        <f t="shared" si="693"/>
        <v>20.637447113793748</v>
      </c>
      <c r="AT310" s="26">
        <f t="shared" si="694"/>
        <v>4.5081801947607696</v>
      </c>
      <c r="AU310" s="26">
        <f t="shared" si="695"/>
        <v>0.85154514789925662</v>
      </c>
      <c r="AV310" s="26">
        <f t="shared" si="619"/>
        <v>100.19180028400547</v>
      </c>
      <c r="BB310" s="26">
        <v>0.27</v>
      </c>
      <c r="BC310" s="26">
        <f t="shared" si="696"/>
        <v>0.27</v>
      </c>
      <c r="BD310" s="26">
        <f t="shared" si="697"/>
        <v>0.73</v>
      </c>
      <c r="BE310" s="4">
        <v>-5.567727908565745</v>
      </c>
      <c r="BG310" s="4">
        <v>1111.5330000000001</v>
      </c>
      <c r="BH310" s="4">
        <v>5.1692159887935123</v>
      </c>
      <c r="BL310" s="26"/>
      <c r="DD310" s="45"/>
      <c r="DE310" s="45"/>
      <c r="DF310" s="45"/>
      <c r="DG310" s="45"/>
      <c r="DH310" s="45"/>
      <c r="DI310" s="45"/>
      <c r="DJ310" s="45"/>
      <c r="DK310" s="45"/>
      <c r="DL310" s="45"/>
      <c r="DM310" s="45"/>
      <c r="DN310" s="45"/>
      <c r="DO310" s="45"/>
      <c r="DP310" s="45"/>
      <c r="DQ310" s="45"/>
      <c r="DS310" s="4"/>
      <c r="DT310" s="4"/>
      <c r="DU310" s="4"/>
      <c r="DV310" s="4"/>
      <c r="DW310" s="4"/>
      <c r="DX310" s="4"/>
      <c r="DY310" s="4"/>
      <c r="DZ310" s="4"/>
      <c r="EA310" s="4"/>
      <c r="EB310" s="4"/>
      <c r="EC310" s="4"/>
      <c r="ED310" s="4"/>
      <c r="EE310" s="4"/>
      <c r="EF310" s="4"/>
      <c r="EG310" s="4"/>
      <c r="EH310" s="4"/>
      <c r="EI310" s="4"/>
      <c r="EJ310" s="4"/>
      <c r="EL310" s="18">
        <f>IFERROR(CR310/'McDonough &amp; Sun 1995 values'!C$2,)</f>
        <v>0</v>
      </c>
      <c r="EM310" s="18">
        <f>IFERROR(CH310/'McDonough &amp; Sun 1995 values'!D$2,)</f>
        <v>0</v>
      </c>
      <c r="EN310" s="18">
        <f>IFERROR(CS310/'McDonough &amp; Sun 1995 values'!E$2,)</f>
        <v>0</v>
      </c>
      <c r="EO310" s="18">
        <f>IFERROR(DL310/'McDonough &amp; Sun 1995 values'!F$2,)</f>
        <v>0</v>
      </c>
      <c r="EP310" s="18">
        <f>IFERROR(DM310/'McDonough &amp; Sun 1995 values'!G$2,)</f>
        <v>0</v>
      </c>
      <c r="EQ310" s="18">
        <f>IFERROR(BR310/'McDonough &amp; Sun 1995 values'!H$2,)</f>
        <v>0</v>
      </c>
      <c r="ER310" s="18">
        <f>IFERROR(DI310/'McDonough &amp; Sun 1995 values'!I$2,)</f>
        <v>0</v>
      </c>
      <c r="ES310" s="18">
        <f>IFERROR(CM310/'McDonough &amp; Sun 1995 values'!J$2,)</f>
        <v>0</v>
      </c>
      <c r="ET310" s="18">
        <f>IFERROR(CU310/'McDonough &amp; Sun 1995 values'!K$2,)</f>
        <v>0</v>
      </c>
      <c r="EU310" s="18">
        <f>IFERROR(CV310/'McDonough &amp; Sun 1995 values'!L$2,)</f>
        <v>0</v>
      </c>
      <c r="EV310" s="18">
        <f>IFERROR(CW310/'McDonough &amp; Sun 1995 values'!M$2,)</f>
        <v>0</v>
      </c>
      <c r="EW310" s="18">
        <f>IFERROR(CI310/'McDonough &amp; Sun 1995 values'!N$2,)</f>
        <v>0</v>
      </c>
      <c r="EX310" s="18">
        <f>IFERROR(CX310/'McDonough &amp; Sun 1995 values'!O$2,)</f>
        <v>0</v>
      </c>
      <c r="EY310" s="18">
        <f>IFERROR(CY310/'McDonough &amp; Sun 1995 values'!P$2,)</f>
        <v>0</v>
      </c>
      <c r="EZ310" s="18">
        <f>IFERROR(DH310/'McDonough &amp; Sun 1995 values'!Q$2,)</f>
        <v>0</v>
      </c>
      <c r="FA310" s="18">
        <f>IFERROR(CK310/'McDonough &amp; Sun 1995 values'!R$2,)</f>
        <v>0</v>
      </c>
      <c r="FB310" s="18">
        <f>IFERROR(CZ310/'McDonough &amp; Sun 1995 values'!S$2,)</f>
        <v>0</v>
      </c>
      <c r="FC310" s="18">
        <f>IFERROR(BT310/'McDonough &amp; Sun 1995 values'!T$2,)</f>
        <v>0</v>
      </c>
      <c r="FD310" s="18">
        <f>IFERROR(DA310/'McDonough &amp; Sun 1995 values'!U$2,)</f>
        <v>0</v>
      </c>
      <c r="FE310" s="18">
        <f>IFERROR(DN310/'McDonough &amp; Sun 1995 values'!V$2,)</f>
        <v>0</v>
      </c>
      <c r="FF310" s="18">
        <f>IFERROR(DB310/'McDonough &amp; Sun 1995 values'!W$2,)</f>
        <v>0</v>
      </c>
      <c r="FG310" s="18">
        <f>IFERROR(CJ310/'McDonough &amp; Sun 1995 values'!X$2,)</f>
        <v>0</v>
      </c>
      <c r="FH310" s="18">
        <f>IFERROR(DC310/'McDonough &amp; Sun 1995 values'!Y$2,)</f>
        <v>0</v>
      </c>
      <c r="FI310" s="18">
        <f>IFERROR(DD310/'McDonough &amp; Sun 1995 values'!Z$2,)</f>
        <v>0</v>
      </c>
      <c r="FJ310" s="18">
        <f>IFERROR(DE310/'McDonough &amp; Sun 1995 values'!AA$2,)</f>
        <v>0</v>
      </c>
      <c r="FK310" s="18">
        <f>IFERROR(DF310/'McDonough &amp; Sun 1995 values'!AB$2,)</f>
        <v>0</v>
      </c>
      <c r="FL310" s="18">
        <f>IFERROR(DG310/'McDonough &amp; Sun 1995 values'!AC$2,)</f>
        <v>0</v>
      </c>
      <c r="FN310" s="28">
        <f t="shared" si="698"/>
        <v>0</v>
      </c>
      <c r="FO310" s="4">
        <f t="shared" si="699"/>
        <v>0</v>
      </c>
      <c r="FP310" s="4">
        <f t="shared" si="700"/>
        <v>0</v>
      </c>
      <c r="FQ310" s="4">
        <f t="shared" si="701"/>
        <v>0</v>
      </c>
      <c r="FR310" s="4">
        <f t="shared" si="702"/>
        <v>0</v>
      </c>
      <c r="FS310" s="4">
        <f t="shared" si="703"/>
        <v>0</v>
      </c>
      <c r="FT310" s="4">
        <f t="shared" si="704"/>
        <v>0</v>
      </c>
      <c r="FU310" s="4">
        <f t="shared" si="705"/>
        <v>0</v>
      </c>
      <c r="FV310" s="4">
        <f t="shared" si="706"/>
        <v>0</v>
      </c>
      <c r="FW310" s="4">
        <f t="shared" si="707"/>
        <v>0</v>
      </c>
      <c r="FX310" s="4">
        <f t="shared" si="708"/>
        <v>0</v>
      </c>
      <c r="FY310" s="4">
        <f t="shared" si="709"/>
        <v>0</v>
      </c>
      <c r="FZ310" s="4">
        <f t="shared" si="710"/>
        <v>0</v>
      </c>
      <c r="GA310" s="4">
        <f t="shared" si="711"/>
        <v>0</v>
      </c>
      <c r="GB310" s="4">
        <f t="shared" si="712"/>
        <v>0</v>
      </c>
      <c r="GC310" s="4">
        <f t="shared" si="713"/>
        <v>0</v>
      </c>
      <c r="GD310" s="4">
        <f t="shared" si="714"/>
        <v>0</v>
      </c>
      <c r="GE310" s="4">
        <f t="shared" si="715"/>
        <v>0</v>
      </c>
      <c r="GF310" s="4">
        <f t="shared" si="716"/>
        <v>0</v>
      </c>
      <c r="GG310" s="4">
        <f t="shared" si="717"/>
        <v>0</v>
      </c>
      <c r="GH310" s="4">
        <f t="shared" si="718"/>
        <v>0</v>
      </c>
      <c r="GI310" s="4">
        <f t="shared" si="719"/>
        <v>0</v>
      </c>
      <c r="GJ310" s="4">
        <f t="shared" si="720"/>
        <v>0</v>
      </c>
      <c r="GK310" s="4">
        <f t="shared" si="721"/>
        <v>0</v>
      </c>
      <c r="GL310" s="4">
        <f t="shared" si="722"/>
        <v>0</v>
      </c>
      <c r="GM310" s="4">
        <f t="shared" si="723"/>
        <v>0</v>
      </c>
      <c r="GN310" s="4">
        <f t="shared" si="724"/>
        <v>0</v>
      </c>
      <c r="GO310" s="4">
        <f t="shared" si="725"/>
        <v>0</v>
      </c>
      <c r="GP310" s="4">
        <f t="shared" si="726"/>
        <v>0</v>
      </c>
      <c r="GQ310" s="27">
        <f t="shared" si="727"/>
        <v>171319.14723144018</v>
      </c>
      <c r="GR310" s="28" t="str">
        <f t="shared" si="728"/>
        <v/>
      </c>
      <c r="GS310" s="28" t="str">
        <f t="shared" si="729"/>
        <v/>
      </c>
      <c r="GT310" s="28" t="str">
        <f t="shared" si="730"/>
        <v/>
      </c>
      <c r="GU310" s="28" t="str">
        <f t="shared" si="731"/>
        <v/>
      </c>
      <c r="GV310" s="28" t="str">
        <f t="shared" si="732"/>
        <v/>
      </c>
      <c r="GW310" s="28" t="str">
        <f t="shared" si="733"/>
        <v/>
      </c>
      <c r="GX310" s="28" t="str">
        <f t="shared" si="734"/>
        <v/>
      </c>
      <c r="GY310" s="28" t="str">
        <f t="shared" si="735"/>
        <v/>
      </c>
      <c r="GZ310" s="28" t="str">
        <f t="shared" si="736"/>
        <v/>
      </c>
      <c r="HA310" s="28" t="str">
        <f t="shared" si="737"/>
        <v/>
      </c>
      <c r="HB310" s="28" t="str">
        <f t="shared" si="738"/>
        <v/>
      </c>
      <c r="HC310" s="28" t="str">
        <f t="shared" si="739"/>
        <v/>
      </c>
      <c r="HD310" s="28" t="str">
        <f t="shared" si="740"/>
        <v/>
      </c>
      <c r="HE310" s="28" t="str">
        <f t="shared" si="741"/>
        <v/>
      </c>
      <c r="HF310" s="28" t="str">
        <f t="shared" si="742"/>
        <v/>
      </c>
      <c r="HG310" s="28" t="str">
        <f t="shared" si="743"/>
        <v/>
      </c>
      <c r="HH310" s="28" t="str">
        <f t="shared" si="744"/>
        <v/>
      </c>
      <c r="HI310" s="28" t="str">
        <f t="shared" si="745"/>
        <v/>
      </c>
      <c r="HJ310" s="28" t="str">
        <f t="shared" si="746"/>
        <v/>
      </c>
      <c r="HK310" s="28" t="str">
        <f t="shared" si="747"/>
        <v/>
      </c>
      <c r="HL310" s="28" t="str">
        <f t="shared" si="748"/>
        <v/>
      </c>
      <c r="HM310" s="28" t="str">
        <f t="shared" si="749"/>
        <v/>
      </c>
      <c r="HN310" s="28" t="str">
        <f t="shared" si="750"/>
        <v/>
      </c>
      <c r="HO310" s="28" t="str">
        <f t="shared" si="751"/>
        <v/>
      </c>
      <c r="HP310" s="28" t="str">
        <f t="shared" si="752"/>
        <v/>
      </c>
      <c r="HQ310" s="28" t="str">
        <f t="shared" si="753"/>
        <v/>
      </c>
      <c r="HR310" s="28" t="str">
        <f t="shared" si="754"/>
        <v/>
      </c>
      <c r="HT310" s="4">
        <f>IFERROR(GR310/'McDonough &amp; Sun 1995 values'!C$2,)</f>
        <v>0</v>
      </c>
      <c r="HU310" s="4">
        <f>IFERROR(GS310/'McDonough &amp; Sun 1995 values'!D$2,)</f>
        <v>0</v>
      </c>
      <c r="HV310" s="4">
        <f>IFERROR(GT310/'McDonough &amp; Sun 1995 values'!E$2,)</f>
        <v>0</v>
      </c>
      <c r="HW310" s="4">
        <f>IFERROR(GU310/'McDonough &amp; Sun 1995 values'!F$2,)</f>
        <v>0</v>
      </c>
      <c r="HX310" s="4">
        <f>IFERROR(GV310/'McDonough &amp; Sun 1995 values'!G$2,)</f>
        <v>0</v>
      </c>
      <c r="HY310" s="4">
        <f>IFERROR(GW310/'McDonough &amp; Sun 1995 values'!H$2,)</f>
        <v>0</v>
      </c>
      <c r="HZ310" s="4">
        <f>IFERROR(GX310/'McDonough &amp; Sun 1995 values'!I$2,)</f>
        <v>0</v>
      </c>
      <c r="IA310" s="4">
        <f>IFERROR(GY310/'McDonough &amp; Sun 1995 values'!J$2,)</f>
        <v>0</v>
      </c>
      <c r="IB310" s="4">
        <f>IFERROR(GZ310/'McDonough &amp; Sun 1995 values'!K$2,)</f>
        <v>0</v>
      </c>
      <c r="IC310" s="4">
        <f>IFERROR(HA310/'McDonough &amp; Sun 1995 values'!L$2,)</f>
        <v>0</v>
      </c>
      <c r="ID310" s="4">
        <f>IFERROR(HB310/'McDonough &amp; Sun 1995 values'!M$2,)</f>
        <v>0</v>
      </c>
      <c r="IE310" s="4">
        <f>IFERROR(HC310/'McDonough &amp; Sun 1995 values'!N$2,)</f>
        <v>0</v>
      </c>
      <c r="IF310" s="4">
        <f>IFERROR(HD310/'McDonough &amp; Sun 1995 values'!O$2,)</f>
        <v>0</v>
      </c>
      <c r="IG310" s="4">
        <f>IFERROR(HE310/'McDonough &amp; Sun 1995 values'!P$2,)</f>
        <v>0</v>
      </c>
      <c r="IH310" s="4">
        <f>IFERROR(HF310/'McDonough &amp; Sun 1995 values'!Q$2,)</f>
        <v>0</v>
      </c>
      <c r="II310" s="4">
        <f>IFERROR(HG310/'McDonough &amp; Sun 1995 values'!R$2,)</f>
        <v>0</v>
      </c>
      <c r="IJ310" s="4">
        <f>IFERROR(HH310/'McDonough &amp; Sun 1995 values'!S$2,)</f>
        <v>0</v>
      </c>
      <c r="IK310" s="4">
        <f>IFERROR(HI310/'McDonough &amp; Sun 1995 values'!T$2,)</f>
        <v>0</v>
      </c>
      <c r="IL310" s="4">
        <f>IFERROR(HJ310/'McDonough &amp; Sun 1995 values'!U$2,)</f>
        <v>0</v>
      </c>
      <c r="IM310" s="4">
        <f>IFERROR(HK310/'McDonough &amp; Sun 1995 values'!V$2,)</f>
        <v>0</v>
      </c>
      <c r="IN310" s="4">
        <f>IFERROR(HL310/'McDonough &amp; Sun 1995 values'!W$2,)</f>
        <v>0</v>
      </c>
      <c r="IO310" s="4">
        <f>IFERROR(HM310/'McDonough &amp; Sun 1995 values'!X$2,)</f>
        <v>0</v>
      </c>
      <c r="IP310" s="4">
        <f>IFERROR(HN310/'McDonough &amp; Sun 1995 values'!Y$2,)</f>
        <v>0</v>
      </c>
      <c r="IQ310" s="4">
        <f>IFERROR(HO310/'McDonough &amp; Sun 1995 values'!Z$2,)</f>
        <v>0</v>
      </c>
      <c r="IR310" s="4">
        <f>IFERROR(HP310/'McDonough &amp; Sun 1995 values'!AA$2,)</f>
        <v>0</v>
      </c>
      <c r="IS310" s="4">
        <f>IFERROR(HQ310/'McDonough &amp; Sun 1995 values'!AB$2,)</f>
        <v>0</v>
      </c>
      <c r="IT310" s="4">
        <f>IFERROR(HR310/'McDonough &amp; Sun 1995 values'!AC$2,)</f>
        <v>0</v>
      </c>
    </row>
    <row r="311" spans="1:254">
      <c r="A311" s="16" t="s">
        <v>1656</v>
      </c>
      <c r="B311" s="4" t="s">
        <v>24</v>
      </c>
      <c r="C311" s="16" t="str">
        <f t="shared" si="617"/>
        <v>silicic - low-Mg carbonatitic</v>
      </c>
      <c r="D311" s="4" t="s">
        <v>1724</v>
      </c>
      <c r="E311" s="4" t="s">
        <v>237</v>
      </c>
      <c r="F311" s="4" t="s">
        <v>849</v>
      </c>
      <c r="G311" s="4" t="s">
        <v>595</v>
      </c>
      <c r="H311" s="49">
        <v>364</v>
      </c>
      <c r="I311" s="4" t="s">
        <v>1148</v>
      </c>
      <c r="J311" s="4" t="s">
        <v>635</v>
      </c>
      <c r="K311" s="4" t="s">
        <v>1667</v>
      </c>
      <c r="M311" s="4" t="s">
        <v>1673</v>
      </c>
      <c r="N311" s="4">
        <v>28</v>
      </c>
      <c r="O311" s="4">
        <v>32.299999999999997</v>
      </c>
      <c r="P311" s="4">
        <v>0.42</v>
      </c>
      <c r="R311" s="4">
        <v>6.24</v>
      </c>
      <c r="S311" s="4">
        <v>8.75</v>
      </c>
      <c r="T311" s="4">
        <v>10.9</v>
      </c>
      <c r="V311" s="4">
        <v>6.49</v>
      </c>
      <c r="W311" s="4">
        <v>5.23</v>
      </c>
      <c r="X311" s="4">
        <v>19.399999999999999</v>
      </c>
      <c r="Z311" s="4">
        <v>8.85</v>
      </c>
      <c r="AD311" s="4">
        <v>1.1399999999999999</v>
      </c>
      <c r="AJ311" s="26">
        <f t="shared" si="618"/>
        <v>99.719999999999985</v>
      </c>
      <c r="AK311" s="26">
        <f t="shared" si="689"/>
        <v>32.474257435278737</v>
      </c>
      <c r="AL311" s="26">
        <f t="shared" si="689"/>
        <v>0.42226588615532723</v>
      </c>
      <c r="AM311" s="26">
        <f t="shared" si="690"/>
        <v>6.2736645943077178</v>
      </c>
      <c r="AN311" s="26">
        <f t="shared" si="690"/>
        <v>8.7972059615693183</v>
      </c>
      <c r="AO311" s="26">
        <f t="shared" si="690"/>
        <v>10.958805140697779</v>
      </c>
      <c r="AP311" s="26">
        <f t="shared" si="691"/>
        <v>6.5250133360668423</v>
      </c>
      <c r="AQ311" s="26">
        <f t="shared" si="692"/>
        <v>0</v>
      </c>
      <c r="AR311" s="26">
        <f t="shared" si="693"/>
        <v>5.2582156776008615</v>
      </c>
      <c r="AS311" s="26">
        <f t="shared" si="693"/>
        <v>19.504662360507972</v>
      </c>
      <c r="AT311" s="26">
        <f t="shared" si="694"/>
        <v>8.8977454582729667</v>
      </c>
      <c r="AU311" s="26">
        <f t="shared" si="695"/>
        <v>1.1461502624216022</v>
      </c>
      <c r="AV311" s="26">
        <f t="shared" si="619"/>
        <v>100.25798611287911</v>
      </c>
      <c r="BB311" s="26">
        <v>0.36</v>
      </c>
      <c r="BC311" s="26">
        <f t="shared" si="696"/>
        <v>0.36</v>
      </c>
      <c r="BD311" s="26">
        <f t="shared" si="697"/>
        <v>0.64</v>
      </c>
      <c r="BE311" s="4">
        <v>-4.6234837332548064</v>
      </c>
      <c r="BG311" s="4">
        <v>1008.9817500000001</v>
      </c>
      <c r="BH311" s="4">
        <v>8.419940018253854</v>
      </c>
      <c r="BL311" s="26"/>
      <c r="BT311" s="44">
        <v>10817.899642139357</v>
      </c>
      <c r="CH311" s="44">
        <v>217.0091342217419</v>
      </c>
      <c r="CI311" s="44">
        <v>2106.0186919666498</v>
      </c>
      <c r="CJ311" s="44">
        <v>48.017395189018572</v>
      </c>
      <c r="CK311" s="44">
        <v>163.34124235856981</v>
      </c>
      <c r="CM311" s="44">
        <v>138.72670878496214</v>
      </c>
      <c r="CS311" s="44">
        <v>2740.4595372619151</v>
      </c>
      <c r="CU311" s="44">
        <v>63.528475514519613</v>
      </c>
      <c r="CV311" s="44">
        <v>123.17720531503804</v>
      </c>
      <c r="CW311" s="44">
        <v>16.585307423462488</v>
      </c>
      <c r="CX311" s="44">
        <v>109.98314617404399</v>
      </c>
      <c r="CY311" s="44">
        <v>25.154537972090576</v>
      </c>
      <c r="CZ311" s="44">
        <v>7.5988785302525841</v>
      </c>
      <c r="DA311" s="44">
        <v>22.225235926963361</v>
      </c>
      <c r="DB311" s="44">
        <v>11.540208825112927</v>
      </c>
      <c r="DC311" s="44">
        <v>2.0289205281528369</v>
      </c>
      <c r="DD311" s="44">
        <v>6.7179402336917615</v>
      </c>
      <c r="DF311" s="44">
        <v>1.8569625773946443</v>
      </c>
      <c r="DG311" s="44">
        <v>0.35792838109185615</v>
      </c>
      <c r="DH311" s="44">
        <v>3.0692305180391988</v>
      </c>
      <c r="DI311" s="44">
        <v>6.7474178312511963</v>
      </c>
      <c r="DK311" s="44">
        <v>30.897268065728706</v>
      </c>
      <c r="DL311" s="44">
        <v>4.3976377876888826</v>
      </c>
      <c r="DM311" s="44">
        <v>1.404297815812986</v>
      </c>
      <c r="DN311" s="44">
        <v>4.3126547905811394</v>
      </c>
      <c r="EL311" s="18">
        <f>IFERROR(CR311/'McDonough &amp; Sun 1995 values'!C$2,)</f>
        <v>0</v>
      </c>
      <c r="EM311" s="18">
        <f>IFERROR(CH311/'McDonough &amp; Sun 1995 values'!D$2,)</f>
        <v>361.68189036956983</v>
      </c>
      <c r="EN311" s="18">
        <f>IFERROR(CS311/'McDonough &amp; Sun 1995 values'!E$2,)</f>
        <v>415.22114200938108</v>
      </c>
      <c r="EO311" s="18">
        <f>IFERROR(DL311/'McDonough &amp; Sun 1995 values'!F$2,)</f>
        <v>55.316198587281541</v>
      </c>
      <c r="EP311" s="18">
        <f>IFERROR(DM311/'McDonough &amp; Sun 1995 values'!G$2,)</f>
        <v>69.177232306058428</v>
      </c>
      <c r="EQ311" s="18">
        <f>IFERROR(BR311/'McDonough &amp; Sun 1995 values'!H$2,)</f>
        <v>0</v>
      </c>
      <c r="ER311" s="18">
        <f>IFERROR(DI311/'McDonough &amp; Sun 1995 values'!I$2,)</f>
        <v>182.36264408787017</v>
      </c>
      <c r="ES311" s="18">
        <f>IFERROR(CM311/'McDonough &amp; Sun 1995 values'!J$2,)</f>
        <v>210.83086441483607</v>
      </c>
      <c r="ET311" s="18">
        <f>IFERROR(CU311/'McDonough &amp; Sun 1995 values'!K$2,)</f>
        <v>98.037770855740135</v>
      </c>
      <c r="EU311" s="18">
        <f>IFERROR(CV311/'McDonough &amp; Sun 1995 values'!L$2,)</f>
        <v>73.538630038828671</v>
      </c>
      <c r="EV311" s="18">
        <f>IFERROR(CW311/'McDonough &amp; Sun 1995 values'!M$2,)</f>
        <v>65.296485919143649</v>
      </c>
      <c r="EW311" s="18">
        <f>IFERROR(CI311/'McDonough &amp; Sun 1995 values'!N$2,)</f>
        <v>105.83008502344975</v>
      </c>
      <c r="EX311" s="18">
        <f>IFERROR(CX311/'McDonough &amp; Sun 1995 values'!O$2,)</f>
        <v>87.986516939235202</v>
      </c>
      <c r="EY311" s="18">
        <f>IFERROR(CY311/'McDonough &amp; Sun 1995 values'!P$2,)</f>
        <v>61.956990079040821</v>
      </c>
      <c r="EZ311" s="18">
        <f>IFERROR(DH311/'McDonough &amp; Sun 1995 values'!Q$2,)</f>
        <v>10.845337519573141</v>
      </c>
      <c r="FA311" s="18">
        <f>IFERROR(CK311/'McDonough &amp; Sun 1995 values'!R$2,)</f>
        <v>15.556308796054267</v>
      </c>
      <c r="FB311" s="18">
        <f>IFERROR(CZ311/'McDonough &amp; Sun 1995 values'!S$2,)</f>
        <v>49.343367079562235</v>
      </c>
      <c r="FC311" s="18">
        <f>IFERROR(BT311/'McDonough &amp; Sun 1995 values'!T$2,)</f>
        <v>8.9775100764641973</v>
      </c>
      <c r="FD311" s="18">
        <f>IFERROR(DA311/'McDonough &amp; Sun 1995 values'!U$2,)</f>
        <v>40.855213101035588</v>
      </c>
      <c r="FE311" s="18">
        <f>IFERROR(DN311/'McDonough &amp; Sun 1995 values'!V$2,)</f>
        <v>43.562169601829687</v>
      </c>
      <c r="FF311" s="18">
        <f>IFERROR(DB311/'McDonough &amp; Sun 1995 values'!W$2,)</f>
        <v>17.121971550612649</v>
      </c>
      <c r="FG311" s="18">
        <f>IFERROR(CJ311/'McDonough &amp; Sun 1995 values'!X$2,)</f>
        <v>11.166836090469436</v>
      </c>
      <c r="FH311" s="18">
        <f>IFERROR(DC311/'McDonough &amp; Sun 1995 values'!Y$2,)</f>
        <v>13.616916296327764</v>
      </c>
      <c r="FI311" s="18">
        <f>IFERROR(DD311/'McDonough &amp; Sun 1995 values'!Z$2,)</f>
        <v>15.337763090620459</v>
      </c>
      <c r="FJ311" s="18">
        <f>IFERROR(DE311/'McDonough &amp; Sun 1995 values'!AA$2,)</f>
        <v>0</v>
      </c>
      <c r="FK311" s="18">
        <f>IFERROR(DF311/'McDonough &amp; Sun 1995 values'!AB$2,)</f>
        <v>4.2107994952259507</v>
      </c>
      <c r="FL311" s="18">
        <f>IFERROR(DG311/'McDonough &amp; Sun 1995 values'!AC$2,)</f>
        <v>5.302642682842313</v>
      </c>
      <c r="FN311" s="28">
        <f t="shared" si="698"/>
        <v>0</v>
      </c>
      <c r="FO311" s="4">
        <f t="shared" si="699"/>
        <v>6.0022803481401601</v>
      </c>
      <c r="FP311" s="4">
        <f t="shared" si="700"/>
        <v>0.26237239381820304</v>
      </c>
      <c r="FQ311" s="4">
        <f t="shared" si="701"/>
        <v>0.79963012024748259</v>
      </c>
      <c r="FR311" s="4">
        <f t="shared" si="702"/>
        <v>0.46500673005276194</v>
      </c>
      <c r="FS311" s="4">
        <f t="shared" si="703"/>
        <v>0.53759788001593856</v>
      </c>
      <c r="FT311" s="4">
        <f t="shared" si="704"/>
        <v>0</v>
      </c>
      <c r="FU311" s="4">
        <f t="shared" si="705"/>
        <v>0.86497128678962709</v>
      </c>
      <c r="FV311" s="4">
        <f t="shared" si="706"/>
        <v>0.25108238434773072</v>
      </c>
      <c r="FW311" s="4">
        <f t="shared" si="707"/>
        <v>1.434377562522051</v>
      </c>
      <c r="FX311" s="4">
        <f t="shared" si="708"/>
        <v>0.95987374170237216</v>
      </c>
      <c r="FY311" s="4">
        <f t="shared" si="709"/>
        <v>1.3962274672446227</v>
      </c>
      <c r="FZ311" s="4">
        <f t="shared" si="710"/>
        <v>0.98075354313270069</v>
      </c>
      <c r="GA311" s="4">
        <f t="shared" si="711"/>
        <v>1.6207623355795697</v>
      </c>
      <c r="GB311" s="4">
        <f t="shared" si="712"/>
        <v>0.79641323790282703</v>
      </c>
      <c r="GC311" s="4">
        <f t="shared" si="713"/>
        <v>0</v>
      </c>
      <c r="GD311" s="4">
        <f t="shared" si="714"/>
        <v>7.506320980358363</v>
      </c>
      <c r="GE311" s="4">
        <f t="shared" si="715"/>
        <v>1.1480285661665404</v>
      </c>
      <c r="GF311" s="4">
        <f t="shared" si="716"/>
        <v>0</v>
      </c>
      <c r="GG311" s="4">
        <f t="shared" si="717"/>
        <v>1.9694514043844245</v>
      </c>
      <c r="GH311" s="4">
        <f t="shared" si="718"/>
        <v>1.5014249155328185</v>
      </c>
      <c r="GI311" s="4">
        <f t="shared" si="719"/>
        <v>1.582352059560507</v>
      </c>
      <c r="GJ311" s="4">
        <f t="shared" si="720"/>
        <v>5.7258459147616207</v>
      </c>
      <c r="GK311" s="4">
        <f t="shared" si="721"/>
        <v>23.282460009528297</v>
      </c>
      <c r="GL311" s="4">
        <f t="shared" si="722"/>
        <v>1.7328088371448687</v>
      </c>
      <c r="GM311" s="4">
        <f t="shared" si="723"/>
        <v>0.15294157672854161</v>
      </c>
      <c r="GN311" s="4">
        <f t="shared" si="724"/>
        <v>2.1505065096295168</v>
      </c>
      <c r="GO311" s="4">
        <f t="shared" si="725"/>
        <v>3.0476915220034302</v>
      </c>
      <c r="GP311" s="4">
        <f t="shared" si="726"/>
        <v>0</v>
      </c>
      <c r="GQ311" s="27">
        <f t="shared" si="727"/>
        <v>161915.47841234558</v>
      </c>
      <c r="GR311" s="28" t="str">
        <f t="shared" si="728"/>
        <v/>
      </c>
      <c r="GS311" s="28" t="str">
        <f t="shared" si="729"/>
        <v/>
      </c>
      <c r="GT311" s="28" t="str">
        <f t="shared" si="730"/>
        <v/>
      </c>
      <c r="GU311" s="28" t="str">
        <f t="shared" si="731"/>
        <v/>
      </c>
      <c r="GV311" s="28" t="str">
        <f t="shared" si="732"/>
        <v/>
      </c>
      <c r="GW311" s="28" t="str">
        <f t="shared" si="733"/>
        <v/>
      </c>
      <c r="GX311" s="28" t="str">
        <f t="shared" si="734"/>
        <v/>
      </c>
      <c r="GY311" s="28" t="str">
        <f t="shared" si="735"/>
        <v/>
      </c>
      <c r="GZ311" s="28" t="str">
        <f t="shared" si="736"/>
        <v/>
      </c>
      <c r="HA311" s="28" t="str">
        <f t="shared" si="737"/>
        <v/>
      </c>
      <c r="HB311" s="28" t="str">
        <f t="shared" si="738"/>
        <v/>
      </c>
      <c r="HC311" s="28" t="str">
        <f t="shared" si="739"/>
        <v/>
      </c>
      <c r="HD311" s="28" t="str">
        <f t="shared" si="740"/>
        <v/>
      </c>
      <c r="HE311" s="28" t="str">
        <f t="shared" si="741"/>
        <v/>
      </c>
      <c r="HF311" s="28" t="str">
        <f t="shared" si="742"/>
        <v/>
      </c>
      <c r="HG311" s="28" t="str">
        <f t="shared" si="743"/>
        <v/>
      </c>
      <c r="HH311" s="28" t="str">
        <f t="shared" si="744"/>
        <v/>
      </c>
      <c r="HI311" s="28" t="str">
        <f t="shared" si="745"/>
        <v/>
      </c>
      <c r="HJ311" s="28" t="str">
        <f t="shared" si="746"/>
        <v/>
      </c>
      <c r="HK311" s="28" t="str">
        <f t="shared" si="747"/>
        <v/>
      </c>
      <c r="HL311" s="28" t="str">
        <f t="shared" si="748"/>
        <v/>
      </c>
      <c r="HM311" s="28" t="str">
        <f t="shared" si="749"/>
        <v/>
      </c>
      <c r="HN311" s="28" t="str">
        <f t="shared" si="750"/>
        <v/>
      </c>
      <c r="HO311" s="28" t="str">
        <f t="shared" si="751"/>
        <v/>
      </c>
      <c r="HP311" s="28" t="str">
        <f t="shared" si="752"/>
        <v/>
      </c>
      <c r="HQ311" s="28" t="str">
        <f t="shared" si="753"/>
        <v/>
      </c>
      <c r="HR311" s="28" t="str">
        <f t="shared" si="754"/>
        <v/>
      </c>
      <c r="HT311" s="4">
        <f>IFERROR(GR311/'McDonough &amp; Sun 1995 values'!C$2,)</f>
        <v>0</v>
      </c>
      <c r="HU311" s="4">
        <f>IFERROR(GS311/'McDonough &amp; Sun 1995 values'!D$2,)</f>
        <v>0</v>
      </c>
      <c r="HV311" s="4">
        <f>IFERROR(GT311/'McDonough &amp; Sun 1995 values'!E$2,)</f>
        <v>0</v>
      </c>
      <c r="HW311" s="4">
        <f>IFERROR(GU311/'McDonough &amp; Sun 1995 values'!F$2,)</f>
        <v>0</v>
      </c>
      <c r="HX311" s="4">
        <f>IFERROR(GV311/'McDonough &amp; Sun 1995 values'!G$2,)</f>
        <v>0</v>
      </c>
      <c r="HY311" s="4">
        <f>IFERROR(GW311/'McDonough &amp; Sun 1995 values'!H$2,)</f>
        <v>0</v>
      </c>
      <c r="HZ311" s="4">
        <f>IFERROR(GX311/'McDonough &amp; Sun 1995 values'!I$2,)</f>
        <v>0</v>
      </c>
      <c r="IA311" s="4">
        <f>IFERROR(GY311/'McDonough &amp; Sun 1995 values'!J$2,)</f>
        <v>0</v>
      </c>
      <c r="IB311" s="4">
        <f>IFERROR(GZ311/'McDonough &amp; Sun 1995 values'!K$2,)</f>
        <v>0</v>
      </c>
      <c r="IC311" s="4">
        <f>IFERROR(HA311/'McDonough &amp; Sun 1995 values'!L$2,)</f>
        <v>0</v>
      </c>
      <c r="ID311" s="4">
        <f>IFERROR(HB311/'McDonough &amp; Sun 1995 values'!M$2,)</f>
        <v>0</v>
      </c>
      <c r="IE311" s="4">
        <f>IFERROR(HC311/'McDonough &amp; Sun 1995 values'!N$2,)</f>
        <v>0</v>
      </c>
      <c r="IF311" s="4">
        <f>IFERROR(HD311/'McDonough &amp; Sun 1995 values'!O$2,)</f>
        <v>0</v>
      </c>
      <c r="IG311" s="4">
        <f>IFERROR(HE311/'McDonough &amp; Sun 1995 values'!P$2,)</f>
        <v>0</v>
      </c>
      <c r="IH311" s="4">
        <f>IFERROR(HF311/'McDonough &amp; Sun 1995 values'!Q$2,)</f>
        <v>0</v>
      </c>
      <c r="II311" s="4">
        <f>IFERROR(HG311/'McDonough &amp; Sun 1995 values'!R$2,)</f>
        <v>0</v>
      </c>
      <c r="IJ311" s="4">
        <f>IFERROR(HH311/'McDonough &amp; Sun 1995 values'!S$2,)</f>
        <v>0</v>
      </c>
      <c r="IK311" s="4">
        <f>IFERROR(HI311/'McDonough &amp; Sun 1995 values'!T$2,)</f>
        <v>0</v>
      </c>
      <c r="IL311" s="4">
        <f>IFERROR(HJ311/'McDonough &amp; Sun 1995 values'!U$2,)</f>
        <v>0</v>
      </c>
      <c r="IM311" s="4">
        <f>IFERROR(HK311/'McDonough &amp; Sun 1995 values'!V$2,)</f>
        <v>0</v>
      </c>
      <c r="IN311" s="4">
        <f>IFERROR(HL311/'McDonough &amp; Sun 1995 values'!W$2,)</f>
        <v>0</v>
      </c>
      <c r="IO311" s="4">
        <f>IFERROR(HM311/'McDonough &amp; Sun 1995 values'!X$2,)</f>
        <v>0</v>
      </c>
      <c r="IP311" s="4">
        <f>IFERROR(HN311/'McDonough &amp; Sun 1995 values'!Y$2,)</f>
        <v>0</v>
      </c>
      <c r="IQ311" s="4">
        <f>IFERROR(HO311/'McDonough &amp; Sun 1995 values'!Z$2,)</f>
        <v>0</v>
      </c>
      <c r="IR311" s="4">
        <f>IFERROR(HP311/'McDonough &amp; Sun 1995 values'!AA$2,)</f>
        <v>0</v>
      </c>
      <c r="IS311" s="4">
        <f>IFERROR(HQ311/'McDonough &amp; Sun 1995 values'!AB$2,)</f>
        <v>0</v>
      </c>
      <c r="IT311" s="4">
        <f>IFERROR(HR311/'McDonough &amp; Sun 1995 values'!AC$2,)</f>
        <v>0</v>
      </c>
    </row>
    <row r="312" spans="1:254">
      <c r="A312" s="16" t="s">
        <v>1656</v>
      </c>
      <c r="B312" s="4" t="s">
        <v>24</v>
      </c>
      <c r="C312" s="16" t="str">
        <f t="shared" si="617"/>
        <v>silicic - low-Mg carbonatitic</v>
      </c>
      <c r="D312" s="4" t="s">
        <v>1724</v>
      </c>
      <c r="E312" s="4" t="s">
        <v>237</v>
      </c>
      <c r="F312" s="4" t="s">
        <v>849</v>
      </c>
      <c r="G312" s="4" t="s">
        <v>595</v>
      </c>
      <c r="H312" s="49">
        <v>364</v>
      </c>
      <c r="I312" s="4" t="s">
        <v>1148</v>
      </c>
      <c r="J312" s="4" t="s">
        <v>635</v>
      </c>
      <c r="K312" s="4" t="s">
        <v>1667</v>
      </c>
      <c r="M312" s="4" t="s">
        <v>1674</v>
      </c>
      <c r="N312" s="4">
        <v>28</v>
      </c>
      <c r="O312" s="4">
        <v>23.5</v>
      </c>
      <c r="P312" s="4">
        <v>1.77</v>
      </c>
      <c r="R312" s="4">
        <v>4.8600000000000003</v>
      </c>
      <c r="S312" s="4">
        <v>15.4</v>
      </c>
      <c r="T312" s="4">
        <v>7.39</v>
      </c>
      <c r="V312" s="4">
        <v>17</v>
      </c>
      <c r="W312" s="4">
        <v>8.27</v>
      </c>
      <c r="X312" s="4">
        <v>18.8</v>
      </c>
      <c r="Z312" s="4">
        <v>2.2999999999999998</v>
      </c>
      <c r="AD312" s="4">
        <v>0.66</v>
      </c>
      <c r="AJ312" s="26">
        <f t="shared" si="618"/>
        <v>99.949999999999989</v>
      </c>
      <c r="AK312" s="26">
        <f t="shared" si="689"/>
        <v>23.546792316055217</v>
      </c>
      <c r="AL312" s="26">
        <f t="shared" si="689"/>
        <v>1.7735243574220312</v>
      </c>
      <c r="AM312" s="26">
        <f t="shared" si="690"/>
        <v>4.8696770491926964</v>
      </c>
      <c r="AN312" s="26">
        <f t="shared" si="690"/>
        <v>15.430663900734059</v>
      </c>
      <c r="AO312" s="26">
        <f t="shared" si="690"/>
        <v>7.4047146900275758</v>
      </c>
      <c r="AP312" s="26">
        <f t="shared" si="691"/>
        <v>17.033849760550581</v>
      </c>
      <c r="AQ312" s="26">
        <f t="shared" si="692"/>
        <v>0</v>
      </c>
      <c r="AR312" s="26">
        <f t="shared" si="693"/>
        <v>8.2864669129266648</v>
      </c>
      <c r="AS312" s="26">
        <f t="shared" si="693"/>
        <v>18.837433852844175</v>
      </c>
      <c r="AT312" s="26">
        <f t="shared" si="694"/>
        <v>2.3045796734862551</v>
      </c>
      <c r="AU312" s="26">
        <f t="shared" si="695"/>
        <v>0.66131416717431679</v>
      </c>
      <c r="AV312" s="26">
        <f t="shared" si="619"/>
        <v>100.14901668041357</v>
      </c>
      <c r="BB312" s="26">
        <v>0.15</v>
      </c>
      <c r="BC312" s="26">
        <f t="shared" si="696"/>
        <v>0.15000000000000002</v>
      </c>
      <c r="BD312" s="26">
        <f t="shared" si="697"/>
        <v>0.85</v>
      </c>
      <c r="BG312" s="4">
        <v>783.99774999999988</v>
      </c>
      <c r="BH312" s="4">
        <v>3.855591244832191</v>
      </c>
      <c r="BL312" s="26"/>
      <c r="BT312" s="44">
        <v>27167.403025549902</v>
      </c>
      <c r="CH312" s="44">
        <v>243.26776568421943</v>
      </c>
      <c r="CI312" s="44">
        <v>2489.5281272073062</v>
      </c>
      <c r="CJ312" s="44">
        <v>94.022123567347194</v>
      </c>
      <c r="CK312" s="44">
        <v>342.68838021238025</v>
      </c>
      <c r="CM312" s="44">
        <v>328.36796806899071</v>
      </c>
      <c r="CS312" s="44">
        <v>3299.707955797478</v>
      </c>
      <c r="CU312" s="44">
        <v>49.044681789957508</v>
      </c>
      <c r="CV312" s="44">
        <v>98.164275095268479</v>
      </c>
      <c r="CW312" s="44">
        <v>12.292338334072449</v>
      </c>
      <c r="CX312" s="44">
        <v>88.529575463266767</v>
      </c>
      <c r="CY312" s="44">
        <v>28.759652616080569</v>
      </c>
      <c r="CZ312" s="44">
        <v>9.0398911989647814</v>
      </c>
      <c r="DA312" s="44">
        <v>32.779902781923269</v>
      </c>
      <c r="DB312" s="44">
        <v>24.918209086946394</v>
      </c>
      <c r="DC312" s="44">
        <v>3.7643647094768333</v>
      </c>
      <c r="DD312" s="44">
        <v>9.3712029963791856</v>
      </c>
      <c r="DF312" s="44">
        <v>4.2776121886195275</v>
      </c>
      <c r="DG312" s="44">
        <v>0.67113344992871526</v>
      </c>
      <c r="DH312" s="44">
        <v>7.1862972426381351</v>
      </c>
      <c r="DI312" s="44">
        <v>18.121220901107041</v>
      </c>
      <c r="DK312" s="44">
        <v>109.88749829542714</v>
      </c>
      <c r="DL312" s="44">
        <v>6.3238229413175135</v>
      </c>
      <c r="DM312" s="44">
        <v>2.4468018089731376</v>
      </c>
      <c r="DN312" s="44">
        <v>4.9728060399097656</v>
      </c>
      <c r="EL312" s="18">
        <f>IFERROR(CR312/'McDonough &amp; Sun 1995 values'!C$2,)</f>
        <v>0</v>
      </c>
      <c r="EM312" s="18">
        <f>IFERROR(CH312/'McDonough &amp; Sun 1995 values'!D$2,)</f>
        <v>405.44627614036574</v>
      </c>
      <c r="EN312" s="18">
        <f>IFERROR(CS312/'McDonough &amp; Sun 1995 values'!E$2,)</f>
        <v>499.95575087840581</v>
      </c>
      <c r="EO312" s="18">
        <f>IFERROR(DL312/'McDonough &amp; Sun 1995 values'!F$2,)</f>
        <v>79.544942658081936</v>
      </c>
      <c r="EP312" s="18">
        <f>IFERROR(DM312/'McDonough &amp; Sun 1995 values'!G$2,)</f>
        <v>120.53210881641073</v>
      </c>
      <c r="EQ312" s="18">
        <f>IFERROR(BR312/'McDonough &amp; Sun 1995 values'!H$2,)</f>
        <v>0</v>
      </c>
      <c r="ER312" s="18">
        <f>IFERROR(DI312/'McDonough &amp; Sun 1995 values'!I$2,)</f>
        <v>489.76272705694709</v>
      </c>
      <c r="ES312" s="18">
        <f>IFERROR(CM312/'McDonough &amp; Sun 1995 values'!J$2,)</f>
        <v>499.0394651504418</v>
      </c>
      <c r="ET312" s="18">
        <f>IFERROR(CU312/'McDonough &amp; Sun 1995 values'!K$2,)</f>
        <v>75.686237330181342</v>
      </c>
      <c r="EU312" s="18">
        <f>IFERROR(CV312/'McDonough &amp; Sun 1995 values'!L$2,)</f>
        <v>58.605537370309541</v>
      </c>
      <c r="EV312" s="18">
        <f>IFERROR(CW312/'McDonough &amp; Sun 1995 values'!M$2,)</f>
        <v>48.395032811308852</v>
      </c>
      <c r="EW312" s="18">
        <f>IFERROR(CI312/'McDonough &amp; Sun 1995 values'!N$2,)</f>
        <v>125.10191594006565</v>
      </c>
      <c r="EX312" s="18">
        <f>IFERROR(CX312/'McDonough &amp; Sun 1995 values'!O$2,)</f>
        <v>70.82366037061341</v>
      </c>
      <c r="EY312" s="18">
        <f>IFERROR(CY312/'McDonough &amp; Sun 1995 values'!P$2,)</f>
        <v>70.836582798227994</v>
      </c>
      <c r="EZ312" s="18">
        <f>IFERROR(DH312/'McDonough &amp; Sun 1995 values'!Q$2,)</f>
        <v>25.39327647575313</v>
      </c>
      <c r="FA312" s="18">
        <f>IFERROR(CK312/'McDonough &amp; Sun 1995 values'!R$2,)</f>
        <v>32.63698859165526</v>
      </c>
      <c r="FB312" s="18">
        <f>IFERROR(CZ312/'McDonough &amp; Sun 1995 values'!S$2,)</f>
        <v>58.700592201070009</v>
      </c>
      <c r="FC312" s="18">
        <f>IFERROR(BT312/'McDonough &amp; Sun 1995 values'!T$2,)</f>
        <v>22.545562676804899</v>
      </c>
      <c r="FD312" s="18">
        <f>IFERROR(DA312/'McDonough &amp; Sun 1995 values'!U$2,)</f>
        <v>60.25717423147659</v>
      </c>
      <c r="FE312" s="18">
        <f>IFERROR(DN312/'McDonough &amp; Sun 1995 values'!V$2,)</f>
        <v>50.230364039492578</v>
      </c>
      <c r="FF312" s="18">
        <f>IFERROR(DB312/'McDonough &amp; Sun 1995 values'!W$2,)</f>
        <v>36.970636627516903</v>
      </c>
      <c r="FG312" s="18">
        <f>IFERROR(CJ312/'McDonough &amp; Sun 1995 values'!X$2,)</f>
        <v>21.86561013194121</v>
      </c>
      <c r="FH312" s="18">
        <f>IFERROR(DC312/'McDonough &amp; Sun 1995 values'!Y$2,)</f>
        <v>25.264192681052574</v>
      </c>
      <c r="FI312" s="18">
        <f>IFERROR(DD312/'McDonough &amp; Sun 1995 values'!Z$2,)</f>
        <v>21.395440631002707</v>
      </c>
      <c r="FJ312" s="18">
        <f>IFERROR(DE312/'McDonough &amp; Sun 1995 values'!AA$2,)</f>
        <v>0</v>
      </c>
      <c r="FK312" s="18">
        <f>IFERROR(DF312/'McDonough &amp; Sun 1995 values'!AB$2,)</f>
        <v>9.6998008812234175</v>
      </c>
      <c r="FL312" s="18">
        <f>IFERROR(DG312/'McDonough &amp; Sun 1995 values'!AC$2,)</f>
        <v>9.9427177767217074</v>
      </c>
      <c r="FN312" s="28">
        <f t="shared" si="698"/>
        <v>0</v>
      </c>
      <c r="FO312" s="4">
        <f t="shared" si="699"/>
        <v>4.1479051166350764</v>
      </c>
      <c r="FP312" s="4">
        <f t="shared" si="700"/>
        <v>0.15939609632697507</v>
      </c>
      <c r="FQ312" s="4">
        <f t="shared" si="701"/>
        <v>0.65994815355998904</v>
      </c>
      <c r="FR312" s="4">
        <f t="shared" si="702"/>
        <v>0.1516638314514159</v>
      </c>
      <c r="FS312" s="4">
        <f t="shared" si="703"/>
        <v>0.15453654014259222</v>
      </c>
      <c r="FT312" s="4">
        <f t="shared" si="704"/>
        <v>0</v>
      </c>
      <c r="FU312" s="4">
        <f t="shared" si="705"/>
        <v>0.98141081268853536</v>
      </c>
      <c r="FV312" s="4">
        <f t="shared" si="706"/>
        <v>0.46073634981262379</v>
      </c>
      <c r="FW312" s="4">
        <f t="shared" si="707"/>
        <v>1.2852610265878379</v>
      </c>
      <c r="FX312" s="4">
        <f t="shared" si="708"/>
        <v>0.89555129902591801</v>
      </c>
      <c r="FY312" s="4">
        <f t="shared" si="709"/>
        <v>2.1368516985061881</v>
      </c>
      <c r="FZ312" s="4">
        <f t="shared" si="710"/>
        <v>0.89848183394491121</v>
      </c>
      <c r="GA312" s="4">
        <f t="shared" si="711"/>
        <v>2.5850156239760227</v>
      </c>
      <c r="GB312" s="4">
        <f t="shared" si="712"/>
        <v>0.8286762274836672</v>
      </c>
      <c r="GC312" s="4">
        <f t="shared" si="713"/>
        <v>0</v>
      </c>
      <c r="GD312" s="4">
        <f t="shared" si="714"/>
        <v>6.2851984572724966</v>
      </c>
      <c r="GE312" s="4">
        <f t="shared" si="715"/>
        <v>1.2330998711782983</v>
      </c>
      <c r="GF312" s="4">
        <f t="shared" si="716"/>
        <v>0</v>
      </c>
      <c r="GG312" s="4">
        <f t="shared" si="717"/>
        <v>1.001836098729562</v>
      </c>
      <c r="GH312" s="4">
        <f t="shared" si="718"/>
        <v>1.5639257364548194</v>
      </c>
      <c r="GI312" s="4">
        <f t="shared" si="719"/>
        <v>1.0684625703327217</v>
      </c>
      <c r="GJ312" s="4">
        <f t="shared" si="720"/>
        <v>2.0471986482875106</v>
      </c>
      <c r="GK312" s="4">
        <f t="shared" si="721"/>
        <v>7.8028650543427629</v>
      </c>
      <c r="GL312" s="4">
        <f t="shared" si="722"/>
        <v>1.447601422040911</v>
      </c>
      <c r="GM312" s="4">
        <f t="shared" si="723"/>
        <v>0.19619107965501065</v>
      </c>
      <c r="GN312" s="4">
        <f t="shared" si="724"/>
        <v>6.5935298510531215</v>
      </c>
      <c r="GO312" s="4">
        <f t="shared" si="725"/>
        <v>4.1403031113523205</v>
      </c>
      <c r="GP312" s="4">
        <f t="shared" si="726"/>
        <v>0</v>
      </c>
      <c r="GQ312" s="27">
        <f t="shared" si="727"/>
        <v>156376.56566256724</v>
      </c>
      <c r="GR312" s="28" t="str">
        <f t="shared" si="728"/>
        <v/>
      </c>
      <c r="GS312" s="28" t="str">
        <f t="shared" si="729"/>
        <v/>
      </c>
      <c r="GT312" s="28" t="str">
        <f t="shared" si="730"/>
        <v/>
      </c>
      <c r="GU312" s="28" t="str">
        <f t="shared" si="731"/>
        <v/>
      </c>
      <c r="GV312" s="28" t="str">
        <f t="shared" si="732"/>
        <v/>
      </c>
      <c r="GW312" s="28" t="str">
        <f t="shared" si="733"/>
        <v/>
      </c>
      <c r="GX312" s="28" t="str">
        <f t="shared" si="734"/>
        <v/>
      </c>
      <c r="GY312" s="28" t="str">
        <f t="shared" si="735"/>
        <v/>
      </c>
      <c r="GZ312" s="28" t="str">
        <f t="shared" si="736"/>
        <v/>
      </c>
      <c r="HA312" s="28" t="str">
        <f t="shared" si="737"/>
        <v/>
      </c>
      <c r="HB312" s="28" t="str">
        <f t="shared" si="738"/>
        <v/>
      </c>
      <c r="HC312" s="28" t="str">
        <f t="shared" si="739"/>
        <v/>
      </c>
      <c r="HD312" s="28" t="str">
        <f t="shared" si="740"/>
        <v/>
      </c>
      <c r="HE312" s="28" t="str">
        <f t="shared" si="741"/>
        <v/>
      </c>
      <c r="HF312" s="28" t="str">
        <f t="shared" si="742"/>
        <v/>
      </c>
      <c r="HG312" s="28" t="str">
        <f t="shared" si="743"/>
        <v/>
      </c>
      <c r="HH312" s="28" t="str">
        <f t="shared" si="744"/>
        <v/>
      </c>
      <c r="HI312" s="28" t="str">
        <f t="shared" si="745"/>
        <v/>
      </c>
      <c r="HJ312" s="28" t="str">
        <f t="shared" si="746"/>
        <v/>
      </c>
      <c r="HK312" s="28" t="str">
        <f t="shared" si="747"/>
        <v/>
      </c>
      <c r="HL312" s="28" t="str">
        <f t="shared" si="748"/>
        <v/>
      </c>
      <c r="HM312" s="28" t="str">
        <f t="shared" si="749"/>
        <v/>
      </c>
      <c r="HN312" s="28" t="str">
        <f t="shared" si="750"/>
        <v/>
      </c>
      <c r="HO312" s="28" t="str">
        <f t="shared" si="751"/>
        <v/>
      </c>
      <c r="HP312" s="28" t="str">
        <f t="shared" si="752"/>
        <v/>
      </c>
      <c r="HQ312" s="28" t="str">
        <f t="shared" si="753"/>
        <v/>
      </c>
      <c r="HR312" s="28" t="str">
        <f t="shared" si="754"/>
        <v/>
      </c>
      <c r="HT312" s="4">
        <f>IFERROR(GR312/'McDonough &amp; Sun 1995 values'!C$2,)</f>
        <v>0</v>
      </c>
      <c r="HU312" s="4">
        <f>IFERROR(GS312/'McDonough &amp; Sun 1995 values'!D$2,)</f>
        <v>0</v>
      </c>
      <c r="HV312" s="4">
        <f>IFERROR(GT312/'McDonough &amp; Sun 1995 values'!E$2,)</f>
        <v>0</v>
      </c>
      <c r="HW312" s="4">
        <f>IFERROR(GU312/'McDonough &amp; Sun 1995 values'!F$2,)</f>
        <v>0</v>
      </c>
      <c r="HX312" s="4">
        <f>IFERROR(GV312/'McDonough &amp; Sun 1995 values'!G$2,)</f>
        <v>0</v>
      </c>
      <c r="HY312" s="4">
        <f>IFERROR(GW312/'McDonough &amp; Sun 1995 values'!H$2,)</f>
        <v>0</v>
      </c>
      <c r="HZ312" s="4">
        <f>IFERROR(GX312/'McDonough &amp; Sun 1995 values'!I$2,)</f>
        <v>0</v>
      </c>
      <c r="IA312" s="4">
        <f>IFERROR(GY312/'McDonough &amp; Sun 1995 values'!J$2,)</f>
        <v>0</v>
      </c>
      <c r="IB312" s="4">
        <f>IFERROR(GZ312/'McDonough &amp; Sun 1995 values'!K$2,)</f>
        <v>0</v>
      </c>
      <c r="IC312" s="4">
        <f>IFERROR(HA312/'McDonough &amp; Sun 1995 values'!L$2,)</f>
        <v>0</v>
      </c>
      <c r="ID312" s="4">
        <f>IFERROR(HB312/'McDonough &amp; Sun 1995 values'!M$2,)</f>
        <v>0</v>
      </c>
      <c r="IE312" s="4">
        <f>IFERROR(HC312/'McDonough &amp; Sun 1995 values'!N$2,)</f>
        <v>0</v>
      </c>
      <c r="IF312" s="4">
        <f>IFERROR(HD312/'McDonough &amp; Sun 1995 values'!O$2,)</f>
        <v>0</v>
      </c>
      <c r="IG312" s="4">
        <f>IFERROR(HE312/'McDonough &amp; Sun 1995 values'!P$2,)</f>
        <v>0</v>
      </c>
      <c r="IH312" s="4">
        <f>IFERROR(HF312/'McDonough &amp; Sun 1995 values'!Q$2,)</f>
        <v>0</v>
      </c>
      <c r="II312" s="4">
        <f>IFERROR(HG312/'McDonough &amp; Sun 1995 values'!R$2,)</f>
        <v>0</v>
      </c>
      <c r="IJ312" s="4">
        <f>IFERROR(HH312/'McDonough &amp; Sun 1995 values'!S$2,)</f>
        <v>0</v>
      </c>
      <c r="IK312" s="4">
        <f>IFERROR(HI312/'McDonough &amp; Sun 1995 values'!T$2,)</f>
        <v>0</v>
      </c>
      <c r="IL312" s="4">
        <f>IFERROR(HJ312/'McDonough &amp; Sun 1995 values'!U$2,)</f>
        <v>0</v>
      </c>
      <c r="IM312" s="4">
        <f>IFERROR(HK312/'McDonough &amp; Sun 1995 values'!V$2,)</f>
        <v>0</v>
      </c>
      <c r="IN312" s="4">
        <f>IFERROR(HL312/'McDonough &amp; Sun 1995 values'!W$2,)</f>
        <v>0</v>
      </c>
      <c r="IO312" s="4">
        <f>IFERROR(HM312/'McDonough &amp; Sun 1995 values'!X$2,)</f>
        <v>0</v>
      </c>
      <c r="IP312" s="4">
        <f>IFERROR(HN312/'McDonough &amp; Sun 1995 values'!Y$2,)</f>
        <v>0</v>
      </c>
      <c r="IQ312" s="4">
        <f>IFERROR(HO312/'McDonough &amp; Sun 1995 values'!Z$2,)</f>
        <v>0</v>
      </c>
      <c r="IR312" s="4">
        <f>IFERROR(HP312/'McDonough &amp; Sun 1995 values'!AA$2,)</f>
        <v>0</v>
      </c>
      <c r="IS312" s="4">
        <f>IFERROR(HQ312/'McDonough &amp; Sun 1995 values'!AB$2,)</f>
        <v>0</v>
      </c>
      <c r="IT312" s="4">
        <f>IFERROR(HR312/'McDonough &amp; Sun 1995 values'!AC$2,)</f>
        <v>0</v>
      </c>
    </row>
    <row r="313" spans="1:254">
      <c r="A313" s="16" t="s">
        <v>1656</v>
      </c>
      <c r="B313" s="4" t="s">
        <v>24</v>
      </c>
      <c r="C313" s="16" t="str">
        <f t="shared" si="617"/>
        <v>silicic - low-Mg carbonatitic</v>
      </c>
      <c r="D313" s="4" t="s">
        <v>1724</v>
      </c>
      <c r="E313" s="4" t="s">
        <v>237</v>
      </c>
      <c r="F313" s="4" t="s">
        <v>849</v>
      </c>
      <c r="G313" s="4" t="s">
        <v>595</v>
      </c>
      <c r="H313" s="49">
        <v>364</v>
      </c>
      <c r="I313" s="4" t="s">
        <v>1148</v>
      </c>
      <c r="J313" s="4" t="s">
        <v>635</v>
      </c>
      <c r="K313" s="4" t="s">
        <v>1667</v>
      </c>
      <c r="M313" s="4" t="s">
        <v>1675</v>
      </c>
      <c r="N313" s="4">
        <v>28</v>
      </c>
      <c r="O313" s="4">
        <v>27.5</v>
      </c>
      <c r="P313" s="4">
        <v>2.04</v>
      </c>
      <c r="R313" s="4">
        <v>9.25</v>
      </c>
      <c r="S313" s="4">
        <v>11.4</v>
      </c>
      <c r="T313" s="4">
        <v>5.48</v>
      </c>
      <c r="V313" s="4">
        <v>12.2</v>
      </c>
      <c r="W313" s="4">
        <v>7.48</v>
      </c>
      <c r="X313" s="4">
        <v>20.399999999999999</v>
      </c>
      <c r="Z313" s="4">
        <v>3.42</v>
      </c>
      <c r="AD313" s="4">
        <v>0.8</v>
      </c>
      <c r="AJ313" s="26">
        <f t="shared" si="618"/>
        <v>99.97</v>
      </c>
      <c r="AK313" s="26">
        <f t="shared" si="689"/>
        <v>27.557929668278412</v>
      </c>
      <c r="AL313" s="26">
        <f t="shared" si="689"/>
        <v>2.0442973281195624</v>
      </c>
      <c r="AM313" s="26">
        <f t="shared" si="690"/>
        <v>9.2694854338754649</v>
      </c>
      <c r="AN313" s="26">
        <f t="shared" si="690"/>
        <v>11.424014480668143</v>
      </c>
      <c r="AO313" s="26">
        <f t="shared" si="690"/>
        <v>5.4915438029878443</v>
      </c>
      <c r="AP313" s="26">
        <f t="shared" si="691"/>
        <v>12.225699707381695</v>
      </c>
      <c r="AQ313" s="26">
        <f t="shared" si="692"/>
        <v>0</v>
      </c>
      <c r="AR313" s="26">
        <f t="shared" si="693"/>
        <v>7.4957568697717285</v>
      </c>
      <c r="AS313" s="26">
        <f t="shared" si="693"/>
        <v>20.44297328119562</v>
      </c>
      <c r="AT313" s="26">
        <f t="shared" si="694"/>
        <v>3.427204344200443</v>
      </c>
      <c r="AU313" s="26">
        <f t="shared" si="695"/>
        <v>0.80168522671355391</v>
      </c>
      <c r="AV313" s="26">
        <f t="shared" si="619"/>
        <v>100.18059014319248</v>
      </c>
      <c r="BB313" s="26">
        <v>0.27</v>
      </c>
      <c r="BC313" s="26">
        <f t="shared" si="696"/>
        <v>0.27</v>
      </c>
      <c r="BD313" s="26">
        <f t="shared" si="697"/>
        <v>0.73</v>
      </c>
      <c r="BG313" s="4">
        <v>692.40484615384605</v>
      </c>
      <c r="BH313" s="4">
        <v>6.5405880990081737</v>
      </c>
      <c r="BL313" s="26"/>
      <c r="EL313" s="18">
        <f>IFERROR(CR313/'McDonough &amp; Sun 1995 values'!C$2,)</f>
        <v>0</v>
      </c>
      <c r="EM313" s="18">
        <f>IFERROR(CH313/'McDonough &amp; Sun 1995 values'!D$2,)</f>
        <v>0</v>
      </c>
      <c r="EN313" s="18">
        <f>IFERROR(CS313/'McDonough &amp; Sun 1995 values'!E$2,)</f>
        <v>0</v>
      </c>
      <c r="EO313" s="18">
        <f>IFERROR(DL313/'McDonough &amp; Sun 1995 values'!F$2,)</f>
        <v>0</v>
      </c>
      <c r="EP313" s="18">
        <f>IFERROR(DM313/'McDonough &amp; Sun 1995 values'!G$2,)</f>
        <v>0</v>
      </c>
      <c r="EQ313" s="18">
        <f>IFERROR(BR313/'McDonough &amp; Sun 1995 values'!H$2,)</f>
        <v>0</v>
      </c>
      <c r="ER313" s="18">
        <f>IFERROR(DI313/'McDonough &amp; Sun 1995 values'!I$2,)</f>
        <v>0</v>
      </c>
      <c r="ES313" s="18">
        <f>IFERROR(CM313/'McDonough &amp; Sun 1995 values'!J$2,)</f>
        <v>0</v>
      </c>
      <c r="ET313" s="18">
        <f>IFERROR(CU313/'McDonough &amp; Sun 1995 values'!K$2,)</f>
        <v>0</v>
      </c>
      <c r="EU313" s="18">
        <f>IFERROR(CV313/'McDonough &amp; Sun 1995 values'!L$2,)</f>
        <v>0</v>
      </c>
      <c r="EV313" s="18">
        <f>IFERROR(CW313/'McDonough &amp; Sun 1995 values'!M$2,)</f>
        <v>0</v>
      </c>
      <c r="EW313" s="18">
        <f>IFERROR(CI313/'McDonough &amp; Sun 1995 values'!N$2,)</f>
        <v>0</v>
      </c>
      <c r="EX313" s="18">
        <f>IFERROR(CX313/'McDonough &amp; Sun 1995 values'!O$2,)</f>
        <v>0</v>
      </c>
      <c r="EY313" s="18">
        <f>IFERROR(CY313/'McDonough &amp; Sun 1995 values'!P$2,)</f>
        <v>0</v>
      </c>
      <c r="EZ313" s="18">
        <f>IFERROR(DH313/'McDonough &amp; Sun 1995 values'!Q$2,)</f>
        <v>0</v>
      </c>
      <c r="FA313" s="18">
        <f>IFERROR(CK313/'McDonough &amp; Sun 1995 values'!R$2,)</f>
        <v>0</v>
      </c>
      <c r="FB313" s="18">
        <f>IFERROR(CZ313/'McDonough &amp; Sun 1995 values'!S$2,)</f>
        <v>0</v>
      </c>
      <c r="FC313" s="18">
        <f>IFERROR(BT313/'McDonough &amp; Sun 1995 values'!T$2,)</f>
        <v>0</v>
      </c>
      <c r="FD313" s="18">
        <f>IFERROR(DA313/'McDonough &amp; Sun 1995 values'!U$2,)</f>
        <v>0</v>
      </c>
      <c r="FE313" s="18">
        <f>IFERROR(DN313/'McDonough &amp; Sun 1995 values'!V$2,)</f>
        <v>0</v>
      </c>
      <c r="FF313" s="18">
        <f>IFERROR(DB313/'McDonough &amp; Sun 1995 values'!W$2,)</f>
        <v>0</v>
      </c>
      <c r="FG313" s="18">
        <f>IFERROR(CJ313/'McDonough &amp; Sun 1995 values'!X$2,)</f>
        <v>0</v>
      </c>
      <c r="FH313" s="18">
        <f>IFERROR(DC313/'McDonough &amp; Sun 1995 values'!Y$2,)</f>
        <v>0</v>
      </c>
      <c r="FI313" s="18">
        <f>IFERROR(DD313/'McDonough &amp; Sun 1995 values'!Z$2,)</f>
        <v>0</v>
      </c>
      <c r="FJ313" s="18">
        <f>IFERROR(DE313/'McDonough &amp; Sun 1995 values'!AA$2,)</f>
        <v>0</v>
      </c>
      <c r="FK313" s="18">
        <f>IFERROR(DF313/'McDonough &amp; Sun 1995 values'!AB$2,)</f>
        <v>0</v>
      </c>
      <c r="FL313" s="18">
        <f>IFERROR(DG313/'McDonough &amp; Sun 1995 values'!AC$2,)</f>
        <v>0</v>
      </c>
      <c r="FN313" s="28">
        <f t="shared" si="698"/>
        <v>0</v>
      </c>
      <c r="FO313" s="4">
        <f t="shared" si="699"/>
        <v>0</v>
      </c>
      <c r="FP313" s="4">
        <f t="shared" si="700"/>
        <v>0</v>
      </c>
      <c r="FQ313" s="4">
        <f t="shared" si="701"/>
        <v>0</v>
      </c>
      <c r="FR313" s="4">
        <f t="shared" si="702"/>
        <v>0</v>
      </c>
      <c r="FS313" s="4">
        <f t="shared" si="703"/>
        <v>0</v>
      </c>
      <c r="FT313" s="4">
        <f t="shared" si="704"/>
        <v>0</v>
      </c>
      <c r="FU313" s="4">
        <f t="shared" si="705"/>
        <v>0</v>
      </c>
      <c r="FV313" s="4">
        <f t="shared" si="706"/>
        <v>0</v>
      </c>
      <c r="FW313" s="4">
        <f t="shared" si="707"/>
        <v>0</v>
      </c>
      <c r="FX313" s="4">
        <f t="shared" si="708"/>
        <v>0</v>
      </c>
      <c r="FY313" s="4">
        <f t="shared" si="709"/>
        <v>0</v>
      </c>
      <c r="FZ313" s="4">
        <f t="shared" si="710"/>
        <v>0</v>
      </c>
      <c r="GA313" s="4">
        <f t="shared" si="711"/>
        <v>0</v>
      </c>
      <c r="GB313" s="4">
        <f t="shared" si="712"/>
        <v>0</v>
      </c>
      <c r="GC313" s="4">
        <f t="shared" si="713"/>
        <v>0</v>
      </c>
      <c r="GD313" s="4">
        <f t="shared" si="714"/>
        <v>0</v>
      </c>
      <c r="GE313" s="4">
        <f t="shared" si="715"/>
        <v>0</v>
      </c>
      <c r="GF313" s="4">
        <f t="shared" si="716"/>
        <v>0</v>
      </c>
      <c r="GG313" s="4">
        <f t="shared" si="717"/>
        <v>0</v>
      </c>
      <c r="GH313" s="4">
        <f t="shared" si="718"/>
        <v>0</v>
      </c>
      <c r="GI313" s="4">
        <f t="shared" si="719"/>
        <v>0</v>
      </c>
      <c r="GJ313" s="4">
        <f t="shared" si="720"/>
        <v>0</v>
      </c>
      <c r="GK313" s="4">
        <f t="shared" si="721"/>
        <v>0</v>
      </c>
      <c r="GL313" s="4">
        <f t="shared" si="722"/>
        <v>0</v>
      </c>
      <c r="GM313" s="4">
        <f t="shared" si="723"/>
        <v>0</v>
      </c>
      <c r="GN313" s="4">
        <f t="shared" si="724"/>
        <v>0</v>
      </c>
      <c r="GO313" s="4">
        <f t="shared" si="725"/>
        <v>0</v>
      </c>
      <c r="GP313" s="4">
        <f t="shared" si="726"/>
        <v>0</v>
      </c>
      <c r="GQ313" s="27">
        <f t="shared" si="727"/>
        <v>169704.74739914347</v>
      </c>
      <c r="GR313" s="28" t="str">
        <f t="shared" si="728"/>
        <v/>
      </c>
      <c r="GS313" s="28" t="str">
        <f t="shared" si="729"/>
        <v/>
      </c>
      <c r="GT313" s="28" t="str">
        <f t="shared" si="730"/>
        <v/>
      </c>
      <c r="GU313" s="28" t="str">
        <f t="shared" si="731"/>
        <v/>
      </c>
      <c r="GV313" s="28" t="str">
        <f t="shared" si="732"/>
        <v/>
      </c>
      <c r="GW313" s="28" t="str">
        <f t="shared" si="733"/>
        <v/>
      </c>
      <c r="GX313" s="28" t="str">
        <f t="shared" si="734"/>
        <v/>
      </c>
      <c r="GY313" s="28" t="str">
        <f t="shared" si="735"/>
        <v/>
      </c>
      <c r="GZ313" s="28" t="str">
        <f t="shared" si="736"/>
        <v/>
      </c>
      <c r="HA313" s="28" t="str">
        <f t="shared" si="737"/>
        <v/>
      </c>
      <c r="HB313" s="28" t="str">
        <f t="shared" si="738"/>
        <v/>
      </c>
      <c r="HC313" s="28" t="str">
        <f t="shared" si="739"/>
        <v/>
      </c>
      <c r="HD313" s="28" t="str">
        <f t="shared" si="740"/>
        <v/>
      </c>
      <c r="HE313" s="28" t="str">
        <f t="shared" si="741"/>
        <v/>
      </c>
      <c r="HF313" s="28" t="str">
        <f t="shared" si="742"/>
        <v/>
      </c>
      <c r="HG313" s="28" t="str">
        <f t="shared" si="743"/>
        <v/>
      </c>
      <c r="HH313" s="28" t="str">
        <f t="shared" si="744"/>
        <v/>
      </c>
      <c r="HI313" s="28" t="str">
        <f t="shared" si="745"/>
        <v/>
      </c>
      <c r="HJ313" s="28" t="str">
        <f t="shared" si="746"/>
        <v/>
      </c>
      <c r="HK313" s="28" t="str">
        <f t="shared" si="747"/>
        <v/>
      </c>
      <c r="HL313" s="28" t="str">
        <f t="shared" si="748"/>
        <v/>
      </c>
      <c r="HM313" s="28" t="str">
        <f t="shared" si="749"/>
        <v/>
      </c>
      <c r="HN313" s="28" t="str">
        <f t="shared" si="750"/>
        <v/>
      </c>
      <c r="HO313" s="28" t="str">
        <f t="shared" si="751"/>
        <v/>
      </c>
      <c r="HP313" s="28" t="str">
        <f t="shared" si="752"/>
        <v/>
      </c>
      <c r="HQ313" s="28" t="str">
        <f t="shared" si="753"/>
        <v/>
      </c>
      <c r="HR313" s="28" t="str">
        <f t="shared" si="754"/>
        <v/>
      </c>
      <c r="HT313" s="4">
        <f>IFERROR(GR313/'McDonough &amp; Sun 1995 values'!C$2,)</f>
        <v>0</v>
      </c>
      <c r="HU313" s="4">
        <f>IFERROR(GS313/'McDonough &amp; Sun 1995 values'!D$2,)</f>
        <v>0</v>
      </c>
      <c r="HV313" s="4">
        <f>IFERROR(GT313/'McDonough &amp; Sun 1995 values'!E$2,)</f>
        <v>0</v>
      </c>
      <c r="HW313" s="4">
        <f>IFERROR(GU313/'McDonough &amp; Sun 1995 values'!F$2,)</f>
        <v>0</v>
      </c>
      <c r="HX313" s="4">
        <f>IFERROR(GV313/'McDonough &amp; Sun 1995 values'!G$2,)</f>
        <v>0</v>
      </c>
      <c r="HY313" s="4">
        <f>IFERROR(GW313/'McDonough &amp; Sun 1995 values'!H$2,)</f>
        <v>0</v>
      </c>
      <c r="HZ313" s="4">
        <f>IFERROR(GX313/'McDonough &amp; Sun 1995 values'!I$2,)</f>
        <v>0</v>
      </c>
      <c r="IA313" s="4">
        <f>IFERROR(GY313/'McDonough &amp; Sun 1995 values'!J$2,)</f>
        <v>0</v>
      </c>
      <c r="IB313" s="4">
        <f>IFERROR(GZ313/'McDonough &amp; Sun 1995 values'!K$2,)</f>
        <v>0</v>
      </c>
      <c r="IC313" s="4">
        <f>IFERROR(HA313/'McDonough &amp; Sun 1995 values'!L$2,)</f>
        <v>0</v>
      </c>
      <c r="ID313" s="4">
        <f>IFERROR(HB313/'McDonough &amp; Sun 1995 values'!M$2,)</f>
        <v>0</v>
      </c>
      <c r="IE313" s="4">
        <f>IFERROR(HC313/'McDonough &amp; Sun 1995 values'!N$2,)</f>
        <v>0</v>
      </c>
      <c r="IF313" s="4">
        <f>IFERROR(HD313/'McDonough &amp; Sun 1995 values'!O$2,)</f>
        <v>0</v>
      </c>
      <c r="IG313" s="4">
        <f>IFERROR(HE313/'McDonough &amp; Sun 1995 values'!P$2,)</f>
        <v>0</v>
      </c>
      <c r="IH313" s="4">
        <f>IFERROR(HF313/'McDonough &amp; Sun 1995 values'!Q$2,)</f>
        <v>0</v>
      </c>
      <c r="II313" s="4">
        <f>IFERROR(HG313/'McDonough &amp; Sun 1995 values'!R$2,)</f>
        <v>0</v>
      </c>
      <c r="IJ313" s="4">
        <f>IFERROR(HH313/'McDonough &amp; Sun 1995 values'!S$2,)</f>
        <v>0</v>
      </c>
      <c r="IK313" s="4">
        <f>IFERROR(HI313/'McDonough &amp; Sun 1995 values'!T$2,)</f>
        <v>0</v>
      </c>
      <c r="IL313" s="4">
        <f>IFERROR(HJ313/'McDonough &amp; Sun 1995 values'!U$2,)</f>
        <v>0</v>
      </c>
      <c r="IM313" s="4">
        <f>IFERROR(HK313/'McDonough &amp; Sun 1995 values'!V$2,)</f>
        <v>0</v>
      </c>
      <c r="IN313" s="4">
        <f>IFERROR(HL313/'McDonough &amp; Sun 1995 values'!W$2,)</f>
        <v>0</v>
      </c>
      <c r="IO313" s="4">
        <f>IFERROR(HM313/'McDonough &amp; Sun 1995 values'!X$2,)</f>
        <v>0</v>
      </c>
      <c r="IP313" s="4">
        <f>IFERROR(HN313/'McDonough &amp; Sun 1995 values'!Y$2,)</f>
        <v>0</v>
      </c>
      <c r="IQ313" s="4">
        <f>IFERROR(HO313/'McDonough &amp; Sun 1995 values'!Z$2,)</f>
        <v>0</v>
      </c>
      <c r="IR313" s="4">
        <f>IFERROR(HP313/'McDonough &amp; Sun 1995 values'!AA$2,)</f>
        <v>0</v>
      </c>
      <c r="IS313" s="4">
        <f>IFERROR(HQ313/'McDonough &amp; Sun 1995 values'!AB$2,)</f>
        <v>0</v>
      </c>
      <c r="IT313" s="4">
        <f>IFERROR(HR313/'McDonough &amp; Sun 1995 values'!AC$2,)</f>
        <v>0</v>
      </c>
    </row>
    <row r="314" spans="1:254">
      <c r="A314" s="16" t="s">
        <v>1656</v>
      </c>
      <c r="B314" s="4" t="s">
        <v>24</v>
      </c>
      <c r="C314" s="16" t="str">
        <f t="shared" si="617"/>
        <v>silicic - low-Mg carbonatitic</v>
      </c>
      <c r="D314" s="4" t="s">
        <v>1724</v>
      </c>
      <c r="E314" s="4" t="s">
        <v>237</v>
      </c>
      <c r="F314" s="4" t="s">
        <v>849</v>
      </c>
      <c r="G314" s="4" t="s">
        <v>595</v>
      </c>
      <c r="H314" s="49">
        <v>364</v>
      </c>
      <c r="I314" s="4" t="s">
        <v>1148</v>
      </c>
      <c r="J314" s="4" t="s">
        <v>635</v>
      </c>
      <c r="K314" s="4" t="s">
        <v>1667</v>
      </c>
      <c r="M314" s="4" t="s">
        <v>1677</v>
      </c>
      <c r="N314" s="4">
        <v>36</v>
      </c>
      <c r="O314" s="4">
        <v>26.8</v>
      </c>
      <c r="P314" s="4">
        <v>2.46</v>
      </c>
      <c r="R314" s="4">
        <v>7.66</v>
      </c>
      <c r="S314" s="4">
        <v>13.6</v>
      </c>
      <c r="T314" s="4">
        <v>7.31</v>
      </c>
      <c r="V314" s="4">
        <v>15.4</v>
      </c>
      <c r="W314" s="4">
        <v>5.32</v>
      </c>
      <c r="X314" s="4">
        <v>18.399999999999999</v>
      </c>
      <c r="Z314" s="4">
        <v>2.31</v>
      </c>
      <c r="AD314" s="4">
        <v>0.39</v>
      </c>
      <c r="AF314" s="4">
        <v>0.39</v>
      </c>
      <c r="AJ314" s="26">
        <f t="shared" si="618"/>
        <v>99.65000000000002</v>
      </c>
      <c r="AK314" s="26">
        <f t="shared" si="689"/>
        <v>26.917882457117148</v>
      </c>
      <c r="AL314" s="26">
        <f t="shared" si="689"/>
        <v>2.4708205538995589</v>
      </c>
      <c r="AM314" s="26">
        <f t="shared" si="690"/>
        <v>7.6936932694596036</v>
      </c>
      <c r="AN314" s="26">
        <f t="shared" si="690"/>
        <v>13.659820948387807</v>
      </c>
      <c r="AO314" s="26">
        <f t="shared" si="690"/>
        <v>7.3421537597584452</v>
      </c>
      <c r="AP314" s="26">
        <f t="shared" si="691"/>
        <v>15.467738426850898</v>
      </c>
      <c r="AQ314" s="26">
        <f t="shared" si="692"/>
        <v>0</v>
      </c>
      <c r="AR314" s="26">
        <f t="shared" si="693"/>
        <v>5.3434005474575832</v>
      </c>
      <c r="AS314" s="26">
        <f t="shared" si="693"/>
        <v>18.480934224289385</v>
      </c>
      <c r="AT314" s="26">
        <f t="shared" si="694"/>
        <v>2.3201607640276349</v>
      </c>
      <c r="AU314" s="26">
        <f t="shared" si="695"/>
        <v>0.39171545366700333</v>
      </c>
      <c r="AV314" s="26">
        <f t="shared" si="619"/>
        <v>100.08832040491507</v>
      </c>
      <c r="BB314" s="26">
        <v>0.28000000000000003</v>
      </c>
      <c r="BC314" s="26">
        <f t="shared" si="696"/>
        <v>0.28000000000000003</v>
      </c>
      <c r="BD314" s="26">
        <f t="shared" si="697"/>
        <v>0.72</v>
      </c>
      <c r="BG314" s="4">
        <v>911.08350000000007</v>
      </c>
      <c r="BH314" s="4">
        <v>6.7493216159277569</v>
      </c>
      <c r="BL314" s="26"/>
      <c r="BT314" s="44">
        <v>21990.056370271646</v>
      </c>
      <c r="CH314" s="44">
        <v>415.53564769510905</v>
      </c>
      <c r="CI314" s="44">
        <v>2919.7566654847565</v>
      </c>
      <c r="CJ314" s="44">
        <v>85.600378059688239</v>
      </c>
      <c r="CK314" s="44">
        <v>359.74277088844349</v>
      </c>
      <c r="CM314" s="44">
        <v>253.89899657185731</v>
      </c>
      <c r="CS314" s="44">
        <v>3666.7927422131711</v>
      </c>
      <c r="CU314" s="44">
        <v>49.823969209038985</v>
      </c>
      <c r="CV314" s="44">
        <v>104.4055573432596</v>
      </c>
      <c r="CW314" s="44">
        <v>18.683144439809311</v>
      </c>
      <c r="CX314" s="44">
        <v>95.884780541627322</v>
      </c>
      <c r="CY314" s="44">
        <v>30.720168171798644</v>
      </c>
      <c r="CZ314" s="44">
        <v>9.6943989526006877</v>
      </c>
      <c r="DA314" s="44">
        <v>32.081312226957287</v>
      </c>
      <c r="DB314" s="44">
        <v>24.614273299711765</v>
      </c>
      <c r="DC314" s="44">
        <v>6.1355568019370201</v>
      </c>
      <c r="DD314" s="44">
        <v>8.4099018290884455</v>
      </c>
      <c r="DF314" s="44">
        <v>5.0055478986931181</v>
      </c>
      <c r="DG314" s="44">
        <v>0.59271439872309895</v>
      </c>
      <c r="DH314" s="44">
        <v>6.9787344311707917</v>
      </c>
      <c r="DI314" s="44">
        <v>15.697927636113249</v>
      </c>
      <c r="DK314" s="44">
        <v>72.341345855323098</v>
      </c>
      <c r="DL314" s="44">
        <v>3.1848506577875053</v>
      </c>
      <c r="DM314" s="44">
        <v>1.3461315033381749</v>
      </c>
      <c r="DN314" s="44">
        <v>6.3652711922562109</v>
      </c>
      <c r="EL314" s="18">
        <f>IFERROR(CR314/'McDonough &amp; Sun 1995 values'!C$2,)</f>
        <v>0</v>
      </c>
      <c r="EM314" s="18">
        <f>IFERROR(CH314/'McDonough &amp; Sun 1995 values'!D$2,)</f>
        <v>692.55941282518177</v>
      </c>
      <c r="EN314" s="18">
        <f>IFERROR(CS314/'McDonough &amp; Sun 1995 values'!E$2,)</f>
        <v>555.57465791108655</v>
      </c>
      <c r="EO314" s="18">
        <f>IFERROR(DL314/'McDonough &amp; Sun 1995 values'!F$2,)</f>
        <v>40.061014563364843</v>
      </c>
      <c r="EP314" s="18">
        <f>IFERROR(DM314/'McDonough &amp; Sun 1995 values'!G$2,)</f>
        <v>66.31189671616626</v>
      </c>
      <c r="EQ314" s="18">
        <f>IFERROR(BR314/'McDonough &amp; Sun 1995 values'!H$2,)</f>
        <v>0</v>
      </c>
      <c r="ER314" s="18">
        <f>IFERROR(DI314/'McDonough &amp; Sun 1995 values'!I$2,)</f>
        <v>424.26831448954732</v>
      </c>
      <c r="ES314" s="18">
        <f>IFERROR(CM314/'McDonough &amp; Sun 1995 values'!J$2,)</f>
        <v>385.86473643139408</v>
      </c>
      <c r="ET314" s="18">
        <f>IFERROR(CU314/'McDonough &amp; Sun 1995 values'!K$2,)</f>
        <v>76.88884137197374</v>
      </c>
      <c r="EU314" s="18">
        <f>IFERROR(CV314/'McDonough &amp; Sun 1995 values'!L$2,)</f>
        <v>62.331676025826624</v>
      </c>
      <c r="EV314" s="18">
        <f>IFERROR(CW314/'McDonough &amp; Sun 1995 values'!M$2,)</f>
        <v>73.555686770902796</v>
      </c>
      <c r="EW314" s="18">
        <f>IFERROR(CI314/'McDonough &amp; Sun 1995 values'!N$2,)</f>
        <v>146.72144047662093</v>
      </c>
      <c r="EX314" s="18">
        <f>IFERROR(CX314/'McDonough &amp; Sun 1995 values'!O$2,)</f>
        <v>76.707824433301852</v>
      </c>
      <c r="EY314" s="18">
        <f>IFERROR(CY314/'McDonough &amp; Sun 1995 values'!P$2,)</f>
        <v>75.665438846794686</v>
      </c>
      <c r="EZ314" s="18">
        <f>IFERROR(DH314/'McDonough &amp; Sun 1995 values'!Q$2,)</f>
        <v>24.659838979402092</v>
      </c>
      <c r="FA314" s="18">
        <f>IFERROR(CK314/'McDonough &amp; Sun 1995 values'!R$2,)</f>
        <v>34.261216275089858</v>
      </c>
      <c r="FB314" s="18">
        <f>IFERROR(CZ314/'McDonough &amp; Sun 1995 values'!S$2,)</f>
        <v>62.950642549355116</v>
      </c>
      <c r="FC314" s="18">
        <f>IFERROR(BT314/'McDonough &amp; Sun 1995 values'!T$2,)</f>
        <v>18.249009435910079</v>
      </c>
      <c r="FD314" s="18">
        <f>IFERROR(DA314/'McDonough &amp; Sun 1995 values'!U$2,)</f>
        <v>58.973000417200893</v>
      </c>
      <c r="FE314" s="18">
        <f>IFERROR(DN314/'McDonough &amp; Sun 1995 values'!V$2,)</f>
        <v>64.295668608648597</v>
      </c>
      <c r="FF314" s="18">
        <f>IFERROR(DB314/'McDonough &amp; Sun 1995 values'!W$2,)</f>
        <v>36.519693323014486</v>
      </c>
      <c r="FG314" s="18">
        <f>IFERROR(CJ314/'McDonough &amp; Sun 1995 values'!X$2,)</f>
        <v>19.907064665043777</v>
      </c>
      <c r="FH314" s="18">
        <f>IFERROR(DC314/'McDonough &amp; Sun 1995 values'!Y$2,)</f>
        <v>41.178233570047119</v>
      </c>
      <c r="FI314" s="18">
        <f>IFERROR(DD314/'McDonough &amp; Sun 1995 values'!Z$2,)</f>
        <v>19.200689107507866</v>
      </c>
      <c r="FJ314" s="18">
        <f>IFERROR(DE314/'McDonough &amp; Sun 1995 values'!AA$2,)</f>
        <v>0</v>
      </c>
      <c r="FK314" s="18">
        <f>IFERROR(DF314/'McDonough &amp; Sun 1995 values'!AB$2,)</f>
        <v>11.350448749871017</v>
      </c>
      <c r="FL314" s="18">
        <f>IFERROR(DG314/'McDonough &amp; Sun 1995 values'!AC$2,)</f>
        <v>8.7809540551570215</v>
      </c>
      <c r="FN314" s="28">
        <f t="shared" si="698"/>
        <v>0</v>
      </c>
      <c r="FO314" s="4">
        <f t="shared" si="699"/>
        <v>8.3782048987243396</v>
      </c>
      <c r="FP314" s="4">
        <f t="shared" si="700"/>
        <v>0.10382139330445814</v>
      </c>
      <c r="FQ314" s="4">
        <f t="shared" si="701"/>
        <v>0.60413012667753052</v>
      </c>
      <c r="FR314" s="4">
        <f t="shared" si="702"/>
        <v>0.19926371630397588</v>
      </c>
      <c r="FS314" s="4">
        <f t="shared" si="703"/>
        <v>0.18122692349647065</v>
      </c>
      <c r="FT314" s="4">
        <f t="shared" si="704"/>
        <v>0</v>
      </c>
      <c r="FU314" s="4">
        <f t="shared" si="705"/>
        <v>1.0995260111440148</v>
      </c>
      <c r="FV314" s="4">
        <f t="shared" si="706"/>
        <v>0.4527987519435529</v>
      </c>
      <c r="FW314" s="4">
        <f t="shared" si="707"/>
        <v>1.3893527976280631</v>
      </c>
      <c r="FX314" s="4">
        <f t="shared" si="708"/>
        <v>0.93510654005611471</v>
      </c>
      <c r="FY314" s="4">
        <f t="shared" si="709"/>
        <v>1.9532850315769048</v>
      </c>
      <c r="FZ314" s="4">
        <f t="shared" si="710"/>
        <v>0.94237721612265435</v>
      </c>
      <c r="GA314" s="4">
        <f t="shared" si="711"/>
        <v>1.9946988046430842</v>
      </c>
      <c r="GB314" s="4">
        <f t="shared" si="712"/>
        <v>0.83196031779866975</v>
      </c>
      <c r="GC314" s="4">
        <f t="shared" si="713"/>
        <v>0</v>
      </c>
      <c r="GD314" s="4">
        <f t="shared" si="714"/>
        <v>13.868212374709818</v>
      </c>
      <c r="GE314" s="4">
        <f t="shared" si="715"/>
        <v>0.80220504930358461</v>
      </c>
      <c r="GF314" s="4">
        <f t="shared" si="716"/>
        <v>0</v>
      </c>
      <c r="GG314" s="4">
        <f t="shared" si="717"/>
        <v>1.4398171313845014</v>
      </c>
      <c r="GH314" s="4">
        <f t="shared" si="718"/>
        <v>1.0453147098123414</v>
      </c>
      <c r="GI314" s="4">
        <f t="shared" si="719"/>
        <v>1.0161685776733043</v>
      </c>
      <c r="GJ314" s="4">
        <f t="shared" si="720"/>
        <v>2.105407641074545</v>
      </c>
      <c r="GK314" s="4">
        <f t="shared" si="721"/>
        <v>6.7740794277272505</v>
      </c>
      <c r="GL314" s="4">
        <f t="shared" si="722"/>
        <v>1.8774288212965269</v>
      </c>
      <c r="GM314" s="4">
        <f t="shared" si="723"/>
        <v>5.7844877741163821E-2</v>
      </c>
      <c r="GN314" s="4">
        <f t="shared" si="724"/>
        <v>5.0184751070009384</v>
      </c>
      <c r="GO314" s="4">
        <f t="shared" si="725"/>
        <v>5.8189368053066657</v>
      </c>
      <c r="GP314" s="4">
        <f t="shared" si="726"/>
        <v>0</v>
      </c>
      <c r="GQ314" s="27">
        <f t="shared" si="727"/>
        <v>153417.12925478062</v>
      </c>
      <c r="GR314" s="28" t="str">
        <f t="shared" si="728"/>
        <v/>
      </c>
      <c r="GS314" s="28" t="str">
        <f t="shared" si="729"/>
        <v/>
      </c>
      <c r="GT314" s="28" t="str">
        <f t="shared" si="730"/>
        <v/>
      </c>
      <c r="GU314" s="28" t="str">
        <f t="shared" si="731"/>
        <v/>
      </c>
      <c r="GV314" s="28" t="str">
        <f t="shared" si="732"/>
        <v/>
      </c>
      <c r="GW314" s="28" t="str">
        <f t="shared" si="733"/>
        <v/>
      </c>
      <c r="GX314" s="28" t="str">
        <f t="shared" si="734"/>
        <v/>
      </c>
      <c r="GY314" s="28" t="str">
        <f t="shared" si="735"/>
        <v/>
      </c>
      <c r="GZ314" s="28" t="str">
        <f t="shared" si="736"/>
        <v/>
      </c>
      <c r="HA314" s="28" t="str">
        <f t="shared" si="737"/>
        <v/>
      </c>
      <c r="HB314" s="28" t="str">
        <f t="shared" si="738"/>
        <v/>
      </c>
      <c r="HC314" s="28" t="str">
        <f t="shared" si="739"/>
        <v/>
      </c>
      <c r="HD314" s="28" t="str">
        <f t="shared" si="740"/>
        <v/>
      </c>
      <c r="HE314" s="28" t="str">
        <f t="shared" si="741"/>
        <v/>
      </c>
      <c r="HF314" s="28" t="str">
        <f t="shared" si="742"/>
        <v/>
      </c>
      <c r="HG314" s="28" t="str">
        <f t="shared" si="743"/>
        <v/>
      </c>
      <c r="HH314" s="28" t="str">
        <f t="shared" si="744"/>
        <v/>
      </c>
      <c r="HI314" s="28" t="str">
        <f t="shared" si="745"/>
        <v/>
      </c>
      <c r="HJ314" s="28" t="str">
        <f t="shared" si="746"/>
        <v/>
      </c>
      <c r="HK314" s="28" t="str">
        <f t="shared" si="747"/>
        <v/>
      </c>
      <c r="HL314" s="28" t="str">
        <f t="shared" si="748"/>
        <v/>
      </c>
      <c r="HM314" s="28" t="str">
        <f t="shared" si="749"/>
        <v/>
      </c>
      <c r="HN314" s="28" t="str">
        <f t="shared" si="750"/>
        <v/>
      </c>
      <c r="HO314" s="28" t="str">
        <f t="shared" si="751"/>
        <v/>
      </c>
      <c r="HP314" s="28" t="str">
        <f t="shared" si="752"/>
        <v/>
      </c>
      <c r="HQ314" s="28" t="str">
        <f t="shared" si="753"/>
        <v/>
      </c>
      <c r="HR314" s="28" t="str">
        <f t="shared" si="754"/>
        <v/>
      </c>
      <c r="HT314" s="4">
        <f>IFERROR(GR314/'McDonough &amp; Sun 1995 values'!C$2,)</f>
        <v>0</v>
      </c>
      <c r="HU314" s="4">
        <f>IFERROR(GS314/'McDonough &amp; Sun 1995 values'!D$2,)</f>
        <v>0</v>
      </c>
      <c r="HV314" s="4">
        <f>IFERROR(GT314/'McDonough &amp; Sun 1995 values'!E$2,)</f>
        <v>0</v>
      </c>
      <c r="HW314" s="4">
        <f>IFERROR(GU314/'McDonough &amp; Sun 1995 values'!F$2,)</f>
        <v>0</v>
      </c>
      <c r="HX314" s="4">
        <f>IFERROR(GV314/'McDonough &amp; Sun 1995 values'!G$2,)</f>
        <v>0</v>
      </c>
      <c r="HY314" s="4">
        <f>IFERROR(GW314/'McDonough &amp; Sun 1995 values'!H$2,)</f>
        <v>0</v>
      </c>
      <c r="HZ314" s="4">
        <f>IFERROR(GX314/'McDonough &amp; Sun 1995 values'!I$2,)</f>
        <v>0</v>
      </c>
      <c r="IA314" s="4">
        <f>IFERROR(GY314/'McDonough &amp; Sun 1995 values'!J$2,)</f>
        <v>0</v>
      </c>
      <c r="IB314" s="4">
        <f>IFERROR(GZ314/'McDonough &amp; Sun 1995 values'!K$2,)</f>
        <v>0</v>
      </c>
      <c r="IC314" s="4">
        <f>IFERROR(HA314/'McDonough &amp; Sun 1995 values'!L$2,)</f>
        <v>0</v>
      </c>
      <c r="ID314" s="4">
        <f>IFERROR(HB314/'McDonough &amp; Sun 1995 values'!M$2,)</f>
        <v>0</v>
      </c>
      <c r="IE314" s="4">
        <f>IFERROR(HC314/'McDonough &amp; Sun 1995 values'!N$2,)</f>
        <v>0</v>
      </c>
      <c r="IF314" s="4">
        <f>IFERROR(HD314/'McDonough &amp; Sun 1995 values'!O$2,)</f>
        <v>0</v>
      </c>
      <c r="IG314" s="4">
        <f>IFERROR(HE314/'McDonough &amp; Sun 1995 values'!P$2,)</f>
        <v>0</v>
      </c>
      <c r="IH314" s="4">
        <f>IFERROR(HF314/'McDonough &amp; Sun 1995 values'!Q$2,)</f>
        <v>0</v>
      </c>
      <c r="II314" s="4">
        <f>IFERROR(HG314/'McDonough &amp; Sun 1995 values'!R$2,)</f>
        <v>0</v>
      </c>
      <c r="IJ314" s="4">
        <f>IFERROR(HH314/'McDonough &amp; Sun 1995 values'!S$2,)</f>
        <v>0</v>
      </c>
      <c r="IK314" s="4">
        <f>IFERROR(HI314/'McDonough &amp; Sun 1995 values'!T$2,)</f>
        <v>0</v>
      </c>
      <c r="IL314" s="4">
        <f>IFERROR(HJ314/'McDonough &amp; Sun 1995 values'!U$2,)</f>
        <v>0</v>
      </c>
      <c r="IM314" s="4">
        <f>IFERROR(HK314/'McDonough &amp; Sun 1995 values'!V$2,)</f>
        <v>0</v>
      </c>
      <c r="IN314" s="4">
        <f>IFERROR(HL314/'McDonough &amp; Sun 1995 values'!W$2,)</f>
        <v>0</v>
      </c>
      <c r="IO314" s="4">
        <f>IFERROR(HM314/'McDonough &amp; Sun 1995 values'!X$2,)</f>
        <v>0</v>
      </c>
      <c r="IP314" s="4">
        <f>IFERROR(HN314/'McDonough &amp; Sun 1995 values'!Y$2,)</f>
        <v>0</v>
      </c>
      <c r="IQ314" s="4">
        <f>IFERROR(HO314/'McDonough &amp; Sun 1995 values'!Z$2,)</f>
        <v>0</v>
      </c>
      <c r="IR314" s="4">
        <f>IFERROR(HP314/'McDonough &amp; Sun 1995 values'!AA$2,)</f>
        <v>0</v>
      </c>
      <c r="IS314" s="4">
        <f>IFERROR(HQ314/'McDonough &amp; Sun 1995 values'!AB$2,)</f>
        <v>0</v>
      </c>
      <c r="IT314" s="4">
        <f>IFERROR(HR314/'McDonough &amp; Sun 1995 values'!AC$2,)</f>
        <v>0</v>
      </c>
    </row>
    <row r="315" spans="1:254">
      <c r="A315" s="16" t="s">
        <v>842</v>
      </c>
      <c r="B315" s="16" t="s">
        <v>24</v>
      </c>
      <c r="C315" s="16" t="s">
        <v>1369</v>
      </c>
      <c r="D315" s="16" t="s">
        <v>1709</v>
      </c>
      <c r="E315" s="16" t="s">
        <v>237</v>
      </c>
      <c r="F315" s="16" t="s">
        <v>29</v>
      </c>
      <c r="G315" s="16" t="s">
        <v>595</v>
      </c>
      <c r="H315" s="27">
        <v>360</v>
      </c>
      <c r="I315" s="16" t="s">
        <v>712</v>
      </c>
      <c r="J315" s="16">
        <v>0</v>
      </c>
      <c r="K315" s="16" t="s">
        <v>913</v>
      </c>
      <c r="L315" s="16">
        <v>0</v>
      </c>
      <c r="M315" s="16" t="s">
        <v>58</v>
      </c>
      <c r="N315" s="16" t="s">
        <v>1084</v>
      </c>
      <c r="O315" s="26">
        <v>19.2</v>
      </c>
      <c r="P315" s="26">
        <v>0.8</v>
      </c>
      <c r="Q315" s="26">
        <v>0.2</v>
      </c>
      <c r="R315" s="26">
        <v>2.7</v>
      </c>
      <c r="S315" s="26">
        <v>4.4000000000000004</v>
      </c>
      <c r="T315" s="26">
        <v>40.799999999999997</v>
      </c>
      <c r="U315" s="26">
        <v>5.4</v>
      </c>
      <c r="V315" s="26">
        <v>13.6</v>
      </c>
      <c r="W315" s="26">
        <v>3.8</v>
      </c>
      <c r="X315" s="26">
        <v>5</v>
      </c>
      <c r="Y315" s="26"/>
      <c r="Z315" s="26">
        <v>2.2000000000000002</v>
      </c>
      <c r="AA315" s="26"/>
      <c r="AB315" s="26"/>
      <c r="AC315" s="26"/>
      <c r="AD315" s="26">
        <v>1.7</v>
      </c>
      <c r="AE315" s="26"/>
      <c r="AF315" s="26">
        <v>0.3</v>
      </c>
      <c r="AG315" s="26"/>
      <c r="AH315" s="26"/>
      <c r="AI315" s="26"/>
      <c r="AJ315" s="26">
        <f t="shared" si="618"/>
        <v>94.2</v>
      </c>
      <c r="AK315" s="26">
        <f t="shared" ref="AK315:AL317" si="755">100*(O315/($AJ315-$AD315*8/35.45))</f>
        <v>20.465513456953083</v>
      </c>
      <c r="AL315" s="26">
        <f t="shared" si="755"/>
        <v>0.85272972737304509</v>
      </c>
      <c r="AM315" s="26">
        <f t="shared" ref="AM315:AO317" si="756">100*(R315/($AJ315-$AD315*8/35.45))</f>
        <v>2.8779628298840279</v>
      </c>
      <c r="AN315" s="26">
        <f t="shared" si="756"/>
        <v>4.690013500551748</v>
      </c>
      <c r="AO315" s="26">
        <f t="shared" si="756"/>
        <v>43.489216096025302</v>
      </c>
      <c r="AP315" s="26">
        <f>100*(V315/($AJ315-$AD315*8/35.45))</f>
        <v>14.496405365341767</v>
      </c>
      <c r="AQ315" s="26">
        <f>100*(AB315/($AJ315-$AD315*8/35.45))</f>
        <v>0</v>
      </c>
      <c r="AR315" s="26">
        <f t="shared" ref="AR315:AS317" si="757">100*(W315/($AJ315-$AD315*8/35.45))</f>
        <v>4.0504662050219649</v>
      </c>
      <c r="AS315" s="26">
        <f t="shared" si="757"/>
        <v>5.3295607960815321</v>
      </c>
      <c r="AT315" s="26">
        <f>100*(Z315/($AJ315-$AD315*8/35.45))</f>
        <v>2.345006750275874</v>
      </c>
      <c r="AU315" s="26">
        <f>100*(AD315/($AJ315-$AD315*8/35.45))</f>
        <v>1.8120506706677209</v>
      </c>
      <c r="AV315" s="26">
        <f t="shared" si="619"/>
        <v>100.40892539817607</v>
      </c>
      <c r="AW315" s="16"/>
      <c r="AX315" s="16"/>
      <c r="AY315" s="16"/>
      <c r="AZ315" s="16"/>
      <c r="BA315" s="26"/>
      <c r="BB315" s="26"/>
      <c r="BC315" s="26"/>
      <c r="BD315" s="26"/>
      <c r="BE315" s="16"/>
      <c r="BF315" s="16"/>
      <c r="BG315" s="16"/>
      <c r="BH315" s="16"/>
      <c r="BI315" s="16"/>
      <c r="BJ315" s="16"/>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c r="DS315" s="18"/>
      <c r="DT315" s="18"/>
      <c r="DU315" s="18"/>
      <c r="DV315" s="28"/>
      <c r="DW315" s="28"/>
      <c r="DX315" s="28"/>
      <c r="DY315" s="28"/>
      <c r="DZ315" s="28"/>
      <c r="EA315" s="28"/>
      <c r="EB315" s="28"/>
      <c r="EC315" s="28"/>
      <c r="ED315" s="28"/>
      <c r="EE315" s="28"/>
      <c r="EF315" s="28"/>
      <c r="EG315" s="28"/>
      <c r="EH315" s="28"/>
      <c r="EI315" s="28"/>
      <c r="EJ315" s="18"/>
      <c r="EK315" s="18"/>
      <c r="EL315" s="18">
        <f>IFERROR(CR315/'McDonough &amp; Sun 1995 values'!C$2,)</f>
        <v>0</v>
      </c>
      <c r="EM315" s="18">
        <f>IFERROR(CH315/'McDonough &amp; Sun 1995 values'!D$2,)</f>
        <v>0</v>
      </c>
      <c r="EN315" s="18">
        <f>IFERROR(CS315/'McDonough &amp; Sun 1995 values'!E$2,)</f>
        <v>0</v>
      </c>
      <c r="EO315" s="18">
        <f>IFERROR(DL315/'McDonough &amp; Sun 1995 values'!F$2,)</f>
        <v>0</v>
      </c>
      <c r="EP315" s="18">
        <f>IFERROR(DM315/'McDonough &amp; Sun 1995 values'!G$2,)</f>
        <v>0</v>
      </c>
      <c r="EQ315" s="18">
        <f>IFERROR(BR315/'McDonough &amp; Sun 1995 values'!H$2,)</f>
        <v>0</v>
      </c>
      <c r="ER315" s="18">
        <f>IFERROR(DI315/'McDonough &amp; Sun 1995 values'!I$2,)</f>
        <v>0</v>
      </c>
      <c r="ES315" s="18">
        <f>IFERROR(CM315/'McDonough &amp; Sun 1995 values'!J$2,)</f>
        <v>0</v>
      </c>
      <c r="ET315" s="18">
        <f>IFERROR(CU315/'McDonough &amp; Sun 1995 values'!K$2,)</f>
        <v>0</v>
      </c>
      <c r="EU315" s="18">
        <f>IFERROR(CV315/'McDonough &amp; Sun 1995 values'!L$2,)</f>
        <v>0</v>
      </c>
      <c r="EV315" s="18">
        <f>IFERROR(CW315/'McDonough &amp; Sun 1995 values'!M$2,)</f>
        <v>0</v>
      </c>
      <c r="EW315" s="18">
        <f>IFERROR(CI315/'McDonough &amp; Sun 1995 values'!N$2,)</f>
        <v>0</v>
      </c>
      <c r="EX315" s="18">
        <f>IFERROR(CX315/'McDonough &amp; Sun 1995 values'!O$2,)</f>
        <v>0</v>
      </c>
      <c r="EY315" s="18">
        <f>IFERROR(CY315/'McDonough &amp; Sun 1995 values'!P$2,)</f>
        <v>0</v>
      </c>
      <c r="EZ315" s="18">
        <f>IFERROR(DH315/'McDonough &amp; Sun 1995 values'!Q$2,)</f>
        <v>0</v>
      </c>
      <c r="FA315" s="18">
        <f>IFERROR(CK315/'McDonough &amp; Sun 1995 values'!R$2,)</f>
        <v>0</v>
      </c>
      <c r="FB315" s="18">
        <f>IFERROR(CZ315/'McDonough &amp; Sun 1995 values'!S$2,)</f>
        <v>0</v>
      </c>
      <c r="FC315" s="18">
        <f>IFERROR(BT315/'McDonough &amp; Sun 1995 values'!T$2,)</f>
        <v>0</v>
      </c>
      <c r="FD315" s="18">
        <f>IFERROR(DA315/'McDonough &amp; Sun 1995 values'!U$2,)</f>
        <v>0</v>
      </c>
      <c r="FE315" s="18">
        <f>IFERROR(DN315/'McDonough &amp; Sun 1995 values'!V$2,)</f>
        <v>0</v>
      </c>
      <c r="FF315" s="18">
        <f>IFERROR(DB315/'McDonough &amp; Sun 1995 values'!W$2,)</f>
        <v>0</v>
      </c>
      <c r="FG315" s="18">
        <f>IFERROR(CJ315/'McDonough &amp; Sun 1995 values'!X$2,)</f>
        <v>0</v>
      </c>
      <c r="FH315" s="18">
        <f>IFERROR(DC315/'McDonough &amp; Sun 1995 values'!Y$2,)</f>
        <v>0</v>
      </c>
      <c r="FI315" s="18">
        <f>IFERROR(DD315/'McDonough &amp; Sun 1995 values'!Z$2,)</f>
        <v>0</v>
      </c>
      <c r="FJ315" s="18">
        <f>IFERROR(DE315/'McDonough &amp; Sun 1995 values'!AA$2,)</f>
        <v>0</v>
      </c>
      <c r="FK315" s="18">
        <f>IFERROR(DF315/'McDonough &amp; Sun 1995 values'!AB$2,)</f>
        <v>0</v>
      </c>
      <c r="FL315" s="18">
        <f>IFERROR(DG315/'McDonough &amp; Sun 1995 values'!AC$2,)</f>
        <v>0</v>
      </c>
      <c r="FN315" s="28">
        <f t="shared" ref="FN315:FN333" si="758">IFERROR(EP315/EQ315,)</f>
        <v>0</v>
      </c>
      <c r="FO315" s="4">
        <f t="shared" si="699"/>
        <v>0</v>
      </c>
      <c r="FP315" s="4">
        <f t="shared" si="700"/>
        <v>0</v>
      </c>
      <c r="FQ315" s="4">
        <f t="shared" si="701"/>
        <v>0</v>
      </c>
      <c r="FR315" s="4">
        <f t="shared" si="702"/>
        <v>0</v>
      </c>
      <c r="FS315" s="4">
        <f t="shared" si="703"/>
        <v>0</v>
      </c>
      <c r="FT315" s="4">
        <f t="shared" si="704"/>
        <v>0</v>
      </c>
      <c r="FU315" s="4">
        <f t="shared" si="705"/>
        <v>0</v>
      </c>
      <c r="FV315" s="4">
        <f t="shared" si="706"/>
        <v>0</v>
      </c>
      <c r="FW315" s="4">
        <f t="shared" si="707"/>
        <v>0</v>
      </c>
      <c r="FX315" s="4">
        <f t="shared" si="708"/>
        <v>0</v>
      </c>
      <c r="FY315" s="4">
        <f t="shared" si="709"/>
        <v>0</v>
      </c>
      <c r="FZ315" s="4">
        <f t="shared" si="710"/>
        <v>0</v>
      </c>
      <c r="GA315" s="4">
        <f t="shared" si="711"/>
        <v>0</v>
      </c>
      <c r="GB315" s="4">
        <f t="shared" si="712"/>
        <v>0</v>
      </c>
      <c r="GC315" s="4">
        <f t="shared" si="713"/>
        <v>0</v>
      </c>
      <c r="GD315" s="4">
        <f t="shared" si="714"/>
        <v>0</v>
      </c>
      <c r="GE315" s="4">
        <f t="shared" si="715"/>
        <v>0</v>
      </c>
      <c r="GF315" s="4">
        <f t="shared" si="716"/>
        <v>0</v>
      </c>
      <c r="GG315" s="4">
        <f t="shared" si="717"/>
        <v>0</v>
      </c>
      <c r="GH315" s="4">
        <f t="shared" si="718"/>
        <v>0</v>
      </c>
      <c r="GI315" s="4">
        <f t="shared" si="719"/>
        <v>0</v>
      </c>
      <c r="GJ315" s="4">
        <f t="shared" si="720"/>
        <v>0</v>
      </c>
      <c r="GK315" s="4">
        <f t="shared" si="721"/>
        <v>0</v>
      </c>
      <c r="GL315" s="4">
        <f t="shared" si="722"/>
        <v>0</v>
      </c>
      <c r="GM315" s="4">
        <f t="shared" si="723"/>
        <v>0</v>
      </c>
      <c r="GN315" s="4">
        <f t="shared" si="724"/>
        <v>0</v>
      </c>
      <c r="GO315" s="4">
        <f t="shared" si="725"/>
        <v>0</v>
      </c>
      <c r="GP315" s="4">
        <f t="shared" si="726"/>
        <v>0</v>
      </c>
      <c r="GQ315" s="27">
        <f t="shared" si="727"/>
        <v>44242.672345482657</v>
      </c>
      <c r="GR315" s="28" t="str">
        <f t="shared" si="728"/>
        <v/>
      </c>
      <c r="GS315" s="28" t="str">
        <f t="shared" si="729"/>
        <v/>
      </c>
      <c r="GT315" s="28" t="str">
        <f t="shared" si="730"/>
        <v/>
      </c>
      <c r="GU315" s="28" t="str">
        <f t="shared" si="731"/>
        <v/>
      </c>
      <c r="GV315" s="28" t="str">
        <f t="shared" si="732"/>
        <v/>
      </c>
      <c r="GW315" s="28" t="str">
        <f t="shared" si="733"/>
        <v/>
      </c>
      <c r="GX315" s="28" t="str">
        <f t="shared" si="734"/>
        <v/>
      </c>
      <c r="GY315" s="28" t="str">
        <f t="shared" si="735"/>
        <v/>
      </c>
      <c r="GZ315" s="28" t="str">
        <f t="shared" si="736"/>
        <v/>
      </c>
      <c r="HA315" s="28" t="str">
        <f t="shared" si="737"/>
        <v/>
      </c>
      <c r="HB315" s="28" t="str">
        <f t="shared" si="738"/>
        <v/>
      </c>
      <c r="HC315" s="28" t="str">
        <f t="shared" si="739"/>
        <v/>
      </c>
      <c r="HD315" s="28" t="str">
        <f t="shared" si="740"/>
        <v/>
      </c>
      <c r="HE315" s="28" t="str">
        <f t="shared" si="741"/>
        <v/>
      </c>
      <c r="HF315" s="28" t="str">
        <f t="shared" si="742"/>
        <v/>
      </c>
      <c r="HG315" s="28" t="str">
        <f t="shared" si="743"/>
        <v/>
      </c>
      <c r="HH315" s="28" t="str">
        <f t="shared" si="744"/>
        <v/>
      </c>
      <c r="HI315" s="28" t="str">
        <f t="shared" si="745"/>
        <v/>
      </c>
      <c r="HJ315" s="28" t="str">
        <f t="shared" si="746"/>
        <v/>
      </c>
      <c r="HK315" s="28" t="str">
        <f t="shared" si="747"/>
        <v/>
      </c>
      <c r="HL315" s="28" t="str">
        <f t="shared" si="748"/>
        <v/>
      </c>
      <c r="HM315" s="28" t="str">
        <f t="shared" si="749"/>
        <v/>
      </c>
      <c r="HN315" s="28" t="str">
        <f t="shared" si="750"/>
        <v/>
      </c>
      <c r="HO315" s="28" t="str">
        <f t="shared" si="751"/>
        <v/>
      </c>
      <c r="HP315" s="28" t="str">
        <f t="shared" si="752"/>
        <v/>
      </c>
      <c r="HQ315" s="28" t="str">
        <f t="shared" si="753"/>
        <v/>
      </c>
      <c r="HR315" s="28" t="str">
        <f t="shared" si="754"/>
        <v/>
      </c>
      <c r="HT315" s="4">
        <f>IFERROR(GR315/'McDonough &amp; Sun 1995 values'!C$2,)</f>
        <v>0</v>
      </c>
      <c r="HU315" s="4">
        <f>IFERROR(GS315/'McDonough &amp; Sun 1995 values'!D$2,)</f>
        <v>0</v>
      </c>
      <c r="HV315" s="4">
        <f>IFERROR(GT315/'McDonough &amp; Sun 1995 values'!E$2,)</f>
        <v>0</v>
      </c>
      <c r="HW315" s="4">
        <f>IFERROR(GU315/'McDonough &amp; Sun 1995 values'!F$2,)</f>
        <v>0</v>
      </c>
      <c r="HX315" s="4">
        <f>IFERROR(GV315/'McDonough &amp; Sun 1995 values'!G$2,)</f>
        <v>0</v>
      </c>
      <c r="HY315" s="4">
        <f>IFERROR(GW315/'McDonough &amp; Sun 1995 values'!H$2,)</f>
        <v>0</v>
      </c>
      <c r="HZ315" s="4">
        <f>IFERROR(GX315/'McDonough &amp; Sun 1995 values'!I$2,)</f>
        <v>0</v>
      </c>
      <c r="IA315" s="4">
        <f>IFERROR(GY315/'McDonough &amp; Sun 1995 values'!J$2,)</f>
        <v>0</v>
      </c>
      <c r="IB315" s="4">
        <f>IFERROR(GZ315/'McDonough &amp; Sun 1995 values'!K$2,)</f>
        <v>0</v>
      </c>
      <c r="IC315" s="4">
        <f>IFERROR(HA315/'McDonough &amp; Sun 1995 values'!L$2,)</f>
        <v>0</v>
      </c>
      <c r="ID315" s="4">
        <f>IFERROR(HB315/'McDonough &amp; Sun 1995 values'!M$2,)</f>
        <v>0</v>
      </c>
      <c r="IE315" s="4">
        <f>IFERROR(HC315/'McDonough &amp; Sun 1995 values'!N$2,)</f>
        <v>0</v>
      </c>
      <c r="IF315" s="4">
        <f>IFERROR(HD315/'McDonough &amp; Sun 1995 values'!O$2,)</f>
        <v>0</v>
      </c>
      <c r="IG315" s="4">
        <f>IFERROR(HE315/'McDonough &amp; Sun 1995 values'!P$2,)</f>
        <v>0</v>
      </c>
      <c r="IH315" s="4">
        <f>IFERROR(HF315/'McDonough &amp; Sun 1995 values'!Q$2,)</f>
        <v>0</v>
      </c>
      <c r="II315" s="4">
        <f>IFERROR(HG315/'McDonough &amp; Sun 1995 values'!R$2,)</f>
        <v>0</v>
      </c>
      <c r="IJ315" s="4">
        <f>IFERROR(HH315/'McDonough &amp; Sun 1995 values'!S$2,)</f>
        <v>0</v>
      </c>
      <c r="IK315" s="4">
        <f>IFERROR(HI315/'McDonough &amp; Sun 1995 values'!T$2,)</f>
        <v>0</v>
      </c>
      <c r="IL315" s="4">
        <f>IFERROR(HJ315/'McDonough &amp; Sun 1995 values'!U$2,)</f>
        <v>0</v>
      </c>
      <c r="IM315" s="4">
        <f>IFERROR(HK315/'McDonough &amp; Sun 1995 values'!V$2,)</f>
        <v>0</v>
      </c>
      <c r="IN315" s="4">
        <f>IFERROR(HL315/'McDonough &amp; Sun 1995 values'!W$2,)</f>
        <v>0</v>
      </c>
      <c r="IO315" s="4">
        <f>IFERROR(HM315/'McDonough &amp; Sun 1995 values'!X$2,)</f>
        <v>0</v>
      </c>
      <c r="IP315" s="4">
        <f>IFERROR(HN315/'McDonough &amp; Sun 1995 values'!Y$2,)</f>
        <v>0</v>
      </c>
      <c r="IQ315" s="4">
        <f>IFERROR(HO315/'McDonough &amp; Sun 1995 values'!Z$2,)</f>
        <v>0</v>
      </c>
      <c r="IR315" s="4">
        <f>IFERROR(HP315/'McDonough &amp; Sun 1995 values'!AA$2,)</f>
        <v>0</v>
      </c>
      <c r="IS315" s="4">
        <f>IFERROR(HQ315/'McDonough &amp; Sun 1995 values'!AB$2,)</f>
        <v>0</v>
      </c>
      <c r="IT315" s="4">
        <f>IFERROR(HR315/'McDonough &amp; Sun 1995 values'!AC$2,)</f>
        <v>0</v>
      </c>
    </row>
    <row r="316" spans="1:254">
      <c r="A316" s="16" t="s">
        <v>842</v>
      </c>
      <c r="B316" s="16" t="s">
        <v>24</v>
      </c>
      <c r="C316" s="16" t="s">
        <v>1369</v>
      </c>
      <c r="D316" s="16" t="s">
        <v>1709</v>
      </c>
      <c r="E316" s="16" t="s">
        <v>237</v>
      </c>
      <c r="F316" s="16" t="s">
        <v>29</v>
      </c>
      <c r="G316" s="16" t="s">
        <v>595</v>
      </c>
      <c r="H316" s="27">
        <v>360</v>
      </c>
      <c r="I316" s="16" t="s">
        <v>712</v>
      </c>
      <c r="J316" s="16">
        <v>0</v>
      </c>
      <c r="K316" s="16" t="s">
        <v>913</v>
      </c>
      <c r="L316" s="16">
        <v>0</v>
      </c>
      <c r="M316" s="16" t="s">
        <v>70</v>
      </c>
      <c r="N316" s="16" t="s">
        <v>1084</v>
      </c>
      <c r="O316" s="26">
        <v>26.1</v>
      </c>
      <c r="P316" s="26">
        <v>2.4</v>
      </c>
      <c r="Q316" s="26">
        <v>0.2</v>
      </c>
      <c r="R316" s="26">
        <v>2.8</v>
      </c>
      <c r="S316" s="26">
        <v>13.9</v>
      </c>
      <c r="T316" s="26">
        <v>19.399999999999999</v>
      </c>
      <c r="U316" s="26">
        <v>1.6</v>
      </c>
      <c r="V316" s="26">
        <v>25.6</v>
      </c>
      <c r="W316" s="26">
        <v>3.4</v>
      </c>
      <c r="X316" s="26">
        <v>1.4</v>
      </c>
      <c r="Y316" s="26"/>
      <c r="Z316" s="26">
        <v>1.7</v>
      </c>
      <c r="AA316" s="26"/>
      <c r="AB316" s="26"/>
      <c r="AC316" s="26"/>
      <c r="AD316" s="26">
        <v>0.6</v>
      </c>
      <c r="AE316" s="26"/>
      <c r="AF316" s="26">
        <v>0.6</v>
      </c>
      <c r="AG316" s="26"/>
      <c r="AH316" s="26"/>
      <c r="AI316" s="26"/>
      <c r="AJ316" s="26">
        <f t="shared" si="618"/>
        <v>97.3</v>
      </c>
      <c r="AK316" s="26">
        <f t="shared" si="755"/>
        <v>26.861635338809727</v>
      </c>
      <c r="AL316" s="26">
        <f t="shared" si="755"/>
        <v>2.4700354334537677</v>
      </c>
      <c r="AM316" s="26">
        <f t="shared" si="756"/>
        <v>2.881708005696062</v>
      </c>
      <c r="AN316" s="26">
        <f t="shared" si="756"/>
        <v>14.30562188541974</v>
      </c>
      <c r="AO316" s="26">
        <f t="shared" si="756"/>
        <v>19.966119753751286</v>
      </c>
      <c r="AP316" s="26">
        <f>100*(V316/($AJ316-$AD316*8/35.45))</f>
        <v>26.347044623506854</v>
      </c>
      <c r="AQ316" s="26">
        <f>100*(AB316/($AJ316-$AD316*8/35.45))</f>
        <v>0</v>
      </c>
      <c r="AR316" s="26">
        <f t="shared" si="757"/>
        <v>3.4992168640595041</v>
      </c>
      <c r="AS316" s="26">
        <f t="shared" si="757"/>
        <v>1.440854002848031</v>
      </c>
      <c r="AT316" s="26">
        <f>100*(Z316/($AJ316-$AD316*8/35.45))</f>
        <v>1.749608432029752</v>
      </c>
      <c r="AU316" s="26">
        <f>100*(AD316/($AJ316-$AD316*8/35.45))</f>
        <v>0.61750885836344194</v>
      </c>
      <c r="AV316" s="26">
        <f t="shared" si="619"/>
        <v>100.13935319793816</v>
      </c>
      <c r="AW316" s="16"/>
      <c r="AX316" s="16"/>
      <c r="AY316" s="16"/>
      <c r="AZ316" s="16"/>
      <c r="BA316" s="26"/>
      <c r="BB316" s="26">
        <v>7.0000000000000007E-2</v>
      </c>
      <c r="BC316" s="26">
        <f>1-BD316</f>
        <v>7.0000000000000062E-2</v>
      </c>
      <c r="BD316" s="26">
        <f>1-BB316</f>
        <v>0.92999999999999994</v>
      </c>
      <c r="BE316" s="25">
        <v>-5.1574999999999998</v>
      </c>
      <c r="BF316" s="16"/>
      <c r="BG316" s="16" t="s">
        <v>920</v>
      </c>
      <c r="BH316" s="16" t="s">
        <v>921</v>
      </c>
      <c r="BI316" s="16" t="s">
        <v>922</v>
      </c>
      <c r="BJ316" s="16"/>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c r="DS316" s="18"/>
      <c r="DT316" s="18"/>
      <c r="DU316" s="18"/>
      <c r="DV316" s="28"/>
      <c r="DW316" s="28"/>
      <c r="DX316" s="28"/>
      <c r="DY316" s="28"/>
      <c r="DZ316" s="28"/>
      <c r="EA316" s="28"/>
      <c r="EB316" s="28"/>
      <c r="EC316" s="28"/>
      <c r="ED316" s="28"/>
      <c r="EE316" s="28"/>
      <c r="EF316" s="28"/>
      <c r="EG316" s="28"/>
      <c r="EH316" s="28"/>
      <c r="EI316" s="28"/>
      <c r="EJ316" s="18"/>
      <c r="EK316" s="18"/>
      <c r="EL316" s="18">
        <f>IFERROR(CR316/'McDonough &amp; Sun 1995 values'!C$2,)</f>
        <v>0</v>
      </c>
      <c r="EM316" s="18">
        <f>IFERROR(CH316/'McDonough &amp; Sun 1995 values'!D$2,)</f>
        <v>0</v>
      </c>
      <c r="EN316" s="18">
        <f>IFERROR(CS316/'McDonough &amp; Sun 1995 values'!E$2,)</f>
        <v>0</v>
      </c>
      <c r="EO316" s="18">
        <f>IFERROR(DL316/'McDonough &amp; Sun 1995 values'!F$2,)</f>
        <v>0</v>
      </c>
      <c r="EP316" s="18">
        <f>IFERROR(DM316/'McDonough &amp; Sun 1995 values'!G$2,)</f>
        <v>0</v>
      </c>
      <c r="EQ316" s="18">
        <f>IFERROR(BR316/'McDonough &amp; Sun 1995 values'!H$2,)</f>
        <v>0</v>
      </c>
      <c r="ER316" s="18">
        <f>IFERROR(DI316/'McDonough &amp; Sun 1995 values'!I$2,)</f>
        <v>0</v>
      </c>
      <c r="ES316" s="18">
        <f>IFERROR(CM316/'McDonough &amp; Sun 1995 values'!J$2,)</f>
        <v>0</v>
      </c>
      <c r="ET316" s="18">
        <f>IFERROR(CU316/'McDonough &amp; Sun 1995 values'!K$2,)</f>
        <v>0</v>
      </c>
      <c r="EU316" s="18">
        <f>IFERROR(CV316/'McDonough &amp; Sun 1995 values'!L$2,)</f>
        <v>0</v>
      </c>
      <c r="EV316" s="18">
        <f>IFERROR(CW316/'McDonough &amp; Sun 1995 values'!M$2,)</f>
        <v>0</v>
      </c>
      <c r="EW316" s="18">
        <f>IFERROR(CI316/'McDonough &amp; Sun 1995 values'!N$2,)</f>
        <v>0</v>
      </c>
      <c r="EX316" s="18">
        <f>IFERROR(CX316/'McDonough &amp; Sun 1995 values'!O$2,)</f>
        <v>0</v>
      </c>
      <c r="EY316" s="18">
        <f>IFERROR(CY316/'McDonough &amp; Sun 1995 values'!P$2,)</f>
        <v>0</v>
      </c>
      <c r="EZ316" s="18">
        <f>IFERROR(DH316/'McDonough &amp; Sun 1995 values'!Q$2,)</f>
        <v>0</v>
      </c>
      <c r="FA316" s="18">
        <f>IFERROR(CK316/'McDonough &amp; Sun 1995 values'!R$2,)</f>
        <v>0</v>
      </c>
      <c r="FB316" s="18">
        <f>IFERROR(CZ316/'McDonough &amp; Sun 1995 values'!S$2,)</f>
        <v>0</v>
      </c>
      <c r="FC316" s="18">
        <f>IFERROR(BT316/'McDonough &amp; Sun 1995 values'!T$2,)</f>
        <v>0</v>
      </c>
      <c r="FD316" s="18">
        <f>IFERROR(DA316/'McDonough &amp; Sun 1995 values'!U$2,)</f>
        <v>0</v>
      </c>
      <c r="FE316" s="18">
        <f>IFERROR(DN316/'McDonough &amp; Sun 1995 values'!V$2,)</f>
        <v>0</v>
      </c>
      <c r="FF316" s="18">
        <f>IFERROR(DB316/'McDonough &amp; Sun 1995 values'!W$2,)</f>
        <v>0</v>
      </c>
      <c r="FG316" s="18">
        <f>IFERROR(CJ316/'McDonough &amp; Sun 1995 values'!X$2,)</f>
        <v>0</v>
      </c>
      <c r="FH316" s="18">
        <f>IFERROR(DC316/'McDonough &amp; Sun 1995 values'!Y$2,)</f>
        <v>0</v>
      </c>
      <c r="FI316" s="18">
        <f>IFERROR(DD316/'McDonough &amp; Sun 1995 values'!Z$2,)</f>
        <v>0</v>
      </c>
      <c r="FJ316" s="18">
        <f>IFERROR(DE316/'McDonough &amp; Sun 1995 values'!AA$2,)</f>
        <v>0</v>
      </c>
      <c r="FK316" s="18">
        <f>IFERROR(DF316/'McDonough &amp; Sun 1995 values'!AB$2,)</f>
        <v>0</v>
      </c>
      <c r="FL316" s="18">
        <f>IFERROR(DG316/'McDonough &amp; Sun 1995 values'!AC$2,)</f>
        <v>0</v>
      </c>
      <c r="FN316" s="28">
        <f t="shared" si="758"/>
        <v>0</v>
      </c>
      <c r="FO316" s="4">
        <f t="shared" si="699"/>
        <v>0</v>
      </c>
      <c r="FP316" s="4">
        <f t="shared" si="700"/>
        <v>0</v>
      </c>
      <c r="FQ316" s="4">
        <f t="shared" si="701"/>
        <v>0</v>
      </c>
      <c r="FR316" s="4">
        <f t="shared" si="702"/>
        <v>0</v>
      </c>
      <c r="FS316" s="4">
        <f t="shared" si="703"/>
        <v>0</v>
      </c>
      <c r="FT316" s="4">
        <f t="shared" si="704"/>
        <v>0</v>
      </c>
      <c r="FU316" s="4">
        <f t="shared" si="705"/>
        <v>0</v>
      </c>
      <c r="FV316" s="4">
        <f t="shared" si="706"/>
        <v>0</v>
      </c>
      <c r="FW316" s="4">
        <f t="shared" si="707"/>
        <v>0</v>
      </c>
      <c r="FX316" s="4">
        <f t="shared" si="708"/>
        <v>0</v>
      </c>
      <c r="FY316" s="4">
        <f t="shared" si="709"/>
        <v>0</v>
      </c>
      <c r="FZ316" s="4">
        <f t="shared" si="710"/>
        <v>0</v>
      </c>
      <c r="GA316" s="4">
        <f t="shared" si="711"/>
        <v>0</v>
      </c>
      <c r="GB316" s="4">
        <f t="shared" si="712"/>
        <v>0</v>
      </c>
      <c r="GC316" s="4">
        <f t="shared" si="713"/>
        <v>0</v>
      </c>
      <c r="GD316" s="4">
        <f t="shared" si="714"/>
        <v>0</v>
      </c>
      <c r="GE316" s="4">
        <f t="shared" si="715"/>
        <v>0</v>
      </c>
      <c r="GF316" s="4">
        <f t="shared" si="716"/>
        <v>0</v>
      </c>
      <c r="GG316" s="4">
        <f t="shared" si="717"/>
        <v>0</v>
      </c>
      <c r="GH316" s="4">
        <f t="shared" si="718"/>
        <v>0</v>
      </c>
      <c r="GI316" s="4">
        <f t="shared" si="719"/>
        <v>0</v>
      </c>
      <c r="GJ316" s="4">
        <f t="shared" si="720"/>
        <v>0</v>
      </c>
      <c r="GK316" s="4">
        <f t="shared" si="721"/>
        <v>0</v>
      </c>
      <c r="GL316" s="4">
        <f t="shared" si="722"/>
        <v>0</v>
      </c>
      <c r="GM316" s="4">
        <f t="shared" si="723"/>
        <v>0</v>
      </c>
      <c r="GN316" s="4">
        <f t="shared" si="724"/>
        <v>0</v>
      </c>
      <c r="GO316" s="4">
        <f t="shared" si="725"/>
        <v>0</v>
      </c>
      <c r="GP316" s="4">
        <f t="shared" si="726"/>
        <v>0</v>
      </c>
      <c r="GQ316" s="27">
        <f t="shared" si="727"/>
        <v>11961.066584051659</v>
      </c>
      <c r="GR316" s="28" t="str">
        <f t="shared" si="728"/>
        <v/>
      </c>
      <c r="GS316" s="28" t="str">
        <f t="shared" si="729"/>
        <v/>
      </c>
      <c r="GT316" s="28" t="str">
        <f t="shared" si="730"/>
        <v/>
      </c>
      <c r="GU316" s="28" t="str">
        <f t="shared" si="731"/>
        <v/>
      </c>
      <c r="GV316" s="28" t="str">
        <f t="shared" si="732"/>
        <v/>
      </c>
      <c r="GW316" s="28" t="str">
        <f t="shared" si="733"/>
        <v/>
      </c>
      <c r="GX316" s="28" t="str">
        <f t="shared" si="734"/>
        <v/>
      </c>
      <c r="GY316" s="28" t="str">
        <f t="shared" si="735"/>
        <v/>
      </c>
      <c r="GZ316" s="28" t="str">
        <f t="shared" si="736"/>
        <v/>
      </c>
      <c r="HA316" s="28" t="str">
        <f t="shared" si="737"/>
        <v/>
      </c>
      <c r="HB316" s="28" t="str">
        <f t="shared" si="738"/>
        <v/>
      </c>
      <c r="HC316" s="28" t="str">
        <f t="shared" si="739"/>
        <v/>
      </c>
      <c r="HD316" s="28" t="str">
        <f t="shared" si="740"/>
        <v/>
      </c>
      <c r="HE316" s="28" t="str">
        <f t="shared" si="741"/>
        <v/>
      </c>
      <c r="HF316" s="28" t="str">
        <f t="shared" si="742"/>
        <v/>
      </c>
      <c r="HG316" s="28" t="str">
        <f t="shared" si="743"/>
        <v/>
      </c>
      <c r="HH316" s="28" t="str">
        <f t="shared" si="744"/>
        <v/>
      </c>
      <c r="HI316" s="28" t="str">
        <f t="shared" si="745"/>
        <v/>
      </c>
      <c r="HJ316" s="28" t="str">
        <f t="shared" si="746"/>
        <v/>
      </c>
      <c r="HK316" s="28" t="str">
        <f t="shared" si="747"/>
        <v/>
      </c>
      <c r="HL316" s="28" t="str">
        <f t="shared" si="748"/>
        <v/>
      </c>
      <c r="HM316" s="28" t="str">
        <f t="shared" si="749"/>
        <v/>
      </c>
      <c r="HN316" s="28" t="str">
        <f t="shared" si="750"/>
        <v/>
      </c>
      <c r="HO316" s="28" t="str">
        <f t="shared" si="751"/>
        <v/>
      </c>
      <c r="HP316" s="28" t="str">
        <f t="shared" si="752"/>
        <v/>
      </c>
      <c r="HQ316" s="28" t="str">
        <f t="shared" si="753"/>
        <v/>
      </c>
      <c r="HR316" s="28" t="str">
        <f t="shared" si="754"/>
        <v/>
      </c>
      <c r="HT316" s="4">
        <f>IFERROR(GR316/'McDonough &amp; Sun 1995 values'!C$2,)</f>
        <v>0</v>
      </c>
      <c r="HU316" s="4">
        <f>IFERROR(GS316/'McDonough &amp; Sun 1995 values'!D$2,)</f>
        <v>0</v>
      </c>
      <c r="HV316" s="4">
        <f>IFERROR(GT316/'McDonough &amp; Sun 1995 values'!E$2,)</f>
        <v>0</v>
      </c>
      <c r="HW316" s="4">
        <f>IFERROR(GU316/'McDonough &amp; Sun 1995 values'!F$2,)</f>
        <v>0</v>
      </c>
      <c r="HX316" s="4">
        <f>IFERROR(GV316/'McDonough &amp; Sun 1995 values'!G$2,)</f>
        <v>0</v>
      </c>
      <c r="HY316" s="4">
        <f>IFERROR(GW316/'McDonough &amp; Sun 1995 values'!H$2,)</f>
        <v>0</v>
      </c>
      <c r="HZ316" s="4">
        <f>IFERROR(GX316/'McDonough &amp; Sun 1995 values'!I$2,)</f>
        <v>0</v>
      </c>
      <c r="IA316" s="4">
        <f>IFERROR(GY316/'McDonough &amp; Sun 1995 values'!J$2,)</f>
        <v>0</v>
      </c>
      <c r="IB316" s="4">
        <f>IFERROR(GZ316/'McDonough &amp; Sun 1995 values'!K$2,)</f>
        <v>0</v>
      </c>
      <c r="IC316" s="4">
        <f>IFERROR(HA316/'McDonough &amp; Sun 1995 values'!L$2,)</f>
        <v>0</v>
      </c>
      <c r="ID316" s="4">
        <f>IFERROR(HB316/'McDonough &amp; Sun 1995 values'!M$2,)</f>
        <v>0</v>
      </c>
      <c r="IE316" s="4">
        <f>IFERROR(HC316/'McDonough &amp; Sun 1995 values'!N$2,)</f>
        <v>0</v>
      </c>
      <c r="IF316" s="4">
        <f>IFERROR(HD316/'McDonough &amp; Sun 1995 values'!O$2,)</f>
        <v>0</v>
      </c>
      <c r="IG316" s="4">
        <f>IFERROR(HE316/'McDonough &amp; Sun 1995 values'!P$2,)</f>
        <v>0</v>
      </c>
      <c r="IH316" s="4">
        <f>IFERROR(HF316/'McDonough &amp; Sun 1995 values'!Q$2,)</f>
        <v>0</v>
      </c>
      <c r="II316" s="4">
        <f>IFERROR(HG316/'McDonough &amp; Sun 1995 values'!R$2,)</f>
        <v>0</v>
      </c>
      <c r="IJ316" s="4">
        <f>IFERROR(HH316/'McDonough &amp; Sun 1995 values'!S$2,)</f>
        <v>0</v>
      </c>
      <c r="IK316" s="4">
        <f>IFERROR(HI316/'McDonough &amp; Sun 1995 values'!T$2,)</f>
        <v>0</v>
      </c>
      <c r="IL316" s="4">
        <f>IFERROR(HJ316/'McDonough &amp; Sun 1995 values'!U$2,)</f>
        <v>0</v>
      </c>
      <c r="IM316" s="4">
        <f>IFERROR(HK316/'McDonough &amp; Sun 1995 values'!V$2,)</f>
        <v>0</v>
      </c>
      <c r="IN316" s="4">
        <f>IFERROR(HL316/'McDonough &amp; Sun 1995 values'!W$2,)</f>
        <v>0</v>
      </c>
      <c r="IO316" s="4">
        <f>IFERROR(HM316/'McDonough &amp; Sun 1995 values'!X$2,)</f>
        <v>0</v>
      </c>
      <c r="IP316" s="4">
        <f>IFERROR(HN316/'McDonough &amp; Sun 1995 values'!Y$2,)</f>
        <v>0</v>
      </c>
      <c r="IQ316" s="4">
        <f>IFERROR(HO316/'McDonough &amp; Sun 1995 values'!Z$2,)</f>
        <v>0</v>
      </c>
      <c r="IR316" s="4">
        <f>IFERROR(HP316/'McDonough &amp; Sun 1995 values'!AA$2,)</f>
        <v>0</v>
      </c>
      <c r="IS316" s="4">
        <f>IFERROR(HQ316/'McDonough &amp; Sun 1995 values'!AB$2,)</f>
        <v>0</v>
      </c>
      <c r="IT316" s="4">
        <f>IFERROR(HR316/'McDonough &amp; Sun 1995 values'!AC$2,)</f>
        <v>0</v>
      </c>
    </row>
    <row r="317" spans="1:254">
      <c r="A317" s="16" t="s">
        <v>1179</v>
      </c>
      <c r="B317" s="16" t="s">
        <v>24</v>
      </c>
      <c r="C317" s="16" t="s">
        <v>1369</v>
      </c>
      <c r="D317" s="16" t="s">
        <v>1709</v>
      </c>
      <c r="E317" s="16" t="s">
        <v>237</v>
      </c>
      <c r="F317" s="16" t="s">
        <v>29</v>
      </c>
      <c r="G317" s="16" t="s">
        <v>595</v>
      </c>
      <c r="H317" s="27">
        <v>360</v>
      </c>
      <c r="I317" s="16" t="s">
        <v>712</v>
      </c>
      <c r="J317" s="16">
        <v>0</v>
      </c>
      <c r="K317" s="16" t="s">
        <v>913</v>
      </c>
      <c r="L317" s="16">
        <v>0</v>
      </c>
      <c r="M317" s="16" t="s">
        <v>67</v>
      </c>
      <c r="N317" s="16" t="s">
        <v>1084</v>
      </c>
      <c r="O317" s="26">
        <v>19.399999999999999</v>
      </c>
      <c r="P317" s="26">
        <v>4</v>
      </c>
      <c r="Q317" s="26">
        <v>0</v>
      </c>
      <c r="R317" s="26">
        <v>3.5</v>
      </c>
      <c r="S317" s="26">
        <v>7.3</v>
      </c>
      <c r="T317" s="26">
        <v>32.799999999999997</v>
      </c>
      <c r="U317" s="26">
        <v>5.2</v>
      </c>
      <c r="V317" s="26">
        <v>17.8</v>
      </c>
      <c r="W317" s="26">
        <v>3</v>
      </c>
      <c r="X317" s="26">
        <v>4.8</v>
      </c>
      <c r="Y317" s="26"/>
      <c r="Z317" s="26">
        <v>1.8</v>
      </c>
      <c r="AA317" s="26"/>
      <c r="AB317" s="26"/>
      <c r="AC317" s="26"/>
      <c r="AD317" s="26">
        <v>0.3</v>
      </c>
      <c r="AE317" s="26"/>
      <c r="AF317" s="26"/>
      <c r="AG317" s="26"/>
      <c r="AH317" s="26"/>
      <c r="AI317" s="26"/>
      <c r="AJ317" s="26">
        <f t="shared" si="618"/>
        <v>94.699999999999989</v>
      </c>
      <c r="AK317" s="26">
        <f t="shared" si="755"/>
        <v>20.500400183025981</v>
      </c>
      <c r="AL317" s="26">
        <f t="shared" si="755"/>
        <v>4.2268866356754611</v>
      </c>
      <c r="AM317" s="26">
        <f t="shared" si="756"/>
        <v>3.6985258062160278</v>
      </c>
      <c r="AN317" s="26">
        <f t="shared" si="756"/>
        <v>7.7140681101077151</v>
      </c>
      <c r="AO317" s="26">
        <f t="shared" si="756"/>
        <v>34.660470412538771</v>
      </c>
      <c r="AP317" s="26">
        <f>100*(V317/($AJ317-$AD317*8/35.45))</f>
        <v>18.809645528755802</v>
      </c>
      <c r="AQ317" s="26">
        <f>100*(AB317/($AJ317-$AD317*8/35.45))</f>
        <v>0</v>
      </c>
      <c r="AR317" s="26">
        <f t="shared" si="757"/>
        <v>3.1701649767565954</v>
      </c>
      <c r="AS317" s="26">
        <f t="shared" si="757"/>
        <v>5.0722639628105526</v>
      </c>
      <c r="AT317" s="26">
        <f>100*(Z317/($AJ317-$AD317*8/35.45))</f>
        <v>1.9020989860539572</v>
      </c>
      <c r="AU317" s="26">
        <f>100*(AD317/($AJ317-$AD317*8/35.45))</f>
        <v>0.31701649767565954</v>
      </c>
      <c r="AV317" s="26">
        <f t="shared" si="619"/>
        <v>100.07154109961652</v>
      </c>
      <c r="AW317" s="16"/>
      <c r="AX317" s="16"/>
      <c r="AY317" s="16"/>
      <c r="AZ317" s="16"/>
      <c r="BA317" s="26"/>
      <c r="BB317" s="26">
        <v>0.16</v>
      </c>
      <c r="BC317" s="26">
        <f>1-BD317</f>
        <v>0.16000000000000003</v>
      </c>
      <c r="BD317" s="26">
        <f>1-BB317</f>
        <v>0.84</v>
      </c>
      <c r="BE317" s="16"/>
      <c r="BF317" s="16"/>
      <c r="BG317" s="16" t="s">
        <v>956</v>
      </c>
      <c r="BH317" s="16" t="s">
        <v>957</v>
      </c>
      <c r="BI317" s="16" t="s">
        <v>958</v>
      </c>
      <c r="BJ317" s="16"/>
      <c r="BK317" s="18"/>
      <c r="BL317" s="18"/>
      <c r="BM317" s="18"/>
      <c r="BN317" s="18"/>
      <c r="BO317" s="18"/>
      <c r="BP317" s="18"/>
      <c r="BQ317" s="18"/>
      <c r="BR317" s="18">
        <v>497</v>
      </c>
      <c r="BS317" s="18"/>
      <c r="BT317" s="18"/>
      <c r="BU317" s="18">
        <v>10</v>
      </c>
      <c r="BV317" s="18">
        <v>21.8</v>
      </c>
      <c r="BW317" s="18"/>
      <c r="BX317" s="18">
        <v>86</v>
      </c>
      <c r="BY317" s="18">
        <v>0.27</v>
      </c>
      <c r="BZ317" s="18">
        <v>3.95</v>
      </c>
      <c r="CA317" s="18">
        <v>3.88</v>
      </c>
      <c r="CB317" s="18">
        <v>0.36</v>
      </c>
      <c r="CC317" s="18"/>
      <c r="CD317" s="18"/>
      <c r="CE317" s="18"/>
      <c r="CF317" s="18"/>
      <c r="CG317" s="18"/>
      <c r="CH317" s="18">
        <v>1.96</v>
      </c>
      <c r="CI317" s="18">
        <v>9.33</v>
      </c>
      <c r="CJ317" s="18">
        <v>0.01</v>
      </c>
      <c r="CK317" s="18">
        <v>0.25</v>
      </c>
      <c r="CL317" s="18"/>
      <c r="CM317" s="18">
        <v>1.23</v>
      </c>
      <c r="CN317" s="18"/>
      <c r="CO317" s="18"/>
      <c r="CP317" s="18"/>
      <c r="CQ317" s="18"/>
      <c r="CR317" s="18">
        <v>0.02</v>
      </c>
      <c r="CS317" s="18">
        <v>13</v>
      </c>
      <c r="CT317" s="18">
        <v>0.39</v>
      </c>
      <c r="CU317" s="18">
        <v>1.3</v>
      </c>
      <c r="CV317" s="18">
        <v>2.37</v>
      </c>
      <c r="CW317" s="18">
        <v>0.2</v>
      </c>
      <c r="CX317" s="18">
        <v>0.63</v>
      </c>
      <c r="CY317" s="18">
        <v>0.06</v>
      </c>
      <c r="CZ317" s="18">
        <v>0.01</v>
      </c>
      <c r="DA317" s="18">
        <v>0.03</v>
      </c>
      <c r="DB317" s="18" t="s">
        <v>491</v>
      </c>
      <c r="DC317" s="18" t="s">
        <v>491</v>
      </c>
      <c r="DD317" s="18">
        <v>0.01</v>
      </c>
      <c r="DE317" s="18">
        <v>0.01</v>
      </c>
      <c r="DF317" s="18">
        <v>0.02</v>
      </c>
      <c r="DG317" s="18"/>
      <c r="DH317" s="18">
        <v>0.01</v>
      </c>
      <c r="DI317" s="18">
        <v>0.05</v>
      </c>
      <c r="DJ317" s="18"/>
      <c r="DK317" s="18">
        <v>0.14000000000000001</v>
      </c>
      <c r="DL317" s="18">
        <v>0.15</v>
      </c>
      <c r="DM317" s="18">
        <v>0.02</v>
      </c>
      <c r="DN317" s="18"/>
      <c r="DO317" s="18"/>
      <c r="DP317" s="18"/>
      <c r="DQ317" s="18"/>
      <c r="DR317" s="18"/>
      <c r="DS317" s="18"/>
      <c r="DT317" s="18"/>
      <c r="DU317" s="18"/>
      <c r="DV317" s="28"/>
      <c r="DW317" s="28"/>
      <c r="DX317" s="28"/>
      <c r="DY317" s="28"/>
      <c r="DZ317" s="28"/>
      <c r="EA317" s="28"/>
      <c r="EB317" s="28"/>
      <c r="EC317" s="28"/>
      <c r="ED317" s="28"/>
      <c r="EE317" s="28"/>
      <c r="EF317" s="28"/>
      <c r="EG317" s="28"/>
      <c r="EH317" s="28"/>
      <c r="EI317" s="28"/>
      <c r="EJ317" s="18"/>
      <c r="EK317" s="18"/>
      <c r="EL317" s="18">
        <f>IFERROR(CR317/'McDonough &amp; Sun 1995 values'!C$2,)</f>
        <v>0.95238095238095233</v>
      </c>
      <c r="EM317" s="18">
        <f>IFERROR(CH317/'McDonough &amp; Sun 1995 values'!D$2,)</f>
        <v>3.2666666666666666</v>
      </c>
      <c r="EN317" s="18">
        <f>IFERROR(CS317/'McDonough &amp; Sun 1995 values'!E$2,)</f>
        <v>1.9696969696969697</v>
      </c>
      <c r="EO317" s="18">
        <f>IFERROR(DL317/'McDonough &amp; Sun 1995 values'!F$2,)</f>
        <v>1.8867924528301885</v>
      </c>
      <c r="EP317" s="18">
        <f>IFERROR(DM317/'McDonough &amp; Sun 1995 values'!G$2,)</f>
        <v>0.98522167487684742</v>
      </c>
      <c r="EQ317" s="18">
        <f>IFERROR(BR317/'McDonough &amp; Sun 1995 values'!H$2,)</f>
        <v>2.0708333333333333</v>
      </c>
      <c r="ER317" s="18">
        <f>IFERROR(DI317/'McDonough &amp; Sun 1995 values'!I$2,)</f>
        <v>1.3513513513513515</v>
      </c>
      <c r="ES317" s="18">
        <f>IFERROR(CM317/'McDonough &amp; Sun 1995 values'!J$2,)</f>
        <v>1.8693009118541033</v>
      </c>
      <c r="ET317" s="18">
        <f>IFERROR(CU317/'McDonough &amp; Sun 1995 values'!K$2,)</f>
        <v>2.0061728395061729</v>
      </c>
      <c r="EU317" s="18">
        <f>IFERROR(CV317/'McDonough &amp; Sun 1995 values'!L$2,)</f>
        <v>1.4149253731343283</v>
      </c>
      <c r="EV317" s="18">
        <f>IFERROR(CW317/'McDonough &amp; Sun 1995 values'!M$2,)</f>
        <v>0.78740157480314965</v>
      </c>
      <c r="EW317" s="18">
        <f>IFERROR(CI317/'McDonough &amp; Sun 1995 values'!N$2,)</f>
        <v>0.46884422110552765</v>
      </c>
      <c r="EX317" s="18">
        <f>IFERROR(CX317/'McDonough &amp; Sun 1995 values'!O$2,)</f>
        <v>0.504</v>
      </c>
      <c r="EY317" s="18">
        <f>IFERROR(CY317/'McDonough &amp; Sun 1995 values'!P$2,)</f>
        <v>0.14778325123152708</v>
      </c>
      <c r="EZ317" s="18">
        <f>IFERROR(DH317/'McDonough &amp; Sun 1995 values'!Q$2,)</f>
        <v>3.5335689045936397E-2</v>
      </c>
      <c r="FA317" s="18">
        <f>IFERROR(CK317/'McDonough &amp; Sun 1995 values'!R$2,)</f>
        <v>2.3809523809523808E-2</v>
      </c>
      <c r="FB317" s="18">
        <f>IFERROR(CZ317/'McDonough &amp; Sun 1995 values'!S$2,)</f>
        <v>6.4935064935064943E-2</v>
      </c>
      <c r="FC317" s="18">
        <f>IFERROR(BT317/'McDonough &amp; Sun 1995 values'!T$2,)</f>
        <v>0</v>
      </c>
      <c r="FD317" s="18">
        <f>IFERROR(DA317/'McDonough &amp; Sun 1995 values'!U$2,)</f>
        <v>5.5147058823529403E-2</v>
      </c>
      <c r="FE317" s="18">
        <f>IFERROR(DN317/'McDonough &amp; Sun 1995 values'!V$2,)</f>
        <v>0</v>
      </c>
      <c r="FF317" s="18">
        <f>IFERROR(DB317/'McDonough &amp; Sun 1995 values'!W$2,)</f>
        <v>0</v>
      </c>
      <c r="FG317" s="18">
        <f>IFERROR(CJ317/'McDonough &amp; Sun 1995 values'!X$2,)</f>
        <v>2.3255813953488372E-3</v>
      </c>
      <c r="FH317" s="18">
        <f>IFERROR(DC317/'McDonough &amp; Sun 1995 values'!Y$2,)</f>
        <v>0</v>
      </c>
      <c r="FI317" s="18">
        <f>IFERROR(DD317/'McDonough &amp; Sun 1995 values'!Z$2,)</f>
        <v>2.2831050228310501E-2</v>
      </c>
      <c r="FJ317" s="18">
        <f>IFERROR(DE317/'McDonough &amp; Sun 1995 values'!AA$2,)</f>
        <v>0.14705882352941177</v>
      </c>
      <c r="FK317" s="18">
        <f>IFERROR(DF317/'McDonough &amp; Sun 1995 values'!AB$2,)</f>
        <v>4.5351473922902494E-2</v>
      </c>
      <c r="FL317" s="18">
        <f>IFERROR(DG317/'McDonough &amp; Sun 1995 values'!AC$2,)</f>
        <v>0</v>
      </c>
      <c r="FN317" s="28">
        <f t="shared" si="758"/>
        <v>0.47576096975944343</v>
      </c>
      <c r="FO317" s="4">
        <f t="shared" si="699"/>
        <v>1.999242424242424</v>
      </c>
      <c r="FP317" s="4">
        <f t="shared" si="700"/>
        <v>1.0093572633839545</v>
      </c>
      <c r="FQ317" s="4">
        <f t="shared" si="701"/>
        <v>1.915094339622641</v>
      </c>
      <c r="FR317" s="4">
        <f t="shared" si="702"/>
        <v>1.0732209173943592</v>
      </c>
      <c r="FS317" s="4">
        <f t="shared" si="703"/>
        <v>1.4845679012345676</v>
      </c>
      <c r="FT317" s="4">
        <f t="shared" si="704"/>
        <v>3.43</v>
      </c>
      <c r="FU317" s="4">
        <f t="shared" si="705"/>
        <v>0.72291803999121085</v>
      </c>
      <c r="FV317" s="4">
        <f t="shared" si="706"/>
        <v>0.16111111111111112</v>
      </c>
      <c r="FW317" s="4">
        <f t="shared" si="707"/>
        <v>0.67380952380952375</v>
      </c>
      <c r="FX317" s="4">
        <f t="shared" si="708"/>
        <v>0.63997403756439919</v>
      </c>
      <c r="FY317" s="4">
        <f t="shared" si="709"/>
        <v>0.74424368722808354</v>
      </c>
      <c r="FZ317" s="4">
        <f t="shared" si="710"/>
        <v>0.71929243586367531</v>
      </c>
      <c r="GA317" s="4">
        <f t="shared" si="711"/>
        <v>0.59543216080402006</v>
      </c>
      <c r="GB317" s="4">
        <f t="shared" si="712"/>
        <v>0.4393939393939395</v>
      </c>
      <c r="GC317" s="4">
        <f t="shared" si="713"/>
        <v>0.29154518950437319</v>
      </c>
      <c r="GD317" s="4">
        <f t="shared" si="714"/>
        <v>1.0439393939393942</v>
      </c>
      <c r="GE317" s="4">
        <f t="shared" si="715"/>
        <v>0.60296846011131733</v>
      </c>
      <c r="GF317" s="4">
        <f t="shared" si="716"/>
        <v>0.9511615145417962</v>
      </c>
      <c r="GG317" s="4">
        <f t="shared" si="717"/>
        <v>1.0537078098053709</v>
      </c>
      <c r="GH317" s="4">
        <f t="shared" si="718"/>
        <v>2.5478395061728394</v>
      </c>
      <c r="GI317" s="4">
        <f t="shared" si="719"/>
        <v>13.575102880658438</v>
      </c>
      <c r="GJ317" s="4">
        <f t="shared" si="720"/>
        <v>0</v>
      </c>
      <c r="GK317" s="4">
        <f t="shared" si="721"/>
        <v>44.236111111111114</v>
      </c>
      <c r="GL317" s="4">
        <f t="shared" si="722"/>
        <v>0</v>
      </c>
      <c r="GM317" s="4">
        <f t="shared" si="723"/>
        <v>0.57758952637658834</v>
      </c>
      <c r="GN317" s="4">
        <f t="shared" si="724"/>
        <v>0.93177460837035297</v>
      </c>
      <c r="GO317" s="4">
        <f t="shared" si="725"/>
        <v>1.8973404255319146</v>
      </c>
      <c r="GP317" s="4">
        <f t="shared" si="726"/>
        <v>2.1018958333333329</v>
      </c>
      <c r="GQ317" s="27">
        <f t="shared" si="727"/>
        <v>42106.755348662256</v>
      </c>
      <c r="GR317" s="28">
        <f t="shared" si="728"/>
        <v>1.6944368349562278</v>
      </c>
      <c r="GS317" s="28">
        <f t="shared" si="729"/>
        <v>166.05480982571029</v>
      </c>
      <c r="GT317" s="28">
        <f t="shared" si="730"/>
        <v>1101.383942721548</v>
      </c>
      <c r="GU317" s="28">
        <f t="shared" si="731"/>
        <v>12.708276262171706</v>
      </c>
      <c r="GV317" s="28">
        <f t="shared" si="732"/>
        <v>1.6944368349562278</v>
      </c>
      <c r="GW317" s="28">
        <f t="shared" si="733"/>
        <v>42106.755348662256</v>
      </c>
      <c r="GX317" s="28">
        <f t="shared" si="734"/>
        <v>4.2360920873905696</v>
      </c>
      <c r="GY317" s="28">
        <f t="shared" si="735"/>
        <v>104.207865349808</v>
      </c>
      <c r="GZ317" s="28">
        <f t="shared" si="736"/>
        <v>110.1383942721548</v>
      </c>
      <c r="HA317" s="28">
        <f t="shared" si="737"/>
        <v>200.79076494231299</v>
      </c>
      <c r="HB317" s="28">
        <f t="shared" si="738"/>
        <v>16.944368349562279</v>
      </c>
      <c r="HC317" s="28">
        <f t="shared" si="739"/>
        <v>790.45478350708015</v>
      </c>
      <c r="HD317" s="28">
        <f t="shared" si="740"/>
        <v>53.374760301121171</v>
      </c>
      <c r="HE317" s="28">
        <f t="shared" si="741"/>
        <v>5.083310504868682</v>
      </c>
      <c r="HF317" s="28">
        <f t="shared" si="742"/>
        <v>0.84721841747811388</v>
      </c>
      <c r="HG317" s="28">
        <f t="shared" si="743"/>
        <v>21.180460436952846</v>
      </c>
      <c r="HH317" s="28">
        <f t="shared" si="744"/>
        <v>0.84721841747811388</v>
      </c>
      <c r="HI317" s="28">
        <f t="shared" si="745"/>
        <v>0</v>
      </c>
      <c r="HJ317" s="28">
        <f t="shared" si="746"/>
        <v>2.541655252434341</v>
      </c>
      <c r="HK317" s="28">
        <f t="shared" si="747"/>
        <v>0</v>
      </c>
      <c r="HL317" s="28" t="str">
        <f t="shared" si="748"/>
        <v/>
      </c>
      <c r="HM317" s="28">
        <f t="shared" si="749"/>
        <v>0.84721841747811388</v>
      </c>
      <c r="HN317" s="28" t="str">
        <f t="shared" si="750"/>
        <v/>
      </c>
      <c r="HO317" s="28">
        <f t="shared" si="751"/>
        <v>0.84721841747811388</v>
      </c>
      <c r="HP317" s="28">
        <f t="shared" si="752"/>
        <v>0.84721841747811388</v>
      </c>
      <c r="HQ317" s="28">
        <f t="shared" si="753"/>
        <v>1.6944368349562278</v>
      </c>
      <c r="HR317" s="28">
        <f t="shared" si="754"/>
        <v>0</v>
      </c>
      <c r="HT317" s="4">
        <f>IFERROR(GR317/'McDonough &amp; Sun 1995 values'!C$2,)</f>
        <v>80.687468331248937</v>
      </c>
      <c r="HU317" s="4">
        <f>IFERROR(GS317/'McDonough &amp; Sun 1995 values'!D$2,)</f>
        <v>276.75801637618383</v>
      </c>
      <c r="HV317" s="4">
        <f>IFERROR(GT317/'McDonough &amp; Sun 1995 values'!E$2,)</f>
        <v>166.87635495781032</v>
      </c>
      <c r="HW317" s="4">
        <f>IFERROR(GU317/'McDonough &amp; Sun 1995 values'!F$2,)</f>
        <v>159.8525315996441</v>
      </c>
      <c r="HX317" s="4">
        <f>IFERROR(GV317/'McDonough &amp; Sun 1995 values'!G$2,)</f>
        <v>83.469794825429943</v>
      </c>
      <c r="HY317" s="4">
        <f>IFERROR(GW317/'McDonough &amp; Sun 1995 values'!H$2,)</f>
        <v>175.4448139527594</v>
      </c>
      <c r="HZ317" s="4">
        <f>IFERROR(GX317/'McDonough &amp; Sun 1995 values'!I$2,)</f>
        <v>114.48897533488027</v>
      </c>
      <c r="IA317" s="4">
        <f>IFERROR(GY317/'McDonough &amp; Sun 1995 values'!J$2,)</f>
        <v>158.37061603314285</v>
      </c>
      <c r="IB317" s="4">
        <f>IFERROR(GZ317/'McDonough &amp; Sun 1995 values'!K$2,)</f>
        <v>169.96665782739939</v>
      </c>
      <c r="IC317" s="4">
        <f>IFERROR(HA317/'McDonough &amp; Sun 1995 values'!L$2,)</f>
        <v>119.87508354764954</v>
      </c>
      <c r="ID317" s="4">
        <f>IFERROR(HB317/'McDonough &amp; Sun 1995 values'!M$2,)</f>
        <v>66.710111612449921</v>
      </c>
      <c r="IE317" s="4">
        <f>IFERROR(HC317/'McDonough &amp; Sun 1995 values'!N$2,)</f>
        <v>39.721345904878405</v>
      </c>
      <c r="IF317" s="4">
        <f>IFERROR(HD317/'McDonough &amp; Sun 1995 values'!O$2,)</f>
        <v>42.699808240896935</v>
      </c>
      <c r="IG317" s="4">
        <f>IFERROR(HE317/'McDonough &amp; Sun 1995 values'!P$2,)</f>
        <v>12.520469223814487</v>
      </c>
      <c r="IH317" s="4">
        <f>IFERROR(HF317/'McDonough &amp; Sun 1995 values'!Q$2,)</f>
        <v>2.993704655399696</v>
      </c>
      <c r="II317" s="4">
        <f>IFERROR(HG317/'McDonough &amp; Sun 1995 values'!R$2,)</f>
        <v>2.0171867082812236</v>
      </c>
      <c r="IJ317" s="4">
        <f>IFERROR(HH317/'McDonough &amp; Sun 1995 values'!S$2,)</f>
        <v>5.501418295312428</v>
      </c>
      <c r="IK317" s="4">
        <f>IFERROR(HI317/'McDonough &amp; Sun 1995 values'!T$2,)</f>
        <v>0</v>
      </c>
      <c r="IL317" s="4">
        <f>IFERROR(HJ317/'McDonough &amp; Sun 1995 values'!U$2,)</f>
        <v>4.6721603905043025</v>
      </c>
      <c r="IM317" s="4">
        <f>IFERROR(HK317/'McDonough &amp; Sun 1995 values'!V$2,)</f>
        <v>0</v>
      </c>
      <c r="IN317" s="4">
        <f>IFERROR(HL317/'McDonough &amp; Sun 1995 values'!W$2,)</f>
        <v>0</v>
      </c>
      <c r="IO317" s="4">
        <f>IFERROR(HM317/'McDonough &amp; Sun 1995 values'!X$2,)</f>
        <v>0.19702753894839858</v>
      </c>
      <c r="IP317" s="4">
        <f>IFERROR(HN317/'McDonough &amp; Sun 1995 values'!Y$2,)</f>
        <v>0</v>
      </c>
      <c r="IQ317" s="4">
        <f>IFERROR(HO317/'McDonough &amp; Sun 1995 values'!Z$2,)</f>
        <v>1.9342886243792554</v>
      </c>
      <c r="IR317" s="4">
        <f>IFERROR(HP317/'McDonough &amp; Sun 1995 values'!AA$2,)</f>
        <v>12.459094374678145</v>
      </c>
      <c r="IS317" s="4">
        <f>IFERROR(HQ317/'McDonough &amp; Sun 1995 values'!AB$2,)</f>
        <v>3.8422603967261399</v>
      </c>
      <c r="IT317" s="4">
        <f>IFERROR(HR317/'McDonough &amp; Sun 1995 values'!AC$2,)</f>
        <v>0</v>
      </c>
    </row>
    <row r="318" spans="1:254">
      <c r="A318" s="16" t="s">
        <v>844</v>
      </c>
      <c r="B318" s="16" t="s">
        <v>24</v>
      </c>
      <c r="C318" s="16" t="s">
        <v>1369</v>
      </c>
      <c r="D318" s="16">
        <v>0</v>
      </c>
      <c r="E318" s="16" t="s">
        <v>237</v>
      </c>
      <c r="F318" s="16" t="s">
        <v>29</v>
      </c>
      <c r="G318" s="16" t="s">
        <v>595</v>
      </c>
      <c r="H318" s="27">
        <v>360</v>
      </c>
      <c r="I318" s="16" t="s">
        <v>712</v>
      </c>
      <c r="J318" s="16">
        <v>0</v>
      </c>
      <c r="K318" s="16" t="s">
        <v>488</v>
      </c>
      <c r="L318" s="16">
        <v>0</v>
      </c>
      <c r="M318" s="16" t="s">
        <v>489</v>
      </c>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f t="shared" si="618"/>
        <v>0</v>
      </c>
      <c r="AK318" s="26"/>
      <c r="AL318" s="26"/>
      <c r="AM318" s="26"/>
      <c r="AN318" s="26"/>
      <c r="AO318" s="26"/>
      <c r="AP318" s="26"/>
      <c r="AQ318" s="26"/>
      <c r="AR318" s="26"/>
      <c r="AS318" s="26"/>
      <c r="AT318" s="26"/>
      <c r="AU318" s="26"/>
      <c r="AV318" s="26"/>
      <c r="AW318" s="16"/>
      <c r="AX318" s="16"/>
      <c r="AY318" s="16"/>
      <c r="AZ318" s="16"/>
      <c r="BA318" s="26"/>
      <c r="BB318" s="26"/>
      <c r="BC318" s="26"/>
      <c r="BD318" s="26"/>
      <c r="BE318" s="16"/>
      <c r="BF318" s="16"/>
      <c r="BG318" s="16"/>
      <c r="BH318" s="16"/>
      <c r="BI318" s="16"/>
      <c r="BJ318" s="16"/>
      <c r="BK318" s="18"/>
      <c r="BL318" s="18"/>
      <c r="BM318" s="18"/>
      <c r="BN318" s="18"/>
      <c r="BO318" s="18"/>
      <c r="BP318" s="18"/>
      <c r="BQ318" s="18"/>
      <c r="BR318" s="18">
        <v>329</v>
      </c>
      <c r="BS318" s="18"/>
      <c r="BT318" s="18"/>
      <c r="BU318" s="18">
        <v>2.42</v>
      </c>
      <c r="BV318" s="18">
        <v>0.65</v>
      </c>
      <c r="BW318" s="18"/>
      <c r="BX318" s="18">
        <v>1.03</v>
      </c>
      <c r="BY318" s="18">
        <v>0.06</v>
      </c>
      <c r="BZ318" s="18">
        <v>0.78</v>
      </c>
      <c r="CA318" s="18">
        <v>0.03</v>
      </c>
      <c r="CB318" s="18">
        <v>0.21</v>
      </c>
      <c r="CC318" s="18"/>
      <c r="CD318" s="18"/>
      <c r="CE318" s="18"/>
      <c r="CF318" s="18"/>
      <c r="CG318" s="18"/>
      <c r="CH318" s="18">
        <v>0.95</v>
      </c>
      <c r="CI318" s="18">
        <v>1.76</v>
      </c>
      <c r="CJ318" s="18">
        <v>0.02</v>
      </c>
      <c r="CK318" s="18">
        <v>0.44</v>
      </c>
      <c r="CL318" s="18"/>
      <c r="CM318" s="18">
        <v>0.64</v>
      </c>
      <c r="CN318" s="18"/>
      <c r="CO318" s="18"/>
      <c r="CP318" s="18"/>
      <c r="CQ318" s="18"/>
      <c r="CR318" s="18" t="s">
        <v>491</v>
      </c>
      <c r="CS318" s="18">
        <v>6.08</v>
      </c>
      <c r="CT318" s="18">
        <v>0.1</v>
      </c>
      <c r="CU318" s="18">
        <v>0.28999999999999998</v>
      </c>
      <c r="CV318" s="18">
        <v>0.48</v>
      </c>
      <c r="CW318" s="18">
        <v>0.04</v>
      </c>
      <c r="CX318" s="18">
        <v>0.13</v>
      </c>
      <c r="CY318" s="18">
        <v>0.02</v>
      </c>
      <c r="CZ318" s="18">
        <v>0.01</v>
      </c>
      <c r="DA318" s="18">
        <v>0.01</v>
      </c>
      <c r="DB318" s="18" t="s">
        <v>491</v>
      </c>
      <c r="DC318" s="18" t="s">
        <v>491</v>
      </c>
      <c r="DD318" s="18" t="s">
        <v>491</v>
      </c>
      <c r="DE318" s="18" t="s">
        <v>491</v>
      </c>
      <c r="DF318" s="18" t="s">
        <v>491</v>
      </c>
      <c r="DG318" s="18" t="s">
        <v>491</v>
      </c>
      <c r="DH318" s="18">
        <v>0.02</v>
      </c>
      <c r="DI318" s="18">
        <v>0.03</v>
      </c>
      <c r="DJ318" s="18"/>
      <c r="DK318" s="18">
        <v>0.06</v>
      </c>
      <c r="DL318" s="18">
        <v>0.04</v>
      </c>
      <c r="DM318" s="18">
        <v>0.01</v>
      </c>
      <c r="DN318" s="18"/>
      <c r="DO318" s="18"/>
      <c r="DP318" s="18"/>
      <c r="DQ318" s="18"/>
      <c r="DR318" s="18"/>
      <c r="DS318" s="18"/>
      <c r="DT318" s="18"/>
      <c r="DU318" s="18"/>
      <c r="DV318" s="28"/>
      <c r="DW318" s="28"/>
      <c r="DX318" s="28"/>
      <c r="DY318" s="28"/>
      <c r="DZ318" s="28"/>
      <c r="EA318" s="28"/>
      <c r="EB318" s="28"/>
      <c r="EC318" s="28"/>
      <c r="ED318" s="28"/>
      <c r="EE318" s="28"/>
      <c r="EF318" s="28"/>
      <c r="EG318" s="28"/>
      <c r="EH318" s="28"/>
      <c r="EI318" s="28"/>
      <c r="EJ318" s="18"/>
      <c r="EK318" s="18"/>
      <c r="EL318" s="18">
        <f>IFERROR(CR318/'McDonough &amp; Sun 1995 values'!C$2,)</f>
        <v>0</v>
      </c>
      <c r="EM318" s="18">
        <f>IFERROR(CH318/'McDonough &amp; Sun 1995 values'!D$2,)</f>
        <v>1.5833333333333333</v>
      </c>
      <c r="EN318" s="18">
        <f>IFERROR(CS318/'McDonough &amp; Sun 1995 values'!E$2,)</f>
        <v>0.92121212121212126</v>
      </c>
      <c r="EO318" s="18">
        <f>IFERROR(DL318/'McDonough &amp; Sun 1995 values'!F$2,)</f>
        <v>0.50314465408805031</v>
      </c>
      <c r="EP318" s="18">
        <f>IFERROR(DM318/'McDonough &amp; Sun 1995 values'!G$2,)</f>
        <v>0.49261083743842371</v>
      </c>
      <c r="EQ318" s="18">
        <f>IFERROR(BR318/'McDonough &amp; Sun 1995 values'!H$2,)</f>
        <v>1.3708333333333333</v>
      </c>
      <c r="ER318" s="18">
        <f>IFERROR(DI318/'McDonough &amp; Sun 1995 values'!I$2,)</f>
        <v>0.81081081081081086</v>
      </c>
      <c r="ES318" s="18">
        <f>IFERROR(CM318/'McDonough &amp; Sun 1995 values'!J$2,)</f>
        <v>0.97264437689969607</v>
      </c>
      <c r="ET318" s="18">
        <f>IFERROR(CU318/'McDonough &amp; Sun 1995 values'!K$2,)</f>
        <v>0.4475308641975308</v>
      </c>
      <c r="EU318" s="18">
        <f>IFERROR(CV318/'McDonough &amp; Sun 1995 values'!L$2,)</f>
        <v>0.28656716417910444</v>
      </c>
      <c r="EV318" s="18">
        <f>IFERROR(CW318/'McDonough &amp; Sun 1995 values'!M$2,)</f>
        <v>0.15748031496062992</v>
      </c>
      <c r="EW318" s="18">
        <f>IFERROR(CI318/'McDonough &amp; Sun 1995 values'!N$2,)</f>
        <v>8.8442211055276387E-2</v>
      </c>
      <c r="EX318" s="18">
        <f>IFERROR(CX318/'McDonough &amp; Sun 1995 values'!O$2,)</f>
        <v>0.10400000000000001</v>
      </c>
      <c r="EY318" s="18">
        <f>IFERROR(CY318/'McDonough &amp; Sun 1995 values'!P$2,)</f>
        <v>4.926108374384236E-2</v>
      </c>
      <c r="EZ318" s="18">
        <f>IFERROR(DH318/'McDonough &amp; Sun 1995 values'!Q$2,)</f>
        <v>7.0671378091872794E-2</v>
      </c>
      <c r="FA318" s="18">
        <f>IFERROR(CK318/'McDonough &amp; Sun 1995 values'!R$2,)</f>
        <v>4.1904761904761903E-2</v>
      </c>
      <c r="FB318" s="18">
        <f>IFERROR(CZ318/'McDonough &amp; Sun 1995 values'!S$2,)</f>
        <v>6.4935064935064943E-2</v>
      </c>
      <c r="FC318" s="18">
        <f>IFERROR(BT318/'McDonough &amp; Sun 1995 values'!T$2,)</f>
        <v>0</v>
      </c>
      <c r="FD318" s="18">
        <f>IFERROR(DA318/'McDonough &amp; Sun 1995 values'!U$2,)</f>
        <v>1.8382352941176471E-2</v>
      </c>
      <c r="FE318" s="18">
        <f>IFERROR(DN318/'McDonough &amp; Sun 1995 values'!V$2,)</f>
        <v>0</v>
      </c>
      <c r="FF318" s="18">
        <f>IFERROR(DB318/'McDonough &amp; Sun 1995 values'!W$2,)</f>
        <v>0</v>
      </c>
      <c r="FG318" s="18">
        <f>IFERROR(CJ318/'McDonough &amp; Sun 1995 values'!X$2,)</f>
        <v>4.6511627906976744E-3</v>
      </c>
      <c r="FH318" s="18">
        <f>IFERROR(DC318/'McDonough &amp; Sun 1995 values'!Y$2,)</f>
        <v>0</v>
      </c>
      <c r="FI318" s="18">
        <f>IFERROR(DD318/'McDonough &amp; Sun 1995 values'!Z$2,)</f>
        <v>0</v>
      </c>
      <c r="FJ318" s="18">
        <f>IFERROR(DE318/'McDonough &amp; Sun 1995 values'!AA$2,)</f>
        <v>0</v>
      </c>
      <c r="FK318" s="18">
        <f>IFERROR(DF318/'McDonough &amp; Sun 1995 values'!AB$2,)</f>
        <v>0</v>
      </c>
      <c r="FL318" s="18">
        <f>IFERROR(DG318/'McDonough &amp; Sun 1995 values'!AC$2,)</f>
        <v>0</v>
      </c>
      <c r="FN318" s="28">
        <f t="shared" si="758"/>
        <v>0.3593513707757498</v>
      </c>
      <c r="FO318" s="4">
        <f t="shared" si="699"/>
        <v>1.870060606060606</v>
      </c>
      <c r="FP318" s="4">
        <f t="shared" si="700"/>
        <v>0.51729559748427667</v>
      </c>
      <c r="FQ318" s="4">
        <f t="shared" si="701"/>
        <v>1.0213836477987419</v>
      </c>
      <c r="FR318" s="4">
        <f t="shared" si="702"/>
        <v>0.46011766975308632</v>
      </c>
      <c r="FS318" s="4">
        <f t="shared" si="703"/>
        <v>0.55195473251028793</v>
      </c>
      <c r="FT318" s="4">
        <f t="shared" si="704"/>
        <v>0</v>
      </c>
      <c r="FU318" s="4">
        <f t="shared" si="705"/>
        <v>0.83361486486486491</v>
      </c>
      <c r="FV318" s="4">
        <f t="shared" si="706"/>
        <v>0.85066666666666668</v>
      </c>
      <c r="FW318" s="4">
        <f t="shared" si="707"/>
        <v>0.5929523809523809</v>
      </c>
      <c r="FX318" s="4">
        <f t="shared" si="708"/>
        <v>1.9199221126931973</v>
      </c>
      <c r="FY318" s="4">
        <f t="shared" si="709"/>
        <v>0.69108232297799932</v>
      </c>
      <c r="FZ318" s="4">
        <f t="shared" si="710"/>
        <v>2.1578773075910256</v>
      </c>
      <c r="GA318" s="4">
        <f t="shared" si="711"/>
        <v>0.56160804020100508</v>
      </c>
      <c r="GB318" s="4">
        <f t="shared" si="712"/>
        <v>1.3181818181818186</v>
      </c>
      <c r="GC318" s="4">
        <f t="shared" si="713"/>
        <v>0</v>
      </c>
      <c r="GD318" s="4">
        <f t="shared" si="714"/>
        <v>1.830909090909091</v>
      </c>
      <c r="GE318" s="4">
        <f t="shared" si="715"/>
        <v>0.5818181818181819</v>
      </c>
      <c r="GF318" s="4">
        <f t="shared" si="716"/>
        <v>0.67200884222160817</v>
      </c>
      <c r="GG318" s="4">
        <f t="shared" si="717"/>
        <v>0.94712121212121214</v>
      </c>
      <c r="GH318" s="4">
        <f t="shared" si="718"/>
        <v>2.8418209876543208</v>
      </c>
      <c r="GI318" s="4">
        <f t="shared" si="719"/>
        <v>9.0848765432098766</v>
      </c>
      <c r="GJ318" s="4">
        <f t="shared" si="720"/>
        <v>0</v>
      </c>
      <c r="GK318" s="4">
        <f t="shared" si="721"/>
        <v>0</v>
      </c>
      <c r="GL318" s="4">
        <f t="shared" si="722"/>
        <v>0</v>
      </c>
      <c r="GM318" s="4">
        <f t="shared" si="723"/>
        <v>0.31777557100297915</v>
      </c>
      <c r="GN318" s="4">
        <f t="shared" si="724"/>
        <v>2.1733570904517352</v>
      </c>
      <c r="GO318" s="4">
        <f t="shared" si="725"/>
        <v>1.9744680851063827</v>
      </c>
      <c r="GP318" s="4">
        <f t="shared" si="726"/>
        <v>2.7827916666666663</v>
      </c>
      <c r="GQ318" s="27">
        <f t="shared" si="727"/>
        <v>0</v>
      </c>
      <c r="GR318" s="28" t="str">
        <f t="shared" si="728"/>
        <v/>
      </c>
      <c r="GS318" s="28">
        <f t="shared" si="729"/>
        <v>0</v>
      </c>
      <c r="GT318" s="28">
        <f t="shared" si="730"/>
        <v>0</v>
      </c>
      <c r="GU318" s="28">
        <f t="shared" si="731"/>
        <v>0</v>
      </c>
      <c r="GV318" s="28">
        <f t="shared" si="732"/>
        <v>0</v>
      </c>
      <c r="GW318" s="28">
        <f t="shared" si="733"/>
        <v>0</v>
      </c>
      <c r="GX318" s="28">
        <f t="shared" si="734"/>
        <v>0</v>
      </c>
      <c r="GY318" s="28">
        <f t="shared" si="735"/>
        <v>0</v>
      </c>
      <c r="GZ318" s="28">
        <f t="shared" si="736"/>
        <v>0</v>
      </c>
      <c r="HA318" s="28">
        <f t="shared" si="737"/>
        <v>0</v>
      </c>
      <c r="HB318" s="28">
        <f t="shared" si="738"/>
        <v>0</v>
      </c>
      <c r="HC318" s="28">
        <f t="shared" si="739"/>
        <v>0</v>
      </c>
      <c r="HD318" s="28">
        <f t="shared" si="740"/>
        <v>0</v>
      </c>
      <c r="HE318" s="28">
        <f t="shared" si="741"/>
        <v>0</v>
      </c>
      <c r="HF318" s="28">
        <f t="shared" si="742"/>
        <v>0</v>
      </c>
      <c r="HG318" s="28">
        <f t="shared" si="743"/>
        <v>0</v>
      </c>
      <c r="HH318" s="28">
        <f t="shared" si="744"/>
        <v>0</v>
      </c>
      <c r="HI318" s="28">
        <f t="shared" si="745"/>
        <v>0</v>
      </c>
      <c r="HJ318" s="28">
        <f t="shared" si="746"/>
        <v>0</v>
      </c>
      <c r="HK318" s="28">
        <f t="shared" si="747"/>
        <v>0</v>
      </c>
      <c r="HL318" s="28" t="str">
        <f t="shared" si="748"/>
        <v/>
      </c>
      <c r="HM318" s="28">
        <f t="shared" si="749"/>
        <v>0</v>
      </c>
      <c r="HN318" s="28" t="str">
        <f t="shared" si="750"/>
        <v/>
      </c>
      <c r="HO318" s="28" t="str">
        <f t="shared" si="751"/>
        <v/>
      </c>
      <c r="HP318" s="28" t="str">
        <f t="shared" si="752"/>
        <v/>
      </c>
      <c r="HQ318" s="28" t="str">
        <f t="shared" si="753"/>
        <v/>
      </c>
      <c r="HR318" s="28" t="str">
        <f t="shared" si="754"/>
        <v/>
      </c>
      <c r="HT318" s="4">
        <f>IFERROR(GR318/'McDonough &amp; Sun 1995 values'!C$2,)</f>
        <v>0</v>
      </c>
      <c r="HU318" s="4">
        <f>IFERROR(GS318/'McDonough &amp; Sun 1995 values'!D$2,)</f>
        <v>0</v>
      </c>
      <c r="HV318" s="4">
        <f>IFERROR(GT318/'McDonough &amp; Sun 1995 values'!E$2,)</f>
        <v>0</v>
      </c>
      <c r="HW318" s="4">
        <f>IFERROR(GU318/'McDonough &amp; Sun 1995 values'!F$2,)</f>
        <v>0</v>
      </c>
      <c r="HX318" s="4">
        <f>IFERROR(GV318/'McDonough &amp; Sun 1995 values'!G$2,)</f>
        <v>0</v>
      </c>
      <c r="HY318" s="4">
        <f>IFERROR(GW318/'McDonough &amp; Sun 1995 values'!H$2,)</f>
        <v>0</v>
      </c>
      <c r="HZ318" s="4">
        <f>IFERROR(GX318/'McDonough &amp; Sun 1995 values'!I$2,)</f>
        <v>0</v>
      </c>
      <c r="IA318" s="4">
        <f>IFERROR(GY318/'McDonough &amp; Sun 1995 values'!J$2,)</f>
        <v>0</v>
      </c>
      <c r="IB318" s="4">
        <f>IFERROR(GZ318/'McDonough &amp; Sun 1995 values'!K$2,)</f>
        <v>0</v>
      </c>
      <c r="IC318" s="4">
        <f>IFERROR(HA318/'McDonough &amp; Sun 1995 values'!L$2,)</f>
        <v>0</v>
      </c>
      <c r="ID318" s="4">
        <f>IFERROR(HB318/'McDonough &amp; Sun 1995 values'!M$2,)</f>
        <v>0</v>
      </c>
      <c r="IE318" s="4">
        <f>IFERROR(HC318/'McDonough &amp; Sun 1995 values'!N$2,)</f>
        <v>0</v>
      </c>
      <c r="IF318" s="4">
        <f>IFERROR(HD318/'McDonough &amp; Sun 1995 values'!O$2,)</f>
        <v>0</v>
      </c>
      <c r="IG318" s="4">
        <f>IFERROR(HE318/'McDonough &amp; Sun 1995 values'!P$2,)</f>
        <v>0</v>
      </c>
      <c r="IH318" s="4">
        <f>IFERROR(HF318/'McDonough &amp; Sun 1995 values'!Q$2,)</f>
        <v>0</v>
      </c>
      <c r="II318" s="4">
        <f>IFERROR(HG318/'McDonough &amp; Sun 1995 values'!R$2,)</f>
        <v>0</v>
      </c>
      <c r="IJ318" s="4">
        <f>IFERROR(HH318/'McDonough &amp; Sun 1995 values'!S$2,)</f>
        <v>0</v>
      </c>
      <c r="IK318" s="4">
        <f>IFERROR(HI318/'McDonough &amp; Sun 1995 values'!T$2,)</f>
        <v>0</v>
      </c>
      <c r="IL318" s="4">
        <f>IFERROR(HJ318/'McDonough &amp; Sun 1995 values'!U$2,)</f>
        <v>0</v>
      </c>
      <c r="IM318" s="4">
        <f>IFERROR(HK318/'McDonough &amp; Sun 1995 values'!V$2,)</f>
        <v>0</v>
      </c>
      <c r="IN318" s="4">
        <f>IFERROR(HL318/'McDonough &amp; Sun 1995 values'!W$2,)</f>
        <v>0</v>
      </c>
      <c r="IO318" s="4">
        <f>IFERROR(HM318/'McDonough &amp; Sun 1995 values'!X$2,)</f>
        <v>0</v>
      </c>
      <c r="IP318" s="4">
        <f>IFERROR(HN318/'McDonough &amp; Sun 1995 values'!Y$2,)</f>
        <v>0</v>
      </c>
      <c r="IQ318" s="4">
        <f>IFERROR(HO318/'McDonough &amp; Sun 1995 values'!Z$2,)</f>
        <v>0</v>
      </c>
      <c r="IR318" s="4">
        <f>IFERROR(HP318/'McDonough &amp; Sun 1995 values'!AA$2,)</f>
        <v>0</v>
      </c>
      <c r="IS318" s="4">
        <f>IFERROR(HQ318/'McDonough &amp; Sun 1995 values'!AB$2,)</f>
        <v>0</v>
      </c>
      <c r="IT318" s="4">
        <f>IFERROR(HR318/'McDonough &amp; Sun 1995 values'!AC$2,)</f>
        <v>0</v>
      </c>
    </row>
    <row r="319" spans="1:254">
      <c r="A319" s="16" t="s">
        <v>844</v>
      </c>
      <c r="B319" s="16" t="s">
        <v>24</v>
      </c>
      <c r="C319" s="16" t="s">
        <v>1369</v>
      </c>
      <c r="D319" s="16">
        <v>0</v>
      </c>
      <c r="E319" s="16" t="s">
        <v>237</v>
      </c>
      <c r="F319" s="16" t="s">
        <v>29</v>
      </c>
      <c r="G319" s="16" t="s">
        <v>595</v>
      </c>
      <c r="H319" s="27">
        <v>360</v>
      </c>
      <c r="I319" s="16" t="s">
        <v>712</v>
      </c>
      <c r="J319" s="16">
        <v>0</v>
      </c>
      <c r="K319" s="16" t="s">
        <v>488</v>
      </c>
      <c r="L319" s="16">
        <v>0</v>
      </c>
      <c r="M319" s="16" t="s">
        <v>490</v>
      </c>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f t="shared" si="618"/>
        <v>0</v>
      </c>
      <c r="AK319" s="26"/>
      <c r="AL319" s="26"/>
      <c r="AM319" s="26"/>
      <c r="AN319" s="26"/>
      <c r="AO319" s="26"/>
      <c r="AP319" s="26"/>
      <c r="AQ319" s="26"/>
      <c r="AR319" s="26"/>
      <c r="AS319" s="26"/>
      <c r="AT319" s="26"/>
      <c r="AU319" s="26"/>
      <c r="AV319" s="26"/>
      <c r="AW319" s="16"/>
      <c r="AX319" s="16"/>
      <c r="AY319" s="16"/>
      <c r="AZ319" s="16"/>
      <c r="BA319" s="26"/>
      <c r="BB319" s="26"/>
      <c r="BC319" s="26"/>
      <c r="BD319" s="26"/>
      <c r="BE319" s="16"/>
      <c r="BF319" s="16"/>
      <c r="BG319" s="16"/>
      <c r="BH319" s="16"/>
      <c r="BI319" s="16"/>
      <c r="BJ319" s="16"/>
      <c r="BK319" s="18"/>
      <c r="BL319" s="18"/>
      <c r="BM319" s="18"/>
      <c r="BN319" s="18"/>
      <c r="BO319" s="18"/>
      <c r="BP319" s="18"/>
      <c r="BQ319" s="18"/>
      <c r="BR319" s="18">
        <v>400</v>
      </c>
      <c r="BS319" s="18"/>
      <c r="BT319" s="18"/>
      <c r="BU319" s="18">
        <v>4.34</v>
      </c>
      <c r="BV319" s="18">
        <v>1.8</v>
      </c>
      <c r="BW319" s="18"/>
      <c r="BX319" s="18">
        <v>1.1200000000000001</v>
      </c>
      <c r="BY319" s="18">
        <v>0.16</v>
      </c>
      <c r="BZ319" s="18">
        <v>2.77</v>
      </c>
      <c r="CA319" s="18">
        <v>0.06</v>
      </c>
      <c r="CB319" s="18">
        <v>0.43</v>
      </c>
      <c r="CC319" s="18"/>
      <c r="CD319" s="18"/>
      <c r="CE319" s="18"/>
      <c r="CF319" s="18"/>
      <c r="CG319" s="18"/>
      <c r="CH319" s="18">
        <v>1.51</v>
      </c>
      <c r="CI319" s="18">
        <v>6.44</v>
      </c>
      <c r="CJ319" s="18" t="s">
        <v>491</v>
      </c>
      <c r="CK319" s="18">
        <v>0.11</v>
      </c>
      <c r="CL319" s="18"/>
      <c r="CM319" s="18">
        <v>0.81</v>
      </c>
      <c r="CN319" s="18"/>
      <c r="CO319" s="18"/>
      <c r="CP319" s="18"/>
      <c r="CQ319" s="18"/>
      <c r="CR319" s="18">
        <v>0.02</v>
      </c>
      <c r="CS319" s="18">
        <v>16.600000000000001</v>
      </c>
      <c r="CT319" s="18">
        <v>0.16</v>
      </c>
      <c r="CU319" s="18">
        <v>0.84</v>
      </c>
      <c r="CV319" s="18">
        <v>1.5</v>
      </c>
      <c r="CW319" s="18">
        <v>0.14000000000000001</v>
      </c>
      <c r="CX319" s="18">
        <v>0.46</v>
      </c>
      <c r="CY319" s="18">
        <v>0.03</v>
      </c>
      <c r="CZ319" s="18">
        <v>0.01</v>
      </c>
      <c r="DA319" s="18">
        <v>0.02</v>
      </c>
      <c r="DB319" s="18" t="s">
        <v>491</v>
      </c>
      <c r="DC319" s="18">
        <v>0.01</v>
      </c>
      <c r="DD319" s="18" t="s">
        <v>491</v>
      </c>
      <c r="DE319" s="18" t="s">
        <v>491</v>
      </c>
      <c r="DF319" s="18" t="s">
        <v>491</v>
      </c>
      <c r="DG319" s="18" t="s">
        <v>491</v>
      </c>
      <c r="DH319" s="18" t="s">
        <v>491</v>
      </c>
      <c r="DI319" s="18">
        <v>0.03</v>
      </c>
      <c r="DJ319" s="18"/>
      <c r="DK319" s="18">
        <v>0.11</v>
      </c>
      <c r="DL319" s="18">
        <v>0.12</v>
      </c>
      <c r="DM319" s="18">
        <v>0.02</v>
      </c>
      <c r="DN319" s="18"/>
      <c r="DO319" s="18"/>
      <c r="DP319" s="18"/>
      <c r="DQ319" s="18"/>
      <c r="DR319" s="18"/>
      <c r="DS319" s="18"/>
      <c r="DT319" s="18"/>
      <c r="DU319" s="18"/>
      <c r="DV319" s="28"/>
      <c r="DW319" s="28"/>
      <c r="DX319" s="28"/>
      <c r="DY319" s="28"/>
      <c r="DZ319" s="28"/>
      <c r="EA319" s="28"/>
      <c r="EB319" s="28"/>
      <c r="EC319" s="28"/>
      <c r="ED319" s="28"/>
      <c r="EE319" s="28"/>
      <c r="EF319" s="28"/>
      <c r="EG319" s="28"/>
      <c r="EH319" s="28"/>
      <c r="EI319" s="28"/>
      <c r="EJ319" s="18"/>
      <c r="EK319" s="18"/>
      <c r="EL319" s="18">
        <f>IFERROR(CR319/'McDonough &amp; Sun 1995 values'!C$2,)</f>
        <v>0.95238095238095233</v>
      </c>
      <c r="EM319" s="18">
        <f>IFERROR(CH319/'McDonough &amp; Sun 1995 values'!D$2,)</f>
        <v>2.5166666666666666</v>
      </c>
      <c r="EN319" s="18">
        <f>IFERROR(CS319/'McDonough &amp; Sun 1995 values'!E$2,)</f>
        <v>2.5151515151515156</v>
      </c>
      <c r="EO319" s="18">
        <f>IFERROR(DL319/'McDonough &amp; Sun 1995 values'!F$2,)</f>
        <v>1.5094339622641508</v>
      </c>
      <c r="EP319" s="18">
        <f>IFERROR(DM319/'McDonough &amp; Sun 1995 values'!G$2,)</f>
        <v>0.98522167487684742</v>
      </c>
      <c r="EQ319" s="18">
        <f>IFERROR(BR319/'McDonough &amp; Sun 1995 values'!H$2,)</f>
        <v>1.6666666666666667</v>
      </c>
      <c r="ER319" s="18">
        <f>IFERROR(DI319/'McDonough &amp; Sun 1995 values'!I$2,)</f>
        <v>0.81081081081081086</v>
      </c>
      <c r="ES319" s="18">
        <f>IFERROR(CM319/'McDonough &amp; Sun 1995 values'!J$2,)</f>
        <v>1.2310030395136777</v>
      </c>
      <c r="ET319" s="18">
        <f>IFERROR(CU319/'McDonough &amp; Sun 1995 values'!K$2,)</f>
        <v>1.2962962962962963</v>
      </c>
      <c r="EU319" s="18">
        <f>IFERROR(CV319/'McDonough &amp; Sun 1995 values'!L$2,)</f>
        <v>0.89552238805970152</v>
      </c>
      <c r="EV319" s="18">
        <f>IFERROR(CW319/'McDonough &amp; Sun 1995 values'!M$2,)</f>
        <v>0.55118110236220474</v>
      </c>
      <c r="EW319" s="18">
        <f>IFERROR(CI319/'McDonough &amp; Sun 1995 values'!N$2,)</f>
        <v>0.32361809045226136</v>
      </c>
      <c r="EX319" s="18">
        <f>IFERROR(CX319/'McDonough &amp; Sun 1995 values'!O$2,)</f>
        <v>0.36799999999999999</v>
      </c>
      <c r="EY319" s="18">
        <f>IFERROR(CY319/'McDonough &amp; Sun 1995 values'!P$2,)</f>
        <v>7.389162561576354E-2</v>
      </c>
      <c r="EZ319" s="18">
        <f>IFERROR(DH319/'McDonough &amp; Sun 1995 values'!Q$2,)</f>
        <v>0</v>
      </c>
      <c r="FA319" s="18">
        <f>IFERROR(CK319/'McDonough &amp; Sun 1995 values'!R$2,)</f>
        <v>1.0476190476190476E-2</v>
      </c>
      <c r="FB319" s="18">
        <f>IFERROR(CZ319/'McDonough &amp; Sun 1995 values'!S$2,)</f>
        <v>6.4935064935064943E-2</v>
      </c>
      <c r="FC319" s="18">
        <f>IFERROR(BT319/'McDonough &amp; Sun 1995 values'!T$2,)</f>
        <v>0</v>
      </c>
      <c r="FD319" s="18">
        <f>IFERROR(DA319/'McDonough &amp; Sun 1995 values'!U$2,)</f>
        <v>3.6764705882352942E-2</v>
      </c>
      <c r="FE319" s="18">
        <f>IFERROR(DN319/'McDonough &amp; Sun 1995 values'!V$2,)</f>
        <v>0</v>
      </c>
      <c r="FF319" s="18">
        <f>IFERROR(DB319/'McDonough &amp; Sun 1995 values'!W$2,)</f>
        <v>0</v>
      </c>
      <c r="FG319" s="18">
        <f>IFERROR(CJ319/'McDonough &amp; Sun 1995 values'!X$2,)</f>
        <v>0</v>
      </c>
      <c r="FH319" s="18">
        <f>IFERROR(DC319/'McDonough &amp; Sun 1995 values'!Y$2,)</f>
        <v>6.7114093959731544E-2</v>
      </c>
      <c r="FI319" s="18">
        <f>IFERROR(DD319/'McDonough &amp; Sun 1995 values'!Z$2,)</f>
        <v>0</v>
      </c>
      <c r="FJ319" s="18">
        <f>IFERROR(DE319/'McDonough &amp; Sun 1995 values'!AA$2,)</f>
        <v>0</v>
      </c>
      <c r="FK319" s="18">
        <f>IFERROR(DF319/'McDonough &amp; Sun 1995 values'!AB$2,)</f>
        <v>0</v>
      </c>
      <c r="FL319" s="18">
        <f>IFERROR(DG319/'McDonough &amp; Sun 1995 values'!AC$2,)</f>
        <v>0</v>
      </c>
      <c r="FN319" s="28">
        <f t="shared" si="758"/>
        <v>0.59113300492610843</v>
      </c>
      <c r="FO319" s="4">
        <f t="shared" si="699"/>
        <v>2.5528787878787882</v>
      </c>
      <c r="FP319" s="4">
        <f t="shared" si="700"/>
        <v>1.2261821569997671</v>
      </c>
      <c r="FQ319" s="4">
        <f t="shared" si="701"/>
        <v>1.5320754716981129</v>
      </c>
      <c r="FR319" s="4">
        <f t="shared" si="702"/>
        <v>1.0530406950160036</v>
      </c>
      <c r="FS319" s="4">
        <f t="shared" si="703"/>
        <v>1.5987654320987654</v>
      </c>
      <c r="FT319" s="4">
        <f t="shared" si="704"/>
        <v>2.6425000000000001</v>
      </c>
      <c r="FU319" s="4">
        <f t="shared" si="705"/>
        <v>0.65865865865865869</v>
      </c>
      <c r="FV319" s="4">
        <f t="shared" si="706"/>
        <v>0.14177777777777778</v>
      </c>
      <c r="FW319" s="4">
        <f t="shared" si="707"/>
        <v>0</v>
      </c>
      <c r="FX319" s="4">
        <f t="shared" si="708"/>
        <v>1.1736348757625354</v>
      </c>
      <c r="FY319" s="4">
        <f t="shared" si="709"/>
        <v>0.71855782322619155</v>
      </c>
      <c r="FZ319" s="4">
        <f t="shared" si="710"/>
        <v>1.2458510444158635</v>
      </c>
      <c r="GA319" s="4">
        <f t="shared" si="711"/>
        <v>0.5871356783919599</v>
      </c>
      <c r="GB319" s="4">
        <f t="shared" si="712"/>
        <v>0.87878787878787901</v>
      </c>
      <c r="GC319" s="4">
        <f t="shared" si="713"/>
        <v>0.3784295175023652</v>
      </c>
      <c r="GD319" s="4">
        <f t="shared" si="714"/>
        <v>1.6662878787878792</v>
      </c>
      <c r="GE319" s="4">
        <f t="shared" si="715"/>
        <v>0.99939795304033729</v>
      </c>
      <c r="GF319" s="4">
        <f t="shared" si="716"/>
        <v>1.5090909090909093</v>
      </c>
      <c r="GG319" s="4">
        <f t="shared" si="717"/>
        <v>2.0431724653946879</v>
      </c>
      <c r="GH319" s="4">
        <f t="shared" si="718"/>
        <v>2.3518518518518516</v>
      </c>
      <c r="GI319" s="4">
        <f t="shared" si="719"/>
        <v>17.543209876543212</v>
      </c>
      <c r="GJ319" s="4">
        <f t="shared" si="720"/>
        <v>0</v>
      </c>
      <c r="GK319" s="4">
        <f t="shared" si="721"/>
        <v>0</v>
      </c>
      <c r="GL319" s="4">
        <f t="shared" si="722"/>
        <v>0</v>
      </c>
      <c r="GM319" s="4">
        <f t="shared" si="723"/>
        <v>0.59977508434337123</v>
      </c>
      <c r="GN319" s="4">
        <f t="shared" si="724"/>
        <v>0.94963091619626572</v>
      </c>
      <c r="GO319" s="4">
        <f t="shared" si="725"/>
        <v>1.2494680851063826</v>
      </c>
      <c r="GP319" s="4">
        <f t="shared" si="726"/>
        <v>1.6916666666666664</v>
      </c>
      <c r="GQ319" s="27">
        <f t="shared" si="727"/>
        <v>0</v>
      </c>
      <c r="GR319" s="28">
        <f t="shared" si="728"/>
        <v>0</v>
      </c>
      <c r="GS319" s="28">
        <f t="shared" si="729"/>
        <v>0</v>
      </c>
      <c r="GT319" s="28">
        <f t="shared" si="730"/>
        <v>0</v>
      </c>
      <c r="GU319" s="28">
        <f t="shared" si="731"/>
        <v>0</v>
      </c>
      <c r="GV319" s="28">
        <f t="shared" si="732"/>
        <v>0</v>
      </c>
      <c r="GW319" s="28">
        <f t="shared" si="733"/>
        <v>0</v>
      </c>
      <c r="GX319" s="28">
        <f t="shared" si="734"/>
        <v>0</v>
      </c>
      <c r="GY319" s="28">
        <f t="shared" si="735"/>
        <v>0</v>
      </c>
      <c r="GZ319" s="28">
        <f t="shared" si="736"/>
        <v>0</v>
      </c>
      <c r="HA319" s="28">
        <f t="shared" si="737"/>
        <v>0</v>
      </c>
      <c r="HB319" s="28">
        <f t="shared" si="738"/>
        <v>0</v>
      </c>
      <c r="HC319" s="28">
        <f t="shared" si="739"/>
        <v>0</v>
      </c>
      <c r="HD319" s="28">
        <f t="shared" si="740"/>
        <v>0</v>
      </c>
      <c r="HE319" s="28">
        <f t="shared" si="741"/>
        <v>0</v>
      </c>
      <c r="HF319" s="28" t="str">
        <f t="shared" si="742"/>
        <v/>
      </c>
      <c r="HG319" s="28">
        <f t="shared" si="743"/>
        <v>0</v>
      </c>
      <c r="HH319" s="28">
        <f t="shared" si="744"/>
        <v>0</v>
      </c>
      <c r="HI319" s="28">
        <f t="shared" si="745"/>
        <v>0</v>
      </c>
      <c r="HJ319" s="28">
        <f t="shared" si="746"/>
        <v>0</v>
      </c>
      <c r="HK319" s="28">
        <f t="shared" si="747"/>
        <v>0</v>
      </c>
      <c r="HL319" s="28" t="str">
        <f t="shared" si="748"/>
        <v/>
      </c>
      <c r="HM319" s="28" t="str">
        <f t="shared" si="749"/>
        <v/>
      </c>
      <c r="HN319" s="28">
        <f t="shared" si="750"/>
        <v>0</v>
      </c>
      <c r="HO319" s="28" t="str">
        <f t="shared" si="751"/>
        <v/>
      </c>
      <c r="HP319" s="28" t="str">
        <f t="shared" si="752"/>
        <v/>
      </c>
      <c r="HQ319" s="28" t="str">
        <f t="shared" si="753"/>
        <v/>
      </c>
      <c r="HR319" s="28" t="str">
        <f t="shared" si="754"/>
        <v/>
      </c>
      <c r="HT319" s="4">
        <f>IFERROR(GR319/'McDonough &amp; Sun 1995 values'!C$2,)</f>
        <v>0</v>
      </c>
      <c r="HU319" s="4">
        <f>IFERROR(GS319/'McDonough &amp; Sun 1995 values'!D$2,)</f>
        <v>0</v>
      </c>
      <c r="HV319" s="4">
        <f>IFERROR(GT319/'McDonough &amp; Sun 1995 values'!E$2,)</f>
        <v>0</v>
      </c>
      <c r="HW319" s="4">
        <f>IFERROR(GU319/'McDonough &amp; Sun 1995 values'!F$2,)</f>
        <v>0</v>
      </c>
      <c r="HX319" s="4">
        <f>IFERROR(GV319/'McDonough &amp; Sun 1995 values'!G$2,)</f>
        <v>0</v>
      </c>
      <c r="HY319" s="4">
        <f>IFERROR(GW319/'McDonough &amp; Sun 1995 values'!H$2,)</f>
        <v>0</v>
      </c>
      <c r="HZ319" s="4">
        <f>IFERROR(GX319/'McDonough &amp; Sun 1995 values'!I$2,)</f>
        <v>0</v>
      </c>
      <c r="IA319" s="4">
        <f>IFERROR(GY319/'McDonough &amp; Sun 1995 values'!J$2,)</f>
        <v>0</v>
      </c>
      <c r="IB319" s="4">
        <f>IFERROR(GZ319/'McDonough &amp; Sun 1995 values'!K$2,)</f>
        <v>0</v>
      </c>
      <c r="IC319" s="4">
        <f>IFERROR(HA319/'McDonough &amp; Sun 1995 values'!L$2,)</f>
        <v>0</v>
      </c>
      <c r="ID319" s="4">
        <f>IFERROR(HB319/'McDonough &amp; Sun 1995 values'!M$2,)</f>
        <v>0</v>
      </c>
      <c r="IE319" s="4">
        <f>IFERROR(HC319/'McDonough &amp; Sun 1995 values'!N$2,)</f>
        <v>0</v>
      </c>
      <c r="IF319" s="4">
        <f>IFERROR(HD319/'McDonough &amp; Sun 1995 values'!O$2,)</f>
        <v>0</v>
      </c>
      <c r="IG319" s="4">
        <f>IFERROR(HE319/'McDonough &amp; Sun 1995 values'!P$2,)</f>
        <v>0</v>
      </c>
      <c r="IH319" s="4">
        <f>IFERROR(HF319/'McDonough &amp; Sun 1995 values'!Q$2,)</f>
        <v>0</v>
      </c>
      <c r="II319" s="4">
        <f>IFERROR(HG319/'McDonough &amp; Sun 1995 values'!R$2,)</f>
        <v>0</v>
      </c>
      <c r="IJ319" s="4">
        <f>IFERROR(HH319/'McDonough &amp; Sun 1995 values'!S$2,)</f>
        <v>0</v>
      </c>
      <c r="IK319" s="4">
        <f>IFERROR(HI319/'McDonough &amp; Sun 1995 values'!T$2,)</f>
        <v>0</v>
      </c>
      <c r="IL319" s="4">
        <f>IFERROR(HJ319/'McDonough &amp; Sun 1995 values'!U$2,)</f>
        <v>0</v>
      </c>
      <c r="IM319" s="4">
        <f>IFERROR(HK319/'McDonough &amp; Sun 1995 values'!V$2,)</f>
        <v>0</v>
      </c>
      <c r="IN319" s="4">
        <f>IFERROR(HL319/'McDonough &amp; Sun 1995 values'!W$2,)</f>
        <v>0</v>
      </c>
      <c r="IO319" s="4">
        <f>IFERROR(HM319/'McDonough &amp; Sun 1995 values'!X$2,)</f>
        <v>0</v>
      </c>
      <c r="IP319" s="4">
        <f>IFERROR(HN319/'McDonough &amp; Sun 1995 values'!Y$2,)</f>
        <v>0</v>
      </c>
      <c r="IQ319" s="4">
        <f>IFERROR(HO319/'McDonough &amp; Sun 1995 values'!Z$2,)</f>
        <v>0</v>
      </c>
      <c r="IR319" s="4">
        <f>IFERROR(HP319/'McDonough &amp; Sun 1995 values'!AA$2,)</f>
        <v>0</v>
      </c>
      <c r="IS319" s="4">
        <f>IFERROR(HQ319/'McDonough &amp; Sun 1995 values'!AB$2,)</f>
        <v>0</v>
      </c>
      <c r="IT319" s="4">
        <f>IFERROR(HR319/'McDonough &amp; Sun 1995 values'!AC$2,)</f>
        <v>0</v>
      </c>
    </row>
    <row r="320" spans="1:254">
      <c r="A320" s="16" t="s">
        <v>672</v>
      </c>
      <c r="B320" s="16" t="s">
        <v>24</v>
      </c>
      <c r="C320" s="16" t="s">
        <v>1369</v>
      </c>
      <c r="D320" s="16" t="s">
        <v>1723</v>
      </c>
      <c r="E320" s="16" t="s">
        <v>237</v>
      </c>
      <c r="F320" s="16" t="s">
        <v>29</v>
      </c>
      <c r="G320" s="16" t="s">
        <v>595</v>
      </c>
      <c r="H320" s="27">
        <v>360</v>
      </c>
      <c r="I320" s="16" t="s">
        <v>735</v>
      </c>
      <c r="J320" s="16" t="s">
        <v>1496</v>
      </c>
      <c r="K320" s="16">
        <v>0</v>
      </c>
      <c r="L320" s="16">
        <v>0</v>
      </c>
      <c r="M320" s="16" t="s">
        <v>42</v>
      </c>
      <c r="N320" s="16">
        <v>28</v>
      </c>
      <c r="O320" s="26">
        <v>22.12</v>
      </c>
      <c r="P320" s="26">
        <v>0.52</v>
      </c>
      <c r="Q320" s="26">
        <v>0.59</v>
      </c>
      <c r="R320" s="26">
        <v>5.56</v>
      </c>
      <c r="S320" s="26">
        <v>11.41</v>
      </c>
      <c r="T320" s="26">
        <v>29.37</v>
      </c>
      <c r="U320" s="26">
        <v>0.52</v>
      </c>
      <c r="V320" s="26">
        <v>10.26</v>
      </c>
      <c r="W320" s="26">
        <v>4.32</v>
      </c>
      <c r="X320" s="26">
        <v>8.41</v>
      </c>
      <c r="Y320" s="26"/>
      <c r="Z320" s="26">
        <v>2.13</v>
      </c>
      <c r="AA320" s="26"/>
      <c r="AB320" s="26"/>
      <c r="AC320" s="26"/>
      <c r="AD320" s="26">
        <v>3.91</v>
      </c>
      <c r="AE320" s="26"/>
      <c r="AF320" s="26">
        <v>0.87</v>
      </c>
      <c r="AG320" s="26"/>
      <c r="AH320" s="26"/>
      <c r="AI320" s="26"/>
      <c r="AJ320" s="26">
        <f t="shared" si="618"/>
        <v>98.009999999999991</v>
      </c>
      <c r="AK320" s="26">
        <f t="shared" ref="AK320:AL326" si="759">100*(O320/$AJ320)*(($AJ320+$AD320*8/35.45)/$AJ320)</f>
        <v>22.772312099280665</v>
      </c>
      <c r="AL320" s="26">
        <f t="shared" si="759"/>
        <v>0.53533464247856888</v>
      </c>
      <c r="AM320" s="26">
        <f t="shared" ref="AM320:AO326" si="760">100*(R320/$AJ320)*(($AJ320+$AD320*8/35.45)/$AJ320)</f>
        <v>5.72396271573239</v>
      </c>
      <c r="AN320" s="26">
        <f t="shared" si="760"/>
        <v>11.746477443616291</v>
      </c>
      <c r="AO320" s="26">
        <f t="shared" si="760"/>
        <v>30.2361124030684</v>
      </c>
      <c r="AP320" s="26">
        <f t="shared" ref="AP320:AP326" si="761">100*(V320/$AJ320)*(($AJ320+$AD320*8/35.45)/$AJ320)</f>
        <v>10.562564291980992</v>
      </c>
      <c r="AQ320" s="26">
        <f t="shared" ref="AQ320:AQ326" si="762">100*(AB320/$AJ320)*(($AJ320+$AD320*8/35.45)/$AJ320)</f>
        <v>0</v>
      </c>
      <c r="AR320" s="26">
        <f t="shared" ref="AR320:AS326" si="763">100*(W320/$AJ320)*(($AJ320+$AD320*8/35.45)/$AJ320)</f>
        <v>4.4473954913604192</v>
      </c>
      <c r="AS320" s="26">
        <f t="shared" si="763"/>
        <v>8.658008352393777</v>
      </c>
      <c r="AT320" s="26">
        <f t="shared" ref="AT320:AT326" si="764">100*(Z320/$AJ320)*(($AJ320+$AD320*8/35.45)/$AJ320)</f>
        <v>2.192813054767984</v>
      </c>
      <c r="AU320" s="26">
        <f t="shared" ref="AU320:AU326" si="765">100*(AD320/$AJ320)*(($AJ320+$AD320*8/35.45)/$AJ320)</f>
        <v>4.0253047155600088</v>
      </c>
      <c r="AV320" s="26">
        <f t="shared" ref="AV320:AV326" si="766">SUM(AK320:AU320)</f>
        <v>100.9002852102395</v>
      </c>
      <c r="AW320" s="16"/>
      <c r="AX320" s="16"/>
      <c r="AY320" s="16"/>
      <c r="AZ320" s="16"/>
      <c r="BA320" s="26"/>
      <c r="BB320" s="26">
        <v>0.08</v>
      </c>
      <c r="BC320" s="26">
        <f t="shared" ref="BC320:BC326" si="767">1-BD320</f>
        <v>7.999999999999996E-2</v>
      </c>
      <c r="BD320" s="26">
        <f t="shared" ref="BD320:BD326" si="768">1-BB320</f>
        <v>0.92</v>
      </c>
      <c r="BE320" s="25"/>
      <c r="BF320" s="16"/>
      <c r="BG320" s="16">
        <v>338</v>
      </c>
      <c r="BH320" s="16"/>
      <c r="BI320" s="16"/>
      <c r="BJ320" s="16"/>
      <c r="BK320" s="18"/>
      <c r="BL320" s="18"/>
      <c r="BM320" s="18"/>
      <c r="BN320" s="18">
        <v>66</v>
      </c>
      <c r="BO320" s="18">
        <v>242</v>
      </c>
      <c r="BP320" s="18">
        <v>7</v>
      </c>
      <c r="BQ320" s="18"/>
      <c r="BR320" s="18">
        <v>250</v>
      </c>
      <c r="BS320" s="18">
        <v>214</v>
      </c>
      <c r="BT320" s="18">
        <v>1.23</v>
      </c>
      <c r="BU320" s="18"/>
      <c r="BV320" s="18">
        <v>2.96</v>
      </c>
      <c r="BW320" s="18">
        <v>86</v>
      </c>
      <c r="BX320" s="18">
        <v>1.0820000000000001</v>
      </c>
      <c r="BY320" s="18">
        <v>0.56999999999999995</v>
      </c>
      <c r="BZ320" s="18"/>
      <c r="CA320" s="18">
        <v>0.125</v>
      </c>
      <c r="CB320" s="18">
        <v>7.5999999999999998E-2</v>
      </c>
      <c r="CC320" s="18"/>
      <c r="CD320" s="18"/>
      <c r="CE320" s="18"/>
      <c r="CF320" s="18"/>
      <c r="CG320" s="18"/>
      <c r="CH320" s="18">
        <v>0.38</v>
      </c>
      <c r="CI320" s="18">
        <v>27.22</v>
      </c>
      <c r="CJ320" s="18">
        <v>1.0999999999999999E-2</v>
      </c>
      <c r="CK320" s="18">
        <v>6.9000000000000006E-2</v>
      </c>
      <c r="CL320" s="18"/>
      <c r="CM320" s="18">
        <v>2.8690000000000002</v>
      </c>
      <c r="CN320" s="18"/>
      <c r="CO320" s="18"/>
      <c r="CP320" s="18"/>
      <c r="CQ320" s="18"/>
      <c r="CR320" s="18">
        <v>0.02</v>
      </c>
      <c r="CS320" s="18">
        <v>46.09</v>
      </c>
      <c r="CT320" s="18">
        <v>0.26300000000000001</v>
      </c>
      <c r="CU320" s="18">
        <v>3.29</v>
      </c>
      <c r="CV320" s="18">
        <v>4.84</v>
      </c>
      <c r="CW320" s="18">
        <v>0.48</v>
      </c>
      <c r="CX320" s="18">
        <v>1.03</v>
      </c>
      <c r="CY320" s="18">
        <v>4.9000000000000002E-2</v>
      </c>
      <c r="CZ320" s="18">
        <v>1.6E-2</v>
      </c>
      <c r="DA320" s="18">
        <v>1.9E-2</v>
      </c>
      <c r="DB320" s="18">
        <v>1.2E-2</v>
      </c>
      <c r="DC320" s="18">
        <v>7.0000000000000001E-3</v>
      </c>
      <c r="DD320" s="18">
        <v>6.0000000000000001E-3</v>
      </c>
      <c r="DE320" s="18"/>
      <c r="DF320" s="18">
        <v>0.01</v>
      </c>
      <c r="DG320" s="18">
        <v>7.0000000000000001E-3</v>
      </c>
      <c r="DH320" s="18">
        <v>8.9999999999999993E-3</v>
      </c>
      <c r="DI320" s="18">
        <v>0.115</v>
      </c>
      <c r="DJ320" s="18"/>
      <c r="DK320" s="18">
        <v>0.25700000000000001</v>
      </c>
      <c r="DL320" s="18">
        <v>0.38</v>
      </c>
      <c r="DM320" s="18">
        <v>6.6000000000000003E-2</v>
      </c>
      <c r="DN320" s="18"/>
      <c r="DO320" s="18"/>
      <c r="DP320" s="18"/>
      <c r="DQ320" s="18"/>
      <c r="DR320" s="18"/>
      <c r="DS320" s="18"/>
      <c r="DT320" s="18"/>
      <c r="DU320" s="18"/>
      <c r="DV320" s="28"/>
      <c r="DW320" s="28"/>
      <c r="DX320" s="28"/>
      <c r="DY320" s="28"/>
      <c r="DZ320" s="28"/>
      <c r="EA320" s="28"/>
      <c r="EB320" s="28"/>
      <c r="EC320" s="28"/>
      <c r="ED320" s="28"/>
      <c r="EE320" s="28"/>
      <c r="EF320" s="28"/>
      <c r="EG320" s="28"/>
      <c r="EH320" s="28"/>
      <c r="EI320" s="28"/>
      <c r="EJ320" s="18"/>
      <c r="EK320" s="18"/>
      <c r="EL320" s="18">
        <f>IFERROR(CR320/'McDonough &amp; Sun 1995 values'!C$2,)</f>
        <v>0.95238095238095233</v>
      </c>
      <c r="EM320" s="18">
        <f>IFERROR(CH320/'McDonough &amp; Sun 1995 values'!D$2,)</f>
        <v>0.63333333333333341</v>
      </c>
      <c r="EN320" s="18">
        <f>IFERROR(CS320/'McDonough &amp; Sun 1995 values'!E$2,)</f>
        <v>6.9833333333333343</v>
      </c>
      <c r="EO320" s="18">
        <f>IFERROR(DL320/'McDonough &amp; Sun 1995 values'!F$2,)</f>
        <v>4.7798742138364778</v>
      </c>
      <c r="EP320" s="18">
        <f>IFERROR(DM320/'McDonough &amp; Sun 1995 values'!G$2,)</f>
        <v>3.2512315270935965</v>
      </c>
      <c r="EQ320" s="18">
        <f>IFERROR(BR320/'McDonough &amp; Sun 1995 values'!H$2,)</f>
        <v>1.0416666666666667</v>
      </c>
      <c r="ER320" s="18">
        <f>IFERROR(DI320/'McDonough &amp; Sun 1995 values'!I$2,)</f>
        <v>3.1081081081081083</v>
      </c>
      <c r="ES320" s="18">
        <f>IFERROR(CM320/'McDonough &amp; Sun 1995 values'!J$2,)</f>
        <v>4.3601823708206684</v>
      </c>
      <c r="ET320" s="18">
        <f>IFERROR(CU320/'McDonough &amp; Sun 1995 values'!K$2,)</f>
        <v>5.0771604938271606</v>
      </c>
      <c r="EU320" s="18">
        <f>IFERROR(CV320/'McDonough &amp; Sun 1995 values'!L$2,)</f>
        <v>2.8895522388059698</v>
      </c>
      <c r="EV320" s="18">
        <f>IFERROR(CW320/'McDonough &amp; Sun 1995 values'!M$2,)</f>
        <v>1.889763779527559</v>
      </c>
      <c r="EW320" s="18">
        <f>IFERROR(CI320/'McDonough &amp; Sun 1995 values'!N$2,)</f>
        <v>1.3678391959798994</v>
      </c>
      <c r="EX320" s="18">
        <f>IFERROR(CX320/'McDonough &amp; Sun 1995 values'!O$2,)</f>
        <v>0.82400000000000007</v>
      </c>
      <c r="EY320" s="18">
        <f>IFERROR(CY320/'McDonough &amp; Sun 1995 values'!P$2,)</f>
        <v>0.12068965517241378</v>
      </c>
      <c r="EZ320" s="18">
        <f>IFERROR(DH320/'McDonough &amp; Sun 1995 values'!Q$2,)</f>
        <v>3.180212014134276E-2</v>
      </c>
      <c r="FA320" s="18">
        <f>IFERROR(CK320/'McDonough &amp; Sun 1995 values'!R$2,)</f>
        <v>6.5714285714285718E-3</v>
      </c>
      <c r="FB320" s="18">
        <f>IFERROR(CZ320/'McDonough &amp; Sun 1995 values'!S$2,)</f>
        <v>0.1038961038961039</v>
      </c>
      <c r="FC320" s="18">
        <f>IFERROR(BT320/'McDonough &amp; Sun 1995 values'!T$2,)</f>
        <v>1.020746887966805E-3</v>
      </c>
      <c r="FD320" s="18">
        <f>IFERROR(DA320/'McDonough &amp; Sun 1995 values'!U$2,)</f>
        <v>3.4926470588235288E-2</v>
      </c>
      <c r="FE320" s="18">
        <f>IFERROR(DN320/'McDonough &amp; Sun 1995 values'!V$2,)</f>
        <v>0</v>
      </c>
      <c r="FF320" s="18">
        <f>IFERROR(DB320/'McDonough &amp; Sun 1995 values'!W$2,)</f>
        <v>1.7804154302670624E-2</v>
      </c>
      <c r="FG320" s="18">
        <f>IFERROR(CJ320/'McDonough &amp; Sun 1995 values'!X$2,)</f>
        <v>2.5581395348837207E-3</v>
      </c>
      <c r="FH320" s="18">
        <f>IFERROR(DC320/'McDonough &amp; Sun 1995 values'!Y$2,)</f>
        <v>4.6979865771812082E-2</v>
      </c>
      <c r="FI320" s="18">
        <f>IFERROR(DD320/'McDonough &amp; Sun 1995 values'!Z$2,)</f>
        <v>1.3698630136986302E-2</v>
      </c>
      <c r="FJ320" s="18">
        <f>IFERROR(DE320/'McDonough &amp; Sun 1995 values'!AA$2,)</f>
        <v>0</v>
      </c>
      <c r="FK320" s="18">
        <f>IFERROR(DF320/'McDonough &amp; Sun 1995 values'!AB$2,)</f>
        <v>2.2675736961451247E-2</v>
      </c>
      <c r="FL320" s="18">
        <f>IFERROR(DG320/'McDonough &amp; Sun 1995 values'!AC$2,)</f>
        <v>0.1037037037037037</v>
      </c>
      <c r="FN320" s="28">
        <f t="shared" si="758"/>
        <v>3.1211822660098525</v>
      </c>
      <c r="FO320" s="4">
        <f t="shared" si="699"/>
        <v>2.1479040404040406</v>
      </c>
      <c r="FP320" s="4">
        <f t="shared" si="700"/>
        <v>1.0962555708276063</v>
      </c>
      <c r="FQ320" s="4">
        <f t="shared" si="701"/>
        <v>1.470173432437583</v>
      </c>
      <c r="FR320" s="4">
        <f t="shared" si="702"/>
        <v>1.164437645499572</v>
      </c>
      <c r="FS320" s="4">
        <f t="shared" si="703"/>
        <v>1.633521202361782</v>
      </c>
      <c r="FT320" s="4">
        <f t="shared" si="704"/>
        <v>0.66500000000000015</v>
      </c>
      <c r="FU320" s="4">
        <f t="shared" si="705"/>
        <v>0.71283901538345606</v>
      </c>
      <c r="FV320" s="4">
        <f t="shared" si="706"/>
        <v>5.4448979591836741E-2</v>
      </c>
      <c r="FW320" s="4">
        <f t="shared" si="707"/>
        <v>0.20663492063492062</v>
      </c>
      <c r="FX320" s="4">
        <f t="shared" si="708"/>
        <v>1.3352871161425135</v>
      </c>
      <c r="FY320" s="4">
        <f t="shared" si="709"/>
        <v>1.0961441697169378</v>
      </c>
      <c r="FZ320" s="4">
        <f t="shared" si="710"/>
        <v>1.6002465072605248</v>
      </c>
      <c r="GA320" s="4">
        <f t="shared" si="711"/>
        <v>0.72381490787269676</v>
      </c>
      <c r="GB320" s="4">
        <f t="shared" si="712"/>
        <v>0.86085343228200384</v>
      </c>
      <c r="GC320" s="4">
        <f t="shared" si="713"/>
        <v>1.5037593984962403</v>
      </c>
      <c r="GD320" s="4">
        <f t="shared" si="714"/>
        <v>1.4609868421052634</v>
      </c>
      <c r="GE320" s="4">
        <f t="shared" si="715"/>
        <v>11.026315789473685</v>
      </c>
      <c r="GF320" s="4">
        <f t="shared" si="716"/>
        <v>6.7040000000000006</v>
      </c>
      <c r="GG320" s="4">
        <f t="shared" si="717"/>
        <v>1.6016149645637274</v>
      </c>
      <c r="GH320" s="4">
        <f t="shared" si="718"/>
        <v>2.6866640946502058</v>
      </c>
      <c r="GI320" s="4">
        <f t="shared" si="719"/>
        <v>42.067901234567906</v>
      </c>
      <c r="GJ320" s="4">
        <f t="shared" si="720"/>
        <v>285.16718106995887</v>
      </c>
      <c r="GK320" s="4">
        <f t="shared" si="721"/>
        <v>223.9027777777778</v>
      </c>
      <c r="GL320" s="4">
        <f t="shared" si="722"/>
        <v>6.4378629500580722</v>
      </c>
      <c r="GM320" s="4">
        <f t="shared" si="723"/>
        <v>7.547169811320753</v>
      </c>
      <c r="GN320" s="4">
        <f t="shared" si="724"/>
        <v>0.85878364021027143</v>
      </c>
      <c r="GO320" s="4">
        <f t="shared" si="725"/>
        <v>1.3410863958736297</v>
      </c>
      <c r="GP320" s="4">
        <f t="shared" si="726"/>
        <v>0.32039141414141414</v>
      </c>
      <c r="GQ320" s="27">
        <f t="shared" si="727"/>
        <v>71873.357178145612</v>
      </c>
      <c r="GR320" s="28">
        <f t="shared" si="728"/>
        <v>5.7498685742516491</v>
      </c>
      <c r="GS320" s="28">
        <f t="shared" si="729"/>
        <v>109.24750291078134</v>
      </c>
      <c r="GT320" s="28">
        <f t="shared" si="730"/>
        <v>13250.572129362927</v>
      </c>
      <c r="GU320" s="28">
        <f t="shared" si="731"/>
        <v>109.24750291078134</v>
      </c>
      <c r="GV320" s="28">
        <f t="shared" si="732"/>
        <v>18.974566295030442</v>
      </c>
      <c r="GW320" s="28">
        <f t="shared" si="733"/>
        <v>71873.357178145612</v>
      </c>
      <c r="GX320" s="28">
        <f t="shared" si="734"/>
        <v>33.06174430194698</v>
      </c>
      <c r="GY320" s="28">
        <f t="shared" si="735"/>
        <v>824.81864697639901</v>
      </c>
      <c r="GZ320" s="28">
        <f t="shared" si="736"/>
        <v>945.8533804643962</v>
      </c>
      <c r="HA320" s="28">
        <f t="shared" si="737"/>
        <v>1391.4681949688991</v>
      </c>
      <c r="HB320" s="28">
        <f t="shared" si="738"/>
        <v>137.99684578203957</v>
      </c>
      <c r="HC320" s="28">
        <f t="shared" si="739"/>
        <v>7825.5711295564934</v>
      </c>
      <c r="HD320" s="28">
        <f t="shared" si="740"/>
        <v>296.11823157395997</v>
      </c>
      <c r="HE320" s="28">
        <f t="shared" si="741"/>
        <v>14.087178006916542</v>
      </c>
      <c r="HF320" s="28">
        <f t="shared" si="742"/>
        <v>2.5874408584132418</v>
      </c>
      <c r="HG320" s="28">
        <f t="shared" si="743"/>
        <v>19.837046581168192</v>
      </c>
      <c r="HH320" s="28">
        <f t="shared" si="744"/>
        <v>4.5998948594013189</v>
      </c>
      <c r="HI320" s="28">
        <f t="shared" si="745"/>
        <v>353.61691731647642</v>
      </c>
      <c r="HJ320" s="28">
        <f t="shared" si="746"/>
        <v>5.4623751455390668</v>
      </c>
      <c r="HK320" s="28">
        <f t="shared" si="747"/>
        <v>0</v>
      </c>
      <c r="HL320" s="28">
        <f t="shared" si="748"/>
        <v>3.4499211445509896</v>
      </c>
      <c r="HM320" s="28">
        <f t="shared" si="749"/>
        <v>3.1624277158384069</v>
      </c>
      <c r="HN320" s="28">
        <f t="shared" si="750"/>
        <v>2.0124540009880771</v>
      </c>
      <c r="HO320" s="28">
        <f t="shared" si="751"/>
        <v>1.7249605722754948</v>
      </c>
      <c r="HP320" s="28">
        <f t="shared" si="752"/>
        <v>0</v>
      </c>
      <c r="HQ320" s="28">
        <f t="shared" si="753"/>
        <v>2.8749342871258246</v>
      </c>
      <c r="HR320" s="28">
        <f t="shared" si="754"/>
        <v>2.0124540009880771</v>
      </c>
      <c r="HT320" s="4">
        <f>IFERROR(GR320/'McDonough &amp; Sun 1995 values'!C$2,)</f>
        <v>273.8032654405547</v>
      </c>
      <c r="HU320" s="4">
        <f>IFERROR(GS320/'McDonough &amp; Sun 1995 values'!D$2,)</f>
        <v>182.07917151796889</v>
      </c>
      <c r="HV320" s="4">
        <f>IFERROR(GT320/'McDonough &amp; Sun 1995 values'!E$2,)</f>
        <v>2007.6624438428678</v>
      </c>
      <c r="HW320" s="4">
        <f>IFERROR(GU320/'McDonough &amp; Sun 1995 values'!F$2,)</f>
        <v>1374.1824265507087</v>
      </c>
      <c r="HX320" s="4">
        <f>IFERROR(GV320/'McDonough &amp; Sun 1995 values'!G$2,)</f>
        <v>934.70769926258345</v>
      </c>
      <c r="HY320" s="4">
        <f>IFERROR(GW320/'McDonough &amp; Sun 1995 values'!H$2,)</f>
        <v>299.47232157560671</v>
      </c>
      <c r="HZ320" s="4">
        <f>IFERROR(GX320/'McDonough &amp; Sun 1995 values'!I$2,)</f>
        <v>893.56065680937786</v>
      </c>
      <c r="IA320" s="4">
        <f>IFERROR(GY320/'McDonough &amp; Sun 1995 values'!J$2,)</f>
        <v>1253.5237795993905</v>
      </c>
      <c r="IB320" s="4">
        <f>IFERROR(GZ320/'McDonough &amp; Sun 1995 values'!K$2,)</f>
        <v>1459.6502784944385</v>
      </c>
      <c r="IC320" s="4">
        <f>IFERROR(HA320/'McDonough &amp; Sun 1995 values'!L$2,)</f>
        <v>830.72728057844722</v>
      </c>
      <c r="ID320" s="4">
        <f>IFERROR(HB320/'McDonough &amp; Sun 1995 values'!M$2,)</f>
        <v>543.29466843322666</v>
      </c>
      <c r="IE320" s="4">
        <f>IFERROR(HC320/'McDonough &amp; Sun 1995 values'!N$2,)</f>
        <v>393.2447803797233</v>
      </c>
      <c r="IF320" s="4">
        <f>IFERROR(HD320/'McDonough &amp; Sun 1995 values'!O$2,)</f>
        <v>236.89458525916797</v>
      </c>
      <c r="IG320" s="4">
        <f>IFERROR(HE320/'McDonough &amp; Sun 1995 values'!P$2,)</f>
        <v>34.697482775656503</v>
      </c>
      <c r="IH320" s="4">
        <f>IFERROR(HF320/'McDonough &amp; Sun 1995 values'!Q$2,)</f>
        <v>9.1429005597641062</v>
      </c>
      <c r="II320" s="4">
        <f>IFERROR(HG320/'McDonough &amp; Sun 1995 values'!R$2,)</f>
        <v>1.8892425315398278</v>
      </c>
      <c r="IJ320" s="4">
        <f>IFERROR(HH320/'McDonough &amp; Sun 1995 values'!S$2,)</f>
        <v>29.869447138969605</v>
      </c>
      <c r="IK320" s="4">
        <f>IFERROR(HI320/'McDonough &amp; Sun 1995 values'!T$2,)</f>
        <v>0.29345802266927501</v>
      </c>
      <c r="IL320" s="4">
        <f>IFERROR(HJ320/'McDonough &amp; Sun 1995 values'!U$2,)</f>
        <v>10.041130782240931</v>
      </c>
      <c r="IM320" s="4">
        <f>IFERROR(HK320/'McDonough &amp; Sun 1995 values'!V$2,)</f>
        <v>0</v>
      </c>
      <c r="IN320" s="4">
        <f>IFERROR(HL320/'McDonough &amp; Sun 1995 values'!W$2,)</f>
        <v>5.118577365802655</v>
      </c>
      <c r="IO320" s="4">
        <f>IFERROR(HM320/'McDonough &amp; Sun 1995 values'!X$2,)</f>
        <v>0.73544830600893185</v>
      </c>
      <c r="IP320" s="4">
        <f>IFERROR(HN320/'McDonough &amp; Sun 1995 values'!Y$2,)</f>
        <v>13.506402691195149</v>
      </c>
      <c r="IQ320" s="4">
        <f>IFERROR(HO320/'McDonough &amp; Sun 1995 values'!Z$2,)</f>
        <v>3.9382661467477051</v>
      </c>
      <c r="IR320" s="4">
        <f>IFERROR(HP320/'McDonough &amp; Sun 1995 values'!AA$2,)</f>
        <v>0</v>
      </c>
      <c r="IS320" s="4">
        <f>IFERROR(HQ320/'McDonough &amp; Sun 1995 values'!AB$2,)</f>
        <v>6.5191253676322551</v>
      </c>
      <c r="IT320" s="4">
        <f>IFERROR(HR320/'McDonough &amp; Sun 1995 values'!AC$2,)</f>
        <v>29.814133347971513</v>
      </c>
    </row>
    <row r="321" spans="1:254">
      <c r="A321" s="16" t="s">
        <v>672</v>
      </c>
      <c r="B321" s="16" t="s">
        <v>24</v>
      </c>
      <c r="C321" s="16" t="s">
        <v>1369</v>
      </c>
      <c r="D321" s="16" t="s">
        <v>1723</v>
      </c>
      <c r="E321" s="16" t="s">
        <v>237</v>
      </c>
      <c r="F321" s="16" t="s">
        <v>29</v>
      </c>
      <c r="G321" s="16" t="s">
        <v>595</v>
      </c>
      <c r="H321" s="27">
        <v>360</v>
      </c>
      <c r="I321" s="16" t="s">
        <v>735</v>
      </c>
      <c r="J321" s="16" t="s">
        <v>1496</v>
      </c>
      <c r="K321" s="16">
        <v>0</v>
      </c>
      <c r="L321" s="16">
        <v>0</v>
      </c>
      <c r="M321" s="16" t="s">
        <v>43</v>
      </c>
      <c r="N321" s="16">
        <v>32</v>
      </c>
      <c r="O321" s="26">
        <v>22.97</v>
      </c>
      <c r="P321" s="26">
        <v>0.37</v>
      </c>
      <c r="Q321" s="26">
        <v>0.44</v>
      </c>
      <c r="R321" s="26">
        <v>5.39</v>
      </c>
      <c r="S321" s="26">
        <v>12.03</v>
      </c>
      <c r="T321" s="26">
        <v>31.03</v>
      </c>
      <c r="U321" s="26">
        <v>0.5</v>
      </c>
      <c r="V321" s="26">
        <v>10.96</v>
      </c>
      <c r="W321" s="26">
        <v>4.78</v>
      </c>
      <c r="X321" s="26">
        <v>7.06</v>
      </c>
      <c r="Y321" s="26"/>
      <c r="Z321" s="26">
        <v>1.69</v>
      </c>
      <c r="AA321" s="26"/>
      <c r="AB321" s="26"/>
      <c r="AC321" s="26"/>
      <c r="AD321" s="26">
        <v>2.4</v>
      </c>
      <c r="AE321" s="26"/>
      <c r="AF321" s="26">
        <v>0.38</v>
      </c>
      <c r="AG321" s="26"/>
      <c r="AH321" s="26"/>
      <c r="AI321" s="26"/>
      <c r="AJ321" s="26">
        <f t="shared" si="618"/>
        <v>98.68</v>
      </c>
      <c r="AK321" s="26">
        <f t="shared" si="759"/>
        <v>23.405017711573088</v>
      </c>
      <c r="AL321" s="26">
        <f t="shared" si="759"/>
        <v>0.37700725090474718</v>
      </c>
      <c r="AM321" s="26">
        <f t="shared" si="760"/>
        <v>5.4920786010178029</v>
      </c>
      <c r="AN321" s="26">
        <f t="shared" si="760"/>
        <v>12.257830346984077</v>
      </c>
      <c r="AO321" s="26">
        <f t="shared" si="760"/>
        <v>31.617662150200829</v>
      </c>
      <c r="AP321" s="26">
        <f t="shared" si="761"/>
        <v>11.167566134908189</v>
      </c>
      <c r="AQ321" s="26">
        <f t="shared" si="762"/>
        <v>0</v>
      </c>
      <c r="AR321" s="26">
        <f t="shared" si="763"/>
        <v>4.8705261062829512</v>
      </c>
      <c r="AS321" s="26">
        <f t="shared" si="763"/>
        <v>7.1937059226689595</v>
      </c>
      <c r="AT321" s="26">
        <f t="shared" si="764"/>
        <v>1.7220060919703317</v>
      </c>
      <c r="AU321" s="26">
        <f t="shared" si="765"/>
        <v>2.445452438301063</v>
      </c>
      <c r="AV321" s="26">
        <f t="shared" si="766"/>
        <v>100.54885275481203</v>
      </c>
      <c r="AW321" s="16"/>
      <c r="AX321" s="16"/>
      <c r="AY321" s="16"/>
      <c r="AZ321" s="16"/>
      <c r="BA321" s="26"/>
      <c r="BB321" s="26">
        <v>0.09</v>
      </c>
      <c r="BC321" s="26">
        <f t="shared" si="767"/>
        <v>8.9999999999999969E-2</v>
      </c>
      <c r="BD321" s="26">
        <f t="shared" si="768"/>
        <v>0.91</v>
      </c>
      <c r="BE321" s="25"/>
      <c r="BF321" s="16"/>
      <c r="BG321" s="16">
        <v>540</v>
      </c>
      <c r="BH321" s="16">
        <v>12</v>
      </c>
      <c r="BI321" s="16"/>
      <c r="BJ321" s="16"/>
      <c r="BK321" s="18"/>
      <c r="BL321" s="18"/>
      <c r="BM321" s="18"/>
      <c r="BN321" s="18">
        <v>62</v>
      </c>
      <c r="BO321" s="18">
        <v>190</v>
      </c>
      <c r="BP321" s="18">
        <v>6</v>
      </c>
      <c r="BQ321" s="18"/>
      <c r="BR321" s="18">
        <v>200</v>
      </c>
      <c r="BS321" s="18">
        <v>187</v>
      </c>
      <c r="BT321" s="18">
        <v>2.68</v>
      </c>
      <c r="BU321" s="18"/>
      <c r="BV321" s="18">
        <v>2.4500000000000002</v>
      </c>
      <c r="BW321" s="18">
        <v>72</v>
      </c>
      <c r="BX321" s="18">
        <v>0.872</v>
      </c>
      <c r="BY321" s="18">
        <v>0.55000000000000004</v>
      </c>
      <c r="BZ321" s="18"/>
      <c r="CA321" s="18">
        <v>9.1999999999999998E-2</v>
      </c>
      <c r="CB321" s="18" t="s">
        <v>1366</v>
      </c>
      <c r="CC321" s="18"/>
      <c r="CD321" s="18"/>
      <c r="CE321" s="18"/>
      <c r="CF321" s="18"/>
      <c r="CG321" s="18"/>
      <c r="CH321" s="18">
        <v>0.38</v>
      </c>
      <c r="CI321" s="18">
        <v>7.76</v>
      </c>
      <c r="CJ321" s="18">
        <v>7.0000000000000001E-3</v>
      </c>
      <c r="CK321" s="18">
        <v>8.2000000000000003E-2</v>
      </c>
      <c r="CL321" s="18"/>
      <c r="CM321" s="18">
        <v>1.2290000000000001</v>
      </c>
      <c r="CN321" s="18"/>
      <c r="CO321" s="18"/>
      <c r="CP321" s="18"/>
      <c r="CQ321" s="18"/>
      <c r="CR321" s="18">
        <v>1.4999999999999999E-2</v>
      </c>
      <c r="CS321" s="18">
        <v>14.72</v>
      </c>
      <c r="CT321" s="18">
        <v>0.23</v>
      </c>
      <c r="CU321" s="18">
        <v>0.99</v>
      </c>
      <c r="CV321" s="18">
        <v>1.66</v>
      </c>
      <c r="CW321" s="18">
        <v>0.21099999999999999</v>
      </c>
      <c r="CX321" s="18">
        <v>0.68</v>
      </c>
      <c r="CY321" s="18">
        <v>5.0999999999999997E-2</v>
      </c>
      <c r="CZ321" s="18">
        <v>8.9999999999999993E-3</v>
      </c>
      <c r="DA321" s="18">
        <v>1.2999999999999999E-2</v>
      </c>
      <c r="DB321" s="18">
        <v>8.9999999999999993E-3</v>
      </c>
      <c r="DC321" s="18">
        <v>3.0000000000000001E-3</v>
      </c>
      <c r="DD321" s="18" t="s">
        <v>1366</v>
      </c>
      <c r="DE321" s="18"/>
      <c r="DF321" s="18" t="s">
        <v>1366</v>
      </c>
      <c r="DG321" s="18">
        <v>6.0000000000000001E-3</v>
      </c>
      <c r="DH321" s="18">
        <v>7.0000000000000001E-3</v>
      </c>
      <c r="DI321" s="18">
        <v>6.4000000000000001E-2</v>
      </c>
      <c r="DJ321" s="18"/>
      <c r="DK321" s="18">
        <v>0.112</v>
      </c>
      <c r="DL321" s="18">
        <v>0.123</v>
      </c>
      <c r="DM321" s="18">
        <v>3.3000000000000002E-2</v>
      </c>
      <c r="DN321" s="18"/>
      <c r="DO321" s="18"/>
      <c r="DP321" s="18"/>
      <c r="DQ321" s="18"/>
      <c r="DR321" s="18"/>
      <c r="DS321" s="18"/>
      <c r="DT321" s="18"/>
      <c r="DU321" s="18"/>
      <c r="DV321" s="28"/>
      <c r="DW321" s="28"/>
      <c r="DX321" s="28"/>
      <c r="DY321" s="28"/>
      <c r="DZ321" s="28"/>
      <c r="EA321" s="28"/>
      <c r="EB321" s="28"/>
      <c r="EC321" s="28"/>
      <c r="ED321" s="28"/>
      <c r="EE321" s="28"/>
      <c r="EF321" s="28"/>
      <c r="EG321" s="28"/>
      <c r="EH321" s="28"/>
      <c r="EI321" s="28"/>
      <c r="EJ321" s="18"/>
      <c r="EK321" s="18"/>
      <c r="EL321" s="18">
        <f>IFERROR(CR321/'McDonough &amp; Sun 1995 values'!C$2,)</f>
        <v>0.71428571428571419</v>
      </c>
      <c r="EM321" s="18">
        <f>IFERROR(CH321/'McDonough &amp; Sun 1995 values'!D$2,)</f>
        <v>0.63333333333333341</v>
      </c>
      <c r="EN321" s="18">
        <f>IFERROR(CS321/'McDonough &amp; Sun 1995 values'!E$2,)</f>
        <v>2.2303030303030305</v>
      </c>
      <c r="EO321" s="18">
        <f>IFERROR(DL321/'McDonough &amp; Sun 1995 values'!F$2,)</f>
        <v>1.5471698113207546</v>
      </c>
      <c r="EP321" s="18">
        <f>IFERROR(DM321/'McDonough &amp; Sun 1995 values'!G$2,)</f>
        <v>1.6256157635467983</v>
      </c>
      <c r="EQ321" s="18">
        <f>IFERROR(BR321/'McDonough &amp; Sun 1995 values'!H$2,)</f>
        <v>0.83333333333333337</v>
      </c>
      <c r="ER321" s="18">
        <f>IFERROR(DI321/'McDonough &amp; Sun 1995 values'!I$2,)</f>
        <v>1.7297297297297298</v>
      </c>
      <c r="ES321" s="18">
        <f>IFERROR(CM321/'McDonough &amp; Sun 1995 values'!J$2,)</f>
        <v>1.8677811550151977</v>
      </c>
      <c r="ET321" s="18">
        <f>IFERROR(CU321/'McDonough &amp; Sun 1995 values'!K$2,)</f>
        <v>1.5277777777777777</v>
      </c>
      <c r="EU321" s="18">
        <f>IFERROR(CV321/'McDonough &amp; Sun 1995 values'!L$2,)</f>
        <v>0.99104477611940289</v>
      </c>
      <c r="EV321" s="18">
        <f>IFERROR(CW321/'McDonough &amp; Sun 1995 values'!M$2,)</f>
        <v>0.8307086614173228</v>
      </c>
      <c r="EW321" s="18">
        <f>IFERROR(CI321/'McDonough &amp; Sun 1995 values'!N$2,)</f>
        <v>0.38994974874371863</v>
      </c>
      <c r="EX321" s="18">
        <f>IFERROR(CX321/'McDonough &amp; Sun 1995 values'!O$2,)</f>
        <v>0.54400000000000004</v>
      </c>
      <c r="EY321" s="18">
        <f>IFERROR(CY321/'McDonough &amp; Sun 1995 values'!P$2,)</f>
        <v>0.12561576354679801</v>
      </c>
      <c r="EZ321" s="18">
        <f>IFERROR(DH321/'McDonough &amp; Sun 1995 values'!Q$2,)</f>
        <v>2.4734982332155479E-2</v>
      </c>
      <c r="FA321" s="18">
        <f>IFERROR(CK321/'McDonough &amp; Sun 1995 values'!R$2,)</f>
        <v>7.8095238095238096E-3</v>
      </c>
      <c r="FB321" s="18">
        <f>IFERROR(CZ321/'McDonough &amp; Sun 1995 values'!S$2,)</f>
        <v>5.844155844155844E-2</v>
      </c>
      <c r="FC321" s="18">
        <f>IFERROR(BT321/'McDonough &amp; Sun 1995 values'!T$2,)</f>
        <v>2.2240663900414937E-3</v>
      </c>
      <c r="FD321" s="18">
        <f>IFERROR(DA321/'McDonough &amp; Sun 1995 values'!U$2,)</f>
        <v>2.389705882352941E-2</v>
      </c>
      <c r="FE321" s="18">
        <f>IFERROR(DN321/'McDonough &amp; Sun 1995 values'!V$2,)</f>
        <v>0</v>
      </c>
      <c r="FF321" s="18">
        <f>IFERROR(DB321/'McDonough &amp; Sun 1995 values'!W$2,)</f>
        <v>1.3353115727002965E-2</v>
      </c>
      <c r="FG321" s="18">
        <f>IFERROR(CJ321/'McDonough &amp; Sun 1995 values'!X$2,)</f>
        <v>1.6279069767441861E-3</v>
      </c>
      <c r="FH321" s="18">
        <f>IFERROR(DC321/'McDonough &amp; Sun 1995 values'!Y$2,)</f>
        <v>2.0134228187919465E-2</v>
      </c>
      <c r="FI321" s="18">
        <f>IFERROR(DD321/'McDonough &amp; Sun 1995 values'!Z$2,)</f>
        <v>0</v>
      </c>
      <c r="FJ321" s="18">
        <f>IFERROR(DE321/'McDonough &amp; Sun 1995 values'!AA$2,)</f>
        <v>0</v>
      </c>
      <c r="FK321" s="18">
        <f>IFERROR(DF321/'McDonough &amp; Sun 1995 values'!AB$2,)</f>
        <v>0</v>
      </c>
      <c r="FL321" s="18">
        <f>IFERROR(DG321/'McDonough &amp; Sun 1995 values'!AC$2,)</f>
        <v>8.8888888888888878E-2</v>
      </c>
      <c r="FN321" s="28">
        <f t="shared" si="758"/>
        <v>1.9507389162561579</v>
      </c>
      <c r="FO321" s="4">
        <f t="shared" si="699"/>
        <v>1.3719742883379247</v>
      </c>
      <c r="FP321" s="4">
        <f t="shared" si="700"/>
        <v>0.82834640833934614</v>
      </c>
      <c r="FQ321" s="4">
        <f t="shared" si="701"/>
        <v>0.95174385363064584</v>
      </c>
      <c r="FR321" s="4">
        <f t="shared" si="702"/>
        <v>0.81796401771991667</v>
      </c>
      <c r="FS321" s="4">
        <f t="shared" si="703"/>
        <v>0.88324652777777768</v>
      </c>
      <c r="FT321" s="4">
        <f t="shared" si="704"/>
        <v>0.88666666666666694</v>
      </c>
      <c r="FU321" s="4">
        <f t="shared" si="705"/>
        <v>0.9260880082686429</v>
      </c>
      <c r="FV321" s="4">
        <f t="shared" si="706"/>
        <v>6.2169934640522881E-2</v>
      </c>
      <c r="FW321" s="4">
        <f t="shared" si="707"/>
        <v>0.31572789115646255</v>
      </c>
      <c r="FX321" s="4">
        <f t="shared" si="708"/>
        <v>0.78175981852318843</v>
      </c>
      <c r="FY321" s="4">
        <f t="shared" si="709"/>
        <v>0.58007590419592869</v>
      </c>
      <c r="FZ321" s="4">
        <f t="shared" si="710"/>
        <v>1.0666636393866165</v>
      </c>
      <c r="GA321" s="4">
        <f t="shared" si="711"/>
        <v>0.46941818095215421</v>
      </c>
      <c r="GB321" s="4">
        <f t="shared" si="712"/>
        <v>0.46524064171122997</v>
      </c>
      <c r="GC321" s="4">
        <f t="shared" si="713"/>
        <v>1.1278195488721801</v>
      </c>
      <c r="GD321" s="4">
        <f t="shared" si="714"/>
        <v>1.4415373244641538</v>
      </c>
      <c r="GE321" s="4">
        <f t="shared" si="715"/>
        <v>3.5215311004784686</v>
      </c>
      <c r="GF321" s="4">
        <f t="shared" si="716"/>
        <v>2.6763636363636363</v>
      </c>
      <c r="GG321" s="4">
        <f t="shared" si="717"/>
        <v>1.1940922652069925</v>
      </c>
      <c r="GH321" s="4">
        <f t="shared" si="718"/>
        <v>1.8391258557135335</v>
      </c>
      <c r="GI321" s="4">
        <f t="shared" si="719"/>
        <v>12.162309368191721</v>
      </c>
      <c r="GJ321" s="4">
        <f t="shared" si="720"/>
        <v>114.4135802469136</v>
      </c>
      <c r="GK321" s="4">
        <f t="shared" si="721"/>
        <v>0</v>
      </c>
      <c r="GL321" s="4">
        <f t="shared" si="722"/>
        <v>3.5113717128642503</v>
      </c>
      <c r="GM321" s="4">
        <f t="shared" si="723"/>
        <v>2.4428997020854015</v>
      </c>
      <c r="GN321" s="4">
        <f t="shared" si="724"/>
        <v>1.2225476651008567</v>
      </c>
      <c r="GO321" s="4">
        <f t="shared" si="725"/>
        <v>1.1489684074790456</v>
      </c>
      <c r="GP321" s="4">
        <f t="shared" si="726"/>
        <v>0.51262626262626254</v>
      </c>
      <c r="GQ321" s="27">
        <f t="shared" si="727"/>
        <v>59717.636455222062</v>
      </c>
      <c r="GR321" s="28">
        <f t="shared" si="728"/>
        <v>4.4788227341416542</v>
      </c>
      <c r="GS321" s="28">
        <f t="shared" si="729"/>
        <v>113.46350926492192</v>
      </c>
      <c r="GT321" s="28">
        <f t="shared" si="730"/>
        <v>4395.2180431043435</v>
      </c>
      <c r="GU321" s="28">
        <f t="shared" si="731"/>
        <v>36.726346419961565</v>
      </c>
      <c r="GV321" s="28">
        <f t="shared" si="732"/>
        <v>9.8534100151116402</v>
      </c>
      <c r="GW321" s="28">
        <f t="shared" si="733"/>
        <v>59717.636455222062</v>
      </c>
      <c r="GX321" s="28">
        <f t="shared" si="734"/>
        <v>19.109643665671062</v>
      </c>
      <c r="GY321" s="28">
        <f t="shared" si="735"/>
        <v>366.96487601733958</v>
      </c>
      <c r="GZ321" s="28">
        <f t="shared" si="736"/>
        <v>295.60230045334919</v>
      </c>
      <c r="HA321" s="28">
        <f t="shared" si="737"/>
        <v>495.65638257834314</v>
      </c>
      <c r="HB321" s="28">
        <f t="shared" si="738"/>
        <v>63.00210646025927</v>
      </c>
      <c r="HC321" s="28">
        <f t="shared" si="739"/>
        <v>2317.0442944626161</v>
      </c>
      <c r="HD321" s="28">
        <f t="shared" si="740"/>
        <v>203.03996394775501</v>
      </c>
      <c r="HE321" s="28">
        <f t="shared" si="741"/>
        <v>15.227997296081623</v>
      </c>
      <c r="HF321" s="28">
        <f t="shared" si="742"/>
        <v>2.0901172759327724</v>
      </c>
      <c r="HG321" s="28">
        <f t="shared" si="743"/>
        <v>24.484230946641045</v>
      </c>
      <c r="HH321" s="28">
        <f t="shared" si="744"/>
        <v>2.6872936404849925</v>
      </c>
      <c r="HI321" s="28">
        <f t="shared" si="745"/>
        <v>800.2163284999757</v>
      </c>
      <c r="HJ321" s="28">
        <f t="shared" si="746"/>
        <v>3.8816463695894337</v>
      </c>
      <c r="HK321" s="28">
        <f t="shared" si="747"/>
        <v>0</v>
      </c>
      <c r="HL321" s="28">
        <f t="shared" si="748"/>
        <v>2.6872936404849925</v>
      </c>
      <c r="HM321" s="28">
        <f t="shared" si="749"/>
        <v>2.0901172759327724</v>
      </c>
      <c r="HN321" s="28">
        <f t="shared" si="750"/>
        <v>0.89576454682833095</v>
      </c>
      <c r="HO321" s="28" t="str">
        <f t="shared" si="751"/>
        <v/>
      </c>
      <c r="HP321" s="28">
        <f t="shared" si="752"/>
        <v>0</v>
      </c>
      <c r="HQ321" s="28" t="str">
        <f t="shared" si="753"/>
        <v/>
      </c>
      <c r="HR321" s="28">
        <f t="shared" si="754"/>
        <v>1.7915290936566619</v>
      </c>
      <c r="HT321" s="4">
        <f>IFERROR(GR321/'McDonough &amp; Sun 1995 values'!C$2,)</f>
        <v>213.27727305436449</v>
      </c>
      <c r="HU321" s="4">
        <f>IFERROR(GS321/'McDonough &amp; Sun 1995 values'!D$2,)</f>
        <v>189.10584877486988</v>
      </c>
      <c r="HV321" s="4">
        <f>IFERROR(GT321/'McDonough &amp; Sun 1995 values'!E$2,)</f>
        <v>665.94212774308232</v>
      </c>
      <c r="HW321" s="4">
        <f>IFERROR(GU321/'McDonough &amp; Sun 1995 values'!F$2,)</f>
        <v>461.96662163473667</v>
      </c>
      <c r="HX321" s="4">
        <f>IFERROR(GV321/'McDonough &amp; Sun 1995 values'!G$2,)</f>
        <v>485.38965591682961</v>
      </c>
      <c r="HY321" s="4">
        <f>IFERROR(GW321/'McDonough &amp; Sun 1995 values'!H$2,)</f>
        <v>248.82348523009193</v>
      </c>
      <c r="HZ321" s="4">
        <f>IFERROR(GX321/'McDonough &amp; Sun 1995 values'!I$2,)</f>
        <v>516.47685582894769</v>
      </c>
      <c r="IA321" s="4">
        <f>IFERROR(GY321/'McDonough &amp; Sun 1995 values'!J$2,)</f>
        <v>557.69737996556159</v>
      </c>
      <c r="IB321" s="4">
        <f>IFERROR(GZ321/'McDonough &amp; Sun 1995 values'!K$2,)</f>
        <v>456.17638958850182</v>
      </c>
      <c r="IC321" s="4">
        <f>IFERROR(HA321/'McDonough &amp; Sun 1995 values'!L$2,)</f>
        <v>295.91425825572725</v>
      </c>
      <c r="ID321" s="4">
        <f>IFERROR(HB321/'McDonough &amp; Sun 1995 values'!M$2,)</f>
        <v>248.03978921361917</v>
      </c>
      <c r="IE321" s="4">
        <f>IFERROR(HC321/'McDonough &amp; Sun 1995 values'!N$2,)</f>
        <v>116.43438665641288</v>
      </c>
      <c r="IF321" s="4">
        <f>IFERROR(HD321/'McDonough &amp; Sun 1995 values'!O$2,)</f>
        <v>162.43197115820402</v>
      </c>
      <c r="IG321" s="4">
        <f>IFERROR(HE321/'McDonough &amp; Sun 1995 values'!P$2,)</f>
        <v>37.507382502664093</v>
      </c>
      <c r="IH321" s="4">
        <f>IFERROR(HF321/'McDonough &amp; Sun 1995 values'!Q$2,)</f>
        <v>7.3855734131900093</v>
      </c>
      <c r="II321" s="4">
        <f>IFERROR(HG321/'McDonough &amp; Sun 1995 values'!R$2,)</f>
        <v>2.3318315187277188</v>
      </c>
      <c r="IJ321" s="4">
        <f>IFERROR(HH321/'McDonough &amp; Sun 1995 values'!S$2,)</f>
        <v>17.449958704448004</v>
      </c>
      <c r="IK321" s="4">
        <f>IFERROR(HI321/'McDonough &amp; Sun 1995 values'!T$2,)</f>
        <v>0.66407994066388021</v>
      </c>
      <c r="IL321" s="4">
        <f>IFERROR(HJ321/'McDonough &amp; Sun 1995 values'!U$2,)</f>
        <v>7.1353793558629288</v>
      </c>
      <c r="IM321" s="4">
        <f>IFERROR(HK321/'McDonough &amp; Sun 1995 values'!V$2,)</f>
        <v>0</v>
      </c>
      <c r="IN321" s="4">
        <f>IFERROR(HL321/'McDonough &amp; Sun 1995 values'!W$2,)</f>
        <v>3.9870825526483564</v>
      </c>
      <c r="IO321" s="4">
        <f>IFERROR(HM321/'McDonough &amp; Sun 1995 values'!X$2,)</f>
        <v>0.48607378510064475</v>
      </c>
      <c r="IP321" s="4">
        <f>IFERROR(HN321/'McDonough &amp; Sun 1995 values'!Y$2,)</f>
        <v>6.0118425961632953</v>
      </c>
      <c r="IQ321" s="4">
        <f>IFERROR(HO321/'McDonough &amp; Sun 1995 values'!Z$2,)</f>
        <v>0</v>
      </c>
      <c r="IR321" s="4">
        <f>IFERROR(HP321/'McDonough &amp; Sun 1995 values'!AA$2,)</f>
        <v>0</v>
      </c>
      <c r="IS321" s="4">
        <f>IFERROR(HQ321/'McDonough &amp; Sun 1995 values'!AB$2,)</f>
        <v>0</v>
      </c>
      <c r="IT321" s="4">
        <f>IFERROR(HR321/'McDonough &amp; Sun 1995 values'!AC$2,)</f>
        <v>26.541171757876469</v>
      </c>
    </row>
    <row r="322" spans="1:254">
      <c r="A322" s="16" t="s">
        <v>672</v>
      </c>
      <c r="B322" s="16" t="s">
        <v>24</v>
      </c>
      <c r="C322" s="16" t="s">
        <v>1369</v>
      </c>
      <c r="D322" s="16" t="s">
        <v>1723</v>
      </c>
      <c r="E322" s="16" t="s">
        <v>237</v>
      </c>
      <c r="F322" s="16" t="s">
        <v>29</v>
      </c>
      <c r="G322" s="16" t="s">
        <v>595</v>
      </c>
      <c r="H322" s="27">
        <v>360</v>
      </c>
      <c r="I322" s="16" t="s">
        <v>735</v>
      </c>
      <c r="J322" s="16" t="s">
        <v>1496</v>
      </c>
      <c r="K322" s="16">
        <v>0</v>
      </c>
      <c r="L322" s="16">
        <v>0</v>
      </c>
      <c r="M322" s="16" t="s">
        <v>77</v>
      </c>
      <c r="N322" s="16">
        <v>30</v>
      </c>
      <c r="O322" s="26">
        <v>10.51</v>
      </c>
      <c r="P322" s="26">
        <v>3.91</v>
      </c>
      <c r="Q322" s="26">
        <v>0.36</v>
      </c>
      <c r="R322" s="26">
        <v>3.31</v>
      </c>
      <c r="S322" s="26">
        <v>38.619999999999997</v>
      </c>
      <c r="T322" s="26">
        <v>9.1999999999999993</v>
      </c>
      <c r="U322" s="26">
        <v>0.39</v>
      </c>
      <c r="V322" s="26">
        <v>14.6</v>
      </c>
      <c r="W322" s="26">
        <v>1.57</v>
      </c>
      <c r="X322" s="26">
        <v>9.6199999999999992</v>
      </c>
      <c r="Y322" s="26"/>
      <c r="Z322" s="26">
        <v>3.87</v>
      </c>
      <c r="AA322" s="26"/>
      <c r="AB322" s="26"/>
      <c r="AC322" s="26"/>
      <c r="AD322" s="26">
        <v>2.6</v>
      </c>
      <c r="AE322" s="26"/>
      <c r="AF322" s="26">
        <v>1.44</v>
      </c>
      <c r="AG322" s="26"/>
      <c r="AH322" s="26"/>
      <c r="AI322" s="26"/>
      <c r="AJ322" s="26">
        <f t="shared" ref="AJ322:AJ337" si="769">SUM(O322:P322,R322:T322,V322:X322,Z322,AB322,AD322)</f>
        <v>97.809999999999988</v>
      </c>
      <c r="AK322" s="26">
        <f t="shared" si="759"/>
        <v>10.809781524075252</v>
      </c>
      <c r="AL322" s="26">
        <f t="shared" si="759"/>
        <v>4.0215267135237145</v>
      </c>
      <c r="AM322" s="26">
        <f t="shared" si="760"/>
        <v>3.404412639837211</v>
      </c>
      <c r="AN322" s="26">
        <f t="shared" si="760"/>
        <v>39.721575876287936</v>
      </c>
      <c r="AO322" s="26">
        <f t="shared" si="760"/>
        <v>9.462415796526388</v>
      </c>
      <c r="AP322" s="26">
        <f t="shared" si="761"/>
        <v>15.016442459704917</v>
      </c>
      <c r="AQ322" s="26">
        <f t="shared" si="762"/>
        <v>0</v>
      </c>
      <c r="AR322" s="26">
        <f t="shared" si="763"/>
        <v>1.6147818261463509</v>
      </c>
      <c r="AS322" s="26">
        <f t="shared" si="763"/>
        <v>9.8943956481069399</v>
      </c>
      <c r="AT322" s="26">
        <f t="shared" si="764"/>
        <v>3.9803857752779477</v>
      </c>
      <c r="AU322" s="26">
        <f t="shared" si="765"/>
        <v>2.6741609859748485</v>
      </c>
      <c r="AV322" s="26">
        <f t="shared" si="766"/>
        <v>100.59987924546151</v>
      </c>
      <c r="AW322" s="16"/>
      <c r="AX322" s="16"/>
      <c r="AY322" s="16"/>
      <c r="AZ322" s="16"/>
      <c r="BA322" s="26"/>
      <c r="BB322" s="26">
        <v>0.04</v>
      </c>
      <c r="BC322" s="26">
        <f t="shared" si="767"/>
        <v>4.0000000000000036E-2</v>
      </c>
      <c r="BD322" s="26">
        <f t="shared" si="768"/>
        <v>0.96</v>
      </c>
      <c r="BE322" s="25"/>
      <c r="BF322" s="16"/>
      <c r="BG322" s="16">
        <v>219</v>
      </c>
      <c r="BH322" s="16"/>
      <c r="BI322" s="16"/>
      <c r="BJ322" s="16"/>
      <c r="BK322" s="18"/>
      <c r="BL322" s="18"/>
      <c r="BM322" s="18"/>
      <c r="BN322" s="18">
        <v>116</v>
      </c>
      <c r="BO322" s="18">
        <v>117</v>
      </c>
      <c r="BP322" s="18">
        <v>21</v>
      </c>
      <c r="BQ322" s="18"/>
      <c r="BR322" s="18">
        <v>442</v>
      </c>
      <c r="BS322" s="18">
        <v>222</v>
      </c>
      <c r="BT322" s="18">
        <v>37.74</v>
      </c>
      <c r="BU322" s="18"/>
      <c r="BV322" s="18">
        <v>3.4</v>
      </c>
      <c r="BW322" s="18">
        <v>240</v>
      </c>
      <c r="BX322" s="18">
        <v>0.40200000000000002</v>
      </c>
      <c r="BY322" s="18">
        <v>0.41</v>
      </c>
      <c r="BZ322" s="18"/>
      <c r="CA322" s="18">
        <v>0.17699999999999999</v>
      </c>
      <c r="CB322" s="18">
        <v>0.125</v>
      </c>
      <c r="CC322" s="18"/>
      <c r="CD322" s="18"/>
      <c r="CE322" s="18"/>
      <c r="CF322" s="18"/>
      <c r="CG322" s="18"/>
      <c r="CH322" s="18">
        <v>0.8</v>
      </c>
      <c r="CI322" s="18">
        <v>14.98</v>
      </c>
      <c r="CJ322" s="18">
        <v>9.8000000000000004E-2</v>
      </c>
      <c r="CK322" s="18">
        <v>0.76900000000000002</v>
      </c>
      <c r="CL322" s="18"/>
      <c r="CM322" s="18">
        <v>2.3889999999999998</v>
      </c>
      <c r="CN322" s="18"/>
      <c r="CO322" s="18"/>
      <c r="CP322" s="18"/>
      <c r="CQ322" s="18"/>
      <c r="CR322" s="18">
        <v>4.4999999999999998E-2</v>
      </c>
      <c r="CS322" s="18">
        <v>105.74</v>
      </c>
      <c r="CT322" s="18">
        <v>0.21299999999999999</v>
      </c>
      <c r="CU322" s="18">
        <v>4.37</v>
      </c>
      <c r="CV322" s="18">
        <v>5.08</v>
      </c>
      <c r="CW322" s="18">
        <v>0.47</v>
      </c>
      <c r="CX322" s="18">
        <v>1.35</v>
      </c>
      <c r="CY322" s="18">
        <v>0.115</v>
      </c>
      <c r="CZ322" s="18">
        <v>3.6999999999999998E-2</v>
      </c>
      <c r="DA322" s="18">
        <v>7.5999999999999998E-2</v>
      </c>
      <c r="DB322" s="18">
        <v>0.02</v>
      </c>
      <c r="DC322" s="18">
        <v>1.4E-2</v>
      </c>
      <c r="DD322" s="18">
        <v>1.2999999999999999E-2</v>
      </c>
      <c r="DE322" s="18"/>
      <c r="DF322" s="18">
        <v>0.01</v>
      </c>
      <c r="DG322" s="18">
        <v>1.4E-2</v>
      </c>
      <c r="DH322" s="18">
        <v>2.1000000000000001E-2</v>
      </c>
      <c r="DI322" s="18">
        <v>5.1999999999999998E-2</v>
      </c>
      <c r="DJ322" s="18"/>
      <c r="DK322" s="18">
        <v>0.44</v>
      </c>
      <c r="DL322" s="18">
        <v>1.1499999999999999</v>
      </c>
      <c r="DM322" s="18">
        <v>0.11700000000000001</v>
      </c>
      <c r="DN322" s="18"/>
      <c r="DO322" s="18"/>
      <c r="DP322" s="18"/>
      <c r="DQ322" s="18"/>
      <c r="DR322" s="18"/>
      <c r="DS322" s="18"/>
      <c r="DT322" s="18"/>
      <c r="DU322" s="18"/>
      <c r="DV322" s="28"/>
      <c r="DW322" s="28"/>
      <c r="DX322" s="28"/>
      <c r="DY322" s="28"/>
      <c r="DZ322" s="28"/>
      <c r="EA322" s="28"/>
      <c r="EB322" s="28"/>
      <c r="EC322" s="28"/>
      <c r="ED322" s="28"/>
      <c r="EE322" s="28"/>
      <c r="EF322" s="28"/>
      <c r="EG322" s="28"/>
      <c r="EH322" s="28"/>
      <c r="EI322" s="28"/>
      <c r="EJ322" s="18"/>
      <c r="EK322" s="18"/>
      <c r="EL322" s="18">
        <f>IFERROR(CR322/'McDonough &amp; Sun 1995 values'!C$2,)</f>
        <v>2.1428571428571428</v>
      </c>
      <c r="EM322" s="18">
        <f>IFERROR(CH322/'McDonough &amp; Sun 1995 values'!D$2,)</f>
        <v>1.3333333333333335</v>
      </c>
      <c r="EN322" s="18">
        <f>IFERROR(CS322/'McDonough &amp; Sun 1995 values'!E$2,)</f>
        <v>16.02121212121212</v>
      </c>
      <c r="EO322" s="18">
        <f>IFERROR(DL322/'McDonough &amp; Sun 1995 values'!F$2,)</f>
        <v>14.465408805031446</v>
      </c>
      <c r="EP322" s="18">
        <f>IFERROR(DM322/'McDonough &amp; Sun 1995 values'!G$2,)</f>
        <v>5.7635467980295569</v>
      </c>
      <c r="EQ322" s="18">
        <f>IFERROR(BR322/'McDonough &amp; Sun 1995 values'!H$2,)</f>
        <v>1.8416666666666666</v>
      </c>
      <c r="ER322" s="18">
        <f>IFERROR(DI322/'McDonough &amp; Sun 1995 values'!I$2,)</f>
        <v>1.4054054054054055</v>
      </c>
      <c r="ES322" s="18">
        <f>IFERROR(CM322/'McDonough &amp; Sun 1995 values'!J$2,)</f>
        <v>3.6306990881458963</v>
      </c>
      <c r="ET322" s="18">
        <f>IFERROR(CU322/'McDonough &amp; Sun 1995 values'!K$2,)</f>
        <v>6.7438271604938267</v>
      </c>
      <c r="EU322" s="18">
        <f>IFERROR(CV322/'McDonough &amp; Sun 1995 values'!L$2,)</f>
        <v>3.0328358208955222</v>
      </c>
      <c r="EV322" s="18">
        <f>IFERROR(CW322/'McDonough &amp; Sun 1995 values'!M$2,)</f>
        <v>1.8503937007874014</v>
      </c>
      <c r="EW322" s="18">
        <f>IFERROR(CI322/'McDonough &amp; Sun 1995 values'!N$2,)</f>
        <v>0.75276381909547752</v>
      </c>
      <c r="EX322" s="18">
        <f>IFERROR(CX322/'McDonough &amp; Sun 1995 values'!O$2,)</f>
        <v>1.08</v>
      </c>
      <c r="EY322" s="18">
        <f>IFERROR(CY322/'McDonough &amp; Sun 1995 values'!P$2,)</f>
        <v>0.28325123152709358</v>
      </c>
      <c r="EZ322" s="18">
        <f>IFERROR(DH322/'McDonough &amp; Sun 1995 values'!Q$2,)</f>
        <v>7.4204946996466445E-2</v>
      </c>
      <c r="FA322" s="18">
        <f>IFERROR(CK322/'McDonough &amp; Sun 1995 values'!R$2,)</f>
        <v>7.3238095238095241E-2</v>
      </c>
      <c r="FB322" s="18">
        <f>IFERROR(CZ322/'McDonough &amp; Sun 1995 values'!S$2,)</f>
        <v>0.24025974025974026</v>
      </c>
      <c r="FC322" s="18">
        <f>IFERROR(BT322/'McDonough &amp; Sun 1995 values'!T$2,)</f>
        <v>3.1319502074688796E-2</v>
      </c>
      <c r="FD322" s="18">
        <f>IFERROR(DA322/'McDonough &amp; Sun 1995 values'!U$2,)</f>
        <v>0.13970588235294115</v>
      </c>
      <c r="FE322" s="18">
        <f>IFERROR(DN322/'McDonough &amp; Sun 1995 values'!V$2,)</f>
        <v>0</v>
      </c>
      <c r="FF322" s="18">
        <f>IFERROR(DB322/'McDonough &amp; Sun 1995 values'!W$2,)</f>
        <v>2.9673590504451036E-2</v>
      </c>
      <c r="FG322" s="18">
        <f>IFERROR(CJ322/'McDonough &amp; Sun 1995 values'!X$2,)</f>
        <v>2.2790697674418606E-2</v>
      </c>
      <c r="FH322" s="18">
        <f>IFERROR(DC322/'McDonough &amp; Sun 1995 values'!Y$2,)</f>
        <v>9.3959731543624164E-2</v>
      </c>
      <c r="FI322" s="18">
        <f>IFERROR(DD322/'McDonough &amp; Sun 1995 values'!Z$2,)</f>
        <v>2.9680365296803651E-2</v>
      </c>
      <c r="FJ322" s="18">
        <f>IFERROR(DE322/'McDonough &amp; Sun 1995 values'!AA$2,)</f>
        <v>0</v>
      </c>
      <c r="FK322" s="18">
        <f>IFERROR(DF322/'McDonough &amp; Sun 1995 values'!AB$2,)</f>
        <v>2.2675736961451247E-2</v>
      </c>
      <c r="FL322" s="18">
        <f>IFERROR(DG322/'McDonough &amp; Sun 1995 values'!AC$2,)</f>
        <v>0.2074074074074074</v>
      </c>
      <c r="FN322" s="28">
        <f t="shared" si="758"/>
        <v>3.1295276731382211</v>
      </c>
      <c r="FO322" s="4">
        <f t="shared" si="699"/>
        <v>2.7797487697487693</v>
      </c>
      <c r="FP322" s="4">
        <f t="shared" si="700"/>
        <v>3.9841938023066943</v>
      </c>
      <c r="FQ322" s="4">
        <f t="shared" si="701"/>
        <v>2.5098102456593021</v>
      </c>
      <c r="FR322" s="4">
        <f t="shared" si="702"/>
        <v>1.8574459069087226</v>
      </c>
      <c r="FS322" s="4">
        <f t="shared" si="703"/>
        <v>4.7984924026590683</v>
      </c>
      <c r="FT322" s="4">
        <f t="shared" si="704"/>
        <v>0.62222222222222234</v>
      </c>
      <c r="FU322" s="4">
        <f t="shared" si="705"/>
        <v>0.3870894754109489</v>
      </c>
      <c r="FV322" s="4">
        <f t="shared" si="706"/>
        <v>0.25856231884057973</v>
      </c>
      <c r="FW322" s="4">
        <f t="shared" si="707"/>
        <v>0.98697052154194997</v>
      </c>
      <c r="FX322" s="4">
        <f t="shared" si="708"/>
        <v>1.1360950430917032</v>
      </c>
      <c r="FY322" s="4">
        <f t="shared" si="709"/>
        <v>0.53249408573976764</v>
      </c>
      <c r="FZ322" s="4">
        <f t="shared" si="710"/>
        <v>1.2077797770595742</v>
      </c>
      <c r="GA322" s="4">
        <f t="shared" si="711"/>
        <v>0.40681278734096021</v>
      </c>
      <c r="GB322" s="4">
        <f t="shared" si="712"/>
        <v>0.84822134387351777</v>
      </c>
      <c r="GC322" s="4">
        <f t="shared" si="713"/>
        <v>1.607142857142857</v>
      </c>
      <c r="GD322" s="4">
        <f t="shared" si="714"/>
        <v>1.1075533596837943</v>
      </c>
      <c r="GE322" s="4">
        <f t="shared" si="715"/>
        <v>12.015909090909089</v>
      </c>
      <c r="GF322" s="4">
        <f t="shared" si="716"/>
        <v>8.6993006993006983</v>
      </c>
      <c r="GG322" s="4">
        <f t="shared" si="717"/>
        <v>4.4127072313761309</v>
      </c>
      <c r="GH322" s="4">
        <f t="shared" si="718"/>
        <v>3.6445363803519832</v>
      </c>
      <c r="GI322" s="4">
        <f t="shared" si="719"/>
        <v>23.808641975308642</v>
      </c>
      <c r="GJ322" s="4">
        <f t="shared" si="720"/>
        <v>227.26697530864197</v>
      </c>
      <c r="GK322" s="4">
        <f t="shared" si="721"/>
        <v>297.40277777777777</v>
      </c>
      <c r="GL322" s="4">
        <f t="shared" si="722"/>
        <v>2.338418250182956</v>
      </c>
      <c r="GM322" s="4">
        <f t="shared" si="723"/>
        <v>10.849056603773583</v>
      </c>
      <c r="GN322" s="4">
        <f t="shared" si="724"/>
        <v>0.53837368629714899</v>
      </c>
      <c r="GO322" s="4">
        <f t="shared" si="725"/>
        <v>0.62994180760138196</v>
      </c>
      <c r="GP322" s="4">
        <f t="shared" si="726"/>
        <v>0.31953703703703701</v>
      </c>
      <c r="GQ322" s="27">
        <f t="shared" si="727"/>
        <v>82137.069350558188</v>
      </c>
      <c r="GR322" s="28">
        <f t="shared" si="728"/>
        <v>8.362371313970856</v>
      </c>
      <c r="GS322" s="28">
        <f t="shared" si="729"/>
        <v>148.66437891503745</v>
      </c>
      <c r="GT322" s="28">
        <f t="shared" si="730"/>
        <v>19649.714283095072</v>
      </c>
      <c r="GU322" s="28">
        <f t="shared" si="731"/>
        <v>213.70504469036632</v>
      </c>
      <c r="GV322" s="28">
        <f t="shared" si="732"/>
        <v>21.74216541632423</v>
      </c>
      <c r="GW322" s="28">
        <f t="shared" si="733"/>
        <v>82137.069350558188</v>
      </c>
      <c r="GX322" s="28">
        <f t="shared" si="734"/>
        <v>9.6631846294774331</v>
      </c>
      <c r="GY322" s="28">
        <f t="shared" si="735"/>
        <v>443.94900153503056</v>
      </c>
      <c r="GZ322" s="28">
        <f t="shared" si="736"/>
        <v>812.07916982339214</v>
      </c>
      <c r="HA322" s="28">
        <f t="shared" si="737"/>
        <v>944.01880611048773</v>
      </c>
      <c r="HB322" s="28">
        <f t="shared" si="738"/>
        <v>87.340322612584487</v>
      </c>
      <c r="HC322" s="28">
        <f t="shared" si="739"/>
        <v>2783.7404951840763</v>
      </c>
      <c r="HD322" s="28">
        <f t="shared" si="740"/>
        <v>250.87113941912568</v>
      </c>
      <c r="HE322" s="28">
        <f t="shared" si="741"/>
        <v>21.370504469036636</v>
      </c>
      <c r="HF322" s="28">
        <f t="shared" si="742"/>
        <v>3.9024399465197335</v>
      </c>
      <c r="HG322" s="28">
        <f t="shared" si="743"/>
        <v>142.90363423207975</v>
      </c>
      <c r="HH322" s="28">
        <f t="shared" si="744"/>
        <v>6.8757275248204817</v>
      </c>
      <c r="HI322" s="28">
        <f t="shared" si="745"/>
        <v>7013.2420753168917</v>
      </c>
      <c r="HJ322" s="28">
        <f t="shared" si="746"/>
        <v>14.123115996928558</v>
      </c>
      <c r="HK322" s="28">
        <f t="shared" si="747"/>
        <v>0</v>
      </c>
      <c r="HL322" s="28">
        <f t="shared" si="748"/>
        <v>3.7166094728759362</v>
      </c>
      <c r="HM322" s="28">
        <f t="shared" si="749"/>
        <v>18.211386417092086</v>
      </c>
      <c r="HN322" s="28">
        <f t="shared" si="750"/>
        <v>2.6016266310131555</v>
      </c>
      <c r="HO322" s="28">
        <f t="shared" si="751"/>
        <v>2.4157961573693583</v>
      </c>
      <c r="HP322" s="28">
        <f t="shared" si="752"/>
        <v>0</v>
      </c>
      <c r="HQ322" s="28">
        <f t="shared" si="753"/>
        <v>1.8583047364379681</v>
      </c>
      <c r="HR322" s="28">
        <f t="shared" si="754"/>
        <v>2.6016266310131555</v>
      </c>
      <c r="HT322" s="4">
        <f>IFERROR(GR322/'McDonough &amp; Sun 1995 values'!C$2,)</f>
        <v>398.20815780813598</v>
      </c>
      <c r="HU322" s="4">
        <f>IFERROR(GS322/'McDonough &amp; Sun 1995 values'!D$2,)</f>
        <v>247.77396485839574</v>
      </c>
      <c r="HV322" s="4">
        <f>IFERROR(GT322/'McDonough &amp; Sun 1995 values'!E$2,)</f>
        <v>2977.229436832587</v>
      </c>
      <c r="HW322" s="4">
        <f>IFERROR(GU322/'McDonough &amp; Sun 1995 values'!F$2,)</f>
        <v>2688.1137696901424</v>
      </c>
      <c r="HX322" s="4">
        <f>IFERROR(GV322/'McDonough &amp; Sun 1995 values'!G$2,)</f>
        <v>1071.0426313460212</v>
      </c>
      <c r="HY322" s="4">
        <f>IFERROR(GW322/'McDonough &amp; Sun 1995 values'!H$2,)</f>
        <v>342.23778896065909</v>
      </c>
      <c r="HZ322" s="4">
        <f>IFERROR(GX322/'McDonough &amp; Sun 1995 values'!I$2,)</f>
        <v>261.16715214803872</v>
      </c>
      <c r="IA322" s="4">
        <f>IFERROR(GY322/'McDonough &amp; Sun 1995 values'!J$2,)</f>
        <v>674.69453120825312</v>
      </c>
      <c r="IB322" s="4">
        <f>IFERROR(GZ322/'McDonough &amp; Sun 1995 values'!K$2,)</f>
        <v>1253.2085954064694</v>
      </c>
      <c r="IC322" s="4">
        <f>IFERROR(HA322/'McDonough &amp; Sun 1995 values'!L$2,)</f>
        <v>563.59331708088814</v>
      </c>
      <c r="ID322" s="4">
        <f>IFERROR(HB322/'McDonough &amp; Sun 1995 values'!M$2,)</f>
        <v>343.85953784482081</v>
      </c>
      <c r="IE322" s="4">
        <f>IFERROR(HC322/'McDonough &amp; Sun 1995 values'!N$2,)</f>
        <v>139.88645704442595</v>
      </c>
      <c r="IF322" s="4">
        <f>IFERROR(HD322/'McDonough &amp; Sun 1995 values'!O$2,)</f>
        <v>200.69691153530056</v>
      </c>
      <c r="IG322" s="4">
        <f>IFERROR(HE322/'McDonough &amp; Sun 1995 values'!P$2,)</f>
        <v>52.636710514868554</v>
      </c>
      <c r="IH322" s="4">
        <f>IFERROR(HF322/'McDonough &amp; Sun 1995 values'!Q$2,)</f>
        <v>13.789540447066198</v>
      </c>
      <c r="II322" s="4">
        <f>IFERROR(HG322/'McDonough &amp; Sun 1995 values'!R$2,)</f>
        <v>13.609869926864738</v>
      </c>
      <c r="IJ322" s="4">
        <f>IFERROR(HH322/'McDonough &amp; Sun 1995 values'!S$2,)</f>
        <v>44.647581330003128</v>
      </c>
      <c r="IK322" s="4">
        <f>IFERROR(HI322/'McDonough &amp; Sun 1995 values'!T$2,)</f>
        <v>5.8201179048272964</v>
      </c>
      <c r="IL322" s="4">
        <f>IFERROR(HJ322/'McDonough &amp; Sun 1995 values'!U$2,)</f>
        <v>25.961610288471611</v>
      </c>
      <c r="IM322" s="4">
        <f>IFERROR(HK322/'McDonough &amp; Sun 1995 values'!V$2,)</f>
        <v>0</v>
      </c>
      <c r="IN322" s="4">
        <f>IFERROR(HL322/'McDonough &amp; Sun 1995 values'!W$2,)</f>
        <v>5.5142573781542081</v>
      </c>
      <c r="IO322" s="4">
        <f>IFERROR(HM322/'McDonough &amp; Sun 1995 values'!X$2,)</f>
        <v>4.2352061435097879</v>
      </c>
      <c r="IP322" s="4">
        <f>IFERROR(HN322/'McDonough &amp; Sun 1995 values'!Y$2,)</f>
        <v>17.460581416195676</v>
      </c>
      <c r="IQ322" s="4">
        <f>IFERROR(HO322/'McDonough &amp; Sun 1995 values'!Z$2,)</f>
        <v>5.5155163410259318</v>
      </c>
      <c r="IR322" s="4">
        <f>IFERROR(HP322/'McDonough &amp; Sun 1995 values'!AA$2,)</f>
        <v>0</v>
      </c>
      <c r="IS322" s="4">
        <f>IFERROR(HQ322/'McDonough &amp; Sun 1995 values'!AB$2,)</f>
        <v>4.213842939768635</v>
      </c>
      <c r="IT322" s="4">
        <f>IFERROR(HR322/'McDonough &amp; Sun 1995 values'!AC$2,)</f>
        <v>38.542616755750451</v>
      </c>
    </row>
    <row r="323" spans="1:254">
      <c r="A323" s="16" t="s">
        <v>672</v>
      </c>
      <c r="B323" s="16" t="s">
        <v>24</v>
      </c>
      <c r="C323" s="16" t="s">
        <v>1369</v>
      </c>
      <c r="D323" s="16" t="s">
        <v>1723</v>
      </c>
      <c r="E323" s="16" t="s">
        <v>237</v>
      </c>
      <c r="F323" s="16" t="s">
        <v>29</v>
      </c>
      <c r="G323" s="16" t="s">
        <v>595</v>
      </c>
      <c r="H323" s="27">
        <v>360</v>
      </c>
      <c r="I323" s="16" t="s">
        <v>735</v>
      </c>
      <c r="J323" s="16" t="s">
        <v>1496</v>
      </c>
      <c r="K323" s="16">
        <v>0</v>
      </c>
      <c r="L323" s="16">
        <v>0</v>
      </c>
      <c r="M323" s="16" t="s">
        <v>81</v>
      </c>
      <c r="N323" s="16">
        <v>34</v>
      </c>
      <c r="O323" s="26">
        <v>9.92</v>
      </c>
      <c r="P323" s="26">
        <v>3.06</v>
      </c>
      <c r="Q323" s="26">
        <v>0.42</v>
      </c>
      <c r="R323" s="26">
        <v>3.45</v>
      </c>
      <c r="S323" s="26">
        <v>47.27</v>
      </c>
      <c r="T323" s="26">
        <v>8.6</v>
      </c>
      <c r="U323" s="26">
        <v>0.79</v>
      </c>
      <c r="V323" s="26">
        <v>13.88</v>
      </c>
      <c r="W323" s="26">
        <v>2.78</v>
      </c>
      <c r="X323" s="26">
        <v>6.43</v>
      </c>
      <c r="Y323" s="26"/>
      <c r="Z323" s="26">
        <v>1.35</v>
      </c>
      <c r="AA323" s="26"/>
      <c r="AB323" s="26"/>
      <c r="AC323" s="26"/>
      <c r="AD323" s="26">
        <v>1.38</v>
      </c>
      <c r="AE323" s="26"/>
      <c r="AF323" s="26">
        <v>0.68</v>
      </c>
      <c r="AG323" s="26"/>
      <c r="AH323" s="26"/>
      <c r="AI323" s="26"/>
      <c r="AJ323" s="26">
        <f t="shared" si="769"/>
        <v>98.119999999999976</v>
      </c>
      <c r="AK323" s="26">
        <f t="shared" si="759"/>
        <v>10.142157803692195</v>
      </c>
      <c r="AL323" s="26">
        <f t="shared" si="759"/>
        <v>3.1285285160582781</v>
      </c>
      <c r="AM323" s="26">
        <f t="shared" si="760"/>
        <v>3.5272625426147255</v>
      </c>
      <c r="AN323" s="26">
        <f t="shared" si="760"/>
        <v>48.328608808521174</v>
      </c>
      <c r="AO323" s="26">
        <f t="shared" si="760"/>
        <v>8.7925964830396044</v>
      </c>
      <c r="AP323" s="26">
        <f t="shared" si="761"/>
        <v>14.190841765649969</v>
      </c>
      <c r="AQ323" s="26">
        <f t="shared" si="762"/>
        <v>0</v>
      </c>
      <c r="AR323" s="26">
        <f t="shared" si="763"/>
        <v>2.8422579328895465</v>
      </c>
      <c r="AS323" s="26">
        <f t="shared" si="763"/>
        <v>6.573999463481937</v>
      </c>
      <c r="AT323" s="26">
        <f t="shared" si="764"/>
        <v>1.3802331688492404</v>
      </c>
      <c r="AU323" s="26">
        <f t="shared" si="765"/>
        <v>1.4109050170458899</v>
      </c>
      <c r="AV323" s="26">
        <f t="shared" si="766"/>
        <v>100.31739150184256</v>
      </c>
      <c r="AW323" s="16"/>
      <c r="AX323" s="16"/>
      <c r="AY323" s="16"/>
      <c r="AZ323" s="16"/>
      <c r="BA323" s="26"/>
      <c r="BB323" s="26">
        <v>0.08</v>
      </c>
      <c r="BC323" s="26">
        <f t="shared" si="767"/>
        <v>7.999999999999996E-2</v>
      </c>
      <c r="BD323" s="26">
        <f t="shared" si="768"/>
        <v>0.92</v>
      </c>
      <c r="BE323" s="25"/>
      <c r="BF323" s="16"/>
      <c r="BG323" s="16">
        <v>133</v>
      </c>
      <c r="BH323" s="16"/>
      <c r="BI323" s="16"/>
      <c r="BJ323" s="16"/>
      <c r="BK323" s="18"/>
      <c r="BL323" s="18"/>
      <c r="BM323" s="18"/>
      <c r="BN323" s="18">
        <v>26</v>
      </c>
      <c r="BO323" s="18">
        <v>34</v>
      </c>
      <c r="BP323" s="18">
        <v>11</v>
      </c>
      <c r="BQ323" s="18"/>
      <c r="BR323" s="18">
        <v>77</v>
      </c>
      <c r="BS323" s="18">
        <v>152</v>
      </c>
      <c r="BT323" s="18">
        <v>7.97</v>
      </c>
      <c r="BU323" s="18"/>
      <c r="BV323" s="18">
        <v>0.94</v>
      </c>
      <c r="BW323" s="18">
        <v>54</v>
      </c>
      <c r="BX323" s="18">
        <v>0.22600000000000001</v>
      </c>
      <c r="BY323" s="18">
        <v>2.99</v>
      </c>
      <c r="BZ323" s="18"/>
      <c r="CA323" s="18">
        <v>5.1999999999999998E-2</v>
      </c>
      <c r="CB323" s="18">
        <v>1.2E-2</v>
      </c>
      <c r="CC323" s="18"/>
      <c r="CD323" s="18"/>
      <c r="CE323" s="18"/>
      <c r="CF323" s="18"/>
      <c r="CG323" s="18"/>
      <c r="CH323" s="18">
        <v>0.26</v>
      </c>
      <c r="CI323" s="18">
        <v>1.77</v>
      </c>
      <c r="CJ323" s="18">
        <v>2.7E-2</v>
      </c>
      <c r="CK323" s="18">
        <v>0.26</v>
      </c>
      <c r="CL323" s="18"/>
      <c r="CM323" s="18">
        <v>0.48799999999999999</v>
      </c>
      <c r="CN323" s="18"/>
      <c r="CO323" s="18"/>
      <c r="CP323" s="18"/>
      <c r="CQ323" s="18"/>
      <c r="CR323" s="18">
        <v>6.0000000000000001E-3</v>
      </c>
      <c r="CS323" s="18">
        <v>3.96</v>
      </c>
      <c r="CT323" s="18">
        <v>0.13800000000000001</v>
      </c>
      <c r="CU323" s="18">
        <v>0.26</v>
      </c>
      <c r="CV323" s="18">
        <v>0.373</v>
      </c>
      <c r="CW323" s="18">
        <v>4.3999999999999997E-2</v>
      </c>
      <c r="CX323" s="18">
        <v>0.1</v>
      </c>
      <c r="CY323" s="18">
        <v>2.1999999999999999E-2</v>
      </c>
      <c r="CZ323" s="18">
        <v>4.0000000000000001E-3</v>
      </c>
      <c r="DA323" s="18">
        <v>1.2999999999999999E-2</v>
      </c>
      <c r="DB323" s="18">
        <v>8.0000000000000002E-3</v>
      </c>
      <c r="DC323" s="18">
        <v>4.0000000000000001E-3</v>
      </c>
      <c r="DD323" s="18">
        <v>6.0000000000000001E-3</v>
      </c>
      <c r="DE323" s="18"/>
      <c r="DF323" s="18" t="s">
        <v>1366</v>
      </c>
      <c r="DG323" s="18">
        <v>5.0000000000000001E-3</v>
      </c>
      <c r="DH323" s="18">
        <v>1.2E-2</v>
      </c>
      <c r="DI323" s="18">
        <v>2.1000000000000001E-2</v>
      </c>
      <c r="DJ323" s="18"/>
      <c r="DK323" s="18">
        <v>0.82</v>
      </c>
      <c r="DL323" s="18">
        <v>3.3000000000000002E-2</v>
      </c>
      <c r="DM323" s="18">
        <v>1.2999999999999999E-2</v>
      </c>
      <c r="DN323" s="18"/>
      <c r="DO323" s="18"/>
      <c r="DP323" s="18"/>
      <c r="DQ323" s="18"/>
      <c r="DR323" s="18"/>
      <c r="DS323" s="18"/>
      <c r="DT323" s="18"/>
      <c r="DU323" s="18"/>
      <c r="DV323" s="28"/>
      <c r="DW323" s="28"/>
      <c r="DX323" s="28"/>
      <c r="DY323" s="28"/>
      <c r="DZ323" s="28"/>
      <c r="EA323" s="28"/>
      <c r="EB323" s="28"/>
      <c r="EC323" s="28"/>
      <c r="ED323" s="28"/>
      <c r="EE323" s="28"/>
      <c r="EF323" s="28"/>
      <c r="EG323" s="28"/>
      <c r="EH323" s="28"/>
      <c r="EI323" s="28"/>
      <c r="EJ323" s="18"/>
      <c r="EK323" s="18"/>
      <c r="EL323" s="18">
        <f>IFERROR(CR323/'McDonough &amp; Sun 1995 values'!C$2,)</f>
        <v>0.2857142857142857</v>
      </c>
      <c r="EM323" s="18">
        <f>IFERROR(CH323/'McDonough &amp; Sun 1995 values'!D$2,)</f>
        <v>0.43333333333333335</v>
      </c>
      <c r="EN323" s="18">
        <f>IFERROR(CS323/'McDonough &amp; Sun 1995 values'!E$2,)</f>
        <v>0.6</v>
      </c>
      <c r="EO323" s="18">
        <f>IFERROR(DL323/'McDonough &amp; Sun 1995 values'!F$2,)</f>
        <v>0.41509433962264153</v>
      </c>
      <c r="EP323" s="18">
        <f>IFERROR(DM323/'McDonough &amp; Sun 1995 values'!G$2,)</f>
        <v>0.64039408866995073</v>
      </c>
      <c r="EQ323" s="18">
        <f>IFERROR(BR323/'McDonough &amp; Sun 1995 values'!H$2,)</f>
        <v>0.32083333333333336</v>
      </c>
      <c r="ER323" s="18">
        <f>IFERROR(DI323/'McDonough &amp; Sun 1995 values'!I$2,)</f>
        <v>0.56756756756756765</v>
      </c>
      <c r="ES323" s="18">
        <f>IFERROR(CM323/'McDonough &amp; Sun 1995 values'!J$2,)</f>
        <v>0.74164133738601823</v>
      </c>
      <c r="ET323" s="18">
        <f>IFERROR(CU323/'McDonough &amp; Sun 1995 values'!K$2,)</f>
        <v>0.40123456790123457</v>
      </c>
      <c r="EU323" s="18">
        <f>IFERROR(CV323/'McDonough &amp; Sun 1995 values'!L$2,)</f>
        <v>0.22268656716417909</v>
      </c>
      <c r="EV323" s="18">
        <f>IFERROR(CW323/'McDonough &amp; Sun 1995 values'!M$2,)</f>
        <v>0.17322834645669291</v>
      </c>
      <c r="EW323" s="18">
        <f>IFERROR(CI323/'McDonough &amp; Sun 1995 values'!N$2,)</f>
        <v>8.8944723618090457E-2</v>
      </c>
      <c r="EX323" s="18">
        <f>IFERROR(CX323/'McDonough &amp; Sun 1995 values'!O$2,)</f>
        <v>0.08</v>
      </c>
      <c r="EY323" s="18">
        <f>IFERROR(CY323/'McDonough &amp; Sun 1995 values'!P$2,)</f>
        <v>5.4187192118226597E-2</v>
      </c>
      <c r="EZ323" s="18">
        <f>IFERROR(DH323/'McDonough &amp; Sun 1995 values'!Q$2,)</f>
        <v>4.2402826855123678E-2</v>
      </c>
      <c r="FA323" s="18">
        <f>IFERROR(CK323/'McDonough &amp; Sun 1995 values'!R$2,)</f>
        <v>2.4761904761904763E-2</v>
      </c>
      <c r="FB323" s="18">
        <f>IFERROR(CZ323/'McDonough &amp; Sun 1995 values'!S$2,)</f>
        <v>2.5974025974025976E-2</v>
      </c>
      <c r="FC323" s="18">
        <f>IFERROR(BT323/'McDonough &amp; Sun 1995 values'!T$2,)</f>
        <v>6.6141078838174274E-3</v>
      </c>
      <c r="FD323" s="18">
        <f>IFERROR(DA323/'McDonough &amp; Sun 1995 values'!U$2,)</f>
        <v>2.389705882352941E-2</v>
      </c>
      <c r="FE323" s="18">
        <f>IFERROR(DN323/'McDonough &amp; Sun 1995 values'!V$2,)</f>
        <v>0</v>
      </c>
      <c r="FF323" s="18">
        <f>IFERROR(DB323/'McDonough &amp; Sun 1995 values'!W$2,)</f>
        <v>1.1869436201780414E-2</v>
      </c>
      <c r="FG323" s="18">
        <f>IFERROR(CJ323/'McDonough &amp; Sun 1995 values'!X$2,)</f>
        <v>6.2790697674418609E-3</v>
      </c>
      <c r="FH323" s="18">
        <f>IFERROR(DC323/'McDonough &amp; Sun 1995 values'!Y$2,)</f>
        <v>2.684563758389262E-2</v>
      </c>
      <c r="FI323" s="18">
        <f>IFERROR(DD323/'McDonough &amp; Sun 1995 values'!Z$2,)</f>
        <v>1.3698630136986302E-2</v>
      </c>
      <c r="FJ323" s="18">
        <f>IFERROR(DE323/'McDonough &amp; Sun 1995 values'!AA$2,)</f>
        <v>0</v>
      </c>
      <c r="FK323" s="18">
        <f>IFERROR(DF323/'McDonough &amp; Sun 1995 values'!AB$2,)</f>
        <v>0</v>
      </c>
      <c r="FL323" s="18">
        <f>IFERROR(DG323/'McDonough &amp; Sun 1995 values'!AC$2,)</f>
        <v>7.407407407407407E-2</v>
      </c>
      <c r="FN323" s="28">
        <f t="shared" si="758"/>
        <v>1.9960335231271189</v>
      </c>
      <c r="FO323" s="4">
        <f t="shared" si="699"/>
        <v>0.93692307692307686</v>
      </c>
      <c r="FP323" s="4">
        <f t="shared" si="700"/>
        <v>0.55969687596659456</v>
      </c>
      <c r="FQ323" s="4">
        <f t="shared" si="701"/>
        <v>0.64818577648766329</v>
      </c>
      <c r="FR323" s="4">
        <f t="shared" si="702"/>
        <v>0.54100890507994337</v>
      </c>
      <c r="FS323" s="4">
        <f t="shared" si="703"/>
        <v>0.70693709582598463</v>
      </c>
      <c r="FT323" s="4">
        <f t="shared" si="704"/>
        <v>1.5166666666666668</v>
      </c>
      <c r="FU323" s="4">
        <f t="shared" si="705"/>
        <v>0.76528577758085969</v>
      </c>
      <c r="FV323" s="4">
        <f t="shared" si="706"/>
        <v>0.45696969696969703</v>
      </c>
      <c r="FW323" s="4">
        <f t="shared" si="707"/>
        <v>0.58396825396825391</v>
      </c>
      <c r="FX323" s="4">
        <f t="shared" si="708"/>
        <v>0.66528206804212853</v>
      </c>
      <c r="FY323" s="4">
        <f t="shared" si="709"/>
        <v>0.75555436080686256</v>
      </c>
      <c r="FZ323" s="4">
        <f t="shared" si="710"/>
        <v>0.7218030628194434</v>
      </c>
      <c r="GA323" s="4">
        <f t="shared" si="711"/>
        <v>0.51345363179534043</v>
      </c>
      <c r="GB323" s="4">
        <f t="shared" si="712"/>
        <v>0.47933884297520668</v>
      </c>
      <c r="GC323" s="4">
        <f t="shared" si="713"/>
        <v>0.65934065934065933</v>
      </c>
      <c r="GD323" s="4">
        <f t="shared" si="714"/>
        <v>1.4454545454545453</v>
      </c>
      <c r="GE323" s="4">
        <f t="shared" si="715"/>
        <v>1.3846153846153846</v>
      </c>
      <c r="GF323" s="4">
        <f t="shared" si="716"/>
        <v>1.8701298701298699</v>
      </c>
      <c r="GG323" s="4">
        <f t="shared" si="717"/>
        <v>0.80901639344262288</v>
      </c>
      <c r="GH323" s="4">
        <f t="shared" si="718"/>
        <v>2.3162177328843998</v>
      </c>
      <c r="GI323" s="4">
        <f t="shared" si="719"/>
        <v>7.4046015712682385</v>
      </c>
      <c r="GJ323" s="4">
        <f t="shared" si="720"/>
        <v>33.80401234567902</v>
      </c>
      <c r="GK323" s="4">
        <f t="shared" si="721"/>
        <v>0</v>
      </c>
      <c r="GL323" s="4">
        <f t="shared" si="722"/>
        <v>3.7438011591085618</v>
      </c>
      <c r="GM323" s="4">
        <f t="shared" si="723"/>
        <v>0.9579100145137881</v>
      </c>
      <c r="GN323" s="4">
        <f t="shared" si="724"/>
        <v>1.8483984101005377</v>
      </c>
      <c r="GO323" s="4">
        <f t="shared" si="725"/>
        <v>1.15810147299509</v>
      </c>
      <c r="GP323" s="4">
        <f t="shared" si="726"/>
        <v>0.50099358974358976</v>
      </c>
      <c r="GQ323" s="27">
        <f t="shared" si="727"/>
        <v>54573.221957811889</v>
      </c>
      <c r="GR323" s="28">
        <f t="shared" si="728"/>
        <v>4.2524588538554715</v>
      </c>
      <c r="GS323" s="28">
        <f t="shared" si="729"/>
        <v>184.27321700040378</v>
      </c>
      <c r="GT323" s="28">
        <f t="shared" si="730"/>
        <v>2806.6228435446114</v>
      </c>
      <c r="GU323" s="28">
        <f t="shared" si="731"/>
        <v>23.388523696205098</v>
      </c>
      <c r="GV323" s="28">
        <f t="shared" si="732"/>
        <v>9.2136608500201902</v>
      </c>
      <c r="GW323" s="28">
        <f t="shared" si="733"/>
        <v>54573.221957811889</v>
      </c>
      <c r="GX323" s="28">
        <f t="shared" si="734"/>
        <v>14.883605988494152</v>
      </c>
      <c r="GY323" s="28">
        <f t="shared" si="735"/>
        <v>345.8666534469117</v>
      </c>
      <c r="GZ323" s="28">
        <f t="shared" si="736"/>
        <v>184.27321700040378</v>
      </c>
      <c r="HA323" s="28">
        <f t="shared" si="737"/>
        <v>264.36119208134852</v>
      </c>
      <c r="HB323" s="28">
        <f t="shared" si="738"/>
        <v>31.18469826160679</v>
      </c>
      <c r="HC323" s="28">
        <f t="shared" si="739"/>
        <v>1254.4753618873642</v>
      </c>
      <c r="HD323" s="28">
        <f t="shared" si="740"/>
        <v>70.874314230924526</v>
      </c>
      <c r="HE323" s="28">
        <f t="shared" si="741"/>
        <v>15.592349130803395</v>
      </c>
      <c r="HF323" s="28">
        <f t="shared" si="742"/>
        <v>8.504917707710943</v>
      </c>
      <c r="HG323" s="28">
        <f t="shared" si="743"/>
        <v>184.27321700040378</v>
      </c>
      <c r="HH323" s="28">
        <f t="shared" si="744"/>
        <v>2.8349725692369816</v>
      </c>
      <c r="HI323" s="28">
        <f t="shared" si="745"/>
        <v>5648.6828442046854</v>
      </c>
      <c r="HJ323" s="28">
        <f t="shared" si="746"/>
        <v>9.2136608500201902</v>
      </c>
      <c r="HK323" s="28">
        <f t="shared" si="747"/>
        <v>0</v>
      </c>
      <c r="HL323" s="28">
        <f t="shared" si="748"/>
        <v>5.6699451384739632</v>
      </c>
      <c r="HM323" s="28">
        <f t="shared" si="749"/>
        <v>19.136064842349626</v>
      </c>
      <c r="HN323" s="28">
        <f t="shared" si="750"/>
        <v>2.8349725692369816</v>
      </c>
      <c r="HO323" s="28">
        <f t="shared" si="751"/>
        <v>4.2524588538554715</v>
      </c>
      <c r="HP323" s="28">
        <f t="shared" si="752"/>
        <v>0</v>
      </c>
      <c r="HQ323" s="28" t="str">
        <f t="shared" si="753"/>
        <v/>
      </c>
      <c r="HR323" s="28">
        <f t="shared" si="754"/>
        <v>3.5437157115462266</v>
      </c>
      <c r="HT323" s="4">
        <f>IFERROR(GR323/'McDonough &amp; Sun 1995 values'!C$2,)</f>
        <v>202.49804065978435</v>
      </c>
      <c r="HU323" s="4">
        <f>IFERROR(GS323/'McDonough &amp; Sun 1995 values'!D$2,)</f>
        <v>307.1220283340063</v>
      </c>
      <c r="HV323" s="4">
        <f>IFERROR(GT323/'McDonough &amp; Sun 1995 values'!E$2,)</f>
        <v>425.24588538554718</v>
      </c>
      <c r="HW323" s="4">
        <f>IFERROR(GU323/'McDonough &amp; Sun 1995 values'!F$2,)</f>
        <v>294.19526661893207</v>
      </c>
      <c r="HX323" s="4">
        <f>IFERROR(GV323/'McDonough &amp; Sun 1995 values'!G$2,)</f>
        <v>453.87491872020644</v>
      </c>
      <c r="HY323" s="4">
        <f>IFERROR(GW323/'McDonough &amp; Sun 1995 values'!H$2,)</f>
        <v>227.3884248242162</v>
      </c>
      <c r="HZ323" s="4">
        <f>IFERROR(GX323/'McDonough &amp; Sun 1995 values'!I$2,)</f>
        <v>402.25962131065279</v>
      </c>
      <c r="IA323" s="4">
        <f>IFERROR(GY323/'McDonough &amp; Sun 1995 values'!J$2,)</f>
        <v>525.63321192539775</v>
      </c>
      <c r="IB323" s="4">
        <f>IFERROR(GZ323/'McDonough &amp; Sun 1995 values'!K$2,)</f>
        <v>284.37224845741321</v>
      </c>
      <c r="IC323" s="4">
        <f>IFERROR(HA323/'McDonough &amp; Sun 1995 values'!L$2,)</f>
        <v>157.82757736199912</v>
      </c>
      <c r="ID323" s="4">
        <f>IFERROR(HB323/'McDonough &amp; Sun 1995 values'!M$2,)</f>
        <v>122.77440260475115</v>
      </c>
      <c r="IE323" s="4">
        <f>IFERROR(HC323/'McDonough &amp; Sun 1995 values'!N$2,)</f>
        <v>63.038962908912779</v>
      </c>
      <c r="IF323" s="4">
        <f>IFERROR(HD323/'McDonough &amp; Sun 1995 values'!O$2,)</f>
        <v>56.699451384739618</v>
      </c>
      <c r="IG323" s="4">
        <f>IFERROR(HE323/'McDonough &amp; Sun 1995 values'!P$2,)</f>
        <v>38.404800814786682</v>
      </c>
      <c r="IH323" s="4">
        <f>IFERROR(HF323/'McDonough &amp; Sun 1995 values'!Q$2,)</f>
        <v>30.052712748095207</v>
      </c>
      <c r="II323" s="4">
        <f>IFERROR(HG323/'McDonough &amp; Sun 1995 values'!R$2,)</f>
        <v>17.549830190514644</v>
      </c>
      <c r="IJ323" s="4">
        <f>IFERROR(HH323/'McDonough &amp; Sun 1995 values'!S$2,)</f>
        <v>18.408912787253126</v>
      </c>
      <c r="IK323" s="4">
        <f>IFERROR(HI323/'McDonough &amp; Sun 1995 values'!T$2,)</f>
        <v>4.6877036051491165</v>
      </c>
      <c r="IL323" s="4">
        <f>IFERROR(HJ323/'McDonough &amp; Sun 1995 values'!U$2,)</f>
        <v>16.936876562537112</v>
      </c>
      <c r="IM323" s="4">
        <f>IFERROR(HK323/'McDonough &amp; Sun 1995 values'!V$2,)</f>
        <v>0</v>
      </c>
      <c r="IN323" s="4">
        <f>IFERROR(HL323/'McDonough &amp; Sun 1995 values'!W$2,)</f>
        <v>8.4123815110889648</v>
      </c>
      <c r="IO323" s="4">
        <f>IFERROR(HM323/'McDonough &amp; Sun 1995 values'!X$2,)</f>
        <v>4.4502476377557274</v>
      </c>
      <c r="IP323" s="4">
        <f>IFERROR(HN323/'McDonough &amp; Sun 1995 values'!Y$2,)</f>
        <v>19.026661538503234</v>
      </c>
      <c r="IQ323" s="4">
        <f>IFERROR(HO323/'McDonough &amp; Sun 1995 values'!Z$2,)</f>
        <v>9.7088101686197987</v>
      </c>
      <c r="IR323" s="4">
        <f>IFERROR(HP323/'McDonough &amp; Sun 1995 values'!AA$2,)</f>
        <v>0</v>
      </c>
      <c r="IS323" s="4">
        <f>IFERROR(HQ323/'McDonough &amp; Sun 1995 values'!AB$2,)</f>
        <v>0</v>
      </c>
      <c r="IT323" s="4">
        <f>IFERROR(HR323/'McDonough &amp; Sun 1995 values'!AC$2,)</f>
        <v>52.499492022907056</v>
      </c>
    </row>
    <row r="324" spans="1:254">
      <c r="A324" s="16" t="s">
        <v>672</v>
      </c>
      <c r="B324" s="16" t="s">
        <v>24</v>
      </c>
      <c r="C324" s="16" t="s">
        <v>1369</v>
      </c>
      <c r="D324" s="16" t="s">
        <v>1723</v>
      </c>
      <c r="E324" s="16" t="s">
        <v>237</v>
      </c>
      <c r="F324" s="16" t="s">
        <v>29</v>
      </c>
      <c r="G324" s="16" t="s">
        <v>595</v>
      </c>
      <c r="H324" s="27">
        <v>360</v>
      </c>
      <c r="I324" s="16" t="s">
        <v>735</v>
      </c>
      <c r="J324" s="16" t="s">
        <v>1496</v>
      </c>
      <c r="K324" s="16">
        <v>0</v>
      </c>
      <c r="L324" s="16">
        <v>0</v>
      </c>
      <c r="M324" s="16" t="s">
        <v>86</v>
      </c>
      <c r="N324" s="16">
        <v>25</v>
      </c>
      <c r="O324" s="26">
        <v>31.79</v>
      </c>
      <c r="P324" s="26">
        <v>7.2</v>
      </c>
      <c r="Q324" s="26">
        <v>0.1</v>
      </c>
      <c r="R324" s="26">
        <v>7.52</v>
      </c>
      <c r="S324" s="26">
        <v>13.28</v>
      </c>
      <c r="T324" s="26">
        <v>16.41</v>
      </c>
      <c r="U324" s="26">
        <v>0.44</v>
      </c>
      <c r="V324" s="26">
        <v>11.09</v>
      </c>
      <c r="W324" s="26">
        <v>1.57</v>
      </c>
      <c r="X324" s="26">
        <v>5.37</v>
      </c>
      <c r="Y324" s="26"/>
      <c r="Z324" s="26">
        <v>2.88</v>
      </c>
      <c r="AA324" s="26"/>
      <c r="AB324" s="26"/>
      <c r="AC324" s="26"/>
      <c r="AD324" s="26">
        <v>1.6</v>
      </c>
      <c r="AE324" s="26"/>
      <c r="AF324" s="26">
        <v>0.75</v>
      </c>
      <c r="AG324" s="26"/>
      <c r="AH324" s="26"/>
      <c r="AI324" s="26"/>
      <c r="AJ324" s="26">
        <f t="shared" si="769"/>
        <v>98.71</v>
      </c>
      <c r="AK324" s="26">
        <f t="shared" si="759"/>
        <v>32.323254829030745</v>
      </c>
      <c r="AL324" s="26">
        <f t="shared" si="759"/>
        <v>7.3207749219572626</v>
      </c>
      <c r="AM324" s="26">
        <f t="shared" si="760"/>
        <v>7.646142696266474</v>
      </c>
      <c r="AN324" s="26">
        <f t="shared" si="760"/>
        <v>13.502762633832285</v>
      </c>
      <c r="AO324" s="26">
        <f t="shared" si="760"/>
        <v>16.685266176294263</v>
      </c>
      <c r="AP324" s="26">
        <f t="shared" si="761"/>
        <v>11.276026928403619</v>
      </c>
      <c r="AQ324" s="26">
        <f t="shared" si="762"/>
        <v>0</v>
      </c>
      <c r="AR324" s="26">
        <f t="shared" si="763"/>
        <v>1.5963356427045701</v>
      </c>
      <c r="AS324" s="26">
        <f t="shared" si="763"/>
        <v>5.4600779626264586</v>
      </c>
      <c r="AT324" s="26">
        <f t="shared" si="764"/>
        <v>2.9283099687829055</v>
      </c>
      <c r="AU324" s="26">
        <f t="shared" si="765"/>
        <v>1.6268388715460587</v>
      </c>
      <c r="AV324" s="26">
        <f t="shared" si="766"/>
        <v>100.36579063144465</v>
      </c>
      <c r="AW324" s="16"/>
      <c r="AX324" s="16"/>
      <c r="AY324" s="16"/>
      <c r="AZ324" s="16"/>
      <c r="BA324" s="26"/>
      <c r="BB324" s="26">
        <v>0.22</v>
      </c>
      <c r="BC324" s="26">
        <f t="shared" si="767"/>
        <v>0.21999999999999997</v>
      </c>
      <c r="BD324" s="26">
        <f t="shared" si="768"/>
        <v>0.78</v>
      </c>
      <c r="BE324" s="25">
        <v>-5</v>
      </c>
      <c r="BF324" s="16"/>
      <c r="BG324" s="16">
        <v>414</v>
      </c>
      <c r="BH324" s="16"/>
      <c r="BI324" s="16"/>
      <c r="BJ324" s="16"/>
      <c r="BK324" s="18"/>
      <c r="BL324" s="18"/>
      <c r="BM324" s="18"/>
      <c r="BN324" s="18">
        <v>112</v>
      </c>
      <c r="BO324" s="18">
        <v>387</v>
      </c>
      <c r="BP324" s="18">
        <v>125</v>
      </c>
      <c r="BQ324" s="18"/>
      <c r="BR324" s="18">
        <v>401</v>
      </c>
      <c r="BS324" s="18">
        <v>369</v>
      </c>
      <c r="BT324" s="18">
        <v>116.41</v>
      </c>
      <c r="BU324" s="18"/>
      <c r="BV324" s="18">
        <v>5.25</v>
      </c>
      <c r="BW324" s="18">
        <v>321</v>
      </c>
      <c r="BX324" s="18">
        <v>0.54200000000000004</v>
      </c>
      <c r="BY324" s="18">
        <v>0.65</v>
      </c>
      <c r="BZ324" s="18"/>
      <c r="CA324" s="18">
        <v>0.188</v>
      </c>
      <c r="CB324" s="18">
        <v>0.152</v>
      </c>
      <c r="CC324" s="18"/>
      <c r="CD324" s="18"/>
      <c r="CE324" s="18"/>
      <c r="CF324" s="18"/>
      <c r="CG324" s="18"/>
      <c r="CH324" s="18">
        <v>1.44</v>
      </c>
      <c r="CI324" s="18">
        <v>13.78</v>
      </c>
      <c r="CJ324" s="18">
        <v>0.17100000000000001</v>
      </c>
      <c r="CK324" s="18">
        <v>2.7189999999999999</v>
      </c>
      <c r="CL324" s="18"/>
      <c r="CM324" s="18">
        <v>3.419</v>
      </c>
      <c r="CN324" s="18"/>
      <c r="CO324" s="18"/>
      <c r="CP324" s="18"/>
      <c r="CQ324" s="18"/>
      <c r="CR324" s="18">
        <v>2.1000000000000001E-2</v>
      </c>
      <c r="CS324" s="18">
        <v>21.93</v>
      </c>
      <c r="CT324" s="18">
        <v>3.53</v>
      </c>
      <c r="CU324" s="18">
        <v>2.04</v>
      </c>
      <c r="CV324" s="18">
        <v>3.06</v>
      </c>
      <c r="CW324" s="18">
        <v>0.38</v>
      </c>
      <c r="CX324" s="18">
        <v>1.38</v>
      </c>
      <c r="CY324" s="18">
        <v>0.13700000000000001</v>
      </c>
      <c r="CZ324" s="18">
        <v>3.5999999999999997E-2</v>
      </c>
      <c r="DA324" s="18">
        <v>8.6999999999999994E-2</v>
      </c>
      <c r="DB324" s="18">
        <v>4.4999999999999998E-2</v>
      </c>
      <c r="DC324" s="18">
        <v>6.0000000000000001E-3</v>
      </c>
      <c r="DD324" s="18">
        <v>2.3E-2</v>
      </c>
      <c r="DE324" s="18"/>
      <c r="DF324" s="18">
        <v>1.2999999999999999E-2</v>
      </c>
      <c r="DG324" s="18">
        <v>3.0000000000000001E-3</v>
      </c>
      <c r="DH324" s="18">
        <v>8.4000000000000005E-2</v>
      </c>
      <c r="DI324" s="18">
        <v>0.159</v>
      </c>
      <c r="DJ324" s="18"/>
      <c r="DK324" s="18">
        <v>0.11799999999999999</v>
      </c>
      <c r="DL324" s="18">
        <v>0.30299999999999999</v>
      </c>
      <c r="DM324" s="18">
        <v>0.123</v>
      </c>
      <c r="DN324" s="18"/>
      <c r="DO324" s="18"/>
      <c r="DP324" s="18"/>
      <c r="DQ324" s="18"/>
      <c r="DR324" s="18"/>
      <c r="DS324" s="18"/>
      <c r="DT324" s="18"/>
      <c r="DU324" s="18"/>
      <c r="DV324" s="28"/>
      <c r="DW324" s="28"/>
      <c r="DX324" s="28"/>
      <c r="DY324" s="28"/>
      <c r="DZ324" s="28"/>
      <c r="EA324" s="28"/>
      <c r="EB324" s="28"/>
      <c r="EC324" s="28"/>
      <c r="ED324" s="28"/>
      <c r="EE324" s="28"/>
      <c r="EF324" s="28"/>
      <c r="EG324" s="28"/>
      <c r="EH324" s="28"/>
      <c r="EI324" s="28"/>
      <c r="EJ324" s="18"/>
      <c r="EK324" s="18"/>
      <c r="EL324" s="18">
        <f>IFERROR(CR324/'McDonough &amp; Sun 1995 values'!C$2,)</f>
        <v>1</v>
      </c>
      <c r="EM324" s="18">
        <f>IFERROR(CH324/'McDonough &amp; Sun 1995 values'!D$2,)</f>
        <v>2.4</v>
      </c>
      <c r="EN324" s="18">
        <f>IFERROR(CS324/'McDonough &amp; Sun 1995 values'!E$2,)</f>
        <v>3.3227272727272728</v>
      </c>
      <c r="EO324" s="18">
        <f>IFERROR(DL324/'McDonough &amp; Sun 1995 values'!F$2,)</f>
        <v>3.8113207547169812</v>
      </c>
      <c r="EP324" s="18">
        <f>IFERROR(DM324/'McDonough &amp; Sun 1995 values'!G$2,)</f>
        <v>6.0591133004926112</v>
      </c>
      <c r="EQ324" s="18">
        <f>IFERROR(BR324/'McDonough &amp; Sun 1995 values'!H$2,)</f>
        <v>1.6708333333333334</v>
      </c>
      <c r="ER324" s="18">
        <f>IFERROR(DI324/'McDonough &amp; Sun 1995 values'!I$2,)</f>
        <v>4.2972972972972974</v>
      </c>
      <c r="ES324" s="18">
        <f>IFERROR(CM324/'McDonough &amp; Sun 1995 values'!J$2,)</f>
        <v>5.1960486322188446</v>
      </c>
      <c r="ET324" s="18">
        <f>IFERROR(CU324/'McDonough &amp; Sun 1995 values'!K$2,)</f>
        <v>3.1481481481481479</v>
      </c>
      <c r="EU324" s="18">
        <f>IFERROR(CV324/'McDonough &amp; Sun 1995 values'!L$2,)</f>
        <v>1.826865671641791</v>
      </c>
      <c r="EV324" s="18">
        <f>IFERROR(CW324/'McDonough &amp; Sun 1995 values'!M$2,)</f>
        <v>1.4960629921259843</v>
      </c>
      <c r="EW324" s="18">
        <f>IFERROR(CI324/'McDonough &amp; Sun 1995 values'!N$2,)</f>
        <v>0.69246231155778892</v>
      </c>
      <c r="EX324" s="18">
        <f>IFERROR(CX324/'McDonough &amp; Sun 1995 values'!O$2,)</f>
        <v>1.1039999999999999</v>
      </c>
      <c r="EY324" s="18">
        <f>IFERROR(CY324/'McDonough &amp; Sun 1995 values'!P$2,)</f>
        <v>0.33743842364532017</v>
      </c>
      <c r="EZ324" s="18">
        <f>IFERROR(DH324/'McDonough &amp; Sun 1995 values'!Q$2,)</f>
        <v>0.29681978798586578</v>
      </c>
      <c r="FA324" s="18">
        <f>IFERROR(CK324/'McDonough &amp; Sun 1995 values'!R$2,)</f>
        <v>0.25895238095238093</v>
      </c>
      <c r="FB324" s="18">
        <f>IFERROR(CZ324/'McDonough &amp; Sun 1995 values'!S$2,)</f>
        <v>0.23376623376623376</v>
      </c>
      <c r="FC324" s="18">
        <f>IFERROR(BT324/'McDonough &amp; Sun 1995 values'!T$2,)</f>
        <v>9.6605809128630704E-2</v>
      </c>
      <c r="FD324" s="18">
        <f>IFERROR(DA324/'McDonough &amp; Sun 1995 values'!U$2,)</f>
        <v>0.15992647058823528</v>
      </c>
      <c r="FE324" s="18">
        <f>IFERROR(DN324/'McDonough &amp; Sun 1995 values'!V$2,)</f>
        <v>0</v>
      </c>
      <c r="FF324" s="18">
        <f>IFERROR(DB324/'McDonough &amp; Sun 1995 values'!W$2,)</f>
        <v>6.6765578635014824E-2</v>
      </c>
      <c r="FG324" s="18">
        <f>IFERROR(CJ324/'McDonough &amp; Sun 1995 values'!X$2,)</f>
        <v>3.9767441860465123E-2</v>
      </c>
      <c r="FH324" s="18">
        <f>IFERROR(DC324/'McDonough &amp; Sun 1995 values'!Y$2,)</f>
        <v>4.0268456375838931E-2</v>
      </c>
      <c r="FI324" s="18">
        <f>IFERROR(DD324/'McDonough &amp; Sun 1995 values'!Z$2,)</f>
        <v>5.2511415525114152E-2</v>
      </c>
      <c r="FJ324" s="18">
        <f>IFERROR(DE324/'McDonough &amp; Sun 1995 values'!AA$2,)</f>
        <v>0</v>
      </c>
      <c r="FK324" s="18">
        <f>IFERROR(DF324/'McDonough &amp; Sun 1995 values'!AB$2,)</f>
        <v>2.9478458049886618E-2</v>
      </c>
      <c r="FL324" s="18">
        <f>IFERROR(DG324/'McDonough &amp; Sun 1995 values'!AC$2,)</f>
        <v>4.4444444444444439E-2</v>
      </c>
      <c r="FN324" s="28">
        <f t="shared" si="758"/>
        <v>3.6264019753571737</v>
      </c>
      <c r="FO324" s="4">
        <f t="shared" si="699"/>
        <v>0.54838507021433847</v>
      </c>
      <c r="FP324" s="4">
        <f t="shared" si="700"/>
        <v>0.73350367259542959</v>
      </c>
      <c r="FQ324" s="4">
        <f t="shared" si="701"/>
        <v>0.6290228562662985</v>
      </c>
      <c r="FR324" s="4">
        <f t="shared" si="702"/>
        <v>0.60587349560733594</v>
      </c>
      <c r="FS324" s="4">
        <f t="shared" si="703"/>
        <v>0.73258793384579546</v>
      </c>
      <c r="FT324" s="4">
        <f t="shared" si="704"/>
        <v>2.4</v>
      </c>
      <c r="FU324" s="4">
        <f t="shared" si="705"/>
        <v>0.82703176999754957</v>
      </c>
      <c r="FV324" s="4">
        <f t="shared" si="706"/>
        <v>0.76740632603406322</v>
      </c>
      <c r="FW324" s="4">
        <f t="shared" si="707"/>
        <v>0.87242290249433085</v>
      </c>
      <c r="FX324" s="4">
        <f t="shared" si="708"/>
        <v>0.94001903422021771</v>
      </c>
      <c r="FY324" s="4">
        <f t="shared" si="709"/>
        <v>0.5388112618580686</v>
      </c>
      <c r="FZ324" s="4">
        <f t="shared" si="710"/>
        <v>1.0062927336072076</v>
      </c>
      <c r="GA324" s="4">
        <f t="shared" si="711"/>
        <v>0.46285638719915367</v>
      </c>
      <c r="GB324" s="4">
        <f t="shared" si="712"/>
        <v>0.69276708692767086</v>
      </c>
      <c r="GC324" s="4">
        <f t="shared" si="713"/>
        <v>0.41666666666666669</v>
      </c>
      <c r="GD324" s="4">
        <f t="shared" si="714"/>
        <v>0.87180468046804682</v>
      </c>
      <c r="GE324" s="4">
        <f t="shared" si="715"/>
        <v>1.384469696969697</v>
      </c>
      <c r="GF324" s="4">
        <f t="shared" si="716"/>
        <v>1.9886647018816594</v>
      </c>
      <c r="GG324" s="4">
        <f t="shared" si="717"/>
        <v>0.63947193490919729</v>
      </c>
      <c r="GH324" s="4">
        <f t="shared" si="718"/>
        <v>2.104288499025341</v>
      </c>
      <c r="GI324" s="4">
        <f t="shared" si="719"/>
        <v>9.3295485266288178</v>
      </c>
      <c r="GJ324" s="4">
        <f t="shared" si="720"/>
        <v>47.152263374485599</v>
      </c>
      <c r="GK324" s="4">
        <f t="shared" si="721"/>
        <v>106.7948717948718</v>
      </c>
      <c r="GL324" s="4">
        <f t="shared" si="722"/>
        <v>2.6805052748700202</v>
      </c>
      <c r="GM324" s="4">
        <f t="shared" si="723"/>
        <v>1.5880503144654088</v>
      </c>
      <c r="GN324" s="4">
        <f t="shared" si="724"/>
        <v>1.6505095655283391</v>
      </c>
      <c r="GO324" s="4">
        <f t="shared" si="725"/>
        <v>0.85755924580522391</v>
      </c>
      <c r="GP324" s="4">
        <f t="shared" si="726"/>
        <v>0.27575542005420056</v>
      </c>
      <c r="GQ324" s="27">
        <f t="shared" si="727"/>
        <v>45326.144034022836</v>
      </c>
      <c r="GR324" s="28">
        <f t="shared" si="728"/>
        <v>2.3736883409338643</v>
      </c>
      <c r="GS324" s="28">
        <f t="shared" si="729"/>
        <v>162.76720052117926</v>
      </c>
      <c r="GT324" s="28">
        <f t="shared" si="730"/>
        <v>2478.8088246037923</v>
      </c>
      <c r="GU324" s="28">
        <f t="shared" si="731"/>
        <v>34.248931776331467</v>
      </c>
      <c r="GV324" s="28">
        <f t="shared" si="732"/>
        <v>13.903031711184061</v>
      </c>
      <c r="GW324" s="28">
        <f t="shared" si="733"/>
        <v>45326.144034022836</v>
      </c>
      <c r="GX324" s="28">
        <f t="shared" si="734"/>
        <v>17.972211724213544</v>
      </c>
      <c r="GY324" s="28">
        <f t="shared" si="735"/>
        <v>386.45906845966101</v>
      </c>
      <c r="GZ324" s="28">
        <f t="shared" si="736"/>
        <v>230.58686740500394</v>
      </c>
      <c r="HA324" s="28">
        <f t="shared" si="737"/>
        <v>345.88030110750594</v>
      </c>
      <c r="HB324" s="28">
        <f t="shared" si="738"/>
        <v>42.952455693088972</v>
      </c>
      <c r="HC324" s="28">
        <f t="shared" si="739"/>
        <v>1557.5916827651736</v>
      </c>
      <c r="HD324" s="28">
        <f t="shared" si="740"/>
        <v>155.98523383279678</v>
      </c>
      <c r="HE324" s="28">
        <f t="shared" si="741"/>
        <v>15.485490605139972</v>
      </c>
      <c r="HF324" s="28">
        <f t="shared" si="742"/>
        <v>9.4947533637354571</v>
      </c>
      <c r="HG324" s="28">
        <f t="shared" si="743"/>
        <v>307.33612376186551</v>
      </c>
      <c r="HH324" s="28">
        <f t="shared" si="744"/>
        <v>4.0691800130294808</v>
      </c>
      <c r="HI324" s="28">
        <f t="shared" si="745"/>
        <v>13158.145703243386</v>
      </c>
      <c r="HJ324" s="28">
        <f t="shared" si="746"/>
        <v>9.8338516981545805</v>
      </c>
      <c r="HK324" s="28">
        <f t="shared" si="747"/>
        <v>0</v>
      </c>
      <c r="HL324" s="28">
        <f t="shared" si="748"/>
        <v>5.0864750162868519</v>
      </c>
      <c r="HM324" s="28">
        <f t="shared" si="749"/>
        <v>19.328605061890038</v>
      </c>
      <c r="HN324" s="28">
        <f t="shared" si="750"/>
        <v>0.67819666883824692</v>
      </c>
      <c r="HO324" s="28">
        <f t="shared" si="751"/>
        <v>2.5997538972132799</v>
      </c>
      <c r="HP324" s="28">
        <f t="shared" si="752"/>
        <v>0</v>
      </c>
      <c r="HQ324" s="28">
        <f t="shared" si="753"/>
        <v>1.4694261158162019</v>
      </c>
      <c r="HR324" s="28">
        <f t="shared" si="754"/>
        <v>0.33909833441912346</v>
      </c>
      <c r="HT324" s="4">
        <f>IFERROR(GR324/'McDonough &amp; Sun 1995 values'!C$2,)</f>
        <v>113.03277813970782</v>
      </c>
      <c r="HU324" s="4">
        <f>IFERROR(GS324/'McDonough &amp; Sun 1995 values'!D$2,)</f>
        <v>271.27866753529878</v>
      </c>
      <c r="HV324" s="4">
        <f>IFERROR(GT324/'McDonough &amp; Sun 1995 values'!E$2,)</f>
        <v>375.57709463693823</v>
      </c>
      <c r="HW324" s="4">
        <f>IFERROR(GU324/'McDonough &amp; Sun 1995 values'!F$2,)</f>
        <v>430.80417328718823</v>
      </c>
      <c r="HX324" s="4">
        <f>IFERROR(GV324/'McDonough &amp; Sun 1995 values'!G$2,)</f>
        <v>684.87840941793411</v>
      </c>
      <c r="HY324" s="4">
        <f>IFERROR(GW324/'McDonough &amp; Sun 1995 values'!H$2,)</f>
        <v>188.85893347509514</v>
      </c>
      <c r="HZ324" s="4">
        <f>IFERROR(GX324/'McDonough &amp; Sun 1995 values'!I$2,)</f>
        <v>485.73545200577149</v>
      </c>
      <c r="IA324" s="4">
        <f>IFERROR(GY324/'McDonough &amp; Sun 1995 values'!J$2,)</f>
        <v>587.32381224872495</v>
      </c>
      <c r="IB324" s="4">
        <f>IFERROR(GZ324/'McDonough &amp; Sun 1995 values'!K$2,)</f>
        <v>355.84393118056164</v>
      </c>
      <c r="IC324" s="4">
        <f>IFERROR(HA324/'McDonough &amp; Sun 1995 values'!L$2,)</f>
        <v>206.4957021537349</v>
      </c>
      <c r="ID324" s="4">
        <f>IFERROR(HB324/'McDonough &amp; Sun 1995 values'!M$2,)</f>
        <v>169.10415627200382</v>
      </c>
      <c r="IE324" s="4">
        <f>IFERROR(HC324/'McDonough &amp; Sun 1995 values'!N$2,)</f>
        <v>78.270938832420782</v>
      </c>
      <c r="IF324" s="4">
        <f>IFERROR(HD324/'McDonough &amp; Sun 1995 values'!O$2,)</f>
        <v>124.78818706623743</v>
      </c>
      <c r="IG324" s="4">
        <f>IFERROR(HE324/'McDonough &amp; Sun 1995 values'!P$2,)</f>
        <v>38.141602475714215</v>
      </c>
      <c r="IH324" s="4">
        <f>IFERROR(HF324/'McDonough &amp; Sun 1995 values'!Q$2,)</f>
        <v>33.550365242881476</v>
      </c>
      <c r="II324" s="4">
        <f>IFERROR(HG324/'McDonough &amp; Sun 1995 values'!R$2,)</f>
        <v>29.270107024939573</v>
      </c>
      <c r="IJ324" s="4">
        <f>IFERROR(HH324/'McDonough &amp; Sun 1995 values'!S$2,)</f>
        <v>26.423246837853771</v>
      </c>
      <c r="IK324" s="4">
        <f>IFERROR(HI324/'McDonough &amp; Sun 1995 values'!T$2,)</f>
        <v>10.919622990243473</v>
      </c>
      <c r="IL324" s="4">
        <f>IFERROR(HJ324/'McDonough &amp; Sun 1995 values'!U$2,)</f>
        <v>18.076933268666508</v>
      </c>
      <c r="IM324" s="4">
        <f>IFERROR(HK324/'McDonough &amp; Sun 1995 values'!V$2,)</f>
        <v>0</v>
      </c>
      <c r="IN324" s="4">
        <f>IFERROR(HL324/'McDonough &amp; Sun 1995 values'!W$2,)</f>
        <v>7.5466988372208483</v>
      </c>
      <c r="IO324" s="4">
        <f>IFERROR(HM324/'McDonough &amp; Sun 1995 values'!X$2,)</f>
        <v>4.495024432997683</v>
      </c>
      <c r="IP324" s="4">
        <f>IFERROR(HN324/'McDonough &amp; Sun 1995 values'!Y$2,)</f>
        <v>4.5516554955587045</v>
      </c>
      <c r="IQ324" s="4">
        <f>IFERROR(HO324/'McDonough &amp; Sun 1995 values'!Z$2,)</f>
        <v>5.9355111808522372</v>
      </c>
      <c r="IR324" s="4">
        <f>IFERROR(HP324/'McDonough &amp; Sun 1995 values'!AA$2,)</f>
        <v>0</v>
      </c>
      <c r="IS324" s="4">
        <f>IFERROR(HQ324/'McDonough &amp; Sun 1995 values'!AB$2,)</f>
        <v>3.3320320086535191</v>
      </c>
      <c r="IT324" s="4">
        <f>IFERROR(HR324/'McDonough &amp; Sun 1995 values'!AC$2,)</f>
        <v>5.0236790284314585</v>
      </c>
    </row>
    <row r="325" spans="1:254">
      <c r="A325" s="16" t="s">
        <v>672</v>
      </c>
      <c r="B325" s="16" t="s">
        <v>24</v>
      </c>
      <c r="C325" s="16" t="s">
        <v>1369</v>
      </c>
      <c r="D325" s="16" t="s">
        <v>1723</v>
      </c>
      <c r="E325" s="16" t="s">
        <v>237</v>
      </c>
      <c r="F325" s="16" t="s">
        <v>29</v>
      </c>
      <c r="G325" s="16" t="s">
        <v>595</v>
      </c>
      <c r="H325" s="27">
        <v>360</v>
      </c>
      <c r="I325" s="16" t="s">
        <v>735</v>
      </c>
      <c r="J325" s="16" t="s">
        <v>1496</v>
      </c>
      <c r="K325" s="16">
        <v>0</v>
      </c>
      <c r="L325" s="16">
        <v>0</v>
      </c>
      <c r="M325" s="16" t="s">
        <v>90</v>
      </c>
      <c r="N325" s="16">
        <v>24</v>
      </c>
      <c r="O325" s="26">
        <v>12.4</v>
      </c>
      <c r="P325" s="26">
        <v>4.92</v>
      </c>
      <c r="Q325" s="26">
        <v>0.41</v>
      </c>
      <c r="R325" s="26">
        <v>4.75</v>
      </c>
      <c r="S325" s="26">
        <v>37.200000000000003</v>
      </c>
      <c r="T325" s="26">
        <v>10.73</v>
      </c>
      <c r="U325" s="26">
        <v>1.46</v>
      </c>
      <c r="V325" s="26">
        <v>10</v>
      </c>
      <c r="W325" s="26">
        <v>4.1900000000000004</v>
      </c>
      <c r="X325" s="26">
        <v>9.98</v>
      </c>
      <c r="Y325" s="26"/>
      <c r="Z325" s="26">
        <v>1.1499999999999999</v>
      </c>
      <c r="AA325" s="26"/>
      <c r="AB325" s="26"/>
      <c r="AC325" s="26"/>
      <c r="AD325" s="26">
        <v>1.67</v>
      </c>
      <c r="AE325" s="26"/>
      <c r="AF325" s="26">
        <v>1.1299999999999999</v>
      </c>
      <c r="AG325" s="26"/>
      <c r="AH325" s="26"/>
      <c r="AI325" s="26"/>
      <c r="AJ325" s="26">
        <f t="shared" si="769"/>
        <v>96.990000000000009</v>
      </c>
      <c r="AK325" s="26">
        <f t="shared" si="759"/>
        <v>12.834500477824946</v>
      </c>
      <c r="AL325" s="26">
        <f t="shared" si="759"/>
        <v>5.0923985766853823</v>
      </c>
      <c r="AM325" s="26">
        <f t="shared" si="760"/>
        <v>4.9164417152958464</v>
      </c>
      <c r="AN325" s="26">
        <f t="shared" si="760"/>
        <v>38.503501433474838</v>
      </c>
      <c r="AO325" s="26">
        <f t="shared" si="760"/>
        <v>11.10598307476304</v>
      </c>
      <c r="AP325" s="26">
        <f t="shared" si="761"/>
        <v>10.350403611149151</v>
      </c>
      <c r="AQ325" s="26">
        <f t="shared" si="762"/>
        <v>0</v>
      </c>
      <c r="AR325" s="26">
        <f t="shared" si="763"/>
        <v>4.3368191130714946</v>
      </c>
      <c r="AS325" s="26">
        <f t="shared" si="763"/>
        <v>10.329702803926855</v>
      </c>
      <c r="AT325" s="26">
        <f t="shared" si="764"/>
        <v>1.1902964152821525</v>
      </c>
      <c r="AU325" s="26">
        <f t="shared" si="765"/>
        <v>1.7285174030619082</v>
      </c>
      <c r="AV325" s="26">
        <f t="shared" si="766"/>
        <v>100.38856462453562</v>
      </c>
      <c r="AW325" s="16"/>
      <c r="AX325" s="16"/>
      <c r="AY325" s="16"/>
      <c r="AZ325" s="16"/>
      <c r="BA325" s="26"/>
      <c r="BB325" s="26">
        <v>0.05</v>
      </c>
      <c r="BC325" s="26">
        <f t="shared" si="767"/>
        <v>5.0000000000000044E-2</v>
      </c>
      <c r="BD325" s="26">
        <f t="shared" si="768"/>
        <v>0.95</v>
      </c>
      <c r="BE325" s="25"/>
      <c r="BF325" s="16"/>
      <c r="BG325" s="16">
        <v>685</v>
      </c>
      <c r="BH325" s="16">
        <v>13</v>
      </c>
      <c r="BI325" s="16"/>
      <c r="BJ325" s="16"/>
      <c r="BK325" s="18"/>
      <c r="BL325" s="18"/>
      <c r="BM325" s="18"/>
      <c r="BN325" s="18">
        <v>119</v>
      </c>
      <c r="BO325" s="18">
        <v>225</v>
      </c>
      <c r="BP325" s="18">
        <v>38</v>
      </c>
      <c r="BQ325" s="18"/>
      <c r="BR325" s="18">
        <v>567</v>
      </c>
      <c r="BS325" s="18">
        <v>467</v>
      </c>
      <c r="BT325" s="18">
        <v>57.28</v>
      </c>
      <c r="BU325" s="18"/>
      <c r="BV325" s="18">
        <v>4.95</v>
      </c>
      <c r="BW325" s="18">
        <v>366</v>
      </c>
      <c r="BX325" s="18">
        <v>0.83099999999999996</v>
      </c>
      <c r="BY325" s="18">
        <v>1.56</v>
      </c>
      <c r="BZ325" s="18"/>
      <c r="CA325" s="18">
        <v>0.22500000000000001</v>
      </c>
      <c r="CB325" s="18">
        <v>7.6999999999999999E-2</v>
      </c>
      <c r="CC325" s="18"/>
      <c r="CD325" s="18"/>
      <c r="CE325" s="18"/>
      <c r="CF325" s="18"/>
      <c r="CG325" s="18"/>
      <c r="CH325" s="18">
        <v>1.96</v>
      </c>
      <c r="CI325" s="18">
        <v>11.86</v>
      </c>
      <c r="CJ325" s="18">
        <v>0.151</v>
      </c>
      <c r="CK325" s="18">
        <v>1.38</v>
      </c>
      <c r="CL325" s="18"/>
      <c r="CM325" s="18">
        <v>2.1890000000000001</v>
      </c>
      <c r="CN325" s="18"/>
      <c r="CO325" s="18"/>
      <c r="CP325" s="18"/>
      <c r="CQ325" s="18"/>
      <c r="CR325" s="18">
        <v>4.1000000000000002E-2</v>
      </c>
      <c r="CS325" s="18">
        <v>12.08</v>
      </c>
      <c r="CT325" s="18">
        <v>0.38300000000000001</v>
      </c>
      <c r="CU325" s="18">
        <v>0.71599999999999997</v>
      </c>
      <c r="CV325" s="18">
        <v>1.42</v>
      </c>
      <c r="CW325" s="18">
        <v>0.19400000000000001</v>
      </c>
      <c r="CX325" s="18">
        <v>0.79400000000000004</v>
      </c>
      <c r="CY325" s="18">
        <v>9.8000000000000004E-2</v>
      </c>
      <c r="CZ325" s="18">
        <v>0.03</v>
      </c>
      <c r="DA325" s="18">
        <v>7.0000000000000007E-2</v>
      </c>
      <c r="DB325" s="18">
        <v>3.9E-2</v>
      </c>
      <c r="DC325" s="18">
        <v>7.0000000000000001E-3</v>
      </c>
      <c r="DD325" s="18">
        <v>1.0999999999999999E-2</v>
      </c>
      <c r="DE325" s="18"/>
      <c r="DF325" s="18">
        <v>5.0000000000000001E-3</v>
      </c>
      <c r="DG325" s="18">
        <v>1E-3</v>
      </c>
      <c r="DH325" s="18">
        <v>3.2000000000000001E-2</v>
      </c>
      <c r="DI325" s="18">
        <v>4.2999999999999997E-2</v>
      </c>
      <c r="DJ325" s="18"/>
      <c r="DK325" s="18">
        <v>0.22900000000000001</v>
      </c>
      <c r="DL325" s="18">
        <v>4.9000000000000002E-2</v>
      </c>
      <c r="DM325" s="18">
        <v>2.1999999999999999E-2</v>
      </c>
      <c r="DN325" s="18"/>
      <c r="DO325" s="18"/>
      <c r="DP325" s="18"/>
      <c r="DQ325" s="18"/>
      <c r="DR325" s="18"/>
      <c r="DS325" s="18"/>
      <c r="DT325" s="18"/>
      <c r="DU325" s="18"/>
      <c r="DV325" s="28"/>
      <c r="DW325" s="28"/>
      <c r="DX325" s="28"/>
      <c r="DY325" s="28"/>
      <c r="DZ325" s="28"/>
      <c r="EA325" s="28"/>
      <c r="EB325" s="28"/>
      <c r="EC325" s="28"/>
      <c r="ED325" s="28"/>
      <c r="EE325" s="28"/>
      <c r="EF325" s="28"/>
      <c r="EG325" s="28"/>
      <c r="EH325" s="28"/>
      <c r="EI325" s="28"/>
      <c r="EJ325" s="18"/>
      <c r="EK325" s="18"/>
      <c r="EL325" s="18">
        <f>IFERROR(CR325/'McDonough &amp; Sun 1995 values'!C$2,)</f>
        <v>1.9523809523809523</v>
      </c>
      <c r="EM325" s="18">
        <f>IFERROR(CH325/'McDonough &amp; Sun 1995 values'!D$2,)</f>
        <v>3.2666666666666666</v>
      </c>
      <c r="EN325" s="18">
        <f>IFERROR(CS325/'McDonough &amp; Sun 1995 values'!E$2,)</f>
        <v>1.8303030303030303</v>
      </c>
      <c r="EO325" s="18">
        <f>IFERROR(DL325/'McDonough &amp; Sun 1995 values'!F$2,)</f>
        <v>0.61635220125786161</v>
      </c>
      <c r="EP325" s="18">
        <f>IFERROR(DM325/'McDonough &amp; Sun 1995 values'!G$2,)</f>
        <v>1.083743842364532</v>
      </c>
      <c r="EQ325" s="18">
        <f>IFERROR(BR325/'McDonough &amp; Sun 1995 values'!H$2,)</f>
        <v>2.3624999999999998</v>
      </c>
      <c r="ER325" s="18">
        <f>IFERROR(DI325/'McDonough &amp; Sun 1995 values'!I$2,)</f>
        <v>1.1621621621621621</v>
      </c>
      <c r="ES325" s="18">
        <f>IFERROR(CM325/'McDonough &amp; Sun 1995 values'!J$2,)</f>
        <v>3.3267477203647418</v>
      </c>
      <c r="ET325" s="18">
        <f>IFERROR(CU325/'McDonough &amp; Sun 1995 values'!K$2,)</f>
        <v>1.1049382716049383</v>
      </c>
      <c r="EU325" s="18">
        <f>IFERROR(CV325/'McDonough &amp; Sun 1995 values'!L$2,)</f>
        <v>0.84776119402985073</v>
      </c>
      <c r="EV325" s="18">
        <f>IFERROR(CW325/'McDonough &amp; Sun 1995 values'!M$2,)</f>
        <v>0.76377952755905509</v>
      </c>
      <c r="EW325" s="18">
        <f>IFERROR(CI325/'McDonough &amp; Sun 1995 values'!N$2,)</f>
        <v>0.59597989949748742</v>
      </c>
      <c r="EX325" s="18">
        <f>IFERROR(CX325/'McDonough &amp; Sun 1995 values'!O$2,)</f>
        <v>0.63519999999999999</v>
      </c>
      <c r="EY325" s="18">
        <f>IFERROR(CY325/'McDonough &amp; Sun 1995 values'!P$2,)</f>
        <v>0.24137931034482757</v>
      </c>
      <c r="EZ325" s="18">
        <f>IFERROR(DH325/'McDonough &amp; Sun 1995 values'!Q$2,)</f>
        <v>0.11307420494699648</v>
      </c>
      <c r="FA325" s="18">
        <f>IFERROR(CK325/'McDonough &amp; Sun 1995 values'!R$2,)</f>
        <v>0.13142857142857142</v>
      </c>
      <c r="FB325" s="18">
        <f>IFERROR(CZ325/'McDonough &amp; Sun 1995 values'!S$2,)</f>
        <v>0.19480519480519479</v>
      </c>
      <c r="FC325" s="18">
        <f>IFERROR(BT325/'McDonough &amp; Sun 1995 values'!T$2,)</f>
        <v>4.7535269709543568E-2</v>
      </c>
      <c r="FD325" s="18">
        <f>IFERROR(DA325/'McDonough &amp; Sun 1995 values'!U$2,)</f>
        <v>0.12867647058823531</v>
      </c>
      <c r="FE325" s="18">
        <f>IFERROR(DN325/'McDonough &amp; Sun 1995 values'!V$2,)</f>
        <v>0</v>
      </c>
      <c r="FF325" s="18">
        <f>IFERROR(DB325/'McDonough &amp; Sun 1995 values'!W$2,)</f>
        <v>5.7863501483679525E-2</v>
      </c>
      <c r="FG325" s="18">
        <f>IFERROR(CJ325/'McDonough &amp; Sun 1995 values'!X$2,)</f>
        <v>3.5116279069767442E-2</v>
      </c>
      <c r="FH325" s="18">
        <f>IFERROR(DC325/'McDonough &amp; Sun 1995 values'!Y$2,)</f>
        <v>4.6979865771812082E-2</v>
      </c>
      <c r="FI325" s="18">
        <f>IFERROR(DD325/'McDonough &amp; Sun 1995 values'!Z$2,)</f>
        <v>2.5114155251141551E-2</v>
      </c>
      <c r="FJ325" s="18">
        <f>IFERROR(DE325/'McDonough &amp; Sun 1995 values'!AA$2,)</f>
        <v>0</v>
      </c>
      <c r="FK325" s="18">
        <f>IFERROR(DF325/'McDonough &amp; Sun 1995 values'!AB$2,)</f>
        <v>1.1337868480725623E-2</v>
      </c>
      <c r="FL325" s="18">
        <f>IFERROR(DG325/'McDonough &amp; Sun 1995 values'!AC$2,)</f>
        <v>1.4814814814814814E-2</v>
      </c>
      <c r="FN325" s="28">
        <f t="shared" si="758"/>
        <v>0.45872755232361145</v>
      </c>
      <c r="FO325" s="4">
        <f t="shared" si="699"/>
        <v>1.688870523415978</v>
      </c>
      <c r="FP325" s="4">
        <f t="shared" si="700"/>
        <v>0.18527169868783597</v>
      </c>
      <c r="FQ325" s="4">
        <f t="shared" si="701"/>
        <v>0.56872498570611774</v>
      </c>
      <c r="FR325" s="4">
        <f t="shared" si="702"/>
        <v>0.33213768054639076</v>
      </c>
      <c r="FS325" s="4">
        <f t="shared" si="703"/>
        <v>0.95076083835773773</v>
      </c>
      <c r="FT325" s="4">
        <f t="shared" si="704"/>
        <v>1.673170731707317</v>
      </c>
      <c r="FU325" s="4">
        <f t="shared" si="705"/>
        <v>0.34933883175089203</v>
      </c>
      <c r="FV325" s="4">
        <f t="shared" si="706"/>
        <v>0.54448979591836733</v>
      </c>
      <c r="FW325" s="4">
        <f t="shared" si="707"/>
        <v>1.1623214285714283</v>
      </c>
      <c r="FX325" s="4">
        <f t="shared" si="708"/>
        <v>1.0528423272513712</v>
      </c>
      <c r="FY325" s="4">
        <f t="shared" si="709"/>
        <v>0.85564252618660186</v>
      </c>
      <c r="FZ325" s="4">
        <f t="shared" si="710"/>
        <v>1.1053528686284</v>
      </c>
      <c r="GA325" s="4">
        <f t="shared" si="711"/>
        <v>0.78030357975444231</v>
      </c>
      <c r="GB325" s="4">
        <f t="shared" si="712"/>
        <v>0.80705009276437845</v>
      </c>
      <c r="GC325" s="4">
        <f t="shared" si="713"/>
        <v>0.59766763848396498</v>
      </c>
      <c r="GD325" s="4">
        <f t="shared" si="714"/>
        <v>2.9695732838589981</v>
      </c>
      <c r="GE325" s="4">
        <f t="shared" si="715"/>
        <v>0.56029684601113172</v>
      </c>
      <c r="GF325" s="4">
        <f t="shared" si="716"/>
        <v>0.77473144139810812</v>
      </c>
      <c r="GG325" s="4">
        <f t="shared" si="717"/>
        <v>0.55017788667857193</v>
      </c>
      <c r="GH325" s="4">
        <f t="shared" si="718"/>
        <v>1.4466717576683212</v>
      </c>
      <c r="GI325" s="4">
        <f t="shared" si="719"/>
        <v>4.5776014109347445</v>
      </c>
      <c r="GJ325" s="4">
        <f t="shared" si="720"/>
        <v>19.095599873377651</v>
      </c>
      <c r="GK325" s="4">
        <f t="shared" si="721"/>
        <v>97.455555555555563</v>
      </c>
      <c r="GL325" s="4">
        <f t="shared" si="722"/>
        <v>2.7648643256185155</v>
      </c>
      <c r="GM325" s="4">
        <f t="shared" si="723"/>
        <v>0.18867924528301885</v>
      </c>
      <c r="GN325" s="4">
        <f t="shared" si="724"/>
        <v>3.0107996128440679</v>
      </c>
      <c r="GO325" s="4">
        <f t="shared" si="725"/>
        <v>3.06968085106383</v>
      </c>
      <c r="GP325" s="4">
        <f t="shared" si="726"/>
        <v>2.1799431818181816</v>
      </c>
      <c r="GQ325" s="27">
        <f t="shared" si="727"/>
        <v>85750.716441092256</v>
      </c>
      <c r="GR325" s="28">
        <f t="shared" si="728"/>
        <v>6.2006690900966186</v>
      </c>
      <c r="GS325" s="28">
        <f t="shared" si="729"/>
        <v>296.4222296729115</v>
      </c>
      <c r="GT325" s="28">
        <f t="shared" si="730"/>
        <v>1826.9288441065157</v>
      </c>
      <c r="GU325" s="28">
        <f t="shared" si="731"/>
        <v>7.4105557418227876</v>
      </c>
      <c r="GV325" s="28">
        <f t="shared" si="732"/>
        <v>3.3271882922469653</v>
      </c>
      <c r="GW325" s="28">
        <f t="shared" si="733"/>
        <v>85750.716441092256</v>
      </c>
      <c r="GX325" s="28">
        <f t="shared" si="734"/>
        <v>6.50314075302816</v>
      </c>
      <c r="GY325" s="28">
        <f t="shared" si="735"/>
        <v>331.05523507857311</v>
      </c>
      <c r="GZ325" s="28">
        <f t="shared" si="736"/>
        <v>108.28485532949216</v>
      </c>
      <c r="HA325" s="28">
        <f t="shared" si="737"/>
        <v>214.75488068139504</v>
      </c>
      <c r="HB325" s="28">
        <f t="shared" si="738"/>
        <v>29.339751304359609</v>
      </c>
      <c r="HC325" s="28">
        <f t="shared" si="739"/>
        <v>1793.6569611840459</v>
      </c>
      <c r="HD325" s="28">
        <f t="shared" si="740"/>
        <v>120.08125018382232</v>
      </c>
      <c r="HE325" s="28">
        <f t="shared" si="741"/>
        <v>14.821111483645575</v>
      </c>
      <c r="HF325" s="28">
        <f t="shared" si="742"/>
        <v>4.839546606904678</v>
      </c>
      <c r="HG325" s="28">
        <f t="shared" si="743"/>
        <v>208.70544742276419</v>
      </c>
      <c r="HH325" s="28">
        <f t="shared" si="744"/>
        <v>4.5370749439731348</v>
      </c>
      <c r="HI325" s="28">
        <f t="shared" si="745"/>
        <v>8662.7884263593733</v>
      </c>
      <c r="HJ325" s="28">
        <f t="shared" si="746"/>
        <v>10.586508202603982</v>
      </c>
      <c r="HK325" s="28">
        <f t="shared" si="747"/>
        <v>0</v>
      </c>
      <c r="HL325" s="28">
        <f t="shared" si="748"/>
        <v>5.8981974271650754</v>
      </c>
      <c r="HM325" s="28">
        <f t="shared" si="749"/>
        <v>22.836610551331447</v>
      </c>
      <c r="HN325" s="28">
        <f t="shared" si="750"/>
        <v>1.0586508202603984</v>
      </c>
      <c r="HO325" s="28">
        <f t="shared" si="751"/>
        <v>1.6635941461234827</v>
      </c>
      <c r="HP325" s="28">
        <f t="shared" si="752"/>
        <v>0</v>
      </c>
      <c r="HQ325" s="28">
        <f t="shared" si="753"/>
        <v>0.75617915732885599</v>
      </c>
      <c r="HR325" s="28">
        <f t="shared" si="754"/>
        <v>0.15123583146577119</v>
      </c>
      <c r="HT325" s="4">
        <f>IFERROR(GR325/'McDonough &amp; Sun 1995 values'!C$2,)</f>
        <v>295.26995667126755</v>
      </c>
      <c r="HU325" s="4">
        <f>IFERROR(GS325/'McDonough &amp; Sun 1995 values'!D$2,)</f>
        <v>494.03704945485254</v>
      </c>
      <c r="HV325" s="4">
        <f>IFERROR(GT325/'McDonough &amp; Sun 1995 values'!E$2,)</f>
        <v>276.8074006221994</v>
      </c>
      <c r="HW325" s="4">
        <f>IFERROR(GU325/'McDonough &amp; Sun 1995 values'!F$2,)</f>
        <v>93.214537632991039</v>
      </c>
      <c r="HX325" s="4">
        <f>IFERROR(GV325/'McDonough &amp; Sun 1995 values'!G$2,)</f>
        <v>163.90090109590963</v>
      </c>
      <c r="HY325" s="4">
        <f>IFERROR(GW325/'McDonough &amp; Sun 1995 values'!H$2,)</f>
        <v>357.29465183788437</v>
      </c>
      <c r="HZ325" s="4">
        <f>IFERROR(GX325/'McDonough &amp; Sun 1995 values'!I$2,)</f>
        <v>175.76056089265299</v>
      </c>
      <c r="IA325" s="4">
        <f>IFERROR(GY325/'McDonough &amp; Sun 1995 values'!J$2,)</f>
        <v>503.12345756622051</v>
      </c>
      <c r="IB325" s="4">
        <f>IFERROR(GZ325/'McDonough &amp; Sun 1995 values'!K$2,)</f>
        <v>167.10625822452494</v>
      </c>
      <c r="IC325" s="4">
        <f>IFERROR(HA325/'McDonough &amp; Sun 1995 values'!L$2,)</f>
        <v>128.21186906351943</v>
      </c>
      <c r="ID325" s="4">
        <f>IFERROR(HB325/'McDonough &amp; Sun 1995 values'!M$2,)</f>
        <v>115.51083190692759</v>
      </c>
      <c r="IE325" s="4">
        <f>IFERROR(HC325/'McDonough &amp; Sun 1995 values'!N$2,)</f>
        <v>90.133515637389252</v>
      </c>
      <c r="IF325" s="4">
        <f>IFERROR(HD325/'McDonough &amp; Sun 1995 values'!O$2,)</f>
        <v>96.065000147057859</v>
      </c>
      <c r="IG325" s="4">
        <f>IFERROR(HE325/'McDonough &amp; Sun 1995 values'!P$2,)</f>
        <v>36.505200698634418</v>
      </c>
      <c r="IH325" s="4">
        <f>IFERROR(HF325/'McDonough &amp; Sun 1995 values'!Q$2,)</f>
        <v>17.100871402490029</v>
      </c>
      <c r="II325" s="4">
        <f>IFERROR(HG325/'McDonough &amp; Sun 1995 values'!R$2,)</f>
        <v>19.876709278358494</v>
      </c>
      <c r="IJ325" s="4">
        <f>IFERROR(HH325/'McDonough &amp; Sun 1995 values'!S$2,)</f>
        <v>29.461525610215162</v>
      </c>
      <c r="IK325" s="4">
        <f>IFERROR(HI325/'McDonough &amp; Sun 1995 values'!T$2,)</f>
        <v>7.1890360384725085</v>
      </c>
      <c r="IL325" s="4">
        <f>IFERROR(HJ325/'McDonough &amp; Sun 1995 values'!U$2,)</f>
        <v>19.460493019492613</v>
      </c>
      <c r="IM325" s="4">
        <f>IFERROR(HK325/'McDonough &amp; Sun 1995 values'!V$2,)</f>
        <v>0</v>
      </c>
      <c r="IN325" s="4">
        <f>IFERROR(HL325/'McDonough &amp; Sun 1995 values'!W$2,)</f>
        <v>8.7510347584051562</v>
      </c>
      <c r="IO325" s="4">
        <f>IFERROR(HM325/'McDonough &amp; Sun 1995 values'!X$2,)</f>
        <v>5.3108396631003369</v>
      </c>
      <c r="IP325" s="4">
        <f>IFERROR(HN325/'McDonough &amp; Sun 1995 values'!Y$2,)</f>
        <v>7.1050390621503245</v>
      </c>
      <c r="IQ325" s="4">
        <f>IFERROR(HO325/'McDonough &amp; Sun 1995 values'!Z$2,)</f>
        <v>3.7981601509668552</v>
      </c>
      <c r="IR325" s="4">
        <f>IFERROR(HP325/'McDonough &amp; Sun 1995 values'!AA$2,)</f>
        <v>0</v>
      </c>
      <c r="IS325" s="4">
        <f>IFERROR(HQ325/'McDonough &amp; Sun 1995 values'!AB$2,)</f>
        <v>1.7146919667320997</v>
      </c>
      <c r="IT325" s="4">
        <f>IFERROR(HR325/'McDonough &amp; Sun 1995 values'!AC$2,)</f>
        <v>2.2405308365299432</v>
      </c>
    </row>
    <row r="326" spans="1:254">
      <c r="A326" s="16" t="s">
        <v>672</v>
      </c>
      <c r="B326" s="16" t="s">
        <v>24</v>
      </c>
      <c r="C326" s="16" t="s">
        <v>1369</v>
      </c>
      <c r="D326" s="16" t="s">
        <v>1723</v>
      </c>
      <c r="E326" s="16" t="s">
        <v>237</v>
      </c>
      <c r="F326" s="16" t="s">
        <v>29</v>
      </c>
      <c r="G326" s="16" t="s">
        <v>595</v>
      </c>
      <c r="H326" s="27">
        <v>360</v>
      </c>
      <c r="I326" s="16" t="s">
        <v>735</v>
      </c>
      <c r="J326" s="16" t="s">
        <v>1496</v>
      </c>
      <c r="K326" s="16">
        <v>0</v>
      </c>
      <c r="L326" s="16">
        <v>0</v>
      </c>
      <c r="M326" s="16" t="s">
        <v>95</v>
      </c>
      <c r="N326" s="16">
        <v>30</v>
      </c>
      <c r="O326" s="26">
        <v>18.36</v>
      </c>
      <c r="P326" s="26">
        <v>3.24</v>
      </c>
      <c r="Q326" s="26">
        <v>0.42</v>
      </c>
      <c r="R326" s="26">
        <v>6</v>
      </c>
      <c r="S326" s="26">
        <v>36.92</v>
      </c>
      <c r="T326" s="26">
        <v>5.61</v>
      </c>
      <c r="U326" s="26">
        <v>0.66</v>
      </c>
      <c r="V326" s="26">
        <v>10.69</v>
      </c>
      <c r="W326" s="26">
        <v>1.6</v>
      </c>
      <c r="X326" s="26">
        <v>7.32</v>
      </c>
      <c r="Y326" s="26"/>
      <c r="Z326" s="26">
        <v>3.82</v>
      </c>
      <c r="AA326" s="26"/>
      <c r="AB326" s="26"/>
      <c r="AC326" s="26"/>
      <c r="AD326" s="26">
        <v>1.38</v>
      </c>
      <c r="AE326" s="26"/>
      <c r="AF326" s="26">
        <v>3.99</v>
      </c>
      <c r="AG326" s="26"/>
      <c r="AH326" s="26"/>
      <c r="AI326" s="26"/>
      <c r="AJ326" s="26">
        <f t="shared" si="769"/>
        <v>94.94</v>
      </c>
      <c r="AK326" s="26">
        <f t="shared" si="759"/>
        <v>19.401964321838172</v>
      </c>
      <c r="AL326" s="26">
        <f t="shared" si="759"/>
        <v>3.4238760567949718</v>
      </c>
      <c r="AM326" s="26">
        <f t="shared" si="760"/>
        <v>6.3405112162869832</v>
      </c>
      <c r="AN326" s="26">
        <f t="shared" si="760"/>
        <v>39.015279017552579</v>
      </c>
      <c r="AO326" s="26">
        <f t="shared" si="760"/>
        <v>5.9283779872283304</v>
      </c>
      <c r="AP326" s="26">
        <f t="shared" si="761"/>
        <v>11.296677483684642</v>
      </c>
      <c r="AQ326" s="26">
        <f t="shared" si="762"/>
        <v>0</v>
      </c>
      <c r="AR326" s="26">
        <f t="shared" si="763"/>
        <v>1.6908029910098625</v>
      </c>
      <c r="AS326" s="26">
        <f t="shared" si="763"/>
        <v>7.7354236838701205</v>
      </c>
      <c r="AT326" s="26">
        <f t="shared" si="764"/>
        <v>4.036792141036047</v>
      </c>
      <c r="AU326" s="26">
        <f t="shared" si="765"/>
        <v>1.4583175797460062</v>
      </c>
      <c r="AV326" s="26">
        <f t="shared" si="766"/>
        <v>100.32802247904772</v>
      </c>
      <c r="AW326" s="16"/>
      <c r="AX326" s="16"/>
      <c r="AY326" s="16"/>
      <c r="AZ326" s="16"/>
      <c r="BA326" s="26"/>
      <c r="BB326" s="26">
        <v>7.0000000000000007E-2</v>
      </c>
      <c r="BC326" s="26">
        <f t="shared" si="767"/>
        <v>7.0000000000000062E-2</v>
      </c>
      <c r="BD326" s="26">
        <f t="shared" si="768"/>
        <v>0.92999999999999994</v>
      </c>
      <c r="BE326" s="25"/>
      <c r="BF326" s="16"/>
      <c r="BG326" s="16">
        <v>441</v>
      </c>
      <c r="BH326" s="16">
        <v>15</v>
      </c>
      <c r="BI326" s="16"/>
      <c r="BJ326" s="16"/>
      <c r="BK326" s="18"/>
      <c r="BL326" s="18"/>
      <c r="BM326" s="18"/>
      <c r="BN326" s="18">
        <v>143</v>
      </c>
      <c r="BO326" s="18">
        <v>183</v>
      </c>
      <c r="BP326" s="18">
        <v>79</v>
      </c>
      <c r="BQ326" s="18"/>
      <c r="BR326" s="18">
        <v>576</v>
      </c>
      <c r="BS326" s="18">
        <v>311</v>
      </c>
      <c r="BT326" s="18">
        <v>97.63</v>
      </c>
      <c r="BU326" s="18"/>
      <c r="BV326" s="18">
        <v>4.97</v>
      </c>
      <c r="BW326" s="18">
        <v>464</v>
      </c>
      <c r="BX326" s="18">
        <v>0.48199999999999998</v>
      </c>
      <c r="BY326" s="18">
        <v>0.92</v>
      </c>
      <c r="BZ326" s="18"/>
      <c r="CA326" s="18">
        <v>0.33200000000000002</v>
      </c>
      <c r="CB326" s="18">
        <v>0.115</v>
      </c>
      <c r="CC326" s="18"/>
      <c r="CD326" s="18"/>
      <c r="CE326" s="18"/>
      <c r="CF326" s="18"/>
      <c r="CG326" s="18"/>
      <c r="CH326" s="18">
        <v>2.0499999999999998</v>
      </c>
      <c r="CI326" s="18">
        <v>12.66</v>
      </c>
      <c r="CJ326" s="18">
        <v>9.9000000000000005E-2</v>
      </c>
      <c r="CK326" s="18">
        <v>1.2889999999999999</v>
      </c>
      <c r="CL326" s="18"/>
      <c r="CM326" s="18">
        <v>4.859</v>
      </c>
      <c r="CN326" s="18"/>
      <c r="CO326" s="18"/>
      <c r="CP326" s="18"/>
      <c r="CQ326" s="18"/>
      <c r="CR326" s="18">
        <v>3.1E-2</v>
      </c>
      <c r="CS326" s="18">
        <v>29.49</v>
      </c>
      <c r="CT326" s="18">
        <v>0.6</v>
      </c>
      <c r="CU326" s="18">
        <v>1.94</v>
      </c>
      <c r="CV326" s="18">
        <v>2.76</v>
      </c>
      <c r="CW326" s="18">
        <v>0.29699999999999999</v>
      </c>
      <c r="CX326" s="18">
        <v>1</v>
      </c>
      <c r="CY326" s="18">
        <v>7.6999999999999999E-2</v>
      </c>
      <c r="CZ326" s="18">
        <v>2.5000000000000001E-2</v>
      </c>
      <c r="DA326" s="18">
        <v>0.06</v>
      </c>
      <c r="DB326" s="18">
        <v>3.2000000000000001E-2</v>
      </c>
      <c r="DC326" s="18">
        <v>5.0000000000000001E-3</v>
      </c>
      <c r="DD326" s="18">
        <v>8.9999999999999993E-3</v>
      </c>
      <c r="DE326" s="18"/>
      <c r="DF326" s="18" t="s">
        <v>1366</v>
      </c>
      <c r="DG326" s="18">
        <v>1E-3</v>
      </c>
      <c r="DH326" s="18">
        <v>3.6999999999999998E-2</v>
      </c>
      <c r="DI326" s="18">
        <v>0.16700000000000001</v>
      </c>
      <c r="DJ326" s="18"/>
      <c r="DK326" s="18">
        <v>0.251</v>
      </c>
      <c r="DL326" s="18">
        <v>0.29899999999999999</v>
      </c>
      <c r="DM326" s="18">
        <v>5.8000000000000003E-2</v>
      </c>
      <c r="DN326" s="18"/>
      <c r="DO326" s="18"/>
      <c r="DP326" s="18"/>
      <c r="DQ326" s="18"/>
      <c r="DR326" s="18"/>
      <c r="DS326" s="18"/>
      <c r="DT326" s="18"/>
      <c r="DU326" s="18"/>
      <c r="DV326" s="28"/>
      <c r="DW326" s="28"/>
      <c r="DX326" s="28"/>
      <c r="DY326" s="28"/>
      <c r="DZ326" s="28"/>
      <c r="EA326" s="28"/>
      <c r="EB326" s="28"/>
      <c r="EC326" s="28"/>
      <c r="ED326" s="28"/>
      <c r="EE326" s="28"/>
      <c r="EF326" s="28"/>
      <c r="EG326" s="28"/>
      <c r="EH326" s="28"/>
      <c r="EI326" s="28"/>
      <c r="EJ326" s="18"/>
      <c r="EK326" s="18"/>
      <c r="EL326" s="18">
        <f>IFERROR(CR326/'McDonough &amp; Sun 1995 values'!C$2,)</f>
        <v>1.4761904761904761</v>
      </c>
      <c r="EM326" s="18">
        <f>IFERROR(CH326/'McDonough &amp; Sun 1995 values'!D$2,)</f>
        <v>3.4166666666666665</v>
      </c>
      <c r="EN326" s="18">
        <f>IFERROR(CS326/'McDonough &amp; Sun 1995 values'!E$2,)</f>
        <v>4.4681818181818178</v>
      </c>
      <c r="EO326" s="18">
        <f>IFERROR(DL326/'McDonough &amp; Sun 1995 values'!F$2,)</f>
        <v>3.7610062893081757</v>
      </c>
      <c r="EP326" s="18">
        <f>IFERROR(DM326/'McDonough &amp; Sun 1995 values'!G$2,)</f>
        <v>2.8571428571428577</v>
      </c>
      <c r="EQ326" s="18">
        <f>IFERROR(BR326/'McDonough &amp; Sun 1995 values'!H$2,)</f>
        <v>2.4</v>
      </c>
      <c r="ER326" s="18">
        <f>IFERROR(DI326/'McDonough &amp; Sun 1995 values'!I$2,)</f>
        <v>4.513513513513514</v>
      </c>
      <c r="ES326" s="18">
        <f>IFERROR(CM326/'McDonough &amp; Sun 1995 values'!J$2,)</f>
        <v>7.3844984802431606</v>
      </c>
      <c r="ET326" s="18">
        <f>IFERROR(CU326/'McDonough &amp; Sun 1995 values'!K$2,)</f>
        <v>2.9938271604938271</v>
      </c>
      <c r="EU326" s="18">
        <f>IFERROR(CV326/'McDonough &amp; Sun 1995 values'!L$2,)</f>
        <v>1.6477611940298507</v>
      </c>
      <c r="EV326" s="18">
        <f>IFERROR(CW326/'McDonough &amp; Sun 1995 values'!M$2,)</f>
        <v>1.1692913385826771</v>
      </c>
      <c r="EW326" s="18">
        <f>IFERROR(CI326/'McDonough &amp; Sun 1995 values'!N$2,)</f>
        <v>0.63618090452261311</v>
      </c>
      <c r="EX326" s="18">
        <f>IFERROR(CX326/'McDonough &amp; Sun 1995 values'!O$2,)</f>
        <v>0.8</v>
      </c>
      <c r="EY326" s="18">
        <f>IFERROR(CY326/'McDonough &amp; Sun 1995 values'!P$2,)</f>
        <v>0.18965517241379309</v>
      </c>
      <c r="EZ326" s="18">
        <f>IFERROR(DH326/'McDonough &amp; Sun 1995 values'!Q$2,)</f>
        <v>0.13074204946996468</v>
      </c>
      <c r="FA326" s="18">
        <f>IFERROR(CK326/'McDonough &amp; Sun 1995 values'!R$2,)</f>
        <v>0.12276190476190475</v>
      </c>
      <c r="FB326" s="18">
        <f>IFERROR(CZ326/'McDonough &amp; Sun 1995 values'!S$2,)</f>
        <v>0.16233766233766234</v>
      </c>
      <c r="FC326" s="18">
        <f>IFERROR(BT326/'McDonough &amp; Sun 1995 values'!T$2,)</f>
        <v>8.1020746887966802E-2</v>
      </c>
      <c r="FD326" s="18">
        <f>IFERROR(DA326/'McDonough &amp; Sun 1995 values'!U$2,)</f>
        <v>0.11029411764705881</v>
      </c>
      <c r="FE326" s="18">
        <f>IFERROR(DN326/'McDonough &amp; Sun 1995 values'!V$2,)</f>
        <v>0</v>
      </c>
      <c r="FF326" s="18">
        <f>IFERROR(DB326/'McDonough &amp; Sun 1995 values'!W$2,)</f>
        <v>4.7477744807121657E-2</v>
      </c>
      <c r="FG326" s="18">
        <f>IFERROR(CJ326/'McDonough &amp; Sun 1995 values'!X$2,)</f>
        <v>2.3023255813953491E-2</v>
      </c>
      <c r="FH326" s="18">
        <f>IFERROR(DC326/'McDonough &amp; Sun 1995 values'!Y$2,)</f>
        <v>3.3557046979865772E-2</v>
      </c>
      <c r="FI326" s="18">
        <f>IFERROR(DD326/'McDonough &amp; Sun 1995 values'!Z$2,)</f>
        <v>2.0547945205479451E-2</v>
      </c>
      <c r="FJ326" s="18">
        <f>IFERROR(DE326/'McDonough &amp; Sun 1995 values'!AA$2,)</f>
        <v>0</v>
      </c>
      <c r="FK326" s="18">
        <f>IFERROR(DF326/'McDonough &amp; Sun 1995 values'!AB$2,)</f>
        <v>0</v>
      </c>
      <c r="FL326" s="18">
        <f>IFERROR(DG326/'McDonough &amp; Sun 1995 values'!AC$2,)</f>
        <v>1.4814814814814814E-2</v>
      </c>
      <c r="FN326" s="28">
        <f t="shared" si="758"/>
        <v>1.1904761904761907</v>
      </c>
      <c r="FO326" s="4">
        <f t="shared" si="699"/>
        <v>1.563863636363636</v>
      </c>
      <c r="FP326" s="4">
        <f t="shared" si="700"/>
        <v>0.50931099781123268</v>
      </c>
      <c r="FQ326" s="4">
        <f t="shared" si="701"/>
        <v>1.3163522012578612</v>
      </c>
      <c r="FR326" s="4">
        <f t="shared" si="702"/>
        <v>0.40542051278142383</v>
      </c>
      <c r="FS326" s="4">
        <f t="shared" si="703"/>
        <v>0.66330302358246462</v>
      </c>
      <c r="FT326" s="4">
        <f t="shared" si="704"/>
        <v>2.314516129032258</v>
      </c>
      <c r="FU326" s="4">
        <f t="shared" si="705"/>
        <v>0.61121463097178275</v>
      </c>
      <c r="FV326" s="4">
        <f t="shared" si="706"/>
        <v>0.64729004329004325</v>
      </c>
      <c r="FW326" s="4">
        <f t="shared" si="707"/>
        <v>0.93896267696267677</v>
      </c>
      <c r="FX326" s="4">
        <f t="shared" si="708"/>
        <v>1.0824340494670166</v>
      </c>
      <c r="FY326" s="4">
        <f t="shared" si="709"/>
        <v>0.6577703141412552</v>
      </c>
      <c r="FZ326" s="4">
        <f t="shared" si="710"/>
        <v>1.1224338788526402</v>
      </c>
      <c r="GA326" s="4">
        <f t="shared" si="711"/>
        <v>0.54407390487792506</v>
      </c>
      <c r="GB326" s="4">
        <f t="shared" si="712"/>
        <v>0.85596221959858332</v>
      </c>
      <c r="GC326" s="4">
        <f t="shared" si="713"/>
        <v>0.43205574912891986</v>
      </c>
      <c r="GD326" s="4">
        <f t="shared" si="714"/>
        <v>1.1880282760717544</v>
      </c>
      <c r="GE326" s="4">
        <f t="shared" si="715"/>
        <v>1.3077605321507759</v>
      </c>
      <c r="GF326" s="4">
        <f t="shared" si="716"/>
        <v>1.8617424242424241</v>
      </c>
      <c r="GG326" s="4">
        <f t="shared" si="717"/>
        <v>0.60507586671406388</v>
      </c>
      <c r="GH326" s="4">
        <f t="shared" si="718"/>
        <v>2.5603774369206471</v>
      </c>
      <c r="GI326" s="4">
        <f t="shared" si="719"/>
        <v>15.785634118967453</v>
      </c>
      <c r="GJ326" s="4">
        <f t="shared" si="720"/>
        <v>63.057484567901241</v>
      </c>
      <c r="GK326" s="4">
        <f t="shared" si="721"/>
        <v>0</v>
      </c>
      <c r="GL326" s="4">
        <f t="shared" si="722"/>
        <v>1.5151909785731357</v>
      </c>
      <c r="GM326" s="4">
        <f t="shared" si="723"/>
        <v>1.1007823285780027</v>
      </c>
      <c r="GN326" s="4">
        <f t="shared" si="724"/>
        <v>2.4665747501018394</v>
      </c>
      <c r="GO326" s="4">
        <f t="shared" si="725"/>
        <v>2.5845744680851057</v>
      </c>
      <c r="GP326" s="4">
        <f t="shared" si="726"/>
        <v>0.83999999999999986</v>
      </c>
      <c r="GQ326" s="27">
        <f t="shared" si="727"/>
        <v>64214.637677193808</v>
      </c>
      <c r="GR326" s="28">
        <f t="shared" si="728"/>
        <v>3.4559961249878612</v>
      </c>
      <c r="GS326" s="28">
        <f t="shared" si="729"/>
        <v>228.54167923306821</v>
      </c>
      <c r="GT326" s="28">
        <f t="shared" si="730"/>
        <v>3287.655668577162</v>
      </c>
      <c r="GU326" s="28">
        <f t="shared" si="731"/>
        <v>33.333640044237761</v>
      </c>
      <c r="GV326" s="28">
        <f t="shared" si="732"/>
        <v>6.4660572661063211</v>
      </c>
      <c r="GW326" s="28">
        <f t="shared" si="733"/>
        <v>64214.637677193808</v>
      </c>
      <c r="GX326" s="28">
        <f t="shared" si="734"/>
        <v>18.617785576547512</v>
      </c>
      <c r="GY326" s="28">
        <f t="shared" si="735"/>
        <v>541.6995216553554</v>
      </c>
      <c r="GZ326" s="28">
        <f t="shared" si="736"/>
        <v>216.27846717665969</v>
      </c>
      <c r="HA326" s="28">
        <f t="shared" si="737"/>
        <v>307.69513886988699</v>
      </c>
      <c r="HB326" s="28">
        <f t="shared" si="738"/>
        <v>33.110672552303058</v>
      </c>
      <c r="HC326" s="28">
        <f t="shared" si="739"/>
        <v>1411.3842239466555</v>
      </c>
      <c r="HD326" s="28">
        <f t="shared" si="740"/>
        <v>111.48374596735036</v>
      </c>
      <c r="HE326" s="28">
        <f t="shared" si="741"/>
        <v>8.5842484394859788</v>
      </c>
      <c r="HF326" s="28">
        <f t="shared" si="742"/>
        <v>4.1248986007919628</v>
      </c>
      <c r="HG326" s="28">
        <f t="shared" si="743"/>
        <v>143.70254855191462</v>
      </c>
      <c r="HH326" s="28">
        <f t="shared" si="744"/>
        <v>2.7870936491837592</v>
      </c>
      <c r="HI326" s="28">
        <f t="shared" si="745"/>
        <v>10884.158118792415</v>
      </c>
      <c r="HJ326" s="28">
        <f t="shared" si="746"/>
        <v>6.6890247580410209</v>
      </c>
      <c r="HK326" s="28">
        <f t="shared" si="747"/>
        <v>0</v>
      </c>
      <c r="HL326" s="28">
        <f t="shared" si="748"/>
        <v>3.5674798709552116</v>
      </c>
      <c r="HM326" s="28">
        <f t="shared" si="749"/>
        <v>11.036890850767687</v>
      </c>
      <c r="HN326" s="28">
        <f t="shared" si="750"/>
        <v>0.55741872983675178</v>
      </c>
      <c r="HO326" s="28">
        <f t="shared" si="751"/>
        <v>1.0033537137061532</v>
      </c>
      <c r="HP326" s="28">
        <f t="shared" si="752"/>
        <v>0</v>
      </c>
      <c r="HQ326" s="28" t="str">
        <f t="shared" si="753"/>
        <v/>
      </c>
      <c r="HR326" s="28">
        <f t="shared" si="754"/>
        <v>0.11148374596735036</v>
      </c>
      <c r="HT326" s="4">
        <f>IFERROR(GR326/'McDonough &amp; Sun 1995 values'!C$2,)</f>
        <v>164.57124404704101</v>
      </c>
      <c r="HU326" s="4">
        <f>IFERROR(GS326/'McDonough &amp; Sun 1995 values'!D$2,)</f>
        <v>380.90279872178036</v>
      </c>
      <c r="HV326" s="4">
        <f>IFERROR(GT326/'McDonough &amp; Sun 1995 values'!E$2,)</f>
        <v>498.12964675411547</v>
      </c>
      <c r="HW326" s="4">
        <f>IFERROR(GU326/'McDonough &amp; Sun 1995 values'!F$2,)</f>
        <v>419.29106973883978</v>
      </c>
      <c r="HX326" s="4">
        <f>IFERROR(GV326/'McDonough &amp; Sun 1995 values'!G$2,)</f>
        <v>318.52498847814394</v>
      </c>
      <c r="HY326" s="4">
        <f>IFERROR(GW326/'McDonough &amp; Sun 1995 values'!H$2,)</f>
        <v>267.56099032164087</v>
      </c>
      <c r="HZ326" s="4">
        <f>IFERROR(GX326/'McDonough &amp; Sun 1995 values'!I$2,)</f>
        <v>503.18339396074356</v>
      </c>
      <c r="IA326" s="4">
        <f>IFERROR(GY326/'McDonough &amp; Sun 1995 values'!J$2,)</f>
        <v>823.25155266771333</v>
      </c>
      <c r="IB326" s="4">
        <f>IFERROR(GZ326/'McDonough &amp; Sun 1995 values'!K$2,)</f>
        <v>333.76306663064764</v>
      </c>
      <c r="IC326" s="4">
        <f>IFERROR(HA326/'McDonough &amp; Sun 1995 values'!L$2,)</f>
        <v>183.69859037008177</v>
      </c>
      <c r="ID326" s="4">
        <f>IFERROR(HB326/'McDonough &amp; Sun 1995 values'!M$2,)</f>
        <v>130.35697855237424</v>
      </c>
      <c r="IE326" s="4">
        <f>IFERROR(HC326/'McDonough &amp; Sun 1995 values'!N$2,)</f>
        <v>70.923830349078173</v>
      </c>
      <c r="IF326" s="4">
        <f>IFERROR(HD326/'McDonough &amp; Sun 1995 values'!O$2,)</f>
        <v>89.186996773880281</v>
      </c>
      <c r="IG326" s="4">
        <f>IFERROR(HE326/'McDonough &amp; Sun 1995 values'!P$2,)</f>
        <v>21.143469062773345</v>
      </c>
      <c r="IH326" s="4">
        <f>IFERROR(HF326/'McDonough &amp; Sun 1995 values'!Q$2,)</f>
        <v>14.575613430360294</v>
      </c>
      <c r="II326" s="4">
        <f>IFERROR(HG326/'McDonough &amp; Sun 1995 values'!R$2,)</f>
        <v>13.68595700494425</v>
      </c>
      <c r="IJ326" s="4">
        <f>IFERROR(HH326/'McDonough &amp; Sun 1995 values'!S$2,)</f>
        <v>18.098010708985449</v>
      </c>
      <c r="IK326" s="4">
        <f>IFERROR(HI326/'McDonough &amp; Sun 1995 values'!T$2,)</f>
        <v>9.032496364143082</v>
      </c>
      <c r="IL326" s="4">
        <f>IFERROR(HJ326/'McDonough &amp; Sun 1995 values'!U$2,)</f>
        <v>12.296001393457757</v>
      </c>
      <c r="IM326" s="4">
        <f>IFERROR(HK326/'McDonough &amp; Sun 1995 values'!V$2,)</f>
        <v>0</v>
      </c>
      <c r="IN326" s="4">
        <f>IFERROR(HL326/'McDonough &amp; Sun 1995 values'!W$2,)</f>
        <v>5.2929968411798392</v>
      </c>
      <c r="IO326" s="4">
        <f>IFERROR(HM326/'McDonough &amp; Sun 1995 values'!X$2,)</f>
        <v>2.5667188025041132</v>
      </c>
      <c r="IP326" s="4">
        <f>IFERROR(HN326/'McDonough &amp; Sun 1995 values'!Y$2,)</f>
        <v>3.7410653009177972</v>
      </c>
      <c r="IQ326" s="4">
        <f>IFERROR(HO326/'McDonough &amp; Sun 1995 values'!Z$2,)</f>
        <v>2.2907619034387059</v>
      </c>
      <c r="IR326" s="4">
        <f>IFERROR(HP326/'McDonough &amp; Sun 1995 values'!AA$2,)</f>
        <v>0</v>
      </c>
      <c r="IS326" s="4">
        <f>IFERROR(HQ326/'McDonough &amp; Sun 1995 values'!AB$2,)</f>
        <v>0</v>
      </c>
      <c r="IT326" s="4">
        <f>IFERROR(HR326/'McDonough &amp; Sun 1995 values'!AC$2,)</f>
        <v>1.6516110513681534</v>
      </c>
    </row>
    <row r="327" spans="1:254">
      <c r="A327" s="16" t="s">
        <v>1211</v>
      </c>
      <c r="B327" s="16" t="s">
        <v>24</v>
      </c>
      <c r="C327" s="16" t="s">
        <v>1369</v>
      </c>
      <c r="D327" s="16" t="s">
        <v>1204</v>
      </c>
      <c r="E327" s="16" t="s">
        <v>237</v>
      </c>
      <c r="F327" s="16" t="s">
        <v>163</v>
      </c>
      <c r="G327" s="16" t="s">
        <v>595</v>
      </c>
      <c r="H327" s="27">
        <v>355</v>
      </c>
      <c r="I327" s="16">
        <v>0</v>
      </c>
      <c r="J327" s="16" t="s">
        <v>1311</v>
      </c>
      <c r="K327" s="16" t="s">
        <v>1276</v>
      </c>
      <c r="L327" s="16">
        <v>0</v>
      </c>
      <c r="M327" s="16" t="s">
        <v>1422</v>
      </c>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f t="shared" si="769"/>
        <v>0</v>
      </c>
      <c r="AK327" s="26"/>
      <c r="AL327" s="26"/>
      <c r="AM327" s="26"/>
      <c r="AN327" s="26"/>
      <c r="AO327" s="26"/>
      <c r="AP327" s="26"/>
      <c r="AQ327" s="26"/>
      <c r="AR327" s="26"/>
      <c r="AS327" s="26"/>
      <c r="AT327" s="26"/>
      <c r="AU327" s="26"/>
      <c r="AV327" s="26"/>
      <c r="AW327" s="16"/>
      <c r="AX327" s="16"/>
      <c r="AY327" s="16"/>
      <c r="AZ327" s="16"/>
      <c r="BA327" s="26"/>
      <c r="BB327" s="26"/>
      <c r="BC327" s="26"/>
      <c r="BD327" s="26"/>
      <c r="BE327" s="16"/>
      <c r="BF327" s="16"/>
      <c r="BG327" s="16"/>
      <c r="BH327" s="16"/>
      <c r="BI327" s="16"/>
      <c r="BJ327" s="16"/>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v>0.25800000000000001</v>
      </c>
      <c r="CI327" s="18">
        <v>5.4509999999999996</v>
      </c>
      <c r="CJ327" s="18" t="s">
        <v>1192</v>
      </c>
      <c r="CK327" s="18" t="s">
        <v>1192</v>
      </c>
      <c r="CL327" s="18"/>
      <c r="CM327" s="18">
        <v>0.53600000000000003</v>
      </c>
      <c r="CN327" s="18"/>
      <c r="CO327" s="18"/>
      <c r="CP327" s="18"/>
      <c r="CQ327" s="18"/>
      <c r="CR327" s="18"/>
      <c r="CS327" s="18">
        <v>6.4749999999999996</v>
      </c>
      <c r="CT327" s="18"/>
      <c r="CU327" s="18">
        <v>0.53100000000000003</v>
      </c>
      <c r="CV327" s="18">
        <v>0.84899999999999998</v>
      </c>
      <c r="CW327" s="18" t="s">
        <v>1192</v>
      </c>
      <c r="CX327" s="18">
        <v>0.20599999999999999</v>
      </c>
      <c r="CY327" s="18">
        <v>5.3999999999999999E-2</v>
      </c>
      <c r="CZ327" s="18">
        <v>7.0000000000000001E-3</v>
      </c>
      <c r="DA327" s="18" t="s">
        <v>1192</v>
      </c>
      <c r="DB327" s="18" t="s">
        <v>1192</v>
      </c>
      <c r="DC327" s="18"/>
      <c r="DD327" s="18" t="s">
        <v>1192</v>
      </c>
      <c r="DE327" s="18"/>
      <c r="DF327" s="18" t="s">
        <v>1192</v>
      </c>
      <c r="DG327" s="18" t="s">
        <v>1192</v>
      </c>
      <c r="DH327" s="18"/>
      <c r="DI327" s="18"/>
      <c r="DJ327" s="18"/>
      <c r="DK327" s="18">
        <v>2.5000000000000001E-2</v>
      </c>
      <c r="DL327" s="18">
        <v>0.185</v>
      </c>
      <c r="DM327" s="18">
        <v>1.7000000000000001E-2</v>
      </c>
      <c r="DN327" s="18" t="s">
        <v>1192</v>
      </c>
      <c r="DO327" s="18"/>
      <c r="DP327" s="18"/>
      <c r="DQ327" s="18"/>
      <c r="DR327" s="18"/>
      <c r="DS327" s="18"/>
      <c r="DT327" s="18"/>
      <c r="DU327" s="18"/>
      <c r="DV327" s="28"/>
      <c r="DW327" s="28"/>
      <c r="DX327" s="28"/>
      <c r="DY327" s="28"/>
      <c r="DZ327" s="28"/>
      <c r="EA327" s="28"/>
      <c r="EB327" s="28"/>
      <c r="EC327" s="28"/>
      <c r="ED327" s="28"/>
      <c r="EE327" s="28"/>
      <c r="EF327" s="28"/>
      <c r="EG327" s="28"/>
      <c r="EH327" s="28"/>
      <c r="EI327" s="28"/>
      <c r="EJ327" s="18"/>
      <c r="EK327" s="18"/>
      <c r="EL327" s="18">
        <f>IFERROR(CR327/'McDonough &amp; Sun 1995 values'!C$2,)</f>
        <v>0</v>
      </c>
      <c r="EM327" s="18">
        <f>IFERROR(CH327/'McDonough &amp; Sun 1995 values'!D$2,)</f>
        <v>0.43000000000000005</v>
      </c>
      <c r="EN327" s="18">
        <f>IFERROR(CS327/'McDonough &amp; Sun 1995 values'!E$2,)</f>
        <v>0.98106060606060608</v>
      </c>
      <c r="EO327" s="18">
        <f>IFERROR(DL327/'McDonough &amp; Sun 1995 values'!F$2,)</f>
        <v>2.3270440251572326</v>
      </c>
      <c r="EP327" s="18">
        <f>IFERROR(DM327/'McDonough &amp; Sun 1995 values'!G$2,)</f>
        <v>0.83743842364532028</v>
      </c>
      <c r="EQ327" s="18">
        <f>IFERROR(BR327/'McDonough &amp; Sun 1995 values'!H$2,)</f>
        <v>0</v>
      </c>
      <c r="ER327" s="18">
        <f>IFERROR(DI327/'McDonough &amp; Sun 1995 values'!I$2,)</f>
        <v>0</v>
      </c>
      <c r="ES327" s="18">
        <f>IFERROR(CM327/'McDonough &amp; Sun 1995 values'!J$2,)</f>
        <v>0.81458966565349544</v>
      </c>
      <c r="ET327" s="18">
        <f>IFERROR(CU327/'McDonough &amp; Sun 1995 values'!K$2,)</f>
        <v>0.81944444444444442</v>
      </c>
      <c r="EU327" s="18">
        <f>IFERROR(CV327/'McDonough &amp; Sun 1995 values'!L$2,)</f>
        <v>0.50686567164179097</v>
      </c>
      <c r="EV327" s="18">
        <f>IFERROR(CW327/'McDonough &amp; Sun 1995 values'!M$2,)</f>
        <v>0</v>
      </c>
      <c r="EW327" s="18">
        <f>IFERROR(CI327/'McDonough &amp; Sun 1995 values'!N$2,)</f>
        <v>0.27391959798994975</v>
      </c>
      <c r="EX327" s="18">
        <f>IFERROR(CX327/'McDonough &amp; Sun 1995 values'!O$2,)</f>
        <v>0.1648</v>
      </c>
      <c r="EY327" s="18">
        <f>IFERROR(CY327/'McDonough &amp; Sun 1995 values'!P$2,)</f>
        <v>0.13300492610837436</v>
      </c>
      <c r="EZ327" s="18">
        <f>IFERROR(DH327/'McDonough &amp; Sun 1995 values'!Q$2,)</f>
        <v>0</v>
      </c>
      <c r="FA327" s="18">
        <f>IFERROR(CK327/'McDonough &amp; Sun 1995 values'!R$2,)</f>
        <v>0</v>
      </c>
      <c r="FB327" s="18">
        <f>IFERROR(CZ327/'McDonough &amp; Sun 1995 values'!S$2,)</f>
        <v>4.5454545454545456E-2</v>
      </c>
      <c r="FC327" s="18">
        <f>IFERROR(BT327/'McDonough &amp; Sun 1995 values'!T$2,)</f>
        <v>0</v>
      </c>
      <c r="FD327" s="18">
        <f>IFERROR(DA327/'McDonough &amp; Sun 1995 values'!U$2,)</f>
        <v>0</v>
      </c>
      <c r="FE327" s="18">
        <f>IFERROR(DN327/'McDonough &amp; Sun 1995 values'!V$2,)</f>
        <v>0</v>
      </c>
      <c r="FF327" s="18">
        <f>IFERROR(DB327/'McDonough &amp; Sun 1995 values'!W$2,)</f>
        <v>0</v>
      </c>
      <c r="FG327" s="18">
        <f>IFERROR(CJ327/'McDonough &amp; Sun 1995 values'!X$2,)</f>
        <v>0</v>
      </c>
      <c r="FH327" s="18">
        <f>IFERROR(DC327/'McDonough &amp; Sun 1995 values'!Y$2,)</f>
        <v>0</v>
      </c>
      <c r="FI327" s="18">
        <f>IFERROR(DD327/'McDonough &amp; Sun 1995 values'!Z$2,)</f>
        <v>0</v>
      </c>
      <c r="FJ327" s="18">
        <f>IFERROR(DE327/'McDonough &amp; Sun 1995 values'!AA$2,)</f>
        <v>0</v>
      </c>
      <c r="FK327" s="18">
        <f>IFERROR(DF327/'McDonough &amp; Sun 1995 values'!AB$2,)</f>
        <v>0</v>
      </c>
      <c r="FL327" s="18">
        <f>IFERROR(DG327/'McDonough &amp; Sun 1995 values'!AC$2,)</f>
        <v>0</v>
      </c>
      <c r="FN327" s="28">
        <f t="shared" si="758"/>
        <v>0</v>
      </c>
      <c r="FO327" s="4">
        <f t="shared" si="699"/>
        <v>1.1715017825311942</v>
      </c>
      <c r="FP327" s="4">
        <f t="shared" si="700"/>
        <v>2.8567070308833191</v>
      </c>
      <c r="FQ327" s="4">
        <f t="shared" si="701"/>
        <v>2.7787643359230483</v>
      </c>
      <c r="FR327" s="4">
        <f t="shared" si="702"/>
        <v>1.0059597844112769</v>
      </c>
      <c r="FS327" s="4">
        <f t="shared" si="703"/>
        <v>0</v>
      </c>
      <c r="FT327" s="4">
        <f t="shared" si="704"/>
        <v>0</v>
      </c>
      <c r="FU327" s="4">
        <f t="shared" si="705"/>
        <v>0</v>
      </c>
      <c r="FV327" s="4">
        <f t="shared" si="706"/>
        <v>0</v>
      </c>
      <c r="FW327" s="4">
        <f t="shared" si="707"/>
        <v>0</v>
      </c>
      <c r="FX327" s="4">
        <f t="shared" si="708"/>
        <v>0.68350168350168361</v>
      </c>
      <c r="FY327" s="4">
        <f t="shared" si="709"/>
        <v>0</v>
      </c>
      <c r="FZ327" s="4">
        <f t="shared" si="710"/>
        <v>0</v>
      </c>
      <c r="GA327" s="4">
        <f t="shared" si="711"/>
        <v>0</v>
      </c>
      <c r="GB327" s="4">
        <f t="shared" si="712"/>
        <v>0.34175084175084181</v>
      </c>
      <c r="GC327" s="4">
        <f t="shared" si="713"/>
        <v>0</v>
      </c>
      <c r="GD327" s="4">
        <f t="shared" si="714"/>
        <v>0.42159090909090913</v>
      </c>
      <c r="GE327" s="4">
        <f t="shared" si="715"/>
        <v>2.2815362931642</v>
      </c>
      <c r="GF327" s="4">
        <f t="shared" si="716"/>
        <v>0</v>
      </c>
      <c r="GG327" s="4">
        <f t="shared" si="717"/>
        <v>1.2043617141564904</v>
      </c>
      <c r="GH327" s="4">
        <f t="shared" si="718"/>
        <v>0</v>
      </c>
      <c r="GI327" s="4">
        <f t="shared" si="719"/>
        <v>6.1610082304526754</v>
      </c>
      <c r="GJ327" s="4">
        <f t="shared" si="720"/>
        <v>0</v>
      </c>
      <c r="GK327" s="4">
        <f t="shared" si="721"/>
        <v>0</v>
      </c>
      <c r="GL327" s="4">
        <f t="shared" si="722"/>
        <v>0</v>
      </c>
      <c r="GM327" s="4">
        <f t="shared" si="723"/>
        <v>5.4117302910633311</v>
      </c>
      <c r="GN327" s="4">
        <f t="shared" si="724"/>
        <v>0.99407552418731648</v>
      </c>
      <c r="GO327" s="4">
        <f t="shared" si="725"/>
        <v>0.97271589486858567</v>
      </c>
      <c r="GP327" s="4">
        <f t="shared" si="726"/>
        <v>0</v>
      </c>
      <c r="GQ327" s="27">
        <f t="shared" si="727"/>
        <v>0</v>
      </c>
      <c r="GR327" s="28" t="str">
        <f t="shared" si="728"/>
        <v/>
      </c>
      <c r="GS327" s="28" t="str">
        <f t="shared" si="729"/>
        <v/>
      </c>
      <c r="GT327" s="28" t="str">
        <f t="shared" si="730"/>
        <v/>
      </c>
      <c r="GU327" s="28" t="str">
        <f t="shared" si="731"/>
        <v/>
      </c>
      <c r="GV327" s="28" t="str">
        <f t="shared" si="732"/>
        <v/>
      </c>
      <c r="GW327" s="28" t="str">
        <f t="shared" si="733"/>
        <v/>
      </c>
      <c r="GX327" s="28" t="str">
        <f t="shared" si="734"/>
        <v/>
      </c>
      <c r="GY327" s="28" t="str">
        <f t="shared" si="735"/>
        <v/>
      </c>
      <c r="GZ327" s="28" t="str">
        <f t="shared" si="736"/>
        <v/>
      </c>
      <c r="HA327" s="28" t="str">
        <f t="shared" si="737"/>
        <v/>
      </c>
      <c r="HB327" s="28" t="str">
        <f t="shared" si="738"/>
        <v/>
      </c>
      <c r="HC327" s="28" t="str">
        <f t="shared" si="739"/>
        <v/>
      </c>
      <c r="HD327" s="28" t="str">
        <f t="shared" si="740"/>
        <v/>
      </c>
      <c r="HE327" s="28" t="str">
        <f t="shared" si="741"/>
        <v/>
      </c>
      <c r="HF327" s="28" t="str">
        <f t="shared" si="742"/>
        <v/>
      </c>
      <c r="HG327" s="28" t="str">
        <f t="shared" si="743"/>
        <v/>
      </c>
      <c r="HH327" s="28" t="str">
        <f t="shared" si="744"/>
        <v/>
      </c>
      <c r="HI327" s="28" t="str">
        <f t="shared" si="745"/>
        <v/>
      </c>
      <c r="HJ327" s="28" t="str">
        <f t="shared" si="746"/>
        <v/>
      </c>
      <c r="HK327" s="28" t="str">
        <f t="shared" si="747"/>
        <v/>
      </c>
      <c r="HL327" s="28" t="str">
        <f t="shared" si="748"/>
        <v/>
      </c>
      <c r="HM327" s="28" t="str">
        <f t="shared" si="749"/>
        <v/>
      </c>
      <c r="HN327" s="28" t="str">
        <f t="shared" si="750"/>
        <v/>
      </c>
      <c r="HO327" s="28" t="str">
        <f t="shared" si="751"/>
        <v/>
      </c>
      <c r="HP327" s="28" t="str">
        <f t="shared" si="752"/>
        <v/>
      </c>
      <c r="HQ327" s="28" t="str">
        <f t="shared" si="753"/>
        <v/>
      </c>
      <c r="HR327" s="28" t="str">
        <f t="shared" si="754"/>
        <v/>
      </c>
      <c r="HT327" s="4">
        <f>IFERROR(GR327/'McDonough &amp; Sun 1995 values'!C$2,)</f>
        <v>0</v>
      </c>
      <c r="HU327" s="4">
        <f>IFERROR(GS327/'McDonough &amp; Sun 1995 values'!D$2,)</f>
        <v>0</v>
      </c>
      <c r="HV327" s="4">
        <f>IFERROR(GT327/'McDonough &amp; Sun 1995 values'!E$2,)</f>
        <v>0</v>
      </c>
      <c r="HW327" s="4">
        <f>IFERROR(GU327/'McDonough &amp; Sun 1995 values'!F$2,)</f>
        <v>0</v>
      </c>
      <c r="HX327" s="4">
        <f>IFERROR(GV327/'McDonough &amp; Sun 1995 values'!G$2,)</f>
        <v>0</v>
      </c>
      <c r="HY327" s="4">
        <f>IFERROR(GW327/'McDonough &amp; Sun 1995 values'!H$2,)</f>
        <v>0</v>
      </c>
      <c r="HZ327" s="4">
        <f>IFERROR(GX327/'McDonough &amp; Sun 1995 values'!I$2,)</f>
        <v>0</v>
      </c>
      <c r="IA327" s="4">
        <f>IFERROR(GY327/'McDonough &amp; Sun 1995 values'!J$2,)</f>
        <v>0</v>
      </c>
      <c r="IB327" s="4">
        <f>IFERROR(GZ327/'McDonough &amp; Sun 1995 values'!K$2,)</f>
        <v>0</v>
      </c>
      <c r="IC327" s="4">
        <f>IFERROR(HA327/'McDonough &amp; Sun 1995 values'!L$2,)</f>
        <v>0</v>
      </c>
      <c r="ID327" s="4">
        <f>IFERROR(HB327/'McDonough &amp; Sun 1995 values'!M$2,)</f>
        <v>0</v>
      </c>
      <c r="IE327" s="4">
        <f>IFERROR(HC327/'McDonough &amp; Sun 1995 values'!N$2,)</f>
        <v>0</v>
      </c>
      <c r="IF327" s="4">
        <f>IFERROR(HD327/'McDonough &amp; Sun 1995 values'!O$2,)</f>
        <v>0</v>
      </c>
      <c r="IG327" s="4">
        <f>IFERROR(HE327/'McDonough &amp; Sun 1995 values'!P$2,)</f>
        <v>0</v>
      </c>
      <c r="IH327" s="4">
        <f>IFERROR(HF327/'McDonough &amp; Sun 1995 values'!Q$2,)</f>
        <v>0</v>
      </c>
      <c r="II327" s="4">
        <f>IFERROR(HG327/'McDonough &amp; Sun 1995 values'!R$2,)</f>
        <v>0</v>
      </c>
      <c r="IJ327" s="4">
        <f>IFERROR(HH327/'McDonough &amp; Sun 1995 values'!S$2,)</f>
        <v>0</v>
      </c>
      <c r="IK327" s="4">
        <f>IFERROR(HI327/'McDonough &amp; Sun 1995 values'!T$2,)</f>
        <v>0</v>
      </c>
      <c r="IL327" s="4">
        <f>IFERROR(HJ327/'McDonough &amp; Sun 1995 values'!U$2,)</f>
        <v>0</v>
      </c>
      <c r="IM327" s="4">
        <f>IFERROR(HK327/'McDonough &amp; Sun 1995 values'!V$2,)</f>
        <v>0</v>
      </c>
      <c r="IN327" s="4">
        <f>IFERROR(HL327/'McDonough &amp; Sun 1995 values'!W$2,)</f>
        <v>0</v>
      </c>
      <c r="IO327" s="4">
        <f>IFERROR(HM327/'McDonough &amp; Sun 1995 values'!X$2,)</f>
        <v>0</v>
      </c>
      <c r="IP327" s="4">
        <f>IFERROR(HN327/'McDonough &amp; Sun 1995 values'!Y$2,)</f>
        <v>0</v>
      </c>
      <c r="IQ327" s="4">
        <f>IFERROR(HO327/'McDonough &amp; Sun 1995 values'!Z$2,)</f>
        <v>0</v>
      </c>
      <c r="IR327" s="4">
        <f>IFERROR(HP327/'McDonough &amp; Sun 1995 values'!AA$2,)</f>
        <v>0</v>
      </c>
      <c r="IS327" s="4">
        <f>IFERROR(HQ327/'McDonough &amp; Sun 1995 values'!AB$2,)</f>
        <v>0</v>
      </c>
      <c r="IT327" s="4">
        <f>IFERROR(HR327/'McDonough &amp; Sun 1995 values'!AC$2,)</f>
        <v>0</v>
      </c>
    </row>
    <row r="328" spans="1:254">
      <c r="A328" s="16" t="s">
        <v>1211</v>
      </c>
      <c r="B328" s="16" t="s">
        <v>24</v>
      </c>
      <c r="C328" s="16" t="s">
        <v>1369</v>
      </c>
      <c r="D328" s="16" t="s">
        <v>1204</v>
      </c>
      <c r="E328" s="16" t="s">
        <v>237</v>
      </c>
      <c r="F328" s="16" t="s">
        <v>163</v>
      </c>
      <c r="G328" s="16" t="s">
        <v>595</v>
      </c>
      <c r="H328" s="27">
        <v>355</v>
      </c>
      <c r="I328" s="16">
        <v>0</v>
      </c>
      <c r="J328" s="16" t="s">
        <v>1311</v>
      </c>
      <c r="K328" s="16" t="s">
        <v>1276</v>
      </c>
      <c r="L328" s="16">
        <v>0</v>
      </c>
      <c r="M328" s="16" t="s">
        <v>1423</v>
      </c>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f t="shared" si="769"/>
        <v>0</v>
      </c>
      <c r="AK328" s="26"/>
      <c r="AL328" s="26"/>
      <c r="AM328" s="26"/>
      <c r="AN328" s="26"/>
      <c r="AO328" s="26"/>
      <c r="AP328" s="26"/>
      <c r="AQ328" s="26"/>
      <c r="AR328" s="26"/>
      <c r="AS328" s="26"/>
      <c r="AT328" s="26"/>
      <c r="AU328" s="26"/>
      <c r="AV328" s="26"/>
      <c r="AW328" s="16"/>
      <c r="AX328" s="16"/>
      <c r="AY328" s="16"/>
      <c r="AZ328" s="16"/>
      <c r="BA328" s="26"/>
      <c r="BB328" s="26"/>
      <c r="BC328" s="26"/>
      <c r="BD328" s="26"/>
      <c r="BE328" s="16"/>
      <c r="BF328" s="16"/>
      <c r="BG328" s="16"/>
      <c r="BH328" s="16"/>
      <c r="BI328" s="16"/>
      <c r="BJ328" s="16"/>
      <c r="BK328" s="18"/>
      <c r="BL328" s="18"/>
      <c r="BM328" s="18"/>
      <c r="BN328" s="18"/>
      <c r="BO328" s="18"/>
      <c r="BP328" s="18"/>
      <c r="BQ328" s="18"/>
      <c r="BR328" s="18"/>
      <c r="BS328" s="18"/>
      <c r="BT328" s="18" t="s">
        <v>1192</v>
      </c>
      <c r="BU328" s="18"/>
      <c r="BV328" s="18"/>
      <c r="BW328" s="18"/>
      <c r="BX328" s="18"/>
      <c r="BY328" s="18"/>
      <c r="BZ328" s="18"/>
      <c r="CA328" s="18"/>
      <c r="CB328" s="18"/>
      <c r="CC328" s="18"/>
      <c r="CD328" s="18"/>
      <c r="CE328" s="18"/>
      <c r="CF328" s="18"/>
      <c r="CG328" s="18"/>
      <c r="CH328" s="18">
        <v>0.45900000000000002</v>
      </c>
      <c r="CI328" s="18">
        <v>6.5380000000000003</v>
      </c>
      <c r="CJ328" s="18">
        <v>1.0999999999999999E-2</v>
      </c>
      <c r="CK328" s="18">
        <v>0.437</v>
      </c>
      <c r="CL328" s="18"/>
      <c r="CM328" s="18">
        <v>1.3240000000000001</v>
      </c>
      <c r="CN328" s="18"/>
      <c r="CO328" s="18"/>
      <c r="CP328" s="18"/>
      <c r="CQ328" s="18"/>
      <c r="CR328" s="18"/>
      <c r="CS328" s="18">
        <v>12.73</v>
      </c>
      <c r="CT328" s="18"/>
      <c r="CU328" s="18">
        <v>1.105</v>
      </c>
      <c r="CV328" s="18">
        <v>1.754</v>
      </c>
      <c r="CW328" s="18">
        <v>0.17899999999999999</v>
      </c>
      <c r="CX328" s="18">
        <v>0.58099999999999996</v>
      </c>
      <c r="CY328" s="18">
        <v>0.05</v>
      </c>
      <c r="CZ328" s="18">
        <v>8.9999999999999993E-3</v>
      </c>
      <c r="DA328" s="18">
        <v>8.9999999999999993E-3</v>
      </c>
      <c r="DB328" s="18" t="s">
        <v>1192</v>
      </c>
      <c r="DC328" s="18"/>
      <c r="DD328" s="18" t="s">
        <v>1192</v>
      </c>
      <c r="DE328" s="18"/>
      <c r="DF328" s="18" t="s">
        <v>1192</v>
      </c>
      <c r="DG328" s="18" t="s">
        <v>1192</v>
      </c>
      <c r="DH328" s="18"/>
      <c r="DI328" s="18"/>
      <c r="DJ328" s="18"/>
      <c r="DK328" s="18" t="s">
        <v>1192</v>
      </c>
      <c r="DL328" s="18">
        <v>0.159</v>
      </c>
      <c r="DM328" s="18">
        <v>2.7E-2</v>
      </c>
      <c r="DN328" s="18" t="s">
        <v>1192</v>
      </c>
      <c r="DO328" s="18"/>
      <c r="DP328" s="18"/>
      <c r="DQ328" s="18"/>
      <c r="DR328" s="18"/>
      <c r="DS328" s="18"/>
      <c r="DT328" s="18">
        <v>0</v>
      </c>
      <c r="DU328" s="18">
        <v>0</v>
      </c>
      <c r="DV328" s="28">
        <v>0.70445999999999998</v>
      </c>
      <c r="DW328" s="28">
        <v>1.1E-4</v>
      </c>
      <c r="DX328" s="28">
        <v>0.70340999999999998</v>
      </c>
      <c r="DY328" s="28">
        <v>0</v>
      </c>
      <c r="DZ328" s="28">
        <v>-9.4689999999999994</v>
      </c>
      <c r="EA328" s="28">
        <v>0</v>
      </c>
      <c r="EB328" s="28">
        <v>0</v>
      </c>
      <c r="EC328" s="28">
        <v>0</v>
      </c>
      <c r="ED328" s="28">
        <v>0</v>
      </c>
      <c r="EE328" s="28">
        <v>0</v>
      </c>
      <c r="EF328" s="28">
        <v>0</v>
      </c>
      <c r="EG328" s="28">
        <v>0</v>
      </c>
      <c r="EH328" s="28">
        <v>0</v>
      </c>
      <c r="EI328" s="28">
        <v>0</v>
      </c>
      <c r="EJ328" s="18">
        <v>0</v>
      </c>
      <c r="EK328" s="18"/>
      <c r="EL328" s="18">
        <f>IFERROR(CR328/'McDonough &amp; Sun 1995 values'!C$2,)</f>
        <v>0</v>
      </c>
      <c r="EM328" s="18">
        <f>IFERROR(CH328/'McDonough &amp; Sun 1995 values'!D$2,)</f>
        <v>0.76500000000000001</v>
      </c>
      <c r="EN328" s="18">
        <f>IFERROR(CS328/'McDonough &amp; Sun 1995 values'!E$2,)</f>
        <v>1.9287878787878789</v>
      </c>
      <c r="EO328" s="18">
        <f>IFERROR(DL328/'McDonough &amp; Sun 1995 values'!F$2,)</f>
        <v>2</v>
      </c>
      <c r="EP328" s="18">
        <f>IFERROR(DM328/'McDonough &amp; Sun 1995 values'!G$2,)</f>
        <v>1.330049261083744</v>
      </c>
      <c r="EQ328" s="18">
        <f>IFERROR(BR328/'McDonough &amp; Sun 1995 values'!H$2,)</f>
        <v>0</v>
      </c>
      <c r="ER328" s="18">
        <f>IFERROR(DI328/'McDonough &amp; Sun 1995 values'!I$2,)</f>
        <v>0</v>
      </c>
      <c r="ES328" s="18">
        <f>IFERROR(CM328/'McDonough &amp; Sun 1995 values'!J$2,)</f>
        <v>2.0121580547112461</v>
      </c>
      <c r="ET328" s="18">
        <f>IFERROR(CU328/'McDonough &amp; Sun 1995 values'!K$2,)</f>
        <v>1.7052469135802468</v>
      </c>
      <c r="EU328" s="18">
        <f>IFERROR(CV328/'McDonough &amp; Sun 1995 values'!L$2,)</f>
        <v>1.0471641791044777</v>
      </c>
      <c r="EV328" s="18">
        <f>IFERROR(CW328/'McDonough &amp; Sun 1995 values'!M$2,)</f>
        <v>0.70472440944881887</v>
      </c>
      <c r="EW328" s="18">
        <f>IFERROR(CI328/'McDonough &amp; Sun 1995 values'!N$2,)</f>
        <v>0.32854271356783921</v>
      </c>
      <c r="EX328" s="18">
        <f>IFERROR(CX328/'McDonough &amp; Sun 1995 values'!O$2,)</f>
        <v>0.46479999999999999</v>
      </c>
      <c r="EY328" s="18">
        <f>IFERROR(CY328/'McDonough &amp; Sun 1995 values'!P$2,)</f>
        <v>0.12315270935960591</v>
      </c>
      <c r="EZ328" s="18">
        <f>IFERROR(DH328/'McDonough &amp; Sun 1995 values'!Q$2,)</f>
        <v>0</v>
      </c>
      <c r="FA328" s="18">
        <f>IFERROR(CK328/'McDonough &amp; Sun 1995 values'!R$2,)</f>
        <v>4.1619047619047618E-2</v>
      </c>
      <c r="FB328" s="18">
        <f>IFERROR(CZ328/'McDonough &amp; Sun 1995 values'!S$2,)</f>
        <v>5.844155844155844E-2</v>
      </c>
      <c r="FC328" s="18">
        <f>IFERROR(BT328/'McDonough &amp; Sun 1995 values'!T$2,)</f>
        <v>0</v>
      </c>
      <c r="FD328" s="18">
        <f>IFERROR(DA328/'McDonough &amp; Sun 1995 values'!U$2,)</f>
        <v>1.654411764705882E-2</v>
      </c>
      <c r="FE328" s="18">
        <f>IFERROR(DN328/'McDonough &amp; Sun 1995 values'!V$2,)</f>
        <v>0</v>
      </c>
      <c r="FF328" s="18">
        <f>IFERROR(DB328/'McDonough &amp; Sun 1995 values'!W$2,)</f>
        <v>0</v>
      </c>
      <c r="FG328" s="18">
        <f>IFERROR(CJ328/'McDonough &amp; Sun 1995 values'!X$2,)</f>
        <v>2.5581395348837207E-3</v>
      </c>
      <c r="FH328" s="18">
        <f>IFERROR(DC328/'McDonough &amp; Sun 1995 values'!Y$2,)</f>
        <v>0</v>
      </c>
      <c r="FI328" s="18">
        <f>IFERROR(DD328/'McDonough &amp; Sun 1995 values'!Z$2,)</f>
        <v>0</v>
      </c>
      <c r="FJ328" s="18">
        <f>IFERROR(DE328/'McDonough &amp; Sun 1995 values'!AA$2,)</f>
        <v>0</v>
      </c>
      <c r="FK328" s="18">
        <f>IFERROR(DF328/'McDonough &amp; Sun 1995 values'!AB$2,)</f>
        <v>0</v>
      </c>
      <c r="FL328" s="18">
        <f>IFERROR(DG328/'McDonough &amp; Sun 1995 values'!AC$2,)</f>
        <v>0</v>
      </c>
      <c r="FN328" s="28">
        <f t="shared" si="758"/>
        <v>0</v>
      </c>
      <c r="FO328" s="4">
        <f t="shared" si="699"/>
        <v>1.4501627384960718</v>
      </c>
      <c r="FP328" s="4">
        <f t="shared" si="700"/>
        <v>0.9939577039274925</v>
      </c>
      <c r="FQ328" s="4">
        <f t="shared" si="701"/>
        <v>1.5037037037037035</v>
      </c>
      <c r="FR328" s="4">
        <f t="shared" si="702"/>
        <v>0.84747165342583264</v>
      </c>
      <c r="FS328" s="4">
        <f t="shared" si="703"/>
        <v>0</v>
      </c>
      <c r="FT328" s="4">
        <f t="shared" si="704"/>
        <v>0</v>
      </c>
      <c r="FU328" s="4">
        <f t="shared" si="705"/>
        <v>0</v>
      </c>
      <c r="FV328" s="4">
        <f t="shared" si="706"/>
        <v>0.33794666666666667</v>
      </c>
      <c r="FW328" s="4">
        <f t="shared" si="707"/>
        <v>0</v>
      </c>
      <c r="FX328" s="4">
        <f t="shared" si="708"/>
        <v>0.83669127916227148</v>
      </c>
      <c r="FY328" s="4">
        <f t="shared" si="709"/>
        <v>0.57404920914620927</v>
      </c>
      <c r="FZ328" s="4">
        <f t="shared" si="710"/>
        <v>1.2947263845546153</v>
      </c>
      <c r="GA328" s="4">
        <f t="shared" si="711"/>
        <v>0.46620027511860984</v>
      </c>
      <c r="GB328" s="4">
        <f t="shared" si="712"/>
        <v>0.47454545454545455</v>
      </c>
      <c r="GC328" s="4">
        <f t="shared" si="713"/>
        <v>0</v>
      </c>
      <c r="GD328" s="4">
        <f t="shared" si="714"/>
        <v>0.96439393939393947</v>
      </c>
      <c r="GE328" s="4">
        <f t="shared" si="715"/>
        <v>2.5212913448207566</v>
      </c>
      <c r="GF328" s="4">
        <f t="shared" si="716"/>
        <v>0</v>
      </c>
      <c r="GG328" s="4">
        <f t="shared" si="717"/>
        <v>0.95856678568158948</v>
      </c>
      <c r="GH328" s="4">
        <f t="shared" si="718"/>
        <v>2.4197358438513001</v>
      </c>
      <c r="GI328" s="4">
        <f t="shared" si="719"/>
        <v>13.846604938271604</v>
      </c>
      <c r="GJ328" s="4">
        <f t="shared" si="720"/>
        <v>0</v>
      </c>
      <c r="GK328" s="4">
        <f t="shared" si="721"/>
        <v>0</v>
      </c>
      <c r="GL328" s="4">
        <f t="shared" si="722"/>
        <v>0</v>
      </c>
      <c r="GM328" s="4">
        <f t="shared" si="723"/>
        <v>2.6143790849673203</v>
      </c>
      <c r="GN328" s="4">
        <f t="shared" si="724"/>
        <v>1.1799804700931109</v>
      </c>
      <c r="GO328" s="4">
        <f t="shared" si="725"/>
        <v>1.5128447596532701</v>
      </c>
      <c r="GP328" s="4">
        <f t="shared" si="726"/>
        <v>0</v>
      </c>
      <c r="GQ328" s="27">
        <f t="shared" si="727"/>
        <v>0</v>
      </c>
      <c r="GR328" s="28" t="str">
        <f t="shared" si="728"/>
        <v/>
      </c>
      <c r="GS328" s="28" t="str">
        <f t="shared" si="729"/>
        <v/>
      </c>
      <c r="GT328" s="28" t="str">
        <f t="shared" si="730"/>
        <v/>
      </c>
      <c r="GU328" s="28" t="str">
        <f t="shared" si="731"/>
        <v/>
      </c>
      <c r="GV328" s="28" t="str">
        <f t="shared" si="732"/>
        <v/>
      </c>
      <c r="GW328" s="28" t="str">
        <f t="shared" si="733"/>
        <v/>
      </c>
      <c r="GX328" s="28" t="str">
        <f t="shared" si="734"/>
        <v/>
      </c>
      <c r="GY328" s="28" t="str">
        <f t="shared" si="735"/>
        <v/>
      </c>
      <c r="GZ328" s="28" t="str">
        <f t="shared" si="736"/>
        <v/>
      </c>
      <c r="HA328" s="28" t="str">
        <f t="shared" si="737"/>
        <v/>
      </c>
      <c r="HB328" s="28" t="str">
        <f t="shared" si="738"/>
        <v/>
      </c>
      <c r="HC328" s="28" t="str">
        <f t="shared" si="739"/>
        <v/>
      </c>
      <c r="HD328" s="28" t="str">
        <f t="shared" si="740"/>
        <v/>
      </c>
      <c r="HE328" s="28" t="str">
        <f t="shared" si="741"/>
        <v/>
      </c>
      <c r="HF328" s="28" t="str">
        <f t="shared" si="742"/>
        <v/>
      </c>
      <c r="HG328" s="28" t="str">
        <f t="shared" si="743"/>
        <v/>
      </c>
      <c r="HH328" s="28" t="str">
        <f t="shared" si="744"/>
        <v/>
      </c>
      <c r="HI328" s="28" t="str">
        <f t="shared" si="745"/>
        <v/>
      </c>
      <c r="HJ328" s="28" t="str">
        <f t="shared" si="746"/>
        <v/>
      </c>
      <c r="HK328" s="28" t="str">
        <f t="shared" si="747"/>
        <v/>
      </c>
      <c r="HL328" s="28" t="str">
        <f t="shared" si="748"/>
        <v/>
      </c>
      <c r="HM328" s="28" t="str">
        <f t="shared" si="749"/>
        <v/>
      </c>
      <c r="HN328" s="28" t="str">
        <f t="shared" si="750"/>
        <v/>
      </c>
      <c r="HO328" s="28" t="str">
        <f t="shared" si="751"/>
        <v/>
      </c>
      <c r="HP328" s="28" t="str">
        <f t="shared" si="752"/>
        <v/>
      </c>
      <c r="HQ328" s="28" t="str">
        <f t="shared" si="753"/>
        <v/>
      </c>
      <c r="HR328" s="28" t="str">
        <f t="shared" si="754"/>
        <v/>
      </c>
      <c r="HT328" s="4">
        <f>IFERROR(GR328/'McDonough &amp; Sun 1995 values'!C$2,)</f>
        <v>0</v>
      </c>
      <c r="HU328" s="4">
        <f>IFERROR(GS328/'McDonough &amp; Sun 1995 values'!D$2,)</f>
        <v>0</v>
      </c>
      <c r="HV328" s="4">
        <f>IFERROR(GT328/'McDonough &amp; Sun 1995 values'!E$2,)</f>
        <v>0</v>
      </c>
      <c r="HW328" s="4">
        <f>IFERROR(GU328/'McDonough &amp; Sun 1995 values'!F$2,)</f>
        <v>0</v>
      </c>
      <c r="HX328" s="4">
        <f>IFERROR(GV328/'McDonough &amp; Sun 1995 values'!G$2,)</f>
        <v>0</v>
      </c>
      <c r="HY328" s="4">
        <f>IFERROR(GW328/'McDonough &amp; Sun 1995 values'!H$2,)</f>
        <v>0</v>
      </c>
      <c r="HZ328" s="4">
        <f>IFERROR(GX328/'McDonough &amp; Sun 1995 values'!I$2,)</f>
        <v>0</v>
      </c>
      <c r="IA328" s="4">
        <f>IFERROR(GY328/'McDonough &amp; Sun 1995 values'!J$2,)</f>
        <v>0</v>
      </c>
      <c r="IB328" s="4">
        <f>IFERROR(GZ328/'McDonough &amp; Sun 1995 values'!K$2,)</f>
        <v>0</v>
      </c>
      <c r="IC328" s="4">
        <f>IFERROR(HA328/'McDonough &amp; Sun 1995 values'!L$2,)</f>
        <v>0</v>
      </c>
      <c r="ID328" s="4">
        <f>IFERROR(HB328/'McDonough &amp; Sun 1995 values'!M$2,)</f>
        <v>0</v>
      </c>
      <c r="IE328" s="4">
        <f>IFERROR(HC328/'McDonough &amp; Sun 1995 values'!N$2,)</f>
        <v>0</v>
      </c>
      <c r="IF328" s="4">
        <f>IFERROR(HD328/'McDonough &amp; Sun 1995 values'!O$2,)</f>
        <v>0</v>
      </c>
      <c r="IG328" s="4">
        <f>IFERROR(HE328/'McDonough &amp; Sun 1995 values'!P$2,)</f>
        <v>0</v>
      </c>
      <c r="IH328" s="4">
        <f>IFERROR(HF328/'McDonough &amp; Sun 1995 values'!Q$2,)</f>
        <v>0</v>
      </c>
      <c r="II328" s="4">
        <f>IFERROR(HG328/'McDonough &amp; Sun 1995 values'!R$2,)</f>
        <v>0</v>
      </c>
      <c r="IJ328" s="4">
        <f>IFERROR(HH328/'McDonough &amp; Sun 1995 values'!S$2,)</f>
        <v>0</v>
      </c>
      <c r="IK328" s="4">
        <f>IFERROR(HI328/'McDonough &amp; Sun 1995 values'!T$2,)</f>
        <v>0</v>
      </c>
      <c r="IL328" s="4">
        <f>IFERROR(HJ328/'McDonough &amp; Sun 1995 values'!U$2,)</f>
        <v>0</v>
      </c>
      <c r="IM328" s="4">
        <f>IFERROR(HK328/'McDonough &amp; Sun 1995 values'!V$2,)</f>
        <v>0</v>
      </c>
      <c r="IN328" s="4">
        <f>IFERROR(HL328/'McDonough &amp; Sun 1995 values'!W$2,)</f>
        <v>0</v>
      </c>
      <c r="IO328" s="4">
        <f>IFERROR(HM328/'McDonough &amp; Sun 1995 values'!X$2,)</f>
        <v>0</v>
      </c>
      <c r="IP328" s="4">
        <f>IFERROR(HN328/'McDonough &amp; Sun 1995 values'!Y$2,)</f>
        <v>0</v>
      </c>
      <c r="IQ328" s="4">
        <f>IFERROR(HO328/'McDonough &amp; Sun 1995 values'!Z$2,)</f>
        <v>0</v>
      </c>
      <c r="IR328" s="4">
        <f>IFERROR(HP328/'McDonough &amp; Sun 1995 values'!AA$2,)</f>
        <v>0</v>
      </c>
      <c r="IS328" s="4">
        <f>IFERROR(HQ328/'McDonough &amp; Sun 1995 values'!AB$2,)</f>
        <v>0</v>
      </c>
      <c r="IT328" s="4">
        <f>IFERROR(HR328/'McDonough &amp; Sun 1995 values'!AC$2,)</f>
        <v>0</v>
      </c>
    </row>
    <row r="329" spans="1:254">
      <c r="A329" s="16" t="s">
        <v>1211</v>
      </c>
      <c r="B329" s="16" t="s">
        <v>24</v>
      </c>
      <c r="C329" s="16" t="s">
        <v>1369</v>
      </c>
      <c r="D329" s="16" t="s">
        <v>119</v>
      </c>
      <c r="E329" s="16" t="s">
        <v>171</v>
      </c>
      <c r="F329" s="16" t="s">
        <v>120</v>
      </c>
      <c r="G329" s="16" t="s">
        <v>595</v>
      </c>
      <c r="H329" s="27">
        <v>53</v>
      </c>
      <c r="I329" s="16">
        <v>0</v>
      </c>
      <c r="J329" s="16" t="s">
        <v>1318</v>
      </c>
      <c r="K329" s="16" t="s">
        <v>968</v>
      </c>
      <c r="L329" s="16">
        <v>0</v>
      </c>
      <c r="M329" s="16" t="s">
        <v>1213</v>
      </c>
      <c r="N329" s="16"/>
      <c r="O329" s="16"/>
      <c r="P329" s="16"/>
      <c r="Q329" s="16"/>
      <c r="R329" s="16"/>
      <c r="S329" s="16"/>
      <c r="T329" s="16"/>
      <c r="U329" s="16"/>
      <c r="V329" s="16"/>
      <c r="W329" s="16"/>
      <c r="X329" s="16"/>
      <c r="Y329" s="16"/>
      <c r="Z329" s="16"/>
      <c r="AA329" s="16"/>
      <c r="AB329" s="16"/>
      <c r="AC329" s="16"/>
      <c r="AD329" s="16"/>
      <c r="AE329" s="16"/>
      <c r="AF329" s="16"/>
      <c r="AG329" s="16"/>
      <c r="AH329" s="16"/>
      <c r="AI329" s="16">
        <v>6.6</v>
      </c>
      <c r="AJ329" s="16">
        <f t="shared" si="769"/>
        <v>0</v>
      </c>
      <c r="AK329" s="26"/>
      <c r="AL329" s="26"/>
      <c r="AM329" s="26"/>
      <c r="AN329" s="26"/>
      <c r="AO329" s="26"/>
      <c r="AP329" s="26"/>
      <c r="AQ329" s="26"/>
      <c r="AR329" s="26"/>
      <c r="AS329" s="26"/>
      <c r="AT329" s="26"/>
      <c r="AU329" s="26"/>
      <c r="AV329" s="26"/>
      <c r="AW329" s="90"/>
      <c r="AX329" s="90"/>
      <c r="AY329" s="90"/>
      <c r="AZ329" s="90"/>
      <c r="BA329" s="104"/>
      <c r="BB329" s="104"/>
      <c r="BC329" s="26"/>
      <c r="BD329" s="2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v>0.23599999999999999</v>
      </c>
      <c r="CI329" s="16">
        <v>9.2349999999999994</v>
      </c>
      <c r="CJ329" s="16">
        <v>2.6499999999999999E-2</v>
      </c>
      <c r="CK329" s="16">
        <v>0.16</v>
      </c>
      <c r="CL329" s="16"/>
      <c r="CM329" s="16">
        <v>0.46350000000000002</v>
      </c>
      <c r="CN329" s="16"/>
      <c r="CO329" s="16"/>
      <c r="CP329" s="16"/>
      <c r="CQ329" s="16"/>
      <c r="CR329" s="16"/>
      <c r="CS329" s="16">
        <v>65.16</v>
      </c>
      <c r="CT329" s="16"/>
      <c r="CU329" s="16">
        <v>2.347</v>
      </c>
      <c r="CV329" s="16">
        <v>2.4195000000000002</v>
      </c>
      <c r="CW329" s="16">
        <v>0.16250000000000001</v>
      </c>
      <c r="CX329" s="16">
        <v>0.41799999999999998</v>
      </c>
      <c r="CY329" s="16">
        <v>3.3500000000000002E-2</v>
      </c>
      <c r="CZ329" s="16">
        <v>5.4999999999999997E-3</v>
      </c>
      <c r="DA329" s="16">
        <v>1.35E-2</v>
      </c>
      <c r="DB329" s="16">
        <v>6.0000000000000001E-3</v>
      </c>
      <c r="DC329" s="16"/>
      <c r="DD329" s="16"/>
      <c r="DE329" s="16"/>
      <c r="DF329" s="16"/>
      <c r="DG329" s="16"/>
      <c r="DH329" s="16">
        <v>1E-3</v>
      </c>
      <c r="DI329" s="16"/>
      <c r="DJ329" s="16"/>
      <c r="DK329" s="16">
        <v>0.93500000000000005</v>
      </c>
      <c r="DL329" s="16">
        <v>0.64800000000000002</v>
      </c>
      <c r="DM329" s="16">
        <v>7.5999999999999998E-2</v>
      </c>
      <c r="DN329" s="16">
        <v>1E-3</v>
      </c>
      <c r="DO329" s="16"/>
      <c r="DP329" s="16"/>
      <c r="DQ329" s="16"/>
      <c r="DR329" s="16"/>
      <c r="DS329" s="16"/>
      <c r="DT329" s="16"/>
      <c r="DU329" s="16"/>
      <c r="DV329" s="28">
        <v>0.70481000000000005</v>
      </c>
      <c r="DW329" s="28">
        <v>1E-4</v>
      </c>
      <c r="DX329" s="28">
        <v>0.70476000000000005</v>
      </c>
      <c r="DY329" s="28">
        <v>0</v>
      </c>
      <c r="DZ329" s="28">
        <v>4.601</v>
      </c>
      <c r="EA329" s="27"/>
      <c r="EB329" s="27"/>
      <c r="EC329" s="27"/>
      <c r="ED329" s="27"/>
      <c r="EE329" s="27"/>
      <c r="EF329" s="27"/>
      <c r="EG329" s="27"/>
      <c r="EH329" s="27"/>
      <c r="EI329" s="27"/>
      <c r="EJ329" s="16"/>
      <c r="EK329" s="18"/>
      <c r="EL329" s="18">
        <f>IFERROR(CR329/'McDonough &amp; Sun 1995 values'!C$2,)</f>
        <v>0</v>
      </c>
      <c r="EM329" s="18">
        <f>IFERROR(CH329/'McDonough &amp; Sun 1995 values'!D$2,)</f>
        <v>0.39333333333333331</v>
      </c>
      <c r="EN329" s="18">
        <f>IFERROR(CS329/'McDonough &amp; Sun 1995 values'!E$2,)</f>
        <v>9.872727272727273</v>
      </c>
      <c r="EO329" s="18">
        <f>IFERROR(DL329/'McDonough &amp; Sun 1995 values'!F$2,)</f>
        <v>8.1509433962264151</v>
      </c>
      <c r="EP329" s="18">
        <f>IFERROR(DM329/'McDonough &amp; Sun 1995 values'!G$2,)</f>
        <v>3.74384236453202</v>
      </c>
      <c r="EQ329" s="18">
        <f>IFERROR(BR329/'McDonough &amp; Sun 1995 values'!H$2,)</f>
        <v>0</v>
      </c>
      <c r="ER329" s="18">
        <f>IFERROR(DI329/'McDonough &amp; Sun 1995 values'!I$2,)</f>
        <v>0</v>
      </c>
      <c r="ES329" s="18">
        <f>IFERROR(CM329/'McDonough &amp; Sun 1995 values'!J$2,)</f>
        <v>0.70440729483282671</v>
      </c>
      <c r="ET329" s="18">
        <f>IFERROR(CU329/'McDonough &amp; Sun 1995 values'!K$2,)</f>
        <v>3.6219135802469133</v>
      </c>
      <c r="EU329" s="18">
        <f>IFERROR(CV329/'McDonough &amp; Sun 1995 values'!L$2,)</f>
        <v>1.4444776119402987</v>
      </c>
      <c r="EV329" s="18">
        <f>IFERROR(CW329/'McDonough &amp; Sun 1995 values'!M$2,)</f>
        <v>0.63976377952755903</v>
      </c>
      <c r="EW329" s="18">
        <f>IFERROR(CI329/'McDonough &amp; Sun 1995 values'!N$2,)</f>
        <v>0.46407035175879396</v>
      </c>
      <c r="EX329" s="18">
        <f>IFERROR(CX329/'McDonough &amp; Sun 1995 values'!O$2,)</f>
        <v>0.33439999999999998</v>
      </c>
      <c r="EY329" s="18">
        <f>IFERROR(CY329/'McDonough &amp; Sun 1995 values'!P$2,)</f>
        <v>8.2512315270935957E-2</v>
      </c>
      <c r="EZ329" s="18">
        <f>IFERROR(DH329/'McDonough &amp; Sun 1995 values'!Q$2,)</f>
        <v>3.53356890459364E-3</v>
      </c>
      <c r="FA329" s="18">
        <f>IFERROR(CK329/'McDonough &amp; Sun 1995 values'!R$2,)</f>
        <v>1.5238095238095238E-2</v>
      </c>
      <c r="FB329" s="18">
        <f>IFERROR(CZ329/'McDonough &amp; Sun 1995 values'!S$2,)</f>
        <v>3.5714285714285712E-2</v>
      </c>
      <c r="FC329" s="18">
        <f>IFERROR(BT329/'McDonough &amp; Sun 1995 values'!T$2,)</f>
        <v>0</v>
      </c>
      <c r="FD329" s="18">
        <f>IFERROR(DA329/'McDonough &amp; Sun 1995 values'!U$2,)</f>
        <v>2.4816176470588234E-2</v>
      </c>
      <c r="FE329" s="18">
        <f>IFERROR(DN329/'McDonough &amp; Sun 1995 values'!V$2,)</f>
        <v>1.01010101010101E-2</v>
      </c>
      <c r="FF329" s="18">
        <f>IFERROR(DB329/'McDonough &amp; Sun 1995 values'!W$2,)</f>
        <v>8.9020771513353119E-3</v>
      </c>
      <c r="FG329" s="18">
        <f>IFERROR(CJ329/'McDonough &amp; Sun 1995 values'!X$2,)</f>
        <v>6.1627906976744187E-3</v>
      </c>
      <c r="FH329" s="18">
        <f>IFERROR(DC329/'McDonough &amp; Sun 1995 values'!Y$2,)</f>
        <v>0</v>
      </c>
      <c r="FI329" s="18">
        <f>IFERROR(DD329/'McDonough &amp; Sun 1995 values'!Z$2,)</f>
        <v>0</v>
      </c>
      <c r="FJ329" s="18">
        <f>IFERROR(DE329/'McDonough &amp; Sun 1995 values'!AA$2,)</f>
        <v>0</v>
      </c>
      <c r="FK329" s="18">
        <f>IFERROR(DF329/'McDonough &amp; Sun 1995 values'!AB$2,)</f>
        <v>0</v>
      </c>
      <c r="FL329" s="18">
        <f>IFERROR(DG329/'McDonough &amp; Sun 1995 values'!AC$2,)</f>
        <v>0</v>
      </c>
      <c r="FM329" s="16"/>
      <c r="FN329" s="28">
        <f t="shared" si="758"/>
        <v>0</v>
      </c>
      <c r="FO329" s="4">
        <f t="shared" si="699"/>
        <v>2.6370574162679423</v>
      </c>
      <c r="FP329" s="4">
        <f t="shared" si="700"/>
        <v>11.571350064114307</v>
      </c>
      <c r="FQ329" s="4">
        <f t="shared" si="701"/>
        <v>2.1771598808341608</v>
      </c>
      <c r="FR329" s="4">
        <f t="shared" si="702"/>
        <v>5.1417888582577547</v>
      </c>
      <c r="FS329" s="4">
        <f t="shared" si="703"/>
        <v>0</v>
      </c>
      <c r="FT329" s="4">
        <f t="shared" si="704"/>
        <v>0</v>
      </c>
      <c r="FU329" s="4">
        <f t="shared" si="705"/>
        <v>0</v>
      </c>
      <c r="FV329" s="4">
        <f t="shared" si="706"/>
        <v>0.18467661691542289</v>
      </c>
      <c r="FW329" s="4">
        <f t="shared" si="707"/>
        <v>4.312380952380952</v>
      </c>
      <c r="FX329" s="4">
        <f t="shared" si="708"/>
        <v>0.66551360472474164</v>
      </c>
      <c r="FY329" s="4">
        <f t="shared" si="709"/>
        <v>1.0033232231336489</v>
      </c>
      <c r="FZ329" s="4">
        <f t="shared" si="710"/>
        <v>0.7892510121821783</v>
      </c>
      <c r="GA329" s="4">
        <f t="shared" si="711"/>
        <v>0.72537765751836103</v>
      </c>
      <c r="GB329" s="4">
        <f t="shared" si="712"/>
        <v>0.43283582089552236</v>
      </c>
      <c r="GC329" s="4">
        <f t="shared" si="713"/>
        <v>0</v>
      </c>
      <c r="GD329" s="4">
        <f t="shared" si="714"/>
        <v>1.2112373737373738</v>
      </c>
      <c r="GE329" s="4">
        <f t="shared" si="715"/>
        <v>25.100154083204934</v>
      </c>
      <c r="GF329" s="4">
        <f t="shared" si="716"/>
        <v>0</v>
      </c>
      <c r="GG329" s="4">
        <f t="shared" si="717"/>
        <v>14.015651662253605</v>
      </c>
      <c r="GH329" s="4">
        <f t="shared" si="718"/>
        <v>5.661329534662868</v>
      </c>
      <c r="GI329" s="4">
        <f t="shared" si="719"/>
        <v>43.895430256126772</v>
      </c>
      <c r="GJ329" s="4">
        <f t="shared" si="720"/>
        <v>406.86162551440327</v>
      </c>
      <c r="GK329" s="4">
        <f t="shared" si="721"/>
        <v>0</v>
      </c>
      <c r="GL329" s="4">
        <f t="shared" si="722"/>
        <v>0</v>
      </c>
      <c r="GM329" s="4">
        <f t="shared" si="723"/>
        <v>20.722737448033261</v>
      </c>
      <c r="GN329" s="4">
        <f t="shared" si="724"/>
        <v>0.1944848432261064</v>
      </c>
      <c r="GO329" s="4">
        <f t="shared" si="725"/>
        <v>0.18815089585666292</v>
      </c>
      <c r="GP329" s="4">
        <f t="shared" si="726"/>
        <v>0</v>
      </c>
      <c r="GQ329" s="27">
        <f t="shared" si="727"/>
        <v>0</v>
      </c>
      <c r="GR329" s="28" t="str">
        <f t="shared" si="728"/>
        <v/>
      </c>
      <c r="GS329" s="28" t="str">
        <f t="shared" si="729"/>
        <v/>
      </c>
      <c r="GT329" s="28" t="str">
        <f t="shared" si="730"/>
        <v/>
      </c>
      <c r="GU329" s="28" t="str">
        <f t="shared" si="731"/>
        <v/>
      </c>
      <c r="GV329" s="28" t="str">
        <f t="shared" si="732"/>
        <v/>
      </c>
      <c r="GW329" s="28" t="str">
        <f t="shared" si="733"/>
        <v/>
      </c>
      <c r="GX329" s="28" t="str">
        <f t="shared" si="734"/>
        <v/>
      </c>
      <c r="GY329" s="28" t="str">
        <f t="shared" si="735"/>
        <v/>
      </c>
      <c r="GZ329" s="28" t="str">
        <f t="shared" si="736"/>
        <v/>
      </c>
      <c r="HA329" s="28" t="str">
        <f t="shared" si="737"/>
        <v/>
      </c>
      <c r="HB329" s="28" t="str">
        <f t="shared" si="738"/>
        <v/>
      </c>
      <c r="HC329" s="28" t="str">
        <f t="shared" si="739"/>
        <v/>
      </c>
      <c r="HD329" s="28" t="str">
        <f t="shared" si="740"/>
        <v/>
      </c>
      <c r="HE329" s="28" t="str">
        <f t="shared" si="741"/>
        <v/>
      </c>
      <c r="HF329" s="28" t="str">
        <f t="shared" si="742"/>
        <v/>
      </c>
      <c r="HG329" s="28" t="str">
        <f t="shared" si="743"/>
        <v/>
      </c>
      <c r="HH329" s="28" t="str">
        <f t="shared" si="744"/>
        <v/>
      </c>
      <c r="HI329" s="28" t="str">
        <f t="shared" si="745"/>
        <v/>
      </c>
      <c r="HJ329" s="28" t="str">
        <f t="shared" si="746"/>
        <v/>
      </c>
      <c r="HK329" s="28" t="str">
        <f t="shared" si="747"/>
        <v/>
      </c>
      <c r="HL329" s="28" t="str">
        <f t="shared" si="748"/>
        <v/>
      </c>
      <c r="HM329" s="28" t="str">
        <f t="shared" si="749"/>
        <v/>
      </c>
      <c r="HN329" s="28" t="str">
        <f t="shared" si="750"/>
        <v/>
      </c>
      <c r="HO329" s="28" t="str">
        <f t="shared" si="751"/>
        <v/>
      </c>
      <c r="HP329" s="28" t="str">
        <f t="shared" si="752"/>
        <v/>
      </c>
      <c r="HQ329" s="28" t="str">
        <f t="shared" si="753"/>
        <v/>
      </c>
      <c r="HR329" s="28" t="str">
        <f t="shared" si="754"/>
        <v/>
      </c>
      <c r="HT329" s="4">
        <f>IFERROR(GR329/'McDonough &amp; Sun 1995 values'!C$2,)</f>
        <v>0</v>
      </c>
      <c r="HU329" s="4">
        <f>IFERROR(GS329/'McDonough &amp; Sun 1995 values'!D$2,)</f>
        <v>0</v>
      </c>
      <c r="HV329" s="4">
        <f>IFERROR(GT329/'McDonough &amp; Sun 1995 values'!E$2,)</f>
        <v>0</v>
      </c>
      <c r="HW329" s="4">
        <f>IFERROR(GU329/'McDonough &amp; Sun 1995 values'!F$2,)</f>
        <v>0</v>
      </c>
      <c r="HX329" s="4">
        <f>IFERROR(GV329/'McDonough &amp; Sun 1995 values'!G$2,)</f>
        <v>0</v>
      </c>
      <c r="HY329" s="4">
        <f>IFERROR(GW329/'McDonough &amp; Sun 1995 values'!H$2,)</f>
        <v>0</v>
      </c>
      <c r="HZ329" s="4">
        <f>IFERROR(GX329/'McDonough &amp; Sun 1995 values'!I$2,)</f>
        <v>0</v>
      </c>
      <c r="IA329" s="4">
        <f>IFERROR(GY329/'McDonough &amp; Sun 1995 values'!J$2,)</f>
        <v>0</v>
      </c>
      <c r="IB329" s="4">
        <f>IFERROR(GZ329/'McDonough &amp; Sun 1995 values'!K$2,)</f>
        <v>0</v>
      </c>
      <c r="IC329" s="4">
        <f>IFERROR(HA329/'McDonough &amp; Sun 1995 values'!L$2,)</f>
        <v>0</v>
      </c>
      <c r="ID329" s="4">
        <f>IFERROR(HB329/'McDonough &amp; Sun 1995 values'!M$2,)</f>
        <v>0</v>
      </c>
      <c r="IE329" s="4">
        <f>IFERROR(HC329/'McDonough &amp; Sun 1995 values'!N$2,)</f>
        <v>0</v>
      </c>
      <c r="IF329" s="4">
        <f>IFERROR(HD329/'McDonough &amp; Sun 1995 values'!O$2,)</f>
        <v>0</v>
      </c>
      <c r="IG329" s="4">
        <f>IFERROR(HE329/'McDonough &amp; Sun 1995 values'!P$2,)</f>
        <v>0</v>
      </c>
      <c r="IH329" s="4">
        <f>IFERROR(HF329/'McDonough &amp; Sun 1995 values'!Q$2,)</f>
        <v>0</v>
      </c>
      <c r="II329" s="4">
        <f>IFERROR(HG329/'McDonough &amp; Sun 1995 values'!R$2,)</f>
        <v>0</v>
      </c>
      <c r="IJ329" s="4">
        <f>IFERROR(HH329/'McDonough &amp; Sun 1995 values'!S$2,)</f>
        <v>0</v>
      </c>
      <c r="IK329" s="4">
        <f>IFERROR(HI329/'McDonough &amp; Sun 1995 values'!T$2,)</f>
        <v>0</v>
      </c>
      <c r="IL329" s="4">
        <f>IFERROR(HJ329/'McDonough &amp; Sun 1995 values'!U$2,)</f>
        <v>0</v>
      </c>
      <c r="IM329" s="4">
        <f>IFERROR(HK329/'McDonough &amp; Sun 1995 values'!V$2,)</f>
        <v>0</v>
      </c>
      <c r="IN329" s="4">
        <f>IFERROR(HL329/'McDonough &amp; Sun 1995 values'!W$2,)</f>
        <v>0</v>
      </c>
      <c r="IO329" s="4">
        <f>IFERROR(HM329/'McDonough &amp; Sun 1995 values'!X$2,)</f>
        <v>0</v>
      </c>
      <c r="IP329" s="4">
        <f>IFERROR(HN329/'McDonough &amp; Sun 1995 values'!Y$2,)</f>
        <v>0</v>
      </c>
      <c r="IQ329" s="4">
        <f>IFERROR(HO329/'McDonough &amp; Sun 1995 values'!Z$2,)</f>
        <v>0</v>
      </c>
      <c r="IR329" s="4">
        <f>IFERROR(HP329/'McDonough &amp; Sun 1995 values'!AA$2,)</f>
        <v>0</v>
      </c>
      <c r="IS329" s="4">
        <f>IFERROR(HQ329/'McDonough &amp; Sun 1995 values'!AB$2,)</f>
        <v>0</v>
      </c>
      <c r="IT329" s="4">
        <f>IFERROR(HR329/'McDonough &amp; Sun 1995 values'!AC$2,)</f>
        <v>0</v>
      </c>
    </row>
    <row r="330" spans="1:254">
      <c r="A330" s="16" t="s">
        <v>1396</v>
      </c>
      <c r="B330" s="16" t="s">
        <v>24</v>
      </c>
      <c r="C330" s="16" t="s">
        <v>1369</v>
      </c>
      <c r="D330" s="16" t="s">
        <v>119</v>
      </c>
      <c r="E330" s="16" t="s">
        <v>171</v>
      </c>
      <c r="F330" s="16" t="s">
        <v>120</v>
      </c>
      <c r="G330" s="16" t="s">
        <v>595</v>
      </c>
      <c r="H330" s="27">
        <v>53</v>
      </c>
      <c r="I330" s="16" t="s">
        <v>712</v>
      </c>
      <c r="J330" s="16" t="s">
        <v>1318</v>
      </c>
      <c r="K330" s="16" t="s">
        <v>968</v>
      </c>
      <c r="L330" s="16">
        <v>0</v>
      </c>
      <c r="M330" s="16" t="s">
        <v>1480</v>
      </c>
      <c r="N330" s="16">
        <v>35</v>
      </c>
      <c r="O330" s="26">
        <v>5.8</v>
      </c>
      <c r="P330" s="26"/>
      <c r="Q330" s="26"/>
      <c r="R330" s="26">
        <v>1.9</v>
      </c>
      <c r="S330" s="26">
        <v>26.8</v>
      </c>
      <c r="T330" s="26">
        <v>7.8</v>
      </c>
      <c r="U330" s="26"/>
      <c r="V330" s="26">
        <v>12.7</v>
      </c>
      <c r="W330" s="26">
        <v>5.9</v>
      </c>
      <c r="X330" s="26">
        <v>12.7</v>
      </c>
      <c r="Y330" s="26"/>
      <c r="Z330" s="26"/>
      <c r="AA330" s="26"/>
      <c r="AB330" s="26">
        <v>11.4</v>
      </c>
      <c r="AC330" s="26"/>
      <c r="AD330" s="26">
        <v>13.1</v>
      </c>
      <c r="AE330" s="26"/>
      <c r="AF330" s="26"/>
      <c r="AG330" s="26"/>
      <c r="AH330" s="26"/>
      <c r="AI330" s="26">
        <v>12.6</v>
      </c>
      <c r="AJ330" s="26">
        <f t="shared" si="769"/>
        <v>98.1</v>
      </c>
      <c r="AK330" s="26">
        <f>100*(O330/$AJ330)*(($AJ330+$AD330*8/35.45)/$AJ330)</f>
        <v>6.0905045340059436</v>
      </c>
      <c r="AL330" s="26">
        <f>100*(P330/$AJ330)*(($AJ330+$AD330*8/35.45)/$AJ330)</f>
        <v>0</v>
      </c>
      <c r="AM330" s="26">
        <f>100*(R330/$AJ330)*(($AJ330+$AD330*8/35.45)/$AJ330)</f>
        <v>1.9951652783812572</v>
      </c>
      <c r="AN330" s="26">
        <f>100*(S330/$AJ330)*(($AJ330+$AD330*8/35.45)/$AJ330)</f>
        <v>28.142331295061947</v>
      </c>
      <c r="AO330" s="26">
        <f>100*(T330/$AJ330)*(($AJ330+$AD330*8/35.45)/$AJ330)</f>
        <v>8.1906785112493719</v>
      </c>
      <c r="AP330" s="26">
        <f>100*(V330/$AJ330)*(($AJ330+$AD330*8/35.45)/$AJ330)</f>
        <v>13.336104755495771</v>
      </c>
      <c r="AQ330" s="26">
        <f>100*(AB330/$AJ330)*(($AJ330+$AD330*8/35.45)/$AJ330)</f>
        <v>11.970991670287544</v>
      </c>
      <c r="AR330" s="26">
        <f>100*(W330/$AJ330)*(($AJ330+$AD330*8/35.45)/$AJ330)</f>
        <v>6.1955132328681142</v>
      </c>
      <c r="AS330" s="26">
        <f>100*(X330/$AJ330)*(($AJ330+$AD330*8/35.45)/$AJ330)</f>
        <v>13.336104755495771</v>
      </c>
      <c r="AT330" s="26">
        <f>100*(Z330/$AJ330)*(($AJ330+$AD330*8/35.45)/$AJ330)</f>
        <v>0</v>
      </c>
      <c r="AU330" s="26">
        <f>100*(AD330/$AJ330)*(($AJ330+$AD330*8/35.45)/$AJ330)</f>
        <v>13.756139550944457</v>
      </c>
      <c r="AV330" s="26">
        <f>SUM(AK330:AU330)</f>
        <v>103.01353358379016</v>
      </c>
      <c r="AW330" s="90"/>
      <c r="AX330" s="90"/>
      <c r="AY330" s="90"/>
      <c r="AZ330" s="90"/>
      <c r="BA330" s="104"/>
      <c r="BB330" s="104"/>
      <c r="BC330" s="26"/>
      <c r="BD330" s="2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v>0.44450000000000001</v>
      </c>
      <c r="CI330" s="16">
        <v>4.1334999999999997</v>
      </c>
      <c r="CJ330" s="16">
        <v>1.2E-2</v>
      </c>
      <c r="CK330" s="16"/>
      <c r="CL330" s="16"/>
      <c r="CM330" s="16">
        <v>8.6999999999999994E-2</v>
      </c>
      <c r="CN330" s="16"/>
      <c r="CO330" s="16"/>
      <c r="CP330" s="16"/>
      <c r="CQ330" s="16"/>
      <c r="CR330" s="16"/>
      <c r="CS330" s="16">
        <v>99.394999999999996</v>
      </c>
      <c r="CT330" s="16"/>
      <c r="CU330" s="16">
        <v>2.0149999999999997</v>
      </c>
      <c r="CV330" s="16">
        <v>1.2989999999999999</v>
      </c>
      <c r="CW330" s="16">
        <v>5.7000000000000002E-2</v>
      </c>
      <c r="CX330" s="16">
        <v>8.6999999999999994E-2</v>
      </c>
      <c r="CY330" s="16">
        <v>2E-3</v>
      </c>
      <c r="CZ330" s="16"/>
      <c r="DA330" s="16"/>
      <c r="DB330" s="16"/>
      <c r="DC330" s="16"/>
      <c r="DD330" s="16"/>
      <c r="DE330" s="16"/>
      <c r="DF330" s="16"/>
      <c r="DG330" s="16"/>
      <c r="DH330" s="16"/>
      <c r="DI330" s="16"/>
      <c r="DJ330" s="16"/>
      <c r="DK330" s="16">
        <v>0.99550000000000005</v>
      </c>
      <c r="DL330" s="16">
        <v>0.84550000000000003</v>
      </c>
      <c r="DM330" s="16">
        <v>4.5999999999999999E-2</v>
      </c>
      <c r="DN330" s="16"/>
      <c r="DO330" s="16"/>
      <c r="DP330" s="16"/>
      <c r="DQ330" s="16"/>
      <c r="DR330" s="16"/>
      <c r="DS330" s="16"/>
      <c r="DT330" s="16"/>
      <c r="DU330" s="16"/>
      <c r="DV330" s="31"/>
      <c r="DW330" s="31"/>
      <c r="DX330" s="31"/>
      <c r="DY330" s="31"/>
      <c r="DZ330" s="30"/>
      <c r="EA330" s="27"/>
      <c r="EB330" s="27"/>
      <c r="EC330" s="27"/>
      <c r="ED330" s="27"/>
      <c r="EE330" s="27"/>
      <c r="EF330" s="27"/>
      <c r="EG330" s="27"/>
      <c r="EH330" s="27"/>
      <c r="EI330" s="27"/>
      <c r="EJ330" s="16"/>
      <c r="EK330" s="18"/>
      <c r="EL330" s="18">
        <f>IFERROR(CR330/'McDonough &amp; Sun 1995 values'!C$2,)</f>
        <v>0</v>
      </c>
      <c r="EM330" s="18">
        <f>IFERROR(CH330/'McDonough &amp; Sun 1995 values'!D$2,)</f>
        <v>0.74083333333333334</v>
      </c>
      <c r="EN330" s="18">
        <f>IFERROR(CS330/'McDonough &amp; Sun 1995 values'!E$2,)</f>
        <v>15.059848484848485</v>
      </c>
      <c r="EO330" s="18">
        <f>IFERROR(DL330/'McDonough &amp; Sun 1995 values'!F$2,)</f>
        <v>10.635220125786164</v>
      </c>
      <c r="EP330" s="18">
        <f>IFERROR(DM330/'McDonough &amp; Sun 1995 values'!G$2,)</f>
        <v>2.2660098522167487</v>
      </c>
      <c r="EQ330" s="18">
        <f>IFERROR(BR330/'McDonough &amp; Sun 1995 values'!H$2,)</f>
        <v>0</v>
      </c>
      <c r="ER330" s="18">
        <f>IFERROR(DI330/'McDonough &amp; Sun 1995 values'!I$2,)</f>
        <v>0</v>
      </c>
      <c r="ES330" s="18">
        <f>IFERROR(CM330/'McDonough &amp; Sun 1995 values'!J$2,)</f>
        <v>0.13221884498480241</v>
      </c>
      <c r="ET330" s="18">
        <f>IFERROR(CU330/'McDonough &amp; Sun 1995 values'!K$2,)</f>
        <v>3.1095679012345672</v>
      </c>
      <c r="EU330" s="18">
        <f>IFERROR(CV330/'McDonough &amp; Sun 1995 values'!L$2,)</f>
        <v>0.77552238805970142</v>
      </c>
      <c r="EV330" s="18">
        <f>IFERROR(CW330/'McDonough &amp; Sun 1995 values'!M$2,)</f>
        <v>0.22440944881889766</v>
      </c>
      <c r="EW330" s="18">
        <f>IFERROR(CI330/'McDonough &amp; Sun 1995 values'!N$2,)</f>
        <v>0.20771356783919598</v>
      </c>
      <c r="EX330" s="18">
        <f>IFERROR(CX330/'McDonough &amp; Sun 1995 values'!O$2,)</f>
        <v>6.9599999999999995E-2</v>
      </c>
      <c r="EY330" s="18">
        <f>IFERROR(CY330/'McDonough &amp; Sun 1995 values'!P$2,)</f>
        <v>4.9261083743842365E-3</v>
      </c>
      <c r="EZ330" s="18">
        <f>IFERROR(DH330/'McDonough &amp; Sun 1995 values'!Q$2,)</f>
        <v>0</v>
      </c>
      <c r="FA330" s="18">
        <f>IFERROR(CK330/'McDonough &amp; Sun 1995 values'!R$2,)</f>
        <v>0</v>
      </c>
      <c r="FB330" s="18">
        <f>IFERROR(CZ330/'McDonough &amp; Sun 1995 values'!S$2,)</f>
        <v>0</v>
      </c>
      <c r="FC330" s="18">
        <f>IFERROR(BT330/'McDonough &amp; Sun 1995 values'!T$2,)</f>
        <v>0</v>
      </c>
      <c r="FD330" s="18">
        <f>IFERROR(DA330/'McDonough &amp; Sun 1995 values'!U$2,)</f>
        <v>0</v>
      </c>
      <c r="FE330" s="18">
        <f>IFERROR(DN330/'McDonough &amp; Sun 1995 values'!V$2,)</f>
        <v>0</v>
      </c>
      <c r="FF330" s="18">
        <f>IFERROR(DB330/'McDonough &amp; Sun 1995 values'!W$2,)</f>
        <v>0</v>
      </c>
      <c r="FG330" s="18">
        <f>IFERROR(CJ330/'McDonough &amp; Sun 1995 values'!X$2,)</f>
        <v>2.7906976744186047E-3</v>
      </c>
      <c r="FH330" s="18">
        <f>IFERROR(DC330/'McDonough &amp; Sun 1995 values'!Y$2,)</f>
        <v>0</v>
      </c>
      <c r="FI330" s="18">
        <f>IFERROR(DD330/'McDonough &amp; Sun 1995 values'!Z$2,)</f>
        <v>0</v>
      </c>
      <c r="FJ330" s="18">
        <f>IFERROR(DE330/'McDonough &amp; Sun 1995 values'!AA$2,)</f>
        <v>0</v>
      </c>
      <c r="FK330" s="18">
        <f>IFERROR(DF330/'McDonough &amp; Sun 1995 values'!AB$2,)</f>
        <v>0</v>
      </c>
      <c r="FL330" s="18">
        <f>IFERROR(DG330/'McDonough &amp; Sun 1995 values'!AC$2,)</f>
        <v>0</v>
      </c>
      <c r="FM330" s="16"/>
      <c r="FN330" s="28">
        <f t="shared" si="758"/>
        <v>0</v>
      </c>
      <c r="FO330" s="4">
        <f t="shared" si="699"/>
        <v>6.645976613965745</v>
      </c>
      <c r="FP330" s="4">
        <f t="shared" si="700"/>
        <v>80.436492445601118</v>
      </c>
      <c r="FQ330" s="4">
        <f t="shared" si="701"/>
        <v>4.6933688815969381</v>
      </c>
      <c r="FR330" s="4">
        <f t="shared" si="702"/>
        <v>23.518341138072937</v>
      </c>
      <c r="FS330" s="4">
        <f t="shared" si="703"/>
        <v>0</v>
      </c>
      <c r="FT330" s="4">
        <f t="shared" si="704"/>
        <v>0</v>
      </c>
      <c r="FU330" s="4">
        <f t="shared" si="705"/>
        <v>0</v>
      </c>
      <c r="FV330" s="4">
        <f t="shared" si="706"/>
        <v>0</v>
      </c>
      <c r="FW330" s="4">
        <f t="shared" si="707"/>
        <v>0</v>
      </c>
      <c r="FX330" s="4">
        <f t="shared" si="708"/>
        <v>0</v>
      </c>
      <c r="FY330" s="4">
        <f t="shared" si="709"/>
        <v>1.6620331289093067</v>
      </c>
      <c r="FZ330" s="4">
        <f t="shared" si="710"/>
        <v>0</v>
      </c>
      <c r="GA330" s="4">
        <f t="shared" si="711"/>
        <v>0.92560081107290837</v>
      </c>
      <c r="GB330" s="4">
        <f t="shared" si="712"/>
        <v>0</v>
      </c>
      <c r="GC330" s="4">
        <f t="shared" si="713"/>
        <v>0</v>
      </c>
      <c r="GD330" s="4">
        <f t="shared" si="714"/>
        <v>1.4160354282027847</v>
      </c>
      <c r="GE330" s="4">
        <f t="shared" si="715"/>
        <v>20.328254422742614</v>
      </c>
      <c r="GF330" s="4">
        <f t="shared" si="716"/>
        <v>0</v>
      </c>
      <c r="GG330" s="4">
        <f t="shared" si="717"/>
        <v>113.90092302333684</v>
      </c>
      <c r="GH330" s="4">
        <f t="shared" si="718"/>
        <v>13.85667099848386</v>
      </c>
      <c r="GI330" s="4">
        <f t="shared" si="719"/>
        <v>631.24228395061709</v>
      </c>
      <c r="GJ330" s="4">
        <f t="shared" si="720"/>
        <v>0</v>
      </c>
      <c r="GK330" s="4">
        <f t="shared" si="721"/>
        <v>0</v>
      </c>
      <c r="GL330" s="4">
        <f t="shared" si="722"/>
        <v>0</v>
      </c>
      <c r="GM330" s="4">
        <f t="shared" si="723"/>
        <v>14.35575270072373</v>
      </c>
      <c r="GN330" s="4">
        <f t="shared" si="724"/>
        <v>4.252000573208535E-2</v>
      </c>
      <c r="GO330" s="4">
        <f t="shared" si="725"/>
        <v>5.8348751156336719E-2</v>
      </c>
      <c r="GP330" s="4">
        <f t="shared" si="726"/>
        <v>0</v>
      </c>
      <c r="GQ330" s="27">
        <f t="shared" si="727"/>
        <v>110707.98057060127</v>
      </c>
      <c r="GR330" s="28" t="str">
        <f t="shared" si="728"/>
        <v/>
      </c>
      <c r="GS330" s="28" t="str">
        <f t="shared" si="729"/>
        <v/>
      </c>
      <c r="GT330" s="28" t="str">
        <f t="shared" si="730"/>
        <v/>
      </c>
      <c r="GU330" s="28" t="str">
        <f t="shared" si="731"/>
        <v/>
      </c>
      <c r="GV330" s="28" t="str">
        <f t="shared" si="732"/>
        <v/>
      </c>
      <c r="GW330" s="28" t="str">
        <f t="shared" si="733"/>
        <v/>
      </c>
      <c r="GX330" s="28" t="str">
        <f t="shared" si="734"/>
        <v/>
      </c>
      <c r="GY330" s="28" t="str">
        <f t="shared" si="735"/>
        <v/>
      </c>
      <c r="GZ330" s="28" t="str">
        <f t="shared" si="736"/>
        <v/>
      </c>
      <c r="HA330" s="28" t="str">
        <f t="shared" si="737"/>
        <v/>
      </c>
      <c r="HB330" s="28" t="str">
        <f t="shared" si="738"/>
        <v/>
      </c>
      <c r="HC330" s="28" t="str">
        <f t="shared" si="739"/>
        <v/>
      </c>
      <c r="HD330" s="28" t="str">
        <f t="shared" si="740"/>
        <v/>
      </c>
      <c r="HE330" s="28" t="str">
        <f t="shared" si="741"/>
        <v/>
      </c>
      <c r="HF330" s="28" t="str">
        <f t="shared" si="742"/>
        <v/>
      </c>
      <c r="HG330" s="28" t="str">
        <f t="shared" si="743"/>
        <v/>
      </c>
      <c r="HH330" s="28" t="str">
        <f t="shared" si="744"/>
        <v/>
      </c>
      <c r="HI330" s="28" t="str">
        <f t="shared" si="745"/>
        <v/>
      </c>
      <c r="HJ330" s="28" t="str">
        <f t="shared" si="746"/>
        <v/>
      </c>
      <c r="HK330" s="28" t="str">
        <f t="shared" si="747"/>
        <v/>
      </c>
      <c r="HL330" s="28" t="str">
        <f t="shared" si="748"/>
        <v/>
      </c>
      <c r="HM330" s="28" t="str">
        <f t="shared" si="749"/>
        <v/>
      </c>
      <c r="HN330" s="28" t="str">
        <f t="shared" si="750"/>
        <v/>
      </c>
      <c r="HO330" s="28" t="str">
        <f t="shared" si="751"/>
        <v/>
      </c>
      <c r="HP330" s="28" t="str">
        <f t="shared" si="752"/>
        <v/>
      </c>
      <c r="HQ330" s="28" t="str">
        <f t="shared" si="753"/>
        <v/>
      </c>
      <c r="HR330" s="28" t="str">
        <f t="shared" si="754"/>
        <v/>
      </c>
      <c r="HT330" s="4">
        <f>IFERROR(GR330/'McDonough &amp; Sun 1995 values'!C$2,)</f>
        <v>0</v>
      </c>
      <c r="HU330" s="4">
        <f>IFERROR(GS330/'McDonough &amp; Sun 1995 values'!D$2,)</f>
        <v>0</v>
      </c>
      <c r="HV330" s="4">
        <f>IFERROR(GT330/'McDonough &amp; Sun 1995 values'!E$2,)</f>
        <v>0</v>
      </c>
      <c r="HW330" s="4">
        <f>IFERROR(GU330/'McDonough &amp; Sun 1995 values'!F$2,)</f>
        <v>0</v>
      </c>
      <c r="HX330" s="4">
        <f>IFERROR(GV330/'McDonough &amp; Sun 1995 values'!G$2,)</f>
        <v>0</v>
      </c>
      <c r="HY330" s="4">
        <f>IFERROR(GW330/'McDonough &amp; Sun 1995 values'!H$2,)</f>
        <v>0</v>
      </c>
      <c r="HZ330" s="4">
        <f>IFERROR(GX330/'McDonough &amp; Sun 1995 values'!I$2,)</f>
        <v>0</v>
      </c>
      <c r="IA330" s="4">
        <f>IFERROR(GY330/'McDonough &amp; Sun 1995 values'!J$2,)</f>
        <v>0</v>
      </c>
      <c r="IB330" s="4">
        <f>IFERROR(GZ330/'McDonough &amp; Sun 1995 values'!K$2,)</f>
        <v>0</v>
      </c>
      <c r="IC330" s="4">
        <f>IFERROR(HA330/'McDonough &amp; Sun 1995 values'!L$2,)</f>
        <v>0</v>
      </c>
      <c r="ID330" s="4">
        <f>IFERROR(HB330/'McDonough &amp; Sun 1995 values'!M$2,)</f>
        <v>0</v>
      </c>
      <c r="IE330" s="4">
        <f>IFERROR(HC330/'McDonough &amp; Sun 1995 values'!N$2,)</f>
        <v>0</v>
      </c>
      <c r="IF330" s="4">
        <f>IFERROR(HD330/'McDonough &amp; Sun 1995 values'!O$2,)</f>
        <v>0</v>
      </c>
      <c r="IG330" s="4">
        <f>IFERROR(HE330/'McDonough &amp; Sun 1995 values'!P$2,)</f>
        <v>0</v>
      </c>
      <c r="IH330" s="4">
        <f>IFERROR(HF330/'McDonough &amp; Sun 1995 values'!Q$2,)</f>
        <v>0</v>
      </c>
      <c r="II330" s="4">
        <f>IFERROR(HG330/'McDonough &amp; Sun 1995 values'!R$2,)</f>
        <v>0</v>
      </c>
      <c r="IJ330" s="4">
        <f>IFERROR(HH330/'McDonough &amp; Sun 1995 values'!S$2,)</f>
        <v>0</v>
      </c>
      <c r="IK330" s="4">
        <f>IFERROR(HI330/'McDonough &amp; Sun 1995 values'!T$2,)</f>
        <v>0</v>
      </c>
      <c r="IL330" s="4">
        <f>IFERROR(HJ330/'McDonough &amp; Sun 1995 values'!U$2,)</f>
        <v>0</v>
      </c>
      <c r="IM330" s="4">
        <f>IFERROR(HK330/'McDonough &amp; Sun 1995 values'!V$2,)</f>
        <v>0</v>
      </c>
      <c r="IN330" s="4">
        <f>IFERROR(HL330/'McDonough &amp; Sun 1995 values'!W$2,)</f>
        <v>0</v>
      </c>
      <c r="IO330" s="4">
        <f>IFERROR(HM330/'McDonough &amp; Sun 1995 values'!X$2,)</f>
        <v>0</v>
      </c>
      <c r="IP330" s="4">
        <f>IFERROR(HN330/'McDonough &amp; Sun 1995 values'!Y$2,)</f>
        <v>0</v>
      </c>
      <c r="IQ330" s="4">
        <f>IFERROR(HO330/'McDonough &amp; Sun 1995 values'!Z$2,)</f>
        <v>0</v>
      </c>
      <c r="IR330" s="4">
        <f>IFERROR(HP330/'McDonough &amp; Sun 1995 values'!AA$2,)</f>
        <v>0</v>
      </c>
      <c r="IS330" s="4">
        <f>IFERROR(HQ330/'McDonough &amp; Sun 1995 values'!AB$2,)</f>
        <v>0</v>
      </c>
      <c r="IT330" s="4">
        <f>IFERROR(HR330/'McDonough &amp; Sun 1995 values'!AC$2,)</f>
        <v>0</v>
      </c>
    </row>
    <row r="331" spans="1:254">
      <c r="A331" s="4" t="s">
        <v>1160</v>
      </c>
      <c r="B331" s="16" t="s">
        <v>24</v>
      </c>
      <c r="C331" s="16" t="s">
        <v>1369</v>
      </c>
      <c r="D331" s="4" t="s">
        <v>1279</v>
      </c>
      <c r="E331" s="4" t="s">
        <v>806</v>
      </c>
      <c r="F331" s="4" t="s">
        <v>139</v>
      </c>
      <c r="G331" s="4" t="s">
        <v>595</v>
      </c>
      <c r="H331" s="49">
        <v>2700</v>
      </c>
      <c r="I331" s="4">
        <v>0</v>
      </c>
      <c r="J331" s="4" t="s">
        <v>1311</v>
      </c>
      <c r="K331" s="4" t="s">
        <v>968</v>
      </c>
      <c r="L331" s="4">
        <v>0</v>
      </c>
      <c r="M331" s="4" t="s">
        <v>1187</v>
      </c>
      <c r="AJ331" s="26">
        <f t="shared" si="769"/>
        <v>0</v>
      </c>
      <c r="AK331" s="26"/>
      <c r="AL331" s="26"/>
      <c r="AM331" s="26"/>
      <c r="AN331" s="26"/>
      <c r="AO331" s="26"/>
      <c r="AP331" s="26"/>
      <c r="AQ331" s="26"/>
      <c r="AR331" s="26"/>
      <c r="AS331" s="26"/>
      <c r="AT331" s="26"/>
      <c r="AU331" s="26"/>
      <c r="AV331" s="26"/>
      <c r="AW331" s="90"/>
      <c r="AX331" s="90"/>
      <c r="AY331" s="90"/>
      <c r="AZ331" s="90"/>
      <c r="BA331" s="104"/>
      <c r="BB331" s="104"/>
      <c r="BC331" s="26"/>
      <c r="BD331" s="26"/>
      <c r="BT331" s="44">
        <v>1.1066666666666667E-2</v>
      </c>
      <c r="CH331" s="44">
        <v>8.1100000000000005E-2</v>
      </c>
      <c r="CI331" s="44">
        <v>2.4900000000000002</v>
      </c>
      <c r="CJ331" s="44">
        <v>1.2E-2</v>
      </c>
      <c r="CK331" s="44">
        <v>0.20899999999999999</v>
      </c>
      <c r="CM331" s="44">
        <v>1.41E-2</v>
      </c>
      <c r="CR331" s="44">
        <v>4.0200000000000001E-3</v>
      </c>
      <c r="CS331" s="44">
        <v>3.69</v>
      </c>
      <c r="CT331" s="44">
        <v>0</v>
      </c>
      <c r="CU331" s="44">
        <v>5.9499999999999997E-2</v>
      </c>
      <c r="CV331" s="44">
        <v>0.11600000000000001</v>
      </c>
      <c r="CW331" s="44">
        <v>1.1299999999999999E-2</v>
      </c>
      <c r="CX331" s="44">
        <v>4.1966666666666673E-2</v>
      </c>
      <c r="CY331" s="44">
        <v>4.81E-3</v>
      </c>
      <c r="CZ331" s="44">
        <v>1.8400000000000001E-3</v>
      </c>
      <c r="DA331" s="44">
        <v>4.1599999999999996E-3</v>
      </c>
      <c r="DB331" s="44">
        <v>2.7799999999999999E-3</v>
      </c>
      <c r="DD331" s="44">
        <v>1.15E-3</v>
      </c>
      <c r="DF331" s="44">
        <v>1.2999999999999999E-3</v>
      </c>
      <c r="DG331" s="44">
        <v>2.41E-4</v>
      </c>
      <c r="DH331" s="44">
        <v>4.7400000000000003E-3</v>
      </c>
      <c r="DK331" s="44">
        <v>1.3</v>
      </c>
      <c r="DL331" s="44">
        <v>1.4E-2</v>
      </c>
      <c r="DM331" s="44">
        <v>3.15E-2</v>
      </c>
      <c r="DN331" s="44">
        <v>5.1500000000000005E-4</v>
      </c>
      <c r="DT331" s="44">
        <v>9.4E-2</v>
      </c>
      <c r="DU331" s="44">
        <v>50</v>
      </c>
      <c r="DV331" s="45">
        <v>0.70653600000000005</v>
      </c>
      <c r="DW331" s="45">
        <v>8.6E-3</v>
      </c>
      <c r="DX331" s="45">
        <v>0.70289999999999997</v>
      </c>
      <c r="DY331" s="45">
        <v>7.1999999999999998E-3</v>
      </c>
      <c r="DZ331" s="45">
        <v>0</v>
      </c>
      <c r="EA331" s="45">
        <v>0</v>
      </c>
      <c r="EB331" s="45">
        <v>0</v>
      </c>
      <c r="EC331" s="45">
        <v>0</v>
      </c>
      <c r="ED331" s="45">
        <v>0</v>
      </c>
      <c r="EE331" s="45">
        <v>0</v>
      </c>
      <c r="EF331" s="45">
        <v>0</v>
      </c>
      <c r="EG331" s="45">
        <v>0</v>
      </c>
      <c r="EH331" s="45">
        <v>0</v>
      </c>
      <c r="EI331" s="45">
        <v>0</v>
      </c>
      <c r="EJ331" s="44">
        <v>0</v>
      </c>
      <c r="EK331" s="18"/>
      <c r="EL331" s="18">
        <f>IFERROR(CR331/'McDonough &amp; Sun 1995 values'!C$2,)</f>
        <v>0.19142857142857142</v>
      </c>
      <c r="EM331" s="18">
        <f>IFERROR(CH331/'McDonough &amp; Sun 1995 values'!D$2,)</f>
        <v>0.13516666666666668</v>
      </c>
      <c r="EN331" s="18">
        <f>IFERROR(CS331/'McDonough &amp; Sun 1995 values'!E$2,)</f>
        <v>0.55909090909090908</v>
      </c>
      <c r="EO331" s="18">
        <f>IFERROR(DL331/'McDonough &amp; Sun 1995 values'!F$2,)</f>
        <v>0.1761006289308176</v>
      </c>
      <c r="EP331" s="18">
        <f>IFERROR(DM331/'McDonough &amp; Sun 1995 values'!G$2,)</f>
        <v>1.5517241379310347</v>
      </c>
      <c r="EQ331" s="18">
        <f>IFERROR(BR331/'McDonough &amp; Sun 1995 values'!H$2,)</f>
        <v>0</v>
      </c>
      <c r="ER331" s="18">
        <f>IFERROR(DI331/'McDonough &amp; Sun 1995 values'!I$2,)</f>
        <v>0</v>
      </c>
      <c r="ES331" s="18">
        <f>IFERROR(CM331/'McDonough &amp; Sun 1995 values'!J$2,)</f>
        <v>2.1428571428571429E-2</v>
      </c>
      <c r="ET331" s="18">
        <f>IFERROR(CU331/'McDonough &amp; Sun 1995 values'!K$2,)</f>
        <v>9.1820987654320979E-2</v>
      </c>
      <c r="EU331" s="18">
        <f>IFERROR(CV331/'McDonough &amp; Sun 1995 values'!L$2,)</f>
        <v>6.9253731343283581E-2</v>
      </c>
      <c r="EV331" s="18">
        <f>IFERROR(CW331/'McDonough &amp; Sun 1995 values'!M$2,)</f>
        <v>4.4488188976377949E-2</v>
      </c>
      <c r="EW331" s="18">
        <f>IFERROR(CI331/'McDonough &amp; Sun 1995 values'!N$2,)</f>
        <v>0.12512562814070355</v>
      </c>
      <c r="EX331" s="18">
        <f>IFERROR(CX331/'McDonough &amp; Sun 1995 values'!O$2,)</f>
        <v>3.3573333333333337E-2</v>
      </c>
      <c r="EY331" s="18">
        <f>IFERROR(CY331/'McDonough &amp; Sun 1995 values'!P$2,)</f>
        <v>1.1847290640394088E-2</v>
      </c>
      <c r="EZ331" s="18">
        <f>IFERROR(DH331/'McDonough &amp; Sun 1995 values'!Q$2,)</f>
        <v>1.6749116607773853E-2</v>
      </c>
      <c r="FA331" s="18">
        <f>IFERROR(CK331/'McDonough &amp; Sun 1995 values'!R$2,)</f>
        <v>1.9904761904761904E-2</v>
      </c>
      <c r="FB331" s="18">
        <f>IFERROR(CZ331/'McDonough &amp; Sun 1995 values'!S$2,)</f>
        <v>1.1948051948051949E-2</v>
      </c>
      <c r="FC331" s="18">
        <f>IFERROR(BT331/'McDonough &amp; Sun 1995 values'!T$2,)</f>
        <v>9.1839557399723389E-6</v>
      </c>
      <c r="FD331" s="18">
        <f>IFERROR(DA331/'McDonough &amp; Sun 1995 values'!U$2,)</f>
        <v>7.6470588235294104E-3</v>
      </c>
      <c r="FE331" s="18">
        <f>IFERROR(DN331/'McDonough &amp; Sun 1995 values'!V$2,)</f>
        <v>5.2020202020202026E-3</v>
      </c>
      <c r="FF331" s="18">
        <f>IFERROR(DB331/'McDonough &amp; Sun 1995 values'!W$2,)</f>
        <v>4.1246290801186941E-3</v>
      </c>
      <c r="FG331" s="18">
        <f>IFERROR(CJ331/'McDonough &amp; Sun 1995 values'!X$2,)</f>
        <v>2.7906976744186047E-3</v>
      </c>
      <c r="FH331" s="18">
        <f>IFERROR(DC331/'McDonough &amp; Sun 1995 values'!Y$2,)</f>
        <v>0</v>
      </c>
      <c r="FI331" s="18">
        <f>IFERROR(DD331/'McDonough &amp; Sun 1995 values'!Z$2,)</f>
        <v>2.6255707762557075E-3</v>
      </c>
      <c r="FJ331" s="18">
        <f>IFERROR(DE331/'McDonough &amp; Sun 1995 values'!AA$2,)</f>
        <v>0</v>
      </c>
      <c r="FK331" s="18">
        <f>IFERROR(DF331/'McDonough &amp; Sun 1995 values'!AB$2,)</f>
        <v>2.9478458049886618E-3</v>
      </c>
      <c r="FL331" s="18">
        <f>IFERROR(DG331/'McDonough &amp; Sun 1995 values'!AC$2,)</f>
        <v>3.57037037037037E-3</v>
      </c>
      <c r="FN331" s="28">
        <f t="shared" si="758"/>
        <v>0</v>
      </c>
      <c r="FO331" s="4">
        <f t="shared" si="699"/>
        <v>0.36030303030303024</v>
      </c>
      <c r="FP331" s="4">
        <f t="shared" si="700"/>
        <v>8.2180293501048212</v>
      </c>
      <c r="FQ331" s="4">
        <f t="shared" si="701"/>
        <v>0.11348707197763799</v>
      </c>
      <c r="FR331" s="4">
        <f t="shared" si="702"/>
        <v>4.2849794238683119</v>
      </c>
      <c r="FS331" s="4">
        <f t="shared" si="703"/>
        <v>0</v>
      </c>
      <c r="FT331" s="4">
        <f t="shared" si="704"/>
        <v>0.70609452736318423</v>
      </c>
      <c r="FU331" s="4">
        <f t="shared" si="705"/>
        <v>0</v>
      </c>
      <c r="FV331" s="4">
        <f t="shared" si="706"/>
        <v>1.6801108801108802</v>
      </c>
      <c r="FW331" s="4">
        <f t="shared" si="707"/>
        <v>1.1884066706851515</v>
      </c>
      <c r="FX331" s="4">
        <f t="shared" si="708"/>
        <v>1.225796425796426</v>
      </c>
      <c r="FY331" s="4">
        <f t="shared" si="709"/>
        <v>3.2376259778744352</v>
      </c>
      <c r="FZ331" s="4">
        <f t="shared" si="710"/>
        <v>1.2552792944976985</v>
      </c>
      <c r="GA331" s="4">
        <f t="shared" si="711"/>
        <v>2.8125583670565226</v>
      </c>
      <c r="GB331" s="4">
        <f t="shared" si="712"/>
        <v>1.0085050085050087</v>
      </c>
      <c r="GC331" s="4">
        <f t="shared" si="713"/>
        <v>1.4162409723445479</v>
      </c>
      <c r="GD331" s="4">
        <f t="shared" si="714"/>
        <v>3.1748376623376626</v>
      </c>
      <c r="GE331" s="4">
        <f t="shared" si="715"/>
        <v>4.136307588835332</v>
      </c>
      <c r="GF331" s="4">
        <f t="shared" si="716"/>
        <v>0</v>
      </c>
      <c r="GG331" s="4">
        <f t="shared" si="717"/>
        <v>26.09090909090909</v>
      </c>
      <c r="GH331" s="4">
        <f t="shared" si="718"/>
        <v>2.0639407844422593</v>
      </c>
      <c r="GI331" s="4">
        <f t="shared" si="719"/>
        <v>7.7503785837119166</v>
      </c>
      <c r="GJ331" s="4">
        <f t="shared" si="720"/>
        <v>22.261635136335375</v>
      </c>
      <c r="GK331" s="4">
        <f t="shared" si="721"/>
        <v>31.148504273504273</v>
      </c>
      <c r="GL331" s="4">
        <f t="shared" si="722"/>
        <v>2167.3407917383815</v>
      </c>
      <c r="GM331" s="4">
        <f t="shared" si="723"/>
        <v>1.302840657934532</v>
      </c>
      <c r="GN331" s="4">
        <f t="shared" si="724"/>
        <v>0.23337334933973591</v>
      </c>
      <c r="GO331" s="4">
        <f t="shared" si="725"/>
        <v>1.3809523809523808E-2</v>
      </c>
      <c r="GP331" s="4">
        <f t="shared" si="726"/>
        <v>0</v>
      </c>
      <c r="GQ331" s="27">
        <f t="shared" si="727"/>
        <v>0</v>
      </c>
      <c r="GR331" s="28" t="str">
        <f t="shared" si="728"/>
        <v/>
      </c>
      <c r="GS331" s="28" t="str">
        <f t="shared" si="729"/>
        <v/>
      </c>
      <c r="GT331" s="28" t="str">
        <f t="shared" si="730"/>
        <v/>
      </c>
      <c r="GU331" s="28" t="str">
        <f t="shared" si="731"/>
        <v/>
      </c>
      <c r="GV331" s="28" t="str">
        <f t="shared" si="732"/>
        <v/>
      </c>
      <c r="GW331" s="28" t="str">
        <f t="shared" si="733"/>
        <v/>
      </c>
      <c r="GX331" s="28" t="str">
        <f t="shared" si="734"/>
        <v/>
      </c>
      <c r="GY331" s="28" t="str">
        <f t="shared" si="735"/>
        <v/>
      </c>
      <c r="GZ331" s="28" t="str">
        <f t="shared" si="736"/>
        <v/>
      </c>
      <c r="HA331" s="28" t="str">
        <f t="shared" si="737"/>
        <v/>
      </c>
      <c r="HB331" s="28" t="str">
        <f t="shared" si="738"/>
        <v/>
      </c>
      <c r="HC331" s="28" t="str">
        <f t="shared" si="739"/>
        <v/>
      </c>
      <c r="HD331" s="28" t="str">
        <f t="shared" si="740"/>
        <v/>
      </c>
      <c r="HE331" s="28" t="str">
        <f t="shared" si="741"/>
        <v/>
      </c>
      <c r="HF331" s="28" t="str">
        <f t="shared" si="742"/>
        <v/>
      </c>
      <c r="HG331" s="28" t="str">
        <f t="shared" si="743"/>
        <v/>
      </c>
      <c r="HH331" s="28" t="str">
        <f t="shared" si="744"/>
        <v/>
      </c>
      <c r="HI331" s="28" t="str">
        <f t="shared" si="745"/>
        <v/>
      </c>
      <c r="HJ331" s="28" t="str">
        <f t="shared" si="746"/>
        <v/>
      </c>
      <c r="HK331" s="28" t="str">
        <f t="shared" si="747"/>
        <v/>
      </c>
      <c r="HL331" s="28" t="str">
        <f t="shared" si="748"/>
        <v/>
      </c>
      <c r="HM331" s="28" t="str">
        <f t="shared" si="749"/>
        <v/>
      </c>
      <c r="HN331" s="28" t="str">
        <f t="shared" si="750"/>
        <v/>
      </c>
      <c r="HO331" s="28" t="str">
        <f t="shared" si="751"/>
        <v/>
      </c>
      <c r="HP331" s="28" t="str">
        <f t="shared" si="752"/>
        <v/>
      </c>
      <c r="HQ331" s="28" t="str">
        <f t="shared" si="753"/>
        <v/>
      </c>
      <c r="HR331" s="28" t="str">
        <f t="shared" si="754"/>
        <v/>
      </c>
      <c r="HT331" s="4">
        <f>IFERROR(GR331/'McDonough &amp; Sun 1995 values'!C$2,)</f>
        <v>0</v>
      </c>
      <c r="HU331" s="4">
        <f>IFERROR(GS331/'McDonough &amp; Sun 1995 values'!D$2,)</f>
        <v>0</v>
      </c>
      <c r="HV331" s="4">
        <f>IFERROR(GT331/'McDonough &amp; Sun 1995 values'!E$2,)</f>
        <v>0</v>
      </c>
      <c r="HW331" s="4">
        <f>IFERROR(GU331/'McDonough &amp; Sun 1995 values'!F$2,)</f>
        <v>0</v>
      </c>
      <c r="HX331" s="4">
        <f>IFERROR(GV331/'McDonough &amp; Sun 1995 values'!G$2,)</f>
        <v>0</v>
      </c>
      <c r="HY331" s="4">
        <f>IFERROR(GW331/'McDonough &amp; Sun 1995 values'!H$2,)</f>
        <v>0</v>
      </c>
      <c r="HZ331" s="4">
        <f>IFERROR(GX331/'McDonough &amp; Sun 1995 values'!I$2,)</f>
        <v>0</v>
      </c>
      <c r="IA331" s="4">
        <f>IFERROR(GY331/'McDonough &amp; Sun 1995 values'!J$2,)</f>
        <v>0</v>
      </c>
      <c r="IB331" s="4">
        <f>IFERROR(GZ331/'McDonough &amp; Sun 1995 values'!K$2,)</f>
        <v>0</v>
      </c>
      <c r="IC331" s="4">
        <f>IFERROR(HA331/'McDonough &amp; Sun 1995 values'!L$2,)</f>
        <v>0</v>
      </c>
      <c r="ID331" s="4">
        <f>IFERROR(HB331/'McDonough &amp; Sun 1995 values'!M$2,)</f>
        <v>0</v>
      </c>
      <c r="IE331" s="4">
        <f>IFERROR(HC331/'McDonough &amp; Sun 1995 values'!N$2,)</f>
        <v>0</v>
      </c>
      <c r="IF331" s="4">
        <f>IFERROR(HD331/'McDonough &amp; Sun 1995 values'!O$2,)</f>
        <v>0</v>
      </c>
      <c r="IG331" s="4">
        <f>IFERROR(HE331/'McDonough &amp; Sun 1995 values'!P$2,)</f>
        <v>0</v>
      </c>
      <c r="IH331" s="4">
        <f>IFERROR(HF331/'McDonough &amp; Sun 1995 values'!Q$2,)</f>
        <v>0</v>
      </c>
      <c r="II331" s="4">
        <f>IFERROR(HG331/'McDonough &amp; Sun 1995 values'!R$2,)</f>
        <v>0</v>
      </c>
      <c r="IJ331" s="4">
        <f>IFERROR(HH331/'McDonough &amp; Sun 1995 values'!S$2,)</f>
        <v>0</v>
      </c>
      <c r="IK331" s="4">
        <f>IFERROR(HI331/'McDonough &amp; Sun 1995 values'!T$2,)</f>
        <v>0</v>
      </c>
      <c r="IL331" s="4">
        <f>IFERROR(HJ331/'McDonough &amp; Sun 1995 values'!U$2,)</f>
        <v>0</v>
      </c>
      <c r="IM331" s="4">
        <f>IFERROR(HK331/'McDonough &amp; Sun 1995 values'!V$2,)</f>
        <v>0</v>
      </c>
      <c r="IN331" s="4">
        <f>IFERROR(HL331/'McDonough &amp; Sun 1995 values'!W$2,)</f>
        <v>0</v>
      </c>
      <c r="IO331" s="4">
        <f>IFERROR(HM331/'McDonough &amp; Sun 1995 values'!X$2,)</f>
        <v>0</v>
      </c>
      <c r="IP331" s="4">
        <f>IFERROR(HN331/'McDonough &amp; Sun 1995 values'!Y$2,)</f>
        <v>0</v>
      </c>
      <c r="IQ331" s="4">
        <f>IFERROR(HO331/'McDonough &amp; Sun 1995 values'!Z$2,)</f>
        <v>0</v>
      </c>
      <c r="IR331" s="4">
        <f>IFERROR(HP331/'McDonough &amp; Sun 1995 values'!AA$2,)</f>
        <v>0</v>
      </c>
      <c r="IS331" s="4">
        <f>IFERROR(HQ331/'McDonough &amp; Sun 1995 values'!AB$2,)</f>
        <v>0</v>
      </c>
      <c r="IT331" s="4">
        <f>IFERROR(HR331/'McDonough &amp; Sun 1995 values'!AC$2,)</f>
        <v>0</v>
      </c>
    </row>
    <row r="332" spans="1:254">
      <c r="A332" s="4" t="s">
        <v>1160</v>
      </c>
      <c r="B332" s="16" t="s">
        <v>24</v>
      </c>
      <c r="C332" s="16" t="s">
        <v>1369</v>
      </c>
      <c r="D332" s="4" t="s">
        <v>1279</v>
      </c>
      <c r="E332" s="4" t="s">
        <v>806</v>
      </c>
      <c r="F332" s="4" t="s">
        <v>139</v>
      </c>
      <c r="G332" s="4" t="s">
        <v>595</v>
      </c>
      <c r="H332" s="49">
        <v>2700</v>
      </c>
      <c r="I332" s="4">
        <v>0</v>
      </c>
      <c r="J332" s="4" t="s">
        <v>1311</v>
      </c>
      <c r="K332" s="4" t="s">
        <v>968</v>
      </c>
      <c r="L332" s="4">
        <v>0</v>
      </c>
      <c r="M332" s="4" t="s">
        <v>1188</v>
      </c>
      <c r="AJ332" s="26">
        <f t="shared" si="769"/>
        <v>0</v>
      </c>
      <c r="AK332" s="26"/>
      <c r="AL332" s="26"/>
      <c r="AM332" s="26"/>
      <c r="AN332" s="26"/>
      <c r="AO332" s="26"/>
      <c r="AP332" s="26"/>
      <c r="AQ332" s="26"/>
      <c r="AR332" s="26"/>
      <c r="AS332" s="26"/>
      <c r="AT332" s="26"/>
      <c r="AU332" s="26"/>
      <c r="AV332" s="26"/>
      <c r="BC332" s="26"/>
      <c r="BD332" s="26"/>
      <c r="BT332" s="44">
        <v>3.6033333333333334E-2</v>
      </c>
      <c r="CH332" s="44">
        <v>0.104</v>
      </c>
      <c r="CI332" s="44">
        <v>5.18</v>
      </c>
      <c r="CK332" s="44">
        <v>0.26800000000000002</v>
      </c>
      <c r="CM332" s="44">
        <v>1.0699999999999999E-2</v>
      </c>
      <c r="CR332" s="44">
        <v>4.6600000000000001E-3</v>
      </c>
      <c r="CS332" s="44">
        <v>18.600000000000001</v>
      </c>
      <c r="CT332" s="44">
        <v>0</v>
      </c>
      <c r="CU332" s="44">
        <v>0.16200000000000001</v>
      </c>
      <c r="CV332" s="44">
        <v>0.39800000000000002</v>
      </c>
      <c r="CW332" s="44">
        <v>4.1399999999999999E-2</v>
      </c>
      <c r="CX332" s="44">
        <v>0.15766666666666665</v>
      </c>
      <c r="CY332" s="44">
        <v>1.1849999999999999E-2</v>
      </c>
      <c r="CZ332" s="44">
        <v>4.8599999999999997E-3</v>
      </c>
      <c r="DA332" s="44">
        <v>8.5500000000000003E-3</v>
      </c>
      <c r="DB332" s="44">
        <v>1.07E-3</v>
      </c>
      <c r="DD332" s="44">
        <v>2.0900000000000001E-4</v>
      </c>
      <c r="DH332" s="44">
        <v>6.6800000000000002E-3</v>
      </c>
      <c r="DK332" s="44">
        <v>6.7599999999999993E-2</v>
      </c>
      <c r="DL332" s="44">
        <v>1.5599999999999999E-2</v>
      </c>
      <c r="DM332" s="44">
        <v>4.2100000000000002E-3</v>
      </c>
      <c r="DN332" s="44">
        <v>3.8400000000000001E-4</v>
      </c>
      <c r="DT332" s="44">
        <v>5.8000000000000003E-2</v>
      </c>
      <c r="DU332" s="44">
        <v>50</v>
      </c>
      <c r="DV332" s="45">
        <v>0.70416500000000004</v>
      </c>
      <c r="DW332" s="45">
        <v>1.18E-2</v>
      </c>
      <c r="DX332" s="45">
        <v>0.70189999999999997</v>
      </c>
      <c r="DY332" s="45">
        <v>4.4999999999999997E-3</v>
      </c>
      <c r="DZ332" s="45">
        <v>0</v>
      </c>
      <c r="EA332" s="45">
        <v>0</v>
      </c>
      <c r="EB332" s="45">
        <v>0</v>
      </c>
      <c r="EC332" s="45">
        <v>0</v>
      </c>
      <c r="ED332" s="45">
        <v>0</v>
      </c>
      <c r="EE332" s="45">
        <v>0</v>
      </c>
      <c r="EF332" s="45">
        <v>0</v>
      </c>
      <c r="EG332" s="45">
        <v>0</v>
      </c>
      <c r="EH332" s="45">
        <v>0</v>
      </c>
      <c r="EI332" s="45">
        <v>0</v>
      </c>
      <c r="EJ332" s="44">
        <v>0</v>
      </c>
      <c r="EK332" s="18"/>
      <c r="EL332" s="18">
        <f>IFERROR(CR332/'McDonough &amp; Sun 1995 values'!C$2,)</f>
        <v>0.22190476190476188</v>
      </c>
      <c r="EM332" s="18">
        <f>IFERROR(CH332/'McDonough &amp; Sun 1995 values'!D$2,)</f>
        <v>0.17333333333333334</v>
      </c>
      <c r="EN332" s="18">
        <f>IFERROR(CS332/'McDonough &amp; Sun 1995 values'!E$2,)</f>
        <v>2.8181818181818183</v>
      </c>
      <c r="EO332" s="18">
        <f>IFERROR(DL332/'McDonough &amp; Sun 1995 values'!F$2,)</f>
        <v>0.19622641509433961</v>
      </c>
      <c r="EP332" s="18">
        <f>IFERROR(DM332/'McDonough &amp; Sun 1995 values'!G$2,)</f>
        <v>0.20738916256157638</v>
      </c>
      <c r="EQ332" s="18">
        <f>IFERROR(BR332/'McDonough &amp; Sun 1995 values'!H$2,)</f>
        <v>0</v>
      </c>
      <c r="ER332" s="18">
        <f>IFERROR(DI332/'McDonough &amp; Sun 1995 values'!I$2,)</f>
        <v>0</v>
      </c>
      <c r="ES332" s="18">
        <f>IFERROR(CM332/'McDonough &amp; Sun 1995 values'!J$2,)</f>
        <v>1.626139817629179E-2</v>
      </c>
      <c r="ET332" s="18">
        <f>IFERROR(CU332/'McDonough &amp; Sun 1995 values'!K$2,)</f>
        <v>0.25</v>
      </c>
      <c r="EU332" s="18">
        <f>IFERROR(CV332/'McDonough &amp; Sun 1995 values'!L$2,)</f>
        <v>0.23761194029850746</v>
      </c>
      <c r="EV332" s="18">
        <f>IFERROR(CW332/'McDonough &amp; Sun 1995 values'!M$2,)</f>
        <v>0.16299212598425197</v>
      </c>
      <c r="EW332" s="18">
        <f>IFERROR(CI332/'McDonough &amp; Sun 1995 values'!N$2,)</f>
        <v>0.26030150753768844</v>
      </c>
      <c r="EX332" s="18">
        <f>IFERROR(CX332/'McDonough &amp; Sun 1995 values'!O$2,)</f>
        <v>0.12613333333333332</v>
      </c>
      <c r="EY332" s="18">
        <f>IFERROR(CY332/'McDonough &amp; Sun 1995 values'!P$2,)</f>
        <v>2.9187192118226596E-2</v>
      </c>
      <c r="EZ332" s="18">
        <f>IFERROR(DH332/'McDonough &amp; Sun 1995 values'!Q$2,)</f>
        <v>2.3604240282685516E-2</v>
      </c>
      <c r="FA332" s="18">
        <f>IFERROR(CK332/'McDonough &amp; Sun 1995 values'!R$2,)</f>
        <v>2.5523809523809525E-2</v>
      </c>
      <c r="FB332" s="18">
        <f>IFERROR(CZ332/'McDonough &amp; Sun 1995 values'!S$2,)</f>
        <v>3.1558441558441556E-2</v>
      </c>
      <c r="FC332" s="18">
        <f>IFERROR(BT332/'McDonough &amp; Sun 1995 values'!T$2,)</f>
        <v>2.9903181189488243E-5</v>
      </c>
      <c r="FD332" s="18">
        <f>IFERROR(DA332/'McDonough &amp; Sun 1995 values'!U$2,)</f>
        <v>1.5716911764705882E-2</v>
      </c>
      <c r="FE332" s="18">
        <f>IFERROR(DN332/'McDonough &amp; Sun 1995 values'!V$2,)</f>
        <v>3.8787878787878787E-3</v>
      </c>
      <c r="FF332" s="18">
        <f>IFERROR(DB332/'McDonough &amp; Sun 1995 values'!W$2,)</f>
        <v>1.5875370919881304E-3</v>
      </c>
      <c r="FG332" s="18">
        <f>IFERROR(CJ332/'McDonough &amp; Sun 1995 values'!X$2,)</f>
        <v>0</v>
      </c>
      <c r="FH332" s="18">
        <f>IFERROR(DC332/'McDonough &amp; Sun 1995 values'!Y$2,)</f>
        <v>0</v>
      </c>
      <c r="FI332" s="18">
        <f>IFERROR(DD332/'McDonough &amp; Sun 1995 values'!Z$2,)</f>
        <v>4.771689497716895E-4</v>
      </c>
      <c r="FJ332" s="18">
        <f>IFERROR(DE332/'McDonough &amp; Sun 1995 values'!AA$2,)</f>
        <v>0</v>
      </c>
      <c r="FK332" s="18">
        <f>IFERROR(DF332/'McDonough &amp; Sun 1995 values'!AB$2,)</f>
        <v>0</v>
      </c>
      <c r="FL332" s="18">
        <f>IFERROR(DG332/'McDonough &amp; Sun 1995 values'!AC$2,)</f>
        <v>0</v>
      </c>
      <c r="FN332" s="28">
        <f t="shared" si="758"/>
        <v>0</v>
      </c>
      <c r="FO332" s="4">
        <f t="shared" si="699"/>
        <v>13.588857698121355</v>
      </c>
      <c r="FP332" s="4">
        <f t="shared" si="700"/>
        <v>12.067007582436961</v>
      </c>
      <c r="FQ332" s="4">
        <f t="shared" si="701"/>
        <v>0.94617487563303881</v>
      </c>
      <c r="FR332" s="4">
        <f t="shared" si="702"/>
        <v>15.373831775700937</v>
      </c>
      <c r="FS332" s="4">
        <f t="shared" si="703"/>
        <v>0</v>
      </c>
      <c r="FT332" s="4">
        <f t="shared" si="704"/>
        <v>0.78111587982832631</v>
      </c>
      <c r="FU332" s="4">
        <f t="shared" si="705"/>
        <v>0</v>
      </c>
      <c r="FV332" s="4">
        <f t="shared" si="706"/>
        <v>0.8744866385372716</v>
      </c>
      <c r="FW332" s="4">
        <f t="shared" si="707"/>
        <v>1.0813230681494153</v>
      </c>
      <c r="FX332" s="4">
        <f t="shared" si="708"/>
        <v>1.4055927556517411</v>
      </c>
      <c r="FY332" s="4">
        <f t="shared" si="709"/>
        <v>1.8154255133760016</v>
      </c>
      <c r="FZ332" s="4">
        <f t="shared" si="710"/>
        <v>1.4734512872887819</v>
      </c>
      <c r="GA332" s="4">
        <f t="shared" si="711"/>
        <v>1.5970189109800208</v>
      </c>
      <c r="GB332" s="4">
        <f t="shared" si="712"/>
        <v>1.0812428078250864</v>
      </c>
      <c r="GC332" s="4">
        <f t="shared" si="713"/>
        <v>1.2802197802197801</v>
      </c>
      <c r="GD332" s="4">
        <f t="shared" si="714"/>
        <v>14.361888111888113</v>
      </c>
      <c r="GE332" s="4">
        <f t="shared" si="715"/>
        <v>16.25874125874126</v>
      </c>
      <c r="GF332" s="4">
        <f t="shared" si="716"/>
        <v>0</v>
      </c>
      <c r="GG332" s="4">
        <f t="shared" si="717"/>
        <v>173.30501274426513</v>
      </c>
      <c r="GH332" s="4">
        <f t="shared" si="718"/>
        <v>1.5338164251207729</v>
      </c>
      <c r="GI332" s="4">
        <f t="shared" si="719"/>
        <v>8.5654008438818572</v>
      </c>
      <c r="GJ332" s="4">
        <f t="shared" si="720"/>
        <v>157.47663551401871</v>
      </c>
      <c r="GK332" s="4">
        <f t="shared" si="721"/>
        <v>0</v>
      </c>
      <c r="GL332" s="4">
        <f t="shared" si="722"/>
        <v>853.54830183692354</v>
      </c>
      <c r="GM332" s="4">
        <f t="shared" si="723"/>
        <v>1.1320754716981132</v>
      </c>
      <c r="GN332" s="4">
        <f t="shared" si="724"/>
        <v>6.504559270516716E-2</v>
      </c>
      <c r="GO332" s="4">
        <f t="shared" si="725"/>
        <v>7.8410067215848769E-2</v>
      </c>
      <c r="GP332" s="4">
        <f t="shared" si="726"/>
        <v>0</v>
      </c>
      <c r="GQ332" s="27">
        <f t="shared" si="727"/>
        <v>0</v>
      </c>
      <c r="GR332" s="28" t="str">
        <f t="shared" si="728"/>
        <v/>
      </c>
      <c r="GS332" s="28" t="str">
        <f t="shared" si="729"/>
        <v/>
      </c>
      <c r="GT332" s="28" t="str">
        <f t="shared" si="730"/>
        <v/>
      </c>
      <c r="GU332" s="28" t="str">
        <f t="shared" si="731"/>
        <v/>
      </c>
      <c r="GV332" s="28" t="str">
        <f t="shared" si="732"/>
        <v/>
      </c>
      <c r="GW332" s="28" t="str">
        <f t="shared" si="733"/>
        <v/>
      </c>
      <c r="GX332" s="28" t="str">
        <f t="shared" si="734"/>
        <v/>
      </c>
      <c r="GY332" s="28" t="str">
        <f t="shared" si="735"/>
        <v/>
      </c>
      <c r="GZ332" s="28" t="str">
        <f t="shared" si="736"/>
        <v/>
      </c>
      <c r="HA332" s="28" t="str">
        <f t="shared" si="737"/>
        <v/>
      </c>
      <c r="HB332" s="28" t="str">
        <f t="shared" si="738"/>
        <v/>
      </c>
      <c r="HC332" s="28" t="str">
        <f t="shared" si="739"/>
        <v/>
      </c>
      <c r="HD332" s="28" t="str">
        <f t="shared" si="740"/>
        <v/>
      </c>
      <c r="HE332" s="28" t="str">
        <f t="shared" si="741"/>
        <v/>
      </c>
      <c r="HF332" s="28" t="str">
        <f t="shared" si="742"/>
        <v/>
      </c>
      <c r="HG332" s="28" t="str">
        <f t="shared" si="743"/>
        <v/>
      </c>
      <c r="HH332" s="28" t="str">
        <f t="shared" si="744"/>
        <v/>
      </c>
      <c r="HI332" s="28" t="str">
        <f t="shared" si="745"/>
        <v/>
      </c>
      <c r="HJ332" s="28" t="str">
        <f t="shared" si="746"/>
        <v/>
      </c>
      <c r="HK332" s="28" t="str">
        <f t="shared" si="747"/>
        <v/>
      </c>
      <c r="HL332" s="28" t="str">
        <f t="shared" si="748"/>
        <v/>
      </c>
      <c r="HM332" s="28" t="str">
        <f t="shared" si="749"/>
        <v/>
      </c>
      <c r="HN332" s="28" t="str">
        <f t="shared" si="750"/>
        <v/>
      </c>
      <c r="HO332" s="28" t="str">
        <f t="shared" si="751"/>
        <v/>
      </c>
      <c r="HP332" s="28" t="str">
        <f t="shared" si="752"/>
        <v/>
      </c>
      <c r="HQ332" s="28" t="str">
        <f t="shared" si="753"/>
        <v/>
      </c>
      <c r="HR332" s="28" t="str">
        <f t="shared" si="754"/>
        <v/>
      </c>
      <c r="HT332" s="4">
        <f>IFERROR(GR332/'McDonough &amp; Sun 1995 values'!C$2,)</f>
        <v>0</v>
      </c>
      <c r="HU332" s="4">
        <f>IFERROR(GS332/'McDonough &amp; Sun 1995 values'!D$2,)</f>
        <v>0</v>
      </c>
      <c r="HV332" s="4">
        <f>IFERROR(GT332/'McDonough &amp; Sun 1995 values'!E$2,)</f>
        <v>0</v>
      </c>
      <c r="HW332" s="4">
        <f>IFERROR(GU332/'McDonough &amp; Sun 1995 values'!F$2,)</f>
        <v>0</v>
      </c>
      <c r="HX332" s="4">
        <f>IFERROR(GV332/'McDonough &amp; Sun 1995 values'!G$2,)</f>
        <v>0</v>
      </c>
      <c r="HY332" s="4">
        <f>IFERROR(GW332/'McDonough &amp; Sun 1995 values'!H$2,)</f>
        <v>0</v>
      </c>
      <c r="HZ332" s="4">
        <f>IFERROR(GX332/'McDonough &amp; Sun 1995 values'!I$2,)</f>
        <v>0</v>
      </c>
      <c r="IA332" s="4">
        <f>IFERROR(GY332/'McDonough &amp; Sun 1995 values'!J$2,)</f>
        <v>0</v>
      </c>
      <c r="IB332" s="4">
        <f>IFERROR(GZ332/'McDonough &amp; Sun 1995 values'!K$2,)</f>
        <v>0</v>
      </c>
      <c r="IC332" s="4">
        <f>IFERROR(HA332/'McDonough &amp; Sun 1995 values'!L$2,)</f>
        <v>0</v>
      </c>
      <c r="ID332" s="4">
        <f>IFERROR(HB332/'McDonough &amp; Sun 1995 values'!M$2,)</f>
        <v>0</v>
      </c>
      <c r="IE332" s="4">
        <f>IFERROR(HC332/'McDonough &amp; Sun 1995 values'!N$2,)</f>
        <v>0</v>
      </c>
      <c r="IF332" s="4">
        <f>IFERROR(HD332/'McDonough &amp; Sun 1995 values'!O$2,)</f>
        <v>0</v>
      </c>
      <c r="IG332" s="4">
        <f>IFERROR(HE332/'McDonough &amp; Sun 1995 values'!P$2,)</f>
        <v>0</v>
      </c>
      <c r="IH332" s="4">
        <f>IFERROR(HF332/'McDonough &amp; Sun 1995 values'!Q$2,)</f>
        <v>0</v>
      </c>
      <c r="II332" s="4">
        <f>IFERROR(HG332/'McDonough &amp; Sun 1995 values'!R$2,)</f>
        <v>0</v>
      </c>
      <c r="IJ332" s="4">
        <f>IFERROR(HH332/'McDonough &amp; Sun 1995 values'!S$2,)</f>
        <v>0</v>
      </c>
      <c r="IK332" s="4">
        <f>IFERROR(HI332/'McDonough &amp; Sun 1995 values'!T$2,)</f>
        <v>0</v>
      </c>
      <c r="IL332" s="4">
        <f>IFERROR(HJ332/'McDonough &amp; Sun 1995 values'!U$2,)</f>
        <v>0</v>
      </c>
      <c r="IM332" s="4">
        <f>IFERROR(HK332/'McDonough &amp; Sun 1995 values'!V$2,)</f>
        <v>0</v>
      </c>
      <c r="IN332" s="4">
        <f>IFERROR(HL332/'McDonough &amp; Sun 1995 values'!W$2,)</f>
        <v>0</v>
      </c>
      <c r="IO332" s="4">
        <f>IFERROR(HM332/'McDonough &amp; Sun 1995 values'!X$2,)</f>
        <v>0</v>
      </c>
      <c r="IP332" s="4">
        <f>IFERROR(HN332/'McDonough &amp; Sun 1995 values'!Y$2,)</f>
        <v>0</v>
      </c>
      <c r="IQ332" s="4">
        <f>IFERROR(HO332/'McDonough &amp; Sun 1995 values'!Z$2,)</f>
        <v>0</v>
      </c>
      <c r="IR332" s="4">
        <f>IFERROR(HP332/'McDonough &amp; Sun 1995 values'!AA$2,)</f>
        <v>0</v>
      </c>
      <c r="IS332" s="4">
        <f>IFERROR(HQ332/'McDonough &amp; Sun 1995 values'!AB$2,)</f>
        <v>0</v>
      </c>
      <c r="IT332" s="4">
        <f>IFERROR(HR332/'McDonough &amp; Sun 1995 values'!AC$2,)</f>
        <v>0</v>
      </c>
    </row>
    <row r="333" spans="1:254">
      <c r="A333" s="4" t="s">
        <v>1160</v>
      </c>
      <c r="B333" s="16" t="s">
        <v>24</v>
      </c>
      <c r="C333" s="16" t="s">
        <v>1369</v>
      </c>
      <c r="D333" s="4" t="s">
        <v>1279</v>
      </c>
      <c r="E333" s="4" t="s">
        <v>806</v>
      </c>
      <c r="F333" s="4" t="s">
        <v>139</v>
      </c>
      <c r="G333" s="4" t="s">
        <v>595</v>
      </c>
      <c r="H333" s="49">
        <v>2700</v>
      </c>
      <c r="I333" s="4">
        <v>0</v>
      </c>
      <c r="J333" s="4" t="s">
        <v>1311</v>
      </c>
      <c r="K333" s="4" t="s">
        <v>968</v>
      </c>
      <c r="L333" s="4">
        <v>0</v>
      </c>
      <c r="M333" s="4" t="s">
        <v>1189</v>
      </c>
      <c r="AJ333" s="26">
        <f t="shared" si="769"/>
        <v>0</v>
      </c>
      <c r="AK333" s="26"/>
      <c r="AL333" s="26"/>
      <c r="AM333" s="26"/>
      <c r="AN333" s="26"/>
      <c r="AO333" s="26"/>
      <c r="AP333" s="26"/>
      <c r="AQ333" s="26"/>
      <c r="AR333" s="26"/>
      <c r="AS333" s="26"/>
      <c r="AT333" s="26"/>
      <c r="AU333" s="26"/>
      <c r="AV333" s="26"/>
      <c r="BC333" s="26"/>
      <c r="BD333" s="26"/>
      <c r="BT333" s="44">
        <v>4.6499999999999993E-2</v>
      </c>
      <c r="CH333" s="44">
        <v>2.5700000000000001E-2</v>
      </c>
      <c r="CI333" s="44">
        <v>0.33300000000000002</v>
      </c>
      <c r="CK333" s="44">
        <v>0.88100000000000001</v>
      </c>
      <c r="CM333" s="44">
        <v>4.5699999999999998E-2</v>
      </c>
      <c r="CR333" s="44">
        <v>2.2100000000000002E-3</v>
      </c>
      <c r="CS333" s="44">
        <v>0.83</v>
      </c>
      <c r="CT333" s="44">
        <v>0</v>
      </c>
      <c r="CU333" s="44">
        <v>9.6900000000000007E-3</v>
      </c>
      <c r="CV333" s="44">
        <v>2.9600000000000001E-2</v>
      </c>
      <c r="CW333" s="44">
        <v>2.0999999999999999E-3</v>
      </c>
      <c r="CX333" s="44">
        <v>5.7299999999999999E-3</v>
      </c>
      <c r="CY333" s="44">
        <v>1.9100000000000001E-4</v>
      </c>
      <c r="CZ333" s="44">
        <v>4.8099999999999998E-4</v>
      </c>
      <c r="DF333" s="44">
        <v>1.9100000000000001E-4</v>
      </c>
      <c r="DH333" s="44">
        <v>0.02</v>
      </c>
      <c r="DK333" s="44">
        <v>6.2899999999999998E-2</v>
      </c>
      <c r="DL333" s="44">
        <v>5.6499999999999996E-3</v>
      </c>
      <c r="DM333" s="44">
        <v>2.1099999999999999E-3</v>
      </c>
      <c r="DT333" s="44">
        <v>0.2228</v>
      </c>
      <c r="DU333" s="44">
        <v>50</v>
      </c>
      <c r="DV333" s="45">
        <v>0.70784080000000005</v>
      </c>
      <c r="DW333" s="45">
        <v>1.54E-2</v>
      </c>
      <c r="DX333" s="45">
        <v>0.69910000000000005</v>
      </c>
      <c r="DY333" s="45">
        <v>1.7100000000000001E-2</v>
      </c>
      <c r="DZ333" s="45">
        <v>0</v>
      </c>
      <c r="EA333" s="45">
        <v>0</v>
      </c>
      <c r="EB333" s="45">
        <v>0</v>
      </c>
      <c r="EC333" s="45">
        <v>0</v>
      </c>
      <c r="ED333" s="45">
        <v>0</v>
      </c>
      <c r="EE333" s="45">
        <v>0</v>
      </c>
      <c r="EF333" s="45">
        <v>0</v>
      </c>
      <c r="EG333" s="45">
        <v>0</v>
      </c>
      <c r="EH333" s="45">
        <v>0</v>
      </c>
      <c r="EI333" s="45">
        <v>0</v>
      </c>
      <c r="EJ333" s="44">
        <v>0</v>
      </c>
      <c r="EK333" s="18"/>
      <c r="EL333" s="18">
        <f>IFERROR(CR333/'McDonough &amp; Sun 1995 values'!C$2,)</f>
        <v>0.10523809523809524</v>
      </c>
      <c r="EM333" s="18">
        <f>IFERROR(CH333/'McDonough &amp; Sun 1995 values'!D$2,)</f>
        <v>4.2833333333333334E-2</v>
      </c>
      <c r="EN333" s="18">
        <f>IFERROR(CS333/'McDonough &amp; Sun 1995 values'!E$2,)</f>
        <v>0.12575757575757576</v>
      </c>
      <c r="EO333" s="18">
        <f>IFERROR(DL333/'McDonough &amp; Sun 1995 values'!F$2,)</f>
        <v>7.1069182389937105E-2</v>
      </c>
      <c r="EP333" s="18">
        <f>IFERROR(DM333/'McDonough &amp; Sun 1995 values'!G$2,)</f>
        <v>0.10394088669950739</v>
      </c>
      <c r="EQ333" s="18">
        <f>IFERROR(BR333/'McDonough &amp; Sun 1995 values'!H$2,)</f>
        <v>0</v>
      </c>
      <c r="ER333" s="18">
        <f>IFERROR(DI333/'McDonough &amp; Sun 1995 values'!I$2,)</f>
        <v>0</v>
      </c>
      <c r="ES333" s="18">
        <f>IFERROR(CM333/'McDonough &amp; Sun 1995 values'!J$2,)</f>
        <v>6.9452887537993918E-2</v>
      </c>
      <c r="ET333" s="18">
        <f>IFERROR(CU333/'McDonough &amp; Sun 1995 values'!K$2,)</f>
        <v>1.4953703703703705E-2</v>
      </c>
      <c r="EU333" s="18">
        <f>IFERROR(CV333/'McDonough &amp; Sun 1995 values'!L$2,)</f>
        <v>1.7671641791044777E-2</v>
      </c>
      <c r="EV333" s="18">
        <f>IFERROR(CW333/'McDonough &amp; Sun 1995 values'!M$2,)</f>
        <v>8.2677165354330708E-3</v>
      </c>
      <c r="EW333" s="18">
        <f>IFERROR(CI333/'McDonough &amp; Sun 1995 values'!N$2,)</f>
        <v>1.6733668341708544E-2</v>
      </c>
      <c r="EX333" s="18">
        <f>IFERROR(CX333/'McDonough &amp; Sun 1995 values'!O$2,)</f>
        <v>4.5839999999999995E-3</v>
      </c>
      <c r="EY333" s="18">
        <f>IFERROR(CY333/'McDonough &amp; Sun 1995 values'!P$2,)</f>
        <v>4.7044334975369456E-4</v>
      </c>
      <c r="EZ333" s="18">
        <f>IFERROR(DH333/'McDonough &amp; Sun 1995 values'!Q$2,)</f>
        <v>7.0671378091872794E-2</v>
      </c>
      <c r="FA333" s="18">
        <f>IFERROR(CK333/'McDonough &amp; Sun 1995 values'!R$2,)</f>
        <v>8.3904761904761899E-2</v>
      </c>
      <c r="FB333" s="18">
        <f>IFERROR(CZ333/'McDonough &amp; Sun 1995 values'!S$2,)</f>
        <v>3.1233766233766235E-3</v>
      </c>
      <c r="FC333" s="18">
        <f>IFERROR(BT333/'McDonough &amp; Sun 1995 values'!T$2,)</f>
        <v>3.8589211618257253E-5</v>
      </c>
      <c r="FD333" s="18">
        <f>IFERROR(DA333/'McDonough &amp; Sun 1995 values'!U$2,)</f>
        <v>0</v>
      </c>
      <c r="FE333" s="18">
        <f>IFERROR(DN333/'McDonough &amp; Sun 1995 values'!V$2,)</f>
        <v>0</v>
      </c>
      <c r="FF333" s="18">
        <f>IFERROR(DB333/'McDonough &amp; Sun 1995 values'!W$2,)</f>
        <v>0</v>
      </c>
      <c r="FG333" s="18">
        <f>IFERROR(CJ333/'McDonough &amp; Sun 1995 values'!X$2,)</f>
        <v>0</v>
      </c>
      <c r="FH333" s="18">
        <f>IFERROR(DC333/'McDonough &amp; Sun 1995 values'!Y$2,)</f>
        <v>0</v>
      </c>
      <c r="FI333" s="18">
        <f>IFERROR(DD333/'McDonough &amp; Sun 1995 values'!Z$2,)</f>
        <v>0</v>
      </c>
      <c r="FJ333" s="18">
        <f>IFERROR(DE333/'McDonough &amp; Sun 1995 values'!AA$2,)</f>
        <v>0</v>
      </c>
      <c r="FK333" s="18">
        <f>IFERROR(DF333/'McDonough &amp; Sun 1995 values'!AB$2,)</f>
        <v>4.3310657596371883E-4</v>
      </c>
      <c r="FL333" s="18">
        <f>IFERROR(DG333/'McDonough &amp; Sun 1995 values'!AC$2,)</f>
        <v>0</v>
      </c>
      <c r="FN333" s="28">
        <f t="shared" si="758"/>
        <v>0</v>
      </c>
      <c r="FO333" s="4">
        <f t="shared" si="699"/>
        <v>1.2098951601321271</v>
      </c>
      <c r="FP333" s="4">
        <f t="shared" si="700"/>
        <v>1.0232718164678034</v>
      </c>
      <c r="FQ333" s="4">
        <f t="shared" si="701"/>
        <v>0.68374616232972663</v>
      </c>
      <c r="FR333" s="4">
        <f t="shared" si="702"/>
        <v>0.21530715617148879</v>
      </c>
      <c r="FS333" s="4">
        <f t="shared" si="703"/>
        <v>0</v>
      </c>
      <c r="FT333" s="4">
        <f t="shared" si="704"/>
        <v>0.40701357466063348</v>
      </c>
      <c r="FU333" s="4">
        <f t="shared" si="705"/>
        <v>0</v>
      </c>
      <c r="FV333" s="4">
        <f t="shared" si="706"/>
        <v>178.35253054101221</v>
      </c>
      <c r="FW333" s="4">
        <f t="shared" si="707"/>
        <v>1.1872523809523807</v>
      </c>
      <c r="FX333" s="4">
        <f t="shared" si="708"/>
        <v>13.278438838648263</v>
      </c>
      <c r="FY333" s="4">
        <f t="shared" si="709"/>
        <v>2.7181665491074924</v>
      </c>
      <c r="FZ333" s="4">
        <f t="shared" si="710"/>
        <v>0</v>
      </c>
      <c r="GA333" s="4">
        <f t="shared" si="711"/>
        <v>2.0239770279971285</v>
      </c>
      <c r="GB333" s="4">
        <f t="shared" si="712"/>
        <v>6.6392194193241316</v>
      </c>
      <c r="GC333" s="4">
        <f t="shared" si="713"/>
        <v>2.4569205113952197</v>
      </c>
      <c r="GD333" s="4">
        <f t="shared" si="714"/>
        <v>1.769509251810137</v>
      </c>
      <c r="GE333" s="4">
        <f t="shared" si="715"/>
        <v>2.9359745313052708</v>
      </c>
      <c r="GF333" s="4">
        <f t="shared" si="716"/>
        <v>0</v>
      </c>
      <c r="GG333" s="4">
        <f t="shared" si="717"/>
        <v>1.8106889463563425</v>
      </c>
      <c r="GH333" s="4">
        <f t="shared" si="718"/>
        <v>1.8086860670194005</v>
      </c>
      <c r="GI333" s="4">
        <f t="shared" si="719"/>
        <v>31.786406825673847</v>
      </c>
      <c r="GJ333" s="4">
        <f t="shared" si="720"/>
        <v>0</v>
      </c>
      <c r="GK333" s="4">
        <f t="shared" si="721"/>
        <v>34.526614310645726</v>
      </c>
      <c r="GL333" s="4">
        <f t="shared" si="722"/>
        <v>2174.3061955965186</v>
      </c>
      <c r="GM333" s="4">
        <f t="shared" si="723"/>
        <v>1.6592027017105939</v>
      </c>
      <c r="GN333" s="4">
        <f t="shared" si="724"/>
        <v>4.6445274638410785</v>
      </c>
      <c r="GO333" s="4">
        <f t="shared" si="725"/>
        <v>0.6681960270243017</v>
      </c>
      <c r="GP333" s="4">
        <f t="shared" si="726"/>
        <v>0</v>
      </c>
      <c r="GQ333" s="27">
        <f t="shared" si="727"/>
        <v>0</v>
      </c>
      <c r="GR333" s="28" t="str">
        <f t="shared" si="728"/>
        <v/>
      </c>
      <c r="GS333" s="28" t="str">
        <f t="shared" si="729"/>
        <v/>
      </c>
      <c r="GT333" s="28" t="str">
        <f t="shared" si="730"/>
        <v/>
      </c>
      <c r="GU333" s="28" t="str">
        <f t="shared" si="731"/>
        <v/>
      </c>
      <c r="GV333" s="28" t="str">
        <f t="shared" si="732"/>
        <v/>
      </c>
      <c r="GW333" s="28" t="str">
        <f t="shared" si="733"/>
        <v/>
      </c>
      <c r="GX333" s="28" t="str">
        <f t="shared" si="734"/>
        <v/>
      </c>
      <c r="GY333" s="28" t="str">
        <f t="shared" si="735"/>
        <v/>
      </c>
      <c r="GZ333" s="28" t="str">
        <f t="shared" si="736"/>
        <v/>
      </c>
      <c r="HA333" s="28" t="str">
        <f t="shared" si="737"/>
        <v/>
      </c>
      <c r="HB333" s="28" t="str">
        <f t="shared" si="738"/>
        <v/>
      </c>
      <c r="HC333" s="28" t="str">
        <f t="shared" si="739"/>
        <v/>
      </c>
      <c r="HD333" s="28" t="str">
        <f t="shared" si="740"/>
        <v/>
      </c>
      <c r="HE333" s="28" t="str">
        <f t="shared" si="741"/>
        <v/>
      </c>
      <c r="HF333" s="28" t="str">
        <f t="shared" si="742"/>
        <v/>
      </c>
      <c r="HG333" s="28" t="str">
        <f t="shared" si="743"/>
        <v/>
      </c>
      <c r="HH333" s="28" t="str">
        <f t="shared" si="744"/>
        <v/>
      </c>
      <c r="HI333" s="28" t="str">
        <f t="shared" si="745"/>
        <v/>
      </c>
      <c r="HJ333" s="28" t="str">
        <f t="shared" si="746"/>
        <v/>
      </c>
      <c r="HK333" s="28" t="str">
        <f t="shared" si="747"/>
        <v/>
      </c>
      <c r="HL333" s="28" t="str">
        <f t="shared" si="748"/>
        <v/>
      </c>
      <c r="HM333" s="28" t="str">
        <f t="shared" si="749"/>
        <v/>
      </c>
      <c r="HN333" s="28" t="str">
        <f t="shared" si="750"/>
        <v/>
      </c>
      <c r="HO333" s="28" t="str">
        <f t="shared" si="751"/>
        <v/>
      </c>
      <c r="HP333" s="28" t="str">
        <f t="shared" si="752"/>
        <v/>
      </c>
      <c r="HQ333" s="28" t="str">
        <f t="shared" si="753"/>
        <v/>
      </c>
      <c r="HR333" s="28" t="str">
        <f t="shared" si="754"/>
        <v/>
      </c>
      <c r="HT333" s="4">
        <f>IFERROR(GR333/'McDonough &amp; Sun 1995 values'!C$2,)</f>
        <v>0</v>
      </c>
      <c r="HU333" s="4">
        <f>IFERROR(GS333/'McDonough &amp; Sun 1995 values'!D$2,)</f>
        <v>0</v>
      </c>
      <c r="HV333" s="4">
        <f>IFERROR(GT333/'McDonough &amp; Sun 1995 values'!E$2,)</f>
        <v>0</v>
      </c>
      <c r="HW333" s="4">
        <f>IFERROR(GU333/'McDonough &amp; Sun 1995 values'!F$2,)</f>
        <v>0</v>
      </c>
      <c r="HX333" s="4">
        <f>IFERROR(GV333/'McDonough &amp; Sun 1995 values'!G$2,)</f>
        <v>0</v>
      </c>
      <c r="HY333" s="4">
        <f>IFERROR(GW333/'McDonough &amp; Sun 1995 values'!H$2,)</f>
        <v>0</v>
      </c>
      <c r="HZ333" s="4">
        <f>IFERROR(GX333/'McDonough &amp; Sun 1995 values'!I$2,)</f>
        <v>0</v>
      </c>
      <c r="IA333" s="4">
        <f>IFERROR(GY333/'McDonough &amp; Sun 1995 values'!J$2,)</f>
        <v>0</v>
      </c>
      <c r="IB333" s="4">
        <f>IFERROR(GZ333/'McDonough &amp; Sun 1995 values'!K$2,)</f>
        <v>0</v>
      </c>
      <c r="IC333" s="4">
        <f>IFERROR(HA333/'McDonough &amp; Sun 1995 values'!L$2,)</f>
        <v>0</v>
      </c>
      <c r="ID333" s="4">
        <f>IFERROR(HB333/'McDonough &amp; Sun 1995 values'!M$2,)</f>
        <v>0</v>
      </c>
      <c r="IE333" s="4">
        <f>IFERROR(HC333/'McDonough &amp; Sun 1995 values'!N$2,)</f>
        <v>0</v>
      </c>
      <c r="IF333" s="4">
        <f>IFERROR(HD333/'McDonough &amp; Sun 1995 values'!O$2,)</f>
        <v>0</v>
      </c>
      <c r="IG333" s="4">
        <f>IFERROR(HE333/'McDonough &amp; Sun 1995 values'!P$2,)</f>
        <v>0</v>
      </c>
      <c r="IH333" s="4">
        <f>IFERROR(HF333/'McDonough &amp; Sun 1995 values'!Q$2,)</f>
        <v>0</v>
      </c>
      <c r="II333" s="4">
        <f>IFERROR(HG333/'McDonough &amp; Sun 1995 values'!R$2,)</f>
        <v>0</v>
      </c>
      <c r="IJ333" s="4">
        <f>IFERROR(HH333/'McDonough &amp; Sun 1995 values'!S$2,)</f>
        <v>0</v>
      </c>
      <c r="IK333" s="4">
        <f>IFERROR(HI333/'McDonough &amp; Sun 1995 values'!T$2,)</f>
        <v>0</v>
      </c>
      <c r="IL333" s="4">
        <f>IFERROR(HJ333/'McDonough &amp; Sun 1995 values'!U$2,)</f>
        <v>0</v>
      </c>
      <c r="IM333" s="4">
        <f>IFERROR(HK333/'McDonough &amp; Sun 1995 values'!V$2,)</f>
        <v>0</v>
      </c>
      <c r="IN333" s="4">
        <f>IFERROR(HL333/'McDonough &amp; Sun 1995 values'!W$2,)</f>
        <v>0</v>
      </c>
      <c r="IO333" s="4">
        <f>IFERROR(HM333/'McDonough &amp; Sun 1995 values'!X$2,)</f>
        <v>0</v>
      </c>
      <c r="IP333" s="4">
        <f>IFERROR(HN333/'McDonough &amp; Sun 1995 values'!Y$2,)</f>
        <v>0</v>
      </c>
      <c r="IQ333" s="4">
        <f>IFERROR(HO333/'McDonough &amp; Sun 1995 values'!Z$2,)</f>
        <v>0</v>
      </c>
      <c r="IR333" s="4">
        <f>IFERROR(HP333/'McDonough &amp; Sun 1995 values'!AA$2,)</f>
        <v>0</v>
      </c>
      <c r="IS333" s="4">
        <f>IFERROR(HQ333/'McDonough &amp; Sun 1995 values'!AB$2,)</f>
        <v>0</v>
      </c>
      <c r="IT333" s="4">
        <f>IFERROR(HR333/'McDonough &amp; Sun 1995 values'!AC$2,)</f>
        <v>0</v>
      </c>
    </row>
    <row r="334" spans="1:254">
      <c r="A334" s="16" t="s">
        <v>1656</v>
      </c>
      <c r="B334" s="4" t="s">
        <v>24</v>
      </c>
      <c r="C334" s="16" t="s">
        <v>1369</v>
      </c>
      <c r="D334" s="4" t="s">
        <v>1706</v>
      </c>
      <c r="E334" s="4" t="s">
        <v>237</v>
      </c>
      <c r="F334" s="4" t="s">
        <v>849</v>
      </c>
      <c r="G334" s="4" t="s">
        <v>595</v>
      </c>
      <c r="H334" s="49">
        <v>364</v>
      </c>
      <c r="I334" s="4" t="s">
        <v>1148</v>
      </c>
      <c r="J334" s="4" t="s">
        <v>635</v>
      </c>
      <c r="K334" s="4" t="s">
        <v>1678</v>
      </c>
      <c r="M334" s="4" t="s">
        <v>1679</v>
      </c>
      <c r="N334" s="4">
        <v>25</v>
      </c>
      <c r="O334" s="4">
        <v>25.6</v>
      </c>
      <c r="P334" s="4">
        <v>0.08</v>
      </c>
      <c r="R334" s="4">
        <v>1.0900000000000001</v>
      </c>
      <c r="S334" s="4">
        <v>7.91</v>
      </c>
      <c r="T334" s="4">
        <v>32.700000000000003</v>
      </c>
      <c r="V334" s="4">
        <v>8.42</v>
      </c>
      <c r="W334" s="4">
        <v>1.68</v>
      </c>
      <c r="X334" s="4">
        <v>15.2</v>
      </c>
      <c r="Z334" s="4">
        <v>4.1100000000000003</v>
      </c>
      <c r="AA334" s="4">
        <v>0.7</v>
      </c>
      <c r="AB334" s="4">
        <v>0.37</v>
      </c>
      <c r="AD334" s="4">
        <v>2.0699999999999998</v>
      </c>
      <c r="AF334" s="4">
        <v>0</v>
      </c>
      <c r="AJ334" s="26">
        <f t="shared" si="769"/>
        <v>99.23</v>
      </c>
      <c r="AK334" s="26">
        <f t="shared" ref="AK334:AL337" si="770">100*(O334/$AJ334)*(($AJ334+$AD334*8/35.45)/$AJ334)</f>
        <v>25.92009975752875</v>
      </c>
      <c r="AL334" s="26">
        <f t="shared" si="770"/>
        <v>8.1000311742277342E-2</v>
      </c>
      <c r="AM334" s="26">
        <f t="shared" ref="AM334:AO337" si="771">100*(R334/$AJ334)*(($AJ334+$AD334*8/35.45)/$AJ334)</f>
        <v>1.103629247488529</v>
      </c>
      <c r="AN334" s="26">
        <f t="shared" si="771"/>
        <v>8.0089058235176722</v>
      </c>
      <c r="AO334" s="26">
        <f t="shared" si="771"/>
        <v>33.108877424655873</v>
      </c>
      <c r="AP334" s="26">
        <f>100*(V334/$AJ334)*(($AJ334+$AD334*8/35.45)/$AJ334)</f>
        <v>8.5252828108746908</v>
      </c>
      <c r="AQ334" s="26">
        <f>100*(AB334/$AJ334)*(($AJ334+$AD334*8/35.45)/$AJ334)</f>
        <v>0.37462644180803273</v>
      </c>
      <c r="AR334" s="26">
        <f t="shared" ref="AR334:AS337" si="772">100*(W334/$AJ334)*(($AJ334+$AD334*8/35.45)/$AJ334)</f>
        <v>1.7010065465878244</v>
      </c>
      <c r="AS334" s="26">
        <f t="shared" si="772"/>
        <v>15.390059231032696</v>
      </c>
      <c r="AT334" s="26">
        <f>100*(Z334/$AJ334)*(($AJ334+$AD334*8/35.45)/$AJ334)</f>
        <v>4.1613910157594987</v>
      </c>
      <c r="AU334" s="26">
        <f>100*(AD334/$AJ334)*(($AJ334+$AD334*8/35.45)/$AJ334)</f>
        <v>2.0958830663314263</v>
      </c>
      <c r="AV334" s="26">
        <f>SUM(AK334:AU334)</f>
        <v>100.47076167732726</v>
      </c>
      <c r="BB334" s="26">
        <v>0.12</v>
      </c>
      <c r="BC334" s="26">
        <f>1-BD334</f>
        <v>0.12</v>
      </c>
      <c r="BD334" s="26">
        <f>1-BB334</f>
        <v>0.88</v>
      </c>
      <c r="BE334" s="4">
        <v>-7.2234055367538241</v>
      </c>
      <c r="BG334" s="4">
        <v>945.15166666666664</v>
      </c>
      <c r="BH334" s="4">
        <v>39</v>
      </c>
      <c r="BL334" s="26"/>
      <c r="CH334" s="44">
        <v>540.07983019347887</v>
      </c>
      <c r="CI334" s="44">
        <v>543.07616119207626</v>
      </c>
      <c r="CK334" s="44">
        <v>164.06088507033601</v>
      </c>
      <c r="CM334" s="44">
        <v>112.79051713104212</v>
      </c>
      <c r="CS334" s="44">
        <v>7234.5664977648503</v>
      </c>
      <c r="CU334" s="44">
        <v>451.98337054040775</v>
      </c>
      <c r="CV334" s="44">
        <v>686.33596391853087</v>
      </c>
      <c r="CW334" s="44">
        <v>77.766945831403191</v>
      </c>
      <c r="CX334" s="44">
        <v>371.80416446798165</v>
      </c>
      <c r="CY334" s="44">
        <v>100.56817516545632</v>
      </c>
      <c r="CZ334" s="44">
        <v>12.191135708625255</v>
      </c>
      <c r="DB334" s="44">
        <v>82.036066779982875</v>
      </c>
      <c r="DI334" s="44">
        <v>24.911482656577583</v>
      </c>
      <c r="DL334" s="44">
        <v>11.410394230645785</v>
      </c>
      <c r="EL334" s="18">
        <f>IFERROR(CR334/'McDonough &amp; Sun 1995 values'!C$2,)</f>
        <v>0</v>
      </c>
      <c r="EM334" s="18">
        <f>IFERROR(CH334/'McDonough &amp; Sun 1995 values'!D$2,)</f>
        <v>900.13305032246478</v>
      </c>
      <c r="EN334" s="18">
        <f>IFERROR(CS334/'McDonough &amp; Sun 1995 values'!E$2,)</f>
        <v>1096.1464390552803</v>
      </c>
      <c r="EO334" s="18">
        <f>IFERROR(DL334/'McDonough &amp; Sun 1995 values'!F$2,)</f>
        <v>143.52697145466396</v>
      </c>
      <c r="EP334" s="18">
        <f>IFERROR(DM334/'McDonough &amp; Sun 1995 values'!G$2,)</f>
        <v>0</v>
      </c>
      <c r="EQ334" s="18">
        <f>IFERROR(BR334/'McDonough &amp; Sun 1995 values'!H$2,)</f>
        <v>0</v>
      </c>
      <c r="ER334" s="18">
        <f>IFERROR(DI334/'McDonough &amp; Sun 1995 values'!I$2,)</f>
        <v>673.28331504263735</v>
      </c>
      <c r="ES334" s="18">
        <f>IFERROR(CM334/'McDonough &amp; Sun 1995 values'!J$2,)</f>
        <v>171.41415977362024</v>
      </c>
      <c r="ET334" s="18">
        <f>IFERROR(CU334/'McDonough &amp; Sun 1995 values'!K$2,)</f>
        <v>697.50520145124653</v>
      </c>
      <c r="EU334" s="18">
        <f>IFERROR(CV334/'McDonough &amp; Sun 1995 values'!L$2,)</f>
        <v>409.75281427971993</v>
      </c>
      <c r="EV334" s="18">
        <f>IFERROR(CW334/'McDonough &amp; Sun 1995 values'!M$2,)</f>
        <v>306.16907807639052</v>
      </c>
      <c r="EW334" s="18">
        <f>IFERROR(CI334/'McDonough &amp; Sun 1995 values'!N$2,)</f>
        <v>27.290259356385743</v>
      </c>
      <c r="EX334" s="18">
        <f>IFERROR(CX334/'McDonough &amp; Sun 1995 values'!O$2,)</f>
        <v>297.4433315743853</v>
      </c>
      <c r="EY334" s="18">
        <f>IFERROR(CY334/'McDonough &amp; Sun 1995 values'!P$2,)</f>
        <v>247.70486493954758</v>
      </c>
      <c r="EZ334" s="18">
        <f>IFERROR(DH334/'McDonough &amp; Sun 1995 values'!Q$2,)</f>
        <v>0</v>
      </c>
      <c r="FA334" s="18">
        <f>IFERROR(CK334/'McDonough &amp; Sun 1995 values'!R$2,)</f>
        <v>15.624846197174858</v>
      </c>
      <c r="FB334" s="18">
        <f>IFERROR(CZ334/'McDonough &amp; Sun 1995 values'!S$2,)</f>
        <v>79.163218887176981</v>
      </c>
      <c r="FC334" s="18">
        <f>IFERROR(BT334/'McDonough &amp; Sun 1995 values'!T$2,)</f>
        <v>0</v>
      </c>
      <c r="FD334" s="18">
        <f>IFERROR(DA334/'McDonough &amp; Sun 1995 values'!U$2,)</f>
        <v>0</v>
      </c>
      <c r="FE334" s="18">
        <f>IFERROR(DN334/'McDonough &amp; Sun 1995 values'!V$2,)</f>
        <v>0</v>
      </c>
      <c r="FF334" s="18">
        <f>IFERROR(DB334/'McDonough &amp; Sun 1995 values'!W$2,)</f>
        <v>121.71523261125054</v>
      </c>
      <c r="FG334" s="18">
        <f>IFERROR(CJ334/'McDonough &amp; Sun 1995 values'!X$2,)</f>
        <v>0</v>
      </c>
      <c r="FH334" s="18">
        <f>IFERROR(DC334/'McDonough &amp; Sun 1995 values'!Y$2,)</f>
        <v>0</v>
      </c>
      <c r="FI334" s="18">
        <f>IFERROR(DD334/'McDonough &amp; Sun 1995 values'!Z$2,)</f>
        <v>0</v>
      </c>
      <c r="FJ334" s="18">
        <f>IFERROR(DE334/'McDonough &amp; Sun 1995 values'!AA$2,)</f>
        <v>0</v>
      </c>
      <c r="FK334" s="18">
        <f>IFERROR(DF334/'McDonough &amp; Sun 1995 values'!AB$2,)</f>
        <v>0</v>
      </c>
      <c r="FL334" s="18">
        <f>IFERROR(DG334/'McDonough &amp; Sun 1995 values'!AC$2,)</f>
        <v>0</v>
      </c>
      <c r="FN334" s="28">
        <f>IFERROR(BR334/DM334,)</f>
        <v>0</v>
      </c>
      <c r="FO334" s="4">
        <f t="shared" si="699"/>
        <v>0</v>
      </c>
      <c r="FP334" s="4">
        <f t="shared" si="700"/>
        <v>0.8373110578741817</v>
      </c>
      <c r="FQ334" s="4">
        <f t="shared" si="701"/>
        <v>0</v>
      </c>
      <c r="FR334" s="4">
        <f t="shared" si="702"/>
        <v>4.0691224247309181</v>
      </c>
      <c r="FS334" s="4">
        <f t="shared" si="703"/>
        <v>1.0359757710720565</v>
      </c>
      <c r="FT334" s="4">
        <f t="shared" si="704"/>
        <v>0</v>
      </c>
      <c r="FU334" s="4">
        <f t="shared" si="705"/>
        <v>3.927816208018144</v>
      </c>
      <c r="FV334" s="4">
        <f t="shared" si="706"/>
        <v>6.3078479306363663E-2</v>
      </c>
      <c r="FW334" s="4">
        <f t="shared" si="707"/>
        <v>0</v>
      </c>
      <c r="FX334" s="4">
        <f t="shared" si="708"/>
        <v>0.63917371107343235</v>
      </c>
      <c r="FY334" s="4">
        <f t="shared" si="709"/>
        <v>9.0432571703490811E-2</v>
      </c>
      <c r="FZ334" s="4">
        <f t="shared" si="710"/>
        <v>0</v>
      </c>
      <c r="GA334" s="4">
        <f t="shared" si="711"/>
        <v>8.9134603428425593E-2</v>
      </c>
      <c r="GB334" s="4">
        <f t="shared" si="712"/>
        <v>0.31958685553671617</v>
      </c>
      <c r="GC334" s="4">
        <f t="shared" si="713"/>
        <v>0</v>
      </c>
      <c r="GD334" s="4">
        <f t="shared" si="714"/>
        <v>7.6372156950411334</v>
      </c>
      <c r="GE334" s="4">
        <f t="shared" si="715"/>
        <v>1.2177604618146123</v>
      </c>
      <c r="GF334" s="4">
        <f t="shared" si="716"/>
        <v>0</v>
      </c>
      <c r="GG334" s="4">
        <f t="shared" si="717"/>
        <v>6.3947251528281948</v>
      </c>
      <c r="GH334" s="4">
        <f t="shared" si="718"/>
        <v>2.2781699766467467</v>
      </c>
      <c r="GI334" s="4">
        <f t="shared" si="719"/>
        <v>2.8158720323134259</v>
      </c>
      <c r="GJ334" s="4">
        <f t="shared" si="720"/>
        <v>5.7306319553200593</v>
      </c>
      <c r="GK334" s="4">
        <f t="shared" si="721"/>
        <v>0</v>
      </c>
      <c r="GL334" s="4">
        <f t="shared" si="722"/>
        <v>0</v>
      </c>
      <c r="GM334" s="4">
        <f t="shared" si="723"/>
        <v>0.15945084052101707</v>
      </c>
      <c r="GN334" s="4">
        <f t="shared" si="724"/>
        <v>0.24575323512566172</v>
      </c>
      <c r="GO334" s="4">
        <f t="shared" si="725"/>
        <v>0</v>
      </c>
      <c r="GP334" s="4">
        <f t="shared" si="726"/>
        <v>0</v>
      </c>
      <c r="GQ334" s="27">
        <f t="shared" si="727"/>
        <v>127758.622893798</v>
      </c>
      <c r="GR334" s="28" t="str">
        <f t="shared" si="728"/>
        <v/>
      </c>
      <c r="GS334" s="28" t="str">
        <f t="shared" si="729"/>
        <v/>
      </c>
      <c r="GT334" s="28" t="str">
        <f t="shared" si="730"/>
        <v/>
      </c>
      <c r="GU334" s="28" t="str">
        <f t="shared" si="731"/>
        <v/>
      </c>
      <c r="GV334" s="28" t="str">
        <f t="shared" si="732"/>
        <v/>
      </c>
      <c r="GW334" s="28" t="str">
        <f t="shared" si="733"/>
        <v/>
      </c>
      <c r="GX334" s="28" t="str">
        <f t="shared" si="734"/>
        <v/>
      </c>
      <c r="GY334" s="28" t="str">
        <f t="shared" si="735"/>
        <v/>
      </c>
      <c r="GZ334" s="28" t="str">
        <f t="shared" si="736"/>
        <v/>
      </c>
      <c r="HA334" s="28" t="str">
        <f t="shared" si="737"/>
        <v/>
      </c>
      <c r="HB334" s="28" t="str">
        <f t="shared" si="738"/>
        <v/>
      </c>
      <c r="HC334" s="28" t="str">
        <f t="shared" si="739"/>
        <v/>
      </c>
      <c r="HD334" s="28" t="str">
        <f t="shared" si="740"/>
        <v/>
      </c>
      <c r="HE334" s="28" t="str">
        <f t="shared" si="741"/>
        <v/>
      </c>
      <c r="HF334" s="28" t="str">
        <f t="shared" si="742"/>
        <v/>
      </c>
      <c r="HG334" s="28" t="str">
        <f t="shared" si="743"/>
        <v/>
      </c>
      <c r="HH334" s="28" t="str">
        <f t="shared" si="744"/>
        <v/>
      </c>
      <c r="HI334" s="28" t="str">
        <f t="shared" si="745"/>
        <v/>
      </c>
      <c r="HJ334" s="28" t="str">
        <f t="shared" si="746"/>
        <v/>
      </c>
      <c r="HK334" s="28" t="str">
        <f t="shared" si="747"/>
        <v/>
      </c>
      <c r="HL334" s="28" t="str">
        <f t="shared" si="748"/>
        <v/>
      </c>
      <c r="HM334" s="28" t="str">
        <f t="shared" si="749"/>
        <v/>
      </c>
      <c r="HN334" s="28" t="str">
        <f t="shared" si="750"/>
        <v/>
      </c>
      <c r="HO334" s="28" t="str">
        <f t="shared" si="751"/>
        <v/>
      </c>
      <c r="HP334" s="28" t="str">
        <f t="shared" si="752"/>
        <v/>
      </c>
      <c r="HQ334" s="28" t="str">
        <f t="shared" si="753"/>
        <v/>
      </c>
      <c r="HR334" s="28" t="str">
        <f t="shared" si="754"/>
        <v/>
      </c>
      <c r="HT334" s="4">
        <f>IFERROR(GR334/'McDonough &amp; Sun 1995 values'!C$2,)</f>
        <v>0</v>
      </c>
      <c r="HU334" s="4">
        <f>IFERROR(GS334/'McDonough &amp; Sun 1995 values'!D$2,)</f>
        <v>0</v>
      </c>
      <c r="HV334" s="4">
        <f>IFERROR(GT334/'McDonough &amp; Sun 1995 values'!E$2,)</f>
        <v>0</v>
      </c>
      <c r="HW334" s="4">
        <f>IFERROR(GU334/'McDonough &amp; Sun 1995 values'!F$2,)</f>
        <v>0</v>
      </c>
      <c r="HX334" s="4">
        <f>IFERROR(GV334/'McDonough &amp; Sun 1995 values'!G$2,)</f>
        <v>0</v>
      </c>
      <c r="HY334" s="4">
        <f>IFERROR(GW334/'McDonough &amp; Sun 1995 values'!H$2,)</f>
        <v>0</v>
      </c>
      <c r="HZ334" s="4">
        <f>IFERROR(GX334/'McDonough &amp; Sun 1995 values'!I$2,)</f>
        <v>0</v>
      </c>
      <c r="IA334" s="4">
        <f>IFERROR(GY334/'McDonough &amp; Sun 1995 values'!J$2,)</f>
        <v>0</v>
      </c>
      <c r="IB334" s="4">
        <f>IFERROR(GZ334/'McDonough &amp; Sun 1995 values'!K$2,)</f>
        <v>0</v>
      </c>
      <c r="IC334" s="4">
        <f>IFERROR(HA334/'McDonough &amp; Sun 1995 values'!L$2,)</f>
        <v>0</v>
      </c>
      <c r="ID334" s="4">
        <f>IFERROR(HB334/'McDonough &amp; Sun 1995 values'!M$2,)</f>
        <v>0</v>
      </c>
      <c r="IE334" s="4">
        <f>IFERROR(HC334/'McDonough &amp; Sun 1995 values'!N$2,)</f>
        <v>0</v>
      </c>
      <c r="IF334" s="4">
        <f>IFERROR(HD334/'McDonough &amp; Sun 1995 values'!O$2,)</f>
        <v>0</v>
      </c>
      <c r="IG334" s="4">
        <f>IFERROR(HE334/'McDonough &amp; Sun 1995 values'!P$2,)</f>
        <v>0</v>
      </c>
      <c r="IH334" s="4">
        <f>IFERROR(HF334/'McDonough &amp; Sun 1995 values'!Q$2,)</f>
        <v>0</v>
      </c>
      <c r="II334" s="4">
        <f>IFERROR(HG334/'McDonough &amp; Sun 1995 values'!R$2,)</f>
        <v>0</v>
      </c>
      <c r="IJ334" s="4">
        <f>IFERROR(HH334/'McDonough &amp; Sun 1995 values'!S$2,)</f>
        <v>0</v>
      </c>
      <c r="IK334" s="4">
        <f>IFERROR(HI334/'McDonough &amp; Sun 1995 values'!T$2,)</f>
        <v>0</v>
      </c>
      <c r="IL334" s="4">
        <f>IFERROR(HJ334/'McDonough &amp; Sun 1995 values'!U$2,)</f>
        <v>0</v>
      </c>
      <c r="IM334" s="4">
        <f>IFERROR(HK334/'McDonough &amp; Sun 1995 values'!V$2,)</f>
        <v>0</v>
      </c>
      <c r="IN334" s="4">
        <f>IFERROR(HL334/'McDonough &amp; Sun 1995 values'!W$2,)</f>
        <v>0</v>
      </c>
      <c r="IO334" s="4">
        <f>IFERROR(HM334/'McDonough &amp; Sun 1995 values'!X$2,)</f>
        <v>0</v>
      </c>
      <c r="IP334" s="4">
        <f>IFERROR(HN334/'McDonough &amp; Sun 1995 values'!Y$2,)</f>
        <v>0</v>
      </c>
      <c r="IQ334" s="4">
        <f>IFERROR(HO334/'McDonough &amp; Sun 1995 values'!Z$2,)</f>
        <v>0</v>
      </c>
      <c r="IR334" s="4">
        <f>IFERROR(HP334/'McDonough &amp; Sun 1995 values'!AA$2,)</f>
        <v>0</v>
      </c>
      <c r="IS334" s="4">
        <f>IFERROR(HQ334/'McDonough &amp; Sun 1995 values'!AB$2,)</f>
        <v>0</v>
      </c>
      <c r="IT334" s="4">
        <f>IFERROR(HR334/'McDonough &amp; Sun 1995 values'!AC$2,)</f>
        <v>0</v>
      </c>
    </row>
    <row r="335" spans="1:254">
      <c r="A335" s="16" t="s">
        <v>1656</v>
      </c>
      <c r="B335" s="4" t="s">
        <v>24</v>
      </c>
      <c r="C335" s="16" t="s">
        <v>1369</v>
      </c>
      <c r="D335" s="4" t="s">
        <v>1706</v>
      </c>
      <c r="E335" s="4" t="s">
        <v>237</v>
      </c>
      <c r="F335" s="4" t="s">
        <v>849</v>
      </c>
      <c r="G335" s="4" t="s">
        <v>595</v>
      </c>
      <c r="H335" s="49">
        <v>364</v>
      </c>
      <c r="I335" s="4" t="s">
        <v>1148</v>
      </c>
      <c r="J335" s="4" t="s">
        <v>635</v>
      </c>
      <c r="K335" s="4" t="s">
        <v>1678</v>
      </c>
      <c r="M335" s="4" t="s">
        <v>1687</v>
      </c>
      <c r="N335" s="4">
        <v>21</v>
      </c>
      <c r="O335" s="4">
        <v>20.9</v>
      </c>
      <c r="R335" s="4">
        <v>8.11</v>
      </c>
      <c r="S335" s="4">
        <v>6.34</v>
      </c>
      <c r="T335" s="4">
        <v>23.6</v>
      </c>
      <c r="V335" s="4">
        <v>10.199999999999999</v>
      </c>
      <c r="W335" s="4">
        <v>5.62</v>
      </c>
      <c r="X335" s="4">
        <v>18.100000000000001</v>
      </c>
      <c r="Z335" s="4">
        <v>3.98</v>
      </c>
      <c r="AB335" s="4">
        <v>0.21</v>
      </c>
      <c r="AD335" s="4">
        <v>2.85</v>
      </c>
      <c r="AJ335" s="26">
        <f t="shared" si="769"/>
        <v>99.91</v>
      </c>
      <c r="AK335" s="26">
        <f t="shared" si="770"/>
        <v>21.053489538138315</v>
      </c>
      <c r="AL335" s="26">
        <f t="shared" si="770"/>
        <v>0</v>
      </c>
      <c r="AM335" s="26">
        <f t="shared" si="771"/>
        <v>8.1695598159952976</v>
      </c>
      <c r="AN335" s="26">
        <f t="shared" si="771"/>
        <v>6.3865609412343041</v>
      </c>
      <c r="AO335" s="26">
        <f t="shared" si="771"/>
        <v>23.773318330146616</v>
      </c>
      <c r="AP335" s="26">
        <f>100*(V335/$AJ335)*(($AJ335+$AD335*8/35.45)/$AJ335)</f>
        <v>10.27490876980913</v>
      </c>
      <c r="AQ335" s="26">
        <f>100*(AB335/$AJ335)*(($AJ335+$AD335*8/35.45)/$AJ335)</f>
        <v>0.21154223937842329</v>
      </c>
      <c r="AR335" s="26">
        <f t="shared" si="772"/>
        <v>5.6612732633654232</v>
      </c>
      <c r="AS335" s="26">
        <f t="shared" si="772"/>
        <v>18.232926346426009</v>
      </c>
      <c r="AT335" s="26">
        <f>100*(Z335/$AJ335)*(($AJ335+$AD335*8/35.45)/$AJ335)</f>
        <v>4.0092291082196416</v>
      </c>
      <c r="AU335" s="26">
        <f>100*(AD335/$AJ335)*(($AJ335+$AD335*8/35.45)/$AJ335)</f>
        <v>2.8709303915643161</v>
      </c>
      <c r="AV335" s="26">
        <f>SUM(AK335:AU335)</f>
        <v>100.64373874427747</v>
      </c>
      <c r="BB335" s="26">
        <v>0.13</v>
      </c>
      <c r="BC335" s="26">
        <f>1-BD335</f>
        <v>0.13</v>
      </c>
      <c r="BD335" s="26">
        <f>1-BB335</f>
        <v>0.87</v>
      </c>
      <c r="BG335" s="4">
        <v>708.59800000000007</v>
      </c>
      <c r="BH335" s="4">
        <v>34.121149688080017</v>
      </c>
      <c r="BL335" s="26"/>
      <c r="EL335" s="18">
        <f>IFERROR(CR335/'McDonough &amp; Sun 1995 values'!C$2,)</f>
        <v>0</v>
      </c>
      <c r="EM335" s="18">
        <f>IFERROR(CH335/'McDonough &amp; Sun 1995 values'!D$2,)</f>
        <v>0</v>
      </c>
      <c r="EN335" s="18">
        <f>IFERROR(CS335/'McDonough &amp; Sun 1995 values'!E$2,)</f>
        <v>0</v>
      </c>
      <c r="EO335" s="18">
        <f>IFERROR(DL335/'McDonough &amp; Sun 1995 values'!F$2,)</f>
        <v>0</v>
      </c>
      <c r="EP335" s="18">
        <f>IFERROR(DM335/'McDonough &amp; Sun 1995 values'!G$2,)</f>
        <v>0</v>
      </c>
      <c r="EQ335" s="18">
        <f>IFERROR(BR335/'McDonough &amp; Sun 1995 values'!H$2,)</f>
        <v>0</v>
      </c>
      <c r="ER335" s="18">
        <f>IFERROR(DI335/'McDonough &amp; Sun 1995 values'!I$2,)</f>
        <v>0</v>
      </c>
      <c r="ES335" s="18">
        <f>IFERROR(CM335/'McDonough &amp; Sun 1995 values'!J$2,)</f>
        <v>0</v>
      </c>
      <c r="ET335" s="18">
        <f>IFERROR(CU335/'McDonough &amp; Sun 1995 values'!K$2,)</f>
        <v>0</v>
      </c>
      <c r="EU335" s="18">
        <f>IFERROR(CV335/'McDonough &amp; Sun 1995 values'!L$2,)</f>
        <v>0</v>
      </c>
      <c r="EV335" s="18">
        <f>IFERROR(CW335/'McDonough &amp; Sun 1995 values'!M$2,)</f>
        <v>0</v>
      </c>
      <c r="EW335" s="18">
        <f>IFERROR(CI335/'McDonough &amp; Sun 1995 values'!N$2,)</f>
        <v>0</v>
      </c>
      <c r="EX335" s="18">
        <f>IFERROR(CX335/'McDonough &amp; Sun 1995 values'!O$2,)</f>
        <v>0</v>
      </c>
      <c r="EY335" s="18">
        <f>IFERROR(CY335/'McDonough &amp; Sun 1995 values'!P$2,)</f>
        <v>0</v>
      </c>
      <c r="EZ335" s="18">
        <f>IFERROR(DH335/'McDonough &amp; Sun 1995 values'!Q$2,)</f>
        <v>0</v>
      </c>
      <c r="FA335" s="18">
        <f>IFERROR(CK335/'McDonough &amp; Sun 1995 values'!R$2,)</f>
        <v>0</v>
      </c>
      <c r="FB335" s="18">
        <f>IFERROR(CZ335/'McDonough &amp; Sun 1995 values'!S$2,)</f>
        <v>0</v>
      </c>
      <c r="FC335" s="18">
        <f>IFERROR(BT335/'McDonough &amp; Sun 1995 values'!T$2,)</f>
        <v>0</v>
      </c>
      <c r="FD335" s="18">
        <f>IFERROR(DA335/'McDonough &amp; Sun 1995 values'!U$2,)</f>
        <v>0</v>
      </c>
      <c r="FE335" s="18">
        <f>IFERROR(DN335/'McDonough &amp; Sun 1995 values'!V$2,)</f>
        <v>0</v>
      </c>
      <c r="FF335" s="18">
        <f>IFERROR(DB335/'McDonough &amp; Sun 1995 values'!W$2,)</f>
        <v>0</v>
      </c>
      <c r="FG335" s="18">
        <f>IFERROR(CJ335/'McDonough &amp; Sun 1995 values'!X$2,)</f>
        <v>0</v>
      </c>
      <c r="FH335" s="18">
        <f>IFERROR(DC335/'McDonough &amp; Sun 1995 values'!Y$2,)</f>
        <v>0</v>
      </c>
      <c r="FI335" s="18">
        <f>IFERROR(DD335/'McDonough &amp; Sun 1995 values'!Z$2,)</f>
        <v>0</v>
      </c>
      <c r="FJ335" s="18">
        <f>IFERROR(DE335/'McDonough &amp; Sun 1995 values'!AA$2,)</f>
        <v>0</v>
      </c>
      <c r="FK335" s="18">
        <f>IFERROR(DF335/'McDonough &amp; Sun 1995 values'!AB$2,)</f>
        <v>0</v>
      </c>
      <c r="FL335" s="18">
        <f>IFERROR(DG335/'McDonough &amp; Sun 1995 values'!AC$2,)</f>
        <v>0</v>
      </c>
      <c r="FN335" s="28">
        <f>IFERROR(BR335/DM335,)</f>
        <v>0</v>
      </c>
      <c r="FO335" s="4">
        <f t="shared" si="699"/>
        <v>0</v>
      </c>
      <c r="FP335" s="4">
        <f t="shared" si="700"/>
        <v>0</v>
      </c>
      <c r="FQ335" s="4">
        <f t="shared" si="701"/>
        <v>0</v>
      </c>
      <c r="FR335" s="4">
        <f t="shared" si="702"/>
        <v>0</v>
      </c>
      <c r="FS335" s="4">
        <f t="shared" si="703"/>
        <v>0</v>
      </c>
      <c r="FT335" s="4">
        <f t="shared" si="704"/>
        <v>0</v>
      </c>
      <c r="FU335" s="4">
        <f t="shared" si="705"/>
        <v>0</v>
      </c>
      <c r="FV335" s="4">
        <f t="shared" si="706"/>
        <v>0</v>
      </c>
      <c r="FW335" s="4">
        <f t="shared" si="707"/>
        <v>0</v>
      </c>
      <c r="FX335" s="4">
        <f t="shared" si="708"/>
        <v>0</v>
      </c>
      <c r="FY335" s="4">
        <f t="shared" si="709"/>
        <v>0</v>
      </c>
      <c r="FZ335" s="4">
        <f t="shared" si="710"/>
        <v>0</v>
      </c>
      <c r="GA335" s="4">
        <f t="shared" si="711"/>
        <v>0</v>
      </c>
      <c r="GB335" s="4">
        <f t="shared" si="712"/>
        <v>0</v>
      </c>
      <c r="GC335" s="4">
        <f t="shared" si="713"/>
        <v>0</v>
      </c>
      <c r="GD335" s="4">
        <f t="shared" si="714"/>
        <v>0</v>
      </c>
      <c r="GE335" s="4">
        <f t="shared" si="715"/>
        <v>0</v>
      </c>
      <c r="GF335" s="4">
        <f t="shared" si="716"/>
        <v>0</v>
      </c>
      <c r="GG335" s="4">
        <f t="shared" si="717"/>
        <v>0</v>
      </c>
      <c r="GH335" s="4">
        <f t="shared" si="718"/>
        <v>0</v>
      </c>
      <c r="GI335" s="4">
        <f t="shared" si="719"/>
        <v>0</v>
      </c>
      <c r="GJ335" s="4">
        <f t="shared" si="720"/>
        <v>0</v>
      </c>
      <c r="GK335" s="4">
        <f t="shared" si="721"/>
        <v>0</v>
      </c>
      <c r="GL335" s="4">
        <f t="shared" si="722"/>
        <v>0</v>
      </c>
      <c r="GM335" s="4">
        <f t="shared" si="723"/>
        <v>0</v>
      </c>
      <c r="GN335" s="4">
        <f t="shared" si="724"/>
        <v>0</v>
      </c>
      <c r="GO335" s="4">
        <f t="shared" si="725"/>
        <v>0</v>
      </c>
      <c r="GP335" s="4">
        <f t="shared" si="726"/>
        <v>0</v>
      </c>
      <c r="GQ335" s="27">
        <f t="shared" si="727"/>
        <v>151358.32334201664</v>
      </c>
      <c r="GR335" s="28" t="str">
        <f t="shared" si="728"/>
        <v/>
      </c>
      <c r="GS335" s="28" t="str">
        <f t="shared" si="729"/>
        <v/>
      </c>
      <c r="GT335" s="28" t="str">
        <f t="shared" si="730"/>
        <v/>
      </c>
      <c r="GU335" s="28" t="str">
        <f t="shared" si="731"/>
        <v/>
      </c>
      <c r="GV335" s="28" t="str">
        <f t="shared" si="732"/>
        <v/>
      </c>
      <c r="GW335" s="28" t="str">
        <f t="shared" si="733"/>
        <v/>
      </c>
      <c r="GX335" s="28" t="str">
        <f t="shared" si="734"/>
        <v/>
      </c>
      <c r="GY335" s="28" t="str">
        <f t="shared" si="735"/>
        <v/>
      </c>
      <c r="GZ335" s="28" t="str">
        <f t="shared" si="736"/>
        <v/>
      </c>
      <c r="HA335" s="28" t="str">
        <f t="shared" si="737"/>
        <v/>
      </c>
      <c r="HB335" s="28" t="str">
        <f t="shared" si="738"/>
        <v/>
      </c>
      <c r="HC335" s="28" t="str">
        <f t="shared" si="739"/>
        <v/>
      </c>
      <c r="HD335" s="28" t="str">
        <f t="shared" si="740"/>
        <v/>
      </c>
      <c r="HE335" s="28" t="str">
        <f t="shared" si="741"/>
        <v/>
      </c>
      <c r="HF335" s="28" t="str">
        <f t="shared" si="742"/>
        <v/>
      </c>
      <c r="HG335" s="28" t="str">
        <f t="shared" si="743"/>
        <v/>
      </c>
      <c r="HH335" s="28" t="str">
        <f t="shared" si="744"/>
        <v/>
      </c>
      <c r="HI335" s="28" t="str">
        <f t="shared" si="745"/>
        <v/>
      </c>
      <c r="HJ335" s="28" t="str">
        <f t="shared" si="746"/>
        <v/>
      </c>
      <c r="HK335" s="28" t="str">
        <f t="shared" si="747"/>
        <v/>
      </c>
      <c r="HL335" s="28" t="str">
        <f t="shared" si="748"/>
        <v/>
      </c>
      <c r="HM335" s="28" t="str">
        <f t="shared" si="749"/>
        <v/>
      </c>
      <c r="HN335" s="28" t="str">
        <f t="shared" si="750"/>
        <v/>
      </c>
      <c r="HO335" s="28" t="str">
        <f t="shared" si="751"/>
        <v/>
      </c>
      <c r="HP335" s="28" t="str">
        <f t="shared" si="752"/>
        <v/>
      </c>
      <c r="HQ335" s="28" t="str">
        <f t="shared" si="753"/>
        <v/>
      </c>
      <c r="HR335" s="28" t="str">
        <f t="shared" si="754"/>
        <v/>
      </c>
      <c r="HT335" s="4">
        <f>IFERROR(GR335/'McDonough &amp; Sun 1995 values'!C$2,)</f>
        <v>0</v>
      </c>
      <c r="HU335" s="4">
        <f>IFERROR(GS335/'McDonough &amp; Sun 1995 values'!D$2,)</f>
        <v>0</v>
      </c>
      <c r="HV335" s="4">
        <f>IFERROR(GT335/'McDonough &amp; Sun 1995 values'!E$2,)</f>
        <v>0</v>
      </c>
      <c r="HW335" s="4">
        <f>IFERROR(GU335/'McDonough &amp; Sun 1995 values'!F$2,)</f>
        <v>0</v>
      </c>
      <c r="HX335" s="4">
        <f>IFERROR(GV335/'McDonough &amp; Sun 1995 values'!G$2,)</f>
        <v>0</v>
      </c>
      <c r="HY335" s="4">
        <f>IFERROR(GW335/'McDonough &amp; Sun 1995 values'!H$2,)</f>
        <v>0</v>
      </c>
      <c r="HZ335" s="4">
        <f>IFERROR(GX335/'McDonough &amp; Sun 1995 values'!I$2,)</f>
        <v>0</v>
      </c>
      <c r="IA335" s="4">
        <f>IFERROR(GY335/'McDonough &amp; Sun 1995 values'!J$2,)</f>
        <v>0</v>
      </c>
      <c r="IB335" s="4">
        <f>IFERROR(GZ335/'McDonough &amp; Sun 1995 values'!K$2,)</f>
        <v>0</v>
      </c>
      <c r="IC335" s="4">
        <f>IFERROR(HA335/'McDonough &amp; Sun 1995 values'!L$2,)</f>
        <v>0</v>
      </c>
      <c r="ID335" s="4">
        <f>IFERROR(HB335/'McDonough &amp; Sun 1995 values'!M$2,)</f>
        <v>0</v>
      </c>
      <c r="IE335" s="4">
        <f>IFERROR(HC335/'McDonough &amp; Sun 1995 values'!N$2,)</f>
        <v>0</v>
      </c>
      <c r="IF335" s="4">
        <f>IFERROR(HD335/'McDonough &amp; Sun 1995 values'!O$2,)</f>
        <v>0</v>
      </c>
      <c r="IG335" s="4">
        <f>IFERROR(HE335/'McDonough &amp; Sun 1995 values'!P$2,)</f>
        <v>0</v>
      </c>
      <c r="IH335" s="4">
        <f>IFERROR(HF335/'McDonough &amp; Sun 1995 values'!Q$2,)</f>
        <v>0</v>
      </c>
      <c r="II335" s="4">
        <f>IFERROR(HG335/'McDonough &amp; Sun 1995 values'!R$2,)</f>
        <v>0</v>
      </c>
      <c r="IJ335" s="4">
        <f>IFERROR(HH335/'McDonough &amp; Sun 1995 values'!S$2,)</f>
        <v>0</v>
      </c>
      <c r="IK335" s="4">
        <f>IFERROR(HI335/'McDonough &amp; Sun 1995 values'!T$2,)</f>
        <v>0</v>
      </c>
      <c r="IL335" s="4">
        <f>IFERROR(HJ335/'McDonough &amp; Sun 1995 values'!U$2,)</f>
        <v>0</v>
      </c>
      <c r="IM335" s="4">
        <f>IFERROR(HK335/'McDonough &amp; Sun 1995 values'!V$2,)</f>
        <v>0</v>
      </c>
      <c r="IN335" s="4">
        <f>IFERROR(HL335/'McDonough &amp; Sun 1995 values'!W$2,)</f>
        <v>0</v>
      </c>
      <c r="IO335" s="4">
        <f>IFERROR(HM335/'McDonough &amp; Sun 1995 values'!X$2,)</f>
        <v>0</v>
      </c>
      <c r="IP335" s="4">
        <f>IFERROR(HN335/'McDonough &amp; Sun 1995 values'!Y$2,)</f>
        <v>0</v>
      </c>
      <c r="IQ335" s="4">
        <f>IFERROR(HO335/'McDonough &amp; Sun 1995 values'!Z$2,)</f>
        <v>0</v>
      </c>
      <c r="IR335" s="4">
        <f>IFERROR(HP335/'McDonough &amp; Sun 1995 values'!AA$2,)</f>
        <v>0</v>
      </c>
      <c r="IS335" s="4">
        <f>IFERROR(HQ335/'McDonough &amp; Sun 1995 values'!AB$2,)</f>
        <v>0</v>
      </c>
      <c r="IT335" s="4">
        <f>IFERROR(HR335/'McDonough &amp; Sun 1995 values'!AC$2,)</f>
        <v>0</v>
      </c>
    </row>
    <row r="336" spans="1:254">
      <c r="A336" s="16" t="s">
        <v>1656</v>
      </c>
      <c r="B336" s="4" t="s">
        <v>24</v>
      </c>
      <c r="C336" s="16" t="s">
        <v>1369</v>
      </c>
      <c r="D336" s="4" t="s">
        <v>1706</v>
      </c>
      <c r="E336" s="4" t="s">
        <v>237</v>
      </c>
      <c r="F336" s="4" t="s">
        <v>849</v>
      </c>
      <c r="G336" s="4" t="s">
        <v>595</v>
      </c>
      <c r="H336" s="49">
        <v>364</v>
      </c>
      <c r="I336" s="4" t="s">
        <v>1148</v>
      </c>
      <c r="J336" s="4" t="s">
        <v>635</v>
      </c>
      <c r="K336" s="4" t="s">
        <v>1678</v>
      </c>
      <c r="M336" s="4" t="s">
        <v>1695</v>
      </c>
      <c r="N336" s="4">
        <v>24</v>
      </c>
      <c r="O336" s="4">
        <v>33.1</v>
      </c>
      <c r="P336" s="4">
        <v>0.08</v>
      </c>
      <c r="S336" s="4">
        <v>8.02</v>
      </c>
      <c r="T336" s="4">
        <v>35.4</v>
      </c>
      <c r="V336" s="4">
        <v>7.26</v>
      </c>
      <c r="W336" s="4">
        <v>3.8</v>
      </c>
      <c r="X336" s="4">
        <v>12.3</v>
      </c>
      <c r="AJ336" s="26">
        <f t="shared" si="769"/>
        <v>99.96</v>
      </c>
      <c r="AK336" s="26">
        <f t="shared" si="770"/>
        <v>33.113245298119253</v>
      </c>
      <c r="AL336" s="26">
        <f t="shared" si="770"/>
        <v>8.0032012805122052E-2</v>
      </c>
      <c r="AM336" s="26">
        <f t="shared" si="771"/>
        <v>0</v>
      </c>
      <c r="AN336" s="26">
        <f t="shared" si="771"/>
        <v>8.0232092837134861</v>
      </c>
      <c r="AO336" s="26">
        <f t="shared" si="771"/>
        <v>35.414165666266506</v>
      </c>
      <c r="AP336" s="26">
        <f>100*(V336/$AJ336)*(($AJ336+$AD336*8/35.45)/$AJ336)</f>
        <v>7.2629051620648255</v>
      </c>
      <c r="AQ336" s="26">
        <f>100*(AB336/$AJ336)*(($AJ336+$AD336*8/35.45)/$AJ336)</f>
        <v>0</v>
      </c>
      <c r="AR336" s="26">
        <f t="shared" si="772"/>
        <v>3.8015206082432975</v>
      </c>
      <c r="AS336" s="26">
        <f t="shared" si="772"/>
        <v>12.304921968787516</v>
      </c>
      <c r="AT336" s="26">
        <f>100*(Z336/$AJ336)*(($AJ336+$AD336*8/35.45)/$AJ336)</f>
        <v>0</v>
      </c>
      <c r="AU336" s="26">
        <f>100*(AD336/$AJ336)*(($AJ336+$AD336*8/35.45)/$AJ336)</f>
        <v>0</v>
      </c>
      <c r="AV336" s="26">
        <f>SUM(AK336:AU336)</f>
        <v>99.999999999999986</v>
      </c>
      <c r="BB336" s="26">
        <v>0.15</v>
      </c>
      <c r="BC336" s="26">
        <f>1-BD336</f>
        <v>0.15000000000000002</v>
      </c>
      <c r="BD336" s="26">
        <f>1-BB336</f>
        <v>0.85</v>
      </c>
      <c r="BE336" s="4">
        <v>-5.4319116681433117</v>
      </c>
      <c r="BG336" s="4">
        <v>606.14539999999988</v>
      </c>
      <c r="BH336" s="4">
        <v>27.773906772135298</v>
      </c>
      <c r="BT336" s="44">
        <v>4013.9673411720769</v>
      </c>
      <c r="CI336" s="44">
        <v>2083.8544006870552</v>
      </c>
      <c r="CJ336" s="44">
        <v>6.9162363466404013</v>
      </c>
      <c r="CK336" s="44">
        <v>369.86796109762003</v>
      </c>
      <c r="CM336" s="44">
        <v>360.11082972322077</v>
      </c>
      <c r="CS336" s="44">
        <v>28683.312445845997</v>
      </c>
      <c r="CU336" s="44">
        <v>52.050579976013417</v>
      </c>
      <c r="CV336" s="44">
        <v>166.17136582266608</v>
      </c>
      <c r="CW336" s="44">
        <v>40.132779245549997</v>
      </c>
      <c r="CX336" s="44">
        <v>207.81056322861929</v>
      </c>
      <c r="CY336" s="44">
        <v>22.875646900696914</v>
      </c>
      <c r="CZ336" s="44">
        <v>6.2015922581016296</v>
      </c>
      <c r="DA336" s="44">
        <v>12.891105415817812</v>
      </c>
      <c r="DB336" s="44">
        <v>4.8995442507971987</v>
      </c>
      <c r="DC336" s="44">
        <v>0.56119873924202623</v>
      </c>
      <c r="DD336" s="44">
        <v>0.78010088505483899</v>
      </c>
      <c r="DF336" s="44">
        <v>1.3046710485795496</v>
      </c>
      <c r="DH336" s="44">
        <v>8.2375821505936155</v>
      </c>
      <c r="DI336" s="44">
        <v>20.082764887739394</v>
      </c>
      <c r="DK336" s="44">
        <v>20.463365981368483</v>
      </c>
      <c r="DL336" s="44">
        <v>2.765437734327143</v>
      </c>
      <c r="DM336" s="44">
        <v>0.80255495839947222</v>
      </c>
      <c r="DN336" s="44">
        <v>1.2842939991464066</v>
      </c>
      <c r="EL336" s="18">
        <f>IFERROR(CR336/'McDonough &amp; Sun 1995 values'!C$2,)</f>
        <v>0</v>
      </c>
      <c r="EM336" s="18">
        <f>IFERROR(CH336/'McDonough &amp; Sun 1995 values'!D$2,)</f>
        <v>0</v>
      </c>
      <c r="EN336" s="18">
        <f>IFERROR(CS336/'McDonough &amp; Sun 1995 values'!E$2,)</f>
        <v>4345.956431188788</v>
      </c>
      <c r="EO336" s="18">
        <f>IFERROR(DL336/'McDonough &amp; Sun 1995 values'!F$2,)</f>
        <v>34.785380306001798</v>
      </c>
      <c r="EP336" s="18">
        <f>IFERROR(DM336/'McDonough &amp; Sun 1995 values'!G$2,)</f>
        <v>39.534727014752328</v>
      </c>
      <c r="EQ336" s="18">
        <f>IFERROR(BR336/'McDonough &amp; Sun 1995 values'!H$2,)</f>
        <v>0</v>
      </c>
      <c r="ER336" s="18">
        <f>IFERROR(DI336/'McDonough &amp; Sun 1995 values'!I$2,)</f>
        <v>542.77742939836207</v>
      </c>
      <c r="ES336" s="18">
        <f>IFERROR(CM336/'McDonough &amp; Sun 1995 values'!J$2,)</f>
        <v>547.28089623589779</v>
      </c>
      <c r="ET336" s="18">
        <f>IFERROR(CU336/'McDonough &amp; Sun 1995 values'!K$2,)</f>
        <v>80.324969098786141</v>
      </c>
      <c r="EU336" s="18">
        <f>IFERROR(CV336/'McDonough &amp; Sun 1995 values'!L$2,)</f>
        <v>99.206785565770787</v>
      </c>
      <c r="EV336" s="18">
        <f>IFERROR(CW336/'McDonough &amp; Sun 1995 values'!M$2,)</f>
        <v>158.00306789586614</v>
      </c>
      <c r="EW336" s="18">
        <f>IFERROR(CI336/'McDonough &amp; Sun 1995 values'!N$2,)</f>
        <v>104.71630154206308</v>
      </c>
      <c r="EX336" s="18">
        <f>IFERROR(CX336/'McDonough &amp; Sun 1995 values'!O$2,)</f>
        <v>166.24845058289543</v>
      </c>
      <c r="EY336" s="18">
        <f>IFERROR(CY336/'McDonough &amp; Sun 1995 values'!P$2,)</f>
        <v>56.343957883489935</v>
      </c>
      <c r="EZ336" s="18">
        <f>IFERROR(DH336/'McDonough &amp; Sun 1995 values'!Q$2,)</f>
        <v>29.108064136373201</v>
      </c>
      <c r="FA336" s="18">
        <f>IFERROR(CK336/'McDonough &amp; Sun 1995 values'!R$2,)</f>
        <v>35.225520104535242</v>
      </c>
      <c r="FB336" s="18">
        <f>IFERROR(CZ336/'McDonough &amp; Sun 1995 values'!S$2,)</f>
        <v>40.27007959806253</v>
      </c>
      <c r="FC336" s="18">
        <f>IFERROR(BT336/'McDonough &amp; Sun 1995 values'!T$2,)</f>
        <v>3.3310932291884456</v>
      </c>
      <c r="FD336" s="18">
        <f>IFERROR(DA336/'McDonough &amp; Sun 1995 values'!U$2,)</f>
        <v>23.696884955547446</v>
      </c>
      <c r="FE336" s="18">
        <f>IFERROR(DN336/'McDonough &amp; Sun 1995 values'!V$2,)</f>
        <v>12.972666658044512</v>
      </c>
      <c r="FF336" s="18">
        <f>IFERROR(DB336/'McDonough &amp; Sun 1995 values'!W$2,)</f>
        <v>7.2693534878296715</v>
      </c>
      <c r="FG336" s="18">
        <f>IFERROR(CJ336/'McDonough &amp; Sun 1995 values'!X$2,)</f>
        <v>1.6084270573582329</v>
      </c>
      <c r="FH336" s="18">
        <f>IFERROR(DC336/'McDonough &amp; Sun 1995 values'!Y$2,)</f>
        <v>3.7664344915572232</v>
      </c>
      <c r="FI336" s="18">
        <f>IFERROR(DD336/'McDonough &amp; Sun 1995 values'!Z$2,)</f>
        <v>1.7810522489836507</v>
      </c>
      <c r="FJ336" s="18">
        <f>IFERROR(DE336/'McDonough &amp; Sun 1995 values'!AA$2,)</f>
        <v>0</v>
      </c>
      <c r="FK336" s="18">
        <f>IFERROR(DF336/'McDonough &amp; Sun 1995 values'!AB$2,)</f>
        <v>2.9584377518810649</v>
      </c>
      <c r="FL336" s="18">
        <f>IFERROR(DG336/'McDonough &amp; Sun 1995 values'!AC$2,)</f>
        <v>0</v>
      </c>
      <c r="FN336" s="28">
        <f>IFERROR(BR336/DM336,)</f>
        <v>0</v>
      </c>
      <c r="FO336" s="4">
        <f t="shared" si="699"/>
        <v>109.92756898427807</v>
      </c>
      <c r="FP336" s="4">
        <f t="shared" si="700"/>
        <v>6.3560377395318488E-2</v>
      </c>
      <c r="FQ336" s="4">
        <f t="shared" si="701"/>
        <v>0.87986898943356007</v>
      </c>
      <c r="FR336" s="4">
        <f t="shared" si="702"/>
        <v>0.14677100854652012</v>
      </c>
      <c r="FS336" s="4">
        <f t="shared" si="703"/>
        <v>0.14798877909831623</v>
      </c>
      <c r="FT336" s="4">
        <f t="shared" si="704"/>
        <v>0</v>
      </c>
      <c r="FU336" s="4">
        <f t="shared" si="705"/>
        <v>0.99177119671358938</v>
      </c>
      <c r="FV336" s="4">
        <f t="shared" si="706"/>
        <v>0.62518717938444868</v>
      </c>
      <c r="FW336" s="4">
        <f t="shared" si="707"/>
        <v>1.2101636144369257</v>
      </c>
      <c r="FX336" s="4">
        <f t="shared" si="708"/>
        <v>1.0062382696055789</v>
      </c>
      <c r="FY336" s="4">
        <f t="shared" si="709"/>
        <v>0.64610444971323855</v>
      </c>
      <c r="FZ336" s="4">
        <f t="shared" si="710"/>
        <v>1.1020801560576825</v>
      </c>
      <c r="GA336" s="4">
        <f t="shared" si="711"/>
        <v>0.66274853353529595</v>
      </c>
      <c r="GB336" s="4">
        <f t="shared" si="712"/>
        <v>0.71471868698564722</v>
      </c>
      <c r="GC336" s="4">
        <f t="shared" si="713"/>
        <v>0</v>
      </c>
      <c r="GD336" s="4">
        <f t="shared" si="714"/>
        <v>124.93629199847919</v>
      </c>
      <c r="GE336" s="4">
        <f t="shared" si="715"/>
        <v>0</v>
      </c>
      <c r="GF336" s="4">
        <f t="shared" si="716"/>
        <v>0</v>
      </c>
      <c r="GG336" s="4">
        <f t="shared" si="717"/>
        <v>7.9409978697950461</v>
      </c>
      <c r="GH336" s="4">
        <f t="shared" si="718"/>
        <v>0.50837600920334847</v>
      </c>
      <c r="GI336" s="4">
        <f t="shared" si="719"/>
        <v>1.4256181517259581</v>
      </c>
      <c r="GJ336" s="4">
        <f t="shared" si="720"/>
        <v>11.049809207003889</v>
      </c>
      <c r="GK336" s="4">
        <f t="shared" si="721"/>
        <v>27.151143892655195</v>
      </c>
      <c r="GL336" s="4">
        <f t="shared" si="722"/>
        <v>10.574762602221504</v>
      </c>
      <c r="GM336" s="4">
        <f t="shared" si="723"/>
        <v>0</v>
      </c>
      <c r="GN336" s="4">
        <f t="shared" si="724"/>
        <v>6.8133346626356586</v>
      </c>
      <c r="GO336" s="4">
        <f t="shared" si="725"/>
        <v>13.843042245661154</v>
      </c>
      <c r="GP336" s="4">
        <f t="shared" si="726"/>
        <v>0</v>
      </c>
      <c r="GQ336" s="27">
        <f t="shared" si="727"/>
        <v>102147.74757838584</v>
      </c>
      <c r="GR336" s="28" t="str">
        <f t="shared" si="728"/>
        <v/>
      </c>
      <c r="GS336" s="28" t="str">
        <f t="shared" si="729"/>
        <v/>
      </c>
      <c r="GT336" s="28" t="str">
        <f t="shared" si="730"/>
        <v/>
      </c>
      <c r="GU336" s="28" t="str">
        <f t="shared" si="731"/>
        <v/>
      </c>
      <c r="GV336" s="28" t="str">
        <f t="shared" si="732"/>
        <v/>
      </c>
      <c r="GW336" s="28" t="str">
        <f t="shared" si="733"/>
        <v/>
      </c>
      <c r="GX336" s="28" t="str">
        <f t="shared" si="734"/>
        <v/>
      </c>
      <c r="GY336" s="28" t="str">
        <f t="shared" si="735"/>
        <v/>
      </c>
      <c r="GZ336" s="28" t="str">
        <f t="shared" si="736"/>
        <v/>
      </c>
      <c r="HA336" s="28" t="str">
        <f t="shared" si="737"/>
        <v/>
      </c>
      <c r="HB336" s="28" t="str">
        <f t="shared" si="738"/>
        <v/>
      </c>
      <c r="HC336" s="28" t="str">
        <f t="shared" si="739"/>
        <v/>
      </c>
      <c r="HD336" s="28" t="str">
        <f t="shared" si="740"/>
        <v/>
      </c>
      <c r="HE336" s="28" t="str">
        <f t="shared" si="741"/>
        <v/>
      </c>
      <c r="HF336" s="28" t="str">
        <f t="shared" si="742"/>
        <v/>
      </c>
      <c r="HG336" s="28" t="str">
        <f t="shared" si="743"/>
        <v/>
      </c>
      <c r="HH336" s="28" t="str">
        <f t="shared" si="744"/>
        <v/>
      </c>
      <c r="HI336" s="28" t="str">
        <f t="shared" si="745"/>
        <v/>
      </c>
      <c r="HJ336" s="28" t="str">
        <f t="shared" si="746"/>
        <v/>
      </c>
      <c r="HK336" s="28" t="str">
        <f t="shared" si="747"/>
        <v/>
      </c>
      <c r="HL336" s="28" t="str">
        <f t="shared" si="748"/>
        <v/>
      </c>
      <c r="HM336" s="28" t="str">
        <f t="shared" si="749"/>
        <v/>
      </c>
      <c r="HN336" s="28" t="str">
        <f t="shared" si="750"/>
        <v/>
      </c>
      <c r="HO336" s="28" t="str">
        <f t="shared" si="751"/>
        <v/>
      </c>
      <c r="HP336" s="28" t="str">
        <f t="shared" si="752"/>
        <v/>
      </c>
      <c r="HQ336" s="28" t="str">
        <f t="shared" si="753"/>
        <v/>
      </c>
      <c r="HR336" s="28" t="str">
        <f t="shared" si="754"/>
        <v/>
      </c>
      <c r="HT336" s="4">
        <f>IFERROR(GR336/'McDonough &amp; Sun 1995 values'!C$2,)</f>
        <v>0</v>
      </c>
      <c r="HU336" s="4">
        <f>IFERROR(GS336/'McDonough &amp; Sun 1995 values'!D$2,)</f>
        <v>0</v>
      </c>
      <c r="HV336" s="4">
        <f>IFERROR(GT336/'McDonough &amp; Sun 1995 values'!E$2,)</f>
        <v>0</v>
      </c>
      <c r="HW336" s="4">
        <f>IFERROR(GU336/'McDonough &amp; Sun 1995 values'!F$2,)</f>
        <v>0</v>
      </c>
      <c r="HX336" s="4">
        <f>IFERROR(GV336/'McDonough &amp; Sun 1995 values'!G$2,)</f>
        <v>0</v>
      </c>
      <c r="HY336" s="4">
        <f>IFERROR(GW336/'McDonough &amp; Sun 1995 values'!H$2,)</f>
        <v>0</v>
      </c>
      <c r="HZ336" s="4">
        <f>IFERROR(GX336/'McDonough &amp; Sun 1995 values'!I$2,)</f>
        <v>0</v>
      </c>
      <c r="IA336" s="4">
        <f>IFERROR(GY336/'McDonough &amp; Sun 1995 values'!J$2,)</f>
        <v>0</v>
      </c>
      <c r="IB336" s="4">
        <f>IFERROR(GZ336/'McDonough &amp; Sun 1995 values'!K$2,)</f>
        <v>0</v>
      </c>
      <c r="IC336" s="4">
        <f>IFERROR(HA336/'McDonough &amp; Sun 1995 values'!L$2,)</f>
        <v>0</v>
      </c>
      <c r="ID336" s="4">
        <f>IFERROR(HB336/'McDonough &amp; Sun 1995 values'!M$2,)</f>
        <v>0</v>
      </c>
      <c r="IE336" s="4">
        <f>IFERROR(HC336/'McDonough &amp; Sun 1995 values'!N$2,)</f>
        <v>0</v>
      </c>
      <c r="IF336" s="4">
        <f>IFERROR(HD336/'McDonough &amp; Sun 1995 values'!O$2,)</f>
        <v>0</v>
      </c>
      <c r="IG336" s="4">
        <f>IFERROR(HE336/'McDonough &amp; Sun 1995 values'!P$2,)</f>
        <v>0</v>
      </c>
      <c r="IH336" s="4">
        <f>IFERROR(HF336/'McDonough &amp; Sun 1995 values'!Q$2,)</f>
        <v>0</v>
      </c>
      <c r="II336" s="4">
        <f>IFERROR(HG336/'McDonough &amp; Sun 1995 values'!R$2,)</f>
        <v>0</v>
      </c>
      <c r="IJ336" s="4">
        <f>IFERROR(HH336/'McDonough &amp; Sun 1995 values'!S$2,)</f>
        <v>0</v>
      </c>
      <c r="IK336" s="4">
        <f>IFERROR(HI336/'McDonough &amp; Sun 1995 values'!T$2,)</f>
        <v>0</v>
      </c>
      <c r="IL336" s="4">
        <f>IFERROR(HJ336/'McDonough &amp; Sun 1995 values'!U$2,)</f>
        <v>0</v>
      </c>
      <c r="IM336" s="4">
        <f>IFERROR(HK336/'McDonough &amp; Sun 1995 values'!V$2,)</f>
        <v>0</v>
      </c>
      <c r="IN336" s="4">
        <f>IFERROR(HL336/'McDonough &amp; Sun 1995 values'!W$2,)</f>
        <v>0</v>
      </c>
      <c r="IO336" s="4">
        <f>IFERROR(HM336/'McDonough &amp; Sun 1995 values'!X$2,)</f>
        <v>0</v>
      </c>
      <c r="IP336" s="4">
        <f>IFERROR(HN336/'McDonough &amp; Sun 1995 values'!Y$2,)</f>
        <v>0</v>
      </c>
      <c r="IQ336" s="4">
        <f>IFERROR(HO336/'McDonough &amp; Sun 1995 values'!Z$2,)</f>
        <v>0</v>
      </c>
      <c r="IR336" s="4">
        <f>IFERROR(HP336/'McDonough &amp; Sun 1995 values'!AA$2,)</f>
        <v>0</v>
      </c>
      <c r="IS336" s="4">
        <f>IFERROR(HQ336/'McDonough &amp; Sun 1995 values'!AB$2,)</f>
        <v>0</v>
      </c>
      <c r="IT336" s="4">
        <f>IFERROR(HR336/'McDonough &amp; Sun 1995 values'!AC$2,)</f>
        <v>0</v>
      </c>
    </row>
    <row r="337" spans="1:254">
      <c r="A337" s="16" t="s">
        <v>1656</v>
      </c>
      <c r="B337" s="4" t="s">
        <v>24</v>
      </c>
      <c r="C337" s="16" t="s">
        <v>1369</v>
      </c>
      <c r="D337" s="4" t="s">
        <v>1706</v>
      </c>
      <c r="E337" s="4" t="s">
        <v>237</v>
      </c>
      <c r="F337" s="4" t="s">
        <v>849</v>
      </c>
      <c r="G337" s="4" t="s">
        <v>595</v>
      </c>
      <c r="H337" s="49">
        <v>364</v>
      </c>
      <c r="I337" s="4" t="s">
        <v>1148</v>
      </c>
      <c r="J337" s="4" t="s">
        <v>635</v>
      </c>
      <c r="K337" s="4" t="s">
        <v>1678</v>
      </c>
      <c r="M337" s="4" t="s">
        <v>1697</v>
      </c>
      <c r="N337" s="4">
        <v>36</v>
      </c>
      <c r="O337" s="4">
        <v>29.4</v>
      </c>
      <c r="R337" s="4">
        <v>1.37</v>
      </c>
      <c r="S337" s="4">
        <v>6.94</v>
      </c>
      <c r="T337" s="4">
        <v>32.700000000000003</v>
      </c>
      <c r="V337" s="4">
        <v>11.9</v>
      </c>
      <c r="W337" s="4">
        <v>3.66</v>
      </c>
      <c r="X337" s="4">
        <v>8.68</v>
      </c>
      <c r="Z337" s="4">
        <v>3.73</v>
      </c>
      <c r="AA337" s="4">
        <v>0.62</v>
      </c>
      <c r="AB337" s="4">
        <v>0.12</v>
      </c>
      <c r="AD337" s="4">
        <v>0.91</v>
      </c>
      <c r="AJ337" s="26">
        <f t="shared" si="769"/>
        <v>99.410000000000011</v>
      </c>
      <c r="AK337" s="26">
        <f t="shared" si="770"/>
        <v>29.635584017202902</v>
      </c>
      <c r="AL337" s="26">
        <f t="shared" si="770"/>
        <v>0</v>
      </c>
      <c r="AM337" s="26">
        <f t="shared" si="771"/>
        <v>1.3809778946791831</v>
      </c>
      <c r="AN337" s="26">
        <f t="shared" si="771"/>
        <v>6.995610648958781</v>
      </c>
      <c r="AO337" s="26">
        <f t="shared" si="771"/>
        <v>32.962027121174657</v>
      </c>
      <c r="AP337" s="26">
        <f>100*(V337/$AJ337)*(($AJ337+$AD337*8/35.45)/$AJ337)</f>
        <v>11.995355435534508</v>
      </c>
      <c r="AQ337" s="26">
        <f>100*(AB337/$AJ337)*(($AJ337+$AD337*8/35.45)/$AJ337)</f>
        <v>0.12096156741715471</v>
      </c>
      <c r="AR337" s="26">
        <f t="shared" si="772"/>
        <v>3.6893278062232189</v>
      </c>
      <c r="AS337" s="26">
        <f t="shared" si="772"/>
        <v>8.7495533765075226</v>
      </c>
      <c r="AT337" s="26">
        <f>100*(Z337/$AJ337)*(($AJ337+$AD337*8/35.45)/$AJ337)</f>
        <v>3.7598887205498923</v>
      </c>
      <c r="AU337" s="26">
        <f>100*(AD337/$AJ337)*(($AJ337+$AD337*8/35.45)/$AJ337)</f>
        <v>0.91729188624675673</v>
      </c>
      <c r="AV337" s="26">
        <f>SUM(AK337:AU337)</f>
        <v>100.20657847449458</v>
      </c>
      <c r="BB337" s="26">
        <v>0.14000000000000001</v>
      </c>
      <c r="BC337" s="26">
        <f>1-BD337</f>
        <v>0.14000000000000001</v>
      </c>
      <c r="BD337" s="26">
        <f>1-BB337</f>
        <v>0.86</v>
      </c>
      <c r="BE337" s="4">
        <v>-7.5517177193320748</v>
      </c>
      <c r="BG337" s="4">
        <v>382.46700000000004</v>
      </c>
      <c r="BH337" s="4">
        <v>42.816986258064418</v>
      </c>
      <c r="BT337" s="44">
        <v>594.65196304447159</v>
      </c>
      <c r="CH337" s="44">
        <v>25.338891722126426</v>
      </c>
      <c r="CI337" s="44">
        <v>5706.150439722609</v>
      </c>
      <c r="CJ337" s="44">
        <v>16.327576250095113</v>
      </c>
      <c r="CK337" s="44">
        <v>543.00937663261459</v>
      </c>
      <c r="CM337" s="44">
        <v>1132.6739084618557</v>
      </c>
      <c r="CS337" s="44">
        <v>11126.555675978778</v>
      </c>
      <c r="CU337" s="44">
        <v>875.28602778687195</v>
      </c>
      <c r="CV337" s="44">
        <v>1276.4411778529886</v>
      </c>
      <c r="CW337" s="44">
        <v>130.33225534475807</v>
      </c>
      <c r="CX337" s="44">
        <v>545.99043317382154</v>
      </c>
      <c r="CY337" s="44">
        <v>66.077772162402326</v>
      </c>
      <c r="CZ337" s="44">
        <v>12.251313479168333</v>
      </c>
      <c r="DA337" s="44">
        <v>28.319467146353134</v>
      </c>
      <c r="DB337" s="44">
        <v>6.6514154103144545</v>
      </c>
      <c r="DC337" s="44">
        <v>0.6118042852455674</v>
      </c>
      <c r="DD337" s="44">
        <v>1.0126795675270193</v>
      </c>
      <c r="DF337" s="44">
        <v>0.26734551808972068</v>
      </c>
      <c r="DG337" s="44">
        <v>5.7553310839517494E-2</v>
      </c>
      <c r="DH337" s="44">
        <v>13.180339264741511</v>
      </c>
      <c r="DI337" s="44">
        <v>46.332213202915895</v>
      </c>
      <c r="DK337" s="44">
        <v>51.475892171012525</v>
      </c>
      <c r="DL337" s="44">
        <v>122.39829550705619</v>
      </c>
      <c r="DM337" s="44">
        <v>17.757848682462804</v>
      </c>
      <c r="DN337" s="44">
        <v>2.06243469093141</v>
      </c>
      <c r="EL337" s="18">
        <f>IFERROR(CR337/'McDonough &amp; Sun 1995 values'!C$2,)</f>
        <v>0</v>
      </c>
      <c r="EM337" s="18">
        <f>IFERROR(CH337/'McDonough &amp; Sun 1995 values'!D$2,)</f>
        <v>42.231486203544044</v>
      </c>
      <c r="EN337" s="18">
        <f>IFERROR(CS337/'McDonough &amp; Sun 1995 values'!E$2,)</f>
        <v>1685.8417690876936</v>
      </c>
      <c r="EO337" s="18">
        <f>IFERROR(DL337/'McDonough &amp; Sun 1995 values'!F$2,)</f>
        <v>1539.6012013466186</v>
      </c>
      <c r="EP337" s="18">
        <f>IFERROR(DM337/'McDonough &amp; Sun 1995 values'!G$2,)</f>
        <v>874.77087105728106</v>
      </c>
      <c r="EQ337" s="18">
        <f>IFERROR(BR337/'McDonough &amp; Sun 1995 values'!H$2,)</f>
        <v>0</v>
      </c>
      <c r="ER337" s="18">
        <f>IFERROR(DI337/'McDonough &amp; Sun 1995 values'!I$2,)</f>
        <v>1252.2219784571864</v>
      </c>
      <c r="ES337" s="18">
        <f>IFERROR(CM337/'McDonough &amp; Sun 1995 values'!J$2,)</f>
        <v>1721.3889186350391</v>
      </c>
      <c r="ET337" s="18">
        <f>IFERROR(CU337/'McDonough &amp; Sun 1995 values'!K$2,)</f>
        <v>1350.7500428809751</v>
      </c>
      <c r="EU337" s="18">
        <f>IFERROR(CV337/'McDonough &amp; Sun 1995 values'!L$2,)</f>
        <v>762.05443453909766</v>
      </c>
      <c r="EV337" s="18">
        <f>IFERROR(CW337/'McDonough &amp; Sun 1995 values'!M$2,)</f>
        <v>513.11911553054358</v>
      </c>
      <c r="EW337" s="18">
        <f>IFERROR(CI337/'McDonough &amp; Sun 1995 values'!N$2,)</f>
        <v>286.74122812676427</v>
      </c>
      <c r="EX337" s="18">
        <f>IFERROR(CX337/'McDonough &amp; Sun 1995 values'!O$2,)</f>
        <v>436.79234653905723</v>
      </c>
      <c r="EY337" s="18">
        <f>IFERROR(CY337/'McDonough &amp; Sun 1995 values'!P$2,)</f>
        <v>162.75313340493182</v>
      </c>
      <c r="EZ337" s="18">
        <f>IFERROR(DH337/'McDonough &amp; Sun 1995 values'!Q$2,)</f>
        <v>46.573636977885201</v>
      </c>
      <c r="FA337" s="18">
        <f>IFERROR(CK337/'McDonough &amp; Sun 1995 values'!R$2,)</f>
        <v>51.715178726915674</v>
      </c>
      <c r="FB337" s="18">
        <f>IFERROR(CZ337/'McDonough &amp; Sun 1995 values'!S$2,)</f>
        <v>79.553983630963202</v>
      </c>
      <c r="FC337" s="18">
        <f>IFERROR(BT337/'McDonough &amp; Sun 1995 values'!T$2,)</f>
        <v>0.49348710626097225</v>
      </c>
      <c r="FD337" s="18">
        <f>IFERROR(DA337/'McDonough &amp; Sun 1995 values'!U$2,)</f>
        <v>52.057844019031492</v>
      </c>
      <c r="FE337" s="18">
        <f>IFERROR(DN337/'McDonough &amp; Sun 1995 values'!V$2,)</f>
        <v>20.832673645771816</v>
      </c>
      <c r="FF337" s="18">
        <f>IFERROR(DB337/'McDonough &amp; Sun 1995 values'!W$2,)</f>
        <v>9.8685688580333153</v>
      </c>
      <c r="FG337" s="18">
        <f>IFERROR(CJ337/'McDonough &amp; Sun 1995 values'!X$2,)</f>
        <v>3.7971107558360728</v>
      </c>
      <c r="FH337" s="18">
        <f>IFERROR(DC337/'McDonough &amp; Sun 1995 values'!Y$2,)</f>
        <v>4.1060690284937413</v>
      </c>
      <c r="FI337" s="18">
        <f>IFERROR(DD337/'McDonough &amp; Sun 1995 values'!Z$2,)</f>
        <v>2.3120538071393133</v>
      </c>
      <c r="FJ337" s="18">
        <f>IFERROR(DE337/'McDonough &amp; Sun 1995 values'!AA$2,)</f>
        <v>0</v>
      </c>
      <c r="FK337" s="18">
        <f>IFERROR(DF337/'McDonough &amp; Sun 1995 values'!AB$2,)</f>
        <v>0.60622566460254124</v>
      </c>
      <c r="FL337" s="18">
        <f>IFERROR(DG337/'McDonough &amp; Sun 1995 values'!AC$2,)</f>
        <v>0.85264164206692572</v>
      </c>
      <c r="FN337" s="28">
        <f>IFERROR(BR337/DM337,)</f>
        <v>0</v>
      </c>
      <c r="FO337" s="4">
        <f t="shared" si="699"/>
        <v>1.9271809623131617</v>
      </c>
      <c r="FP337" s="4">
        <f t="shared" si="700"/>
        <v>0.89439474408109498</v>
      </c>
      <c r="FQ337" s="4">
        <f t="shared" si="701"/>
        <v>1.7600051079499235</v>
      </c>
      <c r="FR337" s="4">
        <f t="shared" si="702"/>
        <v>0.7846861498051475</v>
      </c>
      <c r="FS337" s="4">
        <f t="shared" si="703"/>
        <v>1.0786825867288972</v>
      </c>
      <c r="FT337" s="4">
        <f t="shared" si="704"/>
        <v>0</v>
      </c>
      <c r="FU337" s="4">
        <f t="shared" si="705"/>
        <v>0.72744861135165517</v>
      </c>
      <c r="FV337" s="4">
        <f t="shared" si="706"/>
        <v>0.31775227699148295</v>
      </c>
      <c r="FW337" s="4">
        <f t="shared" si="707"/>
        <v>1.1103959682485578</v>
      </c>
      <c r="FX337" s="4">
        <f t="shared" si="708"/>
        <v>0.74068825145700889</v>
      </c>
      <c r="FY337" s="4">
        <f t="shared" si="709"/>
        <v>0.60568041951679885</v>
      </c>
      <c r="FZ337" s="4">
        <f t="shared" si="710"/>
        <v>0.86427940335052511</v>
      </c>
      <c r="GA337" s="4">
        <f t="shared" si="711"/>
        <v>0.55882000776814933</v>
      </c>
      <c r="GB337" s="4">
        <f t="shared" si="712"/>
        <v>0.48880154849634694</v>
      </c>
      <c r="GC337" s="4">
        <f t="shared" si="713"/>
        <v>0</v>
      </c>
      <c r="GD337" s="4">
        <f t="shared" si="714"/>
        <v>1.0949860052156137</v>
      </c>
      <c r="GE337" s="4">
        <f t="shared" si="715"/>
        <v>39.919072726032041</v>
      </c>
      <c r="GF337" s="4">
        <f t="shared" si="716"/>
        <v>0</v>
      </c>
      <c r="GG337" s="4">
        <f t="shared" si="717"/>
        <v>0.97934972790719932</v>
      </c>
      <c r="GH337" s="4">
        <f t="shared" si="718"/>
        <v>2.6324297848158635</v>
      </c>
      <c r="GI337" s="4">
        <f t="shared" si="719"/>
        <v>8.2993796470897561</v>
      </c>
      <c r="GJ337" s="4">
        <f t="shared" si="720"/>
        <v>136.87395430001214</v>
      </c>
      <c r="GK337" s="4">
        <f t="shared" si="721"/>
        <v>2228.1307469332651</v>
      </c>
      <c r="GL337" s="4">
        <f t="shared" si="722"/>
        <v>104.79540006373942</v>
      </c>
      <c r="GM337" s="4">
        <f t="shared" si="723"/>
        <v>36.456240112558866</v>
      </c>
      <c r="GN337" s="4">
        <f t="shared" si="724"/>
        <v>1.2743948650658854</v>
      </c>
      <c r="GO337" s="4">
        <f t="shared" si="725"/>
        <v>1.9678169170796731</v>
      </c>
      <c r="GP337" s="4">
        <f t="shared" si="726"/>
        <v>0</v>
      </c>
      <c r="GQ337" s="27">
        <f t="shared" si="727"/>
        <v>72633.306573919763</v>
      </c>
      <c r="GR337" s="28" t="str">
        <f t="shared" si="728"/>
        <v/>
      </c>
      <c r="GS337" s="28" t="str">
        <f t="shared" si="729"/>
        <v/>
      </c>
      <c r="GT337" s="28" t="str">
        <f t="shared" si="730"/>
        <v/>
      </c>
      <c r="GU337" s="28" t="str">
        <f t="shared" si="731"/>
        <v/>
      </c>
      <c r="GV337" s="28" t="str">
        <f t="shared" si="732"/>
        <v/>
      </c>
      <c r="GW337" s="28" t="str">
        <f t="shared" si="733"/>
        <v/>
      </c>
      <c r="GX337" s="28" t="str">
        <f t="shared" si="734"/>
        <v/>
      </c>
      <c r="GY337" s="28" t="str">
        <f t="shared" si="735"/>
        <v/>
      </c>
      <c r="GZ337" s="28" t="str">
        <f t="shared" si="736"/>
        <v/>
      </c>
      <c r="HA337" s="28" t="str">
        <f t="shared" si="737"/>
        <v/>
      </c>
      <c r="HB337" s="28" t="str">
        <f t="shared" si="738"/>
        <v/>
      </c>
      <c r="HC337" s="28" t="str">
        <f t="shared" si="739"/>
        <v/>
      </c>
      <c r="HD337" s="28" t="str">
        <f t="shared" si="740"/>
        <v/>
      </c>
      <c r="HE337" s="28" t="str">
        <f t="shared" si="741"/>
        <v/>
      </c>
      <c r="HF337" s="28" t="str">
        <f t="shared" si="742"/>
        <v/>
      </c>
      <c r="HG337" s="28" t="str">
        <f t="shared" si="743"/>
        <v/>
      </c>
      <c r="HH337" s="28" t="str">
        <f t="shared" si="744"/>
        <v/>
      </c>
      <c r="HI337" s="28" t="str">
        <f t="shared" si="745"/>
        <v/>
      </c>
      <c r="HJ337" s="28" t="str">
        <f t="shared" si="746"/>
        <v/>
      </c>
      <c r="HK337" s="28" t="str">
        <f t="shared" si="747"/>
        <v/>
      </c>
      <c r="HL337" s="28" t="str">
        <f t="shared" si="748"/>
        <v/>
      </c>
      <c r="HM337" s="28" t="str">
        <f t="shared" si="749"/>
        <v/>
      </c>
      <c r="HN337" s="28" t="str">
        <f t="shared" si="750"/>
        <v/>
      </c>
      <c r="HO337" s="28" t="str">
        <f t="shared" si="751"/>
        <v/>
      </c>
      <c r="HP337" s="28" t="str">
        <f t="shared" si="752"/>
        <v/>
      </c>
      <c r="HQ337" s="28" t="str">
        <f t="shared" si="753"/>
        <v/>
      </c>
      <c r="HR337" s="28" t="str">
        <f t="shared" si="754"/>
        <v/>
      </c>
      <c r="HT337" s="4">
        <f>IFERROR(GR337/'McDonough &amp; Sun 1995 values'!C$2,)</f>
        <v>0</v>
      </c>
      <c r="HU337" s="4">
        <f>IFERROR(GS337/'McDonough &amp; Sun 1995 values'!D$2,)</f>
        <v>0</v>
      </c>
      <c r="HV337" s="4">
        <f>IFERROR(GT337/'McDonough &amp; Sun 1995 values'!E$2,)</f>
        <v>0</v>
      </c>
      <c r="HW337" s="4">
        <f>IFERROR(GU337/'McDonough &amp; Sun 1995 values'!F$2,)</f>
        <v>0</v>
      </c>
      <c r="HX337" s="4">
        <f>IFERROR(GV337/'McDonough &amp; Sun 1995 values'!G$2,)</f>
        <v>0</v>
      </c>
      <c r="HY337" s="4">
        <f>IFERROR(GW337/'McDonough &amp; Sun 1995 values'!H$2,)</f>
        <v>0</v>
      </c>
      <c r="HZ337" s="4">
        <f>IFERROR(GX337/'McDonough &amp; Sun 1995 values'!I$2,)</f>
        <v>0</v>
      </c>
      <c r="IA337" s="4">
        <f>IFERROR(GY337/'McDonough &amp; Sun 1995 values'!J$2,)</f>
        <v>0</v>
      </c>
      <c r="IB337" s="4">
        <f>IFERROR(GZ337/'McDonough &amp; Sun 1995 values'!K$2,)</f>
        <v>0</v>
      </c>
      <c r="IC337" s="4">
        <f>IFERROR(HA337/'McDonough &amp; Sun 1995 values'!L$2,)</f>
        <v>0</v>
      </c>
      <c r="ID337" s="4">
        <f>IFERROR(HB337/'McDonough &amp; Sun 1995 values'!M$2,)</f>
        <v>0</v>
      </c>
      <c r="IE337" s="4">
        <f>IFERROR(HC337/'McDonough &amp; Sun 1995 values'!N$2,)</f>
        <v>0</v>
      </c>
      <c r="IF337" s="4">
        <f>IFERROR(HD337/'McDonough &amp; Sun 1995 values'!O$2,)</f>
        <v>0</v>
      </c>
      <c r="IG337" s="4">
        <f>IFERROR(HE337/'McDonough &amp; Sun 1995 values'!P$2,)</f>
        <v>0</v>
      </c>
      <c r="IH337" s="4">
        <f>IFERROR(HF337/'McDonough &amp; Sun 1995 values'!Q$2,)</f>
        <v>0</v>
      </c>
      <c r="II337" s="4">
        <f>IFERROR(HG337/'McDonough &amp; Sun 1995 values'!R$2,)</f>
        <v>0</v>
      </c>
      <c r="IJ337" s="4">
        <f>IFERROR(HH337/'McDonough &amp; Sun 1995 values'!S$2,)</f>
        <v>0</v>
      </c>
      <c r="IK337" s="4">
        <f>IFERROR(HI337/'McDonough &amp; Sun 1995 values'!T$2,)</f>
        <v>0</v>
      </c>
      <c r="IL337" s="4">
        <f>IFERROR(HJ337/'McDonough &amp; Sun 1995 values'!U$2,)</f>
        <v>0</v>
      </c>
      <c r="IM337" s="4">
        <f>IFERROR(HK337/'McDonough &amp; Sun 1995 values'!V$2,)</f>
        <v>0</v>
      </c>
      <c r="IN337" s="4">
        <f>IFERROR(HL337/'McDonough &amp; Sun 1995 values'!W$2,)</f>
        <v>0</v>
      </c>
      <c r="IO337" s="4">
        <f>IFERROR(HM337/'McDonough &amp; Sun 1995 values'!X$2,)</f>
        <v>0</v>
      </c>
      <c r="IP337" s="4">
        <f>IFERROR(HN337/'McDonough &amp; Sun 1995 values'!Y$2,)</f>
        <v>0</v>
      </c>
      <c r="IQ337" s="4">
        <f>IFERROR(HO337/'McDonough &amp; Sun 1995 values'!Z$2,)</f>
        <v>0</v>
      </c>
      <c r="IR337" s="4">
        <f>IFERROR(HP337/'McDonough &amp; Sun 1995 values'!AA$2,)</f>
        <v>0</v>
      </c>
      <c r="IS337" s="4">
        <f>IFERROR(HQ337/'McDonough &amp; Sun 1995 values'!AB$2,)</f>
        <v>0</v>
      </c>
      <c r="IT337" s="4">
        <f>IFERROR(HR337/'McDonough &amp; Sun 1995 values'!AC$2,)</f>
        <v>0</v>
      </c>
    </row>
    <row r="339" spans="1:254">
      <c r="A339" s="16"/>
      <c r="C339" s="16"/>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N339" s="28"/>
      <c r="GQ339" s="27"/>
      <c r="GR339" s="28"/>
      <c r="GS339" s="28"/>
      <c r="GT339" s="28"/>
      <c r="GU339" s="28"/>
      <c r="GV339" s="28"/>
      <c r="GW339" s="28"/>
      <c r="GX339" s="28"/>
      <c r="GY339" s="28"/>
      <c r="GZ339" s="28"/>
      <c r="HA339" s="28"/>
      <c r="HB339" s="28"/>
      <c r="HC339" s="28"/>
      <c r="HD339" s="28"/>
      <c r="HE339" s="28"/>
      <c r="HF339" s="28"/>
      <c r="HG339" s="28"/>
      <c r="HH339" s="28"/>
      <c r="HI339" s="28"/>
      <c r="HJ339" s="28"/>
      <c r="HK339" s="28"/>
      <c r="HL339" s="28"/>
      <c r="HM339" s="28"/>
      <c r="HN339" s="28"/>
      <c r="HO339" s="28"/>
      <c r="HP339" s="28"/>
      <c r="HQ339" s="28"/>
      <c r="HR339" s="28"/>
    </row>
    <row r="340" spans="1:254">
      <c r="A340" s="16"/>
      <c r="C340" s="16"/>
      <c r="EL340" s="18"/>
      <c r="EM340" s="18"/>
      <c r="EN340" s="18"/>
      <c r="EO340" s="18"/>
      <c r="EP340" s="18"/>
      <c r="EQ340" s="18"/>
      <c r="ER340" s="18"/>
      <c r="ES340" s="18"/>
      <c r="ET340" s="18"/>
      <c r="EU340" s="18"/>
      <c r="EV340" s="18"/>
      <c r="EW340" s="18"/>
      <c r="EX340" s="18"/>
      <c r="EY340" s="18"/>
      <c r="EZ340" s="18"/>
      <c r="FA340" s="18"/>
      <c r="FB340" s="18"/>
      <c r="FC340" s="18"/>
      <c r="FD340" s="18"/>
      <c r="FE340" s="18"/>
      <c r="FF340" s="18"/>
      <c r="FG340" s="18"/>
      <c r="FH340" s="18"/>
      <c r="FI340" s="18"/>
      <c r="FJ340" s="18"/>
      <c r="FK340" s="18"/>
      <c r="FL340" s="18"/>
      <c r="FN340" s="28"/>
      <c r="GQ340" s="27"/>
      <c r="GR340" s="28"/>
      <c r="GS340" s="28"/>
      <c r="GT340" s="28"/>
      <c r="GU340" s="28"/>
      <c r="GV340" s="28"/>
      <c r="GW340" s="28"/>
      <c r="GX340" s="28"/>
      <c r="GY340" s="28"/>
      <c r="GZ340" s="28"/>
      <c r="HA340" s="28"/>
      <c r="HB340" s="28"/>
      <c r="HC340" s="28"/>
      <c r="HD340" s="28"/>
      <c r="HE340" s="28"/>
      <c r="HF340" s="28"/>
      <c r="HG340" s="28"/>
      <c r="HH340" s="28"/>
      <c r="HI340" s="28"/>
      <c r="HJ340" s="28"/>
      <c r="HK340" s="28"/>
      <c r="HL340" s="28"/>
      <c r="HM340" s="28"/>
      <c r="HN340" s="28"/>
      <c r="HO340" s="28"/>
      <c r="HP340" s="28"/>
      <c r="HQ340" s="28"/>
      <c r="HR340" s="28"/>
    </row>
    <row r="341" spans="1:254">
      <c r="BC341" s="26"/>
      <c r="BD341" s="26"/>
    </row>
  </sheetData>
  <autoFilter ref="A1:GP340" xr:uid="{665AB8C5-55BE-4A36-8038-7CAB972900C3}"/>
  <phoneticPr fontId="3" type="noConversion"/>
  <conditionalFormatting sqref="C1:C337 C339:C340 C346:C1048576">
    <cfRule type="containsText" dxfId="15" priority="96" operator="containsText" text="saline">
      <formula>NOT(ISERROR(SEARCH("saline",C1)))</formula>
    </cfRule>
    <cfRule type="containsText" dxfId="14" priority="97" operator="containsText" text="high-Mg">
      <formula>NOT(ISERROR(SEARCH("high-Mg",C1)))</formula>
    </cfRule>
    <cfRule type="containsText" dxfId="13" priority="98" operator="containsText" text="silicic - low-Mg">
      <formula>NOT(ISERROR(SEARCH("silicic - low-Mg",C1)))</formula>
    </cfRule>
    <cfRule type="containsText" dxfId="12" priority="99" operator="containsText" text="low-Mg">
      <formula>NOT(ISERROR(SEARCH("low-Mg",C1)))</formula>
    </cfRule>
    <cfRule type="containsText" dxfId="11" priority="100" operator="containsText" text="silicic">
      <formula>NOT(ISERROR(SEARCH("silicic",C1)))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21CC-4A4E-4746-80C0-4FB4FC7F7650}">
  <dimension ref="A1:DE341"/>
  <sheetViews>
    <sheetView zoomScale="101" workbookViewId="0">
      <pane xSplit="3" ySplit="1" topLeftCell="AZ2" activePane="bottomRight" state="frozen"/>
      <selection pane="topRight" activeCell="D1" sqref="D1"/>
      <selection pane="bottomLeft" activeCell="A2" sqref="A2"/>
      <selection pane="bottomRight" activeCell="A128" sqref="A128"/>
    </sheetView>
  </sheetViews>
  <sheetFormatPr baseColWidth="10" defaultColWidth="46" defaultRowHeight="15"/>
  <cols>
    <col min="1" max="1" width="75.33203125" bestFit="1" customWidth="1"/>
    <col min="2" max="2" width="8.1640625" bestFit="1" customWidth="1"/>
    <col min="3" max="3" width="22.33203125" bestFit="1" customWidth="1"/>
    <col min="4" max="4" width="31.1640625" bestFit="1" customWidth="1"/>
    <col min="5" max="5" width="16.33203125" bestFit="1" customWidth="1"/>
    <col min="6" max="6" width="35.83203125" bestFit="1" customWidth="1"/>
    <col min="7" max="7" width="14.5" bestFit="1" customWidth="1"/>
    <col min="8" max="8" width="15.6640625" bestFit="1" customWidth="1"/>
    <col min="9" max="9" width="14.5" bestFit="1" customWidth="1"/>
    <col min="10" max="10" width="43.1640625" bestFit="1" customWidth="1"/>
    <col min="11" max="11" width="27" bestFit="1" customWidth="1"/>
    <col min="12" max="12" width="70.1640625" bestFit="1" customWidth="1"/>
    <col min="13" max="13" width="18.33203125" bestFit="1" customWidth="1"/>
    <col min="14" max="14" width="5.83203125" bestFit="1" customWidth="1"/>
    <col min="15" max="15" width="9.83203125" style="95" customWidth="1"/>
    <col min="16" max="16" width="7.33203125" style="95" bestFit="1" customWidth="1"/>
    <col min="17" max="17" width="8.5" style="95" bestFit="1" customWidth="1"/>
    <col min="18" max="18" width="6.6640625" style="95" bestFit="1" customWidth="1"/>
    <col min="19" max="19" width="7.33203125" style="95" bestFit="1" customWidth="1"/>
    <col min="20" max="21" width="18.6640625" style="95" bestFit="1" customWidth="1"/>
    <col min="22" max="22" width="20" style="95" bestFit="1" customWidth="1"/>
    <col min="23" max="23" width="19" style="95" bestFit="1" customWidth="1"/>
    <col min="24" max="24" width="20" style="95" bestFit="1" customWidth="1"/>
    <col min="25" max="25" width="17.1640625" style="95" bestFit="1" customWidth="1"/>
    <col min="26" max="26" width="19.6640625" style="95" bestFit="1" customWidth="1"/>
    <col min="27" max="28" width="5.83203125" style="44" bestFit="1" customWidth="1"/>
    <col min="29" max="29" width="14.33203125" style="44" customWidth="1"/>
    <col min="30" max="30" width="9.6640625" style="44" bestFit="1" customWidth="1"/>
    <col min="31" max="31" width="10.6640625" style="131" bestFit="1" customWidth="1"/>
    <col min="32" max="32" width="9.6640625" style="131" bestFit="1" customWidth="1"/>
    <col min="33" max="33" width="8.6640625" style="44" bestFit="1" customWidth="1"/>
    <col min="34" max="35" width="9.6640625" style="44" bestFit="1" customWidth="1"/>
    <col min="36" max="36" width="8.6640625" style="44" bestFit="1" customWidth="1"/>
    <col min="37" max="37" width="9.6640625" style="138" bestFit="1" customWidth="1"/>
    <col min="38" max="38" width="7.6640625" style="44" bestFit="1" customWidth="1"/>
    <col min="39" max="39" width="10.6640625" style="138" bestFit="1" customWidth="1"/>
    <col min="40" max="40" width="8.6640625" style="131" bestFit="1" customWidth="1"/>
    <col min="41" max="42" width="8.6640625" style="44" bestFit="1" customWidth="1"/>
    <col min="43" max="44" width="7.6640625" style="44" bestFit="1" customWidth="1"/>
    <col min="45" max="45" width="6.6640625" style="44" bestFit="1" customWidth="1"/>
    <col min="46" max="46" width="4.6640625" style="44" bestFit="1" customWidth="1"/>
    <col min="47" max="47" width="6.6640625" style="44" bestFit="1" customWidth="1"/>
    <col min="48" max="48" width="4.6640625" style="44" bestFit="1" customWidth="1"/>
    <col min="49" max="49" width="7.6640625" style="44" bestFit="1" customWidth="1"/>
    <col min="50" max="50" width="7.6640625" style="131" bestFit="1" customWidth="1"/>
    <col min="51" max="51" width="8.6640625" style="131" bestFit="1" customWidth="1"/>
    <col min="52" max="52" width="7.6640625" style="131" bestFit="1" customWidth="1"/>
    <col min="53" max="53" width="8.6640625" style="131" bestFit="1" customWidth="1"/>
    <col min="54" max="54" width="5.6640625" style="44" bestFit="1" customWidth="1"/>
    <col min="55" max="55" width="7.6640625" style="131" bestFit="1" customWidth="1"/>
    <col min="56" max="59" width="4.6640625" style="44" bestFit="1" customWidth="1"/>
    <col min="60" max="60" width="5.6640625" style="131" bestFit="1" customWidth="1"/>
    <col min="61" max="61" width="9.6640625" style="131" bestFit="1" customWidth="1"/>
    <col min="62" max="62" width="8.6640625" style="44" bestFit="1" customWidth="1"/>
    <col min="63" max="63" width="7.6640625" style="131" bestFit="1" customWidth="1"/>
    <col min="64" max="64" width="8.6640625" style="131" bestFit="1" customWidth="1"/>
    <col min="65" max="66" width="7.6640625" style="131" bestFit="1" customWidth="1"/>
    <col min="67" max="74" width="7.6640625" style="44" bestFit="1" customWidth="1"/>
    <col min="75" max="75" width="5.6640625" style="44" bestFit="1" customWidth="1"/>
    <col min="76" max="76" width="6.6640625" style="44" bestFit="1" customWidth="1"/>
    <col min="77" max="77" width="7.6640625" style="131" bestFit="1" customWidth="1"/>
    <col min="78" max="78" width="5.6640625" style="44" bestFit="1" customWidth="1"/>
    <col min="79" max="79" width="8.6640625" style="131" bestFit="1" customWidth="1"/>
    <col min="80" max="81" width="7.6640625" style="131" bestFit="1" customWidth="1"/>
    <col min="82" max="82" width="4.6640625" bestFit="1" customWidth="1"/>
    <col min="83" max="85" width="9.6640625" bestFit="1" customWidth="1"/>
    <col min="86" max="86" width="8.6640625" bestFit="1" customWidth="1"/>
    <col min="87" max="87" width="11.6640625" bestFit="1" customWidth="1"/>
    <col min="88" max="88" width="9.6640625" bestFit="1" customWidth="1"/>
    <col min="89" max="89" width="11.6640625" bestFit="1" customWidth="1"/>
    <col min="90" max="92" width="9.6640625" bestFit="1" customWidth="1"/>
    <col min="93" max="93" width="7.6640625" bestFit="1" customWidth="1"/>
    <col min="94" max="95" width="10.6640625" bestFit="1" customWidth="1"/>
    <col min="96" max="97" width="9.6640625" bestFit="1" customWidth="1"/>
    <col min="98" max="98" width="7.6640625" bestFit="1" customWidth="1"/>
    <col min="99" max="99" width="9.6640625" bestFit="1" customWidth="1"/>
    <col min="100" max="100" width="8.6640625" bestFit="1" customWidth="1"/>
    <col min="101" max="101" width="10.6640625" bestFit="1" customWidth="1"/>
    <col min="102" max="107" width="9.6640625" bestFit="1" customWidth="1"/>
    <col min="108" max="108" width="8.6640625" bestFit="1" customWidth="1"/>
    <col min="109" max="109" width="10.6640625" bestFit="1" customWidth="1"/>
  </cols>
  <sheetData>
    <row r="1" spans="1:109" ht="16">
      <c r="A1" s="147" t="s">
        <v>1174</v>
      </c>
      <c r="B1" s="147" t="s">
        <v>0</v>
      </c>
      <c r="C1" s="147" t="s">
        <v>1521</v>
      </c>
      <c r="D1" s="147" t="s">
        <v>1522</v>
      </c>
      <c r="E1" s="147" t="s">
        <v>1</v>
      </c>
      <c r="F1" s="147" t="s">
        <v>2</v>
      </c>
      <c r="G1" s="147" t="s">
        <v>588</v>
      </c>
      <c r="H1" s="148" t="s">
        <v>1715</v>
      </c>
      <c r="I1" s="147" t="s">
        <v>1268</v>
      </c>
      <c r="J1" s="147" t="s">
        <v>1269</v>
      </c>
      <c r="K1" s="147" t="s">
        <v>586</v>
      </c>
      <c r="L1" s="147" t="s">
        <v>312</v>
      </c>
      <c r="M1" s="147" t="s">
        <v>4</v>
      </c>
      <c r="N1" s="147" t="s">
        <v>156</v>
      </c>
      <c r="O1" s="95" t="s">
        <v>5</v>
      </c>
      <c r="P1" s="95" t="s">
        <v>6</v>
      </c>
      <c r="Q1" s="95" t="s">
        <v>8</v>
      </c>
      <c r="R1" s="95" t="s">
        <v>9</v>
      </c>
      <c r="S1" s="95" t="s">
        <v>10</v>
      </c>
      <c r="T1" s="95" t="s">
        <v>12</v>
      </c>
      <c r="U1" s="95" t="s">
        <v>18</v>
      </c>
      <c r="V1" s="95" t="s">
        <v>13</v>
      </c>
      <c r="W1" s="95" t="s">
        <v>14</v>
      </c>
      <c r="X1" s="95" t="s">
        <v>16</v>
      </c>
      <c r="Y1" s="95" t="s">
        <v>20</v>
      </c>
      <c r="Z1" s="95" t="s">
        <v>22</v>
      </c>
      <c r="AA1" s="149"/>
      <c r="AB1" s="149"/>
      <c r="AC1" s="149" t="s">
        <v>1832</v>
      </c>
      <c r="AD1" s="149" t="s">
        <v>597</v>
      </c>
      <c r="AE1" s="150" t="s">
        <v>636</v>
      </c>
      <c r="AF1" s="150" t="s">
        <v>637</v>
      </c>
      <c r="AG1" s="149" t="s">
        <v>638</v>
      </c>
      <c r="AH1" s="149" t="s">
        <v>179</v>
      </c>
      <c r="AI1" s="149" t="s">
        <v>254</v>
      </c>
      <c r="AJ1" s="149" t="s">
        <v>255</v>
      </c>
      <c r="AK1" s="151" t="s">
        <v>256</v>
      </c>
      <c r="AL1" s="149" t="s">
        <v>257</v>
      </c>
      <c r="AM1" s="151" t="s">
        <v>258</v>
      </c>
      <c r="AN1" s="150" t="s">
        <v>270</v>
      </c>
      <c r="AO1" s="149" t="s">
        <v>271</v>
      </c>
      <c r="AP1" s="149" t="s">
        <v>275</v>
      </c>
      <c r="AQ1" s="149" t="s">
        <v>494</v>
      </c>
      <c r="AR1" s="149" t="s">
        <v>181</v>
      </c>
      <c r="AS1" s="149" t="s">
        <v>601</v>
      </c>
      <c r="AT1" s="149" t="s">
        <v>1019</v>
      </c>
      <c r="AU1" s="149" t="s">
        <v>602</v>
      </c>
      <c r="AV1" s="149" t="s">
        <v>981</v>
      </c>
      <c r="AW1" s="149" t="s">
        <v>603</v>
      </c>
      <c r="AX1" s="150" t="s">
        <v>182</v>
      </c>
      <c r="AY1" s="150" t="s">
        <v>184</v>
      </c>
      <c r="AZ1" s="150" t="s">
        <v>23</v>
      </c>
      <c r="BA1" s="150" t="s">
        <v>185</v>
      </c>
      <c r="BB1" s="149" t="s">
        <v>604</v>
      </c>
      <c r="BC1" s="150" t="s">
        <v>186</v>
      </c>
      <c r="BD1" s="149" t="s">
        <v>989</v>
      </c>
      <c r="BE1" s="149" t="s">
        <v>990</v>
      </c>
      <c r="BF1" s="149" t="s">
        <v>991</v>
      </c>
      <c r="BG1" s="149" t="s">
        <v>992</v>
      </c>
      <c r="BH1" s="150" t="s">
        <v>187</v>
      </c>
      <c r="BI1" s="150" t="s">
        <v>188</v>
      </c>
      <c r="BJ1" s="149" t="s">
        <v>493</v>
      </c>
      <c r="BK1" s="150" t="s">
        <v>189</v>
      </c>
      <c r="BL1" s="150" t="s">
        <v>190</v>
      </c>
      <c r="BM1" s="150" t="s">
        <v>191</v>
      </c>
      <c r="BN1" s="150" t="s">
        <v>192</v>
      </c>
      <c r="BO1" s="149" t="s">
        <v>193</v>
      </c>
      <c r="BP1" s="149" t="s">
        <v>194</v>
      </c>
      <c r="BQ1" s="149" t="s">
        <v>195</v>
      </c>
      <c r="BR1" s="149" t="s">
        <v>196</v>
      </c>
      <c r="BS1" s="149" t="s">
        <v>197</v>
      </c>
      <c r="BT1" s="149" t="s">
        <v>198</v>
      </c>
      <c r="BU1" s="149" t="s">
        <v>492</v>
      </c>
      <c r="BV1" s="149" t="s">
        <v>199</v>
      </c>
      <c r="BW1" s="149" t="s">
        <v>200</v>
      </c>
      <c r="BX1" s="149" t="s">
        <v>201</v>
      </c>
      <c r="BY1" s="150" t="s">
        <v>202</v>
      </c>
      <c r="BZ1" s="149" t="s">
        <v>203</v>
      </c>
      <c r="CA1" s="150" t="s">
        <v>204</v>
      </c>
      <c r="CB1" s="150" t="s">
        <v>205</v>
      </c>
      <c r="CC1" s="150" t="s">
        <v>206</v>
      </c>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row>
    <row r="2" spans="1:109">
      <c r="A2" s="26" t="s">
        <v>847</v>
      </c>
      <c r="B2" s="26" t="s">
        <v>24</v>
      </c>
      <c r="C2" s="152" t="s">
        <v>1800</v>
      </c>
      <c r="D2" s="26" t="s">
        <v>25</v>
      </c>
      <c r="E2" s="26" t="s">
        <v>1394</v>
      </c>
      <c r="F2" s="26" t="s">
        <v>97</v>
      </c>
      <c r="G2" s="26" t="s">
        <v>595</v>
      </c>
      <c r="H2" s="30">
        <v>118</v>
      </c>
      <c r="I2" s="26" t="s">
        <v>1148</v>
      </c>
      <c r="J2" s="26"/>
      <c r="K2" s="26"/>
      <c r="L2" s="26" t="s">
        <v>538</v>
      </c>
      <c r="M2" s="26" t="s">
        <v>1713</v>
      </c>
      <c r="N2" s="26">
        <v>33</v>
      </c>
      <c r="O2" s="95">
        <v>12.09458103208981</v>
      </c>
      <c r="P2" s="95">
        <v>1.233753655527873</v>
      </c>
      <c r="Q2" s="95">
        <v>0</v>
      </c>
      <c r="R2" s="95">
        <v>13.270473321019551</v>
      </c>
      <c r="S2" s="95">
        <v>29.371487366105704</v>
      </c>
      <c r="T2" s="95">
        <v>23.175343818247864</v>
      </c>
      <c r="U2" s="95">
        <v>0</v>
      </c>
      <c r="V2" s="95">
        <v>7.4392296818692794</v>
      </c>
      <c r="W2" s="95">
        <v>9.8734511530002944</v>
      </c>
      <c r="X2" s="95">
        <v>2.8905796689775589</v>
      </c>
      <c r="Y2" s="95">
        <v>0.84085631136960193</v>
      </c>
      <c r="Z2" s="95">
        <v>100.18975600820754</v>
      </c>
      <c r="AA2" s="26"/>
      <c r="AB2" s="26"/>
      <c r="AC2" s="26">
        <f>W2*10000/1.20462</f>
        <v>81963.201283394708</v>
      </c>
      <c r="AD2" s="26" t="str">
        <f>IFERROR($AC2*HDF_Limited_Col!AD2/HDF_Limited_Col!$AH2," ")</f>
        <v xml:space="preserve"> </v>
      </c>
      <c r="AE2" s="26" t="str">
        <f>IFERROR($AC2*HDF_Limited_Col!AE2/HDF_Limited_Col!$AH2," ")</f>
        <v xml:space="preserve"> </v>
      </c>
      <c r="AF2" s="26" t="str">
        <f>IFERROR($AC2*HDF_Limited_Col!AF2/HDF_Limited_Col!$AH2," ")</f>
        <v xml:space="preserve"> </v>
      </c>
      <c r="AG2" s="26" t="str">
        <f>IFERROR($AC2*HDF_Limited_Col!AG2/HDF_Limited_Col!$AH2," ")</f>
        <v xml:space="preserve"> </v>
      </c>
      <c r="AH2" s="26" t="str">
        <f>IFERROR($AC2*HDF_Limited_Col!AH2/HDF_Limited_Col!$AH2," ")</f>
        <v xml:space="preserve"> </v>
      </c>
      <c r="AI2" s="26" t="str">
        <f>IFERROR($AC2*HDF_Limited_Col!AI2/HDF_Limited_Col!$AH2," ")</f>
        <v xml:space="preserve"> </v>
      </c>
      <c r="AJ2" s="26" t="str">
        <f>IFERROR($AC2*HDF_Limited_Col!AJ2/HDF_Limited_Col!$AH2," ")</f>
        <v xml:space="preserve"> </v>
      </c>
      <c r="AK2" s="26" t="str">
        <f>IFERROR($AC2*HDF_Limited_Col!AK2/HDF_Limited_Col!$AH2," ")</f>
        <v xml:space="preserve"> </v>
      </c>
      <c r="AL2" s="26" t="str">
        <f>IFERROR($AC2*HDF_Limited_Col!AL2/HDF_Limited_Col!$AH2," ")</f>
        <v xml:space="preserve"> </v>
      </c>
      <c r="AM2" s="26" t="str">
        <f>IFERROR($AC2*HDF_Limited_Col!AM2/HDF_Limited_Col!$AH2," ")</f>
        <v xml:space="preserve"> </v>
      </c>
      <c r="AN2" s="26" t="str">
        <f>IFERROR($AC2*HDF_Limited_Col!AN2/HDF_Limited_Col!$AH2," ")</f>
        <v xml:space="preserve"> </v>
      </c>
      <c r="AO2" s="26" t="str">
        <f>IFERROR($AC2*HDF_Limited_Col!AO2/HDF_Limited_Col!$AH2," ")</f>
        <v xml:space="preserve"> </v>
      </c>
      <c r="AP2" s="26" t="str">
        <f>IFERROR($AC2*HDF_Limited_Col!AP2/HDF_Limited_Col!$AH2," ")</f>
        <v xml:space="preserve"> </v>
      </c>
      <c r="AQ2" s="26" t="str">
        <f>IFERROR($AC2*HDF_Limited_Col!AQ2/HDF_Limited_Col!$AH2," ")</f>
        <v xml:space="preserve"> </v>
      </c>
      <c r="AR2" s="26" t="str">
        <f>IFERROR($AC2*HDF_Limited_Col!AR2/HDF_Limited_Col!$AH2," ")</f>
        <v xml:space="preserve"> </v>
      </c>
      <c r="AS2" s="26" t="str">
        <f>IFERROR($AC2*HDF_Limited_Col!AS2/HDF_Limited_Col!$AH2," ")</f>
        <v xml:space="preserve"> </v>
      </c>
      <c r="AT2" s="26" t="str">
        <f>IFERROR($AC2*HDF_Limited_Col!AT2/HDF_Limited_Col!$AH2," ")</f>
        <v xml:space="preserve"> </v>
      </c>
      <c r="AU2" s="26" t="str">
        <f>IFERROR($AC2*HDF_Limited_Col!AU2/HDF_Limited_Col!$AH2," ")</f>
        <v xml:space="preserve"> </v>
      </c>
      <c r="AV2" s="26" t="str">
        <f>IFERROR($AC2*HDF_Limited_Col!AV2/HDF_Limited_Col!$AH2," ")</f>
        <v xml:space="preserve"> </v>
      </c>
      <c r="AW2" s="26" t="str">
        <f>IFERROR($AC2*HDF_Limited_Col!AW2/HDF_Limited_Col!$AH2," ")</f>
        <v xml:space="preserve"> </v>
      </c>
      <c r="AX2" s="26" t="str">
        <f>IFERROR($AC2*HDF_Limited_Col!AX2/HDF_Limited_Col!$AH2," ")</f>
        <v xml:space="preserve"> </v>
      </c>
      <c r="AY2" s="26" t="str">
        <f>IFERROR($AC2*HDF_Limited_Col!AY2/HDF_Limited_Col!$AH2," ")</f>
        <v xml:space="preserve"> </v>
      </c>
      <c r="AZ2" s="26" t="str">
        <f>IFERROR($AC2*HDF_Limited_Col!AZ2/HDF_Limited_Col!$AH2," ")</f>
        <v xml:space="preserve"> </v>
      </c>
      <c r="BA2" s="26" t="str">
        <f>IFERROR($AC2*HDF_Limited_Col!BA2/HDF_Limited_Col!$AH2," ")</f>
        <v xml:space="preserve"> </v>
      </c>
      <c r="BB2" s="26" t="str">
        <f>IFERROR($AC2*HDF_Limited_Col!BB2/HDF_Limited_Col!$AH2," ")</f>
        <v xml:space="preserve"> </v>
      </c>
      <c r="BC2" s="26" t="str">
        <f>IFERROR($AC2*HDF_Limited_Col!BC2/HDF_Limited_Col!$AH2," ")</f>
        <v xml:space="preserve"> </v>
      </c>
      <c r="BD2" s="26" t="str">
        <f>IFERROR($AC2*HDF_Limited_Col!BD2/HDF_Limited_Col!$AH2," ")</f>
        <v xml:space="preserve"> </v>
      </c>
      <c r="BE2" s="26" t="str">
        <f>IFERROR($AC2*HDF_Limited_Col!BE2/HDF_Limited_Col!$AH2," ")</f>
        <v xml:space="preserve"> </v>
      </c>
      <c r="BF2" s="26" t="str">
        <f>IFERROR($AC2*HDF_Limited_Col!BF2/HDF_Limited_Col!$AH2," ")</f>
        <v xml:space="preserve"> </v>
      </c>
      <c r="BG2" s="26" t="str">
        <f>IFERROR($AC2*HDF_Limited_Col!BG2/HDF_Limited_Col!$AH2," ")</f>
        <v xml:space="preserve"> </v>
      </c>
      <c r="BH2" s="26" t="str">
        <f>IFERROR($AC2*HDF_Limited_Col!BH2/HDF_Limited_Col!$AH2," ")</f>
        <v xml:space="preserve"> </v>
      </c>
      <c r="BI2" s="26" t="str">
        <f>IFERROR($AC2*HDF_Limited_Col!BI2/HDF_Limited_Col!$AH2," ")</f>
        <v xml:space="preserve"> </v>
      </c>
      <c r="BJ2" s="26" t="str">
        <f>IFERROR($AC2*HDF_Limited_Col!BJ2/HDF_Limited_Col!$AH2," ")</f>
        <v xml:space="preserve"> </v>
      </c>
      <c r="BK2" s="26" t="str">
        <f>IFERROR($AC2*HDF_Limited_Col!BK2/HDF_Limited_Col!$AH2," ")</f>
        <v xml:space="preserve"> </v>
      </c>
      <c r="BL2" s="26" t="str">
        <f>IFERROR($AC2*HDF_Limited_Col!BL2/HDF_Limited_Col!$AH2," ")</f>
        <v xml:space="preserve"> </v>
      </c>
      <c r="BM2" s="26" t="str">
        <f>IFERROR($AC2*HDF_Limited_Col!BM2/HDF_Limited_Col!$AH2," ")</f>
        <v xml:space="preserve"> </v>
      </c>
      <c r="BN2" s="26" t="str">
        <f>IFERROR($AC2*HDF_Limited_Col!BN2/HDF_Limited_Col!$AH2," ")</f>
        <v xml:space="preserve"> </v>
      </c>
      <c r="BO2" s="26" t="str">
        <f>IFERROR($AC2*HDF_Limited_Col!BO2/HDF_Limited_Col!$AH2," ")</f>
        <v xml:space="preserve"> </v>
      </c>
      <c r="BP2" s="26" t="str">
        <f>IFERROR($AC2*HDF_Limited_Col!BP2/HDF_Limited_Col!$AH2," ")</f>
        <v xml:space="preserve"> </v>
      </c>
      <c r="BQ2" s="26" t="str">
        <f>IFERROR($AC2*HDF_Limited_Col!BQ2/HDF_Limited_Col!$AH2," ")</f>
        <v xml:space="preserve"> </v>
      </c>
      <c r="BR2" s="26" t="str">
        <f>IFERROR($AC2*HDF_Limited_Col!BR2/HDF_Limited_Col!$AH2," ")</f>
        <v xml:space="preserve"> </v>
      </c>
      <c r="BS2" s="26" t="str">
        <f>IFERROR($AC2*HDF_Limited_Col!BS2/HDF_Limited_Col!$AH2," ")</f>
        <v xml:space="preserve"> </v>
      </c>
      <c r="BT2" s="26" t="str">
        <f>IFERROR($AC2*HDF_Limited_Col!BT2/HDF_Limited_Col!$AH2," ")</f>
        <v xml:space="preserve"> </v>
      </c>
      <c r="BU2" s="26" t="str">
        <f>IFERROR($AC2*HDF_Limited_Col!BU2/HDF_Limited_Col!$AH2," ")</f>
        <v xml:space="preserve"> </v>
      </c>
      <c r="BV2" s="26" t="str">
        <f>IFERROR($AC2*HDF_Limited_Col!BV2/HDF_Limited_Col!$AH2," ")</f>
        <v xml:space="preserve"> </v>
      </c>
      <c r="BW2" s="26" t="str">
        <f>IFERROR($AC2*HDF_Limited_Col!BW2/HDF_Limited_Col!$AH2," ")</f>
        <v xml:space="preserve"> </v>
      </c>
      <c r="BX2" s="26" t="str">
        <f>IFERROR($AC2*HDF_Limited_Col!BX2/HDF_Limited_Col!$AH2," ")</f>
        <v xml:space="preserve"> </v>
      </c>
      <c r="BY2" s="26" t="str">
        <f>IFERROR($AC2*HDF_Limited_Col!BY2/HDF_Limited_Col!$AH2," ")</f>
        <v xml:space="preserve"> </v>
      </c>
      <c r="BZ2" s="26" t="str">
        <f>IFERROR($AC2*HDF_Limited_Col!BZ2/HDF_Limited_Col!$AH2," ")</f>
        <v xml:space="preserve"> </v>
      </c>
      <c r="CA2" s="26" t="str">
        <f>IFERROR($AC2*HDF_Limited_Col!CA2/HDF_Limited_Col!$AH2," ")</f>
        <v xml:space="preserve"> </v>
      </c>
      <c r="CB2" s="26" t="str">
        <f>IFERROR($AC2*HDF_Limited_Col!CB2/HDF_Limited_Col!$AH2," ")</f>
        <v xml:space="preserve"> </v>
      </c>
      <c r="CC2" s="26" t="str">
        <f>IFERROR($AC2*HDF_Limited_Col!CC2/HDF_Limited_Col!$AH2," ")</f>
        <v xml:space="preserve"> </v>
      </c>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row>
    <row r="3" spans="1:109">
      <c r="A3" s="26" t="s">
        <v>771</v>
      </c>
      <c r="B3" s="26" t="s">
        <v>24</v>
      </c>
      <c r="C3" s="152" t="s">
        <v>1800</v>
      </c>
      <c r="D3" s="26" t="s">
        <v>25</v>
      </c>
      <c r="E3" s="26" t="s">
        <v>1394</v>
      </c>
      <c r="F3" s="26" t="s">
        <v>97</v>
      </c>
      <c r="G3" s="26" t="s">
        <v>595</v>
      </c>
      <c r="H3" s="30">
        <v>118</v>
      </c>
      <c r="I3" s="26" t="s">
        <v>735</v>
      </c>
      <c r="J3" s="26" t="s">
        <v>635</v>
      </c>
      <c r="K3" s="26" t="s">
        <v>760</v>
      </c>
      <c r="L3" s="26" t="s">
        <v>709</v>
      </c>
      <c r="M3" s="26" t="s">
        <v>753</v>
      </c>
      <c r="N3" s="26">
        <v>34</v>
      </c>
      <c r="O3" s="95">
        <v>7.6002036725948905</v>
      </c>
      <c r="P3" s="95">
        <v>1.0000267990256435</v>
      </c>
      <c r="Q3" s="95">
        <v>1.0000267990256435</v>
      </c>
      <c r="R3" s="95">
        <v>6.7001795534718118</v>
      </c>
      <c r="S3" s="95">
        <v>24.100645856518014</v>
      </c>
      <c r="T3" s="95">
        <v>20.200541340318001</v>
      </c>
      <c r="U3" s="95">
        <v>4.4001179157128325</v>
      </c>
      <c r="V3" s="95">
        <v>3.5000937965897525</v>
      </c>
      <c r="W3" s="95">
        <v>26.000696774666736</v>
      </c>
      <c r="X3" s="95">
        <v>2.4000643176615446</v>
      </c>
      <c r="Y3" s="95">
        <v>4.000107196102574</v>
      </c>
      <c r="Z3" s="95">
        <v>100.90270402168744</v>
      </c>
      <c r="AA3" s="26"/>
      <c r="AB3" s="26"/>
      <c r="AC3" s="26">
        <f t="shared" ref="AC3:AC65" si="0">W3*10000/1.20462</f>
        <v>215841.4834110901</v>
      </c>
      <c r="AD3" s="26">
        <f>IFERROR($AC3*HDF_Limited_Col!AD3/HDF_Limited_Col!$AH3," ")</f>
        <v>0</v>
      </c>
      <c r="AE3" s="26">
        <f>IFERROR($AC3*HDF_Limited_Col!AE3/HDF_Limited_Col!$AH3," ")</f>
        <v>0</v>
      </c>
      <c r="AF3" s="26">
        <f>IFERROR($AC3*HDF_Limited_Col!AF3/HDF_Limited_Col!$AH3," ")</f>
        <v>0</v>
      </c>
      <c r="AG3" s="26">
        <f>IFERROR($AC3*HDF_Limited_Col!AG3/HDF_Limited_Col!$AH3," ")</f>
        <v>0</v>
      </c>
      <c r="AH3" s="26">
        <f>IFERROR($AC3*HDF_Limited_Col!AH3/HDF_Limited_Col!$AH3," ")</f>
        <v>215841.4834110901</v>
      </c>
      <c r="AI3" s="26">
        <f>IFERROR($AC3*HDF_Limited_Col!AI3/HDF_Limited_Col!$AH3," ")</f>
        <v>0</v>
      </c>
      <c r="AJ3" s="26">
        <f>IFERROR($AC3*HDF_Limited_Col!AJ3/HDF_Limited_Col!$AH3," ")</f>
        <v>2452.7441296714783</v>
      </c>
      <c r="AK3" s="26">
        <f>IFERROR($AC3*HDF_Limited_Col!AK3/HDF_Limited_Col!$AH3," ")</f>
        <v>0</v>
      </c>
      <c r="AL3" s="26">
        <f>IFERROR($AC3*HDF_Limited_Col!AL3/HDF_Limited_Col!$AH3," ")</f>
        <v>0</v>
      </c>
      <c r="AM3" s="26">
        <f>IFERROR($AC3*HDF_Limited_Col!AM3/HDF_Limited_Col!$AH3," ")</f>
        <v>0</v>
      </c>
      <c r="AN3" s="26">
        <f>IFERROR($AC3*HDF_Limited_Col!AN3/HDF_Limited_Col!$AH3," ")</f>
        <v>0</v>
      </c>
      <c r="AO3" s="26">
        <f>IFERROR($AC3*HDF_Limited_Col!AO3/HDF_Limited_Col!$AH3," ")</f>
        <v>0</v>
      </c>
      <c r="AP3" s="26">
        <f>IFERROR($AC3*HDF_Limited_Col!AP3/HDF_Limited_Col!$AH3," ")</f>
        <v>0</v>
      </c>
      <c r="AQ3" s="26">
        <f>IFERROR($AC3*HDF_Limited_Col!AQ3/HDF_Limited_Col!$AH3," ")</f>
        <v>0</v>
      </c>
      <c r="AR3" s="26">
        <f>IFERROR($AC3*HDF_Limited_Col!AR3/HDF_Limited_Col!$AH3," ")</f>
        <v>0</v>
      </c>
      <c r="AS3" s="26">
        <f>IFERROR($AC3*HDF_Limited_Col!AS3/HDF_Limited_Col!$AH3," ")</f>
        <v>0</v>
      </c>
      <c r="AT3" s="26">
        <f>IFERROR($AC3*HDF_Limited_Col!AT3/HDF_Limited_Col!$AH3," ")</f>
        <v>0</v>
      </c>
      <c r="AU3" s="26">
        <f>IFERROR($AC3*HDF_Limited_Col!AU3/HDF_Limited_Col!$AH3," ")</f>
        <v>0</v>
      </c>
      <c r="AV3" s="26">
        <f>IFERROR($AC3*HDF_Limited_Col!AV3/HDF_Limited_Col!$AH3," ")</f>
        <v>0</v>
      </c>
      <c r="AW3" s="26">
        <f>IFERROR($AC3*HDF_Limited_Col!AW3/HDF_Limited_Col!$AH3," ")</f>
        <v>0</v>
      </c>
      <c r="AX3" s="26">
        <f>IFERROR($AC3*HDF_Limited_Col!AX3/HDF_Limited_Col!$AH3," ")</f>
        <v>400.61487451300815</v>
      </c>
      <c r="AY3" s="26">
        <f>IFERROR($AC3*HDF_Limited_Col!AY3/HDF_Limited_Col!$AH3," ")</f>
        <v>2289.2278543600464</v>
      </c>
      <c r="AZ3" s="26">
        <f>IFERROR($AC3*HDF_Limited_Col!AZ3/HDF_Limited_Col!$AH3," ")</f>
        <v>30.250510932614898</v>
      </c>
      <c r="BA3" s="26">
        <f>IFERROR($AC3*HDF_Limited_Col!BA3/HDF_Limited_Col!$AH3," ")</f>
        <v>188.0437166081467</v>
      </c>
      <c r="BB3" s="26">
        <f>IFERROR($AC3*HDF_Limited_Col!BB3/HDF_Limited_Col!$AH3," ")</f>
        <v>0</v>
      </c>
      <c r="BC3" s="26">
        <f>IFERROR($AC3*HDF_Limited_Col!BC3/HDF_Limited_Col!$AH3," ")</f>
        <v>114.46139271800234</v>
      </c>
      <c r="BD3" s="26">
        <f>IFERROR($AC3*HDF_Limited_Col!BD3/HDF_Limited_Col!$AH3," ")</f>
        <v>0</v>
      </c>
      <c r="BE3" s="26">
        <f>IFERROR($AC3*HDF_Limited_Col!BE3/HDF_Limited_Col!$AH3," ")</f>
        <v>0</v>
      </c>
      <c r="BF3" s="26">
        <f>IFERROR($AC3*HDF_Limited_Col!BF3/HDF_Limited_Col!$AH3," ")</f>
        <v>0</v>
      </c>
      <c r="BG3" s="26">
        <f>IFERROR($AC3*HDF_Limited_Col!BG3/HDF_Limited_Col!$AH3," ")</f>
        <v>0</v>
      </c>
      <c r="BH3" s="26">
        <f>IFERROR($AC3*HDF_Limited_Col!BH3/HDF_Limited_Col!$AH3," ")</f>
        <v>40.06148745130082</v>
      </c>
      <c r="BI3" s="26">
        <f>IFERROR($AC3*HDF_Limited_Col!BI3/HDF_Limited_Col!$AH3," ")</f>
        <v>35155.999191957861</v>
      </c>
      <c r="BJ3" s="26">
        <f>IFERROR($AC3*HDF_Limited_Col!BJ3/HDF_Limited_Col!$AH3," ")</f>
        <v>0</v>
      </c>
      <c r="BK3" s="26">
        <f>IFERROR($AC3*HDF_Limited_Col!BK3/HDF_Limited_Col!$AH3," ")</f>
        <v>253.45022673271941</v>
      </c>
      <c r="BL3" s="26">
        <f>IFERROR($AC3*HDF_Limited_Col!BL3/HDF_Limited_Col!$AH3," ")</f>
        <v>621.36184618344123</v>
      </c>
      <c r="BM3" s="26">
        <f>IFERROR($AC3*HDF_Limited_Col!BM3/HDF_Limited_Col!$AH3," ")</f>
        <v>138.98883401471713</v>
      </c>
      <c r="BN3" s="26">
        <f>IFERROR($AC3*HDF_Limited_Col!BN3/HDF_Limited_Col!$AH3," ")</f>
        <v>899.33951421287543</v>
      </c>
      <c r="BO3" s="26">
        <f>IFERROR($AC3*HDF_Limited_Col!BO3/HDF_Limited_Col!$AH3," ")</f>
        <v>73.582323890144352</v>
      </c>
      <c r="BP3" s="26">
        <f>IFERROR($AC3*HDF_Limited_Col!BP3/HDF_Limited_Col!$AH3," ")</f>
        <v>8.9933951421287546</v>
      </c>
      <c r="BQ3" s="26">
        <f>IFERROR($AC3*HDF_Limited_Col!BQ3/HDF_Limited_Col!$AH3," ")</f>
        <v>21.257115790486143</v>
      </c>
      <c r="BR3" s="26">
        <f>IFERROR($AC3*HDF_Limited_Col!BR3/HDF_Limited_Col!$AH3," ")</f>
        <v>13.898883401471712</v>
      </c>
      <c r="BS3" s="26">
        <f>IFERROR($AC3*HDF_Limited_Col!BS3/HDF_Limited_Col!$AH3," ")</f>
        <v>3.2703255062286378</v>
      </c>
      <c r="BT3" s="26">
        <f>IFERROR($AC3*HDF_Limited_Col!BT3/HDF_Limited_Col!$AH3," ")</f>
        <v>15.534046154586029</v>
      </c>
      <c r="BU3" s="26">
        <f>IFERROR($AC3*HDF_Limited_Col!BU3/HDF_Limited_Col!$AH3," ")</f>
        <v>0</v>
      </c>
      <c r="BV3" s="26">
        <f>IFERROR($AC3*HDF_Limited_Col!BV3/HDF_Limited_Col!$AH3," ")</f>
        <v>8.1758137655715952</v>
      </c>
      <c r="BW3" s="26">
        <f>IFERROR($AC3*HDF_Limited_Col!BW3/HDF_Limited_Col!$AH3," ")</f>
        <v>2.4527441296714785</v>
      </c>
      <c r="BX3" s="26">
        <f>IFERROR($AC3*HDF_Limited_Col!BX3/HDF_Limited_Col!$AH3," ")</f>
        <v>8.9933951421287546</v>
      </c>
      <c r="BY3" s="26">
        <f>IFERROR($AC3*HDF_Limited_Col!BY3/HDF_Limited_Col!$AH3," ")</f>
        <v>4.905488259342957</v>
      </c>
      <c r="BZ3" s="26">
        <f>IFERROR($AC3*HDF_Limited_Col!BZ3/HDF_Limited_Col!$AH3," ")</f>
        <v>0</v>
      </c>
      <c r="CA3" s="26">
        <f>IFERROR($AC3*HDF_Limited_Col!CA3/HDF_Limited_Col!$AH3," ")</f>
        <v>0</v>
      </c>
      <c r="CB3" s="26">
        <f>IFERROR($AC3*HDF_Limited_Col!CB3/HDF_Limited_Col!$AH3," ")</f>
        <v>50.690045346543883</v>
      </c>
      <c r="CC3" s="26">
        <f>IFERROR($AC3*HDF_Limited_Col!CC3/HDF_Limited_Col!$AH3," ")</f>
        <v>30.250510932614898</v>
      </c>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row>
    <row r="4" spans="1:109">
      <c r="A4" s="26" t="s">
        <v>771</v>
      </c>
      <c r="B4" s="26" t="s">
        <v>24</v>
      </c>
      <c r="C4" s="152" t="s">
        <v>1800</v>
      </c>
      <c r="D4" s="26" t="s">
        <v>25</v>
      </c>
      <c r="E4" s="26" t="s">
        <v>1394</v>
      </c>
      <c r="F4" s="26" t="s">
        <v>97</v>
      </c>
      <c r="G4" s="26" t="s">
        <v>595</v>
      </c>
      <c r="H4" s="30">
        <v>118</v>
      </c>
      <c r="I4" s="26" t="s">
        <v>735</v>
      </c>
      <c r="J4" s="26" t="s">
        <v>635</v>
      </c>
      <c r="K4" s="26" t="s">
        <v>761</v>
      </c>
      <c r="L4" s="26" t="s">
        <v>763</v>
      </c>
      <c r="M4" s="26" t="s">
        <v>757</v>
      </c>
      <c r="N4" s="26">
        <v>20</v>
      </c>
      <c r="O4" s="95">
        <v>5.0976129654379045</v>
      </c>
      <c r="P4" s="95">
        <v>1.1994383448089188</v>
      </c>
      <c r="Q4" s="95">
        <v>1.3993447356104054</v>
      </c>
      <c r="R4" s="95">
        <v>5.7972853332431082</v>
      </c>
      <c r="S4" s="95">
        <v>18.291434758336013</v>
      </c>
      <c r="T4" s="95">
        <v>12.494149425092905</v>
      </c>
      <c r="U4" s="95">
        <v>14.293306942306284</v>
      </c>
      <c r="V4" s="95">
        <v>1.2993915402096621</v>
      </c>
      <c r="W4" s="95">
        <v>29.786052229421482</v>
      </c>
      <c r="X4" s="95">
        <v>0.89957875860668912</v>
      </c>
      <c r="Y4" s="95">
        <v>12.194289838890676</v>
      </c>
      <c r="Z4" s="95">
        <v>102.75188487196405</v>
      </c>
      <c r="AA4" s="26"/>
      <c r="AB4" s="26"/>
      <c r="AC4" s="26">
        <f t="shared" si="0"/>
        <v>247265.13115689164</v>
      </c>
      <c r="AD4" s="26">
        <f>IFERROR($AC4*HDF_Limited_Col!AD4/HDF_Limited_Col!$AH4," ")</f>
        <v>0</v>
      </c>
      <c r="AE4" s="26">
        <f>IFERROR($AC4*HDF_Limited_Col!AE4/HDF_Limited_Col!$AH4," ")</f>
        <v>0</v>
      </c>
      <c r="AF4" s="26">
        <f>IFERROR($AC4*HDF_Limited_Col!AF4/HDF_Limited_Col!$AH4," ")</f>
        <v>0</v>
      </c>
      <c r="AG4" s="26">
        <f>IFERROR($AC4*HDF_Limited_Col!AG4/HDF_Limited_Col!$AH4," ")</f>
        <v>0</v>
      </c>
      <c r="AH4" s="26">
        <f>IFERROR($AC4*HDF_Limited_Col!AH4/HDF_Limited_Col!$AH4," ")</f>
        <v>247265.13115689164</v>
      </c>
      <c r="AI4" s="26">
        <f>IFERROR($AC4*HDF_Limited_Col!AI4/HDF_Limited_Col!$AH4," ")</f>
        <v>0</v>
      </c>
      <c r="AJ4" s="26">
        <f>IFERROR($AC4*HDF_Limited_Col!AJ4/HDF_Limited_Col!$AH4," ")</f>
        <v>129.87663454705418</v>
      </c>
      <c r="AK4" s="26">
        <f>IFERROR($AC4*HDF_Limited_Col!AK4/HDF_Limited_Col!$AH4," ")</f>
        <v>0</v>
      </c>
      <c r="AL4" s="26">
        <f>IFERROR($AC4*HDF_Limited_Col!AL4/HDF_Limited_Col!$AH4," ")</f>
        <v>0</v>
      </c>
      <c r="AM4" s="26">
        <f>IFERROR($AC4*HDF_Limited_Col!AM4/HDF_Limited_Col!$AH4," ")</f>
        <v>0</v>
      </c>
      <c r="AN4" s="26">
        <f>IFERROR($AC4*HDF_Limited_Col!AN4/HDF_Limited_Col!$AH4," ")</f>
        <v>0</v>
      </c>
      <c r="AO4" s="26">
        <f>IFERROR($AC4*HDF_Limited_Col!AO4/HDF_Limited_Col!$AH4," ")</f>
        <v>0</v>
      </c>
      <c r="AP4" s="26">
        <f>IFERROR($AC4*HDF_Limited_Col!AP4/HDF_Limited_Col!$AH4," ")</f>
        <v>0</v>
      </c>
      <c r="AQ4" s="26">
        <f>IFERROR($AC4*HDF_Limited_Col!AQ4/HDF_Limited_Col!$AH4," ")</f>
        <v>0</v>
      </c>
      <c r="AR4" s="26">
        <f>IFERROR($AC4*HDF_Limited_Col!AR4/HDF_Limited_Col!$AH4," ")</f>
        <v>0</v>
      </c>
      <c r="AS4" s="26">
        <f>IFERROR($AC4*HDF_Limited_Col!AS4/HDF_Limited_Col!$AH4," ")</f>
        <v>0</v>
      </c>
      <c r="AT4" s="26">
        <f>IFERROR($AC4*HDF_Limited_Col!AT4/HDF_Limited_Col!$AH4," ")</f>
        <v>0</v>
      </c>
      <c r="AU4" s="26">
        <f>IFERROR($AC4*HDF_Limited_Col!AU4/HDF_Limited_Col!$AH4," ")</f>
        <v>0</v>
      </c>
      <c r="AV4" s="26">
        <f>IFERROR($AC4*HDF_Limited_Col!AV4/HDF_Limited_Col!$AH4," ")</f>
        <v>0</v>
      </c>
      <c r="AW4" s="26">
        <f>IFERROR($AC4*HDF_Limited_Col!AW4/HDF_Limited_Col!$AH4," ")</f>
        <v>0</v>
      </c>
      <c r="AX4" s="26">
        <f>IFERROR($AC4*HDF_Limited_Col!AX4/HDF_Limited_Col!$AH4," ")</f>
        <v>499.52551748867</v>
      </c>
      <c r="AY4" s="26">
        <f>IFERROR($AC4*HDF_Limited_Col!AY4/HDF_Limited_Col!$AH4," ")</f>
        <v>21479.597252012809</v>
      </c>
      <c r="AZ4" s="26">
        <f>IFERROR($AC4*HDF_Limited_Col!AZ4/HDF_Limited_Col!$AH4," ")</f>
        <v>1.9981020699546799</v>
      </c>
      <c r="BA4" s="26">
        <f>IFERROR($AC4*HDF_Limited_Col!BA4/HDF_Limited_Col!$AH4," ")</f>
        <v>54.947806923753703</v>
      </c>
      <c r="BB4" s="26">
        <f>IFERROR($AC4*HDF_Limited_Col!BB4/HDF_Limited_Col!$AH4," ")</f>
        <v>0</v>
      </c>
      <c r="BC4" s="26">
        <f>IFERROR($AC4*HDF_Limited_Col!BC4/HDF_Limited_Col!$AH4," ")</f>
        <v>129.87663454705418</v>
      </c>
      <c r="BD4" s="26">
        <f>IFERROR($AC4*HDF_Limited_Col!BD4/HDF_Limited_Col!$AH4," ")</f>
        <v>0</v>
      </c>
      <c r="BE4" s="26">
        <f>IFERROR($AC4*HDF_Limited_Col!BE4/HDF_Limited_Col!$AH4," ")</f>
        <v>0</v>
      </c>
      <c r="BF4" s="26">
        <f>IFERROR($AC4*HDF_Limited_Col!BF4/HDF_Limited_Col!$AH4," ")</f>
        <v>0</v>
      </c>
      <c r="BG4" s="26">
        <f>IFERROR($AC4*HDF_Limited_Col!BG4/HDF_Limited_Col!$AH4," ")</f>
        <v>0</v>
      </c>
      <c r="BH4" s="26">
        <f>IFERROR($AC4*HDF_Limited_Col!BH4/HDF_Limited_Col!$AH4," ")</f>
        <v>64.93831727352709</v>
      </c>
      <c r="BI4" s="26">
        <f>IFERROR($AC4*HDF_Limited_Col!BI4/HDF_Limited_Col!$AH4," ")</f>
        <v>131375.21109952021</v>
      </c>
      <c r="BJ4" s="26">
        <f>IFERROR($AC4*HDF_Limited_Col!BJ4/HDF_Limited_Col!$AH4," ")</f>
        <v>0</v>
      </c>
      <c r="BK4" s="26">
        <f>IFERROR($AC4*HDF_Limited_Col!BK4/HDF_Limited_Col!$AH4," ")</f>
        <v>4345.8720021514291</v>
      </c>
      <c r="BL4" s="26">
        <f>IFERROR($AC4*HDF_Limited_Col!BL4/HDF_Limited_Col!$AH4," ")</f>
        <v>7592.7878658277841</v>
      </c>
      <c r="BM4" s="26">
        <f>IFERROR($AC4*HDF_Limited_Col!BM4/HDF_Limited_Col!$AH4," ")</f>
        <v>849.19337973073903</v>
      </c>
      <c r="BN4" s="26">
        <f>IFERROR($AC4*HDF_Limited_Col!BN4/HDF_Limited_Col!$AH4," ")</f>
        <v>2098.007173452414</v>
      </c>
      <c r="BO4" s="26">
        <f>IFERROR($AC4*HDF_Limited_Col!BO4/HDF_Limited_Col!$AH4," ")</f>
        <v>49.952551748867002</v>
      </c>
      <c r="BP4" s="26">
        <f>IFERROR($AC4*HDF_Limited_Col!BP4/HDF_Limited_Col!$AH4," ")</f>
        <v>7.4928827623300496</v>
      </c>
      <c r="BQ4" s="26">
        <f>IFERROR($AC4*HDF_Limited_Col!BQ4/HDF_Limited_Col!$AH4," ")</f>
        <v>21.979122769501476</v>
      </c>
      <c r="BR4" s="26">
        <f>IFERROR($AC4*HDF_Limited_Col!BR4/HDF_Limited_Col!$AH4," ")</f>
        <v>0</v>
      </c>
      <c r="BS4" s="26">
        <f>IFERROR($AC4*HDF_Limited_Col!BS4/HDF_Limited_Col!$AH4," ")</f>
        <v>0</v>
      </c>
      <c r="BT4" s="26">
        <f>IFERROR($AC4*HDF_Limited_Col!BT4/HDF_Limited_Col!$AH4," ")</f>
        <v>0</v>
      </c>
      <c r="BU4" s="26">
        <f>IFERROR($AC4*HDF_Limited_Col!BU4/HDF_Limited_Col!$AH4," ")</f>
        <v>0</v>
      </c>
      <c r="BV4" s="26">
        <f>IFERROR($AC4*HDF_Limited_Col!BV4/HDF_Limited_Col!$AH4," ")</f>
        <v>0</v>
      </c>
      <c r="BW4" s="26">
        <f>IFERROR($AC4*HDF_Limited_Col!BW4/HDF_Limited_Col!$AH4," ")</f>
        <v>0.99905103497733994</v>
      </c>
      <c r="BX4" s="26">
        <f>IFERROR($AC4*HDF_Limited_Col!BX4/HDF_Limited_Col!$AH4," ")</f>
        <v>0</v>
      </c>
      <c r="BY4" s="26">
        <f>IFERROR($AC4*HDF_Limited_Col!BY4/HDF_Limited_Col!$AH4," ")</f>
        <v>1.49857655246601</v>
      </c>
      <c r="BZ4" s="26">
        <f>IFERROR($AC4*HDF_Limited_Col!BZ4/HDF_Limited_Col!$AH4," ")</f>
        <v>0</v>
      </c>
      <c r="CA4" s="26">
        <f>IFERROR($AC4*HDF_Limited_Col!CA4/HDF_Limited_Col!$AH4," ")</f>
        <v>0</v>
      </c>
      <c r="CB4" s="26">
        <f>IFERROR($AC4*HDF_Limited_Col!CB4/HDF_Limited_Col!$AH4," ")</f>
        <v>1598.4816559637441</v>
      </c>
      <c r="CC4" s="26">
        <f>IFERROR($AC4*HDF_Limited_Col!CC4/HDF_Limited_Col!$AH4," ")</f>
        <v>379.63939329138924</v>
      </c>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row>
    <row r="5" spans="1:109">
      <c r="A5" s="26" t="s">
        <v>771</v>
      </c>
      <c r="B5" s="26" t="s">
        <v>24</v>
      </c>
      <c r="C5" s="152" t="s">
        <v>1800</v>
      </c>
      <c r="D5" s="26" t="s">
        <v>25</v>
      </c>
      <c r="E5" s="26" t="s">
        <v>1394</v>
      </c>
      <c r="F5" s="26" t="s">
        <v>97</v>
      </c>
      <c r="G5" s="26" t="s">
        <v>595</v>
      </c>
      <c r="H5" s="30">
        <v>118</v>
      </c>
      <c r="I5" s="26" t="s">
        <v>735</v>
      </c>
      <c r="J5" s="26" t="s">
        <v>635</v>
      </c>
      <c r="K5" s="26" t="s">
        <v>761</v>
      </c>
      <c r="L5" s="26" t="s">
        <v>763</v>
      </c>
      <c r="M5" s="26" t="s">
        <v>759</v>
      </c>
      <c r="N5" s="26">
        <v>33</v>
      </c>
      <c r="O5" s="95">
        <v>5.2934447891046057</v>
      </c>
      <c r="P5" s="95">
        <v>2.1972789690622894</v>
      </c>
      <c r="Q5" s="95">
        <v>1.1985158013067032</v>
      </c>
      <c r="R5" s="95">
        <v>7.5906000749424534</v>
      </c>
      <c r="S5" s="95">
        <v>21.872913373847332</v>
      </c>
      <c r="T5" s="95">
        <v>14.082560665353764</v>
      </c>
      <c r="U5" s="95">
        <v>11.585652745964799</v>
      </c>
      <c r="V5" s="95">
        <v>1.3982684348578205</v>
      </c>
      <c r="W5" s="95">
        <v>25.768089728094125</v>
      </c>
      <c r="X5" s="95">
        <v>1.8976500187356133</v>
      </c>
      <c r="Y5" s="95">
        <v>9.1886211433513907</v>
      </c>
      <c r="Z5" s="95">
        <v>102.07359574462092</v>
      </c>
      <c r="AA5" s="26"/>
      <c r="AB5" s="26"/>
      <c r="AC5" s="26">
        <f t="shared" si="0"/>
        <v>213910.52554410623</v>
      </c>
      <c r="AD5" s="26">
        <f>IFERROR($AC5*HDF_Limited_Col!AD5/HDF_Limited_Col!$AH5," ")</f>
        <v>0</v>
      </c>
      <c r="AE5" s="26">
        <f>IFERROR($AC5*HDF_Limited_Col!AE5/HDF_Limited_Col!$AH5," ")</f>
        <v>0</v>
      </c>
      <c r="AF5" s="26">
        <f>IFERROR($AC5*HDF_Limited_Col!AF5/HDF_Limited_Col!$AH5," ")</f>
        <v>0</v>
      </c>
      <c r="AG5" s="26">
        <f>IFERROR($AC5*HDF_Limited_Col!AG5/HDF_Limited_Col!$AH5," ")</f>
        <v>0</v>
      </c>
      <c r="AH5" s="26">
        <f>IFERROR($AC5*HDF_Limited_Col!AH5/HDF_Limited_Col!$AH5," ")</f>
        <v>213910.52554410626</v>
      </c>
      <c r="AI5" s="26">
        <f>IFERROR($AC5*HDF_Limited_Col!AI5/HDF_Limited_Col!$AH5," ")</f>
        <v>0</v>
      </c>
      <c r="AJ5" s="26">
        <f>IFERROR($AC5*HDF_Limited_Col!AJ5/HDF_Limited_Col!$AH5," ")</f>
        <v>107.52116363328091</v>
      </c>
      <c r="AK5" s="26">
        <f>IFERROR($AC5*HDF_Limited_Col!AK5/HDF_Limited_Col!$AH5," ")</f>
        <v>0</v>
      </c>
      <c r="AL5" s="26">
        <f>IFERROR($AC5*HDF_Limited_Col!AL5/HDF_Limited_Col!$AH5," ")</f>
        <v>0</v>
      </c>
      <c r="AM5" s="26">
        <f>IFERROR($AC5*HDF_Limited_Col!AM5/HDF_Limited_Col!$AH5," ")</f>
        <v>0</v>
      </c>
      <c r="AN5" s="26">
        <f>IFERROR($AC5*HDF_Limited_Col!AN5/HDF_Limited_Col!$AH5," ")</f>
        <v>0</v>
      </c>
      <c r="AO5" s="26">
        <f>IFERROR($AC5*HDF_Limited_Col!AO5/HDF_Limited_Col!$AH5," ")</f>
        <v>0</v>
      </c>
      <c r="AP5" s="26">
        <f>IFERROR($AC5*HDF_Limited_Col!AP5/HDF_Limited_Col!$AH5," ")</f>
        <v>0</v>
      </c>
      <c r="AQ5" s="26">
        <f>IFERROR($AC5*HDF_Limited_Col!AQ5/HDF_Limited_Col!$AH5," ")</f>
        <v>0</v>
      </c>
      <c r="AR5" s="26">
        <f>IFERROR($AC5*HDF_Limited_Col!AR5/HDF_Limited_Col!$AH5," ")</f>
        <v>0</v>
      </c>
      <c r="AS5" s="26">
        <f>IFERROR($AC5*HDF_Limited_Col!AS5/HDF_Limited_Col!$AH5," ")</f>
        <v>0</v>
      </c>
      <c r="AT5" s="26">
        <f>IFERROR($AC5*HDF_Limited_Col!AT5/HDF_Limited_Col!$AH5," ")</f>
        <v>0</v>
      </c>
      <c r="AU5" s="26">
        <f>IFERROR($AC5*HDF_Limited_Col!AU5/HDF_Limited_Col!$AH5," ")</f>
        <v>0</v>
      </c>
      <c r="AV5" s="26">
        <f>IFERROR($AC5*HDF_Limited_Col!AV5/HDF_Limited_Col!$AH5," ")</f>
        <v>0</v>
      </c>
      <c r="AW5" s="26">
        <f>IFERROR($AC5*HDF_Limited_Col!AW5/HDF_Limited_Col!$AH5," ")</f>
        <v>0</v>
      </c>
      <c r="AX5" s="26">
        <f>IFERROR($AC5*HDF_Limited_Col!AX5/HDF_Limited_Col!$AH5," ")</f>
        <v>418.76663730856774</v>
      </c>
      <c r="AY5" s="26">
        <f>IFERROR($AC5*HDF_Limited_Col!AY5/HDF_Limited_Col!$AH5," ")</f>
        <v>9337.3642102586055</v>
      </c>
      <c r="AZ5" s="26">
        <f>IFERROR($AC5*HDF_Limited_Col!AZ5/HDF_Limited_Col!$AH5," ")</f>
        <v>4.5272068898223541</v>
      </c>
      <c r="BA5" s="26">
        <f>IFERROR($AC5*HDF_Limited_Col!BA5/HDF_Limited_Col!$AH5," ")</f>
        <v>31.69044822875648</v>
      </c>
      <c r="BB5" s="26">
        <f>IFERROR($AC5*HDF_Limited_Col!BB5/HDF_Limited_Col!$AH5," ")</f>
        <v>0</v>
      </c>
      <c r="BC5" s="26">
        <f>IFERROR($AC5*HDF_Limited_Col!BC5/HDF_Limited_Col!$AH5," ")</f>
        <v>75.264814543296637</v>
      </c>
      <c r="BD5" s="26">
        <f>IFERROR($AC5*HDF_Limited_Col!BD5/HDF_Limited_Col!$AH5," ")</f>
        <v>0</v>
      </c>
      <c r="BE5" s="26">
        <f>IFERROR($AC5*HDF_Limited_Col!BE5/HDF_Limited_Col!$AH5," ")</f>
        <v>0</v>
      </c>
      <c r="BF5" s="26">
        <f>IFERROR($AC5*HDF_Limited_Col!BF5/HDF_Limited_Col!$AH5," ")</f>
        <v>0</v>
      </c>
      <c r="BG5" s="26">
        <f>IFERROR($AC5*HDF_Limited_Col!BG5/HDF_Limited_Col!$AH5," ")</f>
        <v>0</v>
      </c>
      <c r="BH5" s="26">
        <f>IFERROR($AC5*HDF_Limited_Col!BH5/HDF_Limited_Col!$AH5," ")</f>
        <v>50.931077510501481</v>
      </c>
      <c r="BI5" s="26">
        <f>IFERROR($AC5*HDF_Limited_Col!BI5/HDF_Limited_Col!$AH5," ")</f>
        <v>72435.310237157668</v>
      </c>
      <c r="BJ5" s="26">
        <f>IFERROR($AC5*HDF_Limited_Col!BJ5/HDF_Limited_Col!$AH5," ")</f>
        <v>0</v>
      </c>
      <c r="BK5" s="26">
        <f>IFERROR($AC5*HDF_Limited_Col!BK5/HDF_Limited_Col!$AH5," ")</f>
        <v>1284.5949549870932</v>
      </c>
      <c r="BL5" s="26">
        <f>IFERROR($AC5*HDF_Limited_Col!BL5/HDF_Limited_Col!$AH5," ")</f>
        <v>2093.833186542839</v>
      </c>
      <c r="BM5" s="26">
        <f>IFERROR($AC5*HDF_Limited_Col!BM5/HDF_Limited_Col!$AH5," ")</f>
        <v>248.9963789402295</v>
      </c>
      <c r="BN5" s="26">
        <f>IFERROR($AC5*HDF_Limited_Col!BN5/HDF_Limited_Col!$AH5," ")</f>
        <v>673.4220248610751</v>
      </c>
      <c r="BO5" s="26">
        <f>IFERROR($AC5*HDF_Limited_Col!BO5/HDF_Limited_Col!$AH5," ")</f>
        <v>22.636034449111772</v>
      </c>
      <c r="BP5" s="26">
        <f>IFERROR($AC5*HDF_Limited_Col!BP5/HDF_Limited_Col!$AH5," ")</f>
        <v>6.2249094735057371</v>
      </c>
      <c r="BQ5" s="26">
        <f>IFERROR($AC5*HDF_Limited_Col!BQ5/HDF_Limited_Col!$AH5," ")</f>
        <v>14.147521530694856</v>
      </c>
      <c r="BR5" s="26">
        <f>IFERROR($AC5*HDF_Limited_Col!BR5/HDF_Limited_Col!$AH5," ")</f>
        <v>6.2249094735057371</v>
      </c>
      <c r="BS5" s="26">
        <f>IFERROR($AC5*HDF_Limited_Col!BS5/HDF_Limited_Col!$AH5," ")</f>
        <v>1.6977025836833828</v>
      </c>
      <c r="BT5" s="26">
        <f>IFERROR($AC5*HDF_Limited_Col!BT5/HDF_Limited_Col!$AH5," ")</f>
        <v>0</v>
      </c>
      <c r="BU5" s="26">
        <f>IFERROR($AC5*HDF_Limited_Col!BU5/HDF_Limited_Col!$AH5," ")</f>
        <v>0</v>
      </c>
      <c r="BV5" s="26">
        <f>IFERROR($AC5*HDF_Limited_Col!BV5/HDF_Limited_Col!$AH5," ")</f>
        <v>0</v>
      </c>
      <c r="BW5" s="26">
        <f>IFERROR($AC5*HDF_Limited_Col!BW5/HDF_Limited_Col!$AH5," ")</f>
        <v>2.8295043061389715</v>
      </c>
      <c r="BX5" s="26">
        <f>IFERROR($AC5*HDF_Limited_Col!BX5/HDF_Limited_Col!$AH5," ")</f>
        <v>5.0931077510501481</v>
      </c>
      <c r="BY5" s="26">
        <f>IFERROR($AC5*HDF_Limited_Col!BY5/HDF_Limited_Col!$AH5," ")</f>
        <v>4.5272068898223541</v>
      </c>
      <c r="BZ5" s="26">
        <f>IFERROR($AC5*HDF_Limited_Col!BZ5/HDF_Limited_Col!$AH5," ")</f>
        <v>0</v>
      </c>
      <c r="CA5" s="26">
        <f>IFERROR($AC5*HDF_Limited_Col!CA5/HDF_Limited_Col!$AH5," ")</f>
        <v>0</v>
      </c>
      <c r="CB5" s="26">
        <f>IFERROR($AC5*HDF_Limited_Col!CB5/HDF_Limited_Col!$AH5," ")</f>
        <v>401.78961147173391</v>
      </c>
      <c r="CC5" s="26">
        <f>IFERROR($AC5*HDF_Limited_Col!CC5/HDF_Limited_Col!$AH5," ")</f>
        <v>90.544137796447089</v>
      </c>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row>
    <row r="6" spans="1:109">
      <c r="A6" s="26" t="s">
        <v>847</v>
      </c>
      <c r="B6" s="26" t="s">
        <v>24</v>
      </c>
      <c r="C6" s="152" t="s">
        <v>1800</v>
      </c>
      <c r="D6" s="26" t="s">
        <v>25</v>
      </c>
      <c r="E6" s="26" t="s">
        <v>1394</v>
      </c>
      <c r="F6" s="26" t="s">
        <v>142</v>
      </c>
      <c r="G6" s="26" t="s">
        <v>595</v>
      </c>
      <c r="H6" s="30">
        <v>90</v>
      </c>
      <c r="I6" s="26" t="s">
        <v>1148</v>
      </c>
      <c r="J6" s="26"/>
      <c r="K6" s="26"/>
      <c r="L6" s="26" t="s">
        <v>160</v>
      </c>
      <c r="M6" s="26" t="s">
        <v>1714</v>
      </c>
      <c r="N6" s="26">
        <v>38</v>
      </c>
      <c r="O6" s="95">
        <v>4.8926720288707575</v>
      </c>
      <c r="P6" s="95">
        <v>0.78831524399742492</v>
      </c>
      <c r="Q6" s="95">
        <v>0</v>
      </c>
      <c r="R6" s="95">
        <v>10.401623654568233</v>
      </c>
      <c r="S6" s="95">
        <v>22.801800665983528</v>
      </c>
      <c r="T6" s="95">
        <v>23.852524713576777</v>
      </c>
      <c r="U6" s="95">
        <v>0</v>
      </c>
      <c r="V6" s="95">
        <v>7.2489070951835028</v>
      </c>
      <c r="W6" s="95">
        <v>23.78719472098031</v>
      </c>
      <c r="X6" s="95">
        <v>0.47690894595424316</v>
      </c>
      <c r="Y6" s="95">
        <v>7.4258424917989476</v>
      </c>
      <c r="Z6" s="95">
        <v>101.67578956091373</v>
      </c>
      <c r="AA6" s="26"/>
      <c r="AB6" s="26"/>
      <c r="AC6" s="26">
        <f t="shared" si="0"/>
        <v>197466.3771229127</v>
      </c>
      <c r="AD6" s="26" t="str">
        <f>IFERROR($AC6*HDF_Limited_Col!AD6/HDF_Limited_Col!$AH6," ")</f>
        <v xml:space="preserve"> </v>
      </c>
      <c r="AE6" s="26" t="str">
        <f>IFERROR($AC6*HDF_Limited_Col!AE6/HDF_Limited_Col!$AH6," ")</f>
        <v xml:space="preserve"> </v>
      </c>
      <c r="AF6" s="26" t="str">
        <f>IFERROR($AC6*HDF_Limited_Col!AF6/HDF_Limited_Col!$AH6," ")</f>
        <v xml:space="preserve"> </v>
      </c>
      <c r="AG6" s="26" t="str">
        <f>IFERROR($AC6*HDF_Limited_Col!AG6/HDF_Limited_Col!$AH6," ")</f>
        <v xml:space="preserve"> </v>
      </c>
      <c r="AH6" s="26" t="str">
        <f>IFERROR($AC6*HDF_Limited_Col!AH6/HDF_Limited_Col!$AH6," ")</f>
        <v xml:space="preserve"> </v>
      </c>
      <c r="AI6" s="26" t="str">
        <f>IFERROR($AC6*HDF_Limited_Col!AI6/HDF_Limited_Col!$AH6," ")</f>
        <v xml:space="preserve"> </v>
      </c>
      <c r="AJ6" s="26" t="str">
        <f>IFERROR($AC6*HDF_Limited_Col!AJ6/HDF_Limited_Col!$AH6," ")</f>
        <v xml:space="preserve"> </v>
      </c>
      <c r="AK6" s="26" t="str">
        <f>IFERROR($AC6*HDF_Limited_Col!AK6/HDF_Limited_Col!$AH6," ")</f>
        <v xml:space="preserve"> </v>
      </c>
      <c r="AL6" s="26" t="str">
        <f>IFERROR($AC6*HDF_Limited_Col!AL6/HDF_Limited_Col!$AH6," ")</f>
        <v xml:space="preserve"> </v>
      </c>
      <c r="AM6" s="26" t="str">
        <f>IFERROR($AC6*HDF_Limited_Col!AM6/HDF_Limited_Col!$AH6," ")</f>
        <v xml:space="preserve"> </v>
      </c>
      <c r="AN6" s="26" t="str">
        <f>IFERROR($AC6*HDF_Limited_Col!AN6/HDF_Limited_Col!$AH6," ")</f>
        <v xml:space="preserve"> </v>
      </c>
      <c r="AO6" s="26" t="str">
        <f>IFERROR($AC6*HDF_Limited_Col!AO6/HDF_Limited_Col!$AH6," ")</f>
        <v xml:space="preserve"> </v>
      </c>
      <c r="AP6" s="26" t="str">
        <f>IFERROR($AC6*HDF_Limited_Col!AP6/HDF_Limited_Col!$AH6," ")</f>
        <v xml:space="preserve"> </v>
      </c>
      <c r="AQ6" s="26" t="str">
        <f>IFERROR($AC6*HDF_Limited_Col!AQ6/HDF_Limited_Col!$AH6," ")</f>
        <v xml:space="preserve"> </v>
      </c>
      <c r="AR6" s="26" t="str">
        <f>IFERROR($AC6*HDF_Limited_Col!AR6/HDF_Limited_Col!$AH6," ")</f>
        <v xml:space="preserve"> </v>
      </c>
      <c r="AS6" s="26" t="str">
        <f>IFERROR($AC6*HDF_Limited_Col!AS6/HDF_Limited_Col!$AH6," ")</f>
        <v xml:space="preserve"> </v>
      </c>
      <c r="AT6" s="26" t="str">
        <f>IFERROR($AC6*HDF_Limited_Col!AT6/HDF_Limited_Col!$AH6," ")</f>
        <v xml:space="preserve"> </v>
      </c>
      <c r="AU6" s="26" t="str">
        <f>IFERROR($AC6*HDF_Limited_Col!AU6/HDF_Limited_Col!$AH6," ")</f>
        <v xml:space="preserve"> </v>
      </c>
      <c r="AV6" s="26" t="str">
        <f>IFERROR($AC6*HDF_Limited_Col!AV6/HDF_Limited_Col!$AH6," ")</f>
        <v xml:space="preserve"> </v>
      </c>
      <c r="AW6" s="26" t="str">
        <f>IFERROR($AC6*HDF_Limited_Col!AW6/HDF_Limited_Col!$AH6," ")</f>
        <v xml:space="preserve"> </v>
      </c>
      <c r="AX6" s="26" t="str">
        <f>IFERROR($AC6*HDF_Limited_Col!AX6/HDF_Limited_Col!$AH6," ")</f>
        <v xml:space="preserve"> </v>
      </c>
      <c r="AY6" s="26" t="str">
        <f>IFERROR($AC6*HDF_Limited_Col!AY6/HDF_Limited_Col!$AH6," ")</f>
        <v xml:space="preserve"> </v>
      </c>
      <c r="AZ6" s="26" t="str">
        <f>IFERROR($AC6*HDF_Limited_Col!AZ6/HDF_Limited_Col!$AH6," ")</f>
        <v xml:space="preserve"> </v>
      </c>
      <c r="BA6" s="26" t="str">
        <f>IFERROR($AC6*HDF_Limited_Col!BA6/HDF_Limited_Col!$AH6," ")</f>
        <v xml:space="preserve"> </v>
      </c>
      <c r="BB6" s="26" t="str">
        <f>IFERROR($AC6*HDF_Limited_Col!BB6/HDF_Limited_Col!$AH6," ")</f>
        <v xml:space="preserve"> </v>
      </c>
      <c r="BC6" s="26" t="str">
        <f>IFERROR($AC6*HDF_Limited_Col!BC6/HDF_Limited_Col!$AH6," ")</f>
        <v xml:space="preserve"> </v>
      </c>
      <c r="BD6" s="26" t="str">
        <f>IFERROR($AC6*HDF_Limited_Col!BD6/HDF_Limited_Col!$AH6," ")</f>
        <v xml:space="preserve"> </v>
      </c>
      <c r="BE6" s="26" t="str">
        <f>IFERROR($AC6*HDF_Limited_Col!BE6/HDF_Limited_Col!$AH6," ")</f>
        <v xml:space="preserve"> </v>
      </c>
      <c r="BF6" s="26" t="str">
        <f>IFERROR($AC6*HDF_Limited_Col!BF6/HDF_Limited_Col!$AH6," ")</f>
        <v xml:space="preserve"> </v>
      </c>
      <c r="BG6" s="26" t="str">
        <f>IFERROR($AC6*HDF_Limited_Col!BG6/HDF_Limited_Col!$AH6," ")</f>
        <v xml:space="preserve"> </v>
      </c>
      <c r="BH6" s="26" t="str">
        <f>IFERROR($AC6*HDF_Limited_Col!BH6/HDF_Limited_Col!$AH6," ")</f>
        <v xml:space="preserve"> </v>
      </c>
      <c r="BI6" s="26" t="str">
        <f>IFERROR($AC6*HDF_Limited_Col!BI6/HDF_Limited_Col!$AH6," ")</f>
        <v xml:space="preserve"> </v>
      </c>
      <c r="BJ6" s="26" t="str">
        <f>IFERROR($AC6*HDF_Limited_Col!BJ6/HDF_Limited_Col!$AH6," ")</f>
        <v xml:space="preserve"> </v>
      </c>
      <c r="BK6" s="26" t="str">
        <f>IFERROR($AC6*HDF_Limited_Col!BK6/HDF_Limited_Col!$AH6," ")</f>
        <v xml:space="preserve"> </v>
      </c>
      <c r="BL6" s="26" t="str">
        <f>IFERROR($AC6*HDF_Limited_Col!BL6/HDF_Limited_Col!$AH6," ")</f>
        <v xml:space="preserve"> </v>
      </c>
      <c r="BM6" s="26" t="str">
        <f>IFERROR($AC6*HDF_Limited_Col!BM6/HDF_Limited_Col!$AH6," ")</f>
        <v xml:space="preserve"> </v>
      </c>
      <c r="BN6" s="26" t="str">
        <f>IFERROR($AC6*HDF_Limited_Col!BN6/HDF_Limited_Col!$AH6," ")</f>
        <v xml:space="preserve"> </v>
      </c>
      <c r="BO6" s="26" t="str">
        <f>IFERROR($AC6*HDF_Limited_Col!BO6/HDF_Limited_Col!$AH6," ")</f>
        <v xml:space="preserve"> </v>
      </c>
      <c r="BP6" s="26" t="str">
        <f>IFERROR($AC6*HDF_Limited_Col!BP6/HDF_Limited_Col!$AH6," ")</f>
        <v xml:space="preserve"> </v>
      </c>
      <c r="BQ6" s="26" t="str">
        <f>IFERROR($AC6*HDF_Limited_Col!BQ6/HDF_Limited_Col!$AH6," ")</f>
        <v xml:space="preserve"> </v>
      </c>
      <c r="BR6" s="26" t="str">
        <f>IFERROR($AC6*HDF_Limited_Col!BR6/HDF_Limited_Col!$AH6," ")</f>
        <v xml:space="preserve"> </v>
      </c>
      <c r="BS6" s="26" t="str">
        <f>IFERROR($AC6*HDF_Limited_Col!BS6/HDF_Limited_Col!$AH6," ")</f>
        <v xml:space="preserve"> </v>
      </c>
      <c r="BT6" s="26" t="str">
        <f>IFERROR($AC6*HDF_Limited_Col!BT6/HDF_Limited_Col!$AH6," ")</f>
        <v xml:space="preserve"> </v>
      </c>
      <c r="BU6" s="26" t="str">
        <f>IFERROR($AC6*HDF_Limited_Col!BU6/HDF_Limited_Col!$AH6," ")</f>
        <v xml:space="preserve"> </v>
      </c>
      <c r="BV6" s="26" t="str">
        <f>IFERROR($AC6*HDF_Limited_Col!BV6/HDF_Limited_Col!$AH6," ")</f>
        <v xml:space="preserve"> </v>
      </c>
      <c r="BW6" s="26" t="str">
        <f>IFERROR($AC6*HDF_Limited_Col!BW6/HDF_Limited_Col!$AH6," ")</f>
        <v xml:space="preserve"> </v>
      </c>
      <c r="BX6" s="26" t="str">
        <f>IFERROR($AC6*HDF_Limited_Col!BX6/HDF_Limited_Col!$AH6," ")</f>
        <v xml:space="preserve"> </v>
      </c>
      <c r="BY6" s="26" t="str">
        <f>IFERROR($AC6*HDF_Limited_Col!BY6/HDF_Limited_Col!$AH6," ")</f>
        <v xml:space="preserve"> </v>
      </c>
      <c r="BZ6" s="26" t="str">
        <f>IFERROR($AC6*HDF_Limited_Col!BZ6/HDF_Limited_Col!$AH6," ")</f>
        <v xml:space="preserve"> </v>
      </c>
      <c r="CA6" s="26" t="str">
        <f>IFERROR($AC6*HDF_Limited_Col!CA6/HDF_Limited_Col!$AH6," ")</f>
        <v xml:space="preserve"> </v>
      </c>
      <c r="CB6" s="26" t="str">
        <f>IFERROR($AC6*HDF_Limited_Col!CB6/HDF_Limited_Col!$AH6," ")</f>
        <v xml:space="preserve"> </v>
      </c>
      <c r="CC6" s="26" t="str">
        <f>IFERROR($AC6*HDF_Limited_Col!CC6/HDF_Limited_Col!$AH6," ")</f>
        <v xml:space="preserve"> </v>
      </c>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row>
    <row r="7" spans="1:109">
      <c r="A7" s="26" t="s">
        <v>641</v>
      </c>
      <c r="B7" s="26" t="s">
        <v>24</v>
      </c>
      <c r="C7" s="152" t="s">
        <v>1800</v>
      </c>
      <c r="D7" s="26" t="s">
        <v>1707</v>
      </c>
      <c r="E7" s="26" t="s">
        <v>237</v>
      </c>
      <c r="F7" s="26" t="s">
        <v>639</v>
      </c>
      <c r="G7" s="26" t="s">
        <v>640</v>
      </c>
      <c r="H7" s="30"/>
      <c r="I7" s="26" t="s">
        <v>712</v>
      </c>
      <c r="J7" s="26" t="s">
        <v>635</v>
      </c>
      <c r="K7" s="26" t="s">
        <v>642</v>
      </c>
      <c r="L7" s="26"/>
      <c r="M7" s="26" t="s">
        <v>618</v>
      </c>
      <c r="N7" s="26" t="s">
        <v>1084</v>
      </c>
      <c r="O7" s="95">
        <v>13.712648383135489</v>
      </c>
      <c r="P7" s="95">
        <v>4.164961113385182</v>
      </c>
      <c r="Q7" s="95">
        <v>5.2087597216537045</v>
      </c>
      <c r="R7" s="95">
        <v>10.642652476463365</v>
      </c>
      <c r="S7" s="95">
        <v>22.615636512484652</v>
      </c>
      <c r="T7" s="95">
        <v>34.383954154727796</v>
      </c>
      <c r="U7" s="95">
        <v>1.5963978714695046</v>
      </c>
      <c r="V7" s="95">
        <v>1.4019647973802702</v>
      </c>
      <c r="W7" s="95">
        <v>1.8624641833810889</v>
      </c>
      <c r="X7" s="95">
        <v>4.4105607859189515</v>
      </c>
      <c r="Y7" s="95">
        <v>0</v>
      </c>
      <c r="Z7" s="95">
        <v>100.00000000000001</v>
      </c>
      <c r="AA7" s="26"/>
      <c r="AB7" s="26"/>
      <c r="AC7" s="26">
        <f t="shared" si="0"/>
        <v>15461.00997311259</v>
      </c>
      <c r="AD7" s="26">
        <f>IFERROR($AC7*HDF_Limited_Col!AD7/HDF_Limited_Col!$AH7," ")</f>
        <v>9610.2461957088071</v>
      </c>
      <c r="AE7" s="26">
        <f>IFERROR($AC7*HDF_Limited_Col!AE7/HDF_Limited_Col!$AH7," ")</f>
        <v>10251.385602402583</v>
      </c>
      <c r="AF7" s="26">
        <f>IFERROR($AC7*HDF_Limited_Col!AF7/HDF_Limited_Col!$AH7," ")</f>
        <v>1088.6657947926815</v>
      </c>
      <c r="AG7" s="26">
        <f>IFERROR($AC7*HDF_Limited_Col!AG7/HDF_Limited_Col!$AH7," ")</f>
        <v>1792.3871872948969</v>
      </c>
      <c r="AH7" s="26">
        <f>IFERROR($AC7*HDF_Limited_Col!AH7/HDF_Limited_Col!$AH7," ")</f>
        <v>15461.00997311259</v>
      </c>
      <c r="AI7" s="26">
        <f>IFERROR($AC7*HDF_Limited_Col!AI7/HDF_Limited_Col!$AH7," ")</f>
        <v>17688.537530481808</v>
      </c>
      <c r="AJ7" s="26">
        <f>IFERROR($AC7*HDF_Limited_Col!AJ7/HDF_Limited_Col!$AH7," ")</f>
        <v>1401.9016716776416</v>
      </c>
      <c r="AK7" s="26">
        <f>IFERROR($AC7*HDF_Limited_Col!AK7/HDF_Limited_Col!$AH7," ")</f>
        <v>61.278194437432369</v>
      </c>
      <c r="AL7" s="26">
        <f>IFERROR($AC7*HDF_Limited_Col!AL7/HDF_Limited_Col!$AH7," ")</f>
        <v>331.81490392184128</v>
      </c>
      <c r="AM7" s="26">
        <f>IFERROR($AC7*HDF_Limited_Col!AM7/HDF_Limited_Col!$AH7," ")</f>
        <v>6410.7421712522337</v>
      </c>
      <c r="AN7" s="26">
        <f>IFERROR($AC7*HDF_Limited_Col!AN7/HDF_Limited_Col!$AH7," ")</f>
        <v>7.6597743046790461</v>
      </c>
      <c r="AO7" s="26">
        <f>IFERROR($AC7*HDF_Limited_Col!AO7/HDF_Limited_Col!$AH7," ")</f>
        <v>10.202167478146984</v>
      </c>
      <c r="AP7" s="26">
        <f>IFERROR($AC7*HDF_Limited_Col!AP7/HDF_Limited_Col!$AH7," ")</f>
        <v>88.657813228625557</v>
      </c>
      <c r="AQ7" s="26">
        <f>IFERROR($AC7*HDF_Limited_Col!AQ7/HDF_Limited_Col!$AH7," ")</f>
        <v>5.736682032440477</v>
      </c>
      <c r="AR7" s="26">
        <f>IFERROR($AC7*HDF_Limited_Col!AR7/HDF_Limited_Col!$AH7," ")</f>
        <v>2.053471409339489</v>
      </c>
      <c r="AS7" s="26">
        <f>IFERROR($AC7*HDF_Limited_Col!AS7/HDF_Limited_Col!$AH7," ")</f>
        <v>0</v>
      </c>
      <c r="AT7" s="26">
        <f>IFERROR($AC7*HDF_Limited_Col!AT7/HDF_Limited_Col!$AH7," ")</f>
        <v>0</v>
      </c>
      <c r="AU7" s="26">
        <f>IFERROR($AC7*HDF_Limited_Col!AU7/HDF_Limited_Col!$AH7," ")</f>
        <v>0</v>
      </c>
      <c r="AV7" s="26">
        <f>IFERROR($AC7*HDF_Limited_Col!AV7/HDF_Limited_Col!$AH7," ")</f>
        <v>0</v>
      </c>
      <c r="AW7" s="26">
        <f>IFERROR($AC7*HDF_Limited_Col!AW7/HDF_Limited_Col!$AH7," ")</f>
        <v>0</v>
      </c>
      <c r="AX7" s="26">
        <f>IFERROR($AC7*HDF_Limited_Col!AX7/HDF_Limited_Col!$AH7," ")</f>
        <v>46.284593670826581</v>
      </c>
      <c r="AY7" s="26">
        <f>IFERROR($AC7*HDF_Limited_Col!AY7/HDF_Limited_Col!$AH7," ")</f>
        <v>453.71939711120137</v>
      </c>
      <c r="AZ7" s="26">
        <f>IFERROR($AC7*HDF_Limited_Col!AZ7/HDF_Limited_Col!$AH7," ")</f>
        <v>3.7484001916514487</v>
      </c>
      <c r="BA7" s="26">
        <f>IFERROR($AC7*HDF_Limited_Col!BA7/HDF_Limited_Col!$AH7," ")</f>
        <v>30.639097218716184</v>
      </c>
      <c r="BB7" s="26">
        <f>IFERROR($AC7*HDF_Limited_Col!BB7/HDF_Limited_Col!$AH7," ")</f>
        <v>0</v>
      </c>
      <c r="BC7" s="26">
        <f>IFERROR($AC7*HDF_Limited_Col!BC7/HDF_Limited_Col!$AH7," ")</f>
        <v>132.33482415743373</v>
      </c>
      <c r="BD7" s="26">
        <f>IFERROR($AC7*HDF_Limited_Col!BD7/HDF_Limited_Col!$AH7," ")</f>
        <v>0</v>
      </c>
      <c r="BE7" s="26">
        <f>IFERROR($AC7*HDF_Limited_Col!BE7/HDF_Limited_Col!$AH7," ")</f>
        <v>0</v>
      </c>
      <c r="BF7" s="26">
        <f>IFERROR($AC7*HDF_Limited_Col!BF7/HDF_Limited_Col!$AH7," ")</f>
        <v>0</v>
      </c>
      <c r="BG7" s="26">
        <f>IFERROR($AC7*HDF_Limited_Col!BG7/HDF_Limited_Col!$AH7," ")</f>
        <v>0</v>
      </c>
      <c r="BH7" s="26">
        <f>IFERROR($AC7*HDF_Limited_Col!BH7/HDF_Limited_Col!$AH7," ")</f>
        <v>0.84746439115597949</v>
      </c>
      <c r="BI7" s="26">
        <f>IFERROR($AC7*HDF_Limited_Col!BI7/HDF_Limited_Col!$AH7," ")</f>
        <v>2161.3601452905004</v>
      </c>
      <c r="BJ7" s="26">
        <f>IFERROR($AC7*HDF_Limited_Col!BJ7/HDF_Limited_Col!$AH7," ")</f>
        <v>10.528115320899285</v>
      </c>
      <c r="BK7" s="26">
        <f>IFERROR($AC7*HDF_Limited_Col!BK7/HDF_Limited_Col!$AH7," ")</f>
        <v>142.43920728275504</v>
      </c>
      <c r="BL7" s="26">
        <f>IFERROR($AC7*HDF_Limited_Col!BL7/HDF_Limited_Col!$AH7," ")</f>
        <v>170.1447739167005</v>
      </c>
      <c r="BM7" s="26">
        <f>IFERROR($AC7*HDF_Limited_Col!BM7/HDF_Limited_Col!$AH7," ")</f>
        <v>16.851503470293903</v>
      </c>
      <c r="BN7" s="26">
        <f>IFERROR($AC7*HDF_Limited_Col!BN7/HDF_Limited_Col!$AH7," ")</f>
        <v>59.32250738091858</v>
      </c>
      <c r="BO7" s="26">
        <f>IFERROR($AC7*HDF_Limited_Col!BO7/HDF_Limited_Col!$AH7," ")</f>
        <v>4.9218124255597271</v>
      </c>
      <c r="BP7" s="26">
        <f>IFERROR($AC7*HDF_Limited_Col!BP7/HDF_Limited_Col!$AH7," ")</f>
        <v>1.3363861552844294</v>
      </c>
      <c r="BQ7" s="26">
        <f>IFERROR($AC7*HDF_Limited_Col!BQ7/HDF_Limited_Col!$AH7," ")</f>
        <v>3.0965045061468488</v>
      </c>
      <c r="BR7" s="26">
        <f>IFERROR($AC7*HDF_Limited_Col!BR7/HDF_Limited_Col!$AH7," ")</f>
        <v>1.1082226653578195</v>
      </c>
      <c r="BS7" s="26">
        <f>IFERROR($AC7*HDF_Limited_Col!BS7/HDF_Limited_Col!$AH7," ")</f>
        <v>0.19556870565137993</v>
      </c>
      <c r="BT7" s="26">
        <f>IFERROR($AC7*HDF_Limited_Col!BT7/HDF_Limited_Col!$AH7," ")</f>
        <v>0.45632697985321979</v>
      </c>
      <c r="BU7" s="26">
        <f>IFERROR($AC7*HDF_Limited_Col!BU7/HDF_Limited_Col!$AH7," ")</f>
        <v>0</v>
      </c>
      <c r="BV7" s="26">
        <f>IFERROR($AC7*HDF_Limited_Col!BV7/HDF_Limited_Col!$AH7," ")</f>
        <v>0.55411133267890977</v>
      </c>
      <c r="BW7" s="26">
        <f>IFERROR($AC7*HDF_Limited_Col!BW7/HDF_Limited_Col!$AH7," ")</f>
        <v>9.7784352825689966E-2</v>
      </c>
      <c r="BX7" s="26">
        <f>IFERROR($AC7*HDF_Limited_Col!BX7/HDF_Limited_Col!$AH7," ")</f>
        <v>0.74968003833028962</v>
      </c>
      <c r="BY7" s="26">
        <f>IFERROR($AC7*HDF_Limited_Col!BY7/HDF_Limited_Col!$AH7," ")</f>
        <v>3.5854262702752981</v>
      </c>
      <c r="BZ7" s="26">
        <f>IFERROR($AC7*HDF_Limited_Col!BZ7/HDF_Limited_Col!$AH7," ")</f>
        <v>7.1708525405505963</v>
      </c>
      <c r="CA7" s="26">
        <f>IFERROR($AC7*HDF_Limited_Col!CA7/HDF_Limited_Col!$AH7," ")</f>
        <v>12.711965867339694</v>
      </c>
      <c r="CB7" s="26">
        <f>IFERROR($AC7*HDF_Limited_Col!CB7/HDF_Limited_Col!$AH7," ")</f>
        <v>27.705566633945484</v>
      </c>
      <c r="CC7" s="26">
        <f>IFERROR($AC7*HDF_Limited_Col!CC7/HDF_Limited_Col!$AH7," ")</f>
        <v>3.8461845444771381</v>
      </c>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row>
    <row r="8" spans="1:109">
      <c r="A8" s="26" t="s">
        <v>641</v>
      </c>
      <c r="B8" s="26" t="s">
        <v>24</v>
      </c>
      <c r="C8" s="152" t="s">
        <v>1800</v>
      </c>
      <c r="D8" s="26" t="s">
        <v>1707</v>
      </c>
      <c r="E8" s="26" t="s">
        <v>237</v>
      </c>
      <c r="F8" s="26" t="s">
        <v>639</v>
      </c>
      <c r="G8" s="26" t="s">
        <v>640</v>
      </c>
      <c r="H8" s="30"/>
      <c r="I8" s="26" t="s">
        <v>712</v>
      </c>
      <c r="J8" s="26" t="s">
        <v>635</v>
      </c>
      <c r="K8" s="26" t="s">
        <v>642</v>
      </c>
      <c r="L8" s="26"/>
      <c r="M8" s="26" t="s">
        <v>617</v>
      </c>
      <c r="N8" s="26" t="s">
        <v>1084</v>
      </c>
      <c r="O8" s="95">
        <v>6.2824562948090854</v>
      </c>
      <c r="P8" s="95">
        <v>2.6823970696937671</v>
      </c>
      <c r="Q8" s="95">
        <v>1.7344823157418341</v>
      </c>
      <c r="R8" s="95">
        <v>15.126299265190413</v>
      </c>
      <c r="S8" s="95">
        <v>18.958295079038653</v>
      </c>
      <c r="T8" s="95">
        <v>33.378700378520179</v>
      </c>
      <c r="U8" s="95">
        <v>0.80673596081015553</v>
      </c>
      <c r="V8" s="95">
        <v>6.7967504698255592</v>
      </c>
      <c r="W8" s="95">
        <v>5.9900145090154044</v>
      </c>
      <c r="X8" s="95">
        <v>7.1194448541496218</v>
      </c>
      <c r="Y8" s="95">
        <v>1.4521247294582798</v>
      </c>
      <c r="Z8" s="95">
        <v>100.32770092625294</v>
      </c>
      <c r="AA8" s="26"/>
      <c r="AB8" s="26"/>
      <c r="AC8" s="26">
        <f t="shared" si="0"/>
        <v>49725.344996890344</v>
      </c>
      <c r="AD8" s="26">
        <f>IFERROR($AC8*HDF_Limited_Col!AD8/HDF_Limited_Col!$AH8," ")</f>
        <v>20208.927457571917</v>
      </c>
      <c r="AE8" s="26">
        <f>IFERROR($AC8*HDF_Limited_Col!AE8/HDF_Limited_Col!$AH8," ")</f>
        <v>20296.086133138782</v>
      </c>
      <c r="AF8" s="26">
        <f>IFERROR($AC8*HDF_Limited_Col!AF8/HDF_Limited_Col!$AH8," ")</f>
        <v>2816.8099240018878</v>
      </c>
      <c r="AG8" s="26">
        <f>IFERROR($AC8*HDF_Limited_Col!AG8/HDF_Limited_Col!$AH8," ")</f>
        <v>5137.0795144713284</v>
      </c>
      <c r="AH8" s="26">
        <f>IFERROR($AC8*HDF_Limited_Col!AH8/HDF_Limited_Col!$AH8," ")</f>
        <v>49725.344996890344</v>
      </c>
      <c r="AI8" s="26">
        <f>IFERROR($AC8*HDF_Limited_Col!AI8/HDF_Limited_Col!$AH8," ")</f>
        <v>47749.748350708047</v>
      </c>
      <c r="AJ8" s="26">
        <f>IFERROR($AC8*HDF_Limited_Col!AJ8/HDF_Limited_Col!$AH8," ")</f>
        <v>3931.3845024630195</v>
      </c>
      <c r="AK8" s="26">
        <f>IFERROR($AC8*HDF_Limited_Col!AK8/HDF_Limited_Col!$AH8," ")</f>
        <v>402.77872799839469</v>
      </c>
      <c r="AL8" s="26">
        <f>IFERROR($AC8*HDF_Limited_Col!AL8/HDF_Limited_Col!$AH8," ")</f>
        <v>1217.5802859492455</v>
      </c>
      <c r="AM8" s="26">
        <f>IFERROR($AC8*HDF_Limited_Col!AM8/HDF_Limited_Col!$AH8," ")</f>
        <v>27803.617505830171</v>
      </c>
      <c r="AN8" s="26">
        <f>IFERROR($AC8*HDF_Limited_Col!AN8/HDF_Limited_Col!$AH8," ")</f>
        <v>22.053786090403907</v>
      </c>
      <c r="AO8" s="26">
        <f>IFERROR($AC8*HDF_Limited_Col!AO8/HDF_Limited_Col!$AH8," ")</f>
        <v>31.826122441840365</v>
      </c>
      <c r="AP8" s="26">
        <f>IFERROR($AC8*HDF_Limited_Col!AP8/HDF_Limited_Col!$AH8," ")</f>
        <v>240.34665080559947</v>
      </c>
      <c r="AQ8" s="26">
        <f>IFERROR($AC8*HDF_Limited_Col!AQ8/HDF_Limited_Col!$AH8," ")</f>
        <v>79.895452602960262</v>
      </c>
      <c r="AR8" s="26">
        <f>IFERROR($AC8*HDF_Limited_Col!AR8/HDF_Limited_Col!$AH8," ")</f>
        <v>10.696746546842613</v>
      </c>
      <c r="AS8" s="26">
        <f>IFERROR($AC8*HDF_Limited_Col!AS8/HDF_Limited_Col!$AH8," ")</f>
        <v>0</v>
      </c>
      <c r="AT8" s="26">
        <f>IFERROR($AC8*HDF_Limited_Col!AT8/HDF_Limited_Col!$AH8," ")</f>
        <v>0</v>
      </c>
      <c r="AU8" s="26">
        <f>IFERROR($AC8*HDF_Limited_Col!AU8/HDF_Limited_Col!$AH8," ")</f>
        <v>0</v>
      </c>
      <c r="AV8" s="26">
        <f>IFERROR($AC8*HDF_Limited_Col!AV8/HDF_Limited_Col!$AH8," ")</f>
        <v>0</v>
      </c>
      <c r="AW8" s="26">
        <f>IFERROR($AC8*HDF_Limited_Col!AW8/HDF_Limited_Col!$AH8," ")</f>
        <v>0</v>
      </c>
      <c r="AX8" s="26">
        <f>IFERROR($AC8*HDF_Limited_Col!AX8/HDF_Limited_Col!$AH8," ")</f>
        <v>154.77267843085855</v>
      </c>
      <c r="AY8" s="26">
        <f>IFERROR($AC8*HDF_Limited_Col!AY8/HDF_Limited_Col!$AH8," ")</f>
        <v>1255.877279758929</v>
      </c>
      <c r="AZ8" s="26">
        <f>IFERROR($AC8*HDF_Limited_Col!AZ8/HDF_Limited_Col!$AH8," ")</f>
        <v>31.297888044465424</v>
      </c>
      <c r="BA8" s="26">
        <f>IFERROR($AC8*HDF_Limited_Col!BA8/HDF_Limited_Col!$AH8," ")</f>
        <v>87.422792765553211</v>
      </c>
      <c r="BB8" s="26">
        <f>IFERROR($AC8*HDF_Limited_Col!BB8/HDF_Limited_Col!$AH8," ")</f>
        <v>0</v>
      </c>
      <c r="BC8" s="26">
        <f>IFERROR($AC8*HDF_Limited_Col!BC8/HDF_Limited_Col!$AH8," ")</f>
        <v>363.16114819527394</v>
      </c>
      <c r="BD8" s="26">
        <f>IFERROR($AC8*HDF_Limited_Col!BD8/HDF_Limited_Col!$AH8," ")</f>
        <v>0</v>
      </c>
      <c r="BE8" s="26">
        <f>IFERROR($AC8*HDF_Limited_Col!BE8/HDF_Limited_Col!$AH8," ")</f>
        <v>0</v>
      </c>
      <c r="BF8" s="26">
        <f>IFERROR($AC8*HDF_Limited_Col!BF8/HDF_Limited_Col!$AH8," ")</f>
        <v>0</v>
      </c>
      <c r="BG8" s="26">
        <f>IFERROR($AC8*HDF_Limited_Col!BG8/HDF_Limited_Col!$AH8," ")</f>
        <v>0</v>
      </c>
      <c r="BH8" s="26">
        <f>IFERROR($AC8*HDF_Limited_Col!BH8/HDF_Limited_Col!$AH8," ")</f>
        <v>4.2258751789995506</v>
      </c>
      <c r="BI8" s="26">
        <f>IFERROR($AC8*HDF_Limited_Col!BI8/HDF_Limited_Col!$AH8," ")</f>
        <v>9768.3745934561503</v>
      </c>
      <c r="BJ8" s="26">
        <f>IFERROR($AC8*HDF_Limited_Col!BJ8/HDF_Limited_Col!$AH8," ")</f>
        <v>42.258751789995507</v>
      </c>
      <c r="BK8" s="26">
        <f>IFERROR($AC8*HDF_Limited_Col!BK8/HDF_Limited_Col!$AH8," ")</f>
        <v>668.21651267930395</v>
      </c>
      <c r="BL8" s="26">
        <f>IFERROR($AC8*HDF_Limited_Col!BL8/HDF_Limited_Col!$AH8," ")</f>
        <v>838.57210583272331</v>
      </c>
      <c r="BM8" s="26">
        <f>IFERROR($AC8*HDF_Limited_Col!BM8/HDF_Limited_Col!$AH8," ")</f>
        <v>84.913679378022238</v>
      </c>
      <c r="BN8" s="26">
        <f>IFERROR($AC8*HDF_Limited_Col!BN8/HDF_Limited_Col!$AH8," ")</f>
        <v>293.17009054309386</v>
      </c>
      <c r="BO8" s="26">
        <f>IFERROR($AC8*HDF_Limited_Col!BO8/HDF_Limited_Col!$AH8," ")</f>
        <v>31.826122441840365</v>
      </c>
      <c r="BP8" s="26">
        <f>IFERROR($AC8*HDF_Limited_Col!BP8/HDF_Limited_Col!$AH8," ")</f>
        <v>5.0182267750619669</v>
      </c>
      <c r="BQ8" s="26">
        <f>IFERROR($AC8*HDF_Limited_Col!BQ8/HDF_Limited_Col!$AH8," ")</f>
        <v>24.298782279247416</v>
      </c>
      <c r="BR8" s="26">
        <f>IFERROR($AC8*HDF_Limited_Col!BR8/HDF_Limited_Col!$AH8," ")</f>
        <v>8.4517503579991011</v>
      </c>
      <c r="BS8" s="26">
        <f>IFERROR($AC8*HDF_Limited_Col!BS8/HDF_Limited_Col!$AH8," ")</f>
        <v>1.4526445927810956</v>
      </c>
      <c r="BT8" s="26">
        <f>IFERROR($AC8*HDF_Limited_Col!BT8/HDF_Limited_Col!$AH8," ")</f>
        <v>3.1694063842496636</v>
      </c>
      <c r="BU8" s="26">
        <f>IFERROR($AC8*HDF_Limited_Col!BU8/HDF_Limited_Col!$AH8," ")</f>
        <v>0</v>
      </c>
      <c r="BV8" s="26">
        <f>IFERROR($AC8*HDF_Limited_Col!BV8/HDF_Limited_Col!$AH8," ")</f>
        <v>3.5655821822808713</v>
      </c>
      <c r="BW8" s="26">
        <f>IFERROR($AC8*HDF_Limited_Col!BW8/HDF_Limited_Col!$AH8," ")</f>
        <v>0.26411719868747191</v>
      </c>
      <c r="BX8" s="26">
        <f>IFERROR($AC8*HDF_Limited_Col!BX8/HDF_Limited_Col!$AH8," ")</f>
        <v>2.1129375894997753</v>
      </c>
      <c r="BY8" s="26">
        <f>IFERROR($AC8*HDF_Limited_Col!BY8/HDF_Limited_Col!$AH8," ")</f>
        <v>5.5464611724369108</v>
      </c>
      <c r="BZ8" s="26">
        <f>IFERROR($AC8*HDF_Limited_Col!BZ8/HDF_Limited_Col!$AH8," ")</f>
        <v>29.44906765365312</v>
      </c>
      <c r="CA8" s="26">
        <f>IFERROR($AC8*HDF_Limited_Col!CA8/HDF_Limited_Col!$AH8," ")</f>
        <v>75.933694622648176</v>
      </c>
      <c r="CB8" s="26">
        <f>IFERROR($AC8*HDF_Limited_Col!CB8/HDF_Limited_Col!$AH8," ")</f>
        <v>138.66152931092276</v>
      </c>
      <c r="CC8" s="26">
        <f>IFERROR($AC8*HDF_Limited_Col!CC8/HDF_Limited_Col!$AH8," ")</f>
        <v>14.922621725842165</v>
      </c>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row>
    <row r="9" spans="1:109">
      <c r="A9" s="26" t="s">
        <v>641</v>
      </c>
      <c r="B9" s="26" t="s">
        <v>24</v>
      </c>
      <c r="C9" s="152" t="s">
        <v>1800</v>
      </c>
      <c r="D9" s="26" t="s">
        <v>1707</v>
      </c>
      <c r="E9" s="26" t="s">
        <v>237</v>
      </c>
      <c r="F9" s="26" t="s">
        <v>639</v>
      </c>
      <c r="G9" s="26" t="s">
        <v>640</v>
      </c>
      <c r="H9" s="30"/>
      <c r="I9" s="26" t="s">
        <v>712</v>
      </c>
      <c r="J9" s="26" t="s">
        <v>635</v>
      </c>
      <c r="K9" s="26" t="s">
        <v>642</v>
      </c>
      <c r="L9" s="26" t="s">
        <v>161</v>
      </c>
      <c r="M9" s="26" t="s">
        <v>616</v>
      </c>
      <c r="N9" s="26" t="s">
        <v>1084</v>
      </c>
      <c r="O9" s="95">
        <v>9.8448719039809376</v>
      </c>
      <c r="P9" s="95">
        <v>2.8682704113492847</v>
      </c>
      <c r="Q9" s="95">
        <v>2.0566859891573084</v>
      </c>
      <c r="R9" s="95">
        <v>6.4069801279875955</v>
      </c>
      <c r="S9" s="95">
        <v>19.760316366413353</v>
      </c>
      <c r="T9" s="95">
        <v>28.02738749930057</v>
      </c>
      <c r="U9" s="95">
        <v>0.92752505393368789</v>
      </c>
      <c r="V9" s="95">
        <v>6.7497611261804797</v>
      </c>
      <c r="W9" s="95">
        <v>11.533572409784119</v>
      </c>
      <c r="X9" s="95">
        <v>9.1391463194661746</v>
      </c>
      <c r="Y9" s="95">
        <v>3.4681371581868334</v>
      </c>
      <c r="Z9" s="95">
        <v>100.78265436574034</v>
      </c>
      <c r="AA9" s="26"/>
      <c r="AB9" s="26"/>
      <c r="AC9" s="26">
        <f t="shared" si="0"/>
        <v>95744.487139381032</v>
      </c>
      <c r="AD9" s="26">
        <f>IFERROR($AC9*HDF_Limited_Col!AD9/HDF_Limited_Col!$AH9," ")</f>
        <v>40433.74236413608</v>
      </c>
      <c r="AE9" s="26">
        <f>IFERROR($AC9*HDF_Limited_Col!AE9/HDF_Limited_Col!$AH9," ")</f>
        <v>59578.826572793041</v>
      </c>
      <c r="AF9" s="26">
        <f>IFERROR($AC9*HDF_Limited_Col!AF9/HDF_Limited_Col!$AH9," ")</f>
        <v>14435.758472881187</v>
      </c>
      <c r="AG9" s="26">
        <f>IFERROR($AC9*HDF_Limited_Col!AG9/HDF_Limited_Col!$AH9," ")</f>
        <v>11406.97292158989</v>
      </c>
      <c r="AH9" s="26">
        <f>IFERROR($AC9*HDF_Limited_Col!AH9/HDF_Limited_Col!$AH9," ")</f>
        <v>95744.487139381032</v>
      </c>
      <c r="AI9" s="26">
        <f>IFERROR($AC9*HDF_Limited_Col!AI9/HDF_Limited_Col!$AH9," ")</f>
        <v>105991.15192711292</v>
      </c>
      <c r="AJ9" s="26">
        <f>IFERROR($AC9*HDF_Limited_Col!AJ9/HDF_Limited_Col!$AH9," ")</f>
        <v>7890.6400558371324</v>
      </c>
      <c r="AK9" s="26">
        <f>IFERROR($AC9*HDF_Limited_Col!AK9/HDF_Limited_Col!$AH9," ")</f>
        <v>1062.2539253629554</v>
      </c>
      <c r="AL9" s="26">
        <f>IFERROR($AC9*HDF_Limited_Col!AL9/HDF_Limited_Col!$AH9," ")</f>
        <v>1421.7860231781096</v>
      </c>
      <c r="AM9" s="26">
        <f>IFERROR($AC9*HDF_Limited_Col!AM9/HDF_Limited_Col!$AH9," ")</f>
        <v>20264.536422308687</v>
      </c>
      <c r="AN9" s="26">
        <f>IFERROR($AC9*HDF_Limited_Col!AN9/HDF_Limited_Col!$AH9," ")</f>
        <v>16.342368082507004</v>
      </c>
      <c r="AO9" s="26">
        <f>IFERROR($AC9*HDF_Limited_Col!AO9/HDF_Limited_Col!$AH9," ")</f>
        <v>75.992011583657572</v>
      </c>
      <c r="AP9" s="26">
        <f>IFERROR($AC9*HDF_Limited_Col!AP9/HDF_Limited_Col!$AH9," ")</f>
        <v>484.82358644770773</v>
      </c>
      <c r="AQ9" s="26">
        <f>IFERROR($AC9*HDF_Limited_Col!AQ9/HDF_Limited_Col!$AH9," ")</f>
        <v>21.245078507259105</v>
      </c>
      <c r="AR9" s="26">
        <f>IFERROR($AC9*HDF_Limited_Col!AR9/HDF_Limited_Col!$AH9," ")</f>
        <v>20.700332904508873</v>
      </c>
      <c r="AS9" s="26">
        <f>IFERROR($AC9*HDF_Limited_Col!AS9/HDF_Limited_Col!$AH9," ")</f>
        <v>0</v>
      </c>
      <c r="AT9" s="26">
        <f>IFERROR($AC9*HDF_Limited_Col!AT9/HDF_Limited_Col!$AH9," ")</f>
        <v>0</v>
      </c>
      <c r="AU9" s="26">
        <f>IFERROR($AC9*HDF_Limited_Col!AU9/HDF_Limited_Col!$AH9," ")</f>
        <v>0</v>
      </c>
      <c r="AV9" s="26">
        <f>IFERROR($AC9*HDF_Limited_Col!AV9/HDF_Limited_Col!$AH9," ")</f>
        <v>0</v>
      </c>
      <c r="AW9" s="26">
        <f>IFERROR($AC9*HDF_Limited_Col!AW9/HDF_Limited_Col!$AH9," ")</f>
        <v>0</v>
      </c>
      <c r="AX9" s="26">
        <f>IFERROR($AC9*HDF_Limited_Col!AX9/HDF_Limited_Col!$AH9," ")</f>
        <v>307.23651995113164</v>
      </c>
      <c r="AY9" s="26">
        <f>IFERROR($AC9*HDF_Limited_Col!AY9/HDF_Limited_Col!$AH9," ")</f>
        <v>2502.0165534318226</v>
      </c>
      <c r="AZ9" s="26">
        <f>IFERROR($AC9*HDF_Limited_Col!AZ9/HDF_Limited_Col!$AH9," ")</f>
        <v>18.248977692132822</v>
      </c>
      <c r="BA9" s="26">
        <f>IFERROR($AC9*HDF_Limited_Col!BA9/HDF_Limited_Col!$AH9," ")</f>
        <v>171.86723766769867</v>
      </c>
      <c r="BB9" s="26">
        <f>IFERROR($AC9*HDF_Limited_Col!BB9/HDF_Limited_Col!$AH9," ")</f>
        <v>0</v>
      </c>
      <c r="BC9" s="26">
        <f>IFERROR($AC9*HDF_Limited_Col!BC9/HDF_Limited_Col!$AH9," ")</f>
        <v>440.15444702218861</v>
      </c>
      <c r="BD9" s="26">
        <f>IFERROR($AC9*HDF_Limited_Col!BD9/HDF_Limited_Col!$AH9," ")</f>
        <v>0</v>
      </c>
      <c r="BE9" s="26">
        <f>IFERROR($AC9*HDF_Limited_Col!BE9/HDF_Limited_Col!$AH9," ")</f>
        <v>0</v>
      </c>
      <c r="BF9" s="26">
        <f>IFERROR($AC9*HDF_Limited_Col!BF9/HDF_Limited_Col!$AH9," ")</f>
        <v>0</v>
      </c>
      <c r="BG9" s="26">
        <f>IFERROR($AC9*HDF_Limited_Col!BG9/HDF_Limited_Col!$AH9," ")</f>
        <v>0</v>
      </c>
      <c r="BH9" s="26">
        <f>IFERROR($AC9*HDF_Limited_Col!BH9/HDF_Limited_Col!$AH9," ")</f>
        <v>7.8988112398783841</v>
      </c>
      <c r="BI9" s="26">
        <f>IFERROR($AC9*HDF_Limited_Col!BI9/HDF_Limited_Col!$AH9," ")</f>
        <v>18532.245405562942</v>
      </c>
      <c r="BJ9" s="26">
        <f>IFERROR($AC9*HDF_Limited_Col!BJ9/HDF_Limited_Col!$AH9," ")</f>
        <v>114.39657657754904</v>
      </c>
      <c r="BK9" s="26">
        <f>IFERROR($AC9*HDF_Limited_Col!BK9/HDF_Limited_Col!$AH9," ")</f>
        <v>954.93904162115939</v>
      </c>
      <c r="BL9" s="26">
        <f>IFERROR($AC9*HDF_Limited_Col!BL9/HDF_Limited_Col!$AH9," ")</f>
        <v>1073.1488374179601</v>
      </c>
      <c r="BM9" s="26">
        <f>IFERROR($AC9*HDF_Limited_Col!BM9/HDF_Limited_Col!$AH9," ")</f>
        <v>101.05030931016832</v>
      </c>
      <c r="BN9" s="26">
        <f>IFERROR($AC9*HDF_Limited_Col!BN9/HDF_Limited_Col!$AH9," ")</f>
        <v>311.32211197175843</v>
      </c>
      <c r="BO9" s="26">
        <f>IFERROR($AC9*HDF_Limited_Col!BO9/HDF_Limited_Col!$AH9," ")</f>
        <v>33.501854569139361</v>
      </c>
      <c r="BP9" s="26">
        <f>IFERROR($AC9*HDF_Limited_Col!BP9/HDF_Limited_Col!$AH9," ")</f>
        <v>6.2645744316276843</v>
      </c>
      <c r="BQ9" s="26">
        <f>IFERROR($AC9*HDF_Limited_Col!BQ9/HDF_Limited_Col!$AH9," ")</f>
        <v>15.797622479756768</v>
      </c>
      <c r="BR9" s="26">
        <f>IFERROR($AC9*HDF_Limited_Col!BR9/HDF_Limited_Col!$AH9," ")</f>
        <v>7.3540656371281514</v>
      </c>
      <c r="BS9" s="26">
        <f>IFERROR($AC9*HDF_Limited_Col!BS9/HDF_Limited_Col!$AH9," ")</f>
        <v>1.9066096096258174</v>
      </c>
      <c r="BT9" s="26">
        <f>IFERROR($AC9*HDF_Limited_Col!BT9/HDF_Limited_Col!$AH9," ")</f>
        <v>4.9027104247521009</v>
      </c>
      <c r="BU9" s="26">
        <f>IFERROR($AC9*HDF_Limited_Col!BU9/HDF_Limited_Col!$AH9," ")</f>
        <v>0</v>
      </c>
      <c r="BV9" s="26">
        <f>IFERROR($AC9*HDF_Limited_Col!BV9/HDF_Limited_Col!$AH9," ")</f>
        <v>7.0816928357530369</v>
      </c>
      <c r="BW9" s="26">
        <f>IFERROR($AC9*HDF_Limited_Col!BW9/HDF_Limited_Col!$AH9," ")</f>
        <v>1.3618640068755836</v>
      </c>
      <c r="BX9" s="26">
        <f>IFERROR($AC9*HDF_Limited_Col!BX9/HDF_Limited_Col!$AH9," ")</f>
        <v>7.0816928357530369</v>
      </c>
      <c r="BY9" s="26">
        <f>IFERROR($AC9*HDF_Limited_Col!BY9/HDF_Limited_Col!$AH9," ")</f>
        <v>5.7198288288774517</v>
      </c>
      <c r="BZ9" s="26">
        <f>IFERROR($AC9*HDF_Limited_Col!BZ9/HDF_Limited_Col!$AH9," ")</f>
        <v>48.209985843395664</v>
      </c>
      <c r="CA9" s="26">
        <f>IFERROR($AC9*HDF_Limited_Col!CA9/HDF_Limited_Col!$AH9," ")</f>
        <v>66.731336336903595</v>
      </c>
      <c r="CB9" s="26">
        <f>IFERROR($AC9*HDF_Limited_Col!CB9/HDF_Limited_Col!$AH9," ")</f>
        <v>193.92943457908311</v>
      </c>
      <c r="CC9" s="26">
        <f>IFERROR($AC9*HDF_Limited_Col!CC9/HDF_Limited_Col!$AH9," ")</f>
        <v>30.778126555388191</v>
      </c>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row>
    <row r="10" spans="1:109">
      <c r="A10" s="26" t="s">
        <v>641</v>
      </c>
      <c r="B10" s="26" t="s">
        <v>24</v>
      </c>
      <c r="C10" s="152" t="s">
        <v>1800</v>
      </c>
      <c r="D10" s="26" t="s">
        <v>1707</v>
      </c>
      <c r="E10" s="26" t="s">
        <v>237</v>
      </c>
      <c r="F10" s="26" t="s">
        <v>639</v>
      </c>
      <c r="G10" s="26" t="s">
        <v>640</v>
      </c>
      <c r="H10" s="30"/>
      <c r="I10" s="26" t="s">
        <v>712</v>
      </c>
      <c r="J10" s="26" t="s">
        <v>635</v>
      </c>
      <c r="K10" s="26" t="s">
        <v>642</v>
      </c>
      <c r="L10" s="26"/>
      <c r="M10" s="26" t="s">
        <v>619</v>
      </c>
      <c r="N10" s="26" t="s">
        <v>1084</v>
      </c>
      <c r="O10" s="95">
        <v>12.643621385431459</v>
      </c>
      <c r="P10" s="95">
        <v>0.53183486779989475</v>
      </c>
      <c r="Q10" s="95">
        <v>2.759520540471152</v>
      </c>
      <c r="R10" s="95">
        <v>10.93773596041293</v>
      </c>
      <c r="S10" s="95">
        <v>24.885857964976207</v>
      </c>
      <c r="T10" s="95">
        <v>28.598667419428303</v>
      </c>
      <c r="U10" s="95">
        <v>0.34117708500370608</v>
      </c>
      <c r="V10" s="95">
        <v>9.5529583801037692</v>
      </c>
      <c r="W10" s="95">
        <v>5.9806336077120239</v>
      </c>
      <c r="X10" s="95">
        <v>2.8899706023843335</v>
      </c>
      <c r="Y10" s="95">
        <v>1.1339120766299642</v>
      </c>
      <c r="Z10" s="95">
        <v>100.25588989035374</v>
      </c>
      <c r="AA10" s="26"/>
      <c r="AB10" s="26"/>
      <c r="AC10" s="26">
        <f t="shared" si="0"/>
        <v>49647.470635652935</v>
      </c>
      <c r="AD10" s="26">
        <f>IFERROR($AC10*HDF_Limited_Col!AD10/HDF_Limited_Col!$AH10," ")</f>
        <v>36264.986336284892</v>
      </c>
      <c r="AE10" s="26">
        <f>IFERROR($AC10*HDF_Limited_Col!AE10/HDF_Limited_Col!$AH10," ")</f>
        <v>34037.435462320762</v>
      </c>
      <c r="AF10" s="26">
        <f>IFERROR($AC10*HDF_Limited_Col!AF10/HDF_Limited_Col!$AH10," ")</f>
        <v>5006.7403105466219</v>
      </c>
      <c r="AG10" s="26">
        <f>IFERROR($AC10*HDF_Limited_Col!AG10/HDF_Limited_Col!$AH10," ")</f>
        <v>5029.6457179909839</v>
      </c>
      <c r="AH10" s="26">
        <f>IFERROR($AC10*HDF_Limited_Col!AH10/HDF_Limited_Col!$AH10," ")</f>
        <v>49647.470635652935</v>
      </c>
      <c r="AI10" s="26">
        <f>IFERROR($AC10*HDF_Limited_Col!AI10/HDF_Limited_Col!$AH10," ")</f>
        <v>55286.018434873185</v>
      </c>
      <c r="AJ10" s="26">
        <f>IFERROR($AC10*HDF_Limited_Col!AJ10/HDF_Limited_Col!$AH10," ")</f>
        <v>5281.6051998789562</v>
      </c>
      <c r="AK10" s="26">
        <f>IFERROR($AC10*HDF_Limited_Col!AK10/HDF_Limited_Col!$AH10," ")</f>
        <v>404.66219818371479</v>
      </c>
      <c r="AL10" s="26">
        <f>IFERROR($AC10*HDF_Limited_Col!AL10/HDF_Limited_Col!$AH10," ")</f>
        <v>1236.8920019955056</v>
      </c>
      <c r="AM10" s="26">
        <f>IFERROR($AC10*HDF_Limited_Col!AM10/HDF_Limited_Col!$AH10," ")</f>
        <v>20254.106532676404</v>
      </c>
      <c r="AN10" s="26">
        <f>IFERROR($AC10*HDF_Limited_Col!AN10/HDF_Limited_Col!$AH10," ")</f>
        <v>5.1537166749812728</v>
      </c>
      <c r="AO10" s="26">
        <f>IFERROR($AC10*HDF_Limited_Col!AO10/HDF_Limited_Col!$AH10," ")</f>
        <v>47.719598842419195</v>
      </c>
      <c r="AP10" s="26">
        <f>IFERROR($AC10*HDF_Limited_Col!AP10/HDF_Limited_Col!$AH10," ")</f>
        <v>259.59461770276044</v>
      </c>
      <c r="AQ10" s="26">
        <f>IFERROR($AC10*HDF_Limited_Col!AQ10/HDF_Limited_Col!$AH10," ")</f>
        <v>16.60642039716188</v>
      </c>
      <c r="AR10" s="26">
        <f>IFERROR($AC10*HDF_Limited_Col!AR10/HDF_Limited_Col!$AH10," ")</f>
        <v>9.1621629777444848</v>
      </c>
      <c r="AS10" s="26">
        <f>IFERROR($AC10*HDF_Limited_Col!AS10/HDF_Limited_Col!$AH10," ")</f>
        <v>0</v>
      </c>
      <c r="AT10" s="26">
        <f>IFERROR($AC10*HDF_Limited_Col!AT10/HDF_Limited_Col!$AH10," ")</f>
        <v>0</v>
      </c>
      <c r="AU10" s="26">
        <f>IFERROR($AC10*HDF_Limited_Col!AU10/HDF_Limited_Col!$AH10," ")</f>
        <v>0</v>
      </c>
      <c r="AV10" s="26">
        <f>IFERROR($AC10*HDF_Limited_Col!AV10/HDF_Limited_Col!$AH10," ")</f>
        <v>0</v>
      </c>
      <c r="AW10" s="26">
        <f>IFERROR($AC10*HDF_Limited_Col!AW10/HDF_Limited_Col!$AH10," ")</f>
        <v>0</v>
      </c>
      <c r="AX10" s="26">
        <f>IFERROR($AC10*HDF_Limited_Col!AX10/HDF_Limited_Col!$AH10," ")</f>
        <v>159.19258173831042</v>
      </c>
      <c r="AY10" s="26">
        <f>IFERROR($AC10*HDF_Limited_Col!AY10/HDF_Limited_Col!$AH10," ")</f>
        <v>1418.2264775966983</v>
      </c>
      <c r="AZ10" s="26">
        <f>IFERROR($AC10*HDF_Limited_Col!AZ10/HDF_Limited_Col!$AH10," ")</f>
        <v>13.55236607124705</v>
      </c>
      <c r="BA10" s="26">
        <f>IFERROR($AC10*HDF_Limited_Col!BA10/HDF_Limited_Col!$AH10," ")</f>
        <v>104.79223905795257</v>
      </c>
      <c r="BB10" s="26">
        <f>IFERROR($AC10*HDF_Limited_Col!BB10/HDF_Limited_Col!$AH10," ")</f>
        <v>0</v>
      </c>
      <c r="BC10" s="26">
        <f>IFERROR($AC10*HDF_Limited_Col!BC10/HDF_Limited_Col!$AH10," ")</f>
        <v>379.84800678565676</v>
      </c>
      <c r="BD10" s="26">
        <f>IFERROR($AC10*HDF_Limited_Col!BD10/HDF_Limited_Col!$AH10," ")</f>
        <v>0</v>
      </c>
      <c r="BE10" s="26">
        <f>IFERROR($AC10*HDF_Limited_Col!BE10/HDF_Limited_Col!$AH10," ")</f>
        <v>0</v>
      </c>
      <c r="BF10" s="26">
        <f>IFERROR($AC10*HDF_Limited_Col!BF10/HDF_Limited_Col!$AH10," ")</f>
        <v>0</v>
      </c>
      <c r="BG10" s="26">
        <f>IFERROR($AC10*HDF_Limited_Col!BG10/HDF_Limited_Col!$AH10," ")</f>
        <v>0</v>
      </c>
      <c r="BH10" s="26">
        <f>IFERROR($AC10*HDF_Limited_Col!BH10/HDF_Limited_Col!$AH10," ")</f>
        <v>3.2449327212845058</v>
      </c>
      <c r="BI10" s="26">
        <f>IFERROR($AC10*HDF_Limited_Col!BI10/HDF_Limited_Col!$AH10," ")</f>
        <v>6381.0647572082944</v>
      </c>
      <c r="BJ10" s="26">
        <f>IFERROR($AC10*HDF_Limited_Col!BJ10/HDF_Limited_Col!$AH10," ")</f>
        <v>35.503381538759882</v>
      </c>
      <c r="BK10" s="26">
        <f>IFERROR($AC10*HDF_Limited_Col!BK10/HDF_Limited_Col!$AH10," ")</f>
        <v>334.6098270830434</v>
      </c>
      <c r="BL10" s="26">
        <f>IFERROR($AC10*HDF_Limited_Col!BL10/HDF_Limited_Col!$AH10," ")</f>
        <v>435.20274144286304</v>
      </c>
      <c r="BM10" s="26">
        <f>IFERROR($AC10*HDF_Limited_Col!BM10/HDF_Limited_Col!$AH10," ")</f>
        <v>44.665544516504369</v>
      </c>
      <c r="BN10" s="26">
        <f>IFERROR($AC10*HDF_Limited_Col!BN10/HDF_Limited_Col!$AH10," ")</f>
        <v>147.35812122539048</v>
      </c>
      <c r="BO10" s="26">
        <f>IFERROR($AC10*HDF_Limited_Col!BO10/HDF_Limited_Col!$AH10," ")</f>
        <v>15.461150024943819</v>
      </c>
      <c r="BP10" s="26">
        <f>IFERROR($AC10*HDF_Limited_Col!BP10/HDF_Limited_Col!$AH10," ")</f>
        <v>6.1081086518296575</v>
      </c>
      <c r="BQ10" s="26">
        <f>IFERROR($AC10*HDF_Limited_Col!BQ10/HDF_Limited_Col!$AH10," ")</f>
        <v>11.643582117550283</v>
      </c>
      <c r="BR10" s="26">
        <f>IFERROR($AC10*HDF_Limited_Col!BR10/HDF_Limited_Col!$AH10," ")</f>
        <v>4.1993246981328891</v>
      </c>
      <c r="BS10" s="26">
        <f>IFERROR($AC10*HDF_Limited_Col!BS10/HDF_Limited_Col!$AH10," ")</f>
        <v>1.5270271629574144</v>
      </c>
      <c r="BT10" s="26">
        <f>IFERROR($AC10*HDF_Limited_Col!BT10/HDF_Limited_Col!$AH10," ")</f>
        <v>3.435811116654182</v>
      </c>
      <c r="BU10" s="26">
        <f>IFERROR($AC10*HDF_Limited_Col!BU10/HDF_Limited_Col!$AH10," ")</f>
        <v>0</v>
      </c>
      <c r="BV10" s="26">
        <f>IFERROR($AC10*HDF_Limited_Col!BV10/HDF_Limited_Col!$AH10," ")</f>
        <v>4.1993246981328891</v>
      </c>
      <c r="BW10" s="26">
        <f>IFERROR($AC10*HDF_Limited_Col!BW10/HDF_Limited_Col!$AH10," ")</f>
        <v>1.9087839536967677</v>
      </c>
      <c r="BX10" s="26">
        <f>IFERROR($AC10*HDF_Limited_Col!BX10/HDF_Limited_Col!$AH10," ")</f>
        <v>4.0084463027632129</v>
      </c>
      <c r="BY10" s="26">
        <f>IFERROR($AC10*HDF_Limited_Col!BY10/HDF_Limited_Col!$AH10," ")</f>
        <v>16.797298792531556</v>
      </c>
      <c r="BZ10" s="26">
        <f>IFERROR($AC10*HDF_Limited_Col!BZ10/HDF_Limited_Col!$AH10," ")</f>
        <v>20.233109909185735</v>
      </c>
      <c r="CA10" s="26">
        <f>IFERROR($AC10*HDF_Limited_Col!CA10/HDF_Limited_Col!$AH10," ")</f>
        <v>41.802368585959215</v>
      </c>
      <c r="CB10" s="26">
        <f>IFERROR($AC10*HDF_Limited_Col!CB10/HDF_Limited_Col!$AH10," ")</f>
        <v>65.280411216429471</v>
      </c>
      <c r="CC10" s="26">
        <f>IFERROR($AC10*HDF_Limited_Col!CC10/HDF_Limited_Col!$AH10," ")</f>
        <v>9.1621629777444848</v>
      </c>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row>
    <row r="11" spans="1:109">
      <c r="A11" s="26" t="s">
        <v>842</v>
      </c>
      <c r="B11" s="26" t="s">
        <v>24</v>
      </c>
      <c r="C11" s="152" t="s">
        <v>1800</v>
      </c>
      <c r="D11" s="26" t="s">
        <v>1709</v>
      </c>
      <c r="E11" s="26" t="s">
        <v>237</v>
      </c>
      <c r="F11" s="26" t="s">
        <v>29</v>
      </c>
      <c r="G11" s="26" t="s">
        <v>595</v>
      </c>
      <c r="H11" s="30">
        <v>360</v>
      </c>
      <c r="I11" s="26" t="s">
        <v>712</v>
      </c>
      <c r="J11" s="26"/>
      <c r="K11" s="26" t="s">
        <v>913</v>
      </c>
      <c r="L11" s="26"/>
      <c r="M11" s="26" t="s">
        <v>63</v>
      </c>
      <c r="N11" s="26" t="s">
        <v>1084</v>
      </c>
      <c r="O11" s="95">
        <v>9.7167163254843629</v>
      </c>
      <c r="P11" s="95">
        <v>0</v>
      </c>
      <c r="Q11" s="95">
        <v>0</v>
      </c>
      <c r="R11" s="95">
        <v>3.9586622066788149</v>
      </c>
      <c r="S11" s="95">
        <v>45.464635646402144</v>
      </c>
      <c r="T11" s="95">
        <v>7.3175271093153844</v>
      </c>
      <c r="U11" s="95">
        <v>0</v>
      </c>
      <c r="V11" s="95">
        <v>10.556432551143507</v>
      </c>
      <c r="W11" s="95">
        <v>18.113878582075792</v>
      </c>
      <c r="X11" s="95">
        <v>3.4788243634450189</v>
      </c>
      <c r="Y11" s="95">
        <v>1.7993919121267341</v>
      </c>
      <c r="Z11" s="95">
        <v>100.40606869667174</v>
      </c>
      <c r="AA11" s="26"/>
      <c r="AB11" s="26"/>
      <c r="AC11" s="26">
        <f t="shared" ref="AC11:AC71" si="1">W11*10000/1.20462</f>
        <v>150370.063439722</v>
      </c>
      <c r="AD11" s="26" t="str">
        <f>IFERROR($AC11*HDF_Limited_Col!AD11/HDF_Limited_Col!$AH11," ")</f>
        <v xml:space="preserve"> </v>
      </c>
      <c r="AE11" s="26" t="str">
        <f>IFERROR($AC11*HDF_Limited_Col!AE11/HDF_Limited_Col!$AH11," ")</f>
        <v xml:space="preserve"> </v>
      </c>
      <c r="AF11" s="26" t="str">
        <f>IFERROR($AC11*HDF_Limited_Col!AF11/HDF_Limited_Col!$AH11," ")</f>
        <v xml:space="preserve"> </v>
      </c>
      <c r="AG11" s="26" t="str">
        <f>IFERROR($AC11*HDF_Limited_Col!AG11/HDF_Limited_Col!$AH11," ")</f>
        <v xml:space="preserve"> </v>
      </c>
      <c r="AH11" s="26" t="str">
        <f>IFERROR($AC11*HDF_Limited_Col!AH11/HDF_Limited_Col!$AH11," ")</f>
        <v xml:space="preserve"> </v>
      </c>
      <c r="AI11" s="26" t="str">
        <f>IFERROR($AC11*HDF_Limited_Col!AI11/HDF_Limited_Col!$AH11," ")</f>
        <v xml:space="preserve"> </v>
      </c>
      <c r="AJ11" s="26" t="str">
        <f>IFERROR($AC11*HDF_Limited_Col!AJ11/HDF_Limited_Col!$AH11," ")</f>
        <v xml:space="preserve"> </v>
      </c>
      <c r="AK11" s="26" t="str">
        <f>IFERROR($AC11*HDF_Limited_Col!AK11/HDF_Limited_Col!$AH11," ")</f>
        <v xml:space="preserve"> </v>
      </c>
      <c r="AL11" s="26" t="str">
        <f>IFERROR($AC11*HDF_Limited_Col!AL11/HDF_Limited_Col!$AH11," ")</f>
        <v xml:space="preserve"> </v>
      </c>
      <c r="AM11" s="26" t="str">
        <f>IFERROR($AC11*HDF_Limited_Col!AM11/HDF_Limited_Col!$AH11," ")</f>
        <v xml:space="preserve"> </v>
      </c>
      <c r="AN11" s="26" t="str">
        <f>IFERROR($AC11*HDF_Limited_Col!AN11/HDF_Limited_Col!$AH11," ")</f>
        <v xml:space="preserve"> </v>
      </c>
      <c r="AO11" s="26" t="str">
        <f>IFERROR($AC11*HDF_Limited_Col!AO11/HDF_Limited_Col!$AH11," ")</f>
        <v xml:space="preserve"> </v>
      </c>
      <c r="AP11" s="26" t="str">
        <f>IFERROR($AC11*HDF_Limited_Col!AP11/HDF_Limited_Col!$AH11," ")</f>
        <v xml:space="preserve"> </v>
      </c>
      <c r="AQ11" s="26" t="str">
        <f>IFERROR($AC11*HDF_Limited_Col!AQ11/HDF_Limited_Col!$AH11," ")</f>
        <v xml:space="preserve"> </v>
      </c>
      <c r="AR11" s="26" t="str">
        <f>IFERROR($AC11*HDF_Limited_Col!AR11/HDF_Limited_Col!$AH11," ")</f>
        <v xml:space="preserve"> </v>
      </c>
      <c r="AS11" s="26" t="str">
        <f>IFERROR($AC11*HDF_Limited_Col!AS11/HDF_Limited_Col!$AH11," ")</f>
        <v xml:space="preserve"> </v>
      </c>
      <c r="AT11" s="26" t="str">
        <f>IFERROR($AC11*HDF_Limited_Col!AT11/HDF_Limited_Col!$AH11," ")</f>
        <v xml:space="preserve"> </v>
      </c>
      <c r="AU11" s="26" t="str">
        <f>IFERROR($AC11*HDF_Limited_Col!AU11/HDF_Limited_Col!$AH11," ")</f>
        <v xml:space="preserve"> </v>
      </c>
      <c r="AV11" s="26" t="str">
        <f>IFERROR($AC11*HDF_Limited_Col!AV11/HDF_Limited_Col!$AH11," ")</f>
        <v xml:space="preserve"> </v>
      </c>
      <c r="AW11" s="26" t="str">
        <f>IFERROR($AC11*HDF_Limited_Col!AW11/HDF_Limited_Col!$AH11," ")</f>
        <v xml:space="preserve"> </v>
      </c>
      <c r="AX11" s="26" t="str">
        <f>IFERROR($AC11*HDF_Limited_Col!AX11/HDF_Limited_Col!$AH11," ")</f>
        <v xml:space="preserve"> </v>
      </c>
      <c r="AY11" s="26" t="str">
        <f>IFERROR($AC11*HDF_Limited_Col!AY11/HDF_Limited_Col!$AH11," ")</f>
        <v xml:space="preserve"> </v>
      </c>
      <c r="AZ11" s="26" t="str">
        <f>IFERROR($AC11*HDF_Limited_Col!AZ11/HDF_Limited_Col!$AH11," ")</f>
        <v xml:space="preserve"> </v>
      </c>
      <c r="BA11" s="26" t="str">
        <f>IFERROR($AC11*HDF_Limited_Col!BA11/HDF_Limited_Col!$AH11," ")</f>
        <v xml:space="preserve"> </v>
      </c>
      <c r="BB11" s="26" t="str">
        <f>IFERROR($AC11*HDF_Limited_Col!BB11/HDF_Limited_Col!$AH11," ")</f>
        <v xml:space="preserve"> </v>
      </c>
      <c r="BC11" s="26" t="str">
        <f>IFERROR($AC11*HDF_Limited_Col!BC11/HDF_Limited_Col!$AH11," ")</f>
        <v xml:space="preserve"> </v>
      </c>
      <c r="BD11" s="26" t="str">
        <f>IFERROR($AC11*HDF_Limited_Col!BD11/HDF_Limited_Col!$AH11," ")</f>
        <v xml:space="preserve"> </v>
      </c>
      <c r="BE11" s="26" t="str">
        <f>IFERROR($AC11*HDF_Limited_Col!BE11/HDF_Limited_Col!$AH11," ")</f>
        <v xml:space="preserve"> </v>
      </c>
      <c r="BF11" s="26" t="str">
        <f>IFERROR($AC11*HDF_Limited_Col!BF11/HDF_Limited_Col!$AH11," ")</f>
        <v xml:space="preserve"> </v>
      </c>
      <c r="BG11" s="26" t="str">
        <f>IFERROR($AC11*HDF_Limited_Col!BG11/HDF_Limited_Col!$AH11," ")</f>
        <v xml:space="preserve"> </v>
      </c>
      <c r="BH11" s="26" t="str">
        <f>IFERROR($AC11*HDF_Limited_Col!BH11/HDF_Limited_Col!$AH11," ")</f>
        <v xml:space="preserve"> </v>
      </c>
      <c r="BI11" s="26" t="str">
        <f>IFERROR($AC11*HDF_Limited_Col!BI11/HDF_Limited_Col!$AH11," ")</f>
        <v xml:space="preserve"> </v>
      </c>
      <c r="BJ11" s="26" t="str">
        <f>IFERROR($AC11*HDF_Limited_Col!BJ11/HDF_Limited_Col!$AH11," ")</f>
        <v xml:space="preserve"> </v>
      </c>
      <c r="BK11" s="26" t="str">
        <f>IFERROR($AC11*HDF_Limited_Col!BK11/HDF_Limited_Col!$AH11," ")</f>
        <v xml:space="preserve"> </v>
      </c>
      <c r="BL11" s="26" t="str">
        <f>IFERROR($AC11*HDF_Limited_Col!BL11/HDF_Limited_Col!$AH11," ")</f>
        <v xml:space="preserve"> </v>
      </c>
      <c r="BM11" s="26" t="str">
        <f>IFERROR($AC11*HDF_Limited_Col!BM11/HDF_Limited_Col!$AH11," ")</f>
        <v xml:space="preserve"> </v>
      </c>
      <c r="BN11" s="26" t="str">
        <f>IFERROR($AC11*HDF_Limited_Col!BN11/HDF_Limited_Col!$AH11," ")</f>
        <v xml:space="preserve"> </v>
      </c>
      <c r="BO11" s="26" t="str">
        <f>IFERROR($AC11*HDF_Limited_Col!BO11/HDF_Limited_Col!$AH11," ")</f>
        <v xml:space="preserve"> </v>
      </c>
      <c r="BP11" s="26" t="str">
        <f>IFERROR($AC11*HDF_Limited_Col!BP11/HDF_Limited_Col!$AH11," ")</f>
        <v xml:space="preserve"> </v>
      </c>
      <c r="BQ11" s="26" t="str">
        <f>IFERROR($AC11*HDF_Limited_Col!BQ11/HDF_Limited_Col!$AH11," ")</f>
        <v xml:space="preserve"> </v>
      </c>
      <c r="BR11" s="26" t="str">
        <f>IFERROR($AC11*HDF_Limited_Col!BR11/HDF_Limited_Col!$AH11," ")</f>
        <v xml:space="preserve"> </v>
      </c>
      <c r="BS11" s="26" t="str">
        <f>IFERROR($AC11*HDF_Limited_Col!BS11/HDF_Limited_Col!$AH11," ")</f>
        <v xml:space="preserve"> </v>
      </c>
      <c r="BT11" s="26" t="str">
        <f>IFERROR($AC11*HDF_Limited_Col!BT11/HDF_Limited_Col!$AH11," ")</f>
        <v xml:space="preserve"> </v>
      </c>
      <c r="BU11" s="26" t="str">
        <f>IFERROR($AC11*HDF_Limited_Col!BU11/HDF_Limited_Col!$AH11," ")</f>
        <v xml:space="preserve"> </v>
      </c>
      <c r="BV11" s="26" t="str">
        <f>IFERROR($AC11*HDF_Limited_Col!BV11/HDF_Limited_Col!$AH11," ")</f>
        <v xml:space="preserve"> </v>
      </c>
      <c r="BW11" s="26" t="str">
        <f>IFERROR($AC11*HDF_Limited_Col!BW11/HDF_Limited_Col!$AH11," ")</f>
        <v xml:space="preserve"> </v>
      </c>
      <c r="BX11" s="26" t="str">
        <f>IFERROR($AC11*HDF_Limited_Col!BX11/HDF_Limited_Col!$AH11," ")</f>
        <v xml:space="preserve"> </v>
      </c>
      <c r="BY11" s="26" t="str">
        <f>IFERROR($AC11*HDF_Limited_Col!BY11/HDF_Limited_Col!$AH11," ")</f>
        <v xml:space="preserve"> </v>
      </c>
      <c r="BZ11" s="26" t="str">
        <f>IFERROR($AC11*HDF_Limited_Col!BZ11/HDF_Limited_Col!$AH11," ")</f>
        <v xml:space="preserve"> </v>
      </c>
      <c r="CA11" s="26" t="str">
        <f>IFERROR($AC11*HDF_Limited_Col!CA11/HDF_Limited_Col!$AH11," ")</f>
        <v xml:space="preserve"> </v>
      </c>
      <c r="CB11" s="26" t="str">
        <f>IFERROR($AC11*HDF_Limited_Col!CB11/HDF_Limited_Col!$AH11," ")</f>
        <v xml:space="preserve"> </v>
      </c>
      <c r="CC11" s="26" t="str">
        <f>IFERROR($AC11*HDF_Limited_Col!CC11/HDF_Limited_Col!$AH11," ")</f>
        <v xml:space="preserve"> </v>
      </c>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row>
    <row r="12" spans="1:109">
      <c r="A12" s="26" t="s">
        <v>842</v>
      </c>
      <c r="B12" s="26" t="s">
        <v>24</v>
      </c>
      <c r="C12" s="152" t="s">
        <v>1800</v>
      </c>
      <c r="D12" s="26" t="s">
        <v>1709</v>
      </c>
      <c r="E12" s="26" t="s">
        <v>237</v>
      </c>
      <c r="F12" s="26" t="s">
        <v>29</v>
      </c>
      <c r="G12" s="26" t="s">
        <v>595</v>
      </c>
      <c r="H12" s="30">
        <v>360</v>
      </c>
      <c r="I12" s="26" t="s">
        <v>712</v>
      </c>
      <c r="J12" s="26"/>
      <c r="K12" s="26" t="s">
        <v>913</v>
      </c>
      <c r="L12" s="26"/>
      <c r="M12" s="26" t="s">
        <v>55</v>
      </c>
      <c r="N12" s="26" t="s">
        <v>1084</v>
      </c>
      <c r="O12" s="95">
        <v>12.900640302677605</v>
      </c>
      <c r="P12" s="95">
        <v>0.53308431002800027</v>
      </c>
      <c r="Q12" s="95">
        <v>3.5183564461848014</v>
      </c>
      <c r="R12" s="95">
        <v>3.9448238942072016</v>
      </c>
      <c r="S12" s="95">
        <v>45.312166352380018</v>
      </c>
      <c r="T12" s="95">
        <v>17.165314782901607</v>
      </c>
      <c r="U12" s="95">
        <v>0</v>
      </c>
      <c r="V12" s="95">
        <v>9.0624332704760029</v>
      </c>
      <c r="W12" s="95">
        <v>4.7977587902520016</v>
      </c>
      <c r="X12" s="95">
        <v>1.2794023440672004</v>
      </c>
      <c r="Y12" s="95">
        <v>1.9191035161008008</v>
      </c>
      <c r="Z12" s="95">
        <v>100.43308400927523</v>
      </c>
      <c r="AA12" s="26"/>
      <c r="AB12" s="26"/>
      <c r="AC12" s="26">
        <f t="shared" si="0"/>
        <v>39827.98550789462</v>
      </c>
      <c r="AD12" s="26" t="str">
        <f>IFERROR($AC12*HDF_Limited_Col!AD12/HDF_Limited_Col!$AH12," ")</f>
        <v xml:space="preserve"> </v>
      </c>
      <c r="AE12" s="26" t="str">
        <f>IFERROR($AC12*HDF_Limited_Col!AE12/HDF_Limited_Col!$AH12," ")</f>
        <v xml:space="preserve"> </v>
      </c>
      <c r="AF12" s="26" t="str">
        <f>IFERROR($AC12*HDF_Limited_Col!AF12/HDF_Limited_Col!$AH12," ")</f>
        <v xml:space="preserve"> </v>
      </c>
      <c r="AG12" s="26" t="str">
        <f>IFERROR($AC12*HDF_Limited_Col!AG12/HDF_Limited_Col!$AH12," ")</f>
        <v xml:space="preserve"> </v>
      </c>
      <c r="AH12" s="26" t="str">
        <f>IFERROR($AC12*HDF_Limited_Col!AH12/HDF_Limited_Col!$AH12," ")</f>
        <v xml:space="preserve"> </v>
      </c>
      <c r="AI12" s="26" t="str">
        <f>IFERROR($AC12*HDF_Limited_Col!AI12/HDF_Limited_Col!$AH12," ")</f>
        <v xml:space="preserve"> </v>
      </c>
      <c r="AJ12" s="26" t="str">
        <f>IFERROR($AC12*HDF_Limited_Col!AJ12/HDF_Limited_Col!$AH12," ")</f>
        <v xml:space="preserve"> </v>
      </c>
      <c r="AK12" s="26" t="str">
        <f>IFERROR($AC12*HDF_Limited_Col!AK12/HDF_Limited_Col!$AH12," ")</f>
        <v xml:space="preserve"> </v>
      </c>
      <c r="AL12" s="26" t="str">
        <f>IFERROR($AC12*HDF_Limited_Col!AL12/HDF_Limited_Col!$AH12," ")</f>
        <v xml:space="preserve"> </v>
      </c>
      <c r="AM12" s="26" t="str">
        <f>IFERROR($AC12*HDF_Limited_Col!AM12/HDF_Limited_Col!$AH12," ")</f>
        <v xml:space="preserve"> </v>
      </c>
      <c r="AN12" s="26" t="str">
        <f>IFERROR($AC12*HDF_Limited_Col!AN12/HDF_Limited_Col!$AH12," ")</f>
        <v xml:space="preserve"> </v>
      </c>
      <c r="AO12" s="26" t="str">
        <f>IFERROR($AC12*HDF_Limited_Col!AO12/HDF_Limited_Col!$AH12," ")</f>
        <v xml:space="preserve"> </v>
      </c>
      <c r="AP12" s="26" t="str">
        <f>IFERROR($AC12*HDF_Limited_Col!AP12/HDF_Limited_Col!$AH12," ")</f>
        <v xml:space="preserve"> </v>
      </c>
      <c r="AQ12" s="26" t="str">
        <f>IFERROR($AC12*HDF_Limited_Col!AQ12/HDF_Limited_Col!$AH12," ")</f>
        <v xml:space="preserve"> </v>
      </c>
      <c r="AR12" s="26" t="str">
        <f>IFERROR($AC12*HDF_Limited_Col!AR12/HDF_Limited_Col!$AH12," ")</f>
        <v xml:space="preserve"> </v>
      </c>
      <c r="AS12" s="26" t="str">
        <f>IFERROR($AC12*HDF_Limited_Col!AS12/HDF_Limited_Col!$AH12," ")</f>
        <v xml:space="preserve"> </v>
      </c>
      <c r="AT12" s="26" t="str">
        <f>IFERROR($AC12*HDF_Limited_Col!AT12/HDF_Limited_Col!$AH12," ")</f>
        <v xml:space="preserve"> </v>
      </c>
      <c r="AU12" s="26" t="str">
        <f>IFERROR($AC12*HDF_Limited_Col!AU12/HDF_Limited_Col!$AH12," ")</f>
        <v xml:space="preserve"> </v>
      </c>
      <c r="AV12" s="26" t="str">
        <f>IFERROR($AC12*HDF_Limited_Col!AV12/HDF_Limited_Col!$AH12," ")</f>
        <v xml:space="preserve"> </v>
      </c>
      <c r="AW12" s="26" t="str">
        <f>IFERROR($AC12*HDF_Limited_Col!AW12/HDF_Limited_Col!$AH12," ")</f>
        <v xml:space="preserve"> </v>
      </c>
      <c r="AX12" s="26" t="str">
        <f>IFERROR($AC12*HDF_Limited_Col!AX12/HDF_Limited_Col!$AH12," ")</f>
        <v xml:space="preserve"> </v>
      </c>
      <c r="AY12" s="26" t="str">
        <f>IFERROR($AC12*HDF_Limited_Col!AY12/HDF_Limited_Col!$AH12," ")</f>
        <v xml:space="preserve"> </v>
      </c>
      <c r="AZ12" s="26" t="str">
        <f>IFERROR($AC12*HDF_Limited_Col!AZ12/HDF_Limited_Col!$AH12," ")</f>
        <v xml:space="preserve"> </v>
      </c>
      <c r="BA12" s="26" t="str">
        <f>IFERROR($AC12*HDF_Limited_Col!BA12/HDF_Limited_Col!$AH12," ")</f>
        <v xml:space="preserve"> </v>
      </c>
      <c r="BB12" s="26" t="str">
        <f>IFERROR($AC12*HDF_Limited_Col!BB12/HDF_Limited_Col!$AH12," ")</f>
        <v xml:space="preserve"> </v>
      </c>
      <c r="BC12" s="26" t="str">
        <f>IFERROR($AC12*HDF_Limited_Col!BC12/HDF_Limited_Col!$AH12," ")</f>
        <v xml:space="preserve"> </v>
      </c>
      <c r="BD12" s="26" t="str">
        <f>IFERROR($AC12*HDF_Limited_Col!BD12/HDF_Limited_Col!$AH12," ")</f>
        <v xml:space="preserve"> </v>
      </c>
      <c r="BE12" s="26" t="str">
        <f>IFERROR($AC12*HDF_Limited_Col!BE12/HDF_Limited_Col!$AH12," ")</f>
        <v xml:space="preserve"> </v>
      </c>
      <c r="BF12" s="26" t="str">
        <f>IFERROR($AC12*HDF_Limited_Col!BF12/HDF_Limited_Col!$AH12," ")</f>
        <v xml:space="preserve"> </v>
      </c>
      <c r="BG12" s="26" t="str">
        <f>IFERROR($AC12*HDF_Limited_Col!BG12/HDF_Limited_Col!$AH12," ")</f>
        <v xml:space="preserve"> </v>
      </c>
      <c r="BH12" s="26" t="str">
        <f>IFERROR($AC12*HDF_Limited_Col!BH12/HDF_Limited_Col!$AH12," ")</f>
        <v xml:space="preserve"> </v>
      </c>
      <c r="BI12" s="26" t="str">
        <f>IFERROR($AC12*HDF_Limited_Col!BI12/HDF_Limited_Col!$AH12," ")</f>
        <v xml:space="preserve"> </v>
      </c>
      <c r="BJ12" s="26" t="str">
        <f>IFERROR($AC12*HDF_Limited_Col!BJ12/HDF_Limited_Col!$AH12," ")</f>
        <v xml:space="preserve"> </v>
      </c>
      <c r="BK12" s="26" t="str">
        <f>IFERROR($AC12*HDF_Limited_Col!BK12/HDF_Limited_Col!$AH12," ")</f>
        <v xml:space="preserve"> </v>
      </c>
      <c r="BL12" s="26" t="str">
        <f>IFERROR($AC12*HDF_Limited_Col!BL12/HDF_Limited_Col!$AH12," ")</f>
        <v xml:space="preserve"> </v>
      </c>
      <c r="BM12" s="26" t="str">
        <f>IFERROR($AC12*HDF_Limited_Col!BM12/HDF_Limited_Col!$AH12," ")</f>
        <v xml:space="preserve"> </v>
      </c>
      <c r="BN12" s="26" t="str">
        <f>IFERROR($AC12*HDF_Limited_Col!BN12/HDF_Limited_Col!$AH12," ")</f>
        <v xml:space="preserve"> </v>
      </c>
      <c r="BO12" s="26" t="str">
        <f>IFERROR($AC12*HDF_Limited_Col!BO12/HDF_Limited_Col!$AH12," ")</f>
        <v xml:space="preserve"> </v>
      </c>
      <c r="BP12" s="26" t="str">
        <f>IFERROR($AC12*HDF_Limited_Col!BP12/HDF_Limited_Col!$AH12," ")</f>
        <v xml:space="preserve"> </v>
      </c>
      <c r="BQ12" s="26" t="str">
        <f>IFERROR($AC12*HDF_Limited_Col!BQ12/HDF_Limited_Col!$AH12," ")</f>
        <v xml:space="preserve"> </v>
      </c>
      <c r="BR12" s="26" t="str">
        <f>IFERROR($AC12*HDF_Limited_Col!BR12/HDF_Limited_Col!$AH12," ")</f>
        <v xml:space="preserve"> </v>
      </c>
      <c r="BS12" s="26" t="str">
        <f>IFERROR($AC12*HDF_Limited_Col!BS12/HDF_Limited_Col!$AH12," ")</f>
        <v xml:space="preserve"> </v>
      </c>
      <c r="BT12" s="26" t="str">
        <f>IFERROR($AC12*HDF_Limited_Col!BT12/HDF_Limited_Col!$AH12," ")</f>
        <v xml:space="preserve"> </v>
      </c>
      <c r="BU12" s="26" t="str">
        <f>IFERROR($AC12*HDF_Limited_Col!BU12/HDF_Limited_Col!$AH12," ")</f>
        <v xml:space="preserve"> </v>
      </c>
      <c r="BV12" s="26" t="str">
        <f>IFERROR($AC12*HDF_Limited_Col!BV12/HDF_Limited_Col!$AH12," ")</f>
        <v xml:space="preserve"> </v>
      </c>
      <c r="BW12" s="26" t="str">
        <f>IFERROR($AC12*HDF_Limited_Col!BW12/HDF_Limited_Col!$AH12," ")</f>
        <v xml:space="preserve"> </v>
      </c>
      <c r="BX12" s="26" t="str">
        <f>IFERROR($AC12*HDF_Limited_Col!BX12/HDF_Limited_Col!$AH12," ")</f>
        <v xml:space="preserve"> </v>
      </c>
      <c r="BY12" s="26" t="str">
        <f>IFERROR($AC12*HDF_Limited_Col!BY12/HDF_Limited_Col!$AH12," ")</f>
        <v xml:space="preserve"> </v>
      </c>
      <c r="BZ12" s="26" t="str">
        <f>IFERROR($AC12*HDF_Limited_Col!BZ12/HDF_Limited_Col!$AH12," ")</f>
        <v xml:space="preserve"> </v>
      </c>
      <c r="CA12" s="26" t="str">
        <f>IFERROR($AC12*HDF_Limited_Col!CA12/HDF_Limited_Col!$AH12," ")</f>
        <v xml:space="preserve"> </v>
      </c>
      <c r="CB12" s="26" t="str">
        <f>IFERROR($AC12*HDF_Limited_Col!CB12/HDF_Limited_Col!$AH12," ")</f>
        <v xml:space="preserve"> </v>
      </c>
      <c r="CC12" s="26" t="str">
        <f>IFERROR($AC12*HDF_Limited_Col!CC12/HDF_Limited_Col!$AH12," ")</f>
        <v xml:space="preserve"> </v>
      </c>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row>
    <row r="13" spans="1:109">
      <c r="A13" s="26" t="s">
        <v>842</v>
      </c>
      <c r="B13" s="26" t="s">
        <v>24</v>
      </c>
      <c r="C13" s="152" t="s">
        <v>1800</v>
      </c>
      <c r="D13" s="26" t="s">
        <v>1709</v>
      </c>
      <c r="E13" s="26" t="s">
        <v>237</v>
      </c>
      <c r="F13" s="26" t="s">
        <v>29</v>
      </c>
      <c r="G13" s="26" t="s">
        <v>595</v>
      </c>
      <c r="H13" s="30">
        <v>360</v>
      </c>
      <c r="I13" s="26" t="s">
        <v>712</v>
      </c>
      <c r="J13" s="26"/>
      <c r="K13" s="26" t="s">
        <v>913</v>
      </c>
      <c r="L13" s="26"/>
      <c r="M13" s="26" t="s">
        <v>61</v>
      </c>
      <c r="N13" s="26" t="s">
        <v>1084</v>
      </c>
      <c r="O13" s="95">
        <v>10.048767849795022</v>
      </c>
      <c r="P13" s="95">
        <v>0.43220506880838799</v>
      </c>
      <c r="Q13" s="95">
        <v>4.6462044896901711</v>
      </c>
      <c r="R13" s="95">
        <v>6.0508709633174318</v>
      </c>
      <c r="S13" s="95">
        <v>43.436609415242998</v>
      </c>
      <c r="T13" s="95">
        <v>19.773381897983754</v>
      </c>
      <c r="U13" s="95">
        <v>0</v>
      </c>
      <c r="V13" s="95">
        <v>6.6991785665300148</v>
      </c>
      <c r="W13" s="95">
        <v>5.4025633601048497</v>
      </c>
      <c r="X13" s="95">
        <v>1.8368715424356488</v>
      </c>
      <c r="Y13" s="95">
        <v>2.1610253440419402</v>
      </c>
      <c r="Z13" s="95">
        <v>100.48767849795021</v>
      </c>
      <c r="AA13" s="26"/>
      <c r="AB13" s="26"/>
      <c r="AC13" s="26">
        <f t="shared" si="0"/>
        <v>44848.693862835164</v>
      </c>
      <c r="AD13" s="26" t="str">
        <f>IFERROR($AC13*HDF_Limited_Col!AD13/HDF_Limited_Col!$AH13," ")</f>
        <v xml:space="preserve"> </v>
      </c>
      <c r="AE13" s="26" t="str">
        <f>IFERROR($AC13*HDF_Limited_Col!AE13/HDF_Limited_Col!$AH13," ")</f>
        <v xml:space="preserve"> </v>
      </c>
      <c r="AF13" s="26" t="str">
        <f>IFERROR($AC13*HDF_Limited_Col!AF13/HDF_Limited_Col!$AH13," ")</f>
        <v xml:space="preserve"> </v>
      </c>
      <c r="AG13" s="26" t="str">
        <f>IFERROR($AC13*HDF_Limited_Col!AG13/HDF_Limited_Col!$AH13," ")</f>
        <v xml:space="preserve"> </v>
      </c>
      <c r="AH13" s="26" t="str">
        <f>IFERROR($AC13*HDF_Limited_Col!AH13/HDF_Limited_Col!$AH13," ")</f>
        <v xml:space="preserve"> </v>
      </c>
      <c r="AI13" s="26" t="str">
        <f>IFERROR($AC13*HDF_Limited_Col!AI13/HDF_Limited_Col!$AH13," ")</f>
        <v xml:space="preserve"> </v>
      </c>
      <c r="AJ13" s="26" t="str">
        <f>IFERROR($AC13*HDF_Limited_Col!AJ13/HDF_Limited_Col!$AH13," ")</f>
        <v xml:space="preserve"> </v>
      </c>
      <c r="AK13" s="26" t="str">
        <f>IFERROR($AC13*HDF_Limited_Col!AK13/HDF_Limited_Col!$AH13," ")</f>
        <v xml:space="preserve"> </v>
      </c>
      <c r="AL13" s="26" t="str">
        <f>IFERROR($AC13*HDF_Limited_Col!AL13/HDF_Limited_Col!$AH13," ")</f>
        <v xml:space="preserve"> </v>
      </c>
      <c r="AM13" s="26" t="str">
        <f>IFERROR($AC13*HDF_Limited_Col!AM13/HDF_Limited_Col!$AH13," ")</f>
        <v xml:space="preserve"> </v>
      </c>
      <c r="AN13" s="26" t="str">
        <f>IFERROR($AC13*HDF_Limited_Col!AN13/HDF_Limited_Col!$AH13," ")</f>
        <v xml:space="preserve"> </v>
      </c>
      <c r="AO13" s="26" t="str">
        <f>IFERROR($AC13*HDF_Limited_Col!AO13/HDF_Limited_Col!$AH13," ")</f>
        <v xml:space="preserve"> </v>
      </c>
      <c r="AP13" s="26" t="str">
        <f>IFERROR($AC13*HDF_Limited_Col!AP13/HDF_Limited_Col!$AH13," ")</f>
        <v xml:space="preserve"> </v>
      </c>
      <c r="AQ13" s="26" t="str">
        <f>IFERROR($AC13*HDF_Limited_Col!AQ13/HDF_Limited_Col!$AH13," ")</f>
        <v xml:space="preserve"> </v>
      </c>
      <c r="AR13" s="26" t="str">
        <f>IFERROR($AC13*HDF_Limited_Col!AR13/HDF_Limited_Col!$AH13," ")</f>
        <v xml:space="preserve"> </v>
      </c>
      <c r="AS13" s="26" t="str">
        <f>IFERROR($AC13*HDF_Limited_Col!AS13/HDF_Limited_Col!$AH13," ")</f>
        <v xml:space="preserve"> </v>
      </c>
      <c r="AT13" s="26" t="str">
        <f>IFERROR($AC13*HDF_Limited_Col!AT13/HDF_Limited_Col!$AH13," ")</f>
        <v xml:space="preserve"> </v>
      </c>
      <c r="AU13" s="26" t="str">
        <f>IFERROR($AC13*HDF_Limited_Col!AU13/HDF_Limited_Col!$AH13," ")</f>
        <v xml:space="preserve"> </v>
      </c>
      <c r="AV13" s="26" t="str">
        <f>IFERROR($AC13*HDF_Limited_Col!AV13/HDF_Limited_Col!$AH13," ")</f>
        <v xml:space="preserve"> </v>
      </c>
      <c r="AW13" s="26" t="str">
        <f>IFERROR($AC13*HDF_Limited_Col!AW13/HDF_Limited_Col!$AH13," ")</f>
        <v xml:space="preserve"> </v>
      </c>
      <c r="AX13" s="26" t="str">
        <f>IFERROR($AC13*HDF_Limited_Col!AX13/HDF_Limited_Col!$AH13," ")</f>
        <v xml:space="preserve"> </v>
      </c>
      <c r="AY13" s="26" t="str">
        <f>IFERROR($AC13*HDF_Limited_Col!AY13/HDF_Limited_Col!$AH13," ")</f>
        <v xml:space="preserve"> </v>
      </c>
      <c r="AZ13" s="26" t="str">
        <f>IFERROR($AC13*HDF_Limited_Col!AZ13/HDF_Limited_Col!$AH13," ")</f>
        <v xml:space="preserve"> </v>
      </c>
      <c r="BA13" s="26" t="str">
        <f>IFERROR($AC13*HDF_Limited_Col!BA13/HDF_Limited_Col!$AH13," ")</f>
        <v xml:space="preserve"> </v>
      </c>
      <c r="BB13" s="26" t="str">
        <f>IFERROR($AC13*HDF_Limited_Col!BB13/HDF_Limited_Col!$AH13," ")</f>
        <v xml:space="preserve"> </v>
      </c>
      <c r="BC13" s="26" t="str">
        <f>IFERROR($AC13*HDF_Limited_Col!BC13/HDF_Limited_Col!$AH13," ")</f>
        <v xml:space="preserve"> </v>
      </c>
      <c r="BD13" s="26" t="str">
        <f>IFERROR($AC13*HDF_Limited_Col!BD13/HDF_Limited_Col!$AH13," ")</f>
        <v xml:space="preserve"> </v>
      </c>
      <c r="BE13" s="26" t="str">
        <f>IFERROR($AC13*HDF_Limited_Col!BE13/HDF_Limited_Col!$AH13," ")</f>
        <v xml:space="preserve"> </v>
      </c>
      <c r="BF13" s="26" t="str">
        <f>IFERROR($AC13*HDF_Limited_Col!BF13/HDF_Limited_Col!$AH13," ")</f>
        <v xml:space="preserve"> </v>
      </c>
      <c r="BG13" s="26" t="str">
        <f>IFERROR($AC13*HDF_Limited_Col!BG13/HDF_Limited_Col!$AH13," ")</f>
        <v xml:space="preserve"> </v>
      </c>
      <c r="BH13" s="26" t="str">
        <f>IFERROR($AC13*HDF_Limited_Col!BH13/HDF_Limited_Col!$AH13," ")</f>
        <v xml:space="preserve"> </v>
      </c>
      <c r="BI13" s="26" t="str">
        <f>IFERROR($AC13*HDF_Limited_Col!BI13/HDF_Limited_Col!$AH13," ")</f>
        <v xml:space="preserve"> </v>
      </c>
      <c r="BJ13" s="26" t="str">
        <f>IFERROR($AC13*HDF_Limited_Col!BJ13/HDF_Limited_Col!$AH13," ")</f>
        <v xml:space="preserve"> </v>
      </c>
      <c r="BK13" s="26" t="str">
        <f>IFERROR($AC13*HDF_Limited_Col!BK13/HDF_Limited_Col!$AH13," ")</f>
        <v xml:space="preserve"> </v>
      </c>
      <c r="BL13" s="26" t="str">
        <f>IFERROR($AC13*HDF_Limited_Col!BL13/HDF_Limited_Col!$AH13," ")</f>
        <v xml:space="preserve"> </v>
      </c>
      <c r="BM13" s="26" t="str">
        <f>IFERROR($AC13*HDF_Limited_Col!BM13/HDF_Limited_Col!$AH13," ")</f>
        <v xml:space="preserve"> </v>
      </c>
      <c r="BN13" s="26" t="str">
        <f>IFERROR($AC13*HDF_Limited_Col!BN13/HDF_Limited_Col!$AH13," ")</f>
        <v xml:space="preserve"> </v>
      </c>
      <c r="BO13" s="26" t="str">
        <f>IFERROR($AC13*HDF_Limited_Col!BO13/HDF_Limited_Col!$AH13," ")</f>
        <v xml:space="preserve"> </v>
      </c>
      <c r="BP13" s="26" t="str">
        <f>IFERROR($AC13*HDF_Limited_Col!BP13/HDF_Limited_Col!$AH13," ")</f>
        <v xml:space="preserve"> </v>
      </c>
      <c r="BQ13" s="26" t="str">
        <f>IFERROR($AC13*HDF_Limited_Col!BQ13/HDF_Limited_Col!$AH13," ")</f>
        <v xml:space="preserve"> </v>
      </c>
      <c r="BR13" s="26" t="str">
        <f>IFERROR($AC13*HDF_Limited_Col!BR13/HDF_Limited_Col!$AH13," ")</f>
        <v xml:space="preserve"> </v>
      </c>
      <c r="BS13" s="26" t="str">
        <f>IFERROR($AC13*HDF_Limited_Col!BS13/HDF_Limited_Col!$AH13," ")</f>
        <v xml:space="preserve"> </v>
      </c>
      <c r="BT13" s="26" t="str">
        <f>IFERROR($AC13*HDF_Limited_Col!BT13/HDF_Limited_Col!$AH13," ")</f>
        <v xml:space="preserve"> </v>
      </c>
      <c r="BU13" s="26" t="str">
        <f>IFERROR($AC13*HDF_Limited_Col!BU13/HDF_Limited_Col!$AH13," ")</f>
        <v xml:space="preserve"> </v>
      </c>
      <c r="BV13" s="26" t="str">
        <f>IFERROR($AC13*HDF_Limited_Col!BV13/HDF_Limited_Col!$AH13," ")</f>
        <v xml:space="preserve"> </v>
      </c>
      <c r="BW13" s="26" t="str">
        <f>IFERROR($AC13*HDF_Limited_Col!BW13/HDF_Limited_Col!$AH13," ")</f>
        <v xml:space="preserve"> </v>
      </c>
      <c r="BX13" s="26" t="str">
        <f>IFERROR($AC13*HDF_Limited_Col!BX13/HDF_Limited_Col!$AH13," ")</f>
        <v xml:space="preserve"> </v>
      </c>
      <c r="BY13" s="26" t="str">
        <f>IFERROR($AC13*HDF_Limited_Col!BY13/HDF_Limited_Col!$AH13," ")</f>
        <v xml:space="preserve"> </v>
      </c>
      <c r="BZ13" s="26" t="str">
        <f>IFERROR($AC13*HDF_Limited_Col!BZ13/HDF_Limited_Col!$AH13," ")</f>
        <v xml:space="preserve"> </v>
      </c>
      <c r="CA13" s="26" t="str">
        <f>IFERROR($AC13*HDF_Limited_Col!CA13/HDF_Limited_Col!$AH13," ")</f>
        <v xml:space="preserve"> </v>
      </c>
      <c r="CB13" s="26" t="str">
        <f>IFERROR($AC13*HDF_Limited_Col!CB13/HDF_Limited_Col!$AH13," ")</f>
        <v xml:space="preserve"> </v>
      </c>
      <c r="CC13" s="26" t="str">
        <f>IFERROR($AC13*HDF_Limited_Col!CC13/HDF_Limited_Col!$AH13," ")</f>
        <v xml:space="preserve"> </v>
      </c>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row>
    <row r="14" spans="1:109">
      <c r="A14" s="26" t="s">
        <v>842</v>
      </c>
      <c r="B14" s="26" t="s">
        <v>24</v>
      </c>
      <c r="C14" s="152" t="s">
        <v>1800</v>
      </c>
      <c r="D14" s="26" t="s">
        <v>1709</v>
      </c>
      <c r="E14" s="26" t="s">
        <v>237</v>
      </c>
      <c r="F14" s="26" t="s">
        <v>29</v>
      </c>
      <c r="G14" s="26" t="s">
        <v>595</v>
      </c>
      <c r="H14" s="30">
        <v>360</v>
      </c>
      <c r="I14" s="26" t="s">
        <v>712</v>
      </c>
      <c r="J14" s="26"/>
      <c r="K14" s="26" t="s">
        <v>913</v>
      </c>
      <c r="L14" s="26"/>
      <c r="M14" s="26" t="s">
        <v>59</v>
      </c>
      <c r="N14" s="26" t="s">
        <v>1084</v>
      </c>
      <c r="O14" s="95">
        <v>14.784660713857084</v>
      </c>
      <c r="P14" s="95">
        <v>0.85091572453853714</v>
      </c>
      <c r="Q14" s="95">
        <v>2.3400182424809772</v>
      </c>
      <c r="R14" s="95">
        <v>6.0627745373370772</v>
      </c>
      <c r="S14" s="95">
        <v>43.396701951465396</v>
      </c>
      <c r="T14" s="95">
        <v>16.699221094068793</v>
      </c>
      <c r="U14" s="95">
        <v>0</v>
      </c>
      <c r="V14" s="95">
        <v>8.8282506420873244</v>
      </c>
      <c r="W14" s="95">
        <v>4.1482141571253681</v>
      </c>
      <c r="X14" s="95">
        <v>1.48910251794244</v>
      </c>
      <c r="Y14" s="95">
        <v>1.8081959146443913</v>
      </c>
      <c r="Z14" s="95">
        <v>100.40805549554739</v>
      </c>
      <c r="AA14" s="26"/>
      <c r="AB14" s="26"/>
      <c r="AC14" s="26">
        <f t="shared" si="0"/>
        <v>34435.873197567431</v>
      </c>
      <c r="AD14" s="26" t="str">
        <f>IFERROR($AC14*HDF_Limited_Col!AD14/HDF_Limited_Col!$AH14," ")</f>
        <v xml:space="preserve"> </v>
      </c>
      <c r="AE14" s="26" t="str">
        <f>IFERROR($AC14*HDF_Limited_Col!AE14/HDF_Limited_Col!$AH14," ")</f>
        <v xml:space="preserve"> </v>
      </c>
      <c r="AF14" s="26" t="str">
        <f>IFERROR($AC14*HDF_Limited_Col!AF14/HDF_Limited_Col!$AH14," ")</f>
        <v xml:space="preserve"> </v>
      </c>
      <c r="AG14" s="26" t="str">
        <f>IFERROR($AC14*HDF_Limited_Col!AG14/HDF_Limited_Col!$AH14," ")</f>
        <v xml:space="preserve"> </v>
      </c>
      <c r="AH14" s="26" t="str">
        <f>IFERROR($AC14*HDF_Limited_Col!AH14/HDF_Limited_Col!$AH14," ")</f>
        <v xml:space="preserve"> </v>
      </c>
      <c r="AI14" s="26" t="str">
        <f>IFERROR($AC14*HDF_Limited_Col!AI14/HDF_Limited_Col!$AH14," ")</f>
        <v xml:space="preserve"> </v>
      </c>
      <c r="AJ14" s="26" t="str">
        <f>IFERROR($AC14*HDF_Limited_Col!AJ14/HDF_Limited_Col!$AH14," ")</f>
        <v xml:space="preserve"> </v>
      </c>
      <c r="AK14" s="26" t="str">
        <f>IFERROR($AC14*HDF_Limited_Col!AK14/HDF_Limited_Col!$AH14," ")</f>
        <v xml:space="preserve"> </v>
      </c>
      <c r="AL14" s="26" t="str">
        <f>IFERROR($AC14*HDF_Limited_Col!AL14/HDF_Limited_Col!$AH14," ")</f>
        <v xml:space="preserve"> </v>
      </c>
      <c r="AM14" s="26" t="str">
        <f>IFERROR($AC14*HDF_Limited_Col!AM14/HDF_Limited_Col!$AH14," ")</f>
        <v xml:space="preserve"> </v>
      </c>
      <c r="AN14" s="26" t="str">
        <f>IFERROR($AC14*HDF_Limited_Col!AN14/HDF_Limited_Col!$AH14," ")</f>
        <v xml:space="preserve"> </v>
      </c>
      <c r="AO14" s="26" t="str">
        <f>IFERROR($AC14*HDF_Limited_Col!AO14/HDF_Limited_Col!$AH14," ")</f>
        <v xml:space="preserve"> </v>
      </c>
      <c r="AP14" s="26" t="str">
        <f>IFERROR($AC14*HDF_Limited_Col!AP14/HDF_Limited_Col!$AH14," ")</f>
        <v xml:space="preserve"> </v>
      </c>
      <c r="AQ14" s="26" t="str">
        <f>IFERROR($AC14*HDF_Limited_Col!AQ14/HDF_Limited_Col!$AH14," ")</f>
        <v xml:space="preserve"> </v>
      </c>
      <c r="AR14" s="26" t="str">
        <f>IFERROR($AC14*HDF_Limited_Col!AR14/HDF_Limited_Col!$AH14," ")</f>
        <v xml:space="preserve"> </v>
      </c>
      <c r="AS14" s="26" t="str">
        <f>IFERROR($AC14*HDF_Limited_Col!AS14/HDF_Limited_Col!$AH14," ")</f>
        <v xml:space="preserve"> </v>
      </c>
      <c r="AT14" s="26" t="str">
        <f>IFERROR($AC14*HDF_Limited_Col!AT14/HDF_Limited_Col!$AH14," ")</f>
        <v xml:space="preserve"> </v>
      </c>
      <c r="AU14" s="26" t="str">
        <f>IFERROR($AC14*HDF_Limited_Col!AU14/HDF_Limited_Col!$AH14," ")</f>
        <v xml:space="preserve"> </v>
      </c>
      <c r="AV14" s="26" t="str">
        <f>IFERROR($AC14*HDF_Limited_Col!AV14/HDF_Limited_Col!$AH14," ")</f>
        <v xml:space="preserve"> </v>
      </c>
      <c r="AW14" s="26" t="str">
        <f>IFERROR($AC14*HDF_Limited_Col!AW14/HDF_Limited_Col!$AH14," ")</f>
        <v xml:space="preserve"> </v>
      </c>
      <c r="AX14" s="26" t="str">
        <f>IFERROR($AC14*HDF_Limited_Col!AX14/HDF_Limited_Col!$AH14," ")</f>
        <v xml:space="preserve"> </v>
      </c>
      <c r="AY14" s="26" t="str">
        <f>IFERROR($AC14*HDF_Limited_Col!AY14/HDF_Limited_Col!$AH14," ")</f>
        <v xml:space="preserve"> </v>
      </c>
      <c r="AZ14" s="26" t="str">
        <f>IFERROR($AC14*HDF_Limited_Col!AZ14/HDF_Limited_Col!$AH14," ")</f>
        <v xml:space="preserve"> </v>
      </c>
      <c r="BA14" s="26" t="str">
        <f>IFERROR($AC14*HDF_Limited_Col!BA14/HDF_Limited_Col!$AH14," ")</f>
        <v xml:space="preserve"> </v>
      </c>
      <c r="BB14" s="26" t="str">
        <f>IFERROR($AC14*HDF_Limited_Col!BB14/HDF_Limited_Col!$AH14," ")</f>
        <v xml:space="preserve"> </v>
      </c>
      <c r="BC14" s="26" t="str">
        <f>IFERROR($AC14*HDF_Limited_Col!BC14/HDF_Limited_Col!$AH14," ")</f>
        <v xml:space="preserve"> </v>
      </c>
      <c r="BD14" s="26" t="str">
        <f>IFERROR($AC14*HDF_Limited_Col!BD14/HDF_Limited_Col!$AH14," ")</f>
        <v xml:space="preserve"> </v>
      </c>
      <c r="BE14" s="26" t="str">
        <f>IFERROR($AC14*HDF_Limited_Col!BE14/HDF_Limited_Col!$AH14," ")</f>
        <v xml:space="preserve"> </v>
      </c>
      <c r="BF14" s="26" t="str">
        <f>IFERROR($AC14*HDF_Limited_Col!BF14/HDF_Limited_Col!$AH14," ")</f>
        <v xml:space="preserve"> </v>
      </c>
      <c r="BG14" s="26" t="str">
        <f>IFERROR($AC14*HDF_Limited_Col!BG14/HDF_Limited_Col!$AH14," ")</f>
        <v xml:space="preserve"> </v>
      </c>
      <c r="BH14" s="26" t="str">
        <f>IFERROR($AC14*HDF_Limited_Col!BH14/HDF_Limited_Col!$AH14," ")</f>
        <v xml:space="preserve"> </v>
      </c>
      <c r="BI14" s="26" t="str">
        <f>IFERROR($AC14*HDF_Limited_Col!BI14/HDF_Limited_Col!$AH14," ")</f>
        <v xml:space="preserve"> </v>
      </c>
      <c r="BJ14" s="26" t="str">
        <f>IFERROR($AC14*HDF_Limited_Col!BJ14/HDF_Limited_Col!$AH14," ")</f>
        <v xml:space="preserve"> </v>
      </c>
      <c r="BK14" s="26" t="str">
        <f>IFERROR($AC14*HDF_Limited_Col!BK14/HDF_Limited_Col!$AH14," ")</f>
        <v xml:space="preserve"> </v>
      </c>
      <c r="BL14" s="26" t="str">
        <f>IFERROR($AC14*HDF_Limited_Col!BL14/HDF_Limited_Col!$AH14," ")</f>
        <v xml:space="preserve"> </v>
      </c>
      <c r="BM14" s="26" t="str">
        <f>IFERROR($AC14*HDF_Limited_Col!BM14/HDF_Limited_Col!$AH14," ")</f>
        <v xml:space="preserve"> </v>
      </c>
      <c r="BN14" s="26" t="str">
        <f>IFERROR($AC14*HDF_Limited_Col!BN14/HDF_Limited_Col!$AH14," ")</f>
        <v xml:space="preserve"> </v>
      </c>
      <c r="BO14" s="26" t="str">
        <f>IFERROR($AC14*HDF_Limited_Col!BO14/HDF_Limited_Col!$AH14," ")</f>
        <v xml:space="preserve"> </v>
      </c>
      <c r="BP14" s="26" t="str">
        <f>IFERROR($AC14*HDF_Limited_Col!BP14/HDF_Limited_Col!$AH14," ")</f>
        <v xml:space="preserve"> </v>
      </c>
      <c r="BQ14" s="26" t="str">
        <f>IFERROR($AC14*HDF_Limited_Col!BQ14/HDF_Limited_Col!$AH14," ")</f>
        <v xml:space="preserve"> </v>
      </c>
      <c r="BR14" s="26" t="str">
        <f>IFERROR($AC14*HDF_Limited_Col!BR14/HDF_Limited_Col!$AH14," ")</f>
        <v xml:space="preserve"> </v>
      </c>
      <c r="BS14" s="26" t="str">
        <f>IFERROR($AC14*HDF_Limited_Col!BS14/HDF_Limited_Col!$AH14," ")</f>
        <v xml:space="preserve"> </v>
      </c>
      <c r="BT14" s="26" t="str">
        <f>IFERROR($AC14*HDF_Limited_Col!BT14/HDF_Limited_Col!$AH14," ")</f>
        <v xml:space="preserve"> </v>
      </c>
      <c r="BU14" s="26" t="str">
        <f>IFERROR($AC14*HDF_Limited_Col!BU14/HDF_Limited_Col!$AH14," ")</f>
        <v xml:space="preserve"> </v>
      </c>
      <c r="BV14" s="26" t="str">
        <f>IFERROR($AC14*HDF_Limited_Col!BV14/HDF_Limited_Col!$AH14," ")</f>
        <v xml:space="preserve"> </v>
      </c>
      <c r="BW14" s="26" t="str">
        <f>IFERROR($AC14*HDF_Limited_Col!BW14/HDF_Limited_Col!$AH14," ")</f>
        <v xml:space="preserve"> </v>
      </c>
      <c r="BX14" s="26" t="str">
        <f>IFERROR($AC14*HDF_Limited_Col!BX14/HDF_Limited_Col!$AH14," ")</f>
        <v xml:space="preserve"> </v>
      </c>
      <c r="BY14" s="26" t="str">
        <f>IFERROR($AC14*HDF_Limited_Col!BY14/HDF_Limited_Col!$AH14," ")</f>
        <v xml:space="preserve"> </v>
      </c>
      <c r="BZ14" s="26" t="str">
        <f>IFERROR($AC14*HDF_Limited_Col!BZ14/HDF_Limited_Col!$AH14," ")</f>
        <v xml:space="preserve"> </v>
      </c>
      <c r="CA14" s="26" t="str">
        <f>IFERROR($AC14*HDF_Limited_Col!CA14/HDF_Limited_Col!$AH14," ")</f>
        <v xml:space="preserve"> </v>
      </c>
      <c r="CB14" s="26" t="str">
        <f>IFERROR($AC14*HDF_Limited_Col!CB14/HDF_Limited_Col!$AH14," ")</f>
        <v xml:space="preserve"> </v>
      </c>
      <c r="CC14" s="26" t="str">
        <f>IFERROR($AC14*HDF_Limited_Col!CC14/HDF_Limited_Col!$AH14," ")</f>
        <v xml:space="preserve"> </v>
      </c>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row>
    <row r="15" spans="1:109">
      <c r="A15" s="26" t="s">
        <v>842</v>
      </c>
      <c r="B15" s="26" t="s">
        <v>24</v>
      </c>
      <c r="C15" s="152" t="s">
        <v>1800</v>
      </c>
      <c r="D15" s="26" t="s">
        <v>1709</v>
      </c>
      <c r="E15" s="26" t="s">
        <v>237</v>
      </c>
      <c r="F15" s="26" t="s">
        <v>29</v>
      </c>
      <c r="G15" s="26" t="s">
        <v>595</v>
      </c>
      <c r="H15" s="30">
        <v>360</v>
      </c>
      <c r="I15" s="26" t="s">
        <v>712</v>
      </c>
      <c r="J15" s="26"/>
      <c r="K15" s="26" t="s">
        <v>913</v>
      </c>
      <c r="L15" s="26"/>
      <c r="M15" s="26" t="s">
        <v>66</v>
      </c>
      <c r="N15" s="26" t="s">
        <v>1084</v>
      </c>
      <c r="O15" s="95">
        <v>17.720279865928571</v>
      </c>
      <c r="P15" s="95">
        <v>2.7424242649651358</v>
      </c>
      <c r="Q15" s="95">
        <v>1.8986014142066328</v>
      </c>
      <c r="R15" s="95">
        <v>11.91899776696386</v>
      </c>
      <c r="S15" s="95">
        <v>38.60489542220153</v>
      </c>
      <c r="T15" s="95">
        <v>16.24358987710119</v>
      </c>
      <c r="U15" s="95">
        <v>0</v>
      </c>
      <c r="V15" s="95">
        <v>4.9574592482062068</v>
      </c>
      <c r="W15" s="95">
        <v>3.7972028284132655</v>
      </c>
      <c r="X15" s="95">
        <v>1.054778563448129</v>
      </c>
      <c r="Y15" s="95">
        <v>1.3712121324825679</v>
      </c>
      <c r="Z15" s="95">
        <v>100.30944138391708</v>
      </c>
      <c r="AA15" s="26"/>
      <c r="AB15" s="26"/>
      <c r="AC15" s="26">
        <f t="shared" si="0"/>
        <v>31521.997214169325</v>
      </c>
      <c r="AD15" s="26" t="str">
        <f>IFERROR($AC15*HDF_Limited_Col!AD15/HDF_Limited_Col!$AH15," ")</f>
        <v xml:space="preserve"> </v>
      </c>
      <c r="AE15" s="26" t="str">
        <f>IFERROR($AC15*HDF_Limited_Col!AE15/HDF_Limited_Col!$AH15," ")</f>
        <v xml:space="preserve"> </v>
      </c>
      <c r="AF15" s="26" t="str">
        <f>IFERROR($AC15*HDF_Limited_Col!AF15/HDF_Limited_Col!$AH15," ")</f>
        <v xml:space="preserve"> </v>
      </c>
      <c r="AG15" s="26" t="str">
        <f>IFERROR($AC15*HDF_Limited_Col!AG15/HDF_Limited_Col!$AH15," ")</f>
        <v xml:space="preserve"> </v>
      </c>
      <c r="AH15" s="26" t="str">
        <f>IFERROR($AC15*HDF_Limited_Col!AH15/HDF_Limited_Col!$AH15," ")</f>
        <v xml:space="preserve"> </v>
      </c>
      <c r="AI15" s="26" t="str">
        <f>IFERROR($AC15*HDF_Limited_Col!AI15/HDF_Limited_Col!$AH15," ")</f>
        <v xml:space="preserve"> </v>
      </c>
      <c r="AJ15" s="26" t="str">
        <f>IFERROR($AC15*HDF_Limited_Col!AJ15/HDF_Limited_Col!$AH15," ")</f>
        <v xml:space="preserve"> </v>
      </c>
      <c r="AK15" s="26" t="str">
        <f>IFERROR($AC15*HDF_Limited_Col!AK15/HDF_Limited_Col!$AH15," ")</f>
        <v xml:space="preserve"> </v>
      </c>
      <c r="AL15" s="26" t="str">
        <f>IFERROR($AC15*HDF_Limited_Col!AL15/HDF_Limited_Col!$AH15," ")</f>
        <v xml:space="preserve"> </v>
      </c>
      <c r="AM15" s="26" t="str">
        <f>IFERROR($AC15*HDF_Limited_Col!AM15/HDF_Limited_Col!$AH15," ")</f>
        <v xml:space="preserve"> </v>
      </c>
      <c r="AN15" s="26" t="str">
        <f>IFERROR($AC15*HDF_Limited_Col!AN15/HDF_Limited_Col!$AH15," ")</f>
        <v xml:space="preserve"> </v>
      </c>
      <c r="AO15" s="26" t="str">
        <f>IFERROR($AC15*HDF_Limited_Col!AO15/HDF_Limited_Col!$AH15," ")</f>
        <v xml:space="preserve"> </v>
      </c>
      <c r="AP15" s="26" t="str">
        <f>IFERROR($AC15*HDF_Limited_Col!AP15/HDF_Limited_Col!$AH15," ")</f>
        <v xml:space="preserve"> </v>
      </c>
      <c r="AQ15" s="26" t="str">
        <f>IFERROR($AC15*HDF_Limited_Col!AQ15/HDF_Limited_Col!$AH15," ")</f>
        <v xml:space="preserve"> </v>
      </c>
      <c r="AR15" s="26" t="str">
        <f>IFERROR($AC15*HDF_Limited_Col!AR15/HDF_Limited_Col!$AH15," ")</f>
        <v xml:space="preserve"> </v>
      </c>
      <c r="AS15" s="26" t="str">
        <f>IFERROR($AC15*HDF_Limited_Col!AS15/HDF_Limited_Col!$AH15," ")</f>
        <v xml:space="preserve"> </v>
      </c>
      <c r="AT15" s="26" t="str">
        <f>IFERROR($AC15*HDF_Limited_Col!AT15/HDF_Limited_Col!$AH15," ")</f>
        <v xml:space="preserve"> </v>
      </c>
      <c r="AU15" s="26" t="str">
        <f>IFERROR($AC15*HDF_Limited_Col!AU15/HDF_Limited_Col!$AH15," ")</f>
        <v xml:space="preserve"> </v>
      </c>
      <c r="AV15" s="26" t="str">
        <f>IFERROR($AC15*HDF_Limited_Col!AV15/HDF_Limited_Col!$AH15," ")</f>
        <v xml:space="preserve"> </v>
      </c>
      <c r="AW15" s="26" t="str">
        <f>IFERROR($AC15*HDF_Limited_Col!AW15/HDF_Limited_Col!$AH15," ")</f>
        <v xml:space="preserve"> </v>
      </c>
      <c r="AX15" s="26" t="str">
        <f>IFERROR($AC15*HDF_Limited_Col!AX15/HDF_Limited_Col!$AH15," ")</f>
        <v xml:space="preserve"> </v>
      </c>
      <c r="AY15" s="26" t="str">
        <f>IFERROR($AC15*HDF_Limited_Col!AY15/HDF_Limited_Col!$AH15," ")</f>
        <v xml:space="preserve"> </v>
      </c>
      <c r="AZ15" s="26" t="str">
        <f>IFERROR($AC15*HDF_Limited_Col!AZ15/HDF_Limited_Col!$AH15," ")</f>
        <v xml:space="preserve"> </v>
      </c>
      <c r="BA15" s="26" t="str">
        <f>IFERROR($AC15*HDF_Limited_Col!BA15/HDF_Limited_Col!$AH15," ")</f>
        <v xml:space="preserve"> </v>
      </c>
      <c r="BB15" s="26" t="str">
        <f>IFERROR($AC15*HDF_Limited_Col!BB15/HDF_Limited_Col!$AH15," ")</f>
        <v xml:space="preserve"> </v>
      </c>
      <c r="BC15" s="26" t="str">
        <f>IFERROR($AC15*HDF_Limited_Col!BC15/HDF_Limited_Col!$AH15," ")</f>
        <v xml:space="preserve"> </v>
      </c>
      <c r="BD15" s="26" t="str">
        <f>IFERROR($AC15*HDF_Limited_Col!BD15/HDF_Limited_Col!$AH15," ")</f>
        <v xml:space="preserve"> </v>
      </c>
      <c r="BE15" s="26" t="str">
        <f>IFERROR($AC15*HDF_Limited_Col!BE15/HDF_Limited_Col!$AH15," ")</f>
        <v xml:space="preserve"> </v>
      </c>
      <c r="BF15" s="26" t="str">
        <f>IFERROR($AC15*HDF_Limited_Col!BF15/HDF_Limited_Col!$AH15," ")</f>
        <v xml:space="preserve"> </v>
      </c>
      <c r="BG15" s="26" t="str">
        <f>IFERROR($AC15*HDF_Limited_Col!BG15/HDF_Limited_Col!$AH15," ")</f>
        <v xml:space="preserve"> </v>
      </c>
      <c r="BH15" s="26" t="str">
        <f>IFERROR($AC15*HDF_Limited_Col!BH15/HDF_Limited_Col!$AH15," ")</f>
        <v xml:space="preserve"> </v>
      </c>
      <c r="BI15" s="26" t="str">
        <f>IFERROR($AC15*HDF_Limited_Col!BI15/HDF_Limited_Col!$AH15," ")</f>
        <v xml:space="preserve"> </v>
      </c>
      <c r="BJ15" s="26" t="str">
        <f>IFERROR($AC15*HDF_Limited_Col!BJ15/HDF_Limited_Col!$AH15," ")</f>
        <v xml:space="preserve"> </v>
      </c>
      <c r="BK15" s="26" t="str">
        <f>IFERROR($AC15*HDF_Limited_Col!BK15/HDF_Limited_Col!$AH15," ")</f>
        <v xml:space="preserve"> </v>
      </c>
      <c r="BL15" s="26" t="str">
        <f>IFERROR($AC15*HDF_Limited_Col!BL15/HDF_Limited_Col!$AH15," ")</f>
        <v xml:space="preserve"> </v>
      </c>
      <c r="BM15" s="26" t="str">
        <f>IFERROR($AC15*HDF_Limited_Col!BM15/HDF_Limited_Col!$AH15," ")</f>
        <v xml:space="preserve"> </v>
      </c>
      <c r="BN15" s="26" t="str">
        <f>IFERROR($AC15*HDF_Limited_Col!BN15/HDF_Limited_Col!$AH15," ")</f>
        <v xml:space="preserve"> </v>
      </c>
      <c r="BO15" s="26" t="str">
        <f>IFERROR($AC15*HDF_Limited_Col!BO15/HDF_Limited_Col!$AH15," ")</f>
        <v xml:space="preserve"> </v>
      </c>
      <c r="BP15" s="26" t="str">
        <f>IFERROR($AC15*HDF_Limited_Col!BP15/HDF_Limited_Col!$AH15," ")</f>
        <v xml:space="preserve"> </v>
      </c>
      <c r="BQ15" s="26" t="str">
        <f>IFERROR($AC15*HDF_Limited_Col!BQ15/HDF_Limited_Col!$AH15," ")</f>
        <v xml:space="preserve"> </v>
      </c>
      <c r="BR15" s="26" t="str">
        <f>IFERROR($AC15*HDF_Limited_Col!BR15/HDF_Limited_Col!$AH15," ")</f>
        <v xml:space="preserve"> </v>
      </c>
      <c r="BS15" s="26" t="str">
        <f>IFERROR($AC15*HDF_Limited_Col!BS15/HDF_Limited_Col!$AH15," ")</f>
        <v xml:space="preserve"> </v>
      </c>
      <c r="BT15" s="26" t="str">
        <f>IFERROR($AC15*HDF_Limited_Col!BT15/HDF_Limited_Col!$AH15," ")</f>
        <v xml:space="preserve"> </v>
      </c>
      <c r="BU15" s="26" t="str">
        <f>IFERROR($AC15*HDF_Limited_Col!BU15/HDF_Limited_Col!$AH15," ")</f>
        <v xml:space="preserve"> </v>
      </c>
      <c r="BV15" s="26" t="str">
        <f>IFERROR($AC15*HDF_Limited_Col!BV15/HDF_Limited_Col!$AH15," ")</f>
        <v xml:space="preserve"> </v>
      </c>
      <c r="BW15" s="26" t="str">
        <f>IFERROR($AC15*HDF_Limited_Col!BW15/HDF_Limited_Col!$AH15," ")</f>
        <v xml:space="preserve"> </v>
      </c>
      <c r="BX15" s="26" t="str">
        <f>IFERROR($AC15*HDF_Limited_Col!BX15/HDF_Limited_Col!$AH15," ")</f>
        <v xml:space="preserve"> </v>
      </c>
      <c r="BY15" s="26" t="str">
        <f>IFERROR($AC15*HDF_Limited_Col!BY15/HDF_Limited_Col!$AH15," ")</f>
        <v xml:space="preserve"> </v>
      </c>
      <c r="BZ15" s="26" t="str">
        <f>IFERROR($AC15*HDF_Limited_Col!BZ15/HDF_Limited_Col!$AH15," ")</f>
        <v xml:space="preserve"> </v>
      </c>
      <c r="CA15" s="26" t="str">
        <f>IFERROR($AC15*HDF_Limited_Col!CA15/HDF_Limited_Col!$AH15," ")</f>
        <v xml:space="preserve"> </v>
      </c>
      <c r="CB15" s="26" t="str">
        <f>IFERROR($AC15*HDF_Limited_Col!CB15/HDF_Limited_Col!$AH15," ")</f>
        <v xml:space="preserve"> </v>
      </c>
      <c r="CC15" s="26" t="str">
        <f>IFERROR($AC15*HDF_Limited_Col!CC15/HDF_Limited_Col!$AH15," ")</f>
        <v xml:space="preserve"> </v>
      </c>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row>
    <row r="16" spans="1:109">
      <c r="A16" s="26" t="s">
        <v>842</v>
      </c>
      <c r="B16" s="26" t="s">
        <v>24</v>
      </c>
      <c r="C16" s="152" t="s">
        <v>1800</v>
      </c>
      <c r="D16" s="26" t="s">
        <v>1709</v>
      </c>
      <c r="E16" s="26" t="s">
        <v>237</v>
      </c>
      <c r="F16" s="26" t="s">
        <v>29</v>
      </c>
      <c r="G16" s="26" t="s">
        <v>595</v>
      </c>
      <c r="H16" s="30">
        <v>360</v>
      </c>
      <c r="I16" s="26" t="s">
        <v>712</v>
      </c>
      <c r="J16" s="26"/>
      <c r="K16" s="26" t="s">
        <v>913</v>
      </c>
      <c r="L16" s="26"/>
      <c r="M16" s="26" t="s">
        <v>51</v>
      </c>
      <c r="N16" s="26" t="s">
        <v>1084</v>
      </c>
      <c r="O16" s="95">
        <v>10.700113336746259</v>
      </c>
      <c r="P16" s="95">
        <v>0.62941843157330934</v>
      </c>
      <c r="Q16" s="95">
        <v>3.251995229795432</v>
      </c>
      <c r="R16" s="95">
        <v>4.091219805226511</v>
      </c>
      <c r="S16" s="95">
        <v>47.940703871500403</v>
      </c>
      <c r="T16" s="95">
        <v>20.246292882274787</v>
      </c>
      <c r="U16" s="95">
        <v>0</v>
      </c>
      <c r="V16" s="95">
        <v>6.8186996753775198</v>
      </c>
      <c r="W16" s="95">
        <v>3.251995229795432</v>
      </c>
      <c r="X16" s="95">
        <v>1.3637399350755037</v>
      </c>
      <c r="Y16" s="95">
        <v>2.2029645105065834</v>
      </c>
      <c r="Z16" s="95">
        <v>100.49714290787173</v>
      </c>
      <c r="AA16" s="26"/>
      <c r="AB16" s="26"/>
      <c r="AC16" s="26">
        <f t="shared" si="0"/>
        <v>26996.025549928043</v>
      </c>
      <c r="AD16" s="26" t="str">
        <f>IFERROR($AC16*HDF_Limited_Col!AD16/HDF_Limited_Col!$AH16," ")</f>
        <v xml:space="preserve"> </v>
      </c>
      <c r="AE16" s="26" t="str">
        <f>IFERROR($AC16*HDF_Limited_Col!AE16/HDF_Limited_Col!$AH16," ")</f>
        <v xml:space="preserve"> </v>
      </c>
      <c r="AF16" s="26" t="str">
        <f>IFERROR($AC16*HDF_Limited_Col!AF16/HDF_Limited_Col!$AH16," ")</f>
        <v xml:space="preserve"> </v>
      </c>
      <c r="AG16" s="26" t="str">
        <f>IFERROR($AC16*HDF_Limited_Col!AG16/HDF_Limited_Col!$AH16," ")</f>
        <v xml:space="preserve"> </v>
      </c>
      <c r="AH16" s="26" t="str">
        <f>IFERROR($AC16*HDF_Limited_Col!AH16/HDF_Limited_Col!$AH16," ")</f>
        <v xml:space="preserve"> </v>
      </c>
      <c r="AI16" s="26" t="str">
        <f>IFERROR($AC16*HDF_Limited_Col!AI16/HDF_Limited_Col!$AH16," ")</f>
        <v xml:space="preserve"> </v>
      </c>
      <c r="AJ16" s="26" t="str">
        <f>IFERROR($AC16*HDF_Limited_Col!AJ16/HDF_Limited_Col!$AH16," ")</f>
        <v xml:space="preserve"> </v>
      </c>
      <c r="AK16" s="26" t="str">
        <f>IFERROR($AC16*HDF_Limited_Col!AK16/HDF_Limited_Col!$AH16," ")</f>
        <v xml:space="preserve"> </v>
      </c>
      <c r="AL16" s="26" t="str">
        <f>IFERROR($AC16*HDF_Limited_Col!AL16/HDF_Limited_Col!$AH16," ")</f>
        <v xml:space="preserve"> </v>
      </c>
      <c r="AM16" s="26" t="str">
        <f>IFERROR($AC16*HDF_Limited_Col!AM16/HDF_Limited_Col!$AH16," ")</f>
        <v xml:space="preserve"> </v>
      </c>
      <c r="AN16" s="26" t="str">
        <f>IFERROR($AC16*HDF_Limited_Col!AN16/HDF_Limited_Col!$AH16," ")</f>
        <v xml:space="preserve"> </v>
      </c>
      <c r="AO16" s="26" t="str">
        <f>IFERROR($AC16*HDF_Limited_Col!AO16/HDF_Limited_Col!$AH16," ")</f>
        <v xml:space="preserve"> </v>
      </c>
      <c r="AP16" s="26" t="str">
        <f>IFERROR($AC16*HDF_Limited_Col!AP16/HDF_Limited_Col!$AH16," ")</f>
        <v xml:space="preserve"> </v>
      </c>
      <c r="AQ16" s="26" t="str">
        <f>IFERROR($AC16*HDF_Limited_Col!AQ16/HDF_Limited_Col!$AH16," ")</f>
        <v xml:space="preserve"> </v>
      </c>
      <c r="AR16" s="26" t="str">
        <f>IFERROR($AC16*HDF_Limited_Col!AR16/HDF_Limited_Col!$AH16," ")</f>
        <v xml:space="preserve"> </v>
      </c>
      <c r="AS16" s="26" t="str">
        <f>IFERROR($AC16*HDF_Limited_Col!AS16/HDF_Limited_Col!$AH16," ")</f>
        <v xml:space="preserve"> </v>
      </c>
      <c r="AT16" s="26" t="str">
        <f>IFERROR($AC16*HDF_Limited_Col!AT16/HDF_Limited_Col!$AH16," ")</f>
        <v xml:space="preserve"> </v>
      </c>
      <c r="AU16" s="26" t="str">
        <f>IFERROR($AC16*HDF_Limited_Col!AU16/HDF_Limited_Col!$AH16," ")</f>
        <v xml:space="preserve"> </v>
      </c>
      <c r="AV16" s="26" t="str">
        <f>IFERROR($AC16*HDF_Limited_Col!AV16/HDF_Limited_Col!$AH16," ")</f>
        <v xml:space="preserve"> </v>
      </c>
      <c r="AW16" s="26" t="str">
        <f>IFERROR($AC16*HDF_Limited_Col!AW16/HDF_Limited_Col!$AH16," ")</f>
        <v xml:space="preserve"> </v>
      </c>
      <c r="AX16" s="26" t="str">
        <f>IFERROR($AC16*HDF_Limited_Col!AX16/HDF_Limited_Col!$AH16," ")</f>
        <v xml:space="preserve"> </v>
      </c>
      <c r="AY16" s="26" t="str">
        <f>IFERROR($AC16*HDF_Limited_Col!AY16/HDF_Limited_Col!$AH16," ")</f>
        <v xml:space="preserve"> </v>
      </c>
      <c r="AZ16" s="26" t="str">
        <f>IFERROR($AC16*HDF_Limited_Col!AZ16/HDF_Limited_Col!$AH16," ")</f>
        <v xml:space="preserve"> </v>
      </c>
      <c r="BA16" s="26" t="str">
        <f>IFERROR($AC16*HDF_Limited_Col!BA16/HDF_Limited_Col!$AH16," ")</f>
        <v xml:space="preserve"> </v>
      </c>
      <c r="BB16" s="26" t="str">
        <f>IFERROR($AC16*HDF_Limited_Col!BB16/HDF_Limited_Col!$AH16," ")</f>
        <v xml:space="preserve"> </v>
      </c>
      <c r="BC16" s="26" t="str">
        <f>IFERROR($AC16*HDF_Limited_Col!BC16/HDF_Limited_Col!$AH16," ")</f>
        <v xml:space="preserve"> </v>
      </c>
      <c r="BD16" s="26" t="str">
        <f>IFERROR($AC16*HDF_Limited_Col!BD16/HDF_Limited_Col!$AH16," ")</f>
        <v xml:space="preserve"> </v>
      </c>
      <c r="BE16" s="26" t="str">
        <f>IFERROR($AC16*HDF_Limited_Col!BE16/HDF_Limited_Col!$AH16," ")</f>
        <v xml:space="preserve"> </v>
      </c>
      <c r="BF16" s="26" t="str">
        <f>IFERROR($AC16*HDF_Limited_Col!BF16/HDF_Limited_Col!$AH16," ")</f>
        <v xml:space="preserve"> </v>
      </c>
      <c r="BG16" s="26" t="str">
        <f>IFERROR($AC16*HDF_Limited_Col!BG16/HDF_Limited_Col!$AH16," ")</f>
        <v xml:space="preserve"> </v>
      </c>
      <c r="BH16" s="26" t="str">
        <f>IFERROR($AC16*HDF_Limited_Col!BH16/HDF_Limited_Col!$AH16," ")</f>
        <v xml:space="preserve"> </v>
      </c>
      <c r="BI16" s="26" t="str">
        <f>IFERROR($AC16*HDF_Limited_Col!BI16/HDF_Limited_Col!$AH16," ")</f>
        <v xml:space="preserve"> </v>
      </c>
      <c r="BJ16" s="26" t="str">
        <f>IFERROR($AC16*HDF_Limited_Col!BJ16/HDF_Limited_Col!$AH16," ")</f>
        <v xml:space="preserve"> </v>
      </c>
      <c r="BK16" s="26" t="str">
        <f>IFERROR($AC16*HDF_Limited_Col!BK16/HDF_Limited_Col!$AH16," ")</f>
        <v xml:space="preserve"> </v>
      </c>
      <c r="BL16" s="26" t="str">
        <f>IFERROR($AC16*HDF_Limited_Col!BL16/HDF_Limited_Col!$AH16," ")</f>
        <v xml:space="preserve"> </v>
      </c>
      <c r="BM16" s="26" t="str">
        <f>IFERROR($AC16*HDF_Limited_Col!BM16/HDF_Limited_Col!$AH16," ")</f>
        <v xml:space="preserve"> </v>
      </c>
      <c r="BN16" s="26" t="str">
        <f>IFERROR($AC16*HDF_Limited_Col!BN16/HDF_Limited_Col!$AH16," ")</f>
        <v xml:space="preserve"> </v>
      </c>
      <c r="BO16" s="26" t="str">
        <f>IFERROR($AC16*HDF_Limited_Col!BO16/HDF_Limited_Col!$AH16," ")</f>
        <v xml:space="preserve"> </v>
      </c>
      <c r="BP16" s="26" t="str">
        <f>IFERROR($AC16*HDF_Limited_Col!BP16/HDF_Limited_Col!$AH16," ")</f>
        <v xml:space="preserve"> </v>
      </c>
      <c r="BQ16" s="26" t="str">
        <f>IFERROR($AC16*HDF_Limited_Col!BQ16/HDF_Limited_Col!$AH16," ")</f>
        <v xml:space="preserve"> </v>
      </c>
      <c r="BR16" s="26" t="str">
        <f>IFERROR($AC16*HDF_Limited_Col!BR16/HDF_Limited_Col!$AH16," ")</f>
        <v xml:space="preserve"> </v>
      </c>
      <c r="BS16" s="26" t="str">
        <f>IFERROR($AC16*HDF_Limited_Col!BS16/HDF_Limited_Col!$AH16," ")</f>
        <v xml:space="preserve"> </v>
      </c>
      <c r="BT16" s="26" t="str">
        <f>IFERROR($AC16*HDF_Limited_Col!BT16/HDF_Limited_Col!$AH16," ")</f>
        <v xml:space="preserve"> </v>
      </c>
      <c r="BU16" s="26" t="str">
        <f>IFERROR($AC16*HDF_Limited_Col!BU16/HDF_Limited_Col!$AH16," ")</f>
        <v xml:space="preserve"> </v>
      </c>
      <c r="BV16" s="26" t="str">
        <f>IFERROR($AC16*HDF_Limited_Col!BV16/HDF_Limited_Col!$AH16," ")</f>
        <v xml:space="preserve"> </v>
      </c>
      <c r="BW16" s="26" t="str">
        <f>IFERROR($AC16*HDF_Limited_Col!BW16/HDF_Limited_Col!$AH16," ")</f>
        <v xml:space="preserve"> </v>
      </c>
      <c r="BX16" s="26" t="str">
        <f>IFERROR($AC16*HDF_Limited_Col!BX16/HDF_Limited_Col!$AH16," ")</f>
        <v xml:space="preserve"> </v>
      </c>
      <c r="BY16" s="26" t="str">
        <f>IFERROR($AC16*HDF_Limited_Col!BY16/HDF_Limited_Col!$AH16," ")</f>
        <v xml:space="preserve"> </v>
      </c>
      <c r="BZ16" s="26" t="str">
        <f>IFERROR($AC16*HDF_Limited_Col!BZ16/HDF_Limited_Col!$AH16," ")</f>
        <v xml:space="preserve"> </v>
      </c>
      <c r="CA16" s="26" t="str">
        <f>IFERROR($AC16*HDF_Limited_Col!CA16/HDF_Limited_Col!$AH16," ")</f>
        <v xml:space="preserve"> </v>
      </c>
      <c r="CB16" s="26" t="str">
        <f>IFERROR($AC16*HDF_Limited_Col!CB16/HDF_Limited_Col!$AH16," ")</f>
        <v xml:space="preserve"> </v>
      </c>
      <c r="CC16" s="26" t="str">
        <f>IFERROR($AC16*HDF_Limited_Col!CC16/HDF_Limited_Col!$AH16," ")</f>
        <v xml:space="preserve"> </v>
      </c>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row>
    <row r="17" spans="1:109">
      <c r="A17" s="26" t="s">
        <v>842</v>
      </c>
      <c r="B17" s="26" t="s">
        <v>24</v>
      </c>
      <c r="C17" s="152" t="s">
        <v>1800</v>
      </c>
      <c r="D17" s="26" t="s">
        <v>1709</v>
      </c>
      <c r="E17" s="26" t="s">
        <v>237</v>
      </c>
      <c r="F17" s="26" t="s">
        <v>29</v>
      </c>
      <c r="G17" s="26" t="s">
        <v>595</v>
      </c>
      <c r="H17" s="30">
        <v>360</v>
      </c>
      <c r="I17" s="26" t="s">
        <v>712</v>
      </c>
      <c r="J17" s="26"/>
      <c r="K17" s="26" t="s">
        <v>913</v>
      </c>
      <c r="L17" s="26"/>
      <c r="M17" s="26" t="s">
        <v>60</v>
      </c>
      <c r="N17" s="26" t="s">
        <v>1084</v>
      </c>
      <c r="O17" s="95">
        <v>12.700971830355142</v>
      </c>
      <c r="P17" s="95">
        <v>0.52920715959813103</v>
      </c>
      <c r="Q17" s="95">
        <v>1.6934629107140191</v>
      </c>
      <c r="R17" s="95">
        <v>5.9271201874990664</v>
      </c>
      <c r="S17" s="95">
        <v>42.654097063609356</v>
      </c>
      <c r="T17" s="95">
        <v>17.993043426336452</v>
      </c>
      <c r="U17" s="95">
        <v>0</v>
      </c>
      <c r="V17" s="95">
        <v>9.9490946004448624</v>
      </c>
      <c r="W17" s="95">
        <v>4.2336572767850482</v>
      </c>
      <c r="X17" s="95">
        <v>2.4343529341514025</v>
      </c>
      <c r="Y17" s="95">
        <v>2.4343529341514025</v>
      </c>
      <c r="Z17" s="95">
        <v>100.5493603236449</v>
      </c>
      <c r="AA17" s="26"/>
      <c r="AB17" s="26"/>
      <c r="AC17" s="26">
        <f t="shared" si="0"/>
        <v>35145.168408170612</v>
      </c>
      <c r="AD17" s="26" t="str">
        <f>IFERROR($AC17*HDF_Limited_Col!AD17/HDF_Limited_Col!$AH17," ")</f>
        <v xml:space="preserve"> </v>
      </c>
      <c r="AE17" s="26" t="str">
        <f>IFERROR($AC17*HDF_Limited_Col!AE17/HDF_Limited_Col!$AH17," ")</f>
        <v xml:space="preserve"> </v>
      </c>
      <c r="AF17" s="26" t="str">
        <f>IFERROR($AC17*HDF_Limited_Col!AF17/HDF_Limited_Col!$AH17," ")</f>
        <v xml:space="preserve"> </v>
      </c>
      <c r="AG17" s="26" t="str">
        <f>IFERROR($AC17*HDF_Limited_Col!AG17/HDF_Limited_Col!$AH17," ")</f>
        <v xml:space="preserve"> </v>
      </c>
      <c r="AH17" s="26" t="str">
        <f>IFERROR($AC17*HDF_Limited_Col!AH17/HDF_Limited_Col!$AH17," ")</f>
        <v xml:space="preserve"> </v>
      </c>
      <c r="AI17" s="26" t="str">
        <f>IFERROR($AC17*HDF_Limited_Col!AI17/HDF_Limited_Col!$AH17," ")</f>
        <v xml:space="preserve"> </v>
      </c>
      <c r="AJ17" s="26" t="str">
        <f>IFERROR($AC17*HDF_Limited_Col!AJ17/HDF_Limited_Col!$AH17," ")</f>
        <v xml:space="preserve"> </v>
      </c>
      <c r="AK17" s="26" t="str">
        <f>IFERROR($AC17*HDF_Limited_Col!AK17/HDF_Limited_Col!$AH17," ")</f>
        <v xml:space="preserve"> </v>
      </c>
      <c r="AL17" s="26" t="str">
        <f>IFERROR($AC17*HDF_Limited_Col!AL17/HDF_Limited_Col!$AH17," ")</f>
        <v xml:space="preserve"> </v>
      </c>
      <c r="AM17" s="26" t="str">
        <f>IFERROR($AC17*HDF_Limited_Col!AM17/HDF_Limited_Col!$AH17," ")</f>
        <v xml:space="preserve"> </v>
      </c>
      <c r="AN17" s="26" t="str">
        <f>IFERROR($AC17*HDF_Limited_Col!AN17/HDF_Limited_Col!$AH17," ")</f>
        <v xml:space="preserve"> </v>
      </c>
      <c r="AO17" s="26" t="str">
        <f>IFERROR($AC17*HDF_Limited_Col!AO17/HDF_Limited_Col!$AH17," ")</f>
        <v xml:space="preserve"> </v>
      </c>
      <c r="AP17" s="26" t="str">
        <f>IFERROR($AC17*HDF_Limited_Col!AP17/HDF_Limited_Col!$AH17," ")</f>
        <v xml:space="preserve"> </v>
      </c>
      <c r="AQ17" s="26" t="str">
        <f>IFERROR($AC17*HDF_Limited_Col!AQ17/HDF_Limited_Col!$AH17," ")</f>
        <v xml:space="preserve"> </v>
      </c>
      <c r="AR17" s="26" t="str">
        <f>IFERROR($AC17*HDF_Limited_Col!AR17/HDF_Limited_Col!$AH17," ")</f>
        <v xml:space="preserve"> </v>
      </c>
      <c r="AS17" s="26" t="str">
        <f>IFERROR($AC17*HDF_Limited_Col!AS17/HDF_Limited_Col!$AH17," ")</f>
        <v xml:space="preserve"> </v>
      </c>
      <c r="AT17" s="26" t="str">
        <f>IFERROR($AC17*HDF_Limited_Col!AT17/HDF_Limited_Col!$AH17," ")</f>
        <v xml:space="preserve"> </v>
      </c>
      <c r="AU17" s="26" t="str">
        <f>IFERROR($AC17*HDF_Limited_Col!AU17/HDF_Limited_Col!$AH17," ")</f>
        <v xml:space="preserve"> </v>
      </c>
      <c r="AV17" s="26" t="str">
        <f>IFERROR($AC17*HDF_Limited_Col!AV17/HDF_Limited_Col!$AH17," ")</f>
        <v xml:space="preserve"> </v>
      </c>
      <c r="AW17" s="26" t="str">
        <f>IFERROR($AC17*HDF_Limited_Col!AW17/HDF_Limited_Col!$AH17," ")</f>
        <v xml:space="preserve"> </v>
      </c>
      <c r="AX17" s="26" t="str">
        <f>IFERROR($AC17*HDF_Limited_Col!AX17/HDF_Limited_Col!$AH17," ")</f>
        <v xml:space="preserve"> </v>
      </c>
      <c r="AY17" s="26" t="str">
        <f>IFERROR($AC17*HDF_Limited_Col!AY17/HDF_Limited_Col!$AH17," ")</f>
        <v xml:space="preserve"> </v>
      </c>
      <c r="AZ17" s="26" t="str">
        <f>IFERROR($AC17*HDF_Limited_Col!AZ17/HDF_Limited_Col!$AH17," ")</f>
        <v xml:space="preserve"> </v>
      </c>
      <c r="BA17" s="26" t="str">
        <f>IFERROR($AC17*HDF_Limited_Col!BA17/HDF_Limited_Col!$AH17," ")</f>
        <v xml:space="preserve"> </v>
      </c>
      <c r="BB17" s="26" t="str">
        <f>IFERROR($AC17*HDF_Limited_Col!BB17/HDF_Limited_Col!$AH17," ")</f>
        <v xml:space="preserve"> </v>
      </c>
      <c r="BC17" s="26" t="str">
        <f>IFERROR($AC17*HDF_Limited_Col!BC17/HDF_Limited_Col!$AH17," ")</f>
        <v xml:space="preserve"> </v>
      </c>
      <c r="BD17" s="26" t="str">
        <f>IFERROR($AC17*HDF_Limited_Col!BD17/HDF_Limited_Col!$AH17," ")</f>
        <v xml:space="preserve"> </v>
      </c>
      <c r="BE17" s="26" t="str">
        <f>IFERROR($AC17*HDF_Limited_Col!BE17/HDF_Limited_Col!$AH17," ")</f>
        <v xml:space="preserve"> </v>
      </c>
      <c r="BF17" s="26" t="str">
        <f>IFERROR($AC17*HDF_Limited_Col!BF17/HDF_Limited_Col!$AH17," ")</f>
        <v xml:space="preserve"> </v>
      </c>
      <c r="BG17" s="26" t="str">
        <f>IFERROR($AC17*HDF_Limited_Col!BG17/HDF_Limited_Col!$AH17," ")</f>
        <v xml:space="preserve"> </v>
      </c>
      <c r="BH17" s="26" t="str">
        <f>IFERROR($AC17*HDF_Limited_Col!BH17/HDF_Limited_Col!$AH17," ")</f>
        <v xml:space="preserve"> </v>
      </c>
      <c r="BI17" s="26" t="str">
        <f>IFERROR($AC17*HDF_Limited_Col!BI17/HDF_Limited_Col!$AH17," ")</f>
        <v xml:space="preserve"> </v>
      </c>
      <c r="BJ17" s="26" t="str">
        <f>IFERROR($AC17*HDF_Limited_Col!BJ17/HDF_Limited_Col!$AH17," ")</f>
        <v xml:space="preserve"> </v>
      </c>
      <c r="BK17" s="26" t="str">
        <f>IFERROR($AC17*HDF_Limited_Col!BK17/HDF_Limited_Col!$AH17," ")</f>
        <v xml:space="preserve"> </v>
      </c>
      <c r="BL17" s="26" t="str">
        <f>IFERROR($AC17*HDF_Limited_Col!BL17/HDF_Limited_Col!$AH17," ")</f>
        <v xml:space="preserve"> </v>
      </c>
      <c r="BM17" s="26" t="str">
        <f>IFERROR($AC17*HDF_Limited_Col!BM17/HDF_Limited_Col!$AH17," ")</f>
        <v xml:space="preserve"> </v>
      </c>
      <c r="BN17" s="26" t="str">
        <f>IFERROR($AC17*HDF_Limited_Col!BN17/HDF_Limited_Col!$AH17," ")</f>
        <v xml:space="preserve"> </v>
      </c>
      <c r="BO17" s="26" t="str">
        <f>IFERROR($AC17*HDF_Limited_Col!BO17/HDF_Limited_Col!$AH17," ")</f>
        <v xml:space="preserve"> </v>
      </c>
      <c r="BP17" s="26" t="str">
        <f>IFERROR($AC17*HDF_Limited_Col!BP17/HDF_Limited_Col!$AH17," ")</f>
        <v xml:space="preserve"> </v>
      </c>
      <c r="BQ17" s="26" t="str">
        <f>IFERROR($AC17*HDF_Limited_Col!BQ17/HDF_Limited_Col!$AH17," ")</f>
        <v xml:space="preserve"> </v>
      </c>
      <c r="BR17" s="26" t="str">
        <f>IFERROR($AC17*HDF_Limited_Col!BR17/HDF_Limited_Col!$AH17," ")</f>
        <v xml:space="preserve"> </v>
      </c>
      <c r="BS17" s="26" t="str">
        <f>IFERROR($AC17*HDF_Limited_Col!BS17/HDF_Limited_Col!$AH17," ")</f>
        <v xml:space="preserve"> </v>
      </c>
      <c r="BT17" s="26" t="str">
        <f>IFERROR($AC17*HDF_Limited_Col!BT17/HDF_Limited_Col!$AH17," ")</f>
        <v xml:space="preserve"> </v>
      </c>
      <c r="BU17" s="26" t="str">
        <f>IFERROR($AC17*HDF_Limited_Col!BU17/HDF_Limited_Col!$AH17," ")</f>
        <v xml:space="preserve"> </v>
      </c>
      <c r="BV17" s="26" t="str">
        <f>IFERROR($AC17*HDF_Limited_Col!BV17/HDF_Limited_Col!$AH17," ")</f>
        <v xml:space="preserve"> </v>
      </c>
      <c r="BW17" s="26" t="str">
        <f>IFERROR($AC17*HDF_Limited_Col!BW17/HDF_Limited_Col!$AH17," ")</f>
        <v xml:space="preserve"> </v>
      </c>
      <c r="BX17" s="26" t="str">
        <f>IFERROR($AC17*HDF_Limited_Col!BX17/HDF_Limited_Col!$AH17," ")</f>
        <v xml:space="preserve"> </v>
      </c>
      <c r="BY17" s="26" t="str">
        <f>IFERROR($AC17*HDF_Limited_Col!BY17/HDF_Limited_Col!$AH17," ")</f>
        <v xml:space="preserve"> </v>
      </c>
      <c r="BZ17" s="26" t="str">
        <f>IFERROR($AC17*HDF_Limited_Col!BZ17/HDF_Limited_Col!$AH17," ")</f>
        <v xml:space="preserve"> </v>
      </c>
      <c r="CA17" s="26" t="str">
        <f>IFERROR($AC17*HDF_Limited_Col!CA17/HDF_Limited_Col!$AH17," ")</f>
        <v xml:space="preserve"> </v>
      </c>
      <c r="CB17" s="26" t="str">
        <f>IFERROR($AC17*HDF_Limited_Col!CB17/HDF_Limited_Col!$AH17," ")</f>
        <v xml:space="preserve"> </v>
      </c>
      <c r="CC17" s="26" t="str">
        <f>IFERROR($AC17*HDF_Limited_Col!CC17/HDF_Limited_Col!$AH17," ")</f>
        <v xml:space="preserve"> </v>
      </c>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row>
    <row r="18" spans="1:109">
      <c r="A18" s="26" t="s">
        <v>842</v>
      </c>
      <c r="B18" s="26" t="s">
        <v>24</v>
      </c>
      <c r="C18" s="152" t="s">
        <v>1800</v>
      </c>
      <c r="D18" s="26" t="s">
        <v>1709</v>
      </c>
      <c r="E18" s="26" t="s">
        <v>237</v>
      </c>
      <c r="F18" s="26" t="s">
        <v>29</v>
      </c>
      <c r="G18" s="26" t="s">
        <v>595</v>
      </c>
      <c r="H18" s="30">
        <v>360</v>
      </c>
      <c r="I18" s="26" t="s">
        <v>712</v>
      </c>
      <c r="J18" s="26"/>
      <c r="K18" s="26" t="s">
        <v>913</v>
      </c>
      <c r="L18" s="26"/>
      <c r="M18" s="26" t="s">
        <v>57</v>
      </c>
      <c r="N18" s="26" t="s">
        <v>1084</v>
      </c>
      <c r="O18" s="95">
        <v>14.235475215536914</v>
      </c>
      <c r="P18" s="95">
        <v>0.43137803683445197</v>
      </c>
      <c r="Q18" s="95">
        <v>2.4804237117980987</v>
      </c>
      <c r="R18" s="95">
        <v>16.284520890500559</v>
      </c>
      <c r="S18" s="95">
        <v>44.324093284739938</v>
      </c>
      <c r="T18" s="95">
        <v>5.5000699696392621</v>
      </c>
      <c r="U18" s="95">
        <v>0</v>
      </c>
      <c r="V18" s="95">
        <v>8.8432497551062639</v>
      </c>
      <c r="W18" s="95">
        <v>4.9608474235961975</v>
      </c>
      <c r="X18" s="95">
        <v>1.1862896012947428</v>
      </c>
      <c r="Y18" s="95">
        <v>2.2647346933808725</v>
      </c>
      <c r="Z18" s="95">
        <v>100.51108258242729</v>
      </c>
      <c r="AA18" s="26"/>
      <c r="AB18" s="26"/>
      <c r="AC18" s="26">
        <f t="shared" si="0"/>
        <v>41181.84509302683</v>
      </c>
      <c r="AD18" s="26" t="str">
        <f>IFERROR($AC18*HDF_Limited_Col!AD18/HDF_Limited_Col!$AH18," ")</f>
        <v xml:space="preserve"> </v>
      </c>
      <c r="AE18" s="26" t="str">
        <f>IFERROR($AC18*HDF_Limited_Col!AE18/HDF_Limited_Col!$AH18," ")</f>
        <v xml:space="preserve"> </v>
      </c>
      <c r="AF18" s="26" t="str">
        <f>IFERROR($AC18*HDF_Limited_Col!AF18/HDF_Limited_Col!$AH18," ")</f>
        <v xml:space="preserve"> </v>
      </c>
      <c r="AG18" s="26" t="str">
        <f>IFERROR($AC18*HDF_Limited_Col!AG18/HDF_Limited_Col!$AH18," ")</f>
        <v xml:space="preserve"> </v>
      </c>
      <c r="AH18" s="26" t="str">
        <f>IFERROR($AC18*HDF_Limited_Col!AH18/HDF_Limited_Col!$AH18," ")</f>
        <v xml:space="preserve"> </v>
      </c>
      <c r="AI18" s="26" t="str">
        <f>IFERROR($AC18*HDF_Limited_Col!AI18/HDF_Limited_Col!$AH18," ")</f>
        <v xml:space="preserve"> </v>
      </c>
      <c r="AJ18" s="26" t="str">
        <f>IFERROR($AC18*HDF_Limited_Col!AJ18/HDF_Limited_Col!$AH18," ")</f>
        <v xml:space="preserve"> </v>
      </c>
      <c r="AK18" s="26" t="str">
        <f>IFERROR($AC18*HDF_Limited_Col!AK18/HDF_Limited_Col!$AH18," ")</f>
        <v xml:space="preserve"> </v>
      </c>
      <c r="AL18" s="26" t="str">
        <f>IFERROR($AC18*HDF_Limited_Col!AL18/HDF_Limited_Col!$AH18," ")</f>
        <v xml:space="preserve"> </v>
      </c>
      <c r="AM18" s="26" t="str">
        <f>IFERROR($AC18*HDF_Limited_Col!AM18/HDF_Limited_Col!$AH18," ")</f>
        <v xml:space="preserve"> </v>
      </c>
      <c r="AN18" s="26" t="str">
        <f>IFERROR($AC18*HDF_Limited_Col!AN18/HDF_Limited_Col!$AH18," ")</f>
        <v xml:space="preserve"> </v>
      </c>
      <c r="AO18" s="26" t="str">
        <f>IFERROR($AC18*HDF_Limited_Col!AO18/HDF_Limited_Col!$AH18," ")</f>
        <v xml:space="preserve"> </v>
      </c>
      <c r="AP18" s="26" t="str">
        <f>IFERROR($AC18*HDF_Limited_Col!AP18/HDF_Limited_Col!$AH18," ")</f>
        <v xml:space="preserve"> </v>
      </c>
      <c r="AQ18" s="26" t="str">
        <f>IFERROR($AC18*HDF_Limited_Col!AQ18/HDF_Limited_Col!$AH18," ")</f>
        <v xml:space="preserve"> </v>
      </c>
      <c r="AR18" s="26" t="str">
        <f>IFERROR($AC18*HDF_Limited_Col!AR18/HDF_Limited_Col!$AH18," ")</f>
        <v xml:space="preserve"> </v>
      </c>
      <c r="AS18" s="26" t="str">
        <f>IFERROR($AC18*HDF_Limited_Col!AS18/HDF_Limited_Col!$AH18," ")</f>
        <v xml:space="preserve"> </v>
      </c>
      <c r="AT18" s="26" t="str">
        <f>IFERROR($AC18*HDF_Limited_Col!AT18/HDF_Limited_Col!$AH18," ")</f>
        <v xml:space="preserve"> </v>
      </c>
      <c r="AU18" s="26" t="str">
        <f>IFERROR($AC18*HDF_Limited_Col!AU18/HDF_Limited_Col!$AH18," ")</f>
        <v xml:space="preserve"> </v>
      </c>
      <c r="AV18" s="26" t="str">
        <f>IFERROR($AC18*HDF_Limited_Col!AV18/HDF_Limited_Col!$AH18," ")</f>
        <v xml:space="preserve"> </v>
      </c>
      <c r="AW18" s="26" t="str">
        <f>IFERROR($AC18*HDF_Limited_Col!AW18/HDF_Limited_Col!$AH18," ")</f>
        <v xml:space="preserve"> </v>
      </c>
      <c r="AX18" s="26" t="str">
        <f>IFERROR($AC18*HDF_Limited_Col!AX18/HDF_Limited_Col!$AH18," ")</f>
        <v xml:space="preserve"> </v>
      </c>
      <c r="AY18" s="26" t="str">
        <f>IFERROR($AC18*HDF_Limited_Col!AY18/HDF_Limited_Col!$AH18," ")</f>
        <v xml:space="preserve"> </v>
      </c>
      <c r="AZ18" s="26" t="str">
        <f>IFERROR($AC18*HDF_Limited_Col!AZ18/HDF_Limited_Col!$AH18," ")</f>
        <v xml:space="preserve"> </v>
      </c>
      <c r="BA18" s="26" t="str">
        <f>IFERROR($AC18*HDF_Limited_Col!BA18/HDF_Limited_Col!$AH18," ")</f>
        <v xml:space="preserve"> </v>
      </c>
      <c r="BB18" s="26" t="str">
        <f>IFERROR($AC18*HDF_Limited_Col!BB18/HDF_Limited_Col!$AH18," ")</f>
        <v xml:space="preserve"> </v>
      </c>
      <c r="BC18" s="26" t="str">
        <f>IFERROR($AC18*HDF_Limited_Col!BC18/HDF_Limited_Col!$AH18," ")</f>
        <v xml:space="preserve"> </v>
      </c>
      <c r="BD18" s="26" t="str">
        <f>IFERROR($AC18*HDF_Limited_Col!BD18/HDF_Limited_Col!$AH18," ")</f>
        <v xml:space="preserve"> </v>
      </c>
      <c r="BE18" s="26" t="str">
        <f>IFERROR($AC18*HDF_Limited_Col!BE18/HDF_Limited_Col!$AH18," ")</f>
        <v xml:space="preserve"> </v>
      </c>
      <c r="BF18" s="26" t="str">
        <f>IFERROR($AC18*HDF_Limited_Col!BF18/HDF_Limited_Col!$AH18," ")</f>
        <v xml:space="preserve"> </v>
      </c>
      <c r="BG18" s="26" t="str">
        <f>IFERROR($AC18*HDF_Limited_Col!BG18/HDF_Limited_Col!$AH18," ")</f>
        <v xml:space="preserve"> </v>
      </c>
      <c r="BH18" s="26" t="str">
        <f>IFERROR($AC18*HDF_Limited_Col!BH18/HDF_Limited_Col!$AH18," ")</f>
        <v xml:space="preserve"> </v>
      </c>
      <c r="BI18" s="26" t="str">
        <f>IFERROR($AC18*HDF_Limited_Col!BI18/HDF_Limited_Col!$AH18," ")</f>
        <v xml:space="preserve"> </v>
      </c>
      <c r="BJ18" s="26" t="str">
        <f>IFERROR($AC18*HDF_Limited_Col!BJ18/HDF_Limited_Col!$AH18," ")</f>
        <v xml:space="preserve"> </v>
      </c>
      <c r="BK18" s="26" t="str">
        <f>IFERROR($AC18*HDF_Limited_Col!BK18/HDF_Limited_Col!$AH18," ")</f>
        <v xml:space="preserve"> </v>
      </c>
      <c r="BL18" s="26" t="str">
        <f>IFERROR($AC18*HDF_Limited_Col!BL18/HDF_Limited_Col!$AH18," ")</f>
        <v xml:space="preserve"> </v>
      </c>
      <c r="BM18" s="26" t="str">
        <f>IFERROR($AC18*HDF_Limited_Col!BM18/HDF_Limited_Col!$AH18," ")</f>
        <v xml:space="preserve"> </v>
      </c>
      <c r="BN18" s="26" t="str">
        <f>IFERROR($AC18*HDF_Limited_Col!BN18/HDF_Limited_Col!$AH18," ")</f>
        <v xml:space="preserve"> </v>
      </c>
      <c r="BO18" s="26" t="str">
        <f>IFERROR($AC18*HDF_Limited_Col!BO18/HDF_Limited_Col!$AH18," ")</f>
        <v xml:space="preserve"> </v>
      </c>
      <c r="BP18" s="26" t="str">
        <f>IFERROR($AC18*HDF_Limited_Col!BP18/HDF_Limited_Col!$AH18," ")</f>
        <v xml:space="preserve"> </v>
      </c>
      <c r="BQ18" s="26" t="str">
        <f>IFERROR($AC18*HDF_Limited_Col!BQ18/HDF_Limited_Col!$AH18," ")</f>
        <v xml:space="preserve"> </v>
      </c>
      <c r="BR18" s="26" t="str">
        <f>IFERROR($AC18*HDF_Limited_Col!BR18/HDF_Limited_Col!$AH18," ")</f>
        <v xml:space="preserve"> </v>
      </c>
      <c r="BS18" s="26" t="str">
        <f>IFERROR($AC18*HDF_Limited_Col!BS18/HDF_Limited_Col!$AH18," ")</f>
        <v xml:space="preserve"> </v>
      </c>
      <c r="BT18" s="26" t="str">
        <f>IFERROR($AC18*HDF_Limited_Col!BT18/HDF_Limited_Col!$AH18," ")</f>
        <v xml:space="preserve"> </v>
      </c>
      <c r="BU18" s="26" t="str">
        <f>IFERROR($AC18*HDF_Limited_Col!BU18/HDF_Limited_Col!$AH18," ")</f>
        <v xml:space="preserve"> </v>
      </c>
      <c r="BV18" s="26" t="str">
        <f>IFERROR($AC18*HDF_Limited_Col!BV18/HDF_Limited_Col!$AH18," ")</f>
        <v xml:space="preserve"> </v>
      </c>
      <c r="BW18" s="26" t="str">
        <f>IFERROR($AC18*HDF_Limited_Col!BW18/HDF_Limited_Col!$AH18," ")</f>
        <v xml:space="preserve"> </v>
      </c>
      <c r="BX18" s="26" t="str">
        <f>IFERROR($AC18*HDF_Limited_Col!BX18/HDF_Limited_Col!$AH18," ")</f>
        <v xml:space="preserve"> </v>
      </c>
      <c r="BY18" s="26" t="str">
        <f>IFERROR($AC18*HDF_Limited_Col!BY18/HDF_Limited_Col!$AH18," ")</f>
        <v xml:space="preserve"> </v>
      </c>
      <c r="BZ18" s="26" t="str">
        <f>IFERROR($AC18*HDF_Limited_Col!BZ18/HDF_Limited_Col!$AH18," ")</f>
        <v xml:space="preserve"> </v>
      </c>
      <c r="CA18" s="26" t="str">
        <f>IFERROR($AC18*HDF_Limited_Col!CA18/HDF_Limited_Col!$AH18," ")</f>
        <v xml:space="preserve"> </v>
      </c>
      <c r="CB18" s="26" t="str">
        <f>IFERROR($AC18*HDF_Limited_Col!CB18/HDF_Limited_Col!$AH18," ")</f>
        <v xml:space="preserve"> </v>
      </c>
      <c r="CC18" s="26" t="str">
        <f>IFERROR($AC18*HDF_Limited_Col!CC18/HDF_Limited_Col!$AH18," ")</f>
        <v xml:space="preserve"> </v>
      </c>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row>
    <row r="19" spans="1:109">
      <c r="A19" s="26" t="s">
        <v>842</v>
      </c>
      <c r="B19" s="26" t="s">
        <v>24</v>
      </c>
      <c r="C19" s="152" t="s">
        <v>1800</v>
      </c>
      <c r="D19" s="26" t="s">
        <v>1709</v>
      </c>
      <c r="E19" s="26" t="s">
        <v>237</v>
      </c>
      <c r="F19" s="26" t="s">
        <v>29</v>
      </c>
      <c r="G19" s="26" t="s">
        <v>595</v>
      </c>
      <c r="H19" s="30">
        <v>360</v>
      </c>
      <c r="I19" s="26" t="s">
        <v>712</v>
      </c>
      <c r="J19" s="26"/>
      <c r="K19" s="26" t="s">
        <v>913</v>
      </c>
      <c r="L19" s="26"/>
      <c r="M19" s="26" t="s">
        <v>56</v>
      </c>
      <c r="N19" s="26" t="s">
        <v>1084</v>
      </c>
      <c r="O19" s="95">
        <v>12.149924203033342</v>
      </c>
      <c r="P19" s="95">
        <v>0.93460955407948776</v>
      </c>
      <c r="Q19" s="95">
        <v>1.1423005660971519</v>
      </c>
      <c r="R19" s="95">
        <v>12.772997239086333</v>
      </c>
      <c r="S19" s="95">
        <v>43.615112523709435</v>
      </c>
      <c r="T19" s="95">
        <v>19.730646141678076</v>
      </c>
      <c r="U19" s="95">
        <v>0</v>
      </c>
      <c r="V19" s="95">
        <v>4.3615112523709438</v>
      </c>
      <c r="W19" s="95">
        <v>2.4922921442119672</v>
      </c>
      <c r="X19" s="95">
        <v>2.0769101201766391</v>
      </c>
      <c r="Y19" s="95">
        <v>0.93460955407948776</v>
      </c>
      <c r="Z19" s="95">
        <v>100.21091329852287</v>
      </c>
      <c r="AA19" s="26"/>
      <c r="AB19" s="26"/>
      <c r="AC19" s="26">
        <f t="shared" si="0"/>
        <v>20689.446831465255</v>
      </c>
      <c r="AD19" s="26" t="str">
        <f>IFERROR($AC19*HDF_Limited_Col!AD19/HDF_Limited_Col!$AH19," ")</f>
        <v xml:space="preserve"> </v>
      </c>
      <c r="AE19" s="26" t="str">
        <f>IFERROR($AC19*HDF_Limited_Col!AE19/HDF_Limited_Col!$AH19," ")</f>
        <v xml:space="preserve"> </v>
      </c>
      <c r="AF19" s="26" t="str">
        <f>IFERROR($AC19*HDF_Limited_Col!AF19/HDF_Limited_Col!$AH19," ")</f>
        <v xml:space="preserve"> </v>
      </c>
      <c r="AG19" s="26" t="str">
        <f>IFERROR($AC19*HDF_Limited_Col!AG19/HDF_Limited_Col!$AH19," ")</f>
        <v xml:space="preserve"> </v>
      </c>
      <c r="AH19" s="26" t="str">
        <f>IFERROR($AC19*HDF_Limited_Col!AH19/HDF_Limited_Col!$AH19," ")</f>
        <v xml:space="preserve"> </v>
      </c>
      <c r="AI19" s="26" t="str">
        <f>IFERROR($AC19*HDF_Limited_Col!AI19/HDF_Limited_Col!$AH19," ")</f>
        <v xml:space="preserve"> </v>
      </c>
      <c r="AJ19" s="26" t="str">
        <f>IFERROR($AC19*HDF_Limited_Col!AJ19/HDF_Limited_Col!$AH19," ")</f>
        <v xml:space="preserve"> </v>
      </c>
      <c r="AK19" s="26" t="str">
        <f>IFERROR($AC19*HDF_Limited_Col!AK19/HDF_Limited_Col!$AH19," ")</f>
        <v xml:space="preserve"> </v>
      </c>
      <c r="AL19" s="26" t="str">
        <f>IFERROR($AC19*HDF_Limited_Col!AL19/HDF_Limited_Col!$AH19," ")</f>
        <v xml:space="preserve"> </v>
      </c>
      <c r="AM19" s="26" t="str">
        <f>IFERROR($AC19*HDF_Limited_Col!AM19/HDF_Limited_Col!$AH19," ")</f>
        <v xml:space="preserve"> </v>
      </c>
      <c r="AN19" s="26" t="str">
        <f>IFERROR($AC19*HDF_Limited_Col!AN19/HDF_Limited_Col!$AH19," ")</f>
        <v xml:space="preserve"> </v>
      </c>
      <c r="AO19" s="26" t="str">
        <f>IFERROR($AC19*HDF_Limited_Col!AO19/HDF_Limited_Col!$AH19," ")</f>
        <v xml:space="preserve"> </v>
      </c>
      <c r="AP19" s="26" t="str">
        <f>IFERROR($AC19*HDF_Limited_Col!AP19/HDF_Limited_Col!$AH19," ")</f>
        <v xml:space="preserve"> </v>
      </c>
      <c r="AQ19" s="26" t="str">
        <f>IFERROR($AC19*HDF_Limited_Col!AQ19/HDF_Limited_Col!$AH19," ")</f>
        <v xml:space="preserve"> </v>
      </c>
      <c r="AR19" s="26" t="str">
        <f>IFERROR($AC19*HDF_Limited_Col!AR19/HDF_Limited_Col!$AH19," ")</f>
        <v xml:space="preserve"> </v>
      </c>
      <c r="AS19" s="26" t="str">
        <f>IFERROR($AC19*HDF_Limited_Col!AS19/HDF_Limited_Col!$AH19," ")</f>
        <v xml:space="preserve"> </v>
      </c>
      <c r="AT19" s="26" t="str">
        <f>IFERROR($AC19*HDF_Limited_Col!AT19/HDF_Limited_Col!$AH19," ")</f>
        <v xml:space="preserve"> </v>
      </c>
      <c r="AU19" s="26" t="str">
        <f>IFERROR($AC19*HDF_Limited_Col!AU19/HDF_Limited_Col!$AH19," ")</f>
        <v xml:space="preserve"> </v>
      </c>
      <c r="AV19" s="26" t="str">
        <f>IFERROR($AC19*HDF_Limited_Col!AV19/HDF_Limited_Col!$AH19," ")</f>
        <v xml:space="preserve"> </v>
      </c>
      <c r="AW19" s="26" t="str">
        <f>IFERROR($AC19*HDF_Limited_Col!AW19/HDF_Limited_Col!$AH19," ")</f>
        <v xml:space="preserve"> </v>
      </c>
      <c r="AX19" s="26" t="str">
        <f>IFERROR($AC19*HDF_Limited_Col!AX19/HDF_Limited_Col!$AH19," ")</f>
        <v xml:space="preserve"> </v>
      </c>
      <c r="AY19" s="26" t="str">
        <f>IFERROR($AC19*HDF_Limited_Col!AY19/HDF_Limited_Col!$AH19," ")</f>
        <v xml:space="preserve"> </v>
      </c>
      <c r="AZ19" s="26" t="str">
        <f>IFERROR($AC19*HDF_Limited_Col!AZ19/HDF_Limited_Col!$AH19," ")</f>
        <v xml:space="preserve"> </v>
      </c>
      <c r="BA19" s="26" t="str">
        <f>IFERROR($AC19*HDF_Limited_Col!BA19/HDF_Limited_Col!$AH19," ")</f>
        <v xml:space="preserve"> </v>
      </c>
      <c r="BB19" s="26" t="str">
        <f>IFERROR($AC19*HDF_Limited_Col!BB19/HDF_Limited_Col!$AH19," ")</f>
        <v xml:space="preserve"> </v>
      </c>
      <c r="BC19" s="26" t="str">
        <f>IFERROR($AC19*HDF_Limited_Col!BC19/HDF_Limited_Col!$AH19," ")</f>
        <v xml:space="preserve"> </v>
      </c>
      <c r="BD19" s="26" t="str">
        <f>IFERROR($AC19*HDF_Limited_Col!BD19/HDF_Limited_Col!$AH19," ")</f>
        <v xml:space="preserve"> </v>
      </c>
      <c r="BE19" s="26" t="str">
        <f>IFERROR($AC19*HDF_Limited_Col!BE19/HDF_Limited_Col!$AH19," ")</f>
        <v xml:space="preserve"> </v>
      </c>
      <c r="BF19" s="26" t="str">
        <f>IFERROR($AC19*HDF_Limited_Col!BF19/HDF_Limited_Col!$AH19," ")</f>
        <v xml:space="preserve"> </v>
      </c>
      <c r="BG19" s="26" t="str">
        <f>IFERROR($AC19*HDF_Limited_Col!BG19/HDF_Limited_Col!$AH19," ")</f>
        <v xml:space="preserve"> </v>
      </c>
      <c r="BH19" s="26" t="str">
        <f>IFERROR($AC19*HDF_Limited_Col!BH19/HDF_Limited_Col!$AH19," ")</f>
        <v xml:space="preserve"> </v>
      </c>
      <c r="BI19" s="26" t="str">
        <f>IFERROR($AC19*HDF_Limited_Col!BI19/HDF_Limited_Col!$AH19," ")</f>
        <v xml:space="preserve"> </v>
      </c>
      <c r="BJ19" s="26" t="str">
        <f>IFERROR($AC19*HDF_Limited_Col!BJ19/HDF_Limited_Col!$AH19," ")</f>
        <v xml:space="preserve"> </v>
      </c>
      <c r="BK19" s="26" t="str">
        <f>IFERROR($AC19*HDF_Limited_Col!BK19/HDF_Limited_Col!$AH19," ")</f>
        <v xml:space="preserve"> </v>
      </c>
      <c r="BL19" s="26" t="str">
        <f>IFERROR($AC19*HDF_Limited_Col!BL19/HDF_Limited_Col!$AH19," ")</f>
        <v xml:space="preserve"> </v>
      </c>
      <c r="BM19" s="26" t="str">
        <f>IFERROR($AC19*HDF_Limited_Col!BM19/HDF_Limited_Col!$AH19," ")</f>
        <v xml:space="preserve"> </v>
      </c>
      <c r="BN19" s="26" t="str">
        <f>IFERROR($AC19*HDF_Limited_Col!BN19/HDF_Limited_Col!$AH19," ")</f>
        <v xml:space="preserve"> </v>
      </c>
      <c r="BO19" s="26" t="str">
        <f>IFERROR($AC19*HDF_Limited_Col!BO19/HDF_Limited_Col!$AH19," ")</f>
        <v xml:space="preserve"> </v>
      </c>
      <c r="BP19" s="26" t="str">
        <f>IFERROR($AC19*HDF_Limited_Col!BP19/HDF_Limited_Col!$AH19," ")</f>
        <v xml:space="preserve"> </v>
      </c>
      <c r="BQ19" s="26" t="str">
        <f>IFERROR($AC19*HDF_Limited_Col!BQ19/HDF_Limited_Col!$AH19," ")</f>
        <v xml:space="preserve"> </v>
      </c>
      <c r="BR19" s="26" t="str">
        <f>IFERROR($AC19*HDF_Limited_Col!BR19/HDF_Limited_Col!$AH19," ")</f>
        <v xml:space="preserve"> </v>
      </c>
      <c r="BS19" s="26" t="str">
        <f>IFERROR($AC19*HDF_Limited_Col!BS19/HDF_Limited_Col!$AH19," ")</f>
        <v xml:space="preserve"> </v>
      </c>
      <c r="BT19" s="26" t="str">
        <f>IFERROR($AC19*HDF_Limited_Col!BT19/HDF_Limited_Col!$AH19," ")</f>
        <v xml:space="preserve"> </v>
      </c>
      <c r="BU19" s="26" t="str">
        <f>IFERROR($AC19*HDF_Limited_Col!BU19/HDF_Limited_Col!$AH19," ")</f>
        <v xml:space="preserve"> </v>
      </c>
      <c r="BV19" s="26" t="str">
        <f>IFERROR($AC19*HDF_Limited_Col!BV19/HDF_Limited_Col!$AH19," ")</f>
        <v xml:space="preserve"> </v>
      </c>
      <c r="BW19" s="26" t="str">
        <f>IFERROR($AC19*HDF_Limited_Col!BW19/HDF_Limited_Col!$AH19," ")</f>
        <v xml:space="preserve"> </v>
      </c>
      <c r="BX19" s="26" t="str">
        <f>IFERROR($AC19*HDF_Limited_Col!BX19/HDF_Limited_Col!$AH19," ")</f>
        <v xml:space="preserve"> </v>
      </c>
      <c r="BY19" s="26" t="str">
        <f>IFERROR($AC19*HDF_Limited_Col!BY19/HDF_Limited_Col!$AH19," ")</f>
        <v xml:space="preserve"> </v>
      </c>
      <c r="BZ19" s="26" t="str">
        <f>IFERROR($AC19*HDF_Limited_Col!BZ19/HDF_Limited_Col!$AH19," ")</f>
        <v xml:space="preserve"> </v>
      </c>
      <c r="CA19" s="26" t="str">
        <f>IFERROR($AC19*HDF_Limited_Col!CA19/HDF_Limited_Col!$AH19," ")</f>
        <v xml:space="preserve"> </v>
      </c>
      <c r="CB19" s="26" t="str">
        <f>IFERROR($AC19*HDF_Limited_Col!CB19/HDF_Limited_Col!$AH19," ")</f>
        <v xml:space="preserve"> </v>
      </c>
      <c r="CC19" s="26" t="str">
        <f>IFERROR($AC19*HDF_Limited_Col!CC19/HDF_Limited_Col!$AH19," ")</f>
        <v xml:space="preserve"> </v>
      </c>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row>
    <row r="20" spans="1:109">
      <c r="A20" s="26" t="s">
        <v>842</v>
      </c>
      <c r="B20" s="26" t="s">
        <v>24</v>
      </c>
      <c r="C20" s="152" t="s">
        <v>1800</v>
      </c>
      <c r="D20" s="26" t="s">
        <v>1709</v>
      </c>
      <c r="E20" s="26" t="s">
        <v>237</v>
      </c>
      <c r="F20" s="26" t="s">
        <v>29</v>
      </c>
      <c r="G20" s="26" t="s">
        <v>595</v>
      </c>
      <c r="H20" s="30">
        <v>360</v>
      </c>
      <c r="I20" s="26" t="s">
        <v>712</v>
      </c>
      <c r="J20" s="26"/>
      <c r="K20" s="26" t="s">
        <v>913</v>
      </c>
      <c r="L20" s="26"/>
      <c r="M20" s="26" t="s">
        <v>64</v>
      </c>
      <c r="N20" s="26" t="s">
        <v>1084</v>
      </c>
      <c r="O20" s="95">
        <v>13.221836588199597</v>
      </c>
      <c r="P20" s="95">
        <v>0.10493521101745715</v>
      </c>
      <c r="Q20" s="95">
        <v>1.0493521101745713</v>
      </c>
      <c r="R20" s="95">
        <v>11.018197156832999</v>
      </c>
      <c r="S20" s="95">
        <v>39.455639342563877</v>
      </c>
      <c r="T20" s="95">
        <v>28.75224781878325</v>
      </c>
      <c r="U20" s="95">
        <v>0</v>
      </c>
      <c r="V20" s="95">
        <v>0</v>
      </c>
      <c r="W20" s="95">
        <v>4.4072788627331994</v>
      </c>
      <c r="X20" s="95">
        <v>1.2592225322094854</v>
      </c>
      <c r="Y20" s="95">
        <v>0.94441689915711424</v>
      </c>
      <c r="Z20" s="95">
        <v>100.21312652167155</v>
      </c>
      <c r="AA20" s="26"/>
      <c r="AB20" s="26"/>
      <c r="AC20" s="26">
        <f t="shared" si="0"/>
        <v>36586.4659621557</v>
      </c>
      <c r="AD20" s="26" t="str">
        <f>IFERROR($AC20*HDF_Limited_Col!AD20/HDF_Limited_Col!$AH20," ")</f>
        <v xml:space="preserve"> </v>
      </c>
      <c r="AE20" s="26" t="str">
        <f>IFERROR($AC20*HDF_Limited_Col!AE20/HDF_Limited_Col!$AH20," ")</f>
        <v xml:space="preserve"> </v>
      </c>
      <c r="AF20" s="26" t="str">
        <f>IFERROR($AC20*HDF_Limited_Col!AF20/HDF_Limited_Col!$AH20," ")</f>
        <v xml:space="preserve"> </v>
      </c>
      <c r="AG20" s="26" t="str">
        <f>IFERROR($AC20*HDF_Limited_Col!AG20/HDF_Limited_Col!$AH20," ")</f>
        <v xml:space="preserve"> </v>
      </c>
      <c r="AH20" s="26" t="str">
        <f>IFERROR($AC20*HDF_Limited_Col!AH20/HDF_Limited_Col!$AH20," ")</f>
        <v xml:space="preserve"> </v>
      </c>
      <c r="AI20" s="26" t="str">
        <f>IFERROR($AC20*HDF_Limited_Col!AI20/HDF_Limited_Col!$AH20," ")</f>
        <v xml:space="preserve"> </v>
      </c>
      <c r="AJ20" s="26" t="str">
        <f>IFERROR($AC20*HDF_Limited_Col!AJ20/HDF_Limited_Col!$AH20," ")</f>
        <v xml:space="preserve"> </v>
      </c>
      <c r="AK20" s="26" t="str">
        <f>IFERROR($AC20*HDF_Limited_Col!AK20/HDF_Limited_Col!$AH20," ")</f>
        <v xml:space="preserve"> </v>
      </c>
      <c r="AL20" s="26" t="str">
        <f>IFERROR($AC20*HDF_Limited_Col!AL20/HDF_Limited_Col!$AH20," ")</f>
        <v xml:space="preserve"> </v>
      </c>
      <c r="AM20" s="26" t="str">
        <f>IFERROR($AC20*HDF_Limited_Col!AM20/HDF_Limited_Col!$AH20," ")</f>
        <v xml:space="preserve"> </v>
      </c>
      <c r="AN20" s="26" t="str">
        <f>IFERROR($AC20*HDF_Limited_Col!AN20/HDF_Limited_Col!$AH20," ")</f>
        <v xml:space="preserve"> </v>
      </c>
      <c r="AO20" s="26" t="str">
        <f>IFERROR($AC20*HDF_Limited_Col!AO20/HDF_Limited_Col!$AH20," ")</f>
        <v xml:space="preserve"> </v>
      </c>
      <c r="AP20" s="26" t="str">
        <f>IFERROR($AC20*HDF_Limited_Col!AP20/HDF_Limited_Col!$AH20," ")</f>
        <v xml:space="preserve"> </v>
      </c>
      <c r="AQ20" s="26" t="str">
        <f>IFERROR($AC20*HDF_Limited_Col!AQ20/HDF_Limited_Col!$AH20," ")</f>
        <v xml:space="preserve"> </v>
      </c>
      <c r="AR20" s="26" t="str">
        <f>IFERROR($AC20*HDF_Limited_Col!AR20/HDF_Limited_Col!$AH20," ")</f>
        <v xml:space="preserve"> </v>
      </c>
      <c r="AS20" s="26" t="str">
        <f>IFERROR($AC20*HDF_Limited_Col!AS20/HDF_Limited_Col!$AH20," ")</f>
        <v xml:space="preserve"> </v>
      </c>
      <c r="AT20" s="26" t="str">
        <f>IFERROR($AC20*HDF_Limited_Col!AT20/HDF_Limited_Col!$AH20," ")</f>
        <v xml:space="preserve"> </v>
      </c>
      <c r="AU20" s="26" t="str">
        <f>IFERROR($AC20*HDF_Limited_Col!AU20/HDF_Limited_Col!$AH20," ")</f>
        <v xml:space="preserve"> </v>
      </c>
      <c r="AV20" s="26" t="str">
        <f>IFERROR($AC20*HDF_Limited_Col!AV20/HDF_Limited_Col!$AH20," ")</f>
        <v xml:space="preserve"> </v>
      </c>
      <c r="AW20" s="26" t="str">
        <f>IFERROR($AC20*HDF_Limited_Col!AW20/HDF_Limited_Col!$AH20," ")</f>
        <v xml:space="preserve"> </v>
      </c>
      <c r="AX20" s="26" t="str">
        <f>IFERROR($AC20*HDF_Limited_Col!AX20/HDF_Limited_Col!$AH20," ")</f>
        <v xml:space="preserve"> </v>
      </c>
      <c r="AY20" s="26" t="str">
        <f>IFERROR($AC20*HDF_Limited_Col!AY20/HDF_Limited_Col!$AH20," ")</f>
        <v xml:space="preserve"> </v>
      </c>
      <c r="AZ20" s="26" t="str">
        <f>IFERROR($AC20*HDF_Limited_Col!AZ20/HDF_Limited_Col!$AH20," ")</f>
        <v xml:space="preserve"> </v>
      </c>
      <c r="BA20" s="26" t="str">
        <f>IFERROR($AC20*HDF_Limited_Col!BA20/HDF_Limited_Col!$AH20," ")</f>
        <v xml:space="preserve"> </v>
      </c>
      <c r="BB20" s="26" t="str">
        <f>IFERROR($AC20*HDF_Limited_Col!BB20/HDF_Limited_Col!$AH20," ")</f>
        <v xml:space="preserve"> </v>
      </c>
      <c r="BC20" s="26" t="str">
        <f>IFERROR($AC20*HDF_Limited_Col!BC20/HDF_Limited_Col!$AH20," ")</f>
        <v xml:space="preserve"> </v>
      </c>
      <c r="BD20" s="26" t="str">
        <f>IFERROR($AC20*HDF_Limited_Col!BD20/HDF_Limited_Col!$AH20," ")</f>
        <v xml:space="preserve"> </v>
      </c>
      <c r="BE20" s="26" t="str">
        <f>IFERROR($AC20*HDF_Limited_Col!BE20/HDF_Limited_Col!$AH20," ")</f>
        <v xml:space="preserve"> </v>
      </c>
      <c r="BF20" s="26" t="str">
        <f>IFERROR($AC20*HDF_Limited_Col!BF20/HDF_Limited_Col!$AH20," ")</f>
        <v xml:space="preserve"> </v>
      </c>
      <c r="BG20" s="26" t="str">
        <f>IFERROR($AC20*HDF_Limited_Col!BG20/HDF_Limited_Col!$AH20," ")</f>
        <v xml:space="preserve"> </v>
      </c>
      <c r="BH20" s="26" t="str">
        <f>IFERROR($AC20*HDF_Limited_Col!BH20/HDF_Limited_Col!$AH20," ")</f>
        <v xml:space="preserve"> </v>
      </c>
      <c r="BI20" s="26" t="str">
        <f>IFERROR($AC20*HDF_Limited_Col!BI20/HDF_Limited_Col!$AH20," ")</f>
        <v xml:space="preserve"> </v>
      </c>
      <c r="BJ20" s="26" t="str">
        <f>IFERROR($AC20*HDF_Limited_Col!BJ20/HDF_Limited_Col!$AH20," ")</f>
        <v xml:space="preserve"> </v>
      </c>
      <c r="BK20" s="26" t="str">
        <f>IFERROR($AC20*HDF_Limited_Col!BK20/HDF_Limited_Col!$AH20," ")</f>
        <v xml:space="preserve"> </v>
      </c>
      <c r="BL20" s="26" t="str">
        <f>IFERROR($AC20*HDF_Limited_Col!BL20/HDF_Limited_Col!$AH20," ")</f>
        <v xml:space="preserve"> </v>
      </c>
      <c r="BM20" s="26" t="str">
        <f>IFERROR($AC20*HDF_Limited_Col!BM20/HDF_Limited_Col!$AH20," ")</f>
        <v xml:space="preserve"> </v>
      </c>
      <c r="BN20" s="26" t="str">
        <f>IFERROR($AC20*HDF_Limited_Col!BN20/HDF_Limited_Col!$AH20," ")</f>
        <v xml:space="preserve"> </v>
      </c>
      <c r="BO20" s="26" t="str">
        <f>IFERROR($AC20*HDF_Limited_Col!BO20/HDF_Limited_Col!$AH20," ")</f>
        <v xml:space="preserve"> </v>
      </c>
      <c r="BP20" s="26" t="str">
        <f>IFERROR($AC20*HDF_Limited_Col!BP20/HDF_Limited_Col!$AH20," ")</f>
        <v xml:space="preserve"> </v>
      </c>
      <c r="BQ20" s="26" t="str">
        <f>IFERROR($AC20*HDF_Limited_Col!BQ20/HDF_Limited_Col!$AH20," ")</f>
        <v xml:space="preserve"> </v>
      </c>
      <c r="BR20" s="26" t="str">
        <f>IFERROR($AC20*HDF_Limited_Col!BR20/HDF_Limited_Col!$AH20," ")</f>
        <v xml:space="preserve"> </v>
      </c>
      <c r="BS20" s="26" t="str">
        <f>IFERROR($AC20*HDF_Limited_Col!BS20/HDF_Limited_Col!$AH20," ")</f>
        <v xml:space="preserve"> </v>
      </c>
      <c r="BT20" s="26" t="str">
        <f>IFERROR($AC20*HDF_Limited_Col!BT20/HDF_Limited_Col!$AH20," ")</f>
        <v xml:space="preserve"> </v>
      </c>
      <c r="BU20" s="26" t="str">
        <f>IFERROR($AC20*HDF_Limited_Col!BU20/HDF_Limited_Col!$AH20," ")</f>
        <v xml:space="preserve"> </v>
      </c>
      <c r="BV20" s="26" t="str">
        <f>IFERROR($AC20*HDF_Limited_Col!BV20/HDF_Limited_Col!$AH20," ")</f>
        <v xml:space="preserve"> </v>
      </c>
      <c r="BW20" s="26" t="str">
        <f>IFERROR($AC20*HDF_Limited_Col!BW20/HDF_Limited_Col!$AH20," ")</f>
        <v xml:space="preserve"> </v>
      </c>
      <c r="BX20" s="26" t="str">
        <f>IFERROR($AC20*HDF_Limited_Col!BX20/HDF_Limited_Col!$AH20," ")</f>
        <v xml:space="preserve"> </v>
      </c>
      <c r="BY20" s="26" t="str">
        <f>IFERROR($AC20*HDF_Limited_Col!BY20/HDF_Limited_Col!$AH20," ")</f>
        <v xml:space="preserve"> </v>
      </c>
      <c r="BZ20" s="26" t="str">
        <f>IFERROR($AC20*HDF_Limited_Col!BZ20/HDF_Limited_Col!$AH20," ")</f>
        <v xml:space="preserve"> </v>
      </c>
      <c r="CA20" s="26" t="str">
        <f>IFERROR($AC20*HDF_Limited_Col!CA20/HDF_Limited_Col!$AH20," ")</f>
        <v xml:space="preserve"> </v>
      </c>
      <c r="CB20" s="26" t="str">
        <f>IFERROR($AC20*HDF_Limited_Col!CB20/HDF_Limited_Col!$AH20," ")</f>
        <v xml:space="preserve"> </v>
      </c>
      <c r="CC20" s="26" t="str">
        <f>IFERROR($AC20*HDF_Limited_Col!CC20/HDF_Limited_Col!$AH20," ")</f>
        <v xml:space="preserve"> </v>
      </c>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row>
    <row r="21" spans="1:109">
      <c r="A21" s="26" t="s">
        <v>842</v>
      </c>
      <c r="B21" s="26" t="s">
        <v>24</v>
      </c>
      <c r="C21" s="152" t="s">
        <v>1800</v>
      </c>
      <c r="D21" s="26" t="s">
        <v>1709</v>
      </c>
      <c r="E21" s="26" t="s">
        <v>237</v>
      </c>
      <c r="F21" s="26" t="s">
        <v>29</v>
      </c>
      <c r="G21" s="26" t="s">
        <v>595</v>
      </c>
      <c r="H21" s="30">
        <v>360</v>
      </c>
      <c r="I21" s="26" t="s">
        <v>712</v>
      </c>
      <c r="J21" s="26"/>
      <c r="K21" s="26" t="s">
        <v>913</v>
      </c>
      <c r="L21" s="26"/>
      <c r="M21" s="26" t="s">
        <v>65</v>
      </c>
      <c r="N21" s="26" t="s">
        <v>1084</v>
      </c>
      <c r="O21" s="95">
        <v>12.936587400278141</v>
      </c>
      <c r="P21" s="95">
        <v>0</v>
      </c>
      <c r="Q21" s="95">
        <v>0.76097572942812586</v>
      </c>
      <c r="R21" s="95">
        <v>17.393730958357164</v>
      </c>
      <c r="S21" s="95">
        <v>40.223002841200937</v>
      </c>
      <c r="T21" s="95">
        <v>15.436936225541981</v>
      </c>
      <c r="U21" s="95">
        <v>0</v>
      </c>
      <c r="V21" s="95">
        <v>4.2397219210995587</v>
      </c>
      <c r="W21" s="95">
        <v>7.9358897497504559</v>
      </c>
      <c r="X21" s="95">
        <v>0.65226491093839356</v>
      </c>
      <c r="Y21" s="95">
        <v>0.54355409244866137</v>
      </c>
      <c r="Z21" s="95">
        <v>100.12266382904343</v>
      </c>
      <c r="AA21" s="26"/>
      <c r="AB21" s="26"/>
      <c r="AC21" s="26">
        <f t="shared" si="1"/>
        <v>65878.7812733514</v>
      </c>
      <c r="AD21" s="26" t="str">
        <f>IFERROR($AC21*HDF_Limited_Col!AD21/HDF_Limited_Col!$AH21," ")</f>
        <v xml:space="preserve"> </v>
      </c>
      <c r="AE21" s="26" t="str">
        <f>IFERROR($AC21*HDF_Limited_Col!AE21/HDF_Limited_Col!$AH21," ")</f>
        <v xml:space="preserve"> </v>
      </c>
      <c r="AF21" s="26" t="str">
        <f>IFERROR($AC21*HDF_Limited_Col!AF21/HDF_Limited_Col!$AH21," ")</f>
        <v xml:space="preserve"> </v>
      </c>
      <c r="AG21" s="26" t="str">
        <f>IFERROR($AC21*HDF_Limited_Col!AG21/HDF_Limited_Col!$AH21," ")</f>
        <v xml:space="preserve"> </v>
      </c>
      <c r="AH21" s="26" t="str">
        <f>IFERROR($AC21*HDF_Limited_Col!AH21/HDF_Limited_Col!$AH21," ")</f>
        <v xml:space="preserve"> </v>
      </c>
      <c r="AI21" s="26" t="str">
        <f>IFERROR($AC21*HDF_Limited_Col!AI21/HDF_Limited_Col!$AH21," ")</f>
        <v xml:space="preserve"> </v>
      </c>
      <c r="AJ21" s="26" t="str">
        <f>IFERROR($AC21*HDF_Limited_Col!AJ21/HDF_Limited_Col!$AH21," ")</f>
        <v xml:space="preserve"> </v>
      </c>
      <c r="AK21" s="26" t="str">
        <f>IFERROR($AC21*HDF_Limited_Col!AK21/HDF_Limited_Col!$AH21," ")</f>
        <v xml:space="preserve"> </v>
      </c>
      <c r="AL21" s="26" t="str">
        <f>IFERROR($AC21*HDF_Limited_Col!AL21/HDF_Limited_Col!$AH21," ")</f>
        <v xml:space="preserve"> </v>
      </c>
      <c r="AM21" s="26" t="str">
        <f>IFERROR($AC21*HDF_Limited_Col!AM21/HDF_Limited_Col!$AH21," ")</f>
        <v xml:space="preserve"> </v>
      </c>
      <c r="AN21" s="26" t="str">
        <f>IFERROR($AC21*HDF_Limited_Col!AN21/HDF_Limited_Col!$AH21," ")</f>
        <v xml:space="preserve"> </v>
      </c>
      <c r="AO21" s="26" t="str">
        <f>IFERROR($AC21*HDF_Limited_Col!AO21/HDF_Limited_Col!$AH21," ")</f>
        <v xml:space="preserve"> </v>
      </c>
      <c r="AP21" s="26" t="str">
        <f>IFERROR($AC21*HDF_Limited_Col!AP21/HDF_Limited_Col!$AH21," ")</f>
        <v xml:space="preserve"> </v>
      </c>
      <c r="AQ21" s="26" t="str">
        <f>IFERROR($AC21*HDF_Limited_Col!AQ21/HDF_Limited_Col!$AH21," ")</f>
        <v xml:space="preserve"> </v>
      </c>
      <c r="AR21" s="26" t="str">
        <f>IFERROR($AC21*HDF_Limited_Col!AR21/HDF_Limited_Col!$AH21," ")</f>
        <v xml:space="preserve"> </v>
      </c>
      <c r="AS21" s="26" t="str">
        <f>IFERROR($AC21*HDF_Limited_Col!AS21/HDF_Limited_Col!$AH21," ")</f>
        <v xml:space="preserve"> </v>
      </c>
      <c r="AT21" s="26" t="str">
        <f>IFERROR($AC21*HDF_Limited_Col!AT21/HDF_Limited_Col!$AH21," ")</f>
        <v xml:space="preserve"> </v>
      </c>
      <c r="AU21" s="26" t="str">
        <f>IFERROR($AC21*HDF_Limited_Col!AU21/HDF_Limited_Col!$AH21," ")</f>
        <v xml:space="preserve"> </v>
      </c>
      <c r="AV21" s="26" t="str">
        <f>IFERROR($AC21*HDF_Limited_Col!AV21/HDF_Limited_Col!$AH21," ")</f>
        <v xml:space="preserve"> </v>
      </c>
      <c r="AW21" s="26" t="str">
        <f>IFERROR($AC21*HDF_Limited_Col!AW21/HDF_Limited_Col!$AH21," ")</f>
        <v xml:space="preserve"> </v>
      </c>
      <c r="AX21" s="26" t="str">
        <f>IFERROR($AC21*HDF_Limited_Col!AX21/HDF_Limited_Col!$AH21," ")</f>
        <v xml:space="preserve"> </v>
      </c>
      <c r="AY21" s="26" t="str">
        <f>IFERROR($AC21*HDF_Limited_Col!AY21/HDF_Limited_Col!$AH21," ")</f>
        <v xml:space="preserve"> </v>
      </c>
      <c r="AZ21" s="26" t="str">
        <f>IFERROR($AC21*HDF_Limited_Col!AZ21/HDF_Limited_Col!$AH21," ")</f>
        <v xml:space="preserve"> </v>
      </c>
      <c r="BA21" s="26" t="str">
        <f>IFERROR($AC21*HDF_Limited_Col!BA21/HDF_Limited_Col!$AH21," ")</f>
        <v xml:space="preserve"> </v>
      </c>
      <c r="BB21" s="26" t="str">
        <f>IFERROR($AC21*HDF_Limited_Col!BB21/HDF_Limited_Col!$AH21," ")</f>
        <v xml:space="preserve"> </v>
      </c>
      <c r="BC21" s="26" t="str">
        <f>IFERROR($AC21*HDF_Limited_Col!BC21/HDF_Limited_Col!$AH21," ")</f>
        <v xml:space="preserve"> </v>
      </c>
      <c r="BD21" s="26" t="str">
        <f>IFERROR($AC21*HDF_Limited_Col!BD21/HDF_Limited_Col!$AH21," ")</f>
        <v xml:space="preserve"> </v>
      </c>
      <c r="BE21" s="26" t="str">
        <f>IFERROR($AC21*HDF_Limited_Col!BE21/HDF_Limited_Col!$AH21," ")</f>
        <v xml:space="preserve"> </v>
      </c>
      <c r="BF21" s="26" t="str">
        <f>IFERROR($AC21*HDF_Limited_Col!BF21/HDF_Limited_Col!$AH21," ")</f>
        <v xml:space="preserve"> </v>
      </c>
      <c r="BG21" s="26" t="str">
        <f>IFERROR($AC21*HDF_Limited_Col!BG21/HDF_Limited_Col!$AH21," ")</f>
        <v xml:space="preserve"> </v>
      </c>
      <c r="BH21" s="26" t="str">
        <f>IFERROR($AC21*HDF_Limited_Col!BH21/HDF_Limited_Col!$AH21," ")</f>
        <v xml:space="preserve"> </v>
      </c>
      <c r="BI21" s="26" t="str">
        <f>IFERROR($AC21*HDF_Limited_Col!BI21/HDF_Limited_Col!$AH21," ")</f>
        <v xml:space="preserve"> </v>
      </c>
      <c r="BJ21" s="26" t="str">
        <f>IFERROR($AC21*HDF_Limited_Col!BJ21/HDF_Limited_Col!$AH21," ")</f>
        <v xml:space="preserve"> </v>
      </c>
      <c r="BK21" s="26" t="str">
        <f>IFERROR($AC21*HDF_Limited_Col!BK21/HDF_Limited_Col!$AH21," ")</f>
        <v xml:space="preserve"> </v>
      </c>
      <c r="BL21" s="26" t="str">
        <f>IFERROR($AC21*HDF_Limited_Col!BL21/HDF_Limited_Col!$AH21," ")</f>
        <v xml:space="preserve"> </v>
      </c>
      <c r="BM21" s="26" t="str">
        <f>IFERROR($AC21*HDF_Limited_Col!BM21/HDF_Limited_Col!$AH21," ")</f>
        <v xml:space="preserve"> </v>
      </c>
      <c r="BN21" s="26" t="str">
        <f>IFERROR($AC21*HDF_Limited_Col!BN21/HDF_Limited_Col!$AH21," ")</f>
        <v xml:space="preserve"> </v>
      </c>
      <c r="BO21" s="26" t="str">
        <f>IFERROR($AC21*HDF_Limited_Col!BO21/HDF_Limited_Col!$AH21," ")</f>
        <v xml:space="preserve"> </v>
      </c>
      <c r="BP21" s="26" t="str">
        <f>IFERROR($AC21*HDF_Limited_Col!BP21/HDF_Limited_Col!$AH21," ")</f>
        <v xml:space="preserve"> </v>
      </c>
      <c r="BQ21" s="26" t="str">
        <f>IFERROR($AC21*HDF_Limited_Col!BQ21/HDF_Limited_Col!$AH21," ")</f>
        <v xml:space="preserve"> </v>
      </c>
      <c r="BR21" s="26" t="str">
        <f>IFERROR($AC21*HDF_Limited_Col!BR21/HDF_Limited_Col!$AH21," ")</f>
        <v xml:space="preserve"> </v>
      </c>
      <c r="BS21" s="26" t="str">
        <f>IFERROR($AC21*HDF_Limited_Col!BS21/HDF_Limited_Col!$AH21," ")</f>
        <v xml:space="preserve"> </v>
      </c>
      <c r="BT21" s="26" t="str">
        <f>IFERROR($AC21*HDF_Limited_Col!BT21/HDF_Limited_Col!$AH21," ")</f>
        <v xml:space="preserve"> </v>
      </c>
      <c r="BU21" s="26" t="str">
        <f>IFERROR($AC21*HDF_Limited_Col!BU21/HDF_Limited_Col!$AH21," ")</f>
        <v xml:space="preserve"> </v>
      </c>
      <c r="BV21" s="26" t="str">
        <f>IFERROR($AC21*HDF_Limited_Col!BV21/HDF_Limited_Col!$AH21," ")</f>
        <v xml:space="preserve"> </v>
      </c>
      <c r="BW21" s="26" t="str">
        <f>IFERROR($AC21*HDF_Limited_Col!BW21/HDF_Limited_Col!$AH21," ")</f>
        <v xml:space="preserve"> </v>
      </c>
      <c r="BX21" s="26" t="str">
        <f>IFERROR($AC21*HDF_Limited_Col!BX21/HDF_Limited_Col!$AH21," ")</f>
        <v xml:space="preserve"> </v>
      </c>
      <c r="BY21" s="26" t="str">
        <f>IFERROR($AC21*HDF_Limited_Col!BY21/HDF_Limited_Col!$AH21," ")</f>
        <v xml:space="preserve"> </v>
      </c>
      <c r="BZ21" s="26" t="str">
        <f>IFERROR($AC21*HDF_Limited_Col!BZ21/HDF_Limited_Col!$AH21," ")</f>
        <v xml:space="preserve"> </v>
      </c>
      <c r="CA21" s="26" t="str">
        <f>IFERROR($AC21*HDF_Limited_Col!CA21/HDF_Limited_Col!$AH21," ")</f>
        <v xml:space="preserve"> </v>
      </c>
      <c r="CB21" s="26" t="str">
        <f>IFERROR($AC21*HDF_Limited_Col!CB21/HDF_Limited_Col!$AH21," ")</f>
        <v xml:space="preserve"> </v>
      </c>
      <c r="CC21" s="26" t="str">
        <f>IFERROR($AC21*HDF_Limited_Col!CC21/HDF_Limited_Col!$AH21," ")</f>
        <v xml:space="preserve"> </v>
      </c>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row>
    <row r="22" spans="1:109">
      <c r="A22" s="26" t="s">
        <v>842</v>
      </c>
      <c r="B22" s="26" t="s">
        <v>24</v>
      </c>
      <c r="C22" s="152" t="s">
        <v>1800</v>
      </c>
      <c r="D22" s="26" t="s">
        <v>1709</v>
      </c>
      <c r="E22" s="26" t="s">
        <v>237</v>
      </c>
      <c r="F22" s="26" t="s">
        <v>29</v>
      </c>
      <c r="G22" s="26" t="s">
        <v>595</v>
      </c>
      <c r="H22" s="30">
        <v>360</v>
      </c>
      <c r="I22" s="26" t="s">
        <v>712</v>
      </c>
      <c r="J22" s="26"/>
      <c r="K22" s="26" t="s">
        <v>913</v>
      </c>
      <c r="L22" s="26"/>
      <c r="M22" s="26" t="s">
        <v>53</v>
      </c>
      <c r="N22" s="26" t="s">
        <v>1084</v>
      </c>
      <c r="O22" s="95">
        <v>11.459294960467115</v>
      </c>
      <c r="P22" s="95">
        <v>1.2388426984288774</v>
      </c>
      <c r="Q22" s="95">
        <v>3.6132912037508929</v>
      </c>
      <c r="R22" s="95">
        <v>13.524032791181911</v>
      </c>
      <c r="S22" s="95">
        <v>45.837179841868462</v>
      </c>
      <c r="T22" s="95">
        <v>17.756745344147244</v>
      </c>
      <c r="U22" s="95">
        <v>0</v>
      </c>
      <c r="V22" s="95">
        <v>3.7165280952866322</v>
      </c>
      <c r="W22" s="95">
        <v>1.651790264571837</v>
      </c>
      <c r="X22" s="95">
        <v>0.72265824075017848</v>
      </c>
      <c r="Y22" s="95">
        <v>0.6194213492144387</v>
      </c>
      <c r="Z22" s="95">
        <v>100.1397847896676</v>
      </c>
      <c r="AA22" s="26"/>
      <c r="AB22" s="26"/>
      <c r="AC22" s="26">
        <f t="shared" si="0"/>
        <v>13712.127181782113</v>
      </c>
      <c r="AD22" s="26" t="str">
        <f>IFERROR($AC22*HDF_Limited_Col!AD22/HDF_Limited_Col!$AH22," ")</f>
        <v xml:space="preserve"> </v>
      </c>
      <c r="AE22" s="26" t="str">
        <f>IFERROR($AC22*HDF_Limited_Col!AE22/HDF_Limited_Col!$AH22," ")</f>
        <v xml:space="preserve"> </v>
      </c>
      <c r="AF22" s="26" t="str">
        <f>IFERROR($AC22*HDF_Limited_Col!AF22/HDF_Limited_Col!$AH22," ")</f>
        <v xml:space="preserve"> </v>
      </c>
      <c r="AG22" s="26" t="str">
        <f>IFERROR($AC22*HDF_Limited_Col!AG22/HDF_Limited_Col!$AH22," ")</f>
        <v xml:space="preserve"> </v>
      </c>
      <c r="AH22" s="26" t="str">
        <f>IFERROR($AC22*HDF_Limited_Col!AH22/HDF_Limited_Col!$AH22," ")</f>
        <v xml:space="preserve"> </v>
      </c>
      <c r="AI22" s="26" t="str">
        <f>IFERROR($AC22*HDF_Limited_Col!AI22/HDF_Limited_Col!$AH22," ")</f>
        <v xml:space="preserve"> </v>
      </c>
      <c r="AJ22" s="26" t="str">
        <f>IFERROR($AC22*HDF_Limited_Col!AJ22/HDF_Limited_Col!$AH22," ")</f>
        <v xml:space="preserve"> </v>
      </c>
      <c r="AK22" s="26" t="str">
        <f>IFERROR($AC22*HDF_Limited_Col!AK22/HDF_Limited_Col!$AH22," ")</f>
        <v xml:space="preserve"> </v>
      </c>
      <c r="AL22" s="26" t="str">
        <f>IFERROR($AC22*HDF_Limited_Col!AL22/HDF_Limited_Col!$AH22," ")</f>
        <v xml:space="preserve"> </v>
      </c>
      <c r="AM22" s="26" t="str">
        <f>IFERROR($AC22*HDF_Limited_Col!AM22/HDF_Limited_Col!$AH22," ")</f>
        <v xml:space="preserve"> </v>
      </c>
      <c r="AN22" s="26" t="str">
        <f>IFERROR($AC22*HDF_Limited_Col!AN22/HDF_Limited_Col!$AH22," ")</f>
        <v xml:space="preserve"> </v>
      </c>
      <c r="AO22" s="26" t="str">
        <f>IFERROR($AC22*HDF_Limited_Col!AO22/HDF_Limited_Col!$AH22," ")</f>
        <v xml:space="preserve"> </v>
      </c>
      <c r="AP22" s="26" t="str">
        <f>IFERROR($AC22*HDF_Limited_Col!AP22/HDF_Limited_Col!$AH22," ")</f>
        <v xml:space="preserve"> </v>
      </c>
      <c r="AQ22" s="26" t="str">
        <f>IFERROR($AC22*HDF_Limited_Col!AQ22/HDF_Limited_Col!$AH22," ")</f>
        <v xml:space="preserve"> </v>
      </c>
      <c r="AR22" s="26" t="str">
        <f>IFERROR($AC22*HDF_Limited_Col!AR22/HDF_Limited_Col!$AH22," ")</f>
        <v xml:space="preserve"> </v>
      </c>
      <c r="AS22" s="26" t="str">
        <f>IFERROR($AC22*HDF_Limited_Col!AS22/HDF_Limited_Col!$AH22," ")</f>
        <v xml:space="preserve"> </v>
      </c>
      <c r="AT22" s="26" t="str">
        <f>IFERROR($AC22*HDF_Limited_Col!AT22/HDF_Limited_Col!$AH22," ")</f>
        <v xml:space="preserve"> </v>
      </c>
      <c r="AU22" s="26" t="str">
        <f>IFERROR($AC22*HDF_Limited_Col!AU22/HDF_Limited_Col!$AH22," ")</f>
        <v xml:space="preserve"> </v>
      </c>
      <c r="AV22" s="26" t="str">
        <f>IFERROR($AC22*HDF_Limited_Col!AV22/HDF_Limited_Col!$AH22," ")</f>
        <v xml:space="preserve"> </v>
      </c>
      <c r="AW22" s="26" t="str">
        <f>IFERROR($AC22*HDF_Limited_Col!AW22/HDF_Limited_Col!$AH22," ")</f>
        <v xml:space="preserve"> </v>
      </c>
      <c r="AX22" s="26" t="str">
        <f>IFERROR($AC22*HDF_Limited_Col!AX22/HDF_Limited_Col!$AH22," ")</f>
        <v xml:space="preserve"> </v>
      </c>
      <c r="AY22" s="26" t="str">
        <f>IFERROR($AC22*HDF_Limited_Col!AY22/HDF_Limited_Col!$AH22," ")</f>
        <v xml:space="preserve"> </v>
      </c>
      <c r="AZ22" s="26" t="str">
        <f>IFERROR($AC22*HDF_Limited_Col!AZ22/HDF_Limited_Col!$AH22," ")</f>
        <v xml:space="preserve"> </v>
      </c>
      <c r="BA22" s="26" t="str">
        <f>IFERROR($AC22*HDF_Limited_Col!BA22/HDF_Limited_Col!$AH22," ")</f>
        <v xml:space="preserve"> </v>
      </c>
      <c r="BB22" s="26" t="str">
        <f>IFERROR($AC22*HDF_Limited_Col!BB22/HDF_Limited_Col!$AH22," ")</f>
        <v xml:space="preserve"> </v>
      </c>
      <c r="BC22" s="26" t="str">
        <f>IFERROR($AC22*HDF_Limited_Col!BC22/HDF_Limited_Col!$AH22," ")</f>
        <v xml:space="preserve"> </v>
      </c>
      <c r="BD22" s="26" t="str">
        <f>IFERROR($AC22*HDF_Limited_Col!BD22/HDF_Limited_Col!$AH22," ")</f>
        <v xml:space="preserve"> </v>
      </c>
      <c r="BE22" s="26" t="str">
        <f>IFERROR($AC22*HDF_Limited_Col!BE22/HDF_Limited_Col!$AH22," ")</f>
        <v xml:space="preserve"> </v>
      </c>
      <c r="BF22" s="26" t="str">
        <f>IFERROR($AC22*HDF_Limited_Col!BF22/HDF_Limited_Col!$AH22," ")</f>
        <v xml:space="preserve"> </v>
      </c>
      <c r="BG22" s="26" t="str">
        <f>IFERROR($AC22*HDF_Limited_Col!BG22/HDF_Limited_Col!$AH22," ")</f>
        <v xml:space="preserve"> </v>
      </c>
      <c r="BH22" s="26" t="str">
        <f>IFERROR($AC22*HDF_Limited_Col!BH22/HDF_Limited_Col!$AH22," ")</f>
        <v xml:space="preserve"> </v>
      </c>
      <c r="BI22" s="26" t="str">
        <f>IFERROR($AC22*HDF_Limited_Col!BI22/HDF_Limited_Col!$AH22," ")</f>
        <v xml:space="preserve"> </v>
      </c>
      <c r="BJ22" s="26" t="str">
        <f>IFERROR($AC22*HDF_Limited_Col!BJ22/HDF_Limited_Col!$AH22," ")</f>
        <v xml:space="preserve"> </v>
      </c>
      <c r="BK22" s="26" t="str">
        <f>IFERROR($AC22*HDF_Limited_Col!BK22/HDF_Limited_Col!$AH22," ")</f>
        <v xml:space="preserve"> </v>
      </c>
      <c r="BL22" s="26" t="str">
        <f>IFERROR($AC22*HDF_Limited_Col!BL22/HDF_Limited_Col!$AH22," ")</f>
        <v xml:space="preserve"> </v>
      </c>
      <c r="BM22" s="26" t="str">
        <f>IFERROR($AC22*HDF_Limited_Col!BM22/HDF_Limited_Col!$AH22," ")</f>
        <v xml:space="preserve"> </v>
      </c>
      <c r="BN22" s="26" t="str">
        <f>IFERROR($AC22*HDF_Limited_Col!BN22/HDF_Limited_Col!$AH22," ")</f>
        <v xml:space="preserve"> </v>
      </c>
      <c r="BO22" s="26" t="str">
        <f>IFERROR($AC22*HDF_Limited_Col!BO22/HDF_Limited_Col!$AH22," ")</f>
        <v xml:space="preserve"> </v>
      </c>
      <c r="BP22" s="26" t="str">
        <f>IFERROR($AC22*HDF_Limited_Col!BP22/HDF_Limited_Col!$AH22," ")</f>
        <v xml:space="preserve"> </v>
      </c>
      <c r="BQ22" s="26" t="str">
        <f>IFERROR($AC22*HDF_Limited_Col!BQ22/HDF_Limited_Col!$AH22," ")</f>
        <v xml:space="preserve"> </v>
      </c>
      <c r="BR22" s="26" t="str">
        <f>IFERROR($AC22*HDF_Limited_Col!BR22/HDF_Limited_Col!$AH22," ")</f>
        <v xml:space="preserve"> </v>
      </c>
      <c r="BS22" s="26" t="str">
        <f>IFERROR($AC22*HDF_Limited_Col!BS22/HDF_Limited_Col!$AH22," ")</f>
        <v xml:space="preserve"> </v>
      </c>
      <c r="BT22" s="26" t="str">
        <f>IFERROR($AC22*HDF_Limited_Col!BT22/HDF_Limited_Col!$AH22," ")</f>
        <v xml:space="preserve"> </v>
      </c>
      <c r="BU22" s="26" t="str">
        <f>IFERROR($AC22*HDF_Limited_Col!BU22/HDF_Limited_Col!$AH22," ")</f>
        <v xml:space="preserve"> </v>
      </c>
      <c r="BV22" s="26" t="str">
        <f>IFERROR($AC22*HDF_Limited_Col!BV22/HDF_Limited_Col!$AH22," ")</f>
        <v xml:space="preserve"> </v>
      </c>
      <c r="BW22" s="26" t="str">
        <f>IFERROR($AC22*HDF_Limited_Col!BW22/HDF_Limited_Col!$AH22," ")</f>
        <v xml:space="preserve"> </v>
      </c>
      <c r="BX22" s="26" t="str">
        <f>IFERROR($AC22*HDF_Limited_Col!BX22/HDF_Limited_Col!$AH22," ")</f>
        <v xml:space="preserve"> </v>
      </c>
      <c r="BY22" s="26" t="str">
        <f>IFERROR($AC22*HDF_Limited_Col!BY22/HDF_Limited_Col!$AH22," ")</f>
        <v xml:space="preserve"> </v>
      </c>
      <c r="BZ22" s="26" t="str">
        <f>IFERROR($AC22*HDF_Limited_Col!BZ22/HDF_Limited_Col!$AH22," ")</f>
        <v xml:space="preserve"> </v>
      </c>
      <c r="CA22" s="26" t="str">
        <f>IFERROR($AC22*HDF_Limited_Col!CA22/HDF_Limited_Col!$AH22," ")</f>
        <v xml:space="preserve"> </v>
      </c>
      <c r="CB22" s="26" t="str">
        <f>IFERROR($AC22*HDF_Limited_Col!CB22/HDF_Limited_Col!$AH22," ")</f>
        <v xml:space="preserve"> </v>
      </c>
      <c r="CC22" s="26" t="str">
        <f>IFERROR($AC22*HDF_Limited_Col!CC22/HDF_Limited_Col!$AH22," ")</f>
        <v xml:space="preserve"> </v>
      </c>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row>
    <row r="23" spans="1:109">
      <c r="A23" s="26" t="s">
        <v>842</v>
      </c>
      <c r="B23" s="26" t="s">
        <v>24</v>
      </c>
      <c r="C23" s="152" t="s">
        <v>1800</v>
      </c>
      <c r="D23" s="26" t="s">
        <v>1709</v>
      </c>
      <c r="E23" s="26" t="s">
        <v>237</v>
      </c>
      <c r="F23" s="26" t="s">
        <v>29</v>
      </c>
      <c r="G23" s="26" t="s">
        <v>595</v>
      </c>
      <c r="H23" s="30">
        <v>360</v>
      </c>
      <c r="I23" s="26" t="s">
        <v>712</v>
      </c>
      <c r="J23" s="26"/>
      <c r="K23" s="26" t="s">
        <v>913</v>
      </c>
      <c r="L23" s="26"/>
      <c r="M23" s="26" t="s">
        <v>54</v>
      </c>
      <c r="N23" s="26" t="s">
        <v>1084</v>
      </c>
      <c r="O23" s="95">
        <v>16.356070307855656</v>
      </c>
      <c r="P23" s="95">
        <v>1.7823922771381167</v>
      </c>
      <c r="Q23" s="95">
        <v>1.7823922771381167</v>
      </c>
      <c r="R23" s="95">
        <v>7.4441089221650758</v>
      </c>
      <c r="S23" s="95">
        <v>46.027659391978418</v>
      </c>
      <c r="T23" s="95">
        <v>16.880303330543342</v>
      </c>
      <c r="U23" s="95">
        <v>0</v>
      </c>
      <c r="V23" s="95">
        <v>4.1938641815014508</v>
      </c>
      <c r="W23" s="95">
        <v>4.50840399511406</v>
      </c>
      <c r="X23" s="95">
        <v>0.94361944083782656</v>
      </c>
      <c r="Y23" s="95">
        <v>0.10484660453753628</v>
      </c>
      <c r="Z23" s="95">
        <v>100.0236607288096</v>
      </c>
      <c r="AA23" s="26"/>
      <c r="AB23" s="26"/>
      <c r="AC23" s="26">
        <f t="shared" si="0"/>
        <v>37425.943410486791</v>
      </c>
      <c r="AD23" s="26" t="str">
        <f>IFERROR($AC23*HDF_Limited_Col!AD23/HDF_Limited_Col!$AH23," ")</f>
        <v xml:space="preserve"> </v>
      </c>
      <c r="AE23" s="26" t="str">
        <f>IFERROR($AC23*HDF_Limited_Col!AE23/HDF_Limited_Col!$AH23," ")</f>
        <v xml:space="preserve"> </v>
      </c>
      <c r="AF23" s="26" t="str">
        <f>IFERROR($AC23*HDF_Limited_Col!AF23/HDF_Limited_Col!$AH23," ")</f>
        <v xml:space="preserve"> </v>
      </c>
      <c r="AG23" s="26" t="str">
        <f>IFERROR($AC23*HDF_Limited_Col!AG23/HDF_Limited_Col!$AH23," ")</f>
        <v xml:space="preserve"> </v>
      </c>
      <c r="AH23" s="26" t="str">
        <f>IFERROR($AC23*HDF_Limited_Col!AH23/HDF_Limited_Col!$AH23," ")</f>
        <v xml:space="preserve"> </v>
      </c>
      <c r="AI23" s="26" t="str">
        <f>IFERROR($AC23*HDF_Limited_Col!AI23/HDF_Limited_Col!$AH23," ")</f>
        <v xml:space="preserve"> </v>
      </c>
      <c r="AJ23" s="26" t="str">
        <f>IFERROR($AC23*HDF_Limited_Col!AJ23/HDF_Limited_Col!$AH23," ")</f>
        <v xml:space="preserve"> </v>
      </c>
      <c r="AK23" s="26" t="str">
        <f>IFERROR($AC23*HDF_Limited_Col!AK23/HDF_Limited_Col!$AH23," ")</f>
        <v xml:space="preserve"> </v>
      </c>
      <c r="AL23" s="26" t="str">
        <f>IFERROR($AC23*HDF_Limited_Col!AL23/HDF_Limited_Col!$AH23," ")</f>
        <v xml:space="preserve"> </v>
      </c>
      <c r="AM23" s="26" t="str">
        <f>IFERROR($AC23*HDF_Limited_Col!AM23/HDF_Limited_Col!$AH23," ")</f>
        <v xml:space="preserve"> </v>
      </c>
      <c r="AN23" s="26" t="str">
        <f>IFERROR($AC23*HDF_Limited_Col!AN23/HDF_Limited_Col!$AH23," ")</f>
        <v xml:space="preserve"> </v>
      </c>
      <c r="AO23" s="26" t="str">
        <f>IFERROR($AC23*HDF_Limited_Col!AO23/HDF_Limited_Col!$AH23," ")</f>
        <v xml:space="preserve"> </v>
      </c>
      <c r="AP23" s="26" t="str">
        <f>IFERROR($AC23*HDF_Limited_Col!AP23/HDF_Limited_Col!$AH23," ")</f>
        <v xml:space="preserve"> </v>
      </c>
      <c r="AQ23" s="26" t="str">
        <f>IFERROR($AC23*HDF_Limited_Col!AQ23/HDF_Limited_Col!$AH23," ")</f>
        <v xml:space="preserve"> </v>
      </c>
      <c r="AR23" s="26" t="str">
        <f>IFERROR($AC23*HDF_Limited_Col!AR23/HDF_Limited_Col!$AH23," ")</f>
        <v xml:space="preserve"> </v>
      </c>
      <c r="AS23" s="26" t="str">
        <f>IFERROR($AC23*HDF_Limited_Col!AS23/HDF_Limited_Col!$AH23," ")</f>
        <v xml:space="preserve"> </v>
      </c>
      <c r="AT23" s="26" t="str">
        <f>IFERROR($AC23*HDF_Limited_Col!AT23/HDF_Limited_Col!$AH23," ")</f>
        <v xml:space="preserve"> </v>
      </c>
      <c r="AU23" s="26" t="str">
        <f>IFERROR($AC23*HDF_Limited_Col!AU23/HDF_Limited_Col!$AH23," ")</f>
        <v xml:space="preserve"> </v>
      </c>
      <c r="AV23" s="26" t="str">
        <f>IFERROR($AC23*HDF_Limited_Col!AV23/HDF_Limited_Col!$AH23," ")</f>
        <v xml:space="preserve"> </v>
      </c>
      <c r="AW23" s="26" t="str">
        <f>IFERROR($AC23*HDF_Limited_Col!AW23/HDF_Limited_Col!$AH23," ")</f>
        <v xml:space="preserve"> </v>
      </c>
      <c r="AX23" s="26" t="str">
        <f>IFERROR($AC23*HDF_Limited_Col!AX23/HDF_Limited_Col!$AH23," ")</f>
        <v xml:space="preserve"> </v>
      </c>
      <c r="AY23" s="26" t="str">
        <f>IFERROR($AC23*HDF_Limited_Col!AY23/HDF_Limited_Col!$AH23," ")</f>
        <v xml:space="preserve"> </v>
      </c>
      <c r="AZ23" s="26" t="str">
        <f>IFERROR($AC23*HDF_Limited_Col!AZ23/HDF_Limited_Col!$AH23," ")</f>
        <v xml:space="preserve"> </v>
      </c>
      <c r="BA23" s="26" t="str">
        <f>IFERROR($AC23*HDF_Limited_Col!BA23/HDF_Limited_Col!$AH23," ")</f>
        <v xml:space="preserve"> </v>
      </c>
      <c r="BB23" s="26" t="str">
        <f>IFERROR($AC23*HDF_Limited_Col!BB23/HDF_Limited_Col!$AH23," ")</f>
        <v xml:space="preserve"> </v>
      </c>
      <c r="BC23" s="26" t="str">
        <f>IFERROR($AC23*HDF_Limited_Col!BC23/HDF_Limited_Col!$AH23," ")</f>
        <v xml:space="preserve"> </v>
      </c>
      <c r="BD23" s="26" t="str">
        <f>IFERROR($AC23*HDF_Limited_Col!BD23/HDF_Limited_Col!$AH23," ")</f>
        <v xml:space="preserve"> </v>
      </c>
      <c r="BE23" s="26" t="str">
        <f>IFERROR($AC23*HDF_Limited_Col!BE23/HDF_Limited_Col!$AH23," ")</f>
        <v xml:space="preserve"> </v>
      </c>
      <c r="BF23" s="26" t="str">
        <f>IFERROR($AC23*HDF_Limited_Col!BF23/HDF_Limited_Col!$AH23," ")</f>
        <v xml:space="preserve"> </v>
      </c>
      <c r="BG23" s="26" t="str">
        <f>IFERROR($AC23*HDF_Limited_Col!BG23/HDF_Limited_Col!$AH23," ")</f>
        <v xml:space="preserve"> </v>
      </c>
      <c r="BH23" s="26" t="str">
        <f>IFERROR($AC23*HDF_Limited_Col!BH23/HDF_Limited_Col!$AH23," ")</f>
        <v xml:space="preserve"> </v>
      </c>
      <c r="BI23" s="26" t="str">
        <f>IFERROR($AC23*HDF_Limited_Col!BI23/HDF_Limited_Col!$AH23," ")</f>
        <v xml:space="preserve"> </v>
      </c>
      <c r="BJ23" s="26" t="str">
        <f>IFERROR($AC23*HDF_Limited_Col!BJ23/HDF_Limited_Col!$AH23," ")</f>
        <v xml:space="preserve"> </v>
      </c>
      <c r="BK23" s="26" t="str">
        <f>IFERROR($AC23*HDF_Limited_Col!BK23/HDF_Limited_Col!$AH23," ")</f>
        <v xml:space="preserve"> </v>
      </c>
      <c r="BL23" s="26" t="str">
        <f>IFERROR($AC23*HDF_Limited_Col!BL23/HDF_Limited_Col!$AH23," ")</f>
        <v xml:space="preserve"> </v>
      </c>
      <c r="BM23" s="26" t="str">
        <f>IFERROR($AC23*HDF_Limited_Col!BM23/HDF_Limited_Col!$AH23," ")</f>
        <v xml:space="preserve"> </v>
      </c>
      <c r="BN23" s="26" t="str">
        <f>IFERROR($AC23*HDF_Limited_Col!BN23/HDF_Limited_Col!$AH23," ")</f>
        <v xml:space="preserve"> </v>
      </c>
      <c r="BO23" s="26" t="str">
        <f>IFERROR($AC23*HDF_Limited_Col!BO23/HDF_Limited_Col!$AH23," ")</f>
        <v xml:space="preserve"> </v>
      </c>
      <c r="BP23" s="26" t="str">
        <f>IFERROR($AC23*HDF_Limited_Col!BP23/HDF_Limited_Col!$AH23," ")</f>
        <v xml:space="preserve"> </v>
      </c>
      <c r="BQ23" s="26" t="str">
        <f>IFERROR($AC23*HDF_Limited_Col!BQ23/HDF_Limited_Col!$AH23," ")</f>
        <v xml:space="preserve"> </v>
      </c>
      <c r="BR23" s="26" t="str">
        <f>IFERROR($AC23*HDF_Limited_Col!BR23/HDF_Limited_Col!$AH23," ")</f>
        <v xml:space="preserve"> </v>
      </c>
      <c r="BS23" s="26" t="str">
        <f>IFERROR($AC23*HDF_Limited_Col!BS23/HDF_Limited_Col!$AH23," ")</f>
        <v xml:space="preserve"> </v>
      </c>
      <c r="BT23" s="26" t="str">
        <f>IFERROR($AC23*HDF_Limited_Col!BT23/HDF_Limited_Col!$AH23," ")</f>
        <v xml:space="preserve"> </v>
      </c>
      <c r="BU23" s="26" t="str">
        <f>IFERROR($AC23*HDF_Limited_Col!BU23/HDF_Limited_Col!$AH23," ")</f>
        <v xml:space="preserve"> </v>
      </c>
      <c r="BV23" s="26" t="str">
        <f>IFERROR($AC23*HDF_Limited_Col!BV23/HDF_Limited_Col!$AH23," ")</f>
        <v xml:space="preserve"> </v>
      </c>
      <c r="BW23" s="26" t="str">
        <f>IFERROR($AC23*HDF_Limited_Col!BW23/HDF_Limited_Col!$AH23," ")</f>
        <v xml:space="preserve"> </v>
      </c>
      <c r="BX23" s="26" t="str">
        <f>IFERROR($AC23*HDF_Limited_Col!BX23/HDF_Limited_Col!$AH23," ")</f>
        <v xml:space="preserve"> </v>
      </c>
      <c r="BY23" s="26" t="str">
        <f>IFERROR($AC23*HDF_Limited_Col!BY23/HDF_Limited_Col!$AH23," ")</f>
        <v xml:space="preserve"> </v>
      </c>
      <c r="BZ23" s="26" t="str">
        <f>IFERROR($AC23*HDF_Limited_Col!BZ23/HDF_Limited_Col!$AH23," ")</f>
        <v xml:space="preserve"> </v>
      </c>
      <c r="CA23" s="26" t="str">
        <f>IFERROR($AC23*HDF_Limited_Col!CA23/HDF_Limited_Col!$AH23," ")</f>
        <v xml:space="preserve"> </v>
      </c>
      <c r="CB23" s="26" t="str">
        <f>IFERROR($AC23*HDF_Limited_Col!CB23/HDF_Limited_Col!$AH23," ")</f>
        <v xml:space="preserve"> </v>
      </c>
      <c r="CC23" s="26" t="str">
        <f>IFERROR($AC23*HDF_Limited_Col!CC23/HDF_Limited_Col!$AH23," ")</f>
        <v xml:space="preserve"> </v>
      </c>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row>
    <row r="24" spans="1:109">
      <c r="A24" s="26" t="s">
        <v>1179</v>
      </c>
      <c r="B24" s="26" t="s">
        <v>24</v>
      </c>
      <c r="C24" s="152" t="s">
        <v>1800</v>
      </c>
      <c r="D24" s="26" t="s">
        <v>1709</v>
      </c>
      <c r="E24" s="26" t="s">
        <v>237</v>
      </c>
      <c r="F24" s="26" t="s">
        <v>29</v>
      </c>
      <c r="G24" s="26" t="s">
        <v>595</v>
      </c>
      <c r="H24" s="30">
        <v>360</v>
      </c>
      <c r="I24" s="26" t="s">
        <v>712</v>
      </c>
      <c r="J24" s="26"/>
      <c r="K24" s="26" t="s">
        <v>913</v>
      </c>
      <c r="L24" s="26"/>
      <c r="M24" s="26" t="s">
        <v>49</v>
      </c>
      <c r="N24" s="26" t="s">
        <v>1084</v>
      </c>
      <c r="O24" s="95">
        <v>4.2838769820375822</v>
      </c>
      <c r="P24" s="95">
        <v>1.5299560650134223</v>
      </c>
      <c r="Q24" s="95">
        <v>0.91797363900805329</v>
      </c>
      <c r="R24" s="95">
        <v>8.4657568930742713</v>
      </c>
      <c r="S24" s="95">
        <v>50.896538429446515</v>
      </c>
      <c r="T24" s="95">
        <v>24.173305827212069</v>
      </c>
      <c r="U24" s="95">
        <v>0</v>
      </c>
      <c r="V24" s="95">
        <v>6.1198242600536892</v>
      </c>
      <c r="W24" s="95">
        <v>0.91797363900805329</v>
      </c>
      <c r="X24" s="95">
        <v>2.1419384910187911</v>
      </c>
      <c r="Y24" s="95">
        <v>0.71397949700626362</v>
      </c>
      <c r="Z24" s="95">
        <v>100.16112372287871</v>
      </c>
      <c r="AA24" s="26"/>
      <c r="AB24" s="26"/>
      <c r="AC24" s="26">
        <f t="shared" si="0"/>
        <v>7620.4416248115849</v>
      </c>
      <c r="AD24" s="26">
        <f>IFERROR($AC24*HDF_Limited_Col!AD24/HDF_Limited_Col!$AH24," ")</f>
        <v>0</v>
      </c>
      <c r="AE24" s="26">
        <f>IFERROR($AC24*HDF_Limited_Col!AE24/HDF_Limited_Col!$AH24," ")</f>
        <v>0</v>
      </c>
      <c r="AF24" s="26">
        <f>IFERROR($AC24*HDF_Limited_Col!AF24/HDF_Limited_Col!$AH24," ")</f>
        <v>0</v>
      </c>
      <c r="AG24" s="26">
        <f>IFERROR($AC24*HDF_Limited_Col!AG24/HDF_Limited_Col!$AH24," ")</f>
        <v>0</v>
      </c>
      <c r="AH24" s="26">
        <f>IFERROR($AC24*HDF_Limited_Col!AH24/HDF_Limited_Col!$AH24," ")</f>
        <v>7620.441624811584</v>
      </c>
      <c r="AI24" s="26">
        <f>IFERROR($AC24*HDF_Limited_Col!AI24/HDF_Limited_Col!$AH24," ")</f>
        <v>0</v>
      </c>
      <c r="AJ24" s="26">
        <f>IFERROR($AC24*HDF_Limited_Col!AJ24/HDF_Limited_Col!$AH24," ")</f>
        <v>0</v>
      </c>
      <c r="AK24" s="26">
        <f>IFERROR($AC24*HDF_Limited_Col!AK24/HDF_Limited_Col!$AH24," ")</f>
        <v>41.730989850158679</v>
      </c>
      <c r="AL24" s="26">
        <f>IFERROR($AC24*HDF_Limited_Col!AL24/HDF_Limited_Col!$AH24," ")</f>
        <v>42.424727533089708</v>
      </c>
      <c r="AM24" s="26">
        <f>IFERROR($AC24*HDF_Limited_Col!AM24/HDF_Limited_Col!$AH24," ")</f>
        <v>0</v>
      </c>
      <c r="AN24" s="26">
        <f>IFERROR($AC24*HDF_Limited_Col!AN24/HDF_Limited_Col!$AH24," ")</f>
        <v>56.56630337745294</v>
      </c>
      <c r="AO24" s="26">
        <f>IFERROR($AC24*HDF_Limited_Col!AO24/HDF_Limited_Col!$AH24," ")</f>
        <v>15.63578008452237</v>
      </c>
      <c r="AP24" s="26">
        <f>IFERROR($AC24*HDF_Limited_Col!AP24/HDF_Limited_Col!$AH24," ")</f>
        <v>6.0835458349336182</v>
      </c>
      <c r="AQ24" s="26">
        <f>IFERROR($AC24*HDF_Limited_Col!AQ24/HDF_Limited_Col!$AH24," ")</f>
        <v>2.2413063602387013</v>
      </c>
      <c r="AR24" s="26">
        <f>IFERROR($AC24*HDF_Limited_Col!AR24/HDF_Limited_Col!$AH24," ")</f>
        <v>5.443172589151132</v>
      </c>
      <c r="AS24" s="26">
        <f>IFERROR($AC24*HDF_Limited_Col!AS24/HDF_Limited_Col!$AH24," ")</f>
        <v>0</v>
      </c>
      <c r="AT24" s="26">
        <f>IFERROR($AC24*HDF_Limited_Col!AT24/HDF_Limited_Col!$AH24," ")</f>
        <v>0</v>
      </c>
      <c r="AU24" s="26">
        <f>IFERROR($AC24*HDF_Limited_Col!AU24/HDF_Limited_Col!$AH24," ")</f>
        <v>0</v>
      </c>
      <c r="AV24" s="26">
        <f>IFERROR($AC24*HDF_Limited_Col!AV24/HDF_Limited_Col!$AH24," ")</f>
        <v>0</v>
      </c>
      <c r="AW24" s="26">
        <f>IFERROR($AC24*HDF_Limited_Col!AW24/HDF_Limited_Col!$AH24," ")</f>
        <v>0</v>
      </c>
      <c r="AX24" s="26">
        <f>IFERROR($AC24*HDF_Limited_Col!AX24/HDF_Limited_Col!$AH24," ")</f>
        <v>17.877086444761073</v>
      </c>
      <c r="AY24" s="26">
        <f>IFERROR($AC24*HDF_Limited_Col!AY24/HDF_Limited_Col!$AH24," ")</f>
        <v>118.46905046975994</v>
      </c>
      <c r="AZ24" s="26">
        <f>IFERROR($AC24*HDF_Limited_Col!AZ24/HDF_Limited_Col!$AH24," ")</f>
        <v>0.10672887429708101</v>
      </c>
      <c r="BA24" s="26">
        <f>IFERROR($AC24*HDF_Limited_Col!BA24/HDF_Limited_Col!$AH24," ")</f>
        <v>2.4013996716843229</v>
      </c>
      <c r="BB24" s="26">
        <f>IFERROR($AC24*HDF_Limited_Col!BB24/HDF_Limited_Col!$AH24," ")</f>
        <v>0</v>
      </c>
      <c r="BC24" s="26">
        <f>IFERROR($AC24*HDF_Limited_Col!BC24/HDF_Limited_Col!$AH24," ")</f>
        <v>16.382882204601938</v>
      </c>
      <c r="BD24" s="26">
        <f>IFERROR($AC24*HDF_Limited_Col!BD24/HDF_Limited_Col!$AH24," ")</f>
        <v>0</v>
      </c>
      <c r="BE24" s="26">
        <f>IFERROR($AC24*HDF_Limited_Col!BE24/HDF_Limited_Col!$AH24," ")</f>
        <v>0</v>
      </c>
      <c r="BF24" s="26">
        <f>IFERROR($AC24*HDF_Limited_Col!BF24/HDF_Limited_Col!$AH24," ")</f>
        <v>0</v>
      </c>
      <c r="BG24" s="26">
        <f>IFERROR($AC24*HDF_Limited_Col!BG24/HDF_Limited_Col!$AH24," ")</f>
        <v>0</v>
      </c>
      <c r="BH24" s="26">
        <f>IFERROR($AC24*HDF_Limited_Col!BH24/HDF_Limited_Col!$AH24," ")</f>
        <v>0.26682218574270256</v>
      </c>
      <c r="BI24" s="26">
        <f>IFERROR($AC24*HDF_Limited_Col!BI24/HDF_Limited_Col!$AH24," ")</f>
        <v>213.99139296564746</v>
      </c>
      <c r="BJ24" s="26">
        <f>IFERROR($AC24*HDF_Limited_Col!BJ24/HDF_Limited_Col!$AH24," ")</f>
        <v>3.8956039118434571</v>
      </c>
      <c r="BK24" s="26">
        <f>IFERROR($AC24*HDF_Limited_Col!BK24/HDF_Limited_Col!$AH24," ")</f>
        <v>13.28774484998659</v>
      </c>
      <c r="BL24" s="26">
        <f>IFERROR($AC24*HDF_Limited_Col!BL24/HDF_Limited_Col!$AH24," ")</f>
        <v>25.401472082705283</v>
      </c>
      <c r="BM24" s="26">
        <f>IFERROR($AC24*HDF_Limited_Col!BM24/HDF_Limited_Col!$AH24," ")</f>
        <v>2.3480352345357822</v>
      </c>
      <c r="BN24" s="26">
        <f>IFERROR($AC24*HDF_Limited_Col!BN24/HDF_Limited_Col!$AH24," ")</f>
        <v>8.0046655722810769</v>
      </c>
      <c r="BO24" s="26">
        <f>IFERROR($AC24*HDF_Limited_Col!BO24/HDF_Limited_Col!$AH24," ")</f>
        <v>0.64037324578248611</v>
      </c>
      <c r="BP24" s="26">
        <f>IFERROR($AC24*HDF_Limited_Col!BP24/HDF_Limited_Col!$AH24," ")</f>
        <v>0.16009331144562153</v>
      </c>
      <c r="BQ24" s="26">
        <f>IFERROR($AC24*HDF_Limited_Col!BQ24/HDF_Limited_Col!$AH24," ")</f>
        <v>0.26682218574270256</v>
      </c>
      <c r="BR24" s="26">
        <f>IFERROR($AC24*HDF_Limited_Col!BR24/HDF_Limited_Col!$AH24," ")</f>
        <v>0.10672887429708101</v>
      </c>
      <c r="BS24" s="26">
        <f>IFERROR($AC24*HDF_Limited_Col!BS24/HDF_Limited_Col!$AH24," ")</f>
        <v>0.10672887429708101</v>
      </c>
      <c r="BT24" s="26">
        <f>IFERROR($AC24*HDF_Limited_Col!BT24/HDF_Limited_Col!$AH24," ")</f>
        <v>5.3364437148540507E-2</v>
      </c>
      <c r="BU24" s="26">
        <f>IFERROR($AC24*HDF_Limited_Col!BU24/HDF_Limited_Col!$AH24," ")</f>
        <v>5.3364437148540507E-2</v>
      </c>
      <c r="BV24" s="26">
        <f>IFERROR($AC24*HDF_Limited_Col!BV24/HDF_Limited_Col!$AH24," ")</f>
        <v>5.3364437148540507E-2</v>
      </c>
      <c r="BW24" s="26" t="str">
        <f>IFERROR($AC24*HDF_Limited_Col!BW24/HDF_Limited_Col!$AH24," ")</f>
        <v xml:space="preserve"> </v>
      </c>
      <c r="BX24" s="26">
        <f>IFERROR($AC24*HDF_Limited_Col!BX24/HDF_Limited_Col!$AH24," ")</f>
        <v>0.10672887429708101</v>
      </c>
      <c r="BY24" s="26">
        <f>IFERROR($AC24*HDF_Limited_Col!BY24/HDF_Limited_Col!$AH24," ")</f>
        <v>0.74710212007956722</v>
      </c>
      <c r="BZ24" s="26">
        <f>IFERROR($AC24*HDF_Limited_Col!BZ24/HDF_Limited_Col!$AH24," ")</f>
        <v>0</v>
      </c>
      <c r="CA24" s="26">
        <f>IFERROR($AC24*HDF_Limited_Col!CA24/HDF_Limited_Col!$AH24," ")</f>
        <v>2.3480352345357822</v>
      </c>
      <c r="CB24" s="26">
        <f>IFERROR($AC24*HDF_Limited_Col!CB24/HDF_Limited_Col!$AH24," ")</f>
        <v>1.4942042401591344</v>
      </c>
      <c r="CC24" s="26">
        <f>IFERROR($AC24*HDF_Limited_Col!CC24/HDF_Limited_Col!$AH24," ")</f>
        <v>0.37355106003978361</v>
      </c>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row>
    <row r="25" spans="1:109">
      <c r="A25" s="26" t="s">
        <v>1179</v>
      </c>
      <c r="B25" s="26" t="s">
        <v>24</v>
      </c>
      <c r="C25" s="152" t="s">
        <v>1800</v>
      </c>
      <c r="D25" s="26" t="s">
        <v>1709</v>
      </c>
      <c r="E25" s="26" t="s">
        <v>237</v>
      </c>
      <c r="F25" s="26" t="s">
        <v>29</v>
      </c>
      <c r="G25" s="26" t="s">
        <v>595</v>
      </c>
      <c r="H25" s="30">
        <v>360</v>
      </c>
      <c r="I25" s="26" t="s">
        <v>712</v>
      </c>
      <c r="J25" s="26"/>
      <c r="K25" s="26" t="s">
        <v>913</v>
      </c>
      <c r="L25" s="26"/>
      <c r="M25" s="26" t="s">
        <v>52</v>
      </c>
      <c r="N25" s="26" t="s">
        <v>1084</v>
      </c>
      <c r="O25" s="95">
        <v>8.3356490883050824</v>
      </c>
      <c r="P25" s="95">
        <v>0.10825518296500107</v>
      </c>
      <c r="Q25" s="95">
        <v>0</v>
      </c>
      <c r="R25" s="95">
        <v>3.6806762208100361</v>
      </c>
      <c r="S25" s="95">
        <v>48.281811602390476</v>
      </c>
      <c r="T25" s="95">
        <v>16.130022261785161</v>
      </c>
      <c r="U25" s="95">
        <v>0</v>
      </c>
      <c r="V25" s="95">
        <v>14.181428968415139</v>
      </c>
      <c r="W25" s="95">
        <v>7.5778628075500745</v>
      </c>
      <c r="X25" s="95">
        <v>0.86604146372000856</v>
      </c>
      <c r="Y25" s="95">
        <v>1.0825518296500107</v>
      </c>
      <c r="Z25" s="95">
        <v>100.244299425591</v>
      </c>
      <c r="AA25" s="26"/>
      <c r="AB25" s="26"/>
      <c r="AC25" s="26">
        <f t="shared" si="0"/>
        <v>62906.666065232806</v>
      </c>
      <c r="AD25" s="26">
        <f>IFERROR($AC25*HDF_Limited_Col!AD25/HDF_Limited_Col!$AH25," ")</f>
        <v>0</v>
      </c>
      <c r="AE25" s="26">
        <f>IFERROR($AC25*HDF_Limited_Col!AE25/HDF_Limited_Col!$AH25," ")</f>
        <v>0</v>
      </c>
      <c r="AF25" s="26">
        <f>IFERROR($AC25*HDF_Limited_Col!AF25/HDF_Limited_Col!$AH25," ")</f>
        <v>0</v>
      </c>
      <c r="AG25" s="26">
        <f>IFERROR($AC25*HDF_Limited_Col!AG25/HDF_Limited_Col!$AH25," ")</f>
        <v>0</v>
      </c>
      <c r="AH25" s="26">
        <f>IFERROR($AC25*HDF_Limited_Col!AH25/HDF_Limited_Col!$AH25," ")</f>
        <v>62906.666065232814</v>
      </c>
      <c r="AI25" s="26">
        <f>IFERROR($AC25*HDF_Limited_Col!AI25/HDF_Limited_Col!$AH25," ")</f>
        <v>0</v>
      </c>
      <c r="AJ25" s="26">
        <f>IFERROR($AC25*HDF_Limited_Col!AJ25/HDF_Limited_Col!$AH25," ")</f>
        <v>0</v>
      </c>
      <c r="AK25" s="26">
        <f>IFERROR($AC25*HDF_Limited_Col!AK25/HDF_Limited_Col!$AH25," ")</f>
        <v>1445.6435759221772</v>
      </c>
      <c r="AL25" s="26">
        <f>IFERROR($AC25*HDF_Limited_Col!AL25/HDF_Limited_Col!$AH25," ")</f>
        <v>320.58204821705181</v>
      </c>
      <c r="AM25" s="26">
        <f>IFERROR($AC25*HDF_Limited_Col!AM25/HDF_Limited_Col!$AH25," ")</f>
        <v>0</v>
      </c>
      <c r="AN25" s="26">
        <f>IFERROR($AC25*HDF_Limited_Col!AN25/HDF_Limited_Col!$AH25," ")</f>
        <v>1221.8410139593295</v>
      </c>
      <c r="AO25" s="26">
        <f>IFERROR($AC25*HDF_Limited_Col!AO25/HDF_Limited_Col!$AH25," ")</f>
        <v>54.438461017989923</v>
      </c>
      <c r="AP25" s="26">
        <f>IFERROR($AC25*HDF_Limited_Col!AP25/HDF_Limited_Col!$AH25," ")</f>
        <v>181.46153672663311</v>
      </c>
      <c r="AQ25" s="26">
        <f>IFERROR($AC25*HDF_Limited_Col!AQ25/HDF_Limited_Col!$AH25," ")</f>
        <v>24.194871563551082</v>
      </c>
      <c r="AR25" s="26">
        <f>IFERROR($AC25*HDF_Limited_Col!AR25/HDF_Limited_Col!$AH25," ")</f>
        <v>42.341025236214392</v>
      </c>
      <c r="AS25" s="26">
        <f>IFERROR($AC25*HDF_Limited_Col!AS25/HDF_Limited_Col!$AH25," ")</f>
        <v>0</v>
      </c>
      <c r="AT25" s="26">
        <f>IFERROR($AC25*HDF_Limited_Col!AT25/HDF_Limited_Col!$AH25," ")</f>
        <v>0</v>
      </c>
      <c r="AU25" s="26">
        <f>IFERROR($AC25*HDF_Limited_Col!AU25/HDF_Limited_Col!$AH25," ")</f>
        <v>0</v>
      </c>
      <c r="AV25" s="26">
        <f>IFERROR($AC25*HDF_Limited_Col!AV25/HDF_Limited_Col!$AH25," ")</f>
        <v>0</v>
      </c>
      <c r="AW25" s="26">
        <f>IFERROR($AC25*HDF_Limited_Col!AW25/HDF_Limited_Col!$AH25," ")</f>
        <v>0</v>
      </c>
      <c r="AX25" s="26">
        <f>IFERROR($AC25*HDF_Limited_Col!AX25/HDF_Limited_Col!$AH25," ")</f>
        <v>229.85127985373526</v>
      </c>
      <c r="AY25" s="26">
        <f>IFERROR($AC25*HDF_Limited_Col!AY25/HDF_Limited_Col!$AH25," ")</f>
        <v>689.55383956120568</v>
      </c>
      <c r="AZ25" s="26" t="str">
        <f>IFERROR($AC25*HDF_Limited_Col!AZ25/HDF_Limited_Col!$AH25," ")</f>
        <v xml:space="preserve"> </v>
      </c>
      <c r="BA25" s="26">
        <f>IFERROR($AC25*HDF_Limited_Col!BA25/HDF_Limited_Col!$AH25," ")</f>
        <v>12.097435781775541</v>
      </c>
      <c r="BB25" s="26">
        <f>IFERROR($AC25*HDF_Limited_Col!BB25/HDF_Limited_Col!$AH25," ")</f>
        <v>0</v>
      </c>
      <c r="BC25" s="26">
        <f>IFERROR($AC25*HDF_Limited_Col!BC25/HDF_Limited_Col!$AH25," ")</f>
        <v>42.341025236214392</v>
      </c>
      <c r="BD25" s="26">
        <f>IFERROR($AC25*HDF_Limited_Col!BD25/HDF_Limited_Col!$AH25," ")</f>
        <v>0</v>
      </c>
      <c r="BE25" s="26">
        <f>IFERROR($AC25*HDF_Limited_Col!BE25/HDF_Limited_Col!$AH25," ")</f>
        <v>0</v>
      </c>
      <c r="BF25" s="26">
        <f>IFERROR($AC25*HDF_Limited_Col!BF25/HDF_Limited_Col!$AH25," ")</f>
        <v>0</v>
      </c>
      <c r="BG25" s="26">
        <f>IFERROR($AC25*HDF_Limited_Col!BG25/HDF_Limited_Col!$AH25," ")</f>
        <v>0</v>
      </c>
      <c r="BH25" s="26" t="str">
        <f>IFERROR($AC25*HDF_Limited_Col!BH25/HDF_Limited_Col!$AH25," ")</f>
        <v xml:space="preserve"> </v>
      </c>
      <c r="BI25" s="26">
        <f>IFERROR($AC25*HDF_Limited_Col!BI25/HDF_Limited_Col!$AH25," ")</f>
        <v>1288.3769107590949</v>
      </c>
      <c r="BJ25" s="26">
        <f>IFERROR($AC25*HDF_Limited_Col!BJ25/HDF_Limited_Col!$AH25," ")</f>
        <v>30.243589454438851</v>
      </c>
      <c r="BK25" s="26">
        <f>IFERROR($AC25*HDF_Limited_Col!BK25/HDF_Limited_Col!$AH25," ")</f>
        <v>90.730768363316557</v>
      </c>
      <c r="BL25" s="26">
        <f>IFERROR($AC25*HDF_Limited_Col!BL25/HDF_Limited_Col!$AH25," ")</f>
        <v>187.51025461752084</v>
      </c>
      <c r="BM25" s="26">
        <f>IFERROR($AC25*HDF_Limited_Col!BM25/HDF_Limited_Col!$AH25," ")</f>
        <v>18.14615367266331</v>
      </c>
      <c r="BN25" s="26">
        <f>IFERROR($AC25*HDF_Limited_Col!BN25/HDF_Limited_Col!$AH25," ")</f>
        <v>60.487178908877702</v>
      </c>
      <c r="BO25" s="26">
        <f>IFERROR($AC25*HDF_Limited_Col!BO25/HDF_Limited_Col!$AH25," ")</f>
        <v>6.0487178908877706</v>
      </c>
      <c r="BP25" s="26">
        <f>IFERROR($AC25*HDF_Limited_Col!BP25/HDF_Limited_Col!$AH25," ")</f>
        <v>0</v>
      </c>
      <c r="BQ25" s="26" t="str">
        <f>IFERROR($AC25*HDF_Limited_Col!BQ25/HDF_Limited_Col!$AH25," ")</f>
        <v xml:space="preserve"> </v>
      </c>
      <c r="BR25" s="26" t="str">
        <f>IFERROR($AC25*HDF_Limited_Col!BR25/HDF_Limited_Col!$AH25," ")</f>
        <v xml:space="preserve"> </v>
      </c>
      <c r="BS25" s="26" t="str">
        <f>IFERROR($AC25*HDF_Limited_Col!BS25/HDF_Limited_Col!$AH25," ")</f>
        <v xml:space="preserve"> </v>
      </c>
      <c r="BT25" s="26" t="str">
        <f>IFERROR($AC25*HDF_Limited_Col!BT25/HDF_Limited_Col!$AH25," ")</f>
        <v xml:space="preserve"> </v>
      </c>
      <c r="BU25" s="26" t="str">
        <f>IFERROR($AC25*HDF_Limited_Col!BU25/HDF_Limited_Col!$AH25," ")</f>
        <v xml:space="preserve"> </v>
      </c>
      <c r="BV25" s="26" t="str">
        <f>IFERROR($AC25*HDF_Limited_Col!BV25/HDF_Limited_Col!$AH25," ")</f>
        <v xml:space="preserve"> </v>
      </c>
      <c r="BW25" s="26" t="str">
        <f>IFERROR($AC25*HDF_Limited_Col!BW25/HDF_Limited_Col!$AH25," ")</f>
        <v xml:space="preserve"> </v>
      </c>
      <c r="BX25" s="26" t="str">
        <f>IFERROR($AC25*HDF_Limited_Col!BX25/HDF_Limited_Col!$AH25," ")</f>
        <v xml:space="preserve"> </v>
      </c>
      <c r="BY25" s="26">
        <f>IFERROR($AC25*HDF_Limited_Col!BY25/HDF_Limited_Col!$AH25," ")</f>
        <v>6.0487178908877706</v>
      </c>
      <c r="BZ25" s="26">
        <f>IFERROR($AC25*HDF_Limited_Col!BZ25/HDF_Limited_Col!$AH25," ")</f>
        <v>0</v>
      </c>
      <c r="CA25" s="26">
        <f>IFERROR($AC25*HDF_Limited_Col!CA25/HDF_Limited_Col!$AH25," ")</f>
        <v>30.243589454438851</v>
      </c>
      <c r="CB25" s="26">
        <f>IFERROR($AC25*HDF_Limited_Col!CB25/HDF_Limited_Col!$AH25," ")</f>
        <v>12.097435781775541</v>
      </c>
      <c r="CC25" s="26">
        <f>IFERROR($AC25*HDF_Limited_Col!CC25/HDF_Limited_Col!$AH25," ")</f>
        <v>0</v>
      </c>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row>
    <row r="26" spans="1:109">
      <c r="A26" s="26" t="s">
        <v>1179</v>
      </c>
      <c r="B26" s="26" t="s">
        <v>24</v>
      </c>
      <c r="C26" s="152" t="s">
        <v>1800</v>
      </c>
      <c r="D26" s="26" t="s">
        <v>1709</v>
      </c>
      <c r="E26" s="26" t="s">
        <v>237</v>
      </c>
      <c r="F26" s="26" t="s">
        <v>29</v>
      </c>
      <c r="G26" s="26" t="s">
        <v>595</v>
      </c>
      <c r="H26" s="30">
        <v>360</v>
      </c>
      <c r="I26" s="26" t="s">
        <v>712</v>
      </c>
      <c r="J26" s="26"/>
      <c r="K26" s="26" t="s">
        <v>913</v>
      </c>
      <c r="L26" s="26"/>
      <c r="M26" s="26" t="s">
        <v>62</v>
      </c>
      <c r="N26" s="26" t="s">
        <v>1084</v>
      </c>
      <c r="O26" s="95">
        <v>10.221190354457754</v>
      </c>
      <c r="P26" s="95">
        <v>0</v>
      </c>
      <c r="Q26" s="95">
        <v>0</v>
      </c>
      <c r="R26" s="95">
        <v>4.2786378227962691</v>
      </c>
      <c r="S26" s="95">
        <v>46.827313949492499</v>
      </c>
      <c r="T26" s="95">
        <v>6.655658835460863</v>
      </c>
      <c r="U26" s="95">
        <v>0</v>
      </c>
      <c r="V26" s="95">
        <v>10.221190354457754</v>
      </c>
      <c r="W26" s="95">
        <v>17.352253392451537</v>
      </c>
      <c r="X26" s="95">
        <v>2.9712762658307428</v>
      </c>
      <c r="Y26" s="95">
        <v>1.9016168101316753</v>
      </c>
      <c r="Z26" s="95">
        <v>100.42913778507908</v>
      </c>
      <c r="AA26" s="26"/>
      <c r="AB26" s="26"/>
      <c r="AC26" s="26">
        <f t="shared" si="0"/>
        <v>144047.52861858127</v>
      </c>
      <c r="AD26" s="26">
        <f>IFERROR($AC26*HDF_Limited_Col!AD26/HDF_Limited_Col!$AH26," ")</f>
        <v>0</v>
      </c>
      <c r="AE26" s="26">
        <f>IFERROR($AC26*HDF_Limited_Col!AE26/HDF_Limited_Col!$AH26," ")</f>
        <v>0</v>
      </c>
      <c r="AF26" s="26">
        <f>IFERROR($AC26*HDF_Limited_Col!AF26/HDF_Limited_Col!$AH26," ")</f>
        <v>0</v>
      </c>
      <c r="AG26" s="26">
        <f>IFERROR($AC26*HDF_Limited_Col!AG26/HDF_Limited_Col!$AH26," ")</f>
        <v>0</v>
      </c>
      <c r="AH26" s="26">
        <f>IFERROR($AC26*HDF_Limited_Col!AH26/HDF_Limited_Col!$AH26," ")</f>
        <v>144047.52861858127</v>
      </c>
      <c r="AI26" s="26">
        <f>IFERROR($AC26*HDF_Limited_Col!AI26/HDF_Limited_Col!$AH26," ")</f>
        <v>0</v>
      </c>
      <c r="AJ26" s="26">
        <f>IFERROR($AC26*HDF_Limited_Col!AJ26/HDF_Limited_Col!$AH26," ")</f>
        <v>0</v>
      </c>
      <c r="AK26" s="26">
        <f>IFERROR($AC26*HDF_Limited_Col!AK26/HDF_Limited_Col!$AH26," ")</f>
        <v>405467.11759304354</v>
      </c>
      <c r="AL26" s="26" t="str">
        <f>IFERROR($AC26*HDF_Limited_Col!AL26/HDF_Limited_Col!$AH26," ")</f>
        <v xml:space="preserve"> </v>
      </c>
      <c r="AM26" s="26">
        <f>IFERROR($AC26*HDF_Limited_Col!AM26/HDF_Limited_Col!$AH26," ")</f>
        <v>0</v>
      </c>
      <c r="AN26" s="26">
        <f>IFERROR($AC26*HDF_Limited_Col!AN26/HDF_Limited_Col!$AH26," ")</f>
        <v>49794.207423707106</v>
      </c>
      <c r="AO26" s="26">
        <f>IFERROR($AC26*HDF_Limited_Col!AO26/HDF_Limited_Col!$AH26," ")</f>
        <v>14226.916406773458</v>
      </c>
      <c r="AP26" s="26">
        <f>IFERROR($AC26*HDF_Limited_Col!AP26/HDF_Limited_Col!$AH26," ")</f>
        <v>26675.468262700233</v>
      </c>
      <c r="AQ26" s="26" t="str">
        <f>IFERROR($AC26*HDF_Limited_Col!AQ26/HDF_Limited_Col!$AH26," ")</f>
        <v xml:space="preserve"> </v>
      </c>
      <c r="AR26" s="26" t="str">
        <f>IFERROR($AC26*HDF_Limited_Col!AR26/HDF_Limited_Col!$AH26," ")</f>
        <v xml:space="preserve"> </v>
      </c>
      <c r="AS26" s="26">
        <f>IFERROR($AC26*HDF_Limited_Col!AS26/HDF_Limited_Col!$AH26," ")</f>
        <v>0</v>
      </c>
      <c r="AT26" s="26">
        <f>IFERROR($AC26*HDF_Limited_Col!AT26/HDF_Limited_Col!$AH26," ")</f>
        <v>0</v>
      </c>
      <c r="AU26" s="26">
        <f>IFERROR($AC26*HDF_Limited_Col!AU26/HDF_Limited_Col!$AH26," ")</f>
        <v>0</v>
      </c>
      <c r="AV26" s="26">
        <f>IFERROR($AC26*HDF_Limited_Col!AV26/HDF_Limited_Col!$AH26," ")</f>
        <v>0</v>
      </c>
      <c r="AW26" s="26">
        <f>IFERROR($AC26*HDF_Limited_Col!AW26/HDF_Limited_Col!$AH26," ")</f>
        <v>0</v>
      </c>
      <c r="AX26" s="26" t="str">
        <f>IFERROR($AC26*HDF_Limited_Col!AX26/HDF_Limited_Col!$AH26," ")</f>
        <v xml:space="preserve"> </v>
      </c>
      <c r="AY26" s="26">
        <f>IFERROR($AC26*HDF_Limited_Col!AY26/HDF_Limited_Col!$AH26," ")</f>
        <v>3556.7291016933646</v>
      </c>
      <c r="AZ26" s="26">
        <f>IFERROR($AC26*HDF_Limited_Col!AZ26/HDF_Limited_Col!$AH26," ")</f>
        <v>0</v>
      </c>
      <c r="BA26" s="26">
        <f>IFERROR($AC26*HDF_Limited_Col!BA26/HDF_Limited_Col!$AH26," ")</f>
        <v>0</v>
      </c>
      <c r="BB26" s="26">
        <f>IFERROR($AC26*HDF_Limited_Col!BB26/HDF_Limited_Col!$AH26," ")</f>
        <v>0</v>
      </c>
      <c r="BC26" s="26" t="str">
        <f>IFERROR($AC26*HDF_Limited_Col!BC26/HDF_Limited_Col!$AH26," ")</f>
        <v xml:space="preserve"> </v>
      </c>
      <c r="BD26" s="26">
        <f>IFERROR($AC26*HDF_Limited_Col!BD26/HDF_Limited_Col!$AH26," ")</f>
        <v>0</v>
      </c>
      <c r="BE26" s="26">
        <f>IFERROR($AC26*HDF_Limited_Col!BE26/HDF_Limited_Col!$AH26," ")</f>
        <v>0</v>
      </c>
      <c r="BF26" s="26">
        <f>IFERROR($AC26*HDF_Limited_Col!BF26/HDF_Limited_Col!$AH26," ")</f>
        <v>0</v>
      </c>
      <c r="BG26" s="26">
        <f>IFERROR($AC26*HDF_Limited_Col!BG26/HDF_Limited_Col!$AH26," ")</f>
        <v>0</v>
      </c>
      <c r="BH26" s="26" t="str">
        <f>IFERROR($AC26*HDF_Limited_Col!BH26/HDF_Limited_Col!$AH26," ")</f>
        <v xml:space="preserve"> </v>
      </c>
      <c r="BI26" s="26">
        <f>IFERROR($AC26*HDF_Limited_Col!BI26/HDF_Limited_Col!$AH26," ")</f>
        <v>8891.8227542334116</v>
      </c>
      <c r="BJ26" s="26">
        <f>IFERROR($AC26*HDF_Limited_Col!BJ26/HDF_Limited_Col!$AH26," ")</f>
        <v>1778.3645508466823</v>
      </c>
      <c r="BK26" s="26">
        <f>IFERROR($AC26*HDF_Limited_Col!BK26/HDF_Limited_Col!$AH26," ")</f>
        <v>1778.3645508466823</v>
      </c>
      <c r="BL26" s="26">
        <f>IFERROR($AC26*HDF_Limited_Col!BL26/HDF_Limited_Col!$AH26," ")</f>
        <v>7113.4582033867291</v>
      </c>
      <c r="BM26" s="26">
        <f>IFERROR($AC26*HDF_Limited_Col!BM26/HDF_Limited_Col!$AH26," ")</f>
        <v>0</v>
      </c>
      <c r="BN26" s="26">
        <f>IFERROR($AC26*HDF_Limited_Col!BN26/HDF_Limited_Col!$AH26," ")</f>
        <v>5335.0936525400466</v>
      </c>
      <c r="BO26" s="26" t="str">
        <f>IFERROR($AC26*HDF_Limited_Col!BO26/HDF_Limited_Col!$AH26," ")</f>
        <v xml:space="preserve"> </v>
      </c>
      <c r="BP26" s="26">
        <f>IFERROR($AC26*HDF_Limited_Col!BP26/HDF_Limited_Col!$AH26," ")</f>
        <v>1778.3645508466823</v>
      </c>
      <c r="BQ26" s="26" t="str">
        <f>IFERROR($AC26*HDF_Limited_Col!BQ26/HDF_Limited_Col!$AH26," ")</f>
        <v xml:space="preserve"> </v>
      </c>
      <c r="BR26" s="26" t="str">
        <f>IFERROR($AC26*HDF_Limited_Col!BR26/HDF_Limited_Col!$AH26," ")</f>
        <v xml:space="preserve"> </v>
      </c>
      <c r="BS26" s="26">
        <f>IFERROR($AC26*HDF_Limited_Col!BS26/HDF_Limited_Col!$AH26," ")</f>
        <v>1778.3645508466823</v>
      </c>
      <c r="BT26" s="26">
        <f>IFERROR($AC26*HDF_Limited_Col!BT26/HDF_Limited_Col!$AH26," ")</f>
        <v>3556.7291016933646</v>
      </c>
      <c r="BU26" s="26" t="str">
        <f>IFERROR($AC26*HDF_Limited_Col!BU26/HDF_Limited_Col!$AH26," ")</f>
        <v xml:space="preserve"> </v>
      </c>
      <c r="BV26" s="26">
        <f>IFERROR($AC26*HDF_Limited_Col!BV26/HDF_Limited_Col!$AH26," ")</f>
        <v>0</v>
      </c>
      <c r="BW26" s="26">
        <f>IFERROR($AC26*HDF_Limited_Col!BW26/HDF_Limited_Col!$AH26," ")</f>
        <v>0</v>
      </c>
      <c r="BX26" s="26" t="str">
        <f>IFERROR($AC26*HDF_Limited_Col!BX26/HDF_Limited_Col!$AH26," ")</f>
        <v xml:space="preserve"> </v>
      </c>
      <c r="BY26" s="26">
        <f>IFERROR($AC26*HDF_Limited_Col!BY26/HDF_Limited_Col!$AH26," ")</f>
        <v>0</v>
      </c>
      <c r="BZ26" s="26">
        <f>IFERROR($AC26*HDF_Limited_Col!BZ26/HDF_Limited_Col!$AH26," ")</f>
        <v>0</v>
      </c>
      <c r="CA26" s="26">
        <f>IFERROR($AC26*HDF_Limited_Col!CA26/HDF_Limited_Col!$AH26," ")</f>
        <v>1778.3645508466823</v>
      </c>
      <c r="CB26" s="26">
        <f>IFERROR($AC26*HDF_Limited_Col!CB26/HDF_Limited_Col!$AH26," ")</f>
        <v>0</v>
      </c>
      <c r="CC26" s="26">
        <f>IFERROR($AC26*HDF_Limited_Col!CC26/HDF_Limited_Col!$AH26," ")</f>
        <v>1778.3645508466823</v>
      </c>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row>
    <row r="27" spans="1:109">
      <c r="A27" s="26" t="s">
        <v>1179</v>
      </c>
      <c r="B27" s="26" t="s">
        <v>24</v>
      </c>
      <c r="C27" s="152" t="s">
        <v>1800</v>
      </c>
      <c r="D27" s="26" t="s">
        <v>1709</v>
      </c>
      <c r="E27" s="26" t="s">
        <v>237</v>
      </c>
      <c r="F27" s="26" t="s">
        <v>29</v>
      </c>
      <c r="G27" s="26" t="s">
        <v>595</v>
      </c>
      <c r="H27" s="30">
        <v>360</v>
      </c>
      <c r="I27" s="26" t="s">
        <v>712</v>
      </c>
      <c r="J27" s="26"/>
      <c r="K27" s="26" t="s">
        <v>913</v>
      </c>
      <c r="L27" s="26"/>
      <c r="M27" s="26" t="s">
        <v>50</v>
      </c>
      <c r="N27" s="26" t="s">
        <v>1084</v>
      </c>
      <c r="O27" s="95">
        <v>13.282088642412168</v>
      </c>
      <c r="P27" s="95">
        <v>0.10541340192390611</v>
      </c>
      <c r="Q27" s="95">
        <v>1.7920278327064036</v>
      </c>
      <c r="R27" s="95">
        <v>8.960139163532018</v>
      </c>
      <c r="S27" s="95">
        <v>49.122645296540249</v>
      </c>
      <c r="T27" s="95">
        <v>19.817719561694346</v>
      </c>
      <c r="U27" s="95">
        <v>0</v>
      </c>
      <c r="V27" s="95">
        <v>0</v>
      </c>
      <c r="W27" s="95">
        <v>4.9544298904235866</v>
      </c>
      <c r="X27" s="95">
        <v>1.4757876269346855</v>
      </c>
      <c r="Y27" s="95">
        <v>0.63248041154343659</v>
      </c>
      <c r="Z27" s="95">
        <v>100.1427318277108</v>
      </c>
      <c r="AA27" s="26"/>
      <c r="AB27" s="26"/>
      <c r="AC27" s="26">
        <f t="shared" si="0"/>
        <v>41128.570756118832</v>
      </c>
      <c r="AD27" s="26">
        <f>IFERROR($AC27*HDF_Limited_Col!AD27/HDF_Limited_Col!$AH27," ")</f>
        <v>0</v>
      </c>
      <c r="AE27" s="26">
        <f>IFERROR($AC27*HDF_Limited_Col!AE27/HDF_Limited_Col!$AH27," ")</f>
        <v>0</v>
      </c>
      <c r="AF27" s="26">
        <f>IFERROR($AC27*HDF_Limited_Col!AF27/HDF_Limited_Col!$AH27," ")</f>
        <v>0</v>
      </c>
      <c r="AG27" s="26">
        <f>IFERROR($AC27*HDF_Limited_Col!AG27/HDF_Limited_Col!$AH27," ")</f>
        <v>0</v>
      </c>
      <c r="AH27" s="26">
        <f>IFERROR($AC27*HDF_Limited_Col!AH27/HDF_Limited_Col!$AH27," ")</f>
        <v>41128.570756118832</v>
      </c>
      <c r="AI27" s="26">
        <f>IFERROR($AC27*HDF_Limited_Col!AI27/HDF_Limited_Col!$AH27," ")</f>
        <v>0</v>
      </c>
      <c r="AJ27" s="26">
        <f>IFERROR($AC27*HDF_Limited_Col!AJ27/HDF_Limited_Col!$AH27," ")</f>
        <v>0</v>
      </c>
      <c r="AK27" s="26">
        <f>IFERROR($AC27*HDF_Limited_Col!AK27/HDF_Limited_Col!$AH27," ")</f>
        <v>248.24249115094079</v>
      </c>
      <c r="AL27" s="26">
        <f>IFERROR($AC27*HDF_Limited_Col!AL27/HDF_Limited_Col!$AH27," ")</f>
        <v>365.31487586656965</v>
      </c>
      <c r="AM27" s="26">
        <f>IFERROR($AC27*HDF_Limited_Col!AM27/HDF_Limited_Col!$AH27," ")</f>
        <v>0</v>
      </c>
      <c r="AN27" s="26">
        <f>IFERROR($AC27*HDF_Limited_Col!AN27/HDF_Limited_Col!$AH27," ")</f>
        <v>269.08260151916789</v>
      </c>
      <c r="AO27" s="26">
        <f>IFERROR($AC27*HDF_Limited_Col!AO27/HDF_Limited_Col!$AH27," ")</f>
        <v>131.78305085790683</v>
      </c>
      <c r="AP27" s="26">
        <f>IFERROR($AC27*HDF_Limited_Col!AP27/HDF_Limited_Col!$AH27," ")</f>
        <v>60.681497836896632</v>
      </c>
      <c r="AQ27" s="26">
        <f>IFERROR($AC27*HDF_Limited_Col!AQ27/HDF_Limited_Col!$AH27," ")</f>
        <v>15.936554987467803</v>
      </c>
      <c r="AR27" s="26">
        <f>IFERROR($AC27*HDF_Limited_Col!AR27/HDF_Limited_Col!$AH27," ")</f>
        <v>25.743665748986452</v>
      </c>
      <c r="AS27" s="26">
        <f>IFERROR($AC27*HDF_Limited_Col!AS27/HDF_Limited_Col!$AH27," ")</f>
        <v>0</v>
      </c>
      <c r="AT27" s="26">
        <f>IFERROR($AC27*HDF_Limited_Col!AT27/HDF_Limited_Col!$AH27," ")</f>
        <v>0</v>
      </c>
      <c r="AU27" s="26">
        <f>IFERROR($AC27*HDF_Limited_Col!AU27/HDF_Limited_Col!$AH27," ")</f>
        <v>0</v>
      </c>
      <c r="AV27" s="26">
        <f>IFERROR($AC27*HDF_Limited_Col!AV27/HDF_Limited_Col!$AH27," ")</f>
        <v>0</v>
      </c>
      <c r="AW27" s="26">
        <f>IFERROR($AC27*HDF_Limited_Col!AW27/HDF_Limited_Col!$AH27," ")</f>
        <v>0</v>
      </c>
      <c r="AX27" s="26">
        <f>IFERROR($AC27*HDF_Limited_Col!AX27/HDF_Limited_Col!$AH27," ")</f>
        <v>112.16882933486956</v>
      </c>
      <c r="AY27" s="26">
        <f>IFERROR($AC27*HDF_Limited_Col!AY27/HDF_Limited_Col!$AH27," ")</f>
        <v>449.28826176207309</v>
      </c>
      <c r="AZ27" s="26">
        <f>IFERROR($AC27*HDF_Limited_Col!AZ27/HDF_Limited_Col!$AH27," ")</f>
        <v>1.2258888451898311</v>
      </c>
      <c r="BA27" s="26">
        <f>IFERROR($AC27*HDF_Limited_Col!BA27/HDF_Limited_Col!$AH27," ")</f>
        <v>33.711943242720359</v>
      </c>
      <c r="BB27" s="26">
        <f>IFERROR($AC27*HDF_Limited_Col!BB27/HDF_Limited_Col!$AH27," ")</f>
        <v>0</v>
      </c>
      <c r="BC27" s="26">
        <f>IFERROR($AC27*HDF_Limited_Col!BC27/HDF_Limited_Col!$AH27," ")</f>
        <v>86.425163585883084</v>
      </c>
      <c r="BD27" s="26">
        <f>IFERROR($AC27*HDF_Limited_Col!BD27/HDF_Limited_Col!$AH27," ")</f>
        <v>0</v>
      </c>
      <c r="BE27" s="26">
        <f>IFERROR($AC27*HDF_Limited_Col!BE27/HDF_Limited_Col!$AH27," ")</f>
        <v>0</v>
      </c>
      <c r="BF27" s="26">
        <f>IFERROR($AC27*HDF_Limited_Col!BF27/HDF_Limited_Col!$AH27," ")</f>
        <v>0</v>
      </c>
      <c r="BG27" s="26">
        <f>IFERROR($AC27*HDF_Limited_Col!BG27/HDF_Limited_Col!$AH27," ")</f>
        <v>0</v>
      </c>
      <c r="BH27" s="26">
        <f>IFERROR($AC27*HDF_Limited_Col!BH27/HDF_Limited_Col!$AH27," ")</f>
        <v>1.2258888451898311</v>
      </c>
      <c r="BI27" s="26">
        <f>IFERROR($AC27*HDF_Limited_Col!BI27/HDF_Limited_Col!$AH27," ")</f>
        <v>919.41663389237328</v>
      </c>
      <c r="BJ27" s="26">
        <f>IFERROR($AC27*HDF_Limited_Col!BJ27/HDF_Limited_Col!$AH27," ")</f>
        <v>33.711943242720359</v>
      </c>
      <c r="BK27" s="26">
        <f>IFERROR($AC27*HDF_Limited_Col!BK27/HDF_Limited_Col!$AH27," ")</f>
        <v>72.94038628879494</v>
      </c>
      <c r="BL27" s="26">
        <f>IFERROR($AC27*HDF_Limited_Col!BL27/HDF_Limited_Col!$AH27," ")</f>
        <v>134.23482854828649</v>
      </c>
      <c r="BM27" s="26">
        <f>IFERROR($AC27*HDF_Limited_Col!BM27/HDF_Limited_Col!$AH27," ")</f>
        <v>13.484777297088142</v>
      </c>
      <c r="BN27" s="26">
        <f>IFERROR($AC27*HDF_Limited_Col!BN27/HDF_Limited_Col!$AH27," ")</f>
        <v>49.64849823018816</v>
      </c>
      <c r="BO27" s="26">
        <f>IFERROR($AC27*HDF_Limited_Col!BO27/HDF_Limited_Col!$AH27," ")</f>
        <v>4.9035553807593244</v>
      </c>
      <c r="BP27" s="26">
        <f>IFERROR($AC27*HDF_Limited_Col!BP27/HDF_Limited_Col!$AH27," ")</f>
        <v>1.2258888451898311</v>
      </c>
      <c r="BQ27" s="26">
        <f>IFERROR($AC27*HDF_Limited_Col!BQ27/HDF_Limited_Col!$AH27," ")</f>
        <v>2.4517776903796622</v>
      </c>
      <c r="BR27" s="26">
        <f>IFERROR($AC27*HDF_Limited_Col!BR27/HDF_Limited_Col!$AH27," ")</f>
        <v>0.61294442259491555</v>
      </c>
      <c r="BS27" s="26">
        <f>IFERROR($AC27*HDF_Limited_Col!BS27/HDF_Limited_Col!$AH27," ")</f>
        <v>0</v>
      </c>
      <c r="BT27" s="26">
        <f>IFERROR($AC27*HDF_Limited_Col!BT27/HDF_Limited_Col!$AH27," ")</f>
        <v>0</v>
      </c>
      <c r="BU27" s="26" t="str">
        <f>IFERROR($AC27*HDF_Limited_Col!BU27/HDF_Limited_Col!$AH27," ")</f>
        <v xml:space="preserve"> </v>
      </c>
      <c r="BV27" s="26" t="str">
        <f>IFERROR($AC27*HDF_Limited_Col!BV27/HDF_Limited_Col!$AH27," ")</f>
        <v xml:space="preserve"> </v>
      </c>
      <c r="BW27" s="26" t="str">
        <f>IFERROR($AC27*HDF_Limited_Col!BW27/HDF_Limited_Col!$AH27," ")</f>
        <v xml:space="preserve"> </v>
      </c>
      <c r="BX27" s="26">
        <f>IFERROR($AC27*HDF_Limited_Col!BX27/HDF_Limited_Col!$AH27," ")</f>
        <v>1.2258888451898311</v>
      </c>
      <c r="BY27" s="26">
        <f>IFERROR($AC27*HDF_Limited_Col!BY27/HDF_Limited_Col!$AH27," ")</f>
        <v>4.2906109581644092</v>
      </c>
      <c r="BZ27" s="26">
        <f>IFERROR($AC27*HDF_Limited_Col!BZ27/HDF_Limited_Col!$AH27," ")</f>
        <v>0</v>
      </c>
      <c r="CA27" s="26">
        <f>IFERROR($AC27*HDF_Limited_Col!CA27/HDF_Limited_Col!$AH27," ")</f>
        <v>11.032999606708479</v>
      </c>
      <c r="CB27" s="26">
        <f>IFERROR($AC27*HDF_Limited_Col!CB27/HDF_Limited_Col!$AH27," ")</f>
        <v>7.3553330711389862</v>
      </c>
      <c r="CC27" s="26">
        <f>IFERROR($AC27*HDF_Limited_Col!CC27/HDF_Limited_Col!$AH27," ")</f>
        <v>1.8388332677847465</v>
      </c>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row>
    <row r="28" spans="1:109">
      <c r="A28" s="26" t="s">
        <v>842</v>
      </c>
      <c r="B28" s="26" t="s">
        <v>24</v>
      </c>
      <c r="C28" s="152" t="s">
        <v>1800</v>
      </c>
      <c r="D28" s="26" t="s">
        <v>1709</v>
      </c>
      <c r="E28" s="26" t="s">
        <v>237</v>
      </c>
      <c r="F28" s="26" t="s">
        <v>29</v>
      </c>
      <c r="G28" s="26" t="s">
        <v>595</v>
      </c>
      <c r="H28" s="30">
        <v>360</v>
      </c>
      <c r="I28" s="26" t="s">
        <v>712</v>
      </c>
      <c r="J28" s="26"/>
      <c r="K28" s="26" t="s">
        <v>913</v>
      </c>
      <c r="L28" s="26"/>
      <c r="M28" s="26" t="s">
        <v>68</v>
      </c>
      <c r="N28" s="26" t="s">
        <v>1084</v>
      </c>
      <c r="O28" s="95">
        <v>5.8526279153819729</v>
      </c>
      <c r="P28" s="95">
        <v>0</v>
      </c>
      <c r="Q28" s="95">
        <v>2.21450785987426</v>
      </c>
      <c r="R28" s="95">
        <v>14.868838487727173</v>
      </c>
      <c r="S28" s="95">
        <v>42.07564933761094</v>
      </c>
      <c r="T28" s="95">
        <v>13.919763690638206</v>
      </c>
      <c r="U28" s="95">
        <v>0</v>
      </c>
      <c r="V28" s="95">
        <v>9.6489271037378455</v>
      </c>
      <c r="W28" s="95">
        <v>9.9652853694341701</v>
      </c>
      <c r="X28" s="95">
        <v>0.47453739854448429</v>
      </c>
      <c r="Y28" s="95">
        <v>1.2654330627852914</v>
      </c>
      <c r="Z28" s="95">
        <v>100.28557022573435</v>
      </c>
      <c r="AA28" s="26"/>
      <c r="AB28" s="26"/>
      <c r="AC28" s="26">
        <f t="shared" si="0"/>
        <v>82725.551372500617</v>
      </c>
      <c r="AD28" s="26" t="str">
        <f>IFERROR($AC28*HDF_Limited_Col!AD28/HDF_Limited_Col!$AH28," ")</f>
        <v xml:space="preserve"> </v>
      </c>
      <c r="AE28" s="26" t="str">
        <f>IFERROR($AC28*HDF_Limited_Col!AE28/HDF_Limited_Col!$AH28," ")</f>
        <v xml:space="preserve"> </v>
      </c>
      <c r="AF28" s="26" t="str">
        <f>IFERROR($AC28*HDF_Limited_Col!AF28/HDF_Limited_Col!$AH28," ")</f>
        <v xml:space="preserve"> </v>
      </c>
      <c r="AG28" s="26" t="str">
        <f>IFERROR($AC28*HDF_Limited_Col!AG28/HDF_Limited_Col!$AH28," ")</f>
        <v xml:space="preserve"> </v>
      </c>
      <c r="AH28" s="26" t="str">
        <f>IFERROR($AC28*HDF_Limited_Col!AH28/HDF_Limited_Col!$AH28," ")</f>
        <v xml:space="preserve"> </v>
      </c>
      <c r="AI28" s="26" t="str">
        <f>IFERROR($AC28*HDF_Limited_Col!AI28/HDF_Limited_Col!$AH28," ")</f>
        <v xml:space="preserve"> </v>
      </c>
      <c r="AJ28" s="26" t="str">
        <f>IFERROR($AC28*HDF_Limited_Col!AJ28/HDF_Limited_Col!$AH28," ")</f>
        <v xml:space="preserve"> </v>
      </c>
      <c r="AK28" s="26" t="str">
        <f>IFERROR($AC28*HDF_Limited_Col!AK28/HDF_Limited_Col!$AH28," ")</f>
        <v xml:space="preserve"> </v>
      </c>
      <c r="AL28" s="26" t="str">
        <f>IFERROR($AC28*HDF_Limited_Col!AL28/HDF_Limited_Col!$AH28," ")</f>
        <v xml:space="preserve"> </v>
      </c>
      <c r="AM28" s="26" t="str">
        <f>IFERROR($AC28*HDF_Limited_Col!AM28/HDF_Limited_Col!$AH28," ")</f>
        <v xml:space="preserve"> </v>
      </c>
      <c r="AN28" s="26" t="str">
        <f>IFERROR($AC28*HDF_Limited_Col!AN28/HDF_Limited_Col!$AH28," ")</f>
        <v xml:space="preserve"> </v>
      </c>
      <c r="AO28" s="26" t="str">
        <f>IFERROR($AC28*HDF_Limited_Col!AO28/HDF_Limited_Col!$AH28," ")</f>
        <v xml:space="preserve"> </v>
      </c>
      <c r="AP28" s="26" t="str">
        <f>IFERROR($AC28*HDF_Limited_Col!AP28/HDF_Limited_Col!$AH28," ")</f>
        <v xml:space="preserve"> </v>
      </c>
      <c r="AQ28" s="26" t="str">
        <f>IFERROR($AC28*HDF_Limited_Col!AQ28/HDF_Limited_Col!$AH28," ")</f>
        <v xml:space="preserve"> </v>
      </c>
      <c r="AR28" s="26" t="str">
        <f>IFERROR($AC28*HDF_Limited_Col!AR28/HDF_Limited_Col!$AH28," ")</f>
        <v xml:space="preserve"> </v>
      </c>
      <c r="AS28" s="26" t="str">
        <f>IFERROR($AC28*HDF_Limited_Col!AS28/HDF_Limited_Col!$AH28," ")</f>
        <v xml:space="preserve"> </v>
      </c>
      <c r="AT28" s="26" t="str">
        <f>IFERROR($AC28*HDF_Limited_Col!AT28/HDF_Limited_Col!$AH28," ")</f>
        <v xml:space="preserve"> </v>
      </c>
      <c r="AU28" s="26" t="str">
        <f>IFERROR($AC28*HDF_Limited_Col!AU28/HDF_Limited_Col!$AH28," ")</f>
        <v xml:space="preserve"> </v>
      </c>
      <c r="AV28" s="26" t="str">
        <f>IFERROR($AC28*HDF_Limited_Col!AV28/HDF_Limited_Col!$AH28," ")</f>
        <v xml:space="preserve"> </v>
      </c>
      <c r="AW28" s="26" t="str">
        <f>IFERROR($AC28*HDF_Limited_Col!AW28/HDF_Limited_Col!$AH28," ")</f>
        <v xml:space="preserve"> </v>
      </c>
      <c r="AX28" s="26" t="str">
        <f>IFERROR($AC28*HDF_Limited_Col!AX28/HDF_Limited_Col!$AH28," ")</f>
        <v xml:space="preserve"> </v>
      </c>
      <c r="AY28" s="26" t="str">
        <f>IFERROR($AC28*HDF_Limited_Col!AY28/HDF_Limited_Col!$AH28," ")</f>
        <v xml:space="preserve"> </v>
      </c>
      <c r="AZ28" s="26" t="str">
        <f>IFERROR($AC28*HDF_Limited_Col!AZ28/HDF_Limited_Col!$AH28," ")</f>
        <v xml:space="preserve"> </v>
      </c>
      <c r="BA28" s="26" t="str">
        <f>IFERROR($AC28*HDF_Limited_Col!BA28/HDF_Limited_Col!$AH28," ")</f>
        <v xml:space="preserve"> </v>
      </c>
      <c r="BB28" s="26" t="str">
        <f>IFERROR($AC28*HDF_Limited_Col!BB28/HDF_Limited_Col!$AH28," ")</f>
        <v xml:space="preserve"> </v>
      </c>
      <c r="BC28" s="26" t="str">
        <f>IFERROR($AC28*HDF_Limited_Col!BC28/HDF_Limited_Col!$AH28," ")</f>
        <v xml:space="preserve"> </v>
      </c>
      <c r="BD28" s="26" t="str">
        <f>IFERROR($AC28*HDF_Limited_Col!BD28/HDF_Limited_Col!$AH28," ")</f>
        <v xml:space="preserve"> </v>
      </c>
      <c r="BE28" s="26" t="str">
        <f>IFERROR($AC28*HDF_Limited_Col!BE28/HDF_Limited_Col!$AH28," ")</f>
        <v xml:space="preserve"> </v>
      </c>
      <c r="BF28" s="26" t="str">
        <f>IFERROR($AC28*HDF_Limited_Col!BF28/HDF_Limited_Col!$AH28," ")</f>
        <v xml:space="preserve"> </v>
      </c>
      <c r="BG28" s="26" t="str">
        <f>IFERROR($AC28*HDF_Limited_Col!BG28/HDF_Limited_Col!$AH28," ")</f>
        <v xml:space="preserve"> </v>
      </c>
      <c r="BH28" s="26" t="str">
        <f>IFERROR($AC28*HDF_Limited_Col!BH28/HDF_Limited_Col!$AH28," ")</f>
        <v xml:space="preserve"> </v>
      </c>
      <c r="BI28" s="26" t="str">
        <f>IFERROR($AC28*HDF_Limited_Col!BI28/HDF_Limited_Col!$AH28," ")</f>
        <v xml:space="preserve"> </v>
      </c>
      <c r="BJ28" s="26" t="str">
        <f>IFERROR($AC28*HDF_Limited_Col!BJ28/HDF_Limited_Col!$AH28," ")</f>
        <v xml:space="preserve"> </v>
      </c>
      <c r="BK28" s="26" t="str">
        <f>IFERROR($AC28*HDF_Limited_Col!BK28/HDF_Limited_Col!$AH28," ")</f>
        <v xml:space="preserve"> </v>
      </c>
      <c r="BL28" s="26" t="str">
        <f>IFERROR($AC28*HDF_Limited_Col!BL28/HDF_Limited_Col!$AH28," ")</f>
        <v xml:space="preserve"> </v>
      </c>
      <c r="BM28" s="26" t="str">
        <f>IFERROR($AC28*HDF_Limited_Col!BM28/HDF_Limited_Col!$AH28," ")</f>
        <v xml:space="preserve"> </v>
      </c>
      <c r="BN28" s="26" t="str">
        <f>IFERROR($AC28*HDF_Limited_Col!BN28/HDF_Limited_Col!$AH28," ")</f>
        <v xml:space="preserve"> </v>
      </c>
      <c r="BO28" s="26" t="str">
        <f>IFERROR($AC28*HDF_Limited_Col!BO28/HDF_Limited_Col!$AH28," ")</f>
        <v xml:space="preserve"> </v>
      </c>
      <c r="BP28" s="26" t="str">
        <f>IFERROR($AC28*HDF_Limited_Col!BP28/HDF_Limited_Col!$AH28," ")</f>
        <v xml:space="preserve"> </v>
      </c>
      <c r="BQ28" s="26" t="str">
        <f>IFERROR($AC28*HDF_Limited_Col!BQ28/HDF_Limited_Col!$AH28," ")</f>
        <v xml:space="preserve"> </v>
      </c>
      <c r="BR28" s="26" t="str">
        <f>IFERROR($AC28*HDF_Limited_Col!BR28/HDF_Limited_Col!$AH28," ")</f>
        <v xml:space="preserve"> </v>
      </c>
      <c r="BS28" s="26" t="str">
        <f>IFERROR($AC28*HDF_Limited_Col!BS28/HDF_Limited_Col!$AH28," ")</f>
        <v xml:space="preserve"> </v>
      </c>
      <c r="BT28" s="26" t="str">
        <f>IFERROR($AC28*HDF_Limited_Col!BT28/HDF_Limited_Col!$AH28," ")</f>
        <v xml:space="preserve"> </v>
      </c>
      <c r="BU28" s="26" t="str">
        <f>IFERROR($AC28*HDF_Limited_Col!BU28/HDF_Limited_Col!$AH28," ")</f>
        <v xml:space="preserve"> </v>
      </c>
      <c r="BV28" s="26" t="str">
        <f>IFERROR($AC28*HDF_Limited_Col!BV28/HDF_Limited_Col!$AH28," ")</f>
        <v xml:space="preserve"> </v>
      </c>
      <c r="BW28" s="26" t="str">
        <f>IFERROR($AC28*HDF_Limited_Col!BW28/HDF_Limited_Col!$AH28," ")</f>
        <v xml:space="preserve"> </v>
      </c>
      <c r="BX28" s="26" t="str">
        <f>IFERROR($AC28*HDF_Limited_Col!BX28/HDF_Limited_Col!$AH28," ")</f>
        <v xml:space="preserve"> </v>
      </c>
      <c r="BY28" s="26" t="str">
        <f>IFERROR($AC28*HDF_Limited_Col!BY28/HDF_Limited_Col!$AH28," ")</f>
        <v xml:space="preserve"> </v>
      </c>
      <c r="BZ28" s="26" t="str">
        <f>IFERROR($AC28*HDF_Limited_Col!BZ28/HDF_Limited_Col!$AH28," ")</f>
        <v xml:space="preserve"> </v>
      </c>
      <c r="CA28" s="26" t="str">
        <f>IFERROR($AC28*HDF_Limited_Col!CA28/HDF_Limited_Col!$AH28," ")</f>
        <v xml:space="preserve"> </v>
      </c>
      <c r="CB28" s="26" t="str">
        <f>IFERROR($AC28*HDF_Limited_Col!CB28/HDF_Limited_Col!$AH28," ")</f>
        <v xml:space="preserve"> </v>
      </c>
      <c r="CC28" s="26" t="str">
        <f>IFERROR($AC28*HDF_Limited_Col!CC28/HDF_Limited_Col!$AH28," ")</f>
        <v xml:space="preserve"> </v>
      </c>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row>
    <row r="29" spans="1:109">
      <c r="A29" s="26" t="s">
        <v>1179</v>
      </c>
      <c r="B29" s="26" t="s">
        <v>24</v>
      </c>
      <c r="C29" s="152" t="s">
        <v>1800</v>
      </c>
      <c r="D29" s="26" t="s">
        <v>1709</v>
      </c>
      <c r="E29" s="26" t="s">
        <v>237</v>
      </c>
      <c r="F29" s="26" t="s">
        <v>29</v>
      </c>
      <c r="G29" s="26" t="s">
        <v>595</v>
      </c>
      <c r="H29" s="30">
        <v>360</v>
      </c>
      <c r="I29" s="26" t="s">
        <v>712</v>
      </c>
      <c r="J29" s="26"/>
      <c r="K29" s="26" t="s">
        <v>913</v>
      </c>
      <c r="L29" s="26"/>
      <c r="M29" s="26" t="s">
        <v>69</v>
      </c>
      <c r="N29" s="26" t="s">
        <v>1084</v>
      </c>
      <c r="O29" s="95">
        <v>17.312121273417112</v>
      </c>
      <c r="P29" s="95">
        <v>1.8438945735000476</v>
      </c>
      <c r="Q29" s="95">
        <v>1.8438945735000476</v>
      </c>
      <c r="R29" s="95">
        <v>9.0145956926668998</v>
      </c>
      <c r="S29" s="95">
        <v>21.10234900783388</v>
      </c>
      <c r="T29" s="95">
        <v>38.926663218334333</v>
      </c>
      <c r="U29" s="95">
        <v>0</v>
      </c>
      <c r="V29" s="95">
        <v>5.121929370833465</v>
      </c>
      <c r="W29" s="95">
        <v>1.43414022383337</v>
      </c>
      <c r="X29" s="95">
        <v>2.7658418602500712</v>
      </c>
      <c r="Y29" s="95">
        <v>0.81950869933335446</v>
      </c>
      <c r="Z29" s="95">
        <v>100.1849384935026</v>
      </c>
      <c r="AA29" s="26"/>
      <c r="AB29" s="26"/>
      <c r="AC29" s="26">
        <f t="shared" si="0"/>
        <v>11905.332999895154</v>
      </c>
      <c r="AD29" s="26">
        <f>IFERROR($AC29*HDF_Limited_Col!AD29/HDF_Limited_Col!$AH29," ")</f>
        <v>0</v>
      </c>
      <c r="AE29" s="26">
        <f>IFERROR($AC29*HDF_Limited_Col!AE29/HDF_Limited_Col!$AH29," ")</f>
        <v>0</v>
      </c>
      <c r="AF29" s="26">
        <f>IFERROR($AC29*HDF_Limited_Col!AF29/HDF_Limited_Col!$AH29," ")</f>
        <v>0</v>
      </c>
      <c r="AG29" s="26">
        <f>IFERROR($AC29*HDF_Limited_Col!AG29/HDF_Limited_Col!$AH29," ")</f>
        <v>0</v>
      </c>
      <c r="AH29" s="26">
        <f>IFERROR($AC29*HDF_Limited_Col!AH29/HDF_Limited_Col!$AH29," ")</f>
        <v>11905.332999895154</v>
      </c>
      <c r="AI29" s="26">
        <f>IFERROR($AC29*HDF_Limited_Col!AI29/HDF_Limited_Col!$AH29," ")</f>
        <v>0</v>
      </c>
      <c r="AJ29" s="26">
        <f>IFERROR($AC29*HDF_Limited_Col!AJ29/HDF_Limited_Col!$AH29," ")</f>
        <v>0</v>
      </c>
      <c r="AK29" s="26">
        <f>IFERROR($AC29*HDF_Limited_Col!AK29/HDF_Limited_Col!$AH29," ")</f>
        <v>248.36987810126095</v>
      </c>
      <c r="AL29" s="26">
        <f>IFERROR($AC29*HDF_Limited_Col!AL29/HDF_Limited_Col!$AH29," ")</f>
        <v>125.21126086096626</v>
      </c>
      <c r="AM29" s="26">
        <f>IFERROR($AC29*HDF_Limited_Col!AM29/HDF_Limited_Col!$AH29," ")</f>
        <v>0</v>
      </c>
      <c r="AN29" s="26">
        <f>IFERROR($AC29*HDF_Limited_Col!AN29/HDF_Limited_Col!$AH29," ")</f>
        <v>71.84252672350523</v>
      </c>
      <c r="AO29" s="26">
        <f>IFERROR($AC29*HDF_Limited_Col!AO29/HDF_Limited_Col!$AH29," ")</f>
        <v>16.421148965372627</v>
      </c>
      <c r="AP29" s="26">
        <f>IFERROR($AC29*HDF_Limited_Col!AP29/HDF_Limited_Col!$AH29," ")</f>
        <v>100.57953741290733</v>
      </c>
      <c r="AQ29" s="26">
        <f>IFERROR($AC29*HDF_Limited_Col!AQ29/HDF_Limited_Col!$AH29," ")</f>
        <v>6.1579308620147346</v>
      </c>
      <c r="AR29" s="26">
        <f>IFERROR($AC29*HDF_Limited_Col!AR29/HDF_Limited_Col!$AH29," ")</f>
        <v>10.263218103357891</v>
      </c>
      <c r="AS29" s="26">
        <f>IFERROR($AC29*HDF_Limited_Col!AS29/HDF_Limited_Col!$AH29," ")</f>
        <v>0</v>
      </c>
      <c r="AT29" s="26">
        <f>IFERROR($AC29*HDF_Limited_Col!AT29/HDF_Limited_Col!$AH29," ")</f>
        <v>0</v>
      </c>
      <c r="AU29" s="26">
        <f>IFERROR($AC29*HDF_Limited_Col!AU29/HDF_Limited_Col!$AH29," ")</f>
        <v>0</v>
      </c>
      <c r="AV29" s="26">
        <f>IFERROR($AC29*HDF_Limited_Col!AV29/HDF_Limited_Col!$AH29," ")</f>
        <v>0</v>
      </c>
      <c r="AW29" s="26">
        <f>IFERROR($AC29*HDF_Limited_Col!AW29/HDF_Limited_Col!$AH29," ")</f>
        <v>0</v>
      </c>
      <c r="AX29" s="26">
        <f>IFERROR($AC29*HDF_Limited_Col!AX29/HDF_Limited_Col!$AH29," ")</f>
        <v>47.210803275446303</v>
      </c>
      <c r="AY29" s="26">
        <f>IFERROR($AC29*HDF_Limited_Col!AY29/HDF_Limited_Col!$AH29," ")</f>
        <v>235.02769456689572</v>
      </c>
      <c r="AZ29" s="26">
        <f>IFERROR($AC29*HDF_Limited_Col!AZ29/HDF_Limited_Col!$AH29," ")</f>
        <v>6.1579308620147346</v>
      </c>
      <c r="BA29" s="26">
        <f>IFERROR($AC29*HDF_Limited_Col!BA29/HDF_Limited_Col!$AH29," ")</f>
        <v>24.631723448058938</v>
      </c>
      <c r="BB29" s="26">
        <f>IFERROR($AC29*HDF_Limited_Col!BB29/HDF_Limited_Col!$AH29," ")</f>
        <v>0</v>
      </c>
      <c r="BC29" s="26">
        <f>IFERROR($AC29*HDF_Limited_Col!BC29/HDF_Limited_Col!$AH29," ")</f>
        <v>18.473792586044205</v>
      </c>
      <c r="BD29" s="26">
        <f>IFERROR($AC29*HDF_Limited_Col!BD29/HDF_Limited_Col!$AH29," ")</f>
        <v>0</v>
      </c>
      <c r="BE29" s="26">
        <f>IFERROR($AC29*HDF_Limited_Col!BE29/HDF_Limited_Col!$AH29," ")</f>
        <v>0</v>
      </c>
      <c r="BF29" s="26">
        <f>IFERROR($AC29*HDF_Limited_Col!BF29/HDF_Limited_Col!$AH29," ")</f>
        <v>0</v>
      </c>
      <c r="BG29" s="26">
        <f>IFERROR($AC29*HDF_Limited_Col!BG29/HDF_Limited_Col!$AH29," ")</f>
        <v>0</v>
      </c>
      <c r="BH29" s="26">
        <f>IFERROR($AC29*HDF_Limited_Col!BH29/HDF_Limited_Col!$AH29," ")</f>
        <v>2.0526436206715784</v>
      </c>
      <c r="BI29" s="26">
        <f>IFERROR($AC29*HDF_Limited_Col!BI29/HDF_Limited_Col!$AH29," ")</f>
        <v>370.50217353121985</v>
      </c>
      <c r="BJ29" s="26">
        <f>IFERROR($AC29*HDF_Limited_Col!BJ29/HDF_Limited_Col!$AH29," ")</f>
        <v>10.263218103357891</v>
      </c>
      <c r="BK29" s="26">
        <f>IFERROR($AC29*HDF_Limited_Col!BK29/HDF_Limited_Col!$AH29," ")</f>
        <v>27.710688879066307</v>
      </c>
      <c r="BL29" s="26">
        <f>IFERROR($AC29*HDF_Limited_Col!BL29/HDF_Limited_Col!$AH29," ")</f>
        <v>49.263446896117877</v>
      </c>
      <c r="BM29" s="26">
        <f>IFERROR($AC29*HDF_Limited_Col!BM29/HDF_Limited_Col!$AH29," ")</f>
        <v>5.1316090516789457</v>
      </c>
      <c r="BN29" s="26">
        <f>IFERROR($AC29*HDF_Limited_Col!BN29/HDF_Limited_Col!$AH29," ")</f>
        <v>21.552758017051573</v>
      </c>
      <c r="BO29" s="26">
        <f>IFERROR($AC29*HDF_Limited_Col!BO29/HDF_Limited_Col!$AH29," ")</f>
        <v>3.0789654310073673</v>
      </c>
      <c r="BP29" s="26">
        <f>IFERROR($AC29*HDF_Limited_Col!BP29/HDF_Limited_Col!$AH29," ")</f>
        <v>1.0263218103357892</v>
      </c>
      <c r="BQ29" s="26">
        <f>IFERROR($AC29*HDF_Limited_Col!BQ29/HDF_Limited_Col!$AH29," ")</f>
        <v>3.0789654310073673</v>
      </c>
      <c r="BR29" s="26">
        <f>IFERROR($AC29*HDF_Limited_Col!BR29/HDF_Limited_Col!$AH29," ")</f>
        <v>2.0526436206715784</v>
      </c>
      <c r="BS29" s="26">
        <f>IFERROR($AC29*HDF_Limited_Col!BS29/HDF_Limited_Col!$AH29," ")</f>
        <v>0</v>
      </c>
      <c r="BT29" s="26">
        <f>IFERROR($AC29*HDF_Limited_Col!BT29/HDF_Limited_Col!$AH29," ")</f>
        <v>1.0263218103357892</v>
      </c>
      <c r="BU29" s="26">
        <f>IFERROR($AC29*HDF_Limited_Col!BU29/HDF_Limited_Col!$AH29," ")</f>
        <v>0</v>
      </c>
      <c r="BV29" s="26" t="str">
        <f>IFERROR($AC29*HDF_Limited_Col!BV29/HDF_Limited_Col!$AH29," ")</f>
        <v xml:space="preserve"> </v>
      </c>
      <c r="BW29" s="26" t="str">
        <f>IFERROR($AC29*HDF_Limited_Col!BW29/HDF_Limited_Col!$AH29," ")</f>
        <v xml:space="preserve"> </v>
      </c>
      <c r="BX29" s="26">
        <f>IFERROR($AC29*HDF_Limited_Col!BX29/HDF_Limited_Col!$AH29," ")</f>
        <v>2.0526436206715784</v>
      </c>
      <c r="BY29" s="26">
        <f>IFERROR($AC29*HDF_Limited_Col!BY29/HDF_Limited_Col!$AH29," ")</f>
        <v>0</v>
      </c>
      <c r="BZ29" s="26">
        <f>IFERROR($AC29*HDF_Limited_Col!BZ29/HDF_Limited_Col!$AH29," ")</f>
        <v>0</v>
      </c>
      <c r="CA29" s="26">
        <f>IFERROR($AC29*HDF_Limited_Col!CA29/HDF_Limited_Col!$AH29," ")</f>
        <v>4.1052872413431567</v>
      </c>
      <c r="CB29" s="26">
        <f>IFERROR($AC29*HDF_Limited_Col!CB29/HDF_Limited_Col!$AH29," ")</f>
        <v>3.0789654310073673</v>
      </c>
      <c r="CC29" s="26">
        <f>IFERROR($AC29*HDF_Limited_Col!CC29/HDF_Limited_Col!$AH29," ")</f>
        <v>1.0263218103357892</v>
      </c>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row>
    <row r="30" spans="1:109">
      <c r="A30" s="26" t="s">
        <v>672</v>
      </c>
      <c r="B30" s="26" t="s">
        <v>24</v>
      </c>
      <c r="C30" s="152" t="s">
        <v>1800</v>
      </c>
      <c r="D30" s="26" t="s">
        <v>1723</v>
      </c>
      <c r="E30" s="26" t="s">
        <v>237</v>
      </c>
      <c r="F30" s="26" t="s">
        <v>29</v>
      </c>
      <c r="G30" s="26" t="s">
        <v>595</v>
      </c>
      <c r="H30" s="30">
        <v>360</v>
      </c>
      <c r="I30" s="26" t="s">
        <v>735</v>
      </c>
      <c r="J30" s="26" t="s">
        <v>1496</v>
      </c>
      <c r="K30" s="26"/>
      <c r="L30" s="26"/>
      <c r="M30" s="26" t="s">
        <v>31</v>
      </c>
      <c r="N30" s="26">
        <v>25</v>
      </c>
      <c r="O30" s="95">
        <v>4.9411137544017203</v>
      </c>
      <c r="P30" s="95">
        <v>0.59829769886283868</v>
      </c>
      <c r="Q30" s="95">
        <v>4.8585899338689149</v>
      </c>
      <c r="R30" s="95">
        <v>12.192894483721989</v>
      </c>
      <c r="S30" s="95">
        <v>37.197612105162008</v>
      </c>
      <c r="T30" s="95">
        <v>20.352437238903118</v>
      </c>
      <c r="U30" s="95">
        <v>0</v>
      </c>
      <c r="V30" s="95">
        <v>6.4471734791254178</v>
      </c>
      <c r="W30" s="95">
        <v>8.8094178418769697</v>
      </c>
      <c r="X30" s="95">
        <v>2.1662502889861401</v>
      </c>
      <c r="Y30" s="95">
        <v>3.1462206578132035</v>
      </c>
      <c r="Z30" s="95">
        <v>100.71000748272232</v>
      </c>
      <c r="AA30" s="26"/>
      <c r="AB30" s="26"/>
      <c r="AC30" s="26">
        <f t="shared" si="0"/>
        <v>73130.263833216857</v>
      </c>
      <c r="AD30" s="26">
        <f>IFERROR($AC30*HDF_Limited_Col!AD30/HDF_Limited_Col!$AH30," ")</f>
        <v>31080.362129117166</v>
      </c>
      <c r="AE30" s="26">
        <f>IFERROR($AC30*HDF_Limited_Col!AE30/HDF_Limited_Col!$AH30," ")</f>
        <v>71302.007237386439</v>
      </c>
      <c r="AF30" s="26">
        <f>IFERROR($AC30*HDF_Limited_Col!AF30/HDF_Limited_Col!$AH30," ")</f>
        <v>9141.2829791521071</v>
      </c>
      <c r="AG30" s="26">
        <f>IFERROR($AC30*HDF_Limited_Col!AG30/HDF_Limited_Col!$AH30," ")</f>
        <v>0</v>
      </c>
      <c r="AH30" s="26">
        <f>IFERROR($AC30*HDF_Limited_Col!AH30/HDF_Limited_Col!$AH30," ")</f>
        <v>73130.263833216857</v>
      </c>
      <c r="AI30" s="26">
        <f>IFERROR($AC30*HDF_Limited_Col!AI30/HDF_Limited_Col!$AH30," ")</f>
        <v>340055.7268244584</v>
      </c>
      <c r="AJ30" s="26">
        <f>IFERROR($AC30*HDF_Limited_Col!AJ30/HDF_Limited_Col!$AH30," ")</f>
        <v>24516.920950085951</v>
      </c>
      <c r="AK30" s="26">
        <f>IFERROR($AC30*HDF_Limited_Col!AK30/HDF_Limited_Col!$AH30," ")</f>
        <v>0</v>
      </c>
      <c r="AL30" s="26">
        <f>IFERROR($AC30*HDF_Limited_Col!AL30/HDF_Limited_Col!$AH30," ")</f>
        <v>1188.366787289774</v>
      </c>
      <c r="AM30" s="26">
        <f>IFERROR($AC30*HDF_Limited_Col!AM30/HDF_Limited_Col!$AH30," ")</f>
        <v>29252.105533286744</v>
      </c>
      <c r="AN30" s="26">
        <f>IFERROR($AC30*HDF_Limited_Col!AN30/HDF_Limited_Col!$AH30," ")</f>
        <v>588.69862385739566</v>
      </c>
      <c r="AO30" s="26">
        <f>IFERROR($AC30*HDF_Limited_Col!AO30/HDF_Limited_Col!$AH30," ")</f>
        <v>1462.6052766643372</v>
      </c>
      <c r="AP30" s="26">
        <f>IFERROR($AC30*HDF_Limited_Col!AP30/HDF_Limited_Col!$AH30," ")</f>
        <v>0</v>
      </c>
      <c r="AQ30" s="26">
        <f>IFERROR($AC30*HDF_Limited_Col!AQ30/HDF_Limited_Col!$AH30," ")</f>
        <v>53.01944127908223</v>
      </c>
      <c r="AR30" s="26">
        <f>IFERROR($AC30*HDF_Limited_Col!AR30/HDF_Limited_Col!$AH30," ")</f>
        <v>53.01944127908223</v>
      </c>
      <c r="AS30" s="26">
        <f>IFERROR($AC30*HDF_Limited_Col!AS30/HDF_Limited_Col!$AH30," ")</f>
        <v>0</v>
      </c>
      <c r="AT30" s="26">
        <f>IFERROR($AC30*HDF_Limited_Col!AT30/HDF_Limited_Col!$AH30," ")</f>
        <v>0</v>
      </c>
      <c r="AU30" s="26">
        <f>IFERROR($AC30*HDF_Limited_Col!AU30/HDF_Limited_Col!$AH30," ")</f>
        <v>0</v>
      </c>
      <c r="AV30" s="26">
        <f>IFERROR($AC30*HDF_Limited_Col!AV30/HDF_Limited_Col!$AH30," ")</f>
        <v>0</v>
      </c>
      <c r="AW30" s="26">
        <f>IFERROR($AC30*HDF_Limited_Col!AW30/HDF_Limited_Col!$AH30," ")</f>
        <v>0</v>
      </c>
      <c r="AX30" s="26">
        <f>IFERROR($AC30*HDF_Limited_Col!AX30/HDF_Limited_Col!$AH30," ")</f>
        <v>146.26052766643372</v>
      </c>
      <c r="AY30" s="26">
        <f>IFERROR($AC30*HDF_Limited_Col!AY30/HDF_Limited_Col!$AH30," ")</f>
        <v>4095.2947746601444</v>
      </c>
      <c r="AZ30" s="26">
        <f>IFERROR($AC30*HDF_Limited_Col!AZ30/HDF_Limited_Col!$AH30," ")</f>
        <v>36.565131916608429</v>
      </c>
      <c r="BA30" s="26">
        <f>IFERROR($AC30*HDF_Limited_Col!BA30/HDF_Limited_Col!$AH30," ")</f>
        <v>270.58197618290239</v>
      </c>
      <c r="BB30" s="26">
        <f>IFERROR($AC30*HDF_Limited_Col!BB30/HDF_Limited_Col!$AH30," ")</f>
        <v>0</v>
      </c>
      <c r="BC30" s="26">
        <f>IFERROR($AC30*HDF_Limited_Col!BC30/HDF_Limited_Col!$AH30," ")</f>
        <v>692.90924981972978</v>
      </c>
      <c r="BD30" s="26">
        <f>IFERROR($AC30*HDF_Limited_Col!BD30/HDF_Limited_Col!$AH30," ")</f>
        <v>0</v>
      </c>
      <c r="BE30" s="26">
        <f>IFERROR($AC30*HDF_Limited_Col!BE30/HDF_Limited_Col!$AH30," ")</f>
        <v>0</v>
      </c>
      <c r="BF30" s="26">
        <f>IFERROR($AC30*HDF_Limited_Col!BF30/HDF_Limited_Col!$AH30," ")</f>
        <v>0</v>
      </c>
      <c r="BG30" s="26">
        <f>IFERROR($AC30*HDF_Limited_Col!BG30/HDF_Limited_Col!$AH30," ")</f>
        <v>0</v>
      </c>
      <c r="BH30" s="26">
        <f>IFERROR($AC30*HDF_Limited_Col!BH30/HDF_Limited_Col!$AH30," ")</f>
        <v>7.3130263833216862</v>
      </c>
      <c r="BI30" s="26">
        <f>IFERROR($AC30*HDF_Limited_Col!BI30/HDF_Limited_Col!$AH30," ")</f>
        <v>6874.2448003223835</v>
      </c>
      <c r="BJ30" s="26">
        <f>IFERROR($AC30*HDF_Limited_Col!BJ30/HDF_Limited_Col!$AH30," ")</f>
        <v>106.03888255816446</v>
      </c>
      <c r="BK30" s="26">
        <f>IFERROR($AC30*HDF_Limited_Col!BK30/HDF_Limited_Col!$AH30," ")</f>
        <v>480.83148470340086</v>
      </c>
      <c r="BL30" s="26">
        <f>IFERROR($AC30*HDF_Limited_Col!BL30/HDF_Limited_Col!$AH30," ")</f>
        <v>950.69342983181923</v>
      </c>
      <c r="BM30" s="26">
        <f>IFERROR($AC30*HDF_Limited_Col!BM30/HDF_Limited_Col!$AH30," ")</f>
        <v>133.46273149562074</v>
      </c>
      <c r="BN30" s="26">
        <f>IFERROR($AC30*HDF_Limited_Col!BN30/HDF_Limited_Col!$AH30," ")</f>
        <v>469.86194512841831</v>
      </c>
      <c r="BO30" s="26">
        <f>IFERROR($AC30*HDF_Limited_Col!BO30/HDF_Limited_Col!$AH30," ")</f>
        <v>21.93907914996506</v>
      </c>
      <c r="BP30" s="26">
        <f>IFERROR($AC30*HDF_Limited_Col!BP30/HDF_Limited_Col!$AH30," ")</f>
        <v>10.96953957498253</v>
      </c>
      <c r="BQ30" s="26">
        <f>IFERROR($AC30*HDF_Limited_Col!BQ30/HDF_Limited_Col!$AH30," ")</f>
        <v>14.626052766643372</v>
      </c>
      <c r="BR30" s="26">
        <f>IFERROR($AC30*HDF_Limited_Col!BR30/HDF_Limited_Col!$AH30," ")</f>
        <v>9.1412829791521073</v>
      </c>
      <c r="BS30" s="26">
        <f>IFERROR($AC30*HDF_Limited_Col!BS30/HDF_Limited_Col!$AH30," ")</f>
        <v>5.4847697874912651</v>
      </c>
      <c r="BT30" s="26">
        <f>IFERROR($AC30*HDF_Limited_Col!BT30/HDF_Limited_Col!$AH30," ")</f>
        <v>9.1412829791521073</v>
      </c>
      <c r="BU30" s="26">
        <f>IFERROR($AC30*HDF_Limited_Col!BU30/HDF_Limited_Col!$AH30," ")</f>
        <v>0</v>
      </c>
      <c r="BV30" s="26">
        <f>IFERROR($AC30*HDF_Limited_Col!BV30/HDF_Limited_Col!$AH30," ")</f>
        <v>14.626052766643372</v>
      </c>
      <c r="BW30" s="26">
        <f>IFERROR($AC30*HDF_Limited_Col!BW30/HDF_Limited_Col!$AH30," ")</f>
        <v>5.4847697874912651</v>
      </c>
      <c r="BX30" s="26">
        <f>IFERROR($AC30*HDF_Limited_Col!BX30/HDF_Limited_Col!$AH30," ")</f>
        <v>14.626052766643372</v>
      </c>
      <c r="BY30" s="26">
        <f>IFERROR($AC30*HDF_Limited_Col!BY30/HDF_Limited_Col!$AH30," ")</f>
        <v>40.221645108269271</v>
      </c>
      <c r="BZ30" s="26">
        <f>IFERROR($AC30*HDF_Limited_Col!BZ30/HDF_Limited_Col!$AH30," ")</f>
        <v>0</v>
      </c>
      <c r="CA30" s="26">
        <f>IFERROR($AC30*HDF_Limited_Col!CA30/HDF_Limited_Col!$AH30," ")</f>
        <v>316.28839107866287</v>
      </c>
      <c r="CB30" s="26">
        <f>IFERROR($AC30*HDF_Limited_Col!CB30/HDF_Limited_Col!$AH30," ")</f>
        <v>53.01944127908223</v>
      </c>
      <c r="CC30" s="26">
        <f>IFERROR($AC30*HDF_Limited_Col!CC30/HDF_Limited_Col!$AH30," ")</f>
        <v>14.626052766643372</v>
      </c>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row>
    <row r="31" spans="1:109">
      <c r="A31" s="26" t="s">
        <v>672</v>
      </c>
      <c r="B31" s="26" t="s">
        <v>24</v>
      </c>
      <c r="C31" s="152" t="s">
        <v>1800</v>
      </c>
      <c r="D31" s="26" t="s">
        <v>1723</v>
      </c>
      <c r="E31" s="26" t="s">
        <v>237</v>
      </c>
      <c r="F31" s="26" t="s">
        <v>29</v>
      </c>
      <c r="G31" s="26" t="s">
        <v>595</v>
      </c>
      <c r="H31" s="30">
        <v>360</v>
      </c>
      <c r="I31" s="26" t="s">
        <v>735</v>
      </c>
      <c r="J31" s="26" t="s">
        <v>1496</v>
      </c>
      <c r="K31" s="26"/>
      <c r="L31" s="26"/>
      <c r="M31" s="26" t="s">
        <v>30</v>
      </c>
      <c r="N31" s="26">
        <v>24</v>
      </c>
      <c r="O31" s="95">
        <v>12.674489047557106</v>
      </c>
      <c r="P31" s="95">
        <v>0.96696265908352008</v>
      </c>
      <c r="Q31" s="95">
        <v>5.6146218914526971</v>
      </c>
      <c r="R31" s="95">
        <v>10.251883675874739</v>
      </c>
      <c r="S31" s="95">
        <v>25.317785751272808</v>
      </c>
      <c r="T31" s="95">
        <v>15.616966816596205</v>
      </c>
      <c r="U31" s="95">
        <v>0</v>
      </c>
      <c r="V31" s="95">
        <v>7.2574186670999685</v>
      </c>
      <c r="W31" s="95">
        <v>15.034709731556667</v>
      </c>
      <c r="X31" s="95">
        <v>3.2959909992416754</v>
      </c>
      <c r="Y31" s="95">
        <v>5.1259418379373693</v>
      </c>
      <c r="Z31" s="95">
        <v>101.15677107767276</v>
      </c>
      <c r="AA31" s="26"/>
      <c r="AB31" s="26"/>
      <c r="AC31" s="26">
        <f t="shared" si="1"/>
        <v>124808.73413654653</v>
      </c>
      <c r="AD31" s="26">
        <f>IFERROR($AC31*HDF_Limited_Col!AD31/HDF_Limited_Col!$AH31," ")</f>
        <v>38112.734249750785</v>
      </c>
      <c r="AE31" s="26">
        <f>IFERROR($AC31*HDF_Limited_Col!AE31/HDF_Limited_Col!$AH31," ")</f>
        <v>47745.623126061422</v>
      </c>
      <c r="AF31" s="26">
        <f>IFERROR($AC31*HDF_Limited_Col!AF31/HDF_Limited_Col!$AH31," ")</f>
        <v>10889.35264278594</v>
      </c>
      <c r="AG31" s="26">
        <f>IFERROR($AC31*HDF_Limited_Col!AG31/HDF_Limited_Col!$AH31," ")</f>
        <v>0</v>
      </c>
      <c r="AH31" s="26">
        <f>IFERROR($AC31*HDF_Limited_Col!AH31/HDF_Limited_Col!$AH31," ")</f>
        <v>124808.73413654653</v>
      </c>
      <c r="AI31" s="26">
        <f>IFERROR($AC31*HDF_Limited_Col!AI31/HDF_Limited_Col!$AH31," ")</f>
        <v>117688.77279318649</v>
      </c>
      <c r="AJ31" s="26">
        <f>IFERROR($AC31*HDF_Limited_Col!AJ31/HDF_Limited_Col!$AH31," ")</f>
        <v>14654.555729656924</v>
      </c>
      <c r="AK31" s="26">
        <f>IFERROR($AC31*HDF_Limited_Col!AK31/HDF_Limited_Col!$AH31," ")</f>
        <v>0</v>
      </c>
      <c r="AL31" s="26">
        <f>IFERROR($AC31*HDF_Limited_Col!AL31/HDF_Limited_Col!$AH31," ")</f>
        <v>1063.805988949088</v>
      </c>
      <c r="AM31" s="26">
        <f>IFERROR($AC31*HDF_Limited_Col!AM31/HDF_Limited_Col!$AH31," ")</f>
        <v>87952.463653271043</v>
      </c>
      <c r="AN31" s="26">
        <f>IFERROR($AC31*HDF_Limited_Col!AN31/HDF_Limited_Col!$AH31," ")</f>
        <v>302.38894646505565</v>
      </c>
      <c r="AO31" s="26">
        <f>IFERROR($AC31*HDF_Limited_Col!AO31/HDF_Limited_Col!$AH31," ")</f>
        <v>1126.6291772728528</v>
      </c>
      <c r="AP31" s="26">
        <f>IFERROR($AC31*HDF_Limited_Col!AP31/HDF_Limited_Col!$AH31," ")</f>
        <v>0</v>
      </c>
      <c r="AQ31" s="26">
        <f>IFERROR($AC31*HDF_Limited_Col!AQ31/HDF_Limited_Col!$AH31," ")</f>
        <v>62.404367068273267</v>
      </c>
      <c r="AR31" s="26">
        <f>IFERROR($AC31*HDF_Limited_Col!AR31/HDF_Limited_Col!$AH31," ")</f>
        <v>28.898666628931913</v>
      </c>
      <c r="AS31" s="26">
        <f>IFERROR($AC31*HDF_Limited_Col!AS31/HDF_Limited_Col!$AH31," ")</f>
        <v>0</v>
      </c>
      <c r="AT31" s="26">
        <f>IFERROR($AC31*HDF_Limited_Col!AT31/HDF_Limited_Col!$AH31," ")</f>
        <v>0</v>
      </c>
      <c r="AU31" s="26">
        <f>IFERROR($AC31*HDF_Limited_Col!AU31/HDF_Limited_Col!$AH31," ")</f>
        <v>0</v>
      </c>
      <c r="AV31" s="26">
        <f>IFERROR($AC31*HDF_Limited_Col!AV31/HDF_Limited_Col!$AH31," ")</f>
        <v>0</v>
      </c>
      <c r="AW31" s="26">
        <f>IFERROR($AC31*HDF_Limited_Col!AW31/HDF_Limited_Col!$AH31," ")</f>
        <v>0</v>
      </c>
      <c r="AX31" s="26">
        <f>IFERROR($AC31*HDF_Limited_Col!AX31/HDF_Limited_Col!$AH31," ")</f>
        <v>494.20908148028485</v>
      </c>
      <c r="AY31" s="26">
        <f>IFERROR($AC31*HDF_Limited_Col!AY31/HDF_Limited_Col!$AH31," ")</f>
        <v>3032.2658897603924</v>
      </c>
      <c r="AZ31" s="26">
        <f>IFERROR($AC31*HDF_Limited_Col!AZ31/HDF_Limited_Col!$AH31," ")</f>
        <v>26.385739095981311</v>
      </c>
      <c r="BA31" s="26">
        <f>IFERROR($AC31*HDF_Limited_Col!BA31/HDF_Limited_Col!$AH31," ")</f>
        <v>305.32069525349806</v>
      </c>
      <c r="BB31" s="26">
        <f>IFERROR($AC31*HDF_Limited_Col!BB31/HDF_Limited_Col!$AH31," ")</f>
        <v>0</v>
      </c>
      <c r="BC31" s="26">
        <f>IFERROR($AC31*HDF_Limited_Col!BC31/HDF_Limited_Col!$AH31," ")</f>
        <v>1017.3168295895016</v>
      </c>
      <c r="BD31" s="26">
        <f>IFERROR($AC31*HDF_Limited_Col!BD31/HDF_Limited_Col!$AH31," ")</f>
        <v>0</v>
      </c>
      <c r="BE31" s="26">
        <f>IFERROR($AC31*HDF_Limited_Col!BE31/HDF_Limited_Col!$AH31," ")</f>
        <v>0</v>
      </c>
      <c r="BF31" s="26">
        <f>IFERROR($AC31*HDF_Limited_Col!BF31/HDF_Limited_Col!$AH31," ")</f>
        <v>0</v>
      </c>
      <c r="BG31" s="26">
        <f>IFERROR($AC31*HDF_Limited_Col!BG31/HDF_Limited_Col!$AH31," ")</f>
        <v>0</v>
      </c>
      <c r="BH31" s="26">
        <f>IFERROR($AC31*HDF_Limited_Col!BH31/HDF_Limited_Col!$AH31," ")</f>
        <v>7.1199613433600373</v>
      </c>
      <c r="BI31" s="26">
        <f>IFERROR($AC31*HDF_Limited_Col!BI31/HDF_Limited_Col!$AH31," ")</f>
        <v>7237.2312948977315</v>
      </c>
      <c r="BJ31" s="26">
        <f>IFERROR($AC31*HDF_Limited_Col!BJ31/HDF_Limited_Col!$AH31," ")</f>
        <v>99.26063755154874</v>
      </c>
      <c r="BK31" s="26">
        <f>IFERROR($AC31*HDF_Limited_Col!BK31/HDF_Limited_Col!$AH31," ")</f>
        <v>435.57410571143754</v>
      </c>
      <c r="BL31" s="26">
        <f>IFERROR($AC31*HDF_Limited_Col!BL31/HDF_Limited_Col!$AH31," ")</f>
        <v>640.79652090240336</v>
      </c>
      <c r="BM31" s="26">
        <f>IFERROR($AC31*HDF_Limited_Col!BM31/HDF_Limited_Col!$AH31," ")</f>
        <v>75.806647244009795</v>
      </c>
      <c r="BN31" s="26">
        <f>IFERROR($AC31*HDF_Limited_Col!BN31/HDF_Limited_Col!$AH31," ")</f>
        <v>259.66917840489543</v>
      </c>
      <c r="BO31" s="26">
        <f>IFERROR($AC31*HDF_Limited_Col!BO31/HDF_Limited_Col!$AH31," ")</f>
        <v>30.573951650898977</v>
      </c>
      <c r="BP31" s="26">
        <f>IFERROR($AC31*HDF_Limited_Col!BP31/HDF_Limited_Col!$AH31," ")</f>
        <v>9.6328888763106377</v>
      </c>
      <c r="BQ31" s="26">
        <f>IFERROR($AC31*HDF_Limited_Col!BQ31/HDF_Limited_Col!$AH31," ")</f>
        <v>24.29163281852248</v>
      </c>
      <c r="BR31" s="26">
        <f>IFERROR($AC31*HDF_Limited_Col!BR31/HDF_Limited_Col!$AH31," ")</f>
        <v>10.051710131802405</v>
      </c>
      <c r="BS31" s="26">
        <f>IFERROR($AC31*HDF_Limited_Col!BS31/HDF_Limited_Col!$AH31," ")</f>
        <v>5.0258550659012027</v>
      </c>
      <c r="BT31" s="26">
        <f>IFERROR($AC31*HDF_Limited_Col!BT31/HDF_Limited_Col!$AH31," ")</f>
        <v>3.3505700439341353</v>
      </c>
      <c r="BU31" s="26">
        <f>IFERROR($AC31*HDF_Limited_Col!BU31/HDF_Limited_Col!$AH31," ")</f>
        <v>0</v>
      </c>
      <c r="BV31" s="26" t="str">
        <f>IFERROR($AC31*HDF_Limited_Col!BV31/HDF_Limited_Col!$AH31," ")</f>
        <v xml:space="preserve"> </v>
      </c>
      <c r="BW31" s="26">
        <f>IFERROR($AC31*HDF_Limited_Col!BW31/HDF_Limited_Col!$AH31," ")</f>
        <v>3.3505700439341353</v>
      </c>
      <c r="BX31" s="26">
        <f>IFERROR($AC31*HDF_Limited_Col!BX31/HDF_Limited_Col!$AH31," ")</f>
        <v>12.983458920244773</v>
      </c>
      <c r="BY31" s="26">
        <f>IFERROR($AC31*HDF_Limited_Col!BY31/HDF_Limited_Col!$AH31," ")</f>
        <v>44.813874337619055</v>
      </c>
      <c r="BZ31" s="26">
        <f>IFERROR($AC31*HDF_Limited_Col!BZ31/HDF_Limited_Col!$AH31," ")</f>
        <v>0</v>
      </c>
      <c r="CA31" s="26">
        <f>IFERROR($AC31*HDF_Limited_Col!CA31/HDF_Limited_Col!$AH31," ")</f>
        <v>196.8459900811304</v>
      </c>
      <c r="CB31" s="26">
        <f>IFERROR($AC31*HDF_Limited_Col!CB31/HDF_Limited_Col!$AH31," ")</f>
        <v>67.011400878682707</v>
      </c>
      <c r="CC31" s="26">
        <f>IFERROR($AC31*HDF_Limited_Col!CC31/HDF_Limited_Col!$AH31," ")</f>
        <v>12.983458920244773</v>
      </c>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row>
    <row r="32" spans="1:109">
      <c r="A32" s="26" t="s">
        <v>672</v>
      </c>
      <c r="B32" s="26" t="s">
        <v>24</v>
      </c>
      <c r="C32" s="152" t="s">
        <v>1800</v>
      </c>
      <c r="D32" s="26" t="s">
        <v>1723</v>
      </c>
      <c r="E32" s="26" t="s">
        <v>237</v>
      </c>
      <c r="F32" s="26" t="s">
        <v>29</v>
      </c>
      <c r="G32" s="26" t="s">
        <v>595</v>
      </c>
      <c r="H32" s="30">
        <v>360</v>
      </c>
      <c r="I32" s="26" t="s">
        <v>735</v>
      </c>
      <c r="J32" s="26" t="s">
        <v>1496</v>
      </c>
      <c r="K32" s="26"/>
      <c r="L32" s="26"/>
      <c r="M32" s="26" t="s">
        <v>32</v>
      </c>
      <c r="N32" s="26">
        <v>27</v>
      </c>
      <c r="O32" s="95">
        <v>8.5279905892319441</v>
      </c>
      <c r="P32" s="95">
        <v>1.4281323953259235</v>
      </c>
      <c r="Q32" s="95">
        <v>3.866158413060893</v>
      </c>
      <c r="R32" s="95">
        <v>27.083510782788057</v>
      </c>
      <c r="S32" s="95">
        <v>22.023841725061924</v>
      </c>
      <c r="T32" s="95">
        <v>24.93111124411827</v>
      </c>
      <c r="U32" s="95">
        <v>0</v>
      </c>
      <c r="V32" s="95">
        <v>2.8970685733754453</v>
      </c>
      <c r="W32" s="95">
        <v>6.0287588974115787</v>
      </c>
      <c r="X32" s="95">
        <v>2.4788298004585676</v>
      </c>
      <c r="Y32" s="95">
        <v>0.94868794832364944</v>
      </c>
      <c r="Z32" s="95">
        <v>100.21409036915627</v>
      </c>
      <c r="AA32" s="26"/>
      <c r="AB32" s="26"/>
      <c r="AC32" s="26">
        <f t="shared" si="0"/>
        <v>50046.976618448796</v>
      </c>
      <c r="AD32" s="26">
        <f>IFERROR($AC32*HDF_Limited_Col!AD32/HDF_Limited_Col!$AH32," ")</f>
        <v>6830.9243852478858</v>
      </c>
      <c r="AE32" s="26">
        <f>IFERROR($AC32*HDF_Limited_Col!AE32/HDF_Limited_Col!$AH32," ")</f>
        <v>49071.130277699107</v>
      </c>
      <c r="AF32" s="26">
        <f>IFERROR($AC32*HDF_Limited_Col!AF32/HDF_Limited_Col!$AH32," ")</f>
        <v>1672.8794412851964</v>
      </c>
      <c r="AG32" s="26">
        <f>IFERROR($AC32*HDF_Limited_Col!AG32/HDF_Limited_Col!$AH32," ")</f>
        <v>0</v>
      </c>
      <c r="AH32" s="26">
        <f>IFERROR($AC32*HDF_Limited_Col!AH32/HDF_Limited_Col!$AH32," ")</f>
        <v>50046.976618448796</v>
      </c>
      <c r="AI32" s="26">
        <f>IFERROR($AC32*HDF_Limited_Col!AI32/HDF_Limited_Col!$AH32," ")</f>
        <v>53532.142121126286</v>
      </c>
      <c r="AJ32" s="26">
        <f>IFERROR($AC32*HDF_Limited_Col!AJ32/HDF_Limited_Col!$AH32," ")</f>
        <v>3549.2925479267587</v>
      </c>
      <c r="AK32" s="26">
        <f>IFERROR($AC32*HDF_Limited_Col!AK32/HDF_Limited_Col!$AH32," ")</f>
        <v>0</v>
      </c>
      <c r="AL32" s="26">
        <f>IFERROR($AC32*HDF_Limited_Col!AL32/HDF_Limited_Col!$AH32," ")</f>
        <v>747.21948377405454</v>
      </c>
      <c r="AM32" s="26">
        <f>IFERROR($AC32*HDF_Limited_Col!AM32/HDF_Limited_Col!$AH32," ")</f>
        <v>28160.137261634143</v>
      </c>
      <c r="AN32" s="26">
        <f>IFERROR($AC32*HDF_Limited_Col!AN32/HDF_Limited_Col!$AH32," ")</f>
        <v>265.15139144370363</v>
      </c>
      <c r="AO32" s="26">
        <f>IFERROR($AC32*HDF_Limited_Col!AO32/HDF_Limited_Col!$AH32," ")</f>
        <v>128.25409049853175</v>
      </c>
      <c r="AP32" s="26">
        <f>IFERROR($AC32*HDF_Limited_Col!AP32/HDF_Limited_Col!$AH32," ")</f>
        <v>0</v>
      </c>
      <c r="AQ32" s="26">
        <f>IFERROR($AC32*HDF_Limited_Col!AQ32/HDF_Limited_Col!$AH32," ")</f>
        <v>24.674971758956648</v>
      </c>
      <c r="AR32" s="26">
        <f>IFERROR($AC32*HDF_Limited_Col!AR32/HDF_Limited_Col!$AH32," ")</f>
        <v>6.5521111450336873</v>
      </c>
      <c r="AS32" s="26">
        <f>IFERROR($AC32*HDF_Limited_Col!AS32/HDF_Limited_Col!$AH32," ")</f>
        <v>0</v>
      </c>
      <c r="AT32" s="26">
        <f>IFERROR($AC32*HDF_Limited_Col!AT32/HDF_Limited_Col!$AH32," ")</f>
        <v>0</v>
      </c>
      <c r="AU32" s="26">
        <f>IFERROR($AC32*HDF_Limited_Col!AU32/HDF_Limited_Col!$AH32," ")</f>
        <v>0</v>
      </c>
      <c r="AV32" s="26">
        <f>IFERROR($AC32*HDF_Limited_Col!AV32/HDF_Limited_Col!$AH32," ")</f>
        <v>0</v>
      </c>
      <c r="AW32" s="26">
        <f>IFERROR($AC32*HDF_Limited_Col!AW32/HDF_Limited_Col!$AH32," ")</f>
        <v>0</v>
      </c>
      <c r="AX32" s="26">
        <f>IFERROR($AC32*HDF_Limited_Col!AX32/HDF_Limited_Col!$AH32," ")</f>
        <v>147.7710173135257</v>
      </c>
      <c r="AY32" s="26">
        <f>IFERROR($AC32*HDF_Limited_Col!AY32/HDF_Limited_Col!$AH32," ")</f>
        <v>1094.3419678407327</v>
      </c>
      <c r="AZ32" s="26">
        <f>IFERROR($AC32*HDF_Limited_Col!AZ32/HDF_Limited_Col!$AH32," ")</f>
        <v>9.2008369270685826</v>
      </c>
      <c r="BA32" s="26">
        <f>IFERROR($AC32*HDF_Limited_Col!BA32/HDF_Limited_Col!$AH32," ")</f>
        <v>172.72480231269657</v>
      </c>
      <c r="BB32" s="26">
        <f>IFERROR($AC32*HDF_Limited_Col!BB32/HDF_Limited_Col!$AH32," ")</f>
        <v>0</v>
      </c>
      <c r="BC32" s="26">
        <f>IFERROR($AC32*HDF_Limited_Col!BC32/HDF_Limited_Col!$AH32," ")</f>
        <v>79.322366840939736</v>
      </c>
      <c r="BD32" s="26">
        <f>IFERROR($AC32*HDF_Limited_Col!BD32/HDF_Limited_Col!$AH32," ")</f>
        <v>0</v>
      </c>
      <c r="BE32" s="26">
        <f>IFERROR($AC32*HDF_Limited_Col!BE32/HDF_Limited_Col!$AH32," ")</f>
        <v>0</v>
      </c>
      <c r="BF32" s="26">
        <f>IFERROR($AC32*HDF_Limited_Col!BF32/HDF_Limited_Col!$AH32," ")</f>
        <v>0</v>
      </c>
      <c r="BG32" s="26">
        <f>IFERROR($AC32*HDF_Limited_Col!BG32/HDF_Limited_Col!$AH32," ")</f>
        <v>0</v>
      </c>
      <c r="BH32" s="26">
        <f>IFERROR($AC32*HDF_Limited_Col!BH32/HDF_Limited_Col!$AH32," ")</f>
        <v>1.5334728211780968</v>
      </c>
      <c r="BI32" s="26">
        <f>IFERROR($AC32*HDF_Limited_Col!BI32/HDF_Limited_Col!$AH32," ")</f>
        <v>1651.9684482691316</v>
      </c>
      <c r="BJ32" s="26">
        <f>IFERROR($AC32*HDF_Limited_Col!BJ32/HDF_Limited_Col!$AH32," ")</f>
        <v>51.99866929994819</v>
      </c>
      <c r="BK32" s="26">
        <f>IFERROR($AC32*HDF_Limited_Col!BK32/HDF_Limited_Col!$AH32," ")</f>
        <v>125.46595809638976</v>
      </c>
      <c r="BL32" s="26">
        <f>IFERROR($AC32*HDF_Limited_Col!BL32/HDF_Limited_Col!$AH32," ")</f>
        <v>206.32179775850756</v>
      </c>
      <c r="BM32" s="26">
        <f>IFERROR($AC32*HDF_Limited_Col!BM32/HDF_Limited_Col!$AH32," ")</f>
        <v>25.650818099706346</v>
      </c>
      <c r="BN32" s="26">
        <f>IFERROR($AC32*HDF_Limited_Col!BN32/HDF_Limited_Col!$AH32," ")</f>
        <v>103.16089887925378</v>
      </c>
      <c r="BO32" s="26">
        <f>IFERROR($AC32*HDF_Limited_Col!BO32/HDF_Limited_Col!$AH32," ")</f>
        <v>16.449981172637763</v>
      </c>
      <c r="BP32" s="26">
        <f>IFERROR($AC32*HDF_Limited_Col!BP32/HDF_Limited_Col!$AH32," ")</f>
        <v>5.2974515640697888</v>
      </c>
      <c r="BQ32" s="26">
        <f>IFERROR($AC32*HDF_Limited_Col!BQ32/HDF_Limited_Col!$AH32," ")</f>
        <v>10.037276647711177</v>
      </c>
      <c r="BR32" s="26">
        <f>IFERROR($AC32*HDF_Limited_Col!BR32/HDF_Limited_Col!$AH32," ")</f>
        <v>3.6245721227845924</v>
      </c>
      <c r="BS32" s="26">
        <f>IFERROR($AC32*HDF_Limited_Col!BS32/HDF_Limited_Col!$AH32," ")</f>
        <v>0.5576264804283988</v>
      </c>
      <c r="BT32" s="26">
        <f>IFERROR($AC32*HDF_Limited_Col!BT32/HDF_Limited_Col!$AH32," ")</f>
        <v>0.83643972064259831</v>
      </c>
      <c r="BU32" s="26">
        <f>IFERROR($AC32*HDF_Limited_Col!BU32/HDF_Limited_Col!$AH32," ")</f>
        <v>0</v>
      </c>
      <c r="BV32" s="26">
        <f>IFERROR($AC32*HDF_Limited_Col!BV32/HDF_Limited_Col!$AH32," ")</f>
        <v>1.6728794412851966</v>
      </c>
      <c r="BW32" s="26">
        <f>IFERROR($AC32*HDF_Limited_Col!BW32/HDF_Limited_Col!$AH32," ")</f>
        <v>0.69703310053549861</v>
      </c>
      <c r="BX32" s="26">
        <f>IFERROR($AC32*HDF_Limited_Col!BX32/HDF_Limited_Col!$AH32," ")</f>
        <v>4.0427919831058921</v>
      </c>
      <c r="BY32" s="26">
        <f>IFERROR($AC32*HDF_Limited_Col!BY32/HDF_Limited_Col!$AH32," ")</f>
        <v>2.927539022249094</v>
      </c>
      <c r="BZ32" s="26">
        <f>IFERROR($AC32*HDF_Limited_Col!BZ32/HDF_Limited_Col!$AH32," ")</f>
        <v>0</v>
      </c>
      <c r="CA32" s="26">
        <f>IFERROR($AC32*HDF_Limited_Col!CA32/HDF_Limited_Col!$AH32," ")</f>
        <v>13.243628910174474</v>
      </c>
      <c r="CB32" s="26">
        <f>IFERROR($AC32*HDF_Limited_Col!CB32/HDF_Limited_Col!$AH32," ")</f>
        <v>12.686002429746074</v>
      </c>
      <c r="CC32" s="26">
        <f>IFERROR($AC32*HDF_Limited_Col!CC32/HDF_Limited_Col!$AH32," ")</f>
        <v>2.6487257820348944</v>
      </c>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row>
    <row r="33" spans="1:109">
      <c r="A33" s="26" t="s">
        <v>672</v>
      </c>
      <c r="B33" s="26" t="s">
        <v>24</v>
      </c>
      <c r="C33" s="152" t="s">
        <v>1800</v>
      </c>
      <c r="D33" s="26" t="s">
        <v>1723</v>
      </c>
      <c r="E33" s="26" t="s">
        <v>237</v>
      </c>
      <c r="F33" s="26" t="s">
        <v>29</v>
      </c>
      <c r="G33" s="26" t="s">
        <v>595</v>
      </c>
      <c r="H33" s="30">
        <v>360</v>
      </c>
      <c r="I33" s="26" t="s">
        <v>735</v>
      </c>
      <c r="J33" s="26" t="s">
        <v>1496</v>
      </c>
      <c r="K33" s="26"/>
      <c r="L33" s="26"/>
      <c r="M33" s="26" t="s">
        <v>33</v>
      </c>
      <c r="N33" s="26">
        <v>24</v>
      </c>
      <c r="O33" s="95">
        <v>9.5525728194038582</v>
      </c>
      <c r="P33" s="95">
        <v>0.34625530475451083</v>
      </c>
      <c r="Q33" s="95">
        <v>3.5032889657515214</v>
      </c>
      <c r="R33" s="95">
        <v>27.282881218745132</v>
      </c>
      <c r="S33" s="95">
        <v>20.877158080786682</v>
      </c>
      <c r="T33" s="95">
        <v>17.455340951447987</v>
      </c>
      <c r="U33" s="95">
        <v>0</v>
      </c>
      <c r="V33" s="95">
        <v>4.7253665119439114</v>
      </c>
      <c r="W33" s="95">
        <v>13.178069539774617</v>
      </c>
      <c r="X33" s="95">
        <v>1.8331163192885869</v>
      </c>
      <c r="Y33" s="95">
        <v>1.609068769153315</v>
      </c>
      <c r="Z33" s="95">
        <v>100.36311848105012</v>
      </c>
      <c r="AA33" s="26"/>
      <c r="AB33" s="26"/>
      <c r="AC33" s="26">
        <f t="shared" si="0"/>
        <v>109396.07129032073</v>
      </c>
      <c r="AD33" s="26">
        <f>IFERROR($AC33*HDF_Limited_Col!AD33/HDF_Limited_Col!$AH33," ")</f>
        <v>46061.503701187678</v>
      </c>
      <c r="AE33" s="26">
        <f>IFERROR($AC33*HDF_Limited_Col!AE33/HDF_Limited_Col!$AH33," ")</f>
        <v>86365.319439726896</v>
      </c>
      <c r="AF33" s="26">
        <f>IFERROR($AC33*HDF_Limited_Col!AF33/HDF_Limited_Col!$AH33," ")</f>
        <v>3838.4586417656396</v>
      </c>
      <c r="AG33" s="26">
        <f>IFERROR($AC33*HDF_Limited_Col!AG33/HDF_Limited_Col!$AH33," ")</f>
        <v>0</v>
      </c>
      <c r="AH33" s="26">
        <f>IFERROR($AC33*HDF_Limited_Col!AH33/HDF_Limited_Col!$AH33," ")</f>
        <v>109396.07129032073</v>
      </c>
      <c r="AI33" s="26">
        <f>IFERROR($AC33*HDF_Limited_Col!AI33/HDF_Limited_Col!$AH33," ")</f>
        <v>143942.1990662115</v>
      </c>
      <c r="AJ33" s="26">
        <f>IFERROR($AC33*HDF_Limited_Col!AJ33/HDF_Limited_Col!$AH33," ")</f>
        <v>940.42236723258168</v>
      </c>
      <c r="AK33" s="26">
        <f>IFERROR($AC33*HDF_Limited_Col!AK33/HDF_Limited_Col!$AH33," ")</f>
        <v>0</v>
      </c>
      <c r="AL33" s="26">
        <f>IFERROR($AC33*HDF_Limited_Col!AL33/HDF_Limited_Col!$AH33," ")</f>
        <v>844.46090118844074</v>
      </c>
      <c r="AM33" s="26">
        <f>IFERROR($AC33*HDF_Limited_Col!AM33/HDF_Limited_Col!$AH33," ")</f>
        <v>26869.210492359478</v>
      </c>
      <c r="AN33" s="26">
        <f>IFERROR($AC33*HDF_Limited_Col!AN33/HDF_Limited_Col!$AH33," ")</f>
        <v>1366.4912764685678</v>
      </c>
      <c r="AO33" s="26">
        <f>IFERROR($AC33*HDF_Limited_Col!AO33/HDF_Limited_Col!$AH33," ")</f>
        <v>264.85364628182919</v>
      </c>
      <c r="AP33" s="26">
        <f>IFERROR($AC33*HDF_Limited_Col!AP33/HDF_Limited_Col!$AH33," ")</f>
        <v>0</v>
      </c>
      <c r="AQ33" s="26">
        <f>IFERROR($AC33*HDF_Limited_Col!AQ33/HDF_Limited_Col!$AH33," ")</f>
        <v>38.384586417656401</v>
      </c>
      <c r="AR33" s="26" t="str">
        <f>IFERROR($AC33*HDF_Limited_Col!AR33/HDF_Limited_Col!$AH33," ")</f>
        <v xml:space="preserve"> </v>
      </c>
      <c r="AS33" s="26">
        <f>IFERROR($AC33*HDF_Limited_Col!AS33/HDF_Limited_Col!$AH33," ")</f>
        <v>0</v>
      </c>
      <c r="AT33" s="26">
        <f>IFERROR($AC33*HDF_Limited_Col!AT33/HDF_Limited_Col!$AH33," ")</f>
        <v>0</v>
      </c>
      <c r="AU33" s="26">
        <f>IFERROR($AC33*HDF_Limited_Col!AU33/HDF_Limited_Col!$AH33," ")</f>
        <v>0</v>
      </c>
      <c r="AV33" s="26">
        <f>IFERROR($AC33*HDF_Limited_Col!AV33/HDF_Limited_Col!$AH33," ")</f>
        <v>0</v>
      </c>
      <c r="AW33" s="26">
        <f>IFERROR($AC33*HDF_Limited_Col!AW33/HDF_Limited_Col!$AH33," ")</f>
        <v>0</v>
      </c>
      <c r="AX33" s="26">
        <f>IFERROR($AC33*HDF_Limited_Col!AX33/HDF_Limited_Col!$AH33," ")</f>
        <v>383.84586417656402</v>
      </c>
      <c r="AY33" s="26">
        <f>IFERROR($AC33*HDF_Limited_Col!AY33/HDF_Limited_Col!$AH33," ")</f>
        <v>1938.4216140916481</v>
      </c>
      <c r="AZ33" s="26">
        <f>IFERROR($AC33*HDF_Limited_Col!AZ33/HDF_Limited_Col!$AH33," ")</f>
        <v>13.434605246179739</v>
      </c>
      <c r="BA33" s="26">
        <f>IFERROR($AC33*HDF_Limited_Col!BA33/HDF_Limited_Col!$AH33," ")</f>
        <v>153.5383456706256</v>
      </c>
      <c r="BB33" s="26">
        <f>IFERROR($AC33*HDF_Limited_Col!BB33/HDF_Limited_Col!$AH33," ")</f>
        <v>0</v>
      </c>
      <c r="BC33" s="26">
        <f>IFERROR($AC33*HDF_Limited_Col!BC33/HDF_Limited_Col!$AH33," ")</f>
        <v>232.2267478268212</v>
      </c>
      <c r="BD33" s="26">
        <f>IFERROR($AC33*HDF_Limited_Col!BD33/HDF_Limited_Col!$AH33," ")</f>
        <v>0</v>
      </c>
      <c r="BE33" s="26">
        <f>IFERROR($AC33*HDF_Limited_Col!BE33/HDF_Limited_Col!$AH33," ")</f>
        <v>0</v>
      </c>
      <c r="BF33" s="26">
        <f>IFERROR($AC33*HDF_Limited_Col!BF33/HDF_Limited_Col!$AH33," ")</f>
        <v>0</v>
      </c>
      <c r="BG33" s="26">
        <f>IFERROR($AC33*HDF_Limited_Col!BG33/HDF_Limited_Col!$AH33," ")</f>
        <v>0</v>
      </c>
      <c r="BH33" s="26">
        <f>IFERROR($AC33*HDF_Limited_Col!BH33/HDF_Limited_Col!$AH33," ")</f>
        <v>17.273063887945376</v>
      </c>
      <c r="BI33" s="26">
        <f>IFERROR($AC33*HDF_Limited_Col!BI33/HDF_Limited_Col!$AH33," ")</f>
        <v>3550.5742436332171</v>
      </c>
      <c r="BJ33" s="26">
        <f>IFERROR($AC33*HDF_Limited_Col!BJ33/HDF_Limited_Col!$AH33," ")</f>
        <v>136.2652817826802</v>
      </c>
      <c r="BK33" s="26">
        <f>IFERROR($AC33*HDF_Limited_Col!BK33/HDF_Limited_Col!$AH33," ")</f>
        <v>234.145977147704</v>
      </c>
      <c r="BL33" s="26">
        <f>IFERROR($AC33*HDF_Limited_Col!BL33/HDF_Limited_Col!$AH33," ")</f>
        <v>370.41125893038424</v>
      </c>
      <c r="BM33" s="26">
        <f>IFERROR($AC33*HDF_Limited_Col!BM33/HDF_Limited_Col!$AH33," ")</f>
        <v>47.980733022070503</v>
      </c>
      <c r="BN33" s="26">
        <f>IFERROR($AC33*HDF_Limited_Col!BN33/HDF_Limited_Col!$AH33," ")</f>
        <v>159.29603363327408</v>
      </c>
      <c r="BO33" s="26">
        <f>IFERROR($AC33*HDF_Limited_Col!BO33/HDF_Limited_Col!$AH33," ")</f>
        <v>15.35383456706256</v>
      </c>
      <c r="BP33" s="26">
        <f>IFERROR($AC33*HDF_Limited_Col!BP33/HDF_Limited_Col!$AH33," ")</f>
        <v>7.6769172835312798</v>
      </c>
      <c r="BQ33" s="26">
        <f>IFERROR($AC33*HDF_Limited_Col!BQ33/HDF_Limited_Col!$AH33," ")</f>
        <v>9.5961466044141002</v>
      </c>
      <c r="BR33" s="26">
        <f>IFERROR($AC33*HDF_Limited_Col!BR33/HDF_Limited_Col!$AH33," ")</f>
        <v>9.5961466044141002</v>
      </c>
      <c r="BS33" s="26">
        <f>IFERROR($AC33*HDF_Limited_Col!BS33/HDF_Limited_Col!$AH33," ")</f>
        <v>1.9192293208828199</v>
      </c>
      <c r="BT33" s="26">
        <f>IFERROR($AC33*HDF_Limited_Col!BT33/HDF_Limited_Col!$AH33," ")</f>
        <v>9.5961466044141002</v>
      </c>
      <c r="BU33" s="26">
        <f>IFERROR($AC33*HDF_Limited_Col!BU33/HDF_Limited_Col!$AH33," ")</f>
        <v>0</v>
      </c>
      <c r="BV33" s="26" t="str">
        <f>IFERROR($AC33*HDF_Limited_Col!BV33/HDF_Limited_Col!$AH33," ")</f>
        <v xml:space="preserve"> </v>
      </c>
      <c r="BW33" s="26">
        <f>IFERROR($AC33*HDF_Limited_Col!BW33/HDF_Limited_Col!$AH33," ")</f>
        <v>1.9192293208828199</v>
      </c>
      <c r="BX33" s="26">
        <f>IFERROR($AC33*HDF_Limited_Col!BX33/HDF_Limited_Col!$AH33," ")</f>
        <v>7.6769172835312798</v>
      </c>
      <c r="BY33" s="26">
        <f>IFERROR($AC33*HDF_Limited_Col!BY33/HDF_Limited_Col!$AH33," ")</f>
        <v>11.515375925296921</v>
      </c>
      <c r="BZ33" s="26">
        <f>IFERROR($AC33*HDF_Limited_Col!BZ33/HDF_Limited_Col!$AH33," ")</f>
        <v>0</v>
      </c>
      <c r="CA33" s="26">
        <f>IFERROR($AC33*HDF_Limited_Col!CA33/HDF_Limited_Col!$AH33," ")</f>
        <v>40.303815738539221</v>
      </c>
      <c r="CB33" s="26">
        <f>IFERROR($AC33*HDF_Limited_Col!CB33/HDF_Limited_Col!$AH33," ")</f>
        <v>23.030751850593841</v>
      </c>
      <c r="CC33" s="26">
        <f>IFERROR($AC33*HDF_Limited_Col!CC33/HDF_Limited_Col!$AH33," ")</f>
        <v>7.6769172835312798</v>
      </c>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row>
    <row r="34" spans="1:109">
      <c r="A34" s="26" t="s">
        <v>672</v>
      </c>
      <c r="B34" s="26" t="s">
        <v>24</v>
      </c>
      <c r="C34" s="152" t="s">
        <v>1800</v>
      </c>
      <c r="D34" s="26" t="s">
        <v>1723</v>
      </c>
      <c r="E34" s="26" t="s">
        <v>237</v>
      </c>
      <c r="F34" s="26" t="s">
        <v>29</v>
      </c>
      <c r="G34" s="26" t="s">
        <v>595</v>
      </c>
      <c r="H34" s="30">
        <v>360</v>
      </c>
      <c r="I34" s="26" t="s">
        <v>735</v>
      </c>
      <c r="J34" s="26" t="s">
        <v>1496</v>
      </c>
      <c r="K34" s="26"/>
      <c r="L34" s="26"/>
      <c r="M34" s="26" t="s">
        <v>35</v>
      </c>
      <c r="N34" s="26">
        <v>30</v>
      </c>
      <c r="O34" s="95">
        <v>10.852221354296637</v>
      </c>
      <c r="P34" s="95">
        <v>2.7361998864861663</v>
      </c>
      <c r="Q34" s="95">
        <v>4.9169306230841636</v>
      </c>
      <c r="R34" s="95">
        <v>16.499491044826357</v>
      </c>
      <c r="S34" s="95">
        <v>22.30105772143612</v>
      </c>
      <c r="T34" s="95">
        <v>25.01668467644495</v>
      </c>
      <c r="U34" s="95">
        <v>0</v>
      </c>
      <c r="V34" s="95">
        <v>5.2975298554149459</v>
      </c>
      <c r="W34" s="95">
        <v>8.517193631618591</v>
      </c>
      <c r="X34" s="95">
        <v>2.2218765995526768</v>
      </c>
      <c r="Y34" s="95">
        <v>2.1190119421659785</v>
      </c>
      <c r="Z34" s="95">
        <v>100.4781973353266</v>
      </c>
      <c r="AA34" s="26"/>
      <c r="AB34" s="26"/>
      <c r="AC34" s="26">
        <f t="shared" si="0"/>
        <v>70704.401650467291</v>
      </c>
      <c r="AD34" s="26">
        <f>IFERROR($AC34*HDF_Limited_Col!AD34/HDF_Limited_Col!$AH34," ")</f>
        <v>29752.679654333755</v>
      </c>
      <c r="AE34" s="26">
        <f>IFERROR($AC34*HDF_Limited_Col!AE34/HDF_Limited_Col!$AH34," ")</f>
        <v>91430.987477081813</v>
      </c>
      <c r="AF34" s="26">
        <f>IFERROR($AC34*HDF_Limited_Col!AF34/HDF_Limited_Col!$AH34," ")</f>
        <v>4847.3466852566225</v>
      </c>
      <c r="AG34" s="26">
        <f>IFERROR($AC34*HDF_Limited_Col!AG34/HDF_Limited_Col!$AH34," ")</f>
        <v>0</v>
      </c>
      <c r="AH34" s="26">
        <f>IFERROR($AC34*HDF_Limited_Col!AH34/HDF_Limited_Col!$AH34," ")</f>
        <v>70704.401650467291</v>
      </c>
      <c r="AI34" s="26">
        <f>IFERROR($AC34*HDF_Limited_Col!AI34/HDF_Limited_Col!$AH34," ")</f>
        <v>78393.29639259848</v>
      </c>
      <c r="AJ34" s="26">
        <f>IFERROR($AC34*HDF_Limited_Col!AJ34/HDF_Limited_Col!$AH34," ")</f>
        <v>2238.1369695029716</v>
      </c>
      <c r="AK34" s="26">
        <f>IFERROR($AC34*HDF_Limited_Col!AK34/HDF_Limited_Col!$AH34," ")</f>
        <v>0</v>
      </c>
      <c r="AL34" s="26">
        <f>IFERROR($AC34*HDF_Limited_Col!AL34/HDF_Limited_Col!$AH34," ")</f>
        <v>1026.300298188816</v>
      </c>
      <c r="AM34" s="26">
        <f>IFERROR($AC34*HDF_Limited_Col!AM34/HDF_Limited_Col!$AH34," ")</f>
        <v>131881.25981611983</v>
      </c>
      <c r="AN34" s="26">
        <f>IFERROR($AC34*HDF_Limited_Col!AN34/HDF_Limited_Col!$AH34," ")</f>
        <v>302.87559288568968</v>
      </c>
      <c r="AO34" s="26">
        <f>IFERROR($AC34*HDF_Limited_Col!AO34/HDF_Limited_Col!$AH34," ")</f>
        <v>369.40124739369435</v>
      </c>
      <c r="AP34" s="26">
        <f>IFERROR($AC34*HDF_Limited_Col!AP34/HDF_Limited_Col!$AH34," ")</f>
        <v>0</v>
      </c>
      <c r="AQ34" s="26">
        <f>IFERROR($AC34*HDF_Limited_Col!AQ34/HDF_Limited_Col!$AH34," ")</f>
        <v>44.461869595802128</v>
      </c>
      <c r="AR34" s="26">
        <f>IFERROR($AC34*HDF_Limited_Col!AR34/HDF_Limited_Col!$AH34," ")</f>
        <v>20.893735712313028</v>
      </c>
      <c r="AS34" s="26">
        <f>IFERROR($AC34*HDF_Limited_Col!AS34/HDF_Limited_Col!$AH34," ")</f>
        <v>0</v>
      </c>
      <c r="AT34" s="26">
        <f>IFERROR($AC34*HDF_Limited_Col!AT34/HDF_Limited_Col!$AH34," ")</f>
        <v>0</v>
      </c>
      <c r="AU34" s="26">
        <f>IFERROR($AC34*HDF_Limited_Col!AU34/HDF_Limited_Col!$AH34," ")</f>
        <v>0</v>
      </c>
      <c r="AV34" s="26">
        <f>IFERROR($AC34*HDF_Limited_Col!AV34/HDF_Limited_Col!$AH34," ")</f>
        <v>0</v>
      </c>
      <c r="AW34" s="26">
        <f>IFERROR($AC34*HDF_Limited_Col!AW34/HDF_Limited_Col!$AH34," ")</f>
        <v>0</v>
      </c>
      <c r="AX34" s="26">
        <f>IFERROR($AC34*HDF_Limited_Col!AX34/HDF_Limited_Col!$AH34," ")</f>
        <v>153.77789484262388</v>
      </c>
      <c r="AY34" s="26">
        <f>IFERROR($AC34*HDF_Limited_Col!AY34/HDF_Limited_Col!$AH34," ")</f>
        <v>2890.0215237271382</v>
      </c>
      <c r="AZ34" s="26">
        <f>IFERROR($AC34*HDF_Limited_Col!AZ34/HDF_Limited_Col!$AH34," ")</f>
        <v>2.6743981711760676</v>
      </c>
      <c r="BA34" s="26">
        <f>IFERROR($AC34*HDF_Limited_Col!BA34/HDF_Limited_Col!$AH34," ")</f>
        <v>105.13727810435915</v>
      </c>
      <c r="BB34" s="26">
        <f>IFERROR($AC34*HDF_Limited_Col!BB34/HDF_Limited_Col!$AH34," ")</f>
        <v>0</v>
      </c>
      <c r="BC34" s="26">
        <f>IFERROR($AC34*HDF_Limited_Col!BC34/HDF_Limited_Col!$AH34," ")</f>
        <v>531.36948663554494</v>
      </c>
      <c r="BD34" s="26">
        <f>IFERROR($AC34*HDF_Limited_Col!BD34/HDF_Limited_Col!$AH34," ")</f>
        <v>0</v>
      </c>
      <c r="BE34" s="26">
        <f>IFERROR($AC34*HDF_Limited_Col!BE34/HDF_Limited_Col!$AH34," ")</f>
        <v>0</v>
      </c>
      <c r="BF34" s="26">
        <f>IFERROR($AC34*HDF_Limited_Col!BF34/HDF_Limited_Col!$AH34," ")</f>
        <v>0</v>
      </c>
      <c r="BG34" s="26">
        <f>IFERROR($AC34*HDF_Limited_Col!BG34/HDF_Limited_Col!$AH34," ")</f>
        <v>0</v>
      </c>
      <c r="BH34" s="26">
        <f>IFERROR($AC34*HDF_Limited_Col!BH34/HDF_Limited_Col!$AH34," ")</f>
        <v>4.1787471424626066</v>
      </c>
      <c r="BI34" s="26">
        <f>IFERROR($AC34*HDF_Limited_Col!BI34/HDF_Limited_Col!$AH34," ")</f>
        <v>5845.2315028766934</v>
      </c>
      <c r="BJ34" s="26">
        <f>IFERROR($AC34*HDF_Limited_Col!BJ34/HDF_Limited_Col!$AH34," ")</f>
        <v>140.40590398674357</v>
      </c>
      <c r="BK34" s="26">
        <f>IFERROR($AC34*HDF_Limited_Col!BK34/HDF_Limited_Col!$AH34," ")</f>
        <v>406.17422224736532</v>
      </c>
      <c r="BL34" s="26">
        <f>IFERROR($AC34*HDF_Limited_Col!BL34/HDF_Limited_Col!$AH34," ")</f>
        <v>686.98603022085251</v>
      </c>
      <c r="BM34" s="26">
        <f>IFERROR($AC34*HDF_Limited_Col!BM34/HDF_Limited_Col!$AH34," ")</f>
        <v>86.917940563222217</v>
      </c>
      <c r="BN34" s="26">
        <f>IFERROR($AC34*HDF_Limited_Col!BN34/HDF_Limited_Col!$AH34," ")</f>
        <v>285.82630454444222</v>
      </c>
      <c r="BO34" s="26">
        <f>IFERROR($AC34*HDF_Limited_Col!BO34/HDF_Limited_Col!$AH34," ")</f>
        <v>20.893735712313028</v>
      </c>
      <c r="BP34" s="26">
        <f>IFERROR($AC34*HDF_Limited_Col!BP34/HDF_Limited_Col!$AH34," ")</f>
        <v>3.8444473710655975</v>
      </c>
      <c r="BQ34" s="26">
        <f>IFERROR($AC34*HDF_Limited_Col!BQ34/HDF_Limited_Col!$AH34," ")</f>
        <v>6.8531453136386737</v>
      </c>
      <c r="BR34" s="26">
        <f>IFERROR($AC34*HDF_Limited_Col!BR34/HDF_Limited_Col!$AH34," ")</f>
        <v>1.6714988569850422</v>
      </c>
      <c r="BS34" s="26">
        <f>IFERROR($AC34*HDF_Limited_Col!BS34/HDF_Limited_Col!$AH34," ")</f>
        <v>0.33429977139700845</v>
      </c>
      <c r="BT34" s="26" t="str">
        <f>IFERROR($AC34*HDF_Limited_Col!BT34/HDF_Limited_Col!$AH34," ")</f>
        <v xml:space="preserve"> </v>
      </c>
      <c r="BU34" s="26">
        <f>IFERROR($AC34*HDF_Limited_Col!BU34/HDF_Limited_Col!$AH34," ")</f>
        <v>0</v>
      </c>
      <c r="BV34" s="26">
        <f>IFERROR($AC34*HDF_Limited_Col!BV34/HDF_Limited_Col!$AH34," ")</f>
        <v>0.8357494284925211</v>
      </c>
      <c r="BW34" s="26">
        <f>IFERROR($AC34*HDF_Limited_Col!BW34/HDF_Limited_Col!$AH34," ")</f>
        <v>0.16714988569850422</v>
      </c>
      <c r="BX34" s="26">
        <f>IFERROR($AC34*HDF_Limited_Col!BX34/HDF_Limited_Col!$AH34," ")</f>
        <v>2.6743981711760676</v>
      </c>
      <c r="BY34" s="26">
        <f>IFERROR($AC34*HDF_Limited_Col!BY34/HDF_Limited_Col!$AH34," ")</f>
        <v>27.245431368856192</v>
      </c>
      <c r="BZ34" s="26">
        <f>IFERROR($AC34*HDF_Limited_Col!BZ34/HDF_Limited_Col!$AH34," ")</f>
        <v>0</v>
      </c>
      <c r="CA34" s="26">
        <f>IFERROR($AC34*HDF_Limited_Col!CA34/HDF_Limited_Col!$AH34," ")</f>
        <v>60.508258622858534</v>
      </c>
      <c r="CB34" s="26">
        <f>IFERROR($AC34*HDF_Limited_Col!CB34/HDF_Limited_Col!$AH34," ")</f>
        <v>51.649314680837804</v>
      </c>
      <c r="CC34" s="26">
        <f>IFERROR($AC34*HDF_Limited_Col!CC34/HDF_Limited_Col!$AH34," ")</f>
        <v>12.369091541689313</v>
      </c>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row>
    <row r="35" spans="1:109">
      <c r="A35" s="26" t="s">
        <v>672</v>
      </c>
      <c r="B35" s="26" t="s">
        <v>24</v>
      </c>
      <c r="C35" s="152" t="s">
        <v>1800</v>
      </c>
      <c r="D35" s="26" t="s">
        <v>1723</v>
      </c>
      <c r="E35" s="26" t="s">
        <v>237</v>
      </c>
      <c r="F35" s="26" t="s">
        <v>29</v>
      </c>
      <c r="G35" s="26" t="s">
        <v>595</v>
      </c>
      <c r="H35" s="30">
        <v>360</v>
      </c>
      <c r="I35" s="26" t="s">
        <v>735</v>
      </c>
      <c r="J35" s="26" t="s">
        <v>1496</v>
      </c>
      <c r="K35" s="26"/>
      <c r="L35" s="26"/>
      <c r="M35" s="26" t="s">
        <v>36</v>
      </c>
      <c r="N35" s="26">
        <v>24</v>
      </c>
      <c r="O35" s="95">
        <v>9.7094746106954002</v>
      </c>
      <c r="P35" s="95">
        <v>0.55424062259783458</v>
      </c>
      <c r="Q35" s="95">
        <v>7.9133244448690823</v>
      </c>
      <c r="R35" s="95">
        <v>15.744539167871817</v>
      </c>
      <c r="S35" s="95">
        <v>24.437905970471185</v>
      </c>
      <c r="T35" s="95">
        <v>26.572758738996182</v>
      </c>
      <c r="U35" s="95">
        <v>0</v>
      </c>
      <c r="V35" s="95">
        <v>3.4793994640864057</v>
      </c>
      <c r="W35" s="95">
        <v>8.0467527429018944</v>
      </c>
      <c r="X35" s="95">
        <v>1.8885236029259549</v>
      </c>
      <c r="Y35" s="95">
        <v>2.1348527685249925</v>
      </c>
      <c r="Z35" s="95">
        <v>100.48177213394075</v>
      </c>
      <c r="AA35" s="26"/>
      <c r="AB35" s="26"/>
      <c r="AC35" s="26">
        <f t="shared" si="0"/>
        <v>66799.096336619798</v>
      </c>
      <c r="AD35" s="26">
        <f>IFERROR($AC35*HDF_Limited_Col!AD35/HDF_Limited_Col!$AH35," ")</f>
        <v>25513.543739681176</v>
      </c>
      <c r="AE35" s="26">
        <f>IFERROR($AC35*HDF_Limited_Col!AE35/HDF_Limited_Col!$AH35," ")</f>
        <v>57521.444067644828</v>
      </c>
      <c r="AF35" s="26">
        <f>IFERROR($AC35*HDF_Limited_Col!AF35/HDF_Limited_Col!$AH35," ")</f>
        <v>4638.8261344874863</v>
      </c>
      <c r="AG35" s="26">
        <f>IFERROR($AC35*HDF_Limited_Col!AG35/HDF_Limited_Col!$AH35," ")</f>
        <v>0</v>
      </c>
      <c r="AH35" s="26">
        <f>IFERROR($AC35*HDF_Limited_Col!AH35/HDF_Limited_Col!$AH35," ")</f>
        <v>66799.096336619798</v>
      </c>
      <c r="AI35" s="26">
        <f>IFERROR($AC35*HDF_Limited_Col!AI35/HDF_Limited_Col!$AH35," ")</f>
        <v>87209.931328364735</v>
      </c>
      <c r="AJ35" s="26">
        <f>IFERROR($AC35*HDF_Limited_Col!AJ35/HDF_Limited_Col!$AH35," ")</f>
        <v>853.54400874569751</v>
      </c>
      <c r="AK35" s="26">
        <f>IFERROR($AC35*HDF_Limited_Col!AK35/HDF_Limited_Col!$AH35," ")</f>
        <v>0</v>
      </c>
      <c r="AL35" s="26">
        <f>IFERROR($AC35*HDF_Limited_Col!AL35/HDF_Limited_Col!$AH35," ")</f>
        <v>779.32279059389759</v>
      </c>
      <c r="AM35" s="26">
        <f>IFERROR($AC35*HDF_Limited_Col!AM35/HDF_Limited_Col!$AH35," ")</f>
        <v>24121.895899334926</v>
      </c>
      <c r="AN35" s="26">
        <f>IFERROR($AC35*HDF_Limited_Col!AN35/HDF_Limited_Col!$AH35," ")</f>
        <v>273.22685932131287</v>
      </c>
      <c r="AO35" s="26">
        <f>IFERROR($AC35*HDF_Limited_Col!AO35/HDF_Limited_Col!$AH35," ")</f>
        <v>410.99999551559125</v>
      </c>
      <c r="AP35" s="26">
        <f>IFERROR($AC35*HDF_Limited_Col!AP35/HDF_Limited_Col!$AH35," ")</f>
        <v>0</v>
      </c>
      <c r="AQ35" s="26">
        <f>IFERROR($AC35*HDF_Limited_Col!AQ35/HDF_Limited_Col!$AH35," ")</f>
        <v>30.616252487617412</v>
      </c>
      <c r="AR35" s="26">
        <f>IFERROR($AC35*HDF_Limited_Col!AR35/HDF_Limited_Col!$AH35," ")</f>
        <v>19.483069764847443</v>
      </c>
      <c r="AS35" s="26">
        <f>IFERROR($AC35*HDF_Limited_Col!AS35/HDF_Limited_Col!$AH35," ")</f>
        <v>0</v>
      </c>
      <c r="AT35" s="26">
        <f>IFERROR($AC35*HDF_Limited_Col!AT35/HDF_Limited_Col!$AH35," ")</f>
        <v>0</v>
      </c>
      <c r="AU35" s="26">
        <f>IFERROR($AC35*HDF_Limited_Col!AU35/HDF_Limited_Col!$AH35," ")</f>
        <v>0</v>
      </c>
      <c r="AV35" s="26">
        <f>IFERROR($AC35*HDF_Limited_Col!AV35/HDF_Limited_Col!$AH35," ")</f>
        <v>0</v>
      </c>
      <c r="AW35" s="26">
        <f>IFERROR($AC35*HDF_Limited_Col!AW35/HDF_Limited_Col!$AH35," ")</f>
        <v>0</v>
      </c>
      <c r="AX35" s="26">
        <f>IFERROR($AC35*HDF_Limited_Col!AX35/HDF_Limited_Col!$AH35," ")</f>
        <v>143.80361016911206</v>
      </c>
      <c r="AY35" s="26">
        <f>IFERROR($AC35*HDF_Limited_Col!AY35/HDF_Limited_Col!$AH35," ")</f>
        <v>3010.5981612823784</v>
      </c>
      <c r="AZ35" s="26">
        <f>IFERROR($AC35*HDF_Limited_Col!AZ35/HDF_Limited_Col!$AH35," ")</f>
        <v>4.6388261344874859</v>
      </c>
      <c r="BA35" s="26">
        <f>IFERROR($AC35*HDF_Limited_Col!BA35/HDF_Limited_Col!$AH35," ")</f>
        <v>150.76184937084329</v>
      </c>
      <c r="BB35" s="26">
        <f>IFERROR($AC35*HDF_Limited_Col!BB35/HDF_Limited_Col!$AH35," ")</f>
        <v>0</v>
      </c>
      <c r="BC35" s="26">
        <f>IFERROR($AC35*HDF_Limited_Col!BC35/HDF_Limited_Col!$AH35," ")</f>
        <v>414.71105642318128</v>
      </c>
      <c r="BD35" s="26">
        <f>IFERROR($AC35*HDF_Limited_Col!BD35/HDF_Limited_Col!$AH35," ")</f>
        <v>0</v>
      </c>
      <c r="BE35" s="26">
        <f>IFERROR($AC35*HDF_Limited_Col!BE35/HDF_Limited_Col!$AH35," ")</f>
        <v>0</v>
      </c>
      <c r="BF35" s="26">
        <f>IFERROR($AC35*HDF_Limited_Col!BF35/HDF_Limited_Col!$AH35," ")</f>
        <v>0</v>
      </c>
      <c r="BG35" s="26">
        <f>IFERROR($AC35*HDF_Limited_Col!BG35/HDF_Limited_Col!$AH35," ")</f>
        <v>0</v>
      </c>
      <c r="BH35" s="26">
        <f>IFERROR($AC35*HDF_Limited_Col!BH35/HDF_Limited_Col!$AH35," ")</f>
        <v>5.1027087479362345</v>
      </c>
      <c r="BI35" s="26">
        <f>IFERROR($AC35*HDF_Limited_Col!BI35/HDF_Limited_Col!$AH35," ")</f>
        <v>5928.419799875006</v>
      </c>
      <c r="BJ35" s="26">
        <f>IFERROR($AC35*HDF_Limited_Col!BJ35/HDF_Limited_Col!$AH35," ")</f>
        <v>100.66252711837845</v>
      </c>
      <c r="BK35" s="26">
        <f>IFERROR($AC35*HDF_Limited_Col!BK35/HDF_Limited_Col!$AH35," ")</f>
        <v>346.05642963276642</v>
      </c>
      <c r="BL35" s="26">
        <f>IFERROR($AC35*HDF_Limited_Col!BL35/HDF_Limited_Col!$AH35," ")</f>
        <v>596.5530408950907</v>
      </c>
      <c r="BM35" s="26">
        <f>IFERROR($AC35*HDF_Limited_Col!BM35/HDF_Limited_Col!$AH35," ")</f>
        <v>70.046274630761047</v>
      </c>
      <c r="BN35" s="26">
        <f>IFERROR($AC35*HDF_Limited_Col!BN35/HDF_Limited_Col!$AH35," ")</f>
        <v>205.96388037124439</v>
      </c>
      <c r="BO35" s="26">
        <f>IFERROR($AC35*HDF_Limited_Col!BO35/HDF_Limited_Col!$AH35," ")</f>
        <v>15.772008857257454</v>
      </c>
      <c r="BP35" s="26">
        <f>IFERROR($AC35*HDF_Limited_Col!BP35/HDF_Limited_Col!$AH35," ")</f>
        <v>2.319413067243743</v>
      </c>
      <c r="BQ35" s="26">
        <f>IFERROR($AC35*HDF_Limited_Col!BQ35/HDF_Limited_Col!$AH35," ")</f>
        <v>1.8555304537949944</v>
      </c>
      <c r="BR35" s="26">
        <f>IFERROR($AC35*HDF_Limited_Col!BR35/HDF_Limited_Col!$AH35," ")</f>
        <v>1.3916478403462458</v>
      </c>
      <c r="BS35" s="26">
        <f>IFERROR($AC35*HDF_Limited_Col!BS35/HDF_Limited_Col!$AH35," ")</f>
        <v>0.46388261344874859</v>
      </c>
      <c r="BT35" s="26">
        <f>IFERROR($AC35*HDF_Limited_Col!BT35/HDF_Limited_Col!$AH35," ")</f>
        <v>0.46388261344874859</v>
      </c>
      <c r="BU35" s="26">
        <f>IFERROR($AC35*HDF_Limited_Col!BU35/HDF_Limited_Col!$AH35," ")</f>
        <v>0</v>
      </c>
      <c r="BV35" s="26" t="str">
        <f>IFERROR($AC35*HDF_Limited_Col!BV35/HDF_Limited_Col!$AH35," ")</f>
        <v xml:space="preserve"> </v>
      </c>
      <c r="BW35" s="26">
        <f>IFERROR($AC35*HDF_Limited_Col!BW35/HDF_Limited_Col!$AH35," ")</f>
        <v>0.46388261344874859</v>
      </c>
      <c r="BX35" s="26">
        <f>IFERROR($AC35*HDF_Limited_Col!BX35/HDF_Limited_Col!$AH35," ")</f>
        <v>5.1027087479362345</v>
      </c>
      <c r="BY35" s="26">
        <f>IFERROR($AC35*HDF_Limited_Col!BY35/HDF_Limited_Col!$AH35," ")</f>
        <v>19.946952378296189</v>
      </c>
      <c r="BZ35" s="26">
        <f>IFERROR($AC35*HDF_Limited_Col!BZ35/HDF_Limited_Col!$AH35," ")</f>
        <v>0</v>
      </c>
      <c r="CA35" s="26">
        <f>IFERROR($AC35*HDF_Limited_Col!CA35/HDF_Limited_Col!$AH35," ")</f>
        <v>66.335213723171051</v>
      </c>
      <c r="CB35" s="26">
        <f>IFERROR($AC35*HDF_Limited_Col!CB35/HDF_Limited_Col!$AH35," ")</f>
        <v>30.616252487617412</v>
      </c>
      <c r="CC35" s="26">
        <f>IFERROR($AC35*HDF_Limited_Col!CC35/HDF_Limited_Col!$AH35," ")</f>
        <v>7.886004428628727</v>
      </c>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row>
    <row r="36" spans="1:109">
      <c r="A36" s="26" t="s">
        <v>672</v>
      </c>
      <c r="B36" s="26" t="s">
        <v>24</v>
      </c>
      <c r="C36" s="152" t="s">
        <v>1800</v>
      </c>
      <c r="D36" s="26" t="s">
        <v>1723</v>
      </c>
      <c r="E36" s="26" t="s">
        <v>237</v>
      </c>
      <c r="F36" s="26" t="s">
        <v>29</v>
      </c>
      <c r="G36" s="26" t="s">
        <v>595</v>
      </c>
      <c r="H36" s="30">
        <v>360</v>
      </c>
      <c r="I36" s="26" t="s">
        <v>735</v>
      </c>
      <c r="J36" s="26" t="s">
        <v>1496</v>
      </c>
      <c r="K36" s="26"/>
      <c r="L36" s="26"/>
      <c r="M36" s="26" t="s">
        <v>37</v>
      </c>
      <c r="N36" s="26">
        <v>26</v>
      </c>
      <c r="O36" s="95">
        <v>7.4380967554611805</v>
      </c>
      <c r="P36" s="95">
        <v>0.54525467225372415</v>
      </c>
      <c r="Q36" s="95">
        <v>4.6398086261590485</v>
      </c>
      <c r="R36" s="95">
        <v>20.555072361564921</v>
      </c>
      <c r="S36" s="95">
        <v>23.291633546838327</v>
      </c>
      <c r="T36" s="95">
        <v>24.114659467221308</v>
      </c>
      <c r="U36" s="95">
        <v>0</v>
      </c>
      <c r="V36" s="95">
        <v>6.1624065788675617</v>
      </c>
      <c r="W36" s="95">
        <v>10.473004836873418</v>
      </c>
      <c r="X36" s="95">
        <v>0.7407233283446818</v>
      </c>
      <c r="Y36" s="95">
        <v>2.6336829452255355</v>
      </c>
      <c r="Z36" s="95">
        <v>100.5943431188097</v>
      </c>
      <c r="AA36" s="26"/>
      <c r="AB36" s="26"/>
      <c r="AC36" s="26">
        <f t="shared" si="0"/>
        <v>86940.320074989766</v>
      </c>
      <c r="AD36" s="26">
        <f>IFERROR($AC36*HDF_Limited_Col!AD36/HDF_Limited_Col!$AH36," ")</f>
        <v>32913.12117124613</v>
      </c>
      <c r="AE36" s="26">
        <f>IFERROR($AC36*HDF_Limited_Col!AE36/HDF_Limited_Col!$AH36," ")</f>
        <v>76176.280446657693</v>
      </c>
      <c r="AF36" s="26">
        <f>IFERROR($AC36*HDF_Limited_Col!AF36/HDF_Limited_Col!$AH36," ")</f>
        <v>3519.0129554162522</v>
      </c>
      <c r="AG36" s="26">
        <f>IFERROR($AC36*HDF_Limited_Col!AG36/HDF_Limited_Col!$AH36," ")</f>
        <v>0</v>
      </c>
      <c r="AH36" s="26">
        <f>IFERROR($AC36*HDF_Limited_Col!AH36/HDF_Limited_Col!$AH36," ")</f>
        <v>86940.320074989766</v>
      </c>
      <c r="AI36" s="26">
        <f>IFERROR($AC36*HDF_Limited_Col!AI36/HDF_Limited_Col!$AH36," ")</f>
        <v>116334.42829081965</v>
      </c>
      <c r="AJ36" s="26">
        <f>IFERROR($AC36*HDF_Limited_Col!AJ36/HDF_Limited_Col!$AH36," ")</f>
        <v>552.69203476243501</v>
      </c>
      <c r="AK36" s="26">
        <f>IFERROR($AC36*HDF_Limited_Col!AK36/HDF_Limited_Col!$AH36," ")</f>
        <v>0</v>
      </c>
      <c r="AL36" s="26">
        <f>IFERROR($AC36*HDF_Limited_Col!AL36/HDF_Limited_Col!$AH36," ")</f>
        <v>1053.6338790040427</v>
      </c>
      <c r="AM36" s="26">
        <f>IFERROR($AC36*HDF_Limited_Col!AM36/HDF_Limited_Col!$AH36," ")</f>
        <v>29187.107453746565</v>
      </c>
      <c r="AN36" s="26">
        <f>IFERROR($AC36*HDF_Limited_Col!AN36/HDF_Limited_Col!$AH36," ")</f>
        <v>226.04483219497342</v>
      </c>
      <c r="AO36" s="26">
        <f>IFERROR($AC36*HDF_Limited_Col!AO36/HDF_Limited_Col!$AH36," ")</f>
        <v>235.98086877497221</v>
      </c>
      <c r="AP36" s="26">
        <f>IFERROR($AC36*HDF_Limited_Col!AP36/HDF_Limited_Col!$AH36," ")</f>
        <v>0</v>
      </c>
      <c r="AQ36" s="26">
        <f>IFERROR($AC36*HDF_Limited_Col!AQ36/HDF_Limited_Col!$AH36," ")</f>
        <v>34.362126505829295</v>
      </c>
      <c r="AR36" s="26">
        <f>IFERROR($AC36*HDF_Limited_Col!AR36/HDF_Limited_Col!$AH36," ")</f>
        <v>15.525057156248172</v>
      </c>
      <c r="AS36" s="26">
        <f>IFERROR($AC36*HDF_Limited_Col!AS36/HDF_Limited_Col!$AH36," ")</f>
        <v>0</v>
      </c>
      <c r="AT36" s="26">
        <f>IFERROR($AC36*HDF_Limited_Col!AT36/HDF_Limited_Col!$AH36," ")</f>
        <v>0</v>
      </c>
      <c r="AU36" s="26">
        <f>IFERROR($AC36*HDF_Limited_Col!AU36/HDF_Limited_Col!$AH36," ")</f>
        <v>0</v>
      </c>
      <c r="AV36" s="26">
        <f>IFERROR($AC36*HDF_Limited_Col!AV36/HDF_Limited_Col!$AH36," ")</f>
        <v>0</v>
      </c>
      <c r="AW36" s="26">
        <f>IFERROR($AC36*HDF_Limited_Col!AW36/HDF_Limited_Col!$AH36," ")</f>
        <v>0</v>
      </c>
      <c r="AX36" s="26">
        <f>IFERROR($AC36*HDF_Limited_Col!AX36/HDF_Limited_Col!$AH36," ")</f>
        <v>175.95064777081262</v>
      </c>
      <c r="AY36" s="26">
        <f>IFERROR($AC36*HDF_Limited_Col!AY36/HDF_Limited_Col!$AH36," ")</f>
        <v>3305.8021704704447</v>
      </c>
      <c r="AZ36" s="26">
        <f>IFERROR($AC36*HDF_Limited_Col!AZ36/HDF_Limited_Col!$AH36," ")</f>
        <v>3.1050114312496344</v>
      </c>
      <c r="BA36" s="26">
        <f>IFERROR($AC36*HDF_Limited_Col!BA36/HDF_Limited_Col!$AH36," ")</f>
        <v>55.062202714160186</v>
      </c>
      <c r="BB36" s="26">
        <f>IFERROR($AC36*HDF_Limited_Col!BB36/HDF_Limited_Col!$AH36," ")</f>
        <v>0</v>
      </c>
      <c r="BC36" s="26">
        <f>IFERROR($AC36*HDF_Limited_Col!BC36/HDF_Limited_Col!$AH36," ")</f>
        <v>554.55504162118473</v>
      </c>
      <c r="BD36" s="26">
        <f>IFERROR($AC36*HDF_Limited_Col!BD36/HDF_Limited_Col!$AH36," ")</f>
        <v>0</v>
      </c>
      <c r="BE36" s="26">
        <f>IFERROR($AC36*HDF_Limited_Col!BE36/HDF_Limited_Col!$AH36," ")</f>
        <v>0</v>
      </c>
      <c r="BF36" s="26">
        <f>IFERROR($AC36*HDF_Limited_Col!BF36/HDF_Limited_Col!$AH36," ")</f>
        <v>0</v>
      </c>
      <c r="BG36" s="26">
        <f>IFERROR($AC36*HDF_Limited_Col!BG36/HDF_Limited_Col!$AH36," ")</f>
        <v>0</v>
      </c>
      <c r="BH36" s="26">
        <f>IFERROR($AC36*HDF_Limited_Col!BH36/HDF_Limited_Col!$AH36," ")</f>
        <v>9.7290358179155216</v>
      </c>
      <c r="BI36" s="26">
        <f>IFERROR($AC36*HDF_Limited_Col!BI36/HDF_Limited_Col!$AH36," ")</f>
        <v>6249.353007295098</v>
      </c>
      <c r="BJ36" s="26">
        <f>IFERROR($AC36*HDF_Limited_Col!BJ36/HDF_Limited_Col!$AH36," ")</f>
        <v>107.43339552123736</v>
      </c>
      <c r="BK36" s="26">
        <f>IFERROR($AC36*HDF_Limited_Col!BK36/HDF_Limited_Col!$AH36," ")</f>
        <v>440.91162323744805</v>
      </c>
      <c r="BL36" s="26">
        <f>IFERROR($AC36*HDF_Limited_Col!BL36/HDF_Limited_Col!$AH36," ")</f>
        <v>749.34275874157845</v>
      </c>
      <c r="BM36" s="26">
        <f>IFERROR($AC36*HDF_Limited_Col!BM36/HDF_Limited_Col!$AH36," ")</f>
        <v>92.736341413322421</v>
      </c>
      <c r="BN36" s="26">
        <f>IFERROR($AC36*HDF_Limited_Col!BN36/HDF_Limited_Col!$AH36," ")</f>
        <v>314.64115836662961</v>
      </c>
      <c r="BO36" s="26">
        <f>IFERROR($AC36*HDF_Limited_Col!BO36/HDF_Limited_Col!$AH36," ")</f>
        <v>19.458071635831043</v>
      </c>
      <c r="BP36" s="26">
        <f>IFERROR($AC36*HDF_Limited_Col!BP36/HDF_Limited_Col!$AH36," ")</f>
        <v>2.8980106691663257</v>
      </c>
      <c r="BQ36" s="26">
        <f>IFERROR($AC36*HDF_Limited_Col!BQ36/HDF_Limited_Col!$AH36," ")</f>
        <v>5.3820198141660329</v>
      </c>
      <c r="BR36" s="26">
        <f>IFERROR($AC36*HDF_Limited_Col!BR36/HDF_Limited_Col!$AH36," ")</f>
        <v>0.62100228624992693</v>
      </c>
      <c r="BS36" s="26">
        <f>IFERROR($AC36*HDF_Limited_Col!BS36/HDF_Limited_Col!$AH36," ")</f>
        <v>0.20700076208330898</v>
      </c>
      <c r="BT36" s="26">
        <f>IFERROR($AC36*HDF_Limited_Col!BT36/HDF_Limited_Col!$AH36," ")</f>
        <v>0.41400152416661795</v>
      </c>
      <c r="BU36" s="26">
        <f>IFERROR($AC36*HDF_Limited_Col!BU36/HDF_Limited_Col!$AH36," ")</f>
        <v>0</v>
      </c>
      <c r="BV36" s="26" t="str">
        <f>IFERROR($AC36*HDF_Limited_Col!BV36/HDF_Limited_Col!$AH36," ")</f>
        <v xml:space="preserve"> </v>
      </c>
      <c r="BW36" s="26">
        <f>IFERROR($AC36*HDF_Limited_Col!BW36/HDF_Limited_Col!$AH36," ")</f>
        <v>0.20700076208330898</v>
      </c>
      <c r="BX36" s="26">
        <f>IFERROR($AC36*HDF_Limited_Col!BX36/HDF_Limited_Col!$AH36," ")</f>
        <v>2.0700076208330898</v>
      </c>
      <c r="BY36" s="26">
        <f>IFERROR($AC36*HDF_Limited_Col!BY36/HDF_Limited_Col!$AH36," ")</f>
        <v>27.324100594996786</v>
      </c>
      <c r="BZ36" s="26">
        <f>IFERROR($AC36*HDF_Limited_Col!BZ36/HDF_Limited_Col!$AH36," ")</f>
        <v>0</v>
      </c>
      <c r="CA36" s="26">
        <f>IFERROR($AC36*HDF_Limited_Col!CA36/HDF_Limited_Col!$AH36," ")</f>
        <v>53.820198141660327</v>
      </c>
      <c r="CB36" s="26">
        <f>IFERROR($AC36*HDF_Limited_Col!CB36/HDF_Limited_Col!$AH36," ")</f>
        <v>51.957191282910557</v>
      </c>
      <c r="CC36" s="26">
        <f>IFERROR($AC36*HDF_Limited_Col!CC36/HDF_Limited_Col!$AH36," ")</f>
        <v>11.178041152498684</v>
      </c>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row>
    <row r="37" spans="1:109">
      <c r="A37" s="26" t="s">
        <v>672</v>
      </c>
      <c r="B37" s="26" t="s">
        <v>24</v>
      </c>
      <c r="C37" s="152" t="s">
        <v>1800</v>
      </c>
      <c r="D37" s="26" t="s">
        <v>1723</v>
      </c>
      <c r="E37" s="26" t="s">
        <v>237</v>
      </c>
      <c r="F37" s="26" t="s">
        <v>29</v>
      </c>
      <c r="G37" s="26" t="s">
        <v>595</v>
      </c>
      <c r="H37" s="30">
        <v>360</v>
      </c>
      <c r="I37" s="26" t="s">
        <v>735</v>
      </c>
      <c r="J37" s="26" t="s">
        <v>1496</v>
      </c>
      <c r="K37" s="26"/>
      <c r="L37" s="26"/>
      <c r="M37" s="26" t="s">
        <v>38</v>
      </c>
      <c r="N37" s="26">
        <v>41</v>
      </c>
      <c r="O37" s="95">
        <v>7.2073385832161625</v>
      </c>
      <c r="P37" s="95">
        <v>1.0473974056184638</v>
      </c>
      <c r="Q37" s="95">
        <v>5.4962438116612455</v>
      </c>
      <c r="R37" s="95">
        <v>13.273947318729048</v>
      </c>
      <c r="S37" s="95">
        <v>20.273880475090067</v>
      </c>
      <c r="T37" s="95">
        <v>21.653126563676757</v>
      </c>
      <c r="U37" s="95">
        <v>0</v>
      </c>
      <c r="V37" s="95">
        <v>5.0710626866082054</v>
      </c>
      <c r="W37" s="95">
        <v>15.524296200107331</v>
      </c>
      <c r="X37" s="95">
        <v>7.7465926930395295</v>
      </c>
      <c r="Y37" s="95">
        <v>3.4947814425091317</v>
      </c>
      <c r="Z37" s="95">
        <v>100.78866718025594</v>
      </c>
      <c r="AA37" s="26"/>
      <c r="AB37" s="26"/>
      <c r="AC37" s="26">
        <f t="shared" si="0"/>
        <v>128872.97405079886</v>
      </c>
      <c r="AD37" s="26">
        <f>IFERROR($AC37*HDF_Limited_Col!AD37/HDF_Limited_Col!$AH37," ")</f>
        <v>23023.709981233205</v>
      </c>
      <c r="AE37" s="26">
        <f>IFERROR($AC37*HDF_Limited_Col!AE37/HDF_Limited_Col!$AH37," ")</f>
        <v>84021.590970474426</v>
      </c>
      <c r="AF37" s="26">
        <f>IFERROR($AC37*HDF_Limited_Col!AF37/HDF_Limited_Col!$AH37," ")</f>
        <v>3289.1014258904579</v>
      </c>
      <c r="AG37" s="26">
        <f>IFERROR($AC37*HDF_Limited_Col!AG37/HDF_Limited_Col!$AH37," ")</f>
        <v>0</v>
      </c>
      <c r="AH37" s="26">
        <f>IFERROR($AC37*HDF_Limited_Col!AH37/HDF_Limited_Col!$AH37," ")</f>
        <v>128872.97405079885</v>
      </c>
      <c r="AI37" s="26">
        <f>IFERROR($AC37*HDF_Limited_Col!AI37/HDF_Limited_Col!$AH37," ")</f>
        <v>68174.102282093139</v>
      </c>
      <c r="AJ37" s="26">
        <f>IFERROR($AC37*HDF_Limited_Col!AJ37/HDF_Limited_Col!$AH37," ")</f>
        <v>2042.2329762574391</v>
      </c>
      <c r="AK37" s="26">
        <f>IFERROR($AC37*HDF_Limited_Col!AK37/HDF_Limited_Col!$AH37," ")</f>
        <v>0</v>
      </c>
      <c r="AL37" s="26">
        <f>IFERROR($AC37*HDF_Limited_Col!AL37/HDF_Limited_Col!$AH37," ")</f>
        <v>1181.08642111521</v>
      </c>
      <c r="AM37" s="26">
        <f>IFERROR($AC37*HDF_Limited_Col!AM37/HDF_Limited_Col!$AH37," ")</f>
        <v>33788.041920511067</v>
      </c>
      <c r="AN37" s="26">
        <f>IFERROR($AC37*HDF_Limited_Col!AN37/HDF_Limited_Col!$AH37," ")</f>
        <v>640.47775038703276</v>
      </c>
      <c r="AO37" s="26">
        <f>IFERROR($AC37*HDF_Limited_Col!AO37/HDF_Limited_Col!$AH37," ")</f>
        <v>592.03825666028251</v>
      </c>
      <c r="AP37" s="26">
        <f>IFERROR($AC37*HDF_Limited_Col!AP37/HDF_Limited_Col!$AH37," ")</f>
        <v>0</v>
      </c>
      <c r="AQ37" s="26">
        <f>IFERROR($AC37*HDF_Limited_Col!AQ37/HDF_Limited_Col!$AH37," ")</f>
        <v>36.479124905330536</v>
      </c>
      <c r="AR37" s="26">
        <f>IFERROR($AC37*HDF_Limited_Col!AR37/HDF_Limited_Col!$AH37," ")</f>
        <v>33.78804192051107</v>
      </c>
      <c r="AS37" s="26">
        <f>IFERROR($AC37*HDF_Limited_Col!AS37/HDF_Limited_Col!$AH37," ")</f>
        <v>0</v>
      </c>
      <c r="AT37" s="26">
        <f>IFERROR($AC37*HDF_Limited_Col!AT37/HDF_Limited_Col!$AH37," ")</f>
        <v>0</v>
      </c>
      <c r="AU37" s="26">
        <f>IFERROR($AC37*HDF_Limited_Col!AU37/HDF_Limited_Col!$AH37," ")</f>
        <v>0</v>
      </c>
      <c r="AV37" s="26">
        <f>IFERROR($AC37*HDF_Limited_Col!AV37/HDF_Limited_Col!$AH37," ")</f>
        <v>0</v>
      </c>
      <c r="AW37" s="26">
        <f>IFERROR($AC37*HDF_Limited_Col!AW37/HDF_Limited_Col!$AH37," ")</f>
        <v>0</v>
      </c>
      <c r="AX37" s="26">
        <f>IFERROR($AC37*HDF_Limited_Col!AX37/HDF_Limited_Col!$AH37," ")</f>
        <v>349.8407880265305</v>
      </c>
      <c r="AY37" s="26">
        <f>IFERROR($AC37*HDF_Limited_Col!AY37/HDF_Limited_Col!$AH37," ")</f>
        <v>6192.4809572901268</v>
      </c>
      <c r="AZ37" s="26">
        <f>IFERROR($AC37*HDF_Limited_Col!AZ37/HDF_Limited_Col!$AH37," ")</f>
        <v>8.6712673955293909</v>
      </c>
      <c r="BA37" s="26">
        <f>IFERROR($AC37*HDF_Limited_Col!BA37/HDF_Limited_Col!$AH37," ")</f>
        <v>256.84892043999122</v>
      </c>
      <c r="BB37" s="26">
        <f>IFERROR($AC37*HDF_Limited_Col!BB37/HDF_Limited_Col!$AH37," ")</f>
        <v>0</v>
      </c>
      <c r="BC37" s="26">
        <f>IFERROR($AC37*HDF_Limited_Col!BC37/HDF_Limited_Col!$AH37," ")</f>
        <v>1168.8270430732546</v>
      </c>
      <c r="BD37" s="26">
        <f>IFERROR($AC37*HDF_Limited_Col!BD37/HDF_Limited_Col!$AH37," ")</f>
        <v>0</v>
      </c>
      <c r="BE37" s="26">
        <f>IFERROR($AC37*HDF_Limited_Col!BE37/HDF_Limited_Col!$AH37," ")</f>
        <v>0</v>
      </c>
      <c r="BF37" s="26">
        <f>IFERROR($AC37*HDF_Limited_Col!BF37/HDF_Limited_Col!$AH37," ")</f>
        <v>0</v>
      </c>
      <c r="BG37" s="26">
        <f>IFERROR($AC37*HDF_Limited_Col!BG37/HDF_Limited_Col!$AH37," ")</f>
        <v>0</v>
      </c>
      <c r="BH37" s="26">
        <f>IFERROR($AC37*HDF_Limited_Col!BH37/HDF_Limited_Col!$AH37," ")</f>
        <v>6.8772120723164125</v>
      </c>
      <c r="BI37" s="26">
        <f>IFERROR($AC37*HDF_Limited_Col!BI37/HDF_Limited_Col!$AH37," ")</f>
        <v>13586.978981132948</v>
      </c>
      <c r="BJ37" s="26">
        <f>IFERROR($AC37*HDF_Limited_Col!BJ37/HDF_Limited_Col!$AH37," ")</f>
        <v>96.280969012429779</v>
      </c>
      <c r="BK37" s="26">
        <f>IFERROR($AC37*HDF_Limited_Col!BK37/HDF_Limited_Col!$AH37," ")</f>
        <v>1357.5018612311528</v>
      </c>
      <c r="BL37" s="26">
        <f>IFERROR($AC37*HDF_Limited_Col!BL37/HDF_Limited_Col!$AH37," ")</f>
        <v>1752.1940323380079</v>
      </c>
      <c r="BM37" s="26">
        <f>IFERROR($AC37*HDF_Limited_Col!BM37/HDF_Limited_Col!$AH37," ")</f>
        <v>176.41544011594274</v>
      </c>
      <c r="BN37" s="26">
        <f>IFERROR($AC37*HDF_Limited_Col!BN37/HDF_Limited_Col!$AH37," ")</f>
        <v>535.22650475853823</v>
      </c>
      <c r="BO37" s="26">
        <f>IFERROR($AC37*HDF_Limited_Col!BO37/HDF_Limited_Col!$AH37," ")</f>
        <v>50.831567491034356</v>
      </c>
      <c r="BP37" s="26">
        <f>IFERROR($AC37*HDF_Limited_Col!BP37/HDF_Limited_Col!$AH37," ")</f>
        <v>9.8673042776713746</v>
      </c>
      <c r="BQ37" s="26">
        <f>IFERROR($AC37*HDF_Limited_Col!BQ37/HDF_Limited_Col!$AH37," ")</f>
        <v>16.744516349987787</v>
      </c>
      <c r="BR37" s="26">
        <f>IFERROR($AC37*HDF_Limited_Col!BR37/HDF_Limited_Col!$AH37," ")</f>
        <v>4.1861290874969468</v>
      </c>
      <c r="BS37" s="26">
        <f>IFERROR($AC37*HDF_Limited_Col!BS37/HDF_Limited_Col!$AH37," ")</f>
        <v>0.59801844107099233</v>
      </c>
      <c r="BT37" s="26">
        <f>IFERROR($AC37*HDF_Limited_Col!BT37/HDF_Limited_Col!$AH37," ")</f>
        <v>2.0930645437484734</v>
      </c>
      <c r="BU37" s="26">
        <f>IFERROR($AC37*HDF_Limited_Col!BU37/HDF_Limited_Col!$AH37," ")</f>
        <v>0</v>
      </c>
      <c r="BV37" s="26" t="str">
        <f>IFERROR($AC37*HDF_Limited_Col!BV37/HDF_Limited_Col!$AH37," ")</f>
        <v xml:space="preserve"> </v>
      </c>
      <c r="BW37" s="26">
        <f>IFERROR($AC37*HDF_Limited_Col!BW37/HDF_Limited_Col!$AH37," ")</f>
        <v>0.29900922053549617</v>
      </c>
      <c r="BX37" s="26">
        <f>IFERROR($AC37*HDF_Limited_Col!BX37/HDF_Limited_Col!$AH37," ")</f>
        <v>8.6712673955293909</v>
      </c>
      <c r="BY37" s="26">
        <f>IFERROR($AC37*HDF_Limited_Col!BY37/HDF_Limited_Col!$AH37," ")</f>
        <v>50.831567491034356</v>
      </c>
      <c r="BZ37" s="26">
        <f>IFERROR($AC37*HDF_Limited_Col!BZ37/HDF_Limited_Col!$AH37," ")</f>
        <v>0</v>
      </c>
      <c r="CA37" s="26">
        <f>IFERROR($AC37*HDF_Limited_Col!CA37/HDF_Limited_Col!$AH37," ")</f>
        <v>687.72120723164119</v>
      </c>
      <c r="CB37" s="26">
        <f>IFERROR($AC37*HDF_Limited_Col!CB37/HDF_Limited_Col!$AH37," ")</f>
        <v>191.36590114271758</v>
      </c>
      <c r="CC37" s="26">
        <f>IFERROR($AC37*HDF_Limited_Col!CC37/HDF_Limited_Col!$AH37," ")</f>
        <v>31.096958935691603</v>
      </c>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row>
    <row r="38" spans="1:109">
      <c r="A38" s="26" t="s">
        <v>672</v>
      </c>
      <c r="B38" s="26" t="s">
        <v>24</v>
      </c>
      <c r="C38" s="152" t="s">
        <v>1800</v>
      </c>
      <c r="D38" s="26" t="s">
        <v>1723</v>
      </c>
      <c r="E38" s="26" t="s">
        <v>237</v>
      </c>
      <c r="F38" s="26" t="s">
        <v>29</v>
      </c>
      <c r="G38" s="26" t="s">
        <v>595</v>
      </c>
      <c r="H38" s="30">
        <v>360</v>
      </c>
      <c r="I38" s="26" t="s">
        <v>735</v>
      </c>
      <c r="J38" s="26" t="s">
        <v>1496</v>
      </c>
      <c r="K38" s="26"/>
      <c r="L38" s="26"/>
      <c r="M38" s="26" t="s">
        <v>39</v>
      </c>
      <c r="N38" s="26">
        <v>24</v>
      </c>
      <c r="O38" s="95">
        <v>11.100101981425901</v>
      </c>
      <c r="P38" s="95">
        <v>0.63722807671148696</v>
      </c>
      <c r="Q38" s="95">
        <v>4.7175433421060076</v>
      </c>
      <c r="R38" s="95">
        <v>18.109610825252258</v>
      </c>
      <c r="S38" s="95">
        <v>25.499400940664501</v>
      </c>
      <c r="T38" s="95">
        <v>25.540512429484597</v>
      </c>
      <c r="U38" s="95">
        <v>0</v>
      </c>
      <c r="V38" s="95">
        <v>3.9569807989342336</v>
      </c>
      <c r="W38" s="95">
        <v>7.4411794764373633</v>
      </c>
      <c r="X38" s="95">
        <v>1.3977906198832617</v>
      </c>
      <c r="Y38" s="95">
        <v>2.0658523132098203</v>
      </c>
      <c r="Z38" s="95">
        <v>100.46620080410945</v>
      </c>
      <c r="AA38" s="26"/>
      <c r="AB38" s="26"/>
      <c r="AC38" s="26">
        <f t="shared" si="0"/>
        <v>61772.006744345621</v>
      </c>
      <c r="AD38" s="26">
        <f>IFERROR($AC38*HDF_Limited_Col!AD38/HDF_Limited_Col!$AH38," ")</f>
        <v>24231.008170433917</v>
      </c>
      <c r="AE38" s="26">
        <f>IFERROR($AC38*HDF_Limited_Col!AE38/HDF_Limited_Col!$AH38," ")</f>
        <v>96753.391779126978</v>
      </c>
      <c r="AF38" s="26">
        <f>IFERROR($AC38*HDF_Limited_Col!AF38/HDF_Limited_Col!$AH38," ")</f>
        <v>3924.7407599998596</v>
      </c>
      <c r="AG38" s="26">
        <f>IFERROR($AC38*HDF_Limited_Col!AG38/HDF_Limited_Col!$AH38," ")</f>
        <v>0</v>
      </c>
      <c r="AH38" s="26">
        <f>IFERROR($AC38*HDF_Limited_Col!AH38/HDF_Limited_Col!$AH38," ")</f>
        <v>61772.006744345621</v>
      </c>
      <c r="AI38" s="26">
        <f>IFERROR($AC38*HDF_Limited_Col!AI38/HDF_Limited_Col!$AH38," ")</f>
        <v>104944.15510434408</v>
      </c>
      <c r="AJ38" s="26">
        <f>IFERROR($AC38*HDF_Limited_Col!AJ38/HDF_Limited_Col!$AH38," ")</f>
        <v>1001.6620983130077</v>
      </c>
      <c r="AK38" s="26">
        <f>IFERROR($AC38*HDF_Limited_Col!AK38/HDF_Limited_Col!$AH38," ")</f>
        <v>0</v>
      </c>
      <c r="AL38" s="26">
        <f>IFERROR($AC38*HDF_Limited_Col!AL38/HDF_Limited_Col!$AH38," ")</f>
        <v>1001.6620983130077</v>
      </c>
      <c r="AM38" s="26">
        <f>IFERROR($AC38*HDF_Limited_Col!AM38/HDF_Limited_Col!$AH38," ")</f>
        <v>34298.821424346599</v>
      </c>
      <c r="AN38" s="26">
        <f>IFERROR($AC38*HDF_Limited_Col!AN38/HDF_Limited_Col!$AH38," ")</f>
        <v>237.53213643129584</v>
      </c>
      <c r="AO38" s="26">
        <f>IFERROR($AC38*HDF_Limited_Col!AO38/HDF_Limited_Col!$AH38," ")</f>
        <v>1295.1644507999538</v>
      </c>
      <c r="AP38" s="26">
        <f>IFERROR($AC38*HDF_Limited_Col!AP38/HDF_Limited_Col!$AH38," ")</f>
        <v>0</v>
      </c>
      <c r="AQ38" s="26">
        <f>IFERROR($AC38*HDF_Limited_Col!AQ38/HDF_Limited_Col!$AH38," ")</f>
        <v>37.5409985739117</v>
      </c>
      <c r="AR38" s="26">
        <f>IFERROR($AC38*HDF_Limited_Col!AR38/HDF_Limited_Col!$AH38," ")</f>
        <v>31.397926079998879</v>
      </c>
      <c r="AS38" s="26">
        <f>IFERROR($AC38*HDF_Limited_Col!AS38/HDF_Limited_Col!$AH38," ")</f>
        <v>0</v>
      </c>
      <c r="AT38" s="26">
        <f>IFERROR($AC38*HDF_Limited_Col!AT38/HDF_Limited_Col!$AH38," ")</f>
        <v>0</v>
      </c>
      <c r="AU38" s="26">
        <f>IFERROR($AC38*HDF_Limited_Col!AU38/HDF_Limited_Col!$AH38," ")</f>
        <v>0</v>
      </c>
      <c r="AV38" s="26">
        <f>IFERROR($AC38*HDF_Limited_Col!AV38/HDF_Limited_Col!$AH38," ")</f>
        <v>0</v>
      </c>
      <c r="AW38" s="26">
        <f>IFERROR($AC38*HDF_Limited_Col!AW38/HDF_Limited_Col!$AH38," ")</f>
        <v>0</v>
      </c>
      <c r="AX38" s="26">
        <f>IFERROR($AC38*HDF_Limited_Col!AX38/HDF_Limited_Col!$AH38," ")</f>
        <v>146.75117624347303</v>
      </c>
      <c r="AY38" s="26">
        <f>IFERROR($AC38*HDF_Limited_Col!AY38/HDF_Limited_Col!$AH38," ")</f>
        <v>6835.8745585041033</v>
      </c>
      <c r="AZ38" s="26">
        <f>IFERROR($AC38*HDF_Limited_Col!AZ38/HDF_Limited_Col!$AH38," ")</f>
        <v>2.3889726365216539</v>
      </c>
      <c r="BA38" s="26">
        <f>IFERROR($AC38*HDF_Limited_Col!BA38/HDF_Limited_Col!$AH38," ")</f>
        <v>56.652779666084939</v>
      </c>
      <c r="BB38" s="26">
        <f>IFERROR($AC38*HDF_Limited_Col!BB38/HDF_Limited_Col!$AH38," ")</f>
        <v>0</v>
      </c>
      <c r="BC38" s="26">
        <f>IFERROR($AC38*HDF_Limited_Col!BC38/HDF_Limited_Col!$AH38," ")</f>
        <v>1018.5555476712681</v>
      </c>
      <c r="BD38" s="26">
        <f>IFERROR($AC38*HDF_Limited_Col!BD38/HDF_Limited_Col!$AH38," ")</f>
        <v>0</v>
      </c>
      <c r="BE38" s="26">
        <f>IFERROR($AC38*HDF_Limited_Col!BE38/HDF_Limited_Col!$AH38," ")</f>
        <v>0</v>
      </c>
      <c r="BF38" s="26">
        <f>IFERROR($AC38*HDF_Limited_Col!BF38/HDF_Limited_Col!$AH38," ")</f>
        <v>0</v>
      </c>
      <c r="BG38" s="26">
        <f>IFERROR($AC38*HDF_Limited_Col!BG38/HDF_Limited_Col!$AH38," ")</f>
        <v>0</v>
      </c>
      <c r="BH38" s="26">
        <f>IFERROR($AC38*HDF_Limited_Col!BH38/HDF_Limited_Col!$AH38," ")</f>
        <v>3.9247407599998598</v>
      </c>
      <c r="BI38" s="26">
        <f>IFERROR($AC38*HDF_Limited_Col!BI38/HDF_Limited_Col!$AH38," ")</f>
        <v>10132.656796903986</v>
      </c>
      <c r="BJ38" s="26">
        <f>IFERROR($AC38*HDF_Limited_Col!BJ38/HDF_Limited_Col!$AH38," ")</f>
        <v>133.09990403477786</v>
      </c>
      <c r="BK38" s="26">
        <f>IFERROR($AC38*HDF_Limited_Col!BK38/HDF_Limited_Col!$AH38," ")</f>
        <v>1201.3119543651744</v>
      </c>
      <c r="BL38" s="26">
        <f>IFERROR($AC38*HDF_Limited_Col!BL38/HDF_Limited_Col!$AH38," ")</f>
        <v>1791.7294773912404</v>
      </c>
      <c r="BM38" s="26">
        <f>IFERROR($AC38*HDF_Limited_Col!BM38/HDF_Limited_Col!$AH38," ")</f>
        <v>165.00975282260282</v>
      </c>
      <c r="BN38" s="26">
        <f>IFERROR($AC38*HDF_Limited_Col!BN38/HDF_Limited_Col!$AH38," ")</f>
        <v>436.84071067824527</v>
      </c>
      <c r="BO38" s="26">
        <f>IFERROR($AC38*HDF_Limited_Col!BO38/HDF_Limited_Col!$AH38," ")</f>
        <v>23.377803657390469</v>
      </c>
      <c r="BP38" s="26">
        <f>IFERROR($AC38*HDF_Limited_Col!BP38/HDF_Limited_Col!$AH38," ")</f>
        <v>3.0715362469564118</v>
      </c>
      <c r="BQ38" s="26">
        <f>IFERROR($AC38*HDF_Limited_Col!BQ38/HDF_Limited_Col!$AH38," ")</f>
        <v>6.996277006956273</v>
      </c>
      <c r="BR38" s="26">
        <f>IFERROR($AC38*HDF_Limited_Col!BR38/HDF_Limited_Col!$AH38," ")</f>
        <v>1.194486318260827</v>
      </c>
      <c r="BS38" s="26">
        <f>IFERROR($AC38*HDF_Limited_Col!BS38/HDF_Limited_Col!$AH38," ")</f>
        <v>0.34128180521737916</v>
      </c>
      <c r="BT38" s="26">
        <f>IFERROR($AC38*HDF_Limited_Col!BT38/HDF_Limited_Col!$AH38," ")</f>
        <v>1.0238454156521375</v>
      </c>
      <c r="BU38" s="26">
        <f>IFERROR($AC38*HDF_Limited_Col!BU38/HDF_Limited_Col!$AH38," ")</f>
        <v>0</v>
      </c>
      <c r="BV38" s="26" t="str">
        <f>IFERROR($AC38*HDF_Limited_Col!BV38/HDF_Limited_Col!$AH38," ")</f>
        <v xml:space="preserve"> </v>
      </c>
      <c r="BW38" s="26">
        <f>IFERROR($AC38*HDF_Limited_Col!BW38/HDF_Limited_Col!$AH38," ")</f>
        <v>0.51192270782606875</v>
      </c>
      <c r="BX38" s="26">
        <f>IFERROR($AC38*HDF_Limited_Col!BX38/HDF_Limited_Col!$AH38," ")</f>
        <v>1.5357681234782059</v>
      </c>
      <c r="BY38" s="26">
        <f>IFERROR($AC38*HDF_Limited_Col!BY38/HDF_Limited_Col!$AH38," ")</f>
        <v>45.731761899128806</v>
      </c>
      <c r="BZ38" s="26">
        <f>IFERROR($AC38*HDF_Limited_Col!BZ38/HDF_Limited_Col!$AH38," ")</f>
        <v>0</v>
      </c>
      <c r="CA38" s="26">
        <f>IFERROR($AC38*HDF_Limited_Col!CA38/HDF_Limited_Col!$AH38," ")</f>
        <v>67.744438335649761</v>
      </c>
      <c r="CB38" s="26">
        <f>IFERROR($AC38*HDF_Limited_Col!CB38/HDF_Limited_Col!$AH38," ")</f>
        <v>182.24448398608047</v>
      </c>
      <c r="CC38" s="26">
        <f>IFERROR($AC38*HDF_Limited_Col!CC38/HDF_Limited_Col!$AH38," ")</f>
        <v>28.326389833042469</v>
      </c>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row>
    <row r="39" spans="1:109">
      <c r="A39" s="26" t="s">
        <v>672</v>
      </c>
      <c r="B39" s="26" t="s">
        <v>24</v>
      </c>
      <c r="C39" s="152" t="s">
        <v>1800</v>
      </c>
      <c r="D39" s="26" t="s">
        <v>1723</v>
      </c>
      <c r="E39" s="26" t="s">
        <v>237</v>
      </c>
      <c r="F39" s="26" t="s">
        <v>29</v>
      </c>
      <c r="G39" s="26" t="s">
        <v>595</v>
      </c>
      <c r="H39" s="30">
        <v>360</v>
      </c>
      <c r="I39" s="26" t="s">
        <v>735</v>
      </c>
      <c r="J39" s="26" t="s">
        <v>1496</v>
      </c>
      <c r="K39" s="26"/>
      <c r="L39" s="26"/>
      <c r="M39" s="26" t="s">
        <v>40</v>
      </c>
      <c r="N39" s="26">
        <v>26</v>
      </c>
      <c r="O39" s="95">
        <v>8.1232311162051669</v>
      </c>
      <c r="P39" s="95">
        <v>1.0307114858501532</v>
      </c>
      <c r="Q39" s="95">
        <v>5.6229903832023194</v>
      </c>
      <c r="R39" s="95">
        <v>12.562434050312262</v>
      </c>
      <c r="S39" s="95">
        <v>23.25734134903464</v>
      </c>
      <c r="T39" s="95">
        <v>27.645518962060045</v>
      </c>
      <c r="U39" s="95">
        <v>0</v>
      </c>
      <c r="V39" s="95">
        <v>5.4699144199572478</v>
      </c>
      <c r="W39" s="95">
        <v>8.4395881069116498</v>
      </c>
      <c r="X39" s="95">
        <v>6.4496005847257107</v>
      </c>
      <c r="Y39" s="95">
        <v>1.8062963662918523</v>
      </c>
      <c r="Z39" s="95">
        <v>100.40762682455103</v>
      </c>
      <c r="AA39" s="26"/>
      <c r="AB39" s="26"/>
      <c r="AC39" s="26">
        <f t="shared" si="0"/>
        <v>70060.169239358889</v>
      </c>
      <c r="AD39" s="26">
        <f>IFERROR($AC39*HDF_Limited_Col!AD39/HDF_Limited_Col!$AH39," ")</f>
        <v>26574.54695286027</v>
      </c>
      <c r="AE39" s="26">
        <f>IFERROR($AC39*HDF_Limited_Col!AE39/HDF_Limited_Col!$AH39," ")</f>
        <v>54759.672508924195</v>
      </c>
      <c r="AF39" s="26">
        <f>IFERROR($AC39*HDF_Limited_Col!AF39/HDF_Limited_Col!$AH39," ")</f>
        <v>2415.8679048054792</v>
      </c>
      <c r="AG39" s="26">
        <f>IFERROR($AC39*HDF_Limited_Col!AG39/HDF_Limited_Col!$AH39," ")</f>
        <v>0</v>
      </c>
      <c r="AH39" s="26">
        <f>IFERROR($AC39*HDF_Limited_Col!AH39/HDF_Limited_Col!$AH39," ")</f>
        <v>70060.169239358889</v>
      </c>
      <c r="AI39" s="26">
        <f>IFERROR($AC39*HDF_Limited_Col!AI39/HDF_Limited_Col!$AH39," ")</f>
        <v>76502.483652173498</v>
      </c>
      <c r="AJ39" s="26">
        <f>IFERROR($AC39*HDF_Limited_Col!AJ39/HDF_Limited_Col!$AH39," ")</f>
        <v>2085.69929114873</v>
      </c>
      <c r="AK39" s="26">
        <f>IFERROR($AC39*HDF_Limited_Col!AK39/HDF_Limited_Col!$AH39," ")</f>
        <v>0</v>
      </c>
      <c r="AL39" s="26">
        <f>IFERROR($AC39*HDF_Limited_Col!AL39/HDF_Limited_Col!$AH39," ")</f>
        <v>748.91905048969852</v>
      </c>
      <c r="AM39" s="26">
        <f>IFERROR($AC39*HDF_Limited_Col!AM39/HDF_Limited_Col!$AH39," ")</f>
        <v>20132.232540045658</v>
      </c>
      <c r="AN39" s="26">
        <f>IFERROR($AC39*HDF_Limited_Col!AN39/HDF_Limited_Col!$AH39," ")</f>
        <v>1306.1792471981623</v>
      </c>
      <c r="AO39" s="26">
        <f>IFERROR($AC39*HDF_Limited_Col!AO39/HDF_Limited_Col!$AH39," ")</f>
        <v>220.64926863890045</v>
      </c>
      <c r="AP39" s="26">
        <f>IFERROR($AC39*HDF_Limited_Col!AP39/HDF_Limited_Col!$AH39," ")</f>
        <v>0</v>
      </c>
      <c r="AQ39" s="26">
        <f>IFERROR($AC39*HDF_Limited_Col!AQ39/HDF_Limited_Col!$AH39," ")</f>
        <v>40.26446508009132</v>
      </c>
      <c r="AR39" s="26">
        <f>IFERROR($AC39*HDF_Limited_Col!AR39/HDF_Limited_Col!$AH39," ")</f>
        <v>29.795704159267569</v>
      </c>
      <c r="AS39" s="26">
        <f>IFERROR($AC39*HDF_Limited_Col!AS39/HDF_Limited_Col!$AH39," ")</f>
        <v>0</v>
      </c>
      <c r="AT39" s="26">
        <f>IFERROR($AC39*HDF_Limited_Col!AT39/HDF_Limited_Col!$AH39," ")</f>
        <v>0</v>
      </c>
      <c r="AU39" s="26">
        <f>IFERROR($AC39*HDF_Limited_Col!AU39/HDF_Limited_Col!$AH39," ")</f>
        <v>0</v>
      </c>
      <c r="AV39" s="26">
        <f>IFERROR($AC39*HDF_Limited_Col!AV39/HDF_Limited_Col!$AH39," ")</f>
        <v>0</v>
      </c>
      <c r="AW39" s="26">
        <f>IFERROR($AC39*HDF_Limited_Col!AW39/HDF_Limited_Col!$AH39," ")</f>
        <v>0</v>
      </c>
      <c r="AX39" s="26">
        <f>IFERROR($AC39*HDF_Limited_Col!AX39/HDF_Limited_Col!$AH39," ")</f>
        <v>265.74546952860271</v>
      </c>
      <c r="AY39" s="26">
        <f>IFERROR($AC39*HDF_Limited_Col!AY39/HDF_Limited_Col!$AH39," ")</f>
        <v>2625.2431232219533</v>
      </c>
      <c r="AZ39" s="26">
        <f>IFERROR($AC39*HDF_Limited_Col!AZ39/HDF_Limited_Col!$AH39," ")</f>
        <v>5.6370251112127843</v>
      </c>
      <c r="BA39" s="26">
        <f>IFERROR($AC39*HDF_Limited_Col!BA39/HDF_Limited_Col!$AH39," ")</f>
        <v>168.30546403478169</v>
      </c>
      <c r="BB39" s="26">
        <f>IFERROR($AC39*HDF_Limited_Col!BB39/HDF_Limited_Col!$AH39," ")</f>
        <v>0</v>
      </c>
      <c r="BC39" s="26">
        <f>IFERROR($AC39*HDF_Limited_Col!BC39/HDF_Limited_Col!$AH39," ")</f>
        <v>619.26747293180438</v>
      </c>
      <c r="BD39" s="26">
        <f>IFERROR($AC39*HDF_Limited_Col!BD39/HDF_Limited_Col!$AH39," ")</f>
        <v>0</v>
      </c>
      <c r="BE39" s="26">
        <f>IFERROR($AC39*HDF_Limited_Col!BE39/HDF_Limited_Col!$AH39," ")</f>
        <v>0</v>
      </c>
      <c r="BF39" s="26">
        <f>IFERROR($AC39*HDF_Limited_Col!BF39/HDF_Limited_Col!$AH39," ")</f>
        <v>0</v>
      </c>
      <c r="BG39" s="26">
        <f>IFERROR($AC39*HDF_Limited_Col!BG39/HDF_Limited_Col!$AH39," ")</f>
        <v>0</v>
      </c>
      <c r="BH39" s="26">
        <f>IFERROR($AC39*HDF_Limited_Col!BH39/HDF_Limited_Col!$AH39," ")</f>
        <v>6.4423144128146097</v>
      </c>
      <c r="BI39" s="26">
        <f>IFERROR($AC39*HDF_Limited_Col!BI39/HDF_Limited_Col!$AH39," ")</f>
        <v>5709.5011483569488</v>
      </c>
      <c r="BJ39" s="26">
        <f>IFERROR($AC39*HDF_Limited_Col!BJ39/HDF_Limited_Col!$AH39," ")</f>
        <v>71.670747842562534</v>
      </c>
      <c r="BK39" s="26">
        <f>IFERROR($AC39*HDF_Limited_Col!BK39/HDF_Limited_Col!$AH39," ")</f>
        <v>531.49093905720542</v>
      </c>
      <c r="BL39" s="26">
        <f>IFERROR($AC39*HDF_Limited_Col!BL39/HDF_Limited_Col!$AH39," ")</f>
        <v>644.23144128146112</v>
      </c>
      <c r="BM39" s="26">
        <f>IFERROR($AC39*HDF_Limited_Col!BM39/HDF_Limited_Col!$AH39," ")</f>
        <v>69.254879937757067</v>
      </c>
      <c r="BN39" s="26">
        <f>IFERROR($AC39*HDF_Limited_Col!BN39/HDF_Limited_Col!$AH39," ")</f>
        <v>207.76463981327117</v>
      </c>
      <c r="BO39" s="26">
        <f>IFERROR($AC39*HDF_Limited_Col!BO39/HDF_Limited_Col!$AH39," ")</f>
        <v>23.353389746452965</v>
      </c>
      <c r="BP39" s="26">
        <f>IFERROR($AC39*HDF_Limited_Col!BP39/HDF_Limited_Col!$AH39," ")</f>
        <v>4.0264465080091316</v>
      </c>
      <c r="BQ39" s="26">
        <f>IFERROR($AC39*HDF_Limited_Col!BQ39/HDF_Limited_Col!$AH39," ")</f>
        <v>15.3004967304347</v>
      </c>
      <c r="BR39" s="26">
        <f>IFERROR($AC39*HDF_Limited_Col!BR39/HDF_Limited_Col!$AH39," ")</f>
        <v>3.2211572064073049</v>
      </c>
      <c r="BS39" s="26">
        <f>IFERROR($AC39*HDF_Limited_Col!BS39/HDF_Limited_Col!$AH39," ")</f>
        <v>0.80528930160182621</v>
      </c>
      <c r="BT39" s="26" t="str">
        <f>IFERROR($AC39*HDF_Limited_Col!BT39/HDF_Limited_Col!$AH39," ")</f>
        <v xml:space="preserve"> </v>
      </c>
      <c r="BU39" s="26">
        <f>IFERROR($AC39*HDF_Limited_Col!BU39/HDF_Limited_Col!$AH39," ")</f>
        <v>0</v>
      </c>
      <c r="BV39" s="26">
        <f>IFERROR($AC39*HDF_Limited_Col!BV39/HDF_Limited_Col!$AH39," ")</f>
        <v>6.4423144128146097</v>
      </c>
      <c r="BW39" s="26">
        <f>IFERROR($AC39*HDF_Limited_Col!BW39/HDF_Limited_Col!$AH39," ")</f>
        <v>2.415867904805479</v>
      </c>
      <c r="BX39" s="26">
        <f>IFERROR($AC39*HDF_Limited_Col!BX39/HDF_Limited_Col!$AH39," ")</f>
        <v>4.0264465080091316</v>
      </c>
      <c r="BY39" s="26">
        <f>IFERROR($AC39*HDF_Limited_Col!BY39/HDF_Limited_Col!$AH39," ")</f>
        <v>25.769257651258439</v>
      </c>
      <c r="BZ39" s="26">
        <f>IFERROR($AC39*HDF_Limited_Col!BZ39/HDF_Limited_Col!$AH39," ")</f>
        <v>0</v>
      </c>
      <c r="CA39" s="26">
        <f>IFERROR($AC39*HDF_Limited_Col!CA39/HDF_Limited_Col!$AH39," ")</f>
        <v>56.370251112127846</v>
      </c>
      <c r="CB39" s="26">
        <f>IFERROR($AC39*HDF_Limited_Col!CB39/HDF_Limited_Col!$AH39," ")</f>
        <v>59.591408318535137</v>
      </c>
      <c r="CC39" s="26">
        <f>IFERROR($AC39*HDF_Limited_Col!CC39/HDF_Limited_Col!$AH39," ")</f>
        <v>10.46876092082374</v>
      </c>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row>
    <row r="40" spans="1:109">
      <c r="A40" s="26" t="s">
        <v>672</v>
      </c>
      <c r="B40" s="26" t="s">
        <v>24</v>
      </c>
      <c r="C40" s="152" t="s">
        <v>1800</v>
      </c>
      <c r="D40" s="26" t="s">
        <v>1723</v>
      </c>
      <c r="E40" s="26" t="s">
        <v>237</v>
      </c>
      <c r="F40" s="26" t="s">
        <v>29</v>
      </c>
      <c r="G40" s="26" t="s">
        <v>595</v>
      </c>
      <c r="H40" s="30">
        <v>360</v>
      </c>
      <c r="I40" s="26" t="s">
        <v>735</v>
      </c>
      <c r="J40" s="26" t="s">
        <v>1496</v>
      </c>
      <c r="K40" s="26"/>
      <c r="L40" s="26"/>
      <c r="M40" s="26" t="s">
        <v>41</v>
      </c>
      <c r="N40" s="26">
        <v>27</v>
      </c>
      <c r="O40" s="95">
        <v>8.2031416866535452</v>
      </c>
      <c r="P40" s="95">
        <v>0.80080732360322471</v>
      </c>
      <c r="Q40" s="95">
        <v>4.0656371813702172</v>
      </c>
      <c r="R40" s="95">
        <v>23.42874759567383</v>
      </c>
      <c r="S40" s="95">
        <v>21.786065906231318</v>
      </c>
      <c r="T40" s="95">
        <v>23.059144215549267</v>
      </c>
      <c r="U40" s="95">
        <v>0</v>
      </c>
      <c r="V40" s="95">
        <v>6.1395228142913894</v>
      </c>
      <c r="W40" s="95">
        <v>8.952615207461692</v>
      </c>
      <c r="X40" s="95">
        <v>1.1396104220507428</v>
      </c>
      <c r="Y40" s="95">
        <v>3.1313619704997886</v>
      </c>
      <c r="Z40" s="95">
        <v>100.706654323385</v>
      </c>
      <c r="AA40" s="26"/>
      <c r="AB40" s="26"/>
      <c r="AC40" s="26">
        <f t="shared" si="0"/>
        <v>74318.998584297893</v>
      </c>
      <c r="AD40" s="26">
        <f>IFERROR($AC40*HDF_Limited_Col!AD40/HDF_Limited_Col!$AH40," ")</f>
        <v>29542.955958975559</v>
      </c>
      <c r="AE40" s="26">
        <f>IFERROR($AC40*HDF_Limited_Col!AE40/HDF_Limited_Col!$AH40," ")</f>
        <v>51700.172928207227</v>
      </c>
      <c r="AF40" s="26">
        <f>IFERROR($AC40*HDF_Limited_Col!AF40/HDF_Limited_Col!$AH40," ")</f>
        <v>3231.2608080129517</v>
      </c>
      <c r="AG40" s="26">
        <f>IFERROR($AC40*HDF_Limited_Col!AG40/HDF_Limited_Col!$AH40," ")</f>
        <v>0</v>
      </c>
      <c r="AH40" s="26">
        <f>IFERROR($AC40*HDF_Limited_Col!AH40/HDF_Limited_Col!$AH40," ")</f>
        <v>74318.998584297893</v>
      </c>
      <c r="AI40" s="26">
        <f>IFERROR($AC40*HDF_Limited_Col!AI40/HDF_Limited_Col!$AH40," ")</f>
        <v>57701.085857374143</v>
      </c>
      <c r="AJ40" s="26">
        <f>IFERROR($AC40*HDF_Limited_Col!AJ40/HDF_Limited_Col!$AH40," ")</f>
        <v>327.74216766988513</v>
      </c>
      <c r="AK40" s="26">
        <f>IFERROR($AC40*HDF_Limited_Col!AK40/HDF_Limited_Col!$AH40," ")</f>
        <v>0</v>
      </c>
      <c r="AL40" s="26">
        <f>IFERROR($AC40*HDF_Limited_Col!AL40/HDF_Limited_Col!$AH40," ")</f>
        <v>830.89563634618776</v>
      </c>
      <c r="AM40" s="26">
        <f>IFERROR($AC40*HDF_Limited_Col!AM40/HDF_Limited_Col!$AH40," ")</f>
        <v>27696.521211539584</v>
      </c>
      <c r="AN40" s="26">
        <f>IFERROR($AC40*HDF_Limited_Col!AN40/HDF_Limited_Col!$AH40," ")</f>
        <v>217.87930019744473</v>
      </c>
      <c r="AO40" s="26">
        <f>IFERROR($AC40*HDF_Limited_Col!AO40/HDF_Limited_Col!$AH40," ")</f>
        <v>272.3491252468059</v>
      </c>
      <c r="AP40" s="26">
        <f>IFERROR($AC40*HDF_Limited_Col!AP40/HDF_Limited_Col!$AH40," ")</f>
        <v>0</v>
      </c>
      <c r="AQ40" s="26">
        <f>IFERROR($AC40*HDF_Limited_Col!AQ40/HDF_Limited_Col!$AH40," ")</f>
        <v>51.238564241348243</v>
      </c>
      <c r="AR40" s="26">
        <f>IFERROR($AC40*HDF_Limited_Col!AR40/HDF_Limited_Col!$AH40," ")</f>
        <v>37.851912322437443</v>
      </c>
      <c r="AS40" s="26">
        <f>IFERROR($AC40*HDF_Limited_Col!AS40/HDF_Limited_Col!$AH40," ")</f>
        <v>0</v>
      </c>
      <c r="AT40" s="26">
        <f>IFERROR($AC40*HDF_Limited_Col!AT40/HDF_Limited_Col!$AH40," ")</f>
        <v>0</v>
      </c>
      <c r="AU40" s="26">
        <f>IFERROR($AC40*HDF_Limited_Col!AU40/HDF_Limited_Col!$AH40," ")</f>
        <v>0</v>
      </c>
      <c r="AV40" s="26">
        <f>IFERROR($AC40*HDF_Limited_Col!AV40/HDF_Limited_Col!$AH40," ")</f>
        <v>0</v>
      </c>
      <c r="AW40" s="26">
        <f>IFERROR($AC40*HDF_Limited_Col!AW40/HDF_Limited_Col!$AH40," ")</f>
        <v>0</v>
      </c>
      <c r="AX40" s="26">
        <f>IFERROR($AC40*HDF_Limited_Col!AX40/HDF_Limited_Col!$AH40," ")</f>
        <v>143.09869292628787</v>
      </c>
      <c r="AY40" s="26">
        <f>IFERROR($AC40*HDF_Limited_Col!AY40/HDF_Limited_Col!$AH40," ")</f>
        <v>6540.9950927919335</v>
      </c>
      <c r="AZ40" s="26">
        <f>IFERROR($AC40*HDF_Limited_Col!AZ40/HDF_Limited_Col!$AH40," ")</f>
        <v>6.4625216160259047</v>
      </c>
      <c r="BA40" s="26">
        <f>IFERROR($AC40*HDF_Limited_Col!BA40/HDF_Limited_Col!$AH40," ")</f>
        <v>26.311695150962606</v>
      </c>
      <c r="BB40" s="26">
        <f>IFERROR($AC40*HDF_Limited_Col!BB40/HDF_Limited_Col!$AH40," ")</f>
        <v>0</v>
      </c>
      <c r="BC40" s="26">
        <f>IFERROR($AC40*HDF_Limited_Col!BC40/HDF_Limited_Col!$AH40," ")</f>
        <v>844.28228826509837</v>
      </c>
      <c r="BD40" s="26">
        <f>IFERROR($AC40*HDF_Limited_Col!BD40/HDF_Limited_Col!$AH40," ")</f>
        <v>0</v>
      </c>
      <c r="BE40" s="26">
        <f>IFERROR($AC40*HDF_Limited_Col!BE40/HDF_Limited_Col!$AH40," ")</f>
        <v>0</v>
      </c>
      <c r="BF40" s="26">
        <f>IFERROR($AC40*HDF_Limited_Col!BF40/HDF_Limited_Col!$AH40," ")</f>
        <v>0</v>
      </c>
      <c r="BG40" s="26">
        <f>IFERROR($AC40*HDF_Limited_Col!BG40/HDF_Limited_Col!$AH40," ")</f>
        <v>0</v>
      </c>
      <c r="BH40" s="26">
        <f>IFERROR($AC40*HDF_Limited_Col!BH40/HDF_Limited_Col!$AH40," ")</f>
        <v>7.8473476766028831</v>
      </c>
      <c r="BI40" s="26">
        <f>IFERROR($AC40*HDF_Limited_Col!BI40/HDF_Limited_Col!$AH40," ")</f>
        <v>12274.174983580628</v>
      </c>
      <c r="BJ40" s="26">
        <f>IFERROR($AC40*HDF_Limited_Col!BJ40/HDF_Limited_Col!$AH40," ")</f>
        <v>91.398519998080644</v>
      </c>
      <c r="BK40" s="26">
        <f>IFERROR($AC40*HDF_Limited_Col!BK40/HDF_Limited_Col!$AH40," ")</f>
        <v>1126.3251959359434</v>
      </c>
      <c r="BL40" s="26">
        <f>IFERROR($AC40*HDF_Limited_Col!BL40/HDF_Limited_Col!$AH40," ")</f>
        <v>1689.487793903915</v>
      </c>
      <c r="BM40" s="26">
        <f>IFERROR($AC40*HDF_Limited_Col!BM40/HDF_Limited_Col!$AH40," ")</f>
        <v>140.79064949199292</v>
      </c>
      <c r="BN40" s="26">
        <f>IFERROR($AC40*HDF_Limited_Col!BN40/HDF_Limited_Col!$AH40," ")</f>
        <v>272.3491252468059</v>
      </c>
      <c r="BO40" s="26">
        <f>IFERROR($AC40*HDF_Limited_Col!BO40/HDF_Limited_Col!$AH40," ")</f>
        <v>16.617912726923752</v>
      </c>
      <c r="BP40" s="26">
        <f>IFERROR($AC40*HDF_Limited_Col!BP40/HDF_Limited_Col!$AH40," ")</f>
        <v>5.5393042423079173</v>
      </c>
      <c r="BQ40" s="26">
        <f>IFERROR($AC40*HDF_Limited_Col!BQ40/HDF_Limited_Col!$AH40," ")</f>
        <v>8.7705650503208687</v>
      </c>
      <c r="BR40" s="26">
        <f>IFERROR($AC40*HDF_Limited_Col!BR40/HDF_Limited_Col!$AH40," ")</f>
        <v>6.000912929166911</v>
      </c>
      <c r="BS40" s="26">
        <f>IFERROR($AC40*HDF_Limited_Col!BS40/HDF_Limited_Col!$AH40," ")</f>
        <v>5.0776955554489245</v>
      </c>
      <c r="BT40" s="26">
        <f>IFERROR($AC40*HDF_Limited_Col!BT40/HDF_Limited_Col!$AH40," ")</f>
        <v>4.6160868685899308</v>
      </c>
      <c r="BU40" s="26">
        <f>IFERROR($AC40*HDF_Limited_Col!BU40/HDF_Limited_Col!$AH40," ")</f>
        <v>0</v>
      </c>
      <c r="BV40" s="26">
        <f>IFERROR($AC40*HDF_Limited_Col!BV40/HDF_Limited_Col!$AH40," ")</f>
        <v>5.0776955554489245</v>
      </c>
      <c r="BW40" s="26">
        <f>IFERROR($AC40*HDF_Limited_Col!BW40/HDF_Limited_Col!$AH40," ")</f>
        <v>4.154478181730938</v>
      </c>
      <c r="BX40" s="26">
        <f>IFERROR($AC40*HDF_Limited_Col!BX40/HDF_Limited_Col!$AH40," ")</f>
        <v>8.7705650503208687</v>
      </c>
      <c r="BY40" s="26">
        <f>IFERROR($AC40*HDF_Limited_Col!BY40/HDF_Limited_Col!$AH40," ")</f>
        <v>37.851912322437443</v>
      </c>
      <c r="BZ40" s="26">
        <f>IFERROR($AC40*HDF_Limited_Col!BZ40/HDF_Limited_Col!$AH40," ")</f>
        <v>0</v>
      </c>
      <c r="CA40" s="26">
        <f>IFERROR($AC40*HDF_Limited_Col!CA40/HDF_Limited_Col!$AH40," ")</f>
        <v>76.62704201859286</v>
      </c>
      <c r="CB40" s="26">
        <f>IFERROR($AC40*HDF_Limited_Col!CB40/HDF_Limited_Col!$AH40," ")</f>
        <v>193.8756484807771</v>
      </c>
      <c r="CC40" s="26">
        <f>IFERROR($AC40*HDF_Limited_Col!CC40/HDF_Limited_Col!$AH40," ")</f>
        <v>25.850086464103619</v>
      </c>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row>
    <row r="41" spans="1:109">
      <c r="A41" s="26" t="s">
        <v>672</v>
      </c>
      <c r="B41" s="26" t="s">
        <v>24</v>
      </c>
      <c r="C41" s="152" t="s">
        <v>1800</v>
      </c>
      <c r="D41" s="26" t="s">
        <v>1723</v>
      </c>
      <c r="E41" s="26" t="s">
        <v>237</v>
      </c>
      <c r="F41" s="26" t="s">
        <v>29</v>
      </c>
      <c r="G41" s="26" t="s">
        <v>595</v>
      </c>
      <c r="H41" s="30">
        <v>360</v>
      </c>
      <c r="I41" s="26" t="s">
        <v>735</v>
      </c>
      <c r="J41" s="26" t="s">
        <v>1496</v>
      </c>
      <c r="K41" s="26"/>
      <c r="L41" s="26"/>
      <c r="M41" s="26" t="s">
        <v>84</v>
      </c>
      <c r="N41" s="26">
        <v>30</v>
      </c>
      <c r="O41" s="95">
        <v>6.8708740435498701</v>
      </c>
      <c r="P41" s="95">
        <v>0.78761150423799409</v>
      </c>
      <c r="Q41" s="95">
        <v>4.3525898918415473</v>
      </c>
      <c r="R41" s="95">
        <v>37.121373791848619</v>
      </c>
      <c r="S41" s="95">
        <v>16.591658135329325</v>
      </c>
      <c r="T41" s="95">
        <v>17.275636546904423</v>
      </c>
      <c r="U41" s="95">
        <v>0</v>
      </c>
      <c r="V41" s="95">
        <v>4.9329352107537527</v>
      </c>
      <c r="W41" s="95">
        <v>7.4097661253969189</v>
      </c>
      <c r="X41" s="95">
        <v>2.2902913478499567</v>
      </c>
      <c r="Y41" s="95">
        <v>3.057176233555372</v>
      </c>
      <c r="Z41" s="95">
        <v>100.68991283126778</v>
      </c>
      <c r="AA41" s="26"/>
      <c r="AB41" s="26"/>
      <c r="AC41" s="26">
        <f t="shared" si="1"/>
        <v>61511.232798699326</v>
      </c>
      <c r="AD41" s="26">
        <f>IFERROR($AC41*HDF_Limited_Col!AD41/HDF_Limited_Col!$AH41," ")</f>
        <v>21358.066943992821</v>
      </c>
      <c r="AE41" s="26">
        <f>IFERROR($AC41*HDF_Limited_Col!AE41/HDF_Limited_Col!$AH41," ")</f>
        <v>53651.464163309967</v>
      </c>
      <c r="AF41" s="26">
        <f>IFERROR($AC41*HDF_Limited_Col!AF41/HDF_Limited_Col!$AH41," ")</f>
        <v>2904.6971043830235</v>
      </c>
      <c r="AG41" s="26">
        <f>IFERROR($AC41*HDF_Limited_Col!AG41/HDF_Limited_Col!$AH41," ")</f>
        <v>0</v>
      </c>
      <c r="AH41" s="26">
        <f>IFERROR($AC41*HDF_Limited_Col!AH41/HDF_Limited_Col!$AH41," ")</f>
        <v>61511.232798699333</v>
      </c>
      <c r="AI41" s="26">
        <f>IFERROR($AC41*HDF_Limited_Col!AI41/HDF_Limited_Col!$AH41," ")</f>
        <v>51088.496130030828</v>
      </c>
      <c r="AJ41" s="26">
        <f>IFERROR($AC41*HDF_Limited_Col!AJ41/HDF_Limited_Col!$AH41," ")</f>
        <v>1137.9578067759376</v>
      </c>
      <c r="AK41" s="26">
        <f>IFERROR($AC41*HDF_Limited_Col!AK41/HDF_Limited_Col!$AH41," ")</f>
        <v>0</v>
      </c>
      <c r="AL41" s="26">
        <f>IFERROR($AC41*HDF_Limited_Col!AL41/HDF_Limited_Col!$AH41," ")</f>
        <v>739.84343893991138</v>
      </c>
      <c r="AM41" s="26">
        <f>IFERROR($AC41*HDF_Limited_Col!AM41/HDF_Limited_Col!$AH41," ")</f>
        <v>35881.552465907938</v>
      </c>
      <c r="AN41" s="26">
        <f>IFERROR($AC41*HDF_Limited_Col!AN41/HDF_Limited_Col!$AH41," ")</f>
        <v>162.66303784544931</v>
      </c>
      <c r="AO41" s="26">
        <f>IFERROR($AC41*HDF_Limited_Col!AO41/HDF_Limited_Col!$AH41," ")</f>
        <v>105.9360120422044</v>
      </c>
      <c r="AP41" s="26">
        <f>IFERROR($AC41*HDF_Limited_Col!AP41/HDF_Limited_Col!$AH41," ")</f>
        <v>0</v>
      </c>
      <c r="AQ41" s="26">
        <f>IFERROR($AC41*HDF_Limited_Col!AQ41/HDF_Limited_Col!$AH41," ")</f>
        <v>30.755616399349663</v>
      </c>
      <c r="AR41" s="26">
        <f>IFERROR($AC41*HDF_Limited_Col!AR41/HDF_Limited_Col!$AH41," ")</f>
        <v>26.142273939447215</v>
      </c>
      <c r="AS41" s="26">
        <f>IFERROR($AC41*HDF_Limited_Col!AS41/HDF_Limited_Col!$AH41," ")</f>
        <v>0</v>
      </c>
      <c r="AT41" s="26">
        <f>IFERROR($AC41*HDF_Limited_Col!AT41/HDF_Limited_Col!$AH41," ")</f>
        <v>0</v>
      </c>
      <c r="AU41" s="26">
        <f>IFERROR($AC41*HDF_Limited_Col!AU41/HDF_Limited_Col!$AH41," ")</f>
        <v>0</v>
      </c>
      <c r="AV41" s="26">
        <f>IFERROR($AC41*HDF_Limited_Col!AV41/HDF_Limited_Col!$AH41," ")</f>
        <v>0</v>
      </c>
      <c r="AW41" s="26">
        <f>IFERROR($AC41*HDF_Limited_Col!AW41/HDF_Limited_Col!$AH41," ")</f>
        <v>0</v>
      </c>
      <c r="AX41" s="26">
        <f>IFERROR($AC41*HDF_Limited_Col!AX41/HDF_Limited_Col!$AH41," ")</f>
        <v>145.23485521915117</v>
      </c>
      <c r="AY41" s="26">
        <f>IFERROR($AC41*HDF_Limited_Col!AY41/HDF_Limited_Col!$AH41," ")</f>
        <v>6101.5725645598695</v>
      </c>
      <c r="AZ41" s="26">
        <f>IFERROR($AC41*HDF_Limited_Col!AZ41/HDF_Limited_Col!$AH41," ")</f>
        <v>2.5629680332791387</v>
      </c>
      <c r="BA41" s="26">
        <f>IFERROR($AC41*HDF_Limited_Col!BA41/HDF_Limited_Col!$AH41," ")</f>
        <v>49.379850774511397</v>
      </c>
      <c r="BB41" s="26">
        <f>IFERROR($AC41*HDF_Limited_Col!BB41/HDF_Limited_Col!$AH41," ")</f>
        <v>0</v>
      </c>
      <c r="BC41" s="26">
        <f>IFERROR($AC41*HDF_Limited_Col!BC41/HDF_Limited_Col!$AH41," ")</f>
        <v>575.64262027449456</v>
      </c>
      <c r="BD41" s="26">
        <f>IFERROR($AC41*HDF_Limited_Col!BD41/HDF_Limited_Col!$AH41," ")</f>
        <v>0</v>
      </c>
      <c r="BE41" s="26">
        <f>IFERROR($AC41*HDF_Limited_Col!BE41/HDF_Limited_Col!$AH41," ")</f>
        <v>0</v>
      </c>
      <c r="BF41" s="26">
        <f>IFERROR($AC41*HDF_Limited_Col!BF41/HDF_Limited_Col!$AH41," ")</f>
        <v>0</v>
      </c>
      <c r="BG41" s="26">
        <f>IFERROR($AC41*HDF_Limited_Col!BG41/HDF_Limited_Col!$AH41," ")</f>
        <v>0</v>
      </c>
      <c r="BH41" s="26">
        <f>IFERROR($AC41*HDF_Limited_Col!BH41/HDF_Limited_Col!$AH41," ")</f>
        <v>4.9550715310063351</v>
      </c>
      <c r="BI41" s="26">
        <f>IFERROR($AC41*HDF_Limited_Col!BI41/HDF_Limited_Col!$AH41," ")</f>
        <v>15037.787773926466</v>
      </c>
      <c r="BJ41" s="26">
        <f>IFERROR($AC41*HDF_Limited_Col!BJ41/HDF_Limited_Col!$AH41," ")</f>
        <v>66.637168865257607</v>
      </c>
      <c r="BK41" s="26">
        <f>IFERROR($AC41*HDF_Limited_Col!BK41/HDF_Limited_Col!$AH41," ")</f>
        <v>1146.5010335535346</v>
      </c>
      <c r="BL41" s="26">
        <f>IFERROR($AC41*HDF_Limited_Col!BL41/HDF_Limited_Col!$AH41," ")</f>
        <v>1319.0742144609967</v>
      </c>
      <c r="BM41" s="26">
        <f>IFERROR($AC41*HDF_Limited_Col!BM41/HDF_Limited_Col!$AH41," ")</f>
        <v>100.81007597564611</v>
      </c>
      <c r="BN41" s="26">
        <f>IFERROR($AC41*HDF_Limited_Col!BN41/HDF_Limited_Col!$AH41," ")</f>
        <v>223.83254157304478</v>
      </c>
      <c r="BO41" s="26">
        <f>IFERROR($AC41*HDF_Limited_Col!BO41/HDF_Limited_Col!$AH41," ")</f>
        <v>12.473111095291806</v>
      </c>
      <c r="BP41" s="26">
        <f>IFERROR($AC41*HDF_Limited_Col!BP41/HDF_Limited_Col!$AH41," ")</f>
        <v>3.4172907110388513</v>
      </c>
      <c r="BQ41" s="26">
        <f>IFERROR($AC41*HDF_Limited_Col!BQ41/HDF_Limited_Col!$AH41," ")</f>
        <v>5.1259360665582774</v>
      </c>
      <c r="BR41" s="26">
        <f>IFERROR($AC41*HDF_Limited_Col!BR41/HDF_Limited_Col!$AH41," ")</f>
        <v>1.5377808199674832</v>
      </c>
      <c r="BS41" s="26">
        <f>IFERROR($AC41*HDF_Limited_Col!BS41/HDF_Limited_Col!$AH41," ")</f>
        <v>1.3669162844155405</v>
      </c>
      <c r="BT41" s="26">
        <f>IFERROR($AC41*HDF_Limited_Col!BT41/HDF_Limited_Col!$AH41," ")</f>
        <v>1.3669162844155405</v>
      </c>
      <c r="BU41" s="26">
        <f>IFERROR($AC41*HDF_Limited_Col!BU41/HDF_Limited_Col!$AH41," ")</f>
        <v>0</v>
      </c>
      <c r="BV41" s="26">
        <f>IFERROR($AC41*HDF_Limited_Col!BV41/HDF_Limited_Col!$AH41," ")</f>
        <v>1.3669162844155405</v>
      </c>
      <c r="BW41" s="26">
        <f>IFERROR($AC41*HDF_Limited_Col!BW41/HDF_Limited_Col!$AH41," ")</f>
        <v>1.0251872133116555</v>
      </c>
      <c r="BX41" s="26">
        <f>IFERROR($AC41*HDF_Limited_Col!BX41/HDF_Limited_Col!$AH41," ")</f>
        <v>2.5629680332791387</v>
      </c>
      <c r="BY41" s="26">
        <f>IFERROR($AC41*HDF_Limited_Col!BY41/HDF_Limited_Col!$AH41," ")</f>
        <v>24.946222190583612</v>
      </c>
      <c r="BZ41" s="26">
        <f>IFERROR($AC41*HDF_Limited_Col!BZ41/HDF_Limited_Col!$AH41," ")</f>
        <v>0</v>
      </c>
      <c r="CA41" s="26">
        <f>IFERROR($AC41*HDF_Limited_Col!CA41/HDF_Limited_Col!$AH41," ")</f>
        <v>73.471750287335297</v>
      </c>
      <c r="CB41" s="26">
        <f>IFERROR($AC41*HDF_Limited_Col!CB41/HDF_Limited_Col!$AH41," ")</f>
        <v>201.62015195129223</v>
      </c>
      <c r="CC41" s="26">
        <f>IFERROR($AC41*HDF_Limited_Col!CC41/HDF_Limited_Col!$AH41," ")</f>
        <v>17.940776232953969</v>
      </c>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row>
    <row r="42" spans="1:109">
      <c r="A42" s="26" t="s">
        <v>672</v>
      </c>
      <c r="B42" s="26" t="s">
        <v>24</v>
      </c>
      <c r="C42" s="152" t="s">
        <v>1800</v>
      </c>
      <c r="D42" s="26" t="s">
        <v>1723</v>
      </c>
      <c r="E42" s="26" t="s">
        <v>237</v>
      </c>
      <c r="F42" s="26" t="s">
        <v>29</v>
      </c>
      <c r="G42" s="26" t="s">
        <v>595</v>
      </c>
      <c r="H42" s="30">
        <v>360</v>
      </c>
      <c r="I42" s="26" t="s">
        <v>735</v>
      </c>
      <c r="J42" s="26" t="s">
        <v>1496</v>
      </c>
      <c r="K42" s="26"/>
      <c r="L42" s="26"/>
      <c r="M42" s="26" t="s">
        <v>94</v>
      </c>
      <c r="N42" s="26">
        <v>24</v>
      </c>
      <c r="O42" s="95">
        <v>9.3372026067245564</v>
      </c>
      <c r="P42" s="95">
        <v>2.0222007855447655</v>
      </c>
      <c r="Q42" s="95">
        <v>4.9316937525020306</v>
      </c>
      <c r="R42" s="95">
        <v>29.342546092292416</v>
      </c>
      <c r="S42" s="95">
        <v>17.42600574890362</v>
      </c>
      <c r="T42" s="95">
        <v>25.463222136349394</v>
      </c>
      <c r="U42" s="95">
        <v>0</v>
      </c>
      <c r="V42" s="95">
        <v>2.6825112461308116</v>
      </c>
      <c r="W42" s="95">
        <v>6.1078717604209238</v>
      </c>
      <c r="X42" s="95">
        <v>1.3206209211720918</v>
      </c>
      <c r="Y42" s="95">
        <v>1.7642670118783412</v>
      </c>
      <c r="Z42" s="95">
        <v>100.39814206191896</v>
      </c>
      <c r="AA42" s="26"/>
      <c r="AB42" s="26"/>
      <c r="AC42" s="26">
        <f t="shared" si="0"/>
        <v>50703.722007113647</v>
      </c>
      <c r="AD42" s="26">
        <f>IFERROR($AC42*HDF_Limited_Col!AD42/HDF_Limited_Col!$AH42," ")</f>
        <v>79955.869318909972</v>
      </c>
      <c r="AE42" s="26">
        <f>IFERROR($AC42*HDF_Limited_Col!AE42/HDF_Limited_Col!$AH42," ")</f>
        <v>134559.87763426313</v>
      </c>
      <c r="AF42" s="26">
        <f>IFERROR($AC42*HDF_Limited_Col!AF42/HDF_Limited_Col!$AH42," ")</f>
        <v>64354.724085951937</v>
      </c>
      <c r="AG42" s="26">
        <f>IFERROR($AC42*HDF_Limited_Col!AG42/HDF_Limited_Col!$AH42," ")</f>
        <v>0</v>
      </c>
      <c r="AH42" s="26">
        <f>IFERROR($AC42*HDF_Limited_Col!AH42/HDF_Limited_Col!$AH42," ")</f>
        <v>50703.72200711364</v>
      </c>
      <c r="AI42" s="26">
        <f>IFERROR($AC42*HDF_Limited_Col!AI42/HDF_Limited_Col!$AH42," ")</f>
        <v>310072.76150504116</v>
      </c>
      <c r="AJ42" s="26">
        <f>IFERROR($AC42*HDF_Limited_Col!AJ42/HDF_Limited_Col!$AH42," ")</f>
        <v>8444.1198573385427</v>
      </c>
      <c r="AK42" s="26">
        <f>IFERROR($AC42*HDF_Limited_Col!AK42/HDF_Limited_Col!$AH42," ")</f>
        <v>0</v>
      </c>
      <c r="AL42" s="26">
        <f>IFERROR($AC42*HDF_Limited_Col!AL42/HDF_Limited_Col!$AH42," ")</f>
        <v>1560.1145232958045</v>
      </c>
      <c r="AM42" s="26">
        <f>IFERROR($AC42*HDF_Limited_Col!AM42/HDF_Limited_Col!$AH42," ")</f>
        <v>103357.58716834706</v>
      </c>
      <c r="AN42" s="26">
        <f>IFERROR($AC42*HDF_Limited_Col!AN42/HDF_Limited_Col!$AH42," ")</f>
        <v>676.69967447955526</v>
      </c>
      <c r="AO42" s="26">
        <f>IFERROR($AC42*HDF_Limited_Col!AO42/HDF_Limited_Col!$AH42," ")</f>
        <v>3471.2548143331651</v>
      </c>
      <c r="AP42" s="26">
        <f>IFERROR($AC42*HDF_Limited_Col!AP42/HDF_Limited_Col!$AH42," ")</f>
        <v>0</v>
      </c>
      <c r="AQ42" s="26">
        <f>IFERROR($AC42*HDF_Limited_Col!AQ42/HDF_Limited_Col!$AH42," ")</f>
        <v>83.856155627149491</v>
      </c>
      <c r="AR42" s="26">
        <f>IFERROR($AC42*HDF_Limited_Col!AR42/HDF_Limited_Col!$AH42," ")</f>
        <v>68.255010394191459</v>
      </c>
      <c r="AS42" s="26">
        <f>IFERROR($AC42*HDF_Limited_Col!AS42/HDF_Limited_Col!$AH42," ")</f>
        <v>0</v>
      </c>
      <c r="AT42" s="26">
        <f>IFERROR($AC42*HDF_Limited_Col!AT42/HDF_Limited_Col!$AH42," ")</f>
        <v>0</v>
      </c>
      <c r="AU42" s="26">
        <f>IFERROR($AC42*HDF_Limited_Col!AU42/HDF_Limited_Col!$AH42," ")</f>
        <v>0</v>
      </c>
      <c r="AV42" s="26">
        <f>IFERROR($AC42*HDF_Limited_Col!AV42/HDF_Limited_Col!$AH42," ")</f>
        <v>0</v>
      </c>
      <c r="AW42" s="26">
        <f>IFERROR($AC42*HDF_Limited_Col!AW42/HDF_Limited_Col!$AH42," ")</f>
        <v>0</v>
      </c>
      <c r="AX42" s="26">
        <f>IFERROR($AC42*HDF_Limited_Col!AX42/HDF_Limited_Col!$AH42," ")</f>
        <v>136.51002078838292</v>
      </c>
      <c r="AY42" s="26">
        <f>IFERROR($AC42*HDF_Limited_Col!AY42/HDF_Limited_Col!$AH42," ")</f>
        <v>1677.1231125429899</v>
      </c>
      <c r="AZ42" s="26">
        <f>IFERROR($AC42*HDF_Limited_Col!AZ42/HDF_Limited_Col!$AH42," ")</f>
        <v>23.40171784943707</v>
      </c>
      <c r="BA42" s="26">
        <f>IFERROR($AC42*HDF_Limited_Col!BA42/HDF_Limited_Col!$AH42," ")</f>
        <v>185.26359964137677</v>
      </c>
      <c r="BB42" s="26">
        <f>IFERROR($AC42*HDF_Limited_Col!BB42/HDF_Limited_Col!$AH42," ")</f>
        <v>0</v>
      </c>
      <c r="BC42" s="26">
        <f>IFERROR($AC42*HDF_Limited_Col!BC42/HDF_Limited_Col!$AH42," ")</f>
        <v>196.96445856609535</v>
      </c>
      <c r="BD42" s="26">
        <f>IFERROR($AC42*HDF_Limited_Col!BD42/HDF_Limited_Col!$AH42," ")</f>
        <v>0</v>
      </c>
      <c r="BE42" s="26">
        <f>IFERROR($AC42*HDF_Limited_Col!BE42/HDF_Limited_Col!$AH42," ")</f>
        <v>0</v>
      </c>
      <c r="BF42" s="26">
        <f>IFERROR($AC42*HDF_Limited_Col!BF42/HDF_Limited_Col!$AH42," ")</f>
        <v>0</v>
      </c>
      <c r="BG42" s="26">
        <f>IFERROR($AC42*HDF_Limited_Col!BG42/HDF_Limited_Col!$AH42," ")</f>
        <v>0</v>
      </c>
      <c r="BH42" s="26">
        <f>IFERROR($AC42*HDF_Limited_Col!BH42/HDF_Limited_Col!$AH42," ")</f>
        <v>7.8005726164790223</v>
      </c>
      <c r="BI42" s="26">
        <f>IFERROR($AC42*HDF_Limited_Col!BI42/HDF_Limited_Col!$AH42," ")</f>
        <v>3295.7419304623868</v>
      </c>
      <c r="BJ42" s="26">
        <f>IFERROR($AC42*HDF_Limited_Col!BJ42/HDF_Limited_Col!$AH42," ")</f>
        <v>780.05726164790224</v>
      </c>
      <c r="BK42" s="26">
        <f>IFERROR($AC42*HDF_Limited_Col!BK42/HDF_Limited_Col!$AH42," ")</f>
        <v>232.06703534025092</v>
      </c>
      <c r="BL42" s="26">
        <f>IFERROR($AC42*HDF_Limited_Col!BL42/HDF_Limited_Col!$AH42," ")</f>
        <v>349.07562458743627</v>
      </c>
      <c r="BM42" s="26">
        <f>IFERROR($AC42*HDF_Limited_Col!BM42/HDF_Limited_Col!$AH42," ")</f>
        <v>54.604008315353163</v>
      </c>
      <c r="BN42" s="26">
        <f>IFERROR($AC42*HDF_Limited_Col!BN42/HDF_Limited_Col!$AH42," ")</f>
        <v>132.6097344801434</v>
      </c>
      <c r="BO42" s="26">
        <f>IFERROR($AC42*HDF_Limited_Col!BO42/HDF_Limited_Col!$AH42," ")</f>
        <v>33.15243362003585</v>
      </c>
      <c r="BP42" s="26">
        <f>IFERROR($AC42*HDF_Limited_Col!BP42/HDF_Limited_Col!$AH42," ")</f>
        <v>13.651002078838291</v>
      </c>
      <c r="BQ42" s="26">
        <f>IFERROR($AC42*HDF_Limited_Col!BQ42/HDF_Limited_Col!$AH42," ")</f>
        <v>11.700858924718535</v>
      </c>
      <c r="BR42" s="26">
        <f>IFERROR($AC42*HDF_Limited_Col!BR42/HDF_Limited_Col!$AH42," ")</f>
        <v>9.7507157705987773</v>
      </c>
      <c r="BS42" s="26">
        <f>IFERROR($AC42*HDF_Limited_Col!BS42/HDF_Limited_Col!$AH42," ")</f>
        <v>7.8005726164790223</v>
      </c>
      <c r="BT42" s="26">
        <f>IFERROR($AC42*HDF_Limited_Col!BT42/HDF_Limited_Col!$AH42," ")</f>
        <v>7.8005726164790223</v>
      </c>
      <c r="BU42" s="26">
        <f>IFERROR($AC42*HDF_Limited_Col!BU42/HDF_Limited_Col!$AH42," ")</f>
        <v>0</v>
      </c>
      <c r="BV42" s="26" t="str">
        <f>IFERROR($AC42*HDF_Limited_Col!BV42/HDF_Limited_Col!$AH42," ")</f>
        <v xml:space="preserve"> </v>
      </c>
      <c r="BW42" s="26">
        <f>IFERROR($AC42*HDF_Limited_Col!BW42/HDF_Limited_Col!$AH42," ")</f>
        <v>5.8504294623592674</v>
      </c>
      <c r="BX42" s="26">
        <f>IFERROR($AC42*HDF_Limited_Col!BX42/HDF_Limited_Col!$AH42," ")</f>
        <v>5.8504294623592674</v>
      </c>
      <c r="BY42" s="26">
        <f>IFERROR($AC42*HDF_Limited_Col!BY42/HDF_Limited_Col!$AH42," ")</f>
        <v>11.700858924718535</v>
      </c>
      <c r="BZ42" s="26">
        <f>IFERROR($AC42*HDF_Limited_Col!BZ42/HDF_Limited_Col!$AH42," ")</f>
        <v>0</v>
      </c>
      <c r="CA42" s="26">
        <f>IFERROR($AC42*HDF_Limited_Col!CA42/HDF_Limited_Col!$AH42," ")</f>
        <v>122.8590187095446</v>
      </c>
      <c r="CB42" s="26">
        <f>IFERROR($AC42*HDF_Limited_Col!CB42/HDF_Limited_Col!$AH42," ")</f>
        <v>29.252147311796332</v>
      </c>
      <c r="CC42" s="26">
        <f>IFERROR($AC42*HDF_Limited_Col!CC42/HDF_Limited_Col!$AH42," ")</f>
        <v>11.700858924718535</v>
      </c>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row>
    <row r="43" spans="1:109">
      <c r="A43" s="26" t="s">
        <v>844</v>
      </c>
      <c r="B43" s="26" t="s">
        <v>24</v>
      </c>
      <c r="C43" s="152" t="s">
        <v>1800</v>
      </c>
      <c r="D43" s="26" t="s">
        <v>25</v>
      </c>
      <c r="E43" s="26" t="s">
        <v>237</v>
      </c>
      <c r="F43" s="26" t="s">
        <v>238</v>
      </c>
      <c r="G43" s="26" t="s">
        <v>595</v>
      </c>
      <c r="H43" s="30">
        <v>355</v>
      </c>
      <c r="I43" s="26" t="s">
        <v>712</v>
      </c>
      <c r="J43" s="26"/>
      <c r="K43" s="26" t="s">
        <v>488</v>
      </c>
      <c r="L43" s="26"/>
      <c r="M43" s="26" t="s">
        <v>480</v>
      </c>
      <c r="N43" s="26">
        <v>10</v>
      </c>
      <c r="O43" s="95">
        <v>9.1293463890958684</v>
      </c>
      <c r="P43" s="95">
        <v>0.93240238092898342</v>
      </c>
      <c r="Q43" s="95">
        <v>0.82994058082689715</v>
      </c>
      <c r="R43" s="95">
        <v>9.9695331499329765</v>
      </c>
      <c r="S43" s="95">
        <v>26.537606226440293</v>
      </c>
      <c r="T43" s="95">
        <v>23.156366823071455</v>
      </c>
      <c r="U43" s="95">
        <v>0</v>
      </c>
      <c r="V43" s="95">
        <v>6.198938906176207</v>
      </c>
      <c r="W43" s="95">
        <v>18.033276817967149</v>
      </c>
      <c r="X43" s="95">
        <v>0</v>
      </c>
      <c r="Y43" s="95">
        <v>6.7317402667070549</v>
      </c>
      <c r="Z43" s="95">
        <v>101.51915154114688</v>
      </c>
      <c r="AA43" s="26"/>
      <c r="AB43" s="26"/>
      <c r="AC43" s="26">
        <f t="shared" si="0"/>
        <v>149700.95812760163</v>
      </c>
      <c r="AD43" s="26">
        <f>IFERROR($AC43*HDF_Limited_Col!AD43/HDF_Limited_Col!$AH43," ")</f>
        <v>0</v>
      </c>
      <c r="AE43" s="26">
        <f>IFERROR($AC43*HDF_Limited_Col!AE43/HDF_Limited_Col!$AH43," ")</f>
        <v>0</v>
      </c>
      <c r="AF43" s="26">
        <f>IFERROR($AC43*HDF_Limited_Col!AF43/HDF_Limited_Col!$AH43," ")</f>
        <v>0</v>
      </c>
      <c r="AG43" s="26">
        <f>IFERROR($AC43*HDF_Limited_Col!AG43/HDF_Limited_Col!$AH43," ")</f>
        <v>0</v>
      </c>
      <c r="AH43" s="26">
        <f>IFERROR($AC43*HDF_Limited_Col!AH43/HDF_Limited_Col!$AH43," ")</f>
        <v>149700.95812760163</v>
      </c>
      <c r="AI43" s="26">
        <f>IFERROR($AC43*HDF_Limited_Col!AI43/HDF_Limited_Col!$AH43," ")</f>
        <v>0</v>
      </c>
      <c r="AJ43" s="26">
        <f>IFERROR($AC43*HDF_Limited_Col!AJ43/HDF_Limited_Col!$AH43," ")</f>
        <v>0</v>
      </c>
      <c r="AK43" s="26">
        <f>IFERROR($AC43*HDF_Limited_Col!AK43/HDF_Limited_Col!$AH43," ")</f>
        <v>2081.4036958917873</v>
      </c>
      <c r="AL43" s="26">
        <f>IFERROR($AC43*HDF_Limited_Col!AL43/HDF_Limited_Col!$AH43," ")</f>
        <v>544.36712046400601</v>
      </c>
      <c r="AM43" s="26">
        <f>IFERROR($AC43*HDF_Limited_Col!AM43/HDF_Limited_Col!$AH43," ")</f>
        <v>0</v>
      </c>
      <c r="AN43" s="26">
        <f>IFERROR($AC43*HDF_Limited_Col!AN43/HDF_Limited_Col!$AH43," ")</f>
        <v>1689.1391532044888</v>
      </c>
      <c r="AO43" s="26">
        <f>IFERROR($AC43*HDF_Limited_Col!AO43/HDF_Limited_Col!$AH43," ")</f>
        <v>30580.623531948571</v>
      </c>
      <c r="AP43" s="26">
        <f>IFERROR($AC43*HDF_Limited_Col!AP43/HDF_Limited_Col!$AH43," ")</f>
        <v>3490.3538900339208</v>
      </c>
      <c r="AQ43" s="26">
        <f>IFERROR($AC43*HDF_Limited_Col!AQ43/HDF_Limited_Col!$AH43," ")</f>
        <v>48.032392982118168</v>
      </c>
      <c r="AR43" s="26">
        <f>IFERROR($AC43*HDF_Limited_Col!AR43/HDF_Limited_Col!$AH43," ")</f>
        <v>184.12417309811966</v>
      </c>
      <c r="AS43" s="26">
        <f>IFERROR($AC43*HDF_Limited_Col!AS43/HDF_Limited_Col!$AH43," ")</f>
        <v>0</v>
      </c>
      <c r="AT43" s="26">
        <f>IFERROR($AC43*HDF_Limited_Col!AT43/HDF_Limited_Col!$AH43," ")</f>
        <v>0</v>
      </c>
      <c r="AU43" s="26">
        <f>IFERROR($AC43*HDF_Limited_Col!AU43/HDF_Limited_Col!$AH43," ")</f>
        <v>0</v>
      </c>
      <c r="AV43" s="26">
        <f>IFERROR($AC43*HDF_Limited_Col!AV43/HDF_Limited_Col!$AH43," ")</f>
        <v>0</v>
      </c>
      <c r="AW43" s="26">
        <f>IFERROR($AC43*HDF_Limited_Col!AW43/HDF_Limited_Col!$AH43," ")</f>
        <v>0</v>
      </c>
      <c r="AX43" s="26">
        <f>IFERROR($AC43*HDF_Limited_Col!AX43/HDF_Limited_Col!$AH43," ")</f>
        <v>432.29153683906355</v>
      </c>
      <c r="AY43" s="26">
        <f>IFERROR($AC43*HDF_Limited_Col!AY43/HDF_Limited_Col!$AH43," ")</f>
        <v>1336.9016046689558</v>
      </c>
      <c r="AZ43" s="26">
        <f>IFERROR($AC43*HDF_Limited_Col!AZ43/HDF_Limited_Col!$AH43," ")</f>
        <v>0</v>
      </c>
      <c r="BA43" s="26">
        <f>IFERROR($AC43*HDF_Limited_Col!BA43/HDF_Limited_Col!$AH43," ")</f>
        <v>40.026994151765138</v>
      </c>
      <c r="BB43" s="26">
        <f>IFERROR($AC43*HDF_Limited_Col!BB43/HDF_Limited_Col!$AH43," ")</f>
        <v>0</v>
      </c>
      <c r="BC43" s="26">
        <f>IFERROR($AC43*HDF_Limited_Col!BC43/HDF_Limited_Col!$AH43," ")</f>
        <v>472.31853099082861</v>
      </c>
      <c r="BD43" s="26">
        <f>IFERROR($AC43*HDF_Limited_Col!BD43/HDF_Limited_Col!$AH43," ")</f>
        <v>0</v>
      </c>
      <c r="BE43" s="26">
        <f>IFERROR($AC43*HDF_Limited_Col!BE43/HDF_Limited_Col!$AH43," ")</f>
        <v>0</v>
      </c>
      <c r="BF43" s="26">
        <f>IFERROR($AC43*HDF_Limited_Col!BF43/HDF_Limited_Col!$AH43," ")</f>
        <v>0</v>
      </c>
      <c r="BG43" s="26">
        <f>IFERROR($AC43*HDF_Limited_Col!BG43/HDF_Limited_Col!$AH43," ")</f>
        <v>0</v>
      </c>
      <c r="BH43" s="26">
        <f>IFERROR($AC43*HDF_Limited_Col!BH43/HDF_Limited_Col!$AH43," ")</f>
        <v>32.021595321412114</v>
      </c>
      <c r="BI43" s="26">
        <f>IFERROR($AC43*HDF_Limited_Col!BI43/HDF_Limited_Col!$AH43," ")</f>
        <v>7220.8697449784304</v>
      </c>
      <c r="BJ43" s="26">
        <f>IFERROR($AC43*HDF_Limited_Col!BJ43/HDF_Limited_Col!$AH43," ")</f>
        <v>48.032392982118168</v>
      </c>
      <c r="BK43" s="26">
        <f>IFERROR($AC43*HDF_Limited_Col!BK43/HDF_Limited_Col!$AH43," ")</f>
        <v>344.23214970518023</v>
      </c>
      <c r="BL43" s="26">
        <f>IFERROR($AC43*HDF_Limited_Col!BL43/HDF_Limited_Col!$AH43," ")</f>
        <v>688.46429941036047</v>
      </c>
      <c r="BM43" s="26">
        <f>IFERROR($AC43*HDF_Limited_Col!BM43/HDF_Limited_Col!$AH43," ")</f>
        <v>56.037791812471198</v>
      </c>
      <c r="BN43" s="26">
        <f>IFERROR($AC43*HDF_Limited_Col!BN43/HDF_Limited_Col!$AH43," ")</f>
        <v>72.048589473177245</v>
      </c>
      <c r="BO43" s="26">
        <f>IFERROR($AC43*HDF_Limited_Col!BO43/HDF_Limited_Col!$AH43," ")</f>
        <v>8.0053988303530286</v>
      </c>
      <c r="BP43" s="26">
        <f>IFERROR($AC43*HDF_Limited_Col!BP43/HDF_Limited_Col!$AH43," ")</f>
        <v>8.0053988303530286</v>
      </c>
      <c r="BQ43" s="26">
        <f>IFERROR($AC43*HDF_Limited_Col!BQ43/HDF_Limited_Col!$AH43," ")</f>
        <v>8.0053988303530286</v>
      </c>
      <c r="BR43" s="26">
        <f>IFERROR($AC43*HDF_Limited_Col!BR43/HDF_Limited_Col!$AH43," ")</f>
        <v>8.0053988303530286</v>
      </c>
      <c r="BS43" s="26">
        <f>IFERROR($AC43*HDF_Limited_Col!BS43/HDF_Limited_Col!$AH43," ")</f>
        <v>8.0053988303530286</v>
      </c>
      <c r="BT43" s="26">
        <f>IFERROR($AC43*HDF_Limited_Col!BT43/HDF_Limited_Col!$AH43," ")</f>
        <v>8.0053988303530286</v>
      </c>
      <c r="BU43" s="26">
        <f>IFERROR($AC43*HDF_Limited_Col!BU43/HDF_Limited_Col!$AH43," ")</f>
        <v>8.0053988303530286</v>
      </c>
      <c r="BV43" s="26">
        <f>IFERROR($AC43*HDF_Limited_Col!BV43/HDF_Limited_Col!$AH43," ")</f>
        <v>8.0053988303530286</v>
      </c>
      <c r="BW43" s="26">
        <f>IFERROR($AC43*HDF_Limited_Col!BW43/HDF_Limited_Col!$AH43," ")</f>
        <v>16.010797660706057</v>
      </c>
      <c r="BX43" s="26">
        <f>IFERROR($AC43*HDF_Limited_Col!BX43/HDF_Limited_Col!$AH43," ")</f>
        <v>0</v>
      </c>
      <c r="BY43" s="26">
        <f>IFERROR($AC43*HDF_Limited_Col!BY43/HDF_Limited_Col!$AH43," ")</f>
        <v>24.016196491059084</v>
      </c>
      <c r="BZ43" s="26">
        <f>IFERROR($AC43*HDF_Limited_Col!BZ43/HDF_Limited_Col!$AH43," ")</f>
        <v>0</v>
      </c>
      <c r="CA43" s="26">
        <f>IFERROR($AC43*HDF_Limited_Col!CA43/HDF_Limited_Col!$AH43," ")</f>
        <v>88.059387133883305</v>
      </c>
      <c r="CB43" s="26">
        <f>IFERROR($AC43*HDF_Limited_Col!CB43/HDF_Limited_Col!$AH43," ")</f>
        <v>40.026994151765138</v>
      </c>
      <c r="CC43" s="26">
        <f>IFERROR($AC43*HDF_Limited_Col!CC43/HDF_Limited_Col!$AH43," ")</f>
        <v>8.0053988303530286</v>
      </c>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row>
    <row r="44" spans="1:109">
      <c r="A44" s="26" t="s">
        <v>844</v>
      </c>
      <c r="B44" s="26" t="s">
        <v>24</v>
      </c>
      <c r="C44" s="152" t="s">
        <v>1800</v>
      </c>
      <c r="D44" s="26" t="s">
        <v>25</v>
      </c>
      <c r="E44" s="26" t="s">
        <v>237</v>
      </c>
      <c r="F44" s="26" t="s">
        <v>238</v>
      </c>
      <c r="G44" s="26" t="s">
        <v>595</v>
      </c>
      <c r="H44" s="30">
        <v>355</v>
      </c>
      <c r="I44" s="26" t="s">
        <v>712</v>
      </c>
      <c r="J44" s="26"/>
      <c r="K44" s="26" t="s">
        <v>488</v>
      </c>
      <c r="L44" s="26"/>
      <c r="M44" s="26" t="s">
        <v>482</v>
      </c>
      <c r="N44" s="26">
        <v>18</v>
      </c>
      <c r="O44" s="95">
        <v>12.194717966453151</v>
      </c>
      <c r="P44" s="95">
        <v>0.55157030275898311</v>
      </c>
      <c r="Q44" s="95">
        <v>1.3538543794993221</v>
      </c>
      <c r="R44" s="95">
        <v>12.535688699067796</v>
      </c>
      <c r="S44" s="95">
        <v>28.180228195504409</v>
      </c>
      <c r="T44" s="95">
        <v>25.572804946098305</v>
      </c>
      <c r="U44" s="95">
        <v>0</v>
      </c>
      <c r="V44" s="95">
        <v>4.934047071953084</v>
      </c>
      <c r="W44" s="95">
        <v>13.438258285400678</v>
      </c>
      <c r="X44" s="95">
        <v>0.43122769124793214</v>
      </c>
      <c r="Y44" s="95">
        <v>1.0429692997624407</v>
      </c>
      <c r="Z44" s="95">
        <v>100.2353668377461</v>
      </c>
      <c r="AA44" s="26"/>
      <c r="AB44" s="26"/>
      <c r="AC44" s="26">
        <f t="shared" si="0"/>
        <v>111555.9951304202</v>
      </c>
      <c r="AD44" s="26" t="str">
        <f>IFERROR($AC44*HDF_Limited_Col!AD44/HDF_Limited_Col!$AH44," ")</f>
        <v xml:space="preserve"> </v>
      </c>
      <c r="AE44" s="26" t="str">
        <f>IFERROR($AC44*HDF_Limited_Col!AE44/HDF_Limited_Col!$AH44," ")</f>
        <v xml:space="preserve"> </v>
      </c>
      <c r="AF44" s="26" t="str">
        <f>IFERROR($AC44*HDF_Limited_Col!AF44/HDF_Limited_Col!$AH44," ")</f>
        <v xml:space="preserve"> </v>
      </c>
      <c r="AG44" s="26" t="str">
        <f>IFERROR($AC44*HDF_Limited_Col!AG44/HDF_Limited_Col!$AH44," ")</f>
        <v xml:space="preserve"> </v>
      </c>
      <c r="AH44" s="26" t="str">
        <f>IFERROR($AC44*HDF_Limited_Col!AH44/HDF_Limited_Col!$AH44," ")</f>
        <v xml:space="preserve"> </v>
      </c>
      <c r="AI44" s="26" t="str">
        <f>IFERROR($AC44*HDF_Limited_Col!AI44/HDF_Limited_Col!$AH44," ")</f>
        <v xml:space="preserve"> </v>
      </c>
      <c r="AJ44" s="26" t="str">
        <f>IFERROR($AC44*HDF_Limited_Col!AJ44/HDF_Limited_Col!$AH44," ")</f>
        <v xml:space="preserve"> </v>
      </c>
      <c r="AK44" s="26" t="str">
        <f>IFERROR($AC44*HDF_Limited_Col!AK44/HDF_Limited_Col!$AH44," ")</f>
        <v xml:space="preserve"> </v>
      </c>
      <c r="AL44" s="26" t="str">
        <f>IFERROR($AC44*HDF_Limited_Col!AL44/HDF_Limited_Col!$AH44," ")</f>
        <v xml:space="preserve"> </v>
      </c>
      <c r="AM44" s="26" t="str">
        <f>IFERROR($AC44*HDF_Limited_Col!AM44/HDF_Limited_Col!$AH44," ")</f>
        <v xml:space="preserve"> </v>
      </c>
      <c r="AN44" s="26" t="str">
        <f>IFERROR($AC44*HDF_Limited_Col!AN44/HDF_Limited_Col!$AH44," ")</f>
        <v xml:space="preserve"> </v>
      </c>
      <c r="AO44" s="26" t="str">
        <f>IFERROR($AC44*HDF_Limited_Col!AO44/HDF_Limited_Col!$AH44," ")</f>
        <v xml:space="preserve"> </v>
      </c>
      <c r="AP44" s="26" t="str">
        <f>IFERROR($AC44*HDF_Limited_Col!AP44/HDF_Limited_Col!$AH44," ")</f>
        <v xml:space="preserve"> </v>
      </c>
      <c r="AQ44" s="26" t="str">
        <f>IFERROR($AC44*HDF_Limited_Col!AQ44/HDF_Limited_Col!$AH44," ")</f>
        <v xml:space="preserve"> </v>
      </c>
      <c r="AR44" s="26" t="str">
        <f>IFERROR($AC44*HDF_Limited_Col!AR44/HDF_Limited_Col!$AH44," ")</f>
        <v xml:space="preserve"> </v>
      </c>
      <c r="AS44" s="26" t="str">
        <f>IFERROR($AC44*HDF_Limited_Col!AS44/HDF_Limited_Col!$AH44," ")</f>
        <v xml:space="preserve"> </v>
      </c>
      <c r="AT44" s="26" t="str">
        <f>IFERROR($AC44*HDF_Limited_Col!AT44/HDF_Limited_Col!$AH44," ")</f>
        <v xml:space="preserve"> </v>
      </c>
      <c r="AU44" s="26" t="str">
        <f>IFERROR($AC44*HDF_Limited_Col!AU44/HDF_Limited_Col!$AH44," ")</f>
        <v xml:space="preserve"> </v>
      </c>
      <c r="AV44" s="26" t="str">
        <f>IFERROR($AC44*HDF_Limited_Col!AV44/HDF_Limited_Col!$AH44," ")</f>
        <v xml:space="preserve"> </v>
      </c>
      <c r="AW44" s="26" t="str">
        <f>IFERROR($AC44*HDF_Limited_Col!AW44/HDF_Limited_Col!$AH44," ")</f>
        <v xml:space="preserve"> </v>
      </c>
      <c r="AX44" s="26" t="str">
        <f>IFERROR($AC44*HDF_Limited_Col!AX44/HDF_Limited_Col!$AH44," ")</f>
        <v xml:space="preserve"> </v>
      </c>
      <c r="AY44" s="26" t="str">
        <f>IFERROR($AC44*HDF_Limited_Col!AY44/HDF_Limited_Col!$AH44," ")</f>
        <v xml:space="preserve"> </v>
      </c>
      <c r="AZ44" s="26" t="str">
        <f>IFERROR($AC44*HDF_Limited_Col!AZ44/HDF_Limited_Col!$AH44," ")</f>
        <v xml:space="preserve"> </v>
      </c>
      <c r="BA44" s="26" t="str">
        <f>IFERROR($AC44*HDF_Limited_Col!BA44/HDF_Limited_Col!$AH44," ")</f>
        <v xml:space="preserve"> </v>
      </c>
      <c r="BB44" s="26" t="str">
        <f>IFERROR($AC44*HDF_Limited_Col!BB44/HDF_Limited_Col!$AH44," ")</f>
        <v xml:space="preserve"> </v>
      </c>
      <c r="BC44" s="26" t="str">
        <f>IFERROR($AC44*HDF_Limited_Col!BC44/HDF_Limited_Col!$AH44," ")</f>
        <v xml:space="preserve"> </v>
      </c>
      <c r="BD44" s="26" t="str">
        <f>IFERROR($AC44*HDF_Limited_Col!BD44/HDF_Limited_Col!$AH44," ")</f>
        <v xml:space="preserve"> </v>
      </c>
      <c r="BE44" s="26" t="str">
        <f>IFERROR($AC44*HDF_Limited_Col!BE44/HDF_Limited_Col!$AH44," ")</f>
        <v xml:space="preserve"> </v>
      </c>
      <c r="BF44" s="26" t="str">
        <f>IFERROR($AC44*HDF_Limited_Col!BF44/HDF_Limited_Col!$AH44," ")</f>
        <v xml:space="preserve"> </v>
      </c>
      <c r="BG44" s="26" t="str">
        <f>IFERROR($AC44*HDF_Limited_Col!BG44/HDF_Limited_Col!$AH44," ")</f>
        <v xml:space="preserve"> </v>
      </c>
      <c r="BH44" s="26" t="str">
        <f>IFERROR($AC44*HDF_Limited_Col!BH44/HDF_Limited_Col!$AH44," ")</f>
        <v xml:space="preserve"> </v>
      </c>
      <c r="BI44" s="26" t="str">
        <f>IFERROR($AC44*HDF_Limited_Col!BI44/HDF_Limited_Col!$AH44," ")</f>
        <v xml:space="preserve"> </v>
      </c>
      <c r="BJ44" s="26" t="str">
        <f>IFERROR($AC44*HDF_Limited_Col!BJ44/HDF_Limited_Col!$AH44," ")</f>
        <v xml:space="preserve"> </v>
      </c>
      <c r="BK44" s="26" t="str">
        <f>IFERROR($AC44*HDF_Limited_Col!BK44/HDF_Limited_Col!$AH44," ")</f>
        <v xml:space="preserve"> </v>
      </c>
      <c r="BL44" s="26" t="str">
        <f>IFERROR($AC44*HDF_Limited_Col!BL44/HDF_Limited_Col!$AH44," ")</f>
        <v xml:space="preserve"> </v>
      </c>
      <c r="BM44" s="26" t="str">
        <f>IFERROR($AC44*HDF_Limited_Col!BM44/HDF_Limited_Col!$AH44," ")</f>
        <v xml:space="preserve"> </v>
      </c>
      <c r="BN44" s="26" t="str">
        <f>IFERROR($AC44*HDF_Limited_Col!BN44/HDF_Limited_Col!$AH44," ")</f>
        <v xml:space="preserve"> </v>
      </c>
      <c r="BO44" s="26" t="str">
        <f>IFERROR($AC44*HDF_Limited_Col!BO44/HDF_Limited_Col!$AH44," ")</f>
        <v xml:space="preserve"> </v>
      </c>
      <c r="BP44" s="26" t="str">
        <f>IFERROR($AC44*HDF_Limited_Col!BP44/HDF_Limited_Col!$AH44," ")</f>
        <v xml:space="preserve"> </v>
      </c>
      <c r="BQ44" s="26" t="str">
        <f>IFERROR($AC44*HDF_Limited_Col!BQ44/HDF_Limited_Col!$AH44," ")</f>
        <v xml:space="preserve"> </v>
      </c>
      <c r="BR44" s="26" t="str">
        <f>IFERROR($AC44*HDF_Limited_Col!BR44/HDF_Limited_Col!$AH44," ")</f>
        <v xml:space="preserve"> </v>
      </c>
      <c r="BS44" s="26" t="str">
        <f>IFERROR($AC44*HDF_Limited_Col!BS44/HDF_Limited_Col!$AH44," ")</f>
        <v xml:space="preserve"> </v>
      </c>
      <c r="BT44" s="26" t="str">
        <f>IFERROR($AC44*HDF_Limited_Col!BT44/HDF_Limited_Col!$AH44," ")</f>
        <v xml:space="preserve"> </v>
      </c>
      <c r="BU44" s="26" t="str">
        <f>IFERROR($AC44*HDF_Limited_Col!BU44/HDF_Limited_Col!$AH44," ")</f>
        <v xml:space="preserve"> </v>
      </c>
      <c r="BV44" s="26" t="str">
        <f>IFERROR($AC44*HDF_Limited_Col!BV44/HDF_Limited_Col!$AH44," ")</f>
        <v xml:space="preserve"> </v>
      </c>
      <c r="BW44" s="26" t="str">
        <f>IFERROR($AC44*HDF_Limited_Col!BW44/HDF_Limited_Col!$AH44," ")</f>
        <v xml:space="preserve"> </v>
      </c>
      <c r="BX44" s="26" t="str">
        <f>IFERROR($AC44*HDF_Limited_Col!BX44/HDF_Limited_Col!$AH44," ")</f>
        <v xml:space="preserve"> </v>
      </c>
      <c r="BY44" s="26" t="str">
        <f>IFERROR($AC44*HDF_Limited_Col!BY44/HDF_Limited_Col!$AH44," ")</f>
        <v xml:space="preserve"> </v>
      </c>
      <c r="BZ44" s="26" t="str">
        <f>IFERROR($AC44*HDF_Limited_Col!BZ44/HDF_Limited_Col!$AH44," ")</f>
        <v xml:space="preserve"> </v>
      </c>
      <c r="CA44" s="26" t="str">
        <f>IFERROR($AC44*HDF_Limited_Col!CA44/HDF_Limited_Col!$AH44," ")</f>
        <v xml:space="preserve"> </v>
      </c>
      <c r="CB44" s="26" t="str">
        <f>IFERROR($AC44*HDF_Limited_Col!CB44/HDF_Limited_Col!$AH44," ")</f>
        <v xml:space="preserve"> </v>
      </c>
      <c r="CC44" s="26" t="str">
        <f>IFERROR($AC44*HDF_Limited_Col!CC44/HDF_Limited_Col!$AH44," ")</f>
        <v xml:space="preserve"> </v>
      </c>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row>
    <row r="45" spans="1:109">
      <c r="A45" s="26" t="s">
        <v>844</v>
      </c>
      <c r="B45" s="26" t="s">
        <v>24</v>
      </c>
      <c r="C45" s="152" t="s">
        <v>1800</v>
      </c>
      <c r="D45" s="26" t="s">
        <v>25</v>
      </c>
      <c r="E45" s="26" t="s">
        <v>237</v>
      </c>
      <c r="F45" s="26" t="s">
        <v>238</v>
      </c>
      <c r="G45" s="26" t="s">
        <v>595</v>
      </c>
      <c r="H45" s="30">
        <v>355</v>
      </c>
      <c r="I45" s="26" t="s">
        <v>712</v>
      </c>
      <c r="J45" s="26"/>
      <c r="K45" s="26" t="s">
        <v>488</v>
      </c>
      <c r="L45" s="26"/>
      <c r="M45" s="26" t="s">
        <v>483</v>
      </c>
      <c r="N45" s="26">
        <v>20</v>
      </c>
      <c r="O45" s="95">
        <v>6.4000149879266308</v>
      </c>
      <c r="P45" s="95">
        <v>0.68427833204246991</v>
      </c>
      <c r="Q45" s="95">
        <v>0.56352333227026929</v>
      </c>
      <c r="R45" s="95">
        <v>8.3522208175772068</v>
      </c>
      <c r="S45" s="95">
        <v>33.106995770878314</v>
      </c>
      <c r="T45" s="95">
        <v>28.679312445897629</v>
      </c>
      <c r="U45" s="95">
        <v>0</v>
      </c>
      <c r="V45" s="95">
        <v>6.5912104042326138</v>
      </c>
      <c r="W45" s="95">
        <v>14.088083306756733</v>
      </c>
      <c r="X45" s="95">
        <v>0.10062916647683381</v>
      </c>
      <c r="Y45" s="95">
        <v>1.8515766631737418</v>
      </c>
      <c r="Z45" s="95">
        <v>100.41784522723243</v>
      </c>
      <c r="AA45" s="26"/>
      <c r="AB45" s="26"/>
      <c r="AC45" s="26">
        <f t="shared" si="0"/>
        <v>116950.43504803782</v>
      </c>
      <c r="AD45" s="26" t="str">
        <f>IFERROR($AC45*HDF_Limited_Col!AD45/HDF_Limited_Col!$AH45," ")</f>
        <v xml:space="preserve"> </v>
      </c>
      <c r="AE45" s="26" t="str">
        <f>IFERROR($AC45*HDF_Limited_Col!AE45/HDF_Limited_Col!$AH45," ")</f>
        <v xml:space="preserve"> </v>
      </c>
      <c r="AF45" s="26" t="str">
        <f>IFERROR($AC45*HDF_Limited_Col!AF45/HDF_Limited_Col!$AH45," ")</f>
        <v xml:space="preserve"> </v>
      </c>
      <c r="AG45" s="26" t="str">
        <f>IFERROR($AC45*HDF_Limited_Col!AG45/HDF_Limited_Col!$AH45," ")</f>
        <v xml:space="preserve"> </v>
      </c>
      <c r="AH45" s="26" t="str">
        <f>IFERROR($AC45*HDF_Limited_Col!AH45/HDF_Limited_Col!$AH45," ")</f>
        <v xml:space="preserve"> </v>
      </c>
      <c r="AI45" s="26" t="str">
        <f>IFERROR($AC45*HDF_Limited_Col!AI45/HDF_Limited_Col!$AH45," ")</f>
        <v xml:space="preserve"> </v>
      </c>
      <c r="AJ45" s="26" t="str">
        <f>IFERROR($AC45*HDF_Limited_Col!AJ45/HDF_Limited_Col!$AH45," ")</f>
        <v xml:space="preserve"> </v>
      </c>
      <c r="AK45" s="26" t="str">
        <f>IFERROR($AC45*HDF_Limited_Col!AK45/HDF_Limited_Col!$AH45," ")</f>
        <v xml:space="preserve"> </v>
      </c>
      <c r="AL45" s="26" t="str">
        <f>IFERROR($AC45*HDF_Limited_Col!AL45/HDF_Limited_Col!$AH45," ")</f>
        <v xml:space="preserve"> </v>
      </c>
      <c r="AM45" s="26" t="str">
        <f>IFERROR($AC45*HDF_Limited_Col!AM45/HDF_Limited_Col!$AH45," ")</f>
        <v xml:space="preserve"> </v>
      </c>
      <c r="AN45" s="26" t="str">
        <f>IFERROR($AC45*HDF_Limited_Col!AN45/HDF_Limited_Col!$AH45," ")</f>
        <v xml:space="preserve"> </v>
      </c>
      <c r="AO45" s="26" t="str">
        <f>IFERROR($AC45*HDF_Limited_Col!AO45/HDF_Limited_Col!$AH45," ")</f>
        <v xml:space="preserve"> </v>
      </c>
      <c r="AP45" s="26" t="str">
        <f>IFERROR($AC45*HDF_Limited_Col!AP45/HDF_Limited_Col!$AH45," ")</f>
        <v xml:space="preserve"> </v>
      </c>
      <c r="AQ45" s="26" t="str">
        <f>IFERROR($AC45*HDF_Limited_Col!AQ45/HDF_Limited_Col!$AH45," ")</f>
        <v xml:space="preserve"> </v>
      </c>
      <c r="AR45" s="26" t="str">
        <f>IFERROR($AC45*HDF_Limited_Col!AR45/HDF_Limited_Col!$AH45," ")</f>
        <v xml:space="preserve"> </v>
      </c>
      <c r="AS45" s="26" t="str">
        <f>IFERROR($AC45*HDF_Limited_Col!AS45/HDF_Limited_Col!$AH45," ")</f>
        <v xml:space="preserve"> </v>
      </c>
      <c r="AT45" s="26" t="str">
        <f>IFERROR($AC45*HDF_Limited_Col!AT45/HDF_Limited_Col!$AH45," ")</f>
        <v xml:space="preserve"> </v>
      </c>
      <c r="AU45" s="26" t="str">
        <f>IFERROR($AC45*HDF_Limited_Col!AU45/HDF_Limited_Col!$AH45," ")</f>
        <v xml:space="preserve"> </v>
      </c>
      <c r="AV45" s="26" t="str">
        <f>IFERROR($AC45*HDF_Limited_Col!AV45/HDF_Limited_Col!$AH45," ")</f>
        <v xml:space="preserve"> </v>
      </c>
      <c r="AW45" s="26" t="str">
        <f>IFERROR($AC45*HDF_Limited_Col!AW45/HDF_Limited_Col!$AH45," ")</f>
        <v xml:space="preserve"> </v>
      </c>
      <c r="AX45" s="26" t="str">
        <f>IFERROR($AC45*HDF_Limited_Col!AX45/HDF_Limited_Col!$AH45," ")</f>
        <v xml:space="preserve"> </v>
      </c>
      <c r="AY45" s="26" t="str">
        <f>IFERROR($AC45*HDF_Limited_Col!AY45/HDF_Limited_Col!$AH45," ")</f>
        <v xml:space="preserve"> </v>
      </c>
      <c r="AZ45" s="26" t="str">
        <f>IFERROR($AC45*HDF_Limited_Col!AZ45/HDF_Limited_Col!$AH45," ")</f>
        <v xml:space="preserve"> </v>
      </c>
      <c r="BA45" s="26" t="str">
        <f>IFERROR($AC45*HDF_Limited_Col!BA45/HDF_Limited_Col!$AH45," ")</f>
        <v xml:space="preserve"> </v>
      </c>
      <c r="BB45" s="26" t="str">
        <f>IFERROR($AC45*HDF_Limited_Col!BB45/HDF_Limited_Col!$AH45," ")</f>
        <v xml:space="preserve"> </v>
      </c>
      <c r="BC45" s="26" t="str">
        <f>IFERROR($AC45*HDF_Limited_Col!BC45/HDF_Limited_Col!$AH45," ")</f>
        <v xml:space="preserve"> </v>
      </c>
      <c r="BD45" s="26" t="str">
        <f>IFERROR($AC45*HDF_Limited_Col!BD45/HDF_Limited_Col!$AH45," ")</f>
        <v xml:space="preserve"> </v>
      </c>
      <c r="BE45" s="26" t="str">
        <f>IFERROR($AC45*HDF_Limited_Col!BE45/HDF_Limited_Col!$AH45," ")</f>
        <v xml:space="preserve"> </v>
      </c>
      <c r="BF45" s="26" t="str">
        <f>IFERROR($AC45*HDF_Limited_Col!BF45/HDF_Limited_Col!$AH45," ")</f>
        <v xml:space="preserve"> </v>
      </c>
      <c r="BG45" s="26" t="str">
        <f>IFERROR($AC45*HDF_Limited_Col!BG45/HDF_Limited_Col!$AH45," ")</f>
        <v xml:space="preserve"> </v>
      </c>
      <c r="BH45" s="26" t="str">
        <f>IFERROR($AC45*HDF_Limited_Col!BH45/HDF_Limited_Col!$AH45," ")</f>
        <v xml:space="preserve"> </v>
      </c>
      <c r="BI45" s="26" t="str">
        <f>IFERROR($AC45*HDF_Limited_Col!BI45/HDF_Limited_Col!$AH45," ")</f>
        <v xml:space="preserve"> </v>
      </c>
      <c r="BJ45" s="26" t="str">
        <f>IFERROR($AC45*HDF_Limited_Col!BJ45/HDF_Limited_Col!$AH45," ")</f>
        <v xml:space="preserve"> </v>
      </c>
      <c r="BK45" s="26" t="str">
        <f>IFERROR($AC45*HDF_Limited_Col!BK45/HDF_Limited_Col!$AH45," ")</f>
        <v xml:space="preserve"> </v>
      </c>
      <c r="BL45" s="26" t="str">
        <f>IFERROR($AC45*HDF_Limited_Col!BL45/HDF_Limited_Col!$AH45," ")</f>
        <v xml:space="preserve"> </v>
      </c>
      <c r="BM45" s="26" t="str">
        <f>IFERROR($AC45*HDF_Limited_Col!BM45/HDF_Limited_Col!$AH45," ")</f>
        <v xml:space="preserve"> </v>
      </c>
      <c r="BN45" s="26" t="str">
        <f>IFERROR($AC45*HDF_Limited_Col!BN45/HDF_Limited_Col!$AH45," ")</f>
        <v xml:space="preserve"> </v>
      </c>
      <c r="BO45" s="26" t="str">
        <f>IFERROR($AC45*HDF_Limited_Col!BO45/HDF_Limited_Col!$AH45," ")</f>
        <v xml:space="preserve"> </v>
      </c>
      <c r="BP45" s="26" t="str">
        <f>IFERROR($AC45*HDF_Limited_Col!BP45/HDF_Limited_Col!$AH45," ")</f>
        <v xml:space="preserve"> </v>
      </c>
      <c r="BQ45" s="26" t="str">
        <f>IFERROR($AC45*HDF_Limited_Col!BQ45/HDF_Limited_Col!$AH45," ")</f>
        <v xml:space="preserve"> </v>
      </c>
      <c r="BR45" s="26" t="str">
        <f>IFERROR($AC45*HDF_Limited_Col!BR45/HDF_Limited_Col!$AH45," ")</f>
        <v xml:space="preserve"> </v>
      </c>
      <c r="BS45" s="26" t="str">
        <f>IFERROR($AC45*HDF_Limited_Col!BS45/HDF_Limited_Col!$AH45," ")</f>
        <v xml:space="preserve"> </v>
      </c>
      <c r="BT45" s="26" t="str">
        <f>IFERROR($AC45*HDF_Limited_Col!BT45/HDF_Limited_Col!$AH45," ")</f>
        <v xml:space="preserve"> </v>
      </c>
      <c r="BU45" s="26" t="str">
        <f>IFERROR($AC45*HDF_Limited_Col!BU45/HDF_Limited_Col!$AH45," ")</f>
        <v xml:space="preserve"> </v>
      </c>
      <c r="BV45" s="26" t="str">
        <f>IFERROR($AC45*HDF_Limited_Col!BV45/HDF_Limited_Col!$AH45," ")</f>
        <v xml:space="preserve"> </v>
      </c>
      <c r="BW45" s="26" t="str">
        <f>IFERROR($AC45*HDF_Limited_Col!BW45/HDF_Limited_Col!$AH45," ")</f>
        <v xml:space="preserve"> </v>
      </c>
      <c r="BX45" s="26" t="str">
        <f>IFERROR($AC45*HDF_Limited_Col!BX45/HDF_Limited_Col!$AH45," ")</f>
        <v xml:space="preserve"> </v>
      </c>
      <c r="BY45" s="26" t="str">
        <f>IFERROR($AC45*HDF_Limited_Col!BY45/HDF_Limited_Col!$AH45," ")</f>
        <v xml:space="preserve"> </v>
      </c>
      <c r="BZ45" s="26" t="str">
        <f>IFERROR($AC45*HDF_Limited_Col!BZ45/HDF_Limited_Col!$AH45," ")</f>
        <v xml:space="preserve"> </v>
      </c>
      <c r="CA45" s="26" t="str">
        <f>IFERROR($AC45*HDF_Limited_Col!CA45/HDF_Limited_Col!$AH45," ")</f>
        <v xml:space="preserve"> </v>
      </c>
      <c r="CB45" s="26" t="str">
        <f>IFERROR($AC45*HDF_Limited_Col!CB45/HDF_Limited_Col!$AH45," ")</f>
        <v xml:space="preserve"> </v>
      </c>
      <c r="CC45" s="26" t="str">
        <f>IFERROR($AC45*HDF_Limited_Col!CC45/HDF_Limited_Col!$AH45," ")</f>
        <v xml:space="preserve"> </v>
      </c>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row>
    <row r="46" spans="1:109">
      <c r="A46" s="26" t="s">
        <v>844</v>
      </c>
      <c r="B46" s="26" t="s">
        <v>24</v>
      </c>
      <c r="C46" s="152" t="s">
        <v>1800</v>
      </c>
      <c r="D46" s="26" t="s">
        <v>25</v>
      </c>
      <c r="E46" s="26" t="s">
        <v>237</v>
      </c>
      <c r="F46" s="26" t="s">
        <v>238</v>
      </c>
      <c r="G46" s="26" t="s">
        <v>595</v>
      </c>
      <c r="H46" s="30">
        <v>355</v>
      </c>
      <c r="I46" s="26" t="s">
        <v>712</v>
      </c>
      <c r="J46" s="26"/>
      <c r="K46" s="26" t="s">
        <v>488</v>
      </c>
      <c r="L46" s="26"/>
      <c r="M46" s="26" t="s">
        <v>484</v>
      </c>
      <c r="N46" s="26">
        <v>10</v>
      </c>
      <c r="O46" s="95">
        <v>8.6155067490837354</v>
      </c>
      <c r="P46" s="95">
        <v>0</v>
      </c>
      <c r="Q46" s="95">
        <v>1.0482366264817986</v>
      </c>
      <c r="R46" s="95">
        <v>8.885053310179055</v>
      </c>
      <c r="S46" s="95">
        <v>30.049449959144891</v>
      </c>
      <c r="T46" s="95">
        <v>30.348946138139688</v>
      </c>
      <c r="U46" s="95">
        <v>0</v>
      </c>
      <c r="V46" s="95">
        <v>5.2910991622414594</v>
      </c>
      <c r="W46" s="95">
        <v>14.475648651415312</v>
      </c>
      <c r="X46" s="95">
        <v>0.38934503269323945</v>
      </c>
      <c r="Y46" s="95">
        <v>1.1580518921132248</v>
      </c>
      <c r="Z46" s="95">
        <v>100.26133752149242</v>
      </c>
      <c r="AA46" s="26"/>
      <c r="AB46" s="26"/>
      <c r="AC46" s="26">
        <f t="shared" si="0"/>
        <v>120167.75955417736</v>
      </c>
      <c r="AD46" s="26">
        <f>IFERROR($AC46*HDF_Limited_Col!AD46/HDF_Limited_Col!$AH46," ")</f>
        <v>0</v>
      </c>
      <c r="AE46" s="26">
        <f>IFERROR($AC46*HDF_Limited_Col!AE46/HDF_Limited_Col!$AH46," ")</f>
        <v>0</v>
      </c>
      <c r="AF46" s="26">
        <f>IFERROR($AC46*HDF_Limited_Col!AF46/HDF_Limited_Col!$AH46," ")</f>
        <v>0</v>
      </c>
      <c r="AG46" s="26">
        <f>IFERROR($AC46*HDF_Limited_Col!AG46/HDF_Limited_Col!$AH46," ")</f>
        <v>0</v>
      </c>
      <c r="AH46" s="26">
        <f>IFERROR($AC46*HDF_Limited_Col!AH46/HDF_Limited_Col!$AH46," ")</f>
        <v>120167.75955417736</v>
      </c>
      <c r="AI46" s="26">
        <f>IFERROR($AC46*HDF_Limited_Col!AI46/HDF_Limited_Col!$AH46," ")</f>
        <v>0</v>
      </c>
      <c r="AJ46" s="26">
        <f>IFERROR($AC46*HDF_Limited_Col!AJ46/HDF_Limited_Col!$AH46," ")</f>
        <v>0</v>
      </c>
      <c r="AK46" s="26">
        <f>IFERROR($AC46*HDF_Limited_Col!AK46/HDF_Limited_Col!$AH46," ")</f>
        <v>282616.76784038008</v>
      </c>
      <c r="AL46" s="26" t="str">
        <f>IFERROR($AC46*HDF_Limited_Col!AL46/HDF_Limited_Col!$AH46," ")</f>
        <v xml:space="preserve"> </v>
      </c>
      <c r="AM46" s="26">
        <f>IFERROR($AC46*HDF_Limited_Col!AM46/HDF_Limited_Col!$AH46," ")</f>
        <v>0</v>
      </c>
      <c r="AN46" s="26" t="str">
        <f>IFERROR($AC46*HDF_Limited_Col!AN46/HDF_Limited_Col!$AH46," ")</f>
        <v xml:space="preserve"> </v>
      </c>
      <c r="AO46" s="26">
        <f>IFERROR($AC46*HDF_Limited_Col!AO46/HDF_Limited_Col!$AH46," ")</f>
        <v>7788.6510822151995</v>
      </c>
      <c r="AP46" s="26">
        <f>IFERROR($AC46*HDF_Limited_Col!AP46/HDF_Limited_Col!$AH46," ")</f>
        <v>16689.966604746856</v>
      </c>
      <c r="AQ46" s="26" t="str">
        <f>IFERROR($AC46*HDF_Limited_Col!AQ46/HDF_Limited_Col!$AH46," ")</f>
        <v xml:space="preserve"> </v>
      </c>
      <c r="AR46" s="26">
        <f>IFERROR($AC46*HDF_Limited_Col!AR46/HDF_Limited_Col!$AH46," ")</f>
        <v>6675.9866418987413</v>
      </c>
      <c r="AS46" s="26">
        <f>IFERROR($AC46*HDF_Limited_Col!AS46/HDF_Limited_Col!$AH46," ")</f>
        <v>0</v>
      </c>
      <c r="AT46" s="26">
        <f>IFERROR($AC46*HDF_Limited_Col!AT46/HDF_Limited_Col!$AH46," ")</f>
        <v>0</v>
      </c>
      <c r="AU46" s="26">
        <f>IFERROR($AC46*HDF_Limited_Col!AU46/HDF_Limited_Col!$AH46," ")</f>
        <v>0</v>
      </c>
      <c r="AV46" s="26">
        <f>IFERROR($AC46*HDF_Limited_Col!AV46/HDF_Limited_Col!$AH46," ")</f>
        <v>0</v>
      </c>
      <c r="AW46" s="26">
        <f>IFERROR($AC46*HDF_Limited_Col!AW46/HDF_Limited_Col!$AH46," ")</f>
        <v>0</v>
      </c>
      <c r="AX46" s="26" t="str">
        <f>IFERROR($AC46*HDF_Limited_Col!AX46/HDF_Limited_Col!$AH46," ")</f>
        <v xml:space="preserve"> </v>
      </c>
      <c r="AY46" s="26">
        <f>IFERROR($AC46*HDF_Limited_Col!AY46/HDF_Limited_Col!$AH46," ")</f>
        <v>1112.6644403164569</v>
      </c>
      <c r="AZ46" s="26">
        <f>IFERROR($AC46*HDF_Limited_Col!AZ46/HDF_Limited_Col!$AH46," ")</f>
        <v>1112.6644403164569</v>
      </c>
      <c r="BA46" s="26">
        <f>IFERROR($AC46*HDF_Limited_Col!BA46/HDF_Limited_Col!$AH46," ")</f>
        <v>2225.3288806329138</v>
      </c>
      <c r="BB46" s="26">
        <f>IFERROR($AC46*HDF_Limited_Col!BB46/HDF_Limited_Col!$AH46," ")</f>
        <v>0</v>
      </c>
      <c r="BC46" s="26">
        <f>IFERROR($AC46*HDF_Limited_Col!BC46/HDF_Limited_Col!$AH46," ")</f>
        <v>1112.6644403164569</v>
      </c>
      <c r="BD46" s="26">
        <f>IFERROR($AC46*HDF_Limited_Col!BD46/HDF_Limited_Col!$AH46," ")</f>
        <v>0</v>
      </c>
      <c r="BE46" s="26">
        <f>IFERROR($AC46*HDF_Limited_Col!BE46/HDF_Limited_Col!$AH46," ")</f>
        <v>0</v>
      </c>
      <c r="BF46" s="26">
        <f>IFERROR($AC46*HDF_Limited_Col!BF46/HDF_Limited_Col!$AH46," ")</f>
        <v>0</v>
      </c>
      <c r="BG46" s="26">
        <f>IFERROR($AC46*HDF_Limited_Col!BG46/HDF_Limited_Col!$AH46," ")</f>
        <v>0</v>
      </c>
      <c r="BH46" s="26" t="str">
        <f>IFERROR($AC46*HDF_Limited_Col!BH46/HDF_Limited_Col!$AH46," ")</f>
        <v xml:space="preserve"> </v>
      </c>
      <c r="BI46" s="26">
        <f>IFERROR($AC46*HDF_Limited_Col!BI46/HDF_Limited_Col!$AH46," ")</f>
        <v>3337.9933209493706</v>
      </c>
      <c r="BJ46" s="26">
        <f>IFERROR($AC46*HDF_Limited_Col!BJ46/HDF_Limited_Col!$AH46," ")</f>
        <v>6675.9866418987413</v>
      </c>
      <c r="BK46" s="26">
        <f>IFERROR($AC46*HDF_Limited_Col!BK46/HDF_Limited_Col!$AH46," ")</f>
        <v>1112.6644403164569</v>
      </c>
      <c r="BL46" s="26">
        <f>IFERROR($AC46*HDF_Limited_Col!BL46/HDF_Limited_Col!$AH46," ")</f>
        <v>0</v>
      </c>
      <c r="BM46" s="26">
        <f>IFERROR($AC46*HDF_Limited_Col!BM46/HDF_Limited_Col!$AH46," ")</f>
        <v>1112.6644403164569</v>
      </c>
      <c r="BN46" s="26">
        <f>IFERROR($AC46*HDF_Limited_Col!BN46/HDF_Limited_Col!$AH46," ")</f>
        <v>1112.6644403164569</v>
      </c>
      <c r="BO46" s="26">
        <f>IFERROR($AC46*HDF_Limited_Col!BO46/HDF_Limited_Col!$AH46," ")</f>
        <v>4450.6577612658275</v>
      </c>
      <c r="BP46" s="26">
        <f>IFERROR($AC46*HDF_Limited_Col!BP46/HDF_Limited_Col!$AH46," ")</f>
        <v>2225.3288806329138</v>
      </c>
      <c r="BQ46" s="26">
        <f>IFERROR($AC46*HDF_Limited_Col!BQ46/HDF_Limited_Col!$AH46," ")</f>
        <v>3337.9933209493706</v>
      </c>
      <c r="BR46" s="26">
        <f>IFERROR($AC46*HDF_Limited_Col!BR46/HDF_Limited_Col!$AH46," ")</f>
        <v>1112.6644403164569</v>
      </c>
      <c r="BS46" s="26">
        <f>IFERROR($AC46*HDF_Limited_Col!BS46/HDF_Limited_Col!$AH46," ")</f>
        <v>0</v>
      </c>
      <c r="BT46" s="26" t="str">
        <f>IFERROR($AC46*HDF_Limited_Col!BT46/HDF_Limited_Col!$AH46," ")</f>
        <v xml:space="preserve"> </v>
      </c>
      <c r="BU46" s="26">
        <f>IFERROR($AC46*HDF_Limited_Col!BU46/HDF_Limited_Col!$AH46," ")</f>
        <v>3337.9933209493706</v>
      </c>
      <c r="BV46" s="26">
        <f>IFERROR($AC46*HDF_Limited_Col!BV46/HDF_Limited_Col!$AH46," ")</f>
        <v>1112.6644403164569</v>
      </c>
      <c r="BW46" s="26">
        <f>IFERROR($AC46*HDF_Limited_Col!BW46/HDF_Limited_Col!$AH46," ")</f>
        <v>0</v>
      </c>
      <c r="BX46" s="26" t="str">
        <f>IFERROR($AC46*HDF_Limited_Col!BX46/HDF_Limited_Col!$AH46," ")</f>
        <v xml:space="preserve"> </v>
      </c>
      <c r="BY46" s="26">
        <f>IFERROR($AC46*HDF_Limited_Col!BY46/HDF_Limited_Col!$AH46," ")</f>
        <v>1112.6644403164569</v>
      </c>
      <c r="BZ46" s="26">
        <f>IFERROR($AC46*HDF_Limited_Col!BZ46/HDF_Limited_Col!$AH46," ")</f>
        <v>0</v>
      </c>
      <c r="CA46" s="26">
        <f>IFERROR($AC46*HDF_Limited_Col!CA46/HDF_Limited_Col!$AH46," ")</f>
        <v>26703.946567594965</v>
      </c>
      <c r="CB46" s="26" t="str">
        <f>IFERROR($AC46*HDF_Limited_Col!CB46/HDF_Limited_Col!$AH46," ")</f>
        <v xml:space="preserve"> </v>
      </c>
      <c r="CC46" s="26">
        <f>IFERROR($AC46*HDF_Limited_Col!CC46/HDF_Limited_Col!$AH46," ")</f>
        <v>1112.6644403164569</v>
      </c>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row>
    <row r="47" spans="1:109">
      <c r="A47" s="26" t="s">
        <v>844</v>
      </c>
      <c r="B47" s="26" t="s">
        <v>24</v>
      </c>
      <c r="C47" s="152" t="s">
        <v>1800</v>
      </c>
      <c r="D47" s="26" t="s">
        <v>25</v>
      </c>
      <c r="E47" s="26" t="s">
        <v>237</v>
      </c>
      <c r="F47" s="26" t="s">
        <v>238</v>
      </c>
      <c r="G47" s="26" t="s">
        <v>595</v>
      </c>
      <c r="H47" s="30">
        <v>355</v>
      </c>
      <c r="I47" s="26" t="s">
        <v>712</v>
      </c>
      <c r="J47" s="26"/>
      <c r="K47" s="26" t="s">
        <v>488</v>
      </c>
      <c r="L47" s="26"/>
      <c r="M47" s="26" t="s">
        <v>486</v>
      </c>
      <c r="N47" s="26">
        <v>19</v>
      </c>
      <c r="O47" s="95">
        <v>12.005222017588466</v>
      </c>
      <c r="P47" s="95">
        <v>0.13005657185720837</v>
      </c>
      <c r="Q47" s="95">
        <v>0.48020888070353862</v>
      </c>
      <c r="R47" s="95">
        <v>10.504569265389907</v>
      </c>
      <c r="S47" s="95">
        <v>30.213142077597638</v>
      </c>
      <c r="T47" s="95">
        <v>24.71074865286959</v>
      </c>
      <c r="U47" s="95">
        <v>0</v>
      </c>
      <c r="V47" s="95">
        <v>2.8412358774959365</v>
      </c>
      <c r="W47" s="95">
        <v>18.207920060009172</v>
      </c>
      <c r="X47" s="95">
        <v>0.62026980424207068</v>
      </c>
      <c r="Y47" s="95">
        <v>0.37016101220897768</v>
      </c>
      <c r="Z47" s="95">
        <v>100.08353421996252</v>
      </c>
      <c r="AA47" s="26"/>
      <c r="AB47" s="26"/>
      <c r="AC47" s="26">
        <f t="shared" si="0"/>
        <v>151150.7368299478</v>
      </c>
      <c r="AD47" s="26" t="str">
        <f>IFERROR($AC47*HDF_Limited_Col!AD47/HDF_Limited_Col!$AH47," ")</f>
        <v xml:space="preserve"> </v>
      </c>
      <c r="AE47" s="26" t="str">
        <f>IFERROR($AC47*HDF_Limited_Col!AE47/HDF_Limited_Col!$AH47," ")</f>
        <v xml:space="preserve"> </v>
      </c>
      <c r="AF47" s="26" t="str">
        <f>IFERROR($AC47*HDF_Limited_Col!AF47/HDF_Limited_Col!$AH47," ")</f>
        <v xml:space="preserve"> </v>
      </c>
      <c r="AG47" s="26" t="str">
        <f>IFERROR($AC47*HDF_Limited_Col!AG47/HDF_Limited_Col!$AH47," ")</f>
        <v xml:space="preserve"> </v>
      </c>
      <c r="AH47" s="26" t="str">
        <f>IFERROR($AC47*HDF_Limited_Col!AH47/HDF_Limited_Col!$AH47," ")</f>
        <v xml:space="preserve"> </v>
      </c>
      <c r="AI47" s="26" t="str">
        <f>IFERROR($AC47*HDF_Limited_Col!AI47/HDF_Limited_Col!$AH47," ")</f>
        <v xml:space="preserve"> </v>
      </c>
      <c r="AJ47" s="26" t="str">
        <f>IFERROR($AC47*HDF_Limited_Col!AJ47/HDF_Limited_Col!$AH47," ")</f>
        <v xml:space="preserve"> </v>
      </c>
      <c r="AK47" s="26" t="str">
        <f>IFERROR($AC47*HDF_Limited_Col!AK47/HDF_Limited_Col!$AH47," ")</f>
        <v xml:space="preserve"> </v>
      </c>
      <c r="AL47" s="26" t="str">
        <f>IFERROR($AC47*HDF_Limited_Col!AL47/HDF_Limited_Col!$AH47," ")</f>
        <v xml:space="preserve"> </v>
      </c>
      <c r="AM47" s="26" t="str">
        <f>IFERROR($AC47*HDF_Limited_Col!AM47/HDF_Limited_Col!$AH47," ")</f>
        <v xml:space="preserve"> </v>
      </c>
      <c r="AN47" s="26" t="str">
        <f>IFERROR($AC47*HDF_Limited_Col!AN47/HDF_Limited_Col!$AH47," ")</f>
        <v xml:space="preserve"> </v>
      </c>
      <c r="AO47" s="26" t="str">
        <f>IFERROR($AC47*HDF_Limited_Col!AO47/HDF_Limited_Col!$AH47," ")</f>
        <v xml:space="preserve"> </v>
      </c>
      <c r="AP47" s="26" t="str">
        <f>IFERROR($AC47*HDF_Limited_Col!AP47/HDF_Limited_Col!$AH47," ")</f>
        <v xml:space="preserve"> </v>
      </c>
      <c r="AQ47" s="26" t="str">
        <f>IFERROR($AC47*HDF_Limited_Col!AQ47/HDF_Limited_Col!$AH47," ")</f>
        <v xml:space="preserve"> </v>
      </c>
      <c r="AR47" s="26" t="str">
        <f>IFERROR($AC47*HDF_Limited_Col!AR47/HDF_Limited_Col!$AH47," ")</f>
        <v xml:space="preserve"> </v>
      </c>
      <c r="AS47" s="26" t="str">
        <f>IFERROR($AC47*HDF_Limited_Col!AS47/HDF_Limited_Col!$AH47," ")</f>
        <v xml:space="preserve"> </v>
      </c>
      <c r="AT47" s="26" t="str">
        <f>IFERROR($AC47*HDF_Limited_Col!AT47/HDF_Limited_Col!$AH47," ")</f>
        <v xml:space="preserve"> </v>
      </c>
      <c r="AU47" s="26" t="str">
        <f>IFERROR($AC47*HDF_Limited_Col!AU47/HDF_Limited_Col!$AH47," ")</f>
        <v xml:space="preserve"> </v>
      </c>
      <c r="AV47" s="26" t="str">
        <f>IFERROR($AC47*HDF_Limited_Col!AV47/HDF_Limited_Col!$AH47," ")</f>
        <v xml:space="preserve"> </v>
      </c>
      <c r="AW47" s="26" t="str">
        <f>IFERROR($AC47*HDF_Limited_Col!AW47/HDF_Limited_Col!$AH47," ")</f>
        <v xml:space="preserve"> </v>
      </c>
      <c r="AX47" s="26" t="str">
        <f>IFERROR($AC47*HDF_Limited_Col!AX47/HDF_Limited_Col!$AH47," ")</f>
        <v xml:space="preserve"> </v>
      </c>
      <c r="AY47" s="26" t="str">
        <f>IFERROR($AC47*HDF_Limited_Col!AY47/HDF_Limited_Col!$AH47," ")</f>
        <v xml:space="preserve"> </v>
      </c>
      <c r="AZ47" s="26" t="str">
        <f>IFERROR($AC47*HDF_Limited_Col!AZ47/HDF_Limited_Col!$AH47," ")</f>
        <v xml:space="preserve"> </v>
      </c>
      <c r="BA47" s="26" t="str">
        <f>IFERROR($AC47*HDF_Limited_Col!BA47/HDF_Limited_Col!$AH47," ")</f>
        <v xml:space="preserve"> </v>
      </c>
      <c r="BB47" s="26" t="str">
        <f>IFERROR($AC47*HDF_Limited_Col!BB47/HDF_Limited_Col!$AH47," ")</f>
        <v xml:space="preserve"> </v>
      </c>
      <c r="BC47" s="26" t="str">
        <f>IFERROR($AC47*HDF_Limited_Col!BC47/HDF_Limited_Col!$AH47," ")</f>
        <v xml:space="preserve"> </v>
      </c>
      <c r="BD47" s="26" t="str">
        <f>IFERROR($AC47*HDF_Limited_Col!BD47/HDF_Limited_Col!$AH47," ")</f>
        <v xml:space="preserve"> </v>
      </c>
      <c r="BE47" s="26" t="str">
        <f>IFERROR($AC47*HDF_Limited_Col!BE47/HDF_Limited_Col!$AH47," ")</f>
        <v xml:space="preserve"> </v>
      </c>
      <c r="BF47" s="26" t="str">
        <f>IFERROR($AC47*HDF_Limited_Col!BF47/HDF_Limited_Col!$AH47," ")</f>
        <v xml:space="preserve"> </v>
      </c>
      <c r="BG47" s="26" t="str">
        <f>IFERROR($AC47*HDF_Limited_Col!BG47/HDF_Limited_Col!$AH47," ")</f>
        <v xml:space="preserve"> </v>
      </c>
      <c r="BH47" s="26" t="str">
        <f>IFERROR($AC47*HDF_Limited_Col!BH47/HDF_Limited_Col!$AH47," ")</f>
        <v xml:space="preserve"> </v>
      </c>
      <c r="BI47" s="26" t="str">
        <f>IFERROR($AC47*HDF_Limited_Col!BI47/HDF_Limited_Col!$AH47," ")</f>
        <v xml:space="preserve"> </v>
      </c>
      <c r="BJ47" s="26" t="str">
        <f>IFERROR($AC47*HDF_Limited_Col!BJ47/HDF_Limited_Col!$AH47," ")</f>
        <v xml:space="preserve"> </v>
      </c>
      <c r="BK47" s="26" t="str">
        <f>IFERROR($AC47*HDF_Limited_Col!BK47/HDF_Limited_Col!$AH47," ")</f>
        <v xml:space="preserve"> </v>
      </c>
      <c r="BL47" s="26" t="str">
        <f>IFERROR($AC47*HDF_Limited_Col!BL47/HDF_Limited_Col!$AH47," ")</f>
        <v xml:space="preserve"> </v>
      </c>
      <c r="BM47" s="26" t="str">
        <f>IFERROR($AC47*HDF_Limited_Col!BM47/HDF_Limited_Col!$AH47," ")</f>
        <v xml:space="preserve"> </v>
      </c>
      <c r="BN47" s="26" t="str">
        <f>IFERROR($AC47*HDF_Limited_Col!BN47/HDF_Limited_Col!$AH47," ")</f>
        <v xml:space="preserve"> </v>
      </c>
      <c r="BO47" s="26" t="str">
        <f>IFERROR($AC47*HDF_Limited_Col!BO47/HDF_Limited_Col!$AH47," ")</f>
        <v xml:space="preserve"> </v>
      </c>
      <c r="BP47" s="26" t="str">
        <f>IFERROR($AC47*HDF_Limited_Col!BP47/HDF_Limited_Col!$AH47," ")</f>
        <v xml:space="preserve"> </v>
      </c>
      <c r="BQ47" s="26" t="str">
        <f>IFERROR($AC47*HDF_Limited_Col!BQ47/HDF_Limited_Col!$AH47," ")</f>
        <v xml:space="preserve"> </v>
      </c>
      <c r="BR47" s="26" t="str">
        <f>IFERROR($AC47*HDF_Limited_Col!BR47/HDF_Limited_Col!$AH47," ")</f>
        <v xml:space="preserve"> </v>
      </c>
      <c r="BS47" s="26" t="str">
        <f>IFERROR($AC47*HDF_Limited_Col!BS47/HDF_Limited_Col!$AH47," ")</f>
        <v xml:space="preserve"> </v>
      </c>
      <c r="BT47" s="26" t="str">
        <f>IFERROR($AC47*HDF_Limited_Col!BT47/HDF_Limited_Col!$AH47," ")</f>
        <v xml:space="preserve"> </v>
      </c>
      <c r="BU47" s="26" t="str">
        <f>IFERROR($AC47*HDF_Limited_Col!BU47/HDF_Limited_Col!$AH47," ")</f>
        <v xml:space="preserve"> </v>
      </c>
      <c r="BV47" s="26" t="str">
        <f>IFERROR($AC47*HDF_Limited_Col!BV47/HDF_Limited_Col!$AH47," ")</f>
        <v xml:space="preserve"> </v>
      </c>
      <c r="BW47" s="26" t="str">
        <f>IFERROR($AC47*HDF_Limited_Col!BW47/HDF_Limited_Col!$AH47," ")</f>
        <v xml:space="preserve"> </v>
      </c>
      <c r="BX47" s="26" t="str">
        <f>IFERROR($AC47*HDF_Limited_Col!BX47/HDF_Limited_Col!$AH47," ")</f>
        <v xml:space="preserve"> </v>
      </c>
      <c r="BY47" s="26" t="str">
        <f>IFERROR($AC47*HDF_Limited_Col!BY47/HDF_Limited_Col!$AH47," ")</f>
        <v xml:space="preserve"> </v>
      </c>
      <c r="BZ47" s="26" t="str">
        <f>IFERROR($AC47*HDF_Limited_Col!BZ47/HDF_Limited_Col!$AH47," ")</f>
        <v xml:space="preserve"> </v>
      </c>
      <c r="CA47" s="26" t="str">
        <f>IFERROR($AC47*HDF_Limited_Col!CA47/HDF_Limited_Col!$AH47," ")</f>
        <v xml:space="preserve"> </v>
      </c>
      <c r="CB47" s="26" t="str">
        <f>IFERROR($AC47*HDF_Limited_Col!CB47/HDF_Limited_Col!$AH47," ")</f>
        <v xml:space="preserve"> </v>
      </c>
      <c r="CC47" s="26" t="str">
        <f>IFERROR($AC47*HDF_Limited_Col!CC47/HDF_Limited_Col!$AH47," ")</f>
        <v xml:space="preserve"> </v>
      </c>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row>
    <row r="48" spans="1:109">
      <c r="A48" s="26" t="s">
        <v>836</v>
      </c>
      <c r="B48" s="26" t="s">
        <v>24</v>
      </c>
      <c r="C48" s="152" t="s">
        <v>1800</v>
      </c>
      <c r="D48" s="26" t="s">
        <v>1706</v>
      </c>
      <c r="E48" s="26" t="s">
        <v>237</v>
      </c>
      <c r="F48" s="26" t="s">
        <v>163</v>
      </c>
      <c r="G48" s="26" t="s">
        <v>595</v>
      </c>
      <c r="H48" s="30">
        <v>355</v>
      </c>
      <c r="I48" s="26" t="s">
        <v>1148</v>
      </c>
      <c r="J48" s="153" t="s">
        <v>635</v>
      </c>
      <c r="K48" s="26" t="s">
        <v>128</v>
      </c>
      <c r="L48" s="26" t="s">
        <v>1509</v>
      </c>
      <c r="M48" s="26" t="s">
        <v>379</v>
      </c>
      <c r="N48" s="26">
        <v>15</v>
      </c>
      <c r="O48" s="95">
        <v>6.157511577902147</v>
      </c>
      <c r="P48" s="95">
        <v>0</v>
      </c>
      <c r="Q48" s="95">
        <v>0.30787557889510736</v>
      </c>
      <c r="R48" s="95">
        <v>9.8212309667539266</v>
      </c>
      <c r="S48" s="95">
        <v>21.448665329692478</v>
      </c>
      <c r="T48" s="95">
        <v>12.109772769874223</v>
      </c>
      <c r="U48" s="95">
        <v>4.5257710097580786</v>
      </c>
      <c r="V48" s="95">
        <v>13.64915066434976</v>
      </c>
      <c r="W48" s="95">
        <v>21.140789750797374</v>
      </c>
      <c r="X48" s="95">
        <v>1.3033399506559546</v>
      </c>
      <c r="Y48" s="95">
        <v>12.315023155804294</v>
      </c>
      <c r="Z48" s="95">
        <v>102.77913075448335</v>
      </c>
      <c r="AA48" s="26"/>
      <c r="AB48" s="26"/>
      <c r="AC48" s="26">
        <f t="shared" si="0"/>
        <v>175497.58223171934</v>
      </c>
      <c r="AD48" s="26" t="str">
        <f>IFERROR($AC48*HDF_Limited_Col!AD48/HDF_Limited_Col!$AH48," ")</f>
        <v xml:space="preserve"> </v>
      </c>
      <c r="AE48" s="26" t="str">
        <f>IFERROR($AC48*HDF_Limited_Col!AE48/HDF_Limited_Col!$AH48," ")</f>
        <v xml:space="preserve"> </v>
      </c>
      <c r="AF48" s="26" t="str">
        <f>IFERROR($AC48*HDF_Limited_Col!AF48/HDF_Limited_Col!$AH48," ")</f>
        <v xml:space="preserve"> </v>
      </c>
      <c r="AG48" s="26" t="str">
        <f>IFERROR($AC48*HDF_Limited_Col!AG48/HDF_Limited_Col!$AH48," ")</f>
        <v xml:space="preserve"> </v>
      </c>
      <c r="AH48" s="26" t="str">
        <f>IFERROR($AC48*HDF_Limited_Col!AH48/HDF_Limited_Col!$AH48," ")</f>
        <v xml:space="preserve"> </v>
      </c>
      <c r="AI48" s="26" t="str">
        <f>IFERROR($AC48*HDF_Limited_Col!AI48/HDF_Limited_Col!$AH48," ")</f>
        <v xml:space="preserve"> </v>
      </c>
      <c r="AJ48" s="26" t="str">
        <f>IFERROR($AC48*HDF_Limited_Col!AJ48/HDF_Limited_Col!$AH48," ")</f>
        <v xml:space="preserve"> </v>
      </c>
      <c r="AK48" s="26" t="str">
        <f>IFERROR($AC48*HDF_Limited_Col!AK48/HDF_Limited_Col!$AH48," ")</f>
        <v xml:space="preserve"> </v>
      </c>
      <c r="AL48" s="26" t="str">
        <f>IFERROR($AC48*HDF_Limited_Col!AL48/HDF_Limited_Col!$AH48," ")</f>
        <v xml:space="preserve"> </v>
      </c>
      <c r="AM48" s="26" t="str">
        <f>IFERROR($AC48*HDF_Limited_Col!AM48/HDF_Limited_Col!$AH48," ")</f>
        <v xml:space="preserve"> </v>
      </c>
      <c r="AN48" s="26" t="str">
        <f>IFERROR($AC48*HDF_Limited_Col!AN48/HDF_Limited_Col!$AH48," ")</f>
        <v xml:space="preserve"> </v>
      </c>
      <c r="AO48" s="26" t="str">
        <f>IFERROR($AC48*HDF_Limited_Col!AO48/HDF_Limited_Col!$AH48," ")</f>
        <v xml:space="preserve"> </v>
      </c>
      <c r="AP48" s="26" t="str">
        <f>IFERROR($AC48*HDF_Limited_Col!AP48/HDF_Limited_Col!$AH48," ")</f>
        <v xml:space="preserve"> </v>
      </c>
      <c r="AQ48" s="26" t="str">
        <f>IFERROR($AC48*HDF_Limited_Col!AQ48/HDF_Limited_Col!$AH48," ")</f>
        <v xml:space="preserve"> </v>
      </c>
      <c r="AR48" s="26" t="str">
        <f>IFERROR($AC48*HDF_Limited_Col!AR48/HDF_Limited_Col!$AH48," ")</f>
        <v xml:space="preserve"> </v>
      </c>
      <c r="AS48" s="26" t="str">
        <f>IFERROR($AC48*HDF_Limited_Col!AS48/HDF_Limited_Col!$AH48," ")</f>
        <v xml:space="preserve"> </v>
      </c>
      <c r="AT48" s="26" t="str">
        <f>IFERROR($AC48*HDF_Limited_Col!AT48/HDF_Limited_Col!$AH48," ")</f>
        <v xml:space="preserve"> </v>
      </c>
      <c r="AU48" s="26" t="str">
        <f>IFERROR($AC48*HDF_Limited_Col!AU48/HDF_Limited_Col!$AH48," ")</f>
        <v xml:space="preserve"> </v>
      </c>
      <c r="AV48" s="26" t="str">
        <f>IFERROR($AC48*HDF_Limited_Col!AV48/HDF_Limited_Col!$AH48," ")</f>
        <v xml:space="preserve"> </v>
      </c>
      <c r="AW48" s="26" t="str">
        <f>IFERROR($AC48*HDF_Limited_Col!AW48/HDF_Limited_Col!$AH48," ")</f>
        <v xml:space="preserve"> </v>
      </c>
      <c r="AX48" s="26" t="str">
        <f>IFERROR($AC48*HDF_Limited_Col!AX48/HDF_Limited_Col!$AH48," ")</f>
        <v xml:space="preserve"> </v>
      </c>
      <c r="AY48" s="26" t="str">
        <f>IFERROR($AC48*HDF_Limited_Col!AY48/HDF_Limited_Col!$AH48," ")</f>
        <v xml:space="preserve"> </v>
      </c>
      <c r="AZ48" s="26" t="str">
        <f>IFERROR($AC48*HDF_Limited_Col!AZ48/HDF_Limited_Col!$AH48," ")</f>
        <v xml:space="preserve"> </v>
      </c>
      <c r="BA48" s="26" t="str">
        <f>IFERROR($AC48*HDF_Limited_Col!BA48/HDF_Limited_Col!$AH48," ")</f>
        <v xml:space="preserve"> </v>
      </c>
      <c r="BB48" s="26" t="str">
        <f>IFERROR($AC48*HDF_Limited_Col!BB48/HDF_Limited_Col!$AH48," ")</f>
        <v xml:space="preserve"> </v>
      </c>
      <c r="BC48" s="26" t="str">
        <f>IFERROR($AC48*HDF_Limited_Col!BC48/HDF_Limited_Col!$AH48," ")</f>
        <v xml:space="preserve"> </v>
      </c>
      <c r="BD48" s="26" t="str">
        <f>IFERROR($AC48*HDF_Limited_Col!BD48/HDF_Limited_Col!$AH48," ")</f>
        <v xml:space="preserve"> </v>
      </c>
      <c r="BE48" s="26" t="str">
        <f>IFERROR($AC48*HDF_Limited_Col!BE48/HDF_Limited_Col!$AH48," ")</f>
        <v xml:space="preserve"> </v>
      </c>
      <c r="BF48" s="26" t="str">
        <f>IFERROR($AC48*HDF_Limited_Col!BF48/HDF_Limited_Col!$AH48," ")</f>
        <v xml:space="preserve"> </v>
      </c>
      <c r="BG48" s="26" t="str">
        <f>IFERROR($AC48*HDF_Limited_Col!BG48/HDF_Limited_Col!$AH48," ")</f>
        <v xml:space="preserve"> </v>
      </c>
      <c r="BH48" s="26" t="str">
        <f>IFERROR($AC48*HDF_Limited_Col!BH48/HDF_Limited_Col!$AH48," ")</f>
        <v xml:space="preserve"> </v>
      </c>
      <c r="BI48" s="26" t="str">
        <f>IFERROR($AC48*HDF_Limited_Col!BI48/HDF_Limited_Col!$AH48," ")</f>
        <v xml:space="preserve"> </v>
      </c>
      <c r="BJ48" s="26" t="str">
        <f>IFERROR($AC48*HDF_Limited_Col!BJ48/HDF_Limited_Col!$AH48," ")</f>
        <v xml:space="preserve"> </v>
      </c>
      <c r="BK48" s="26" t="str">
        <f>IFERROR($AC48*HDF_Limited_Col!BK48/HDF_Limited_Col!$AH48," ")</f>
        <v xml:space="preserve"> </v>
      </c>
      <c r="BL48" s="26" t="str">
        <f>IFERROR($AC48*HDF_Limited_Col!BL48/HDF_Limited_Col!$AH48," ")</f>
        <v xml:space="preserve"> </v>
      </c>
      <c r="BM48" s="26" t="str">
        <f>IFERROR($AC48*HDF_Limited_Col!BM48/HDF_Limited_Col!$AH48," ")</f>
        <v xml:space="preserve"> </v>
      </c>
      <c r="BN48" s="26" t="str">
        <f>IFERROR($AC48*HDF_Limited_Col!BN48/HDF_Limited_Col!$AH48," ")</f>
        <v xml:space="preserve"> </v>
      </c>
      <c r="BO48" s="26" t="str">
        <f>IFERROR($AC48*HDF_Limited_Col!BO48/HDF_Limited_Col!$AH48," ")</f>
        <v xml:space="preserve"> </v>
      </c>
      <c r="BP48" s="26" t="str">
        <f>IFERROR($AC48*HDF_Limited_Col!BP48/HDF_Limited_Col!$AH48," ")</f>
        <v xml:space="preserve"> </v>
      </c>
      <c r="BQ48" s="26" t="str">
        <f>IFERROR($AC48*HDF_Limited_Col!BQ48/HDF_Limited_Col!$AH48," ")</f>
        <v xml:space="preserve"> </v>
      </c>
      <c r="BR48" s="26" t="str">
        <f>IFERROR($AC48*HDF_Limited_Col!BR48/HDF_Limited_Col!$AH48," ")</f>
        <v xml:space="preserve"> </v>
      </c>
      <c r="BS48" s="26" t="str">
        <f>IFERROR($AC48*HDF_Limited_Col!BS48/HDF_Limited_Col!$AH48," ")</f>
        <v xml:space="preserve"> </v>
      </c>
      <c r="BT48" s="26" t="str">
        <f>IFERROR($AC48*HDF_Limited_Col!BT48/HDF_Limited_Col!$AH48," ")</f>
        <v xml:space="preserve"> </v>
      </c>
      <c r="BU48" s="26" t="str">
        <f>IFERROR($AC48*HDF_Limited_Col!BU48/HDF_Limited_Col!$AH48," ")</f>
        <v xml:space="preserve"> </v>
      </c>
      <c r="BV48" s="26" t="str">
        <f>IFERROR($AC48*HDF_Limited_Col!BV48/HDF_Limited_Col!$AH48," ")</f>
        <v xml:space="preserve"> </v>
      </c>
      <c r="BW48" s="26" t="str">
        <f>IFERROR($AC48*HDF_Limited_Col!BW48/HDF_Limited_Col!$AH48," ")</f>
        <v xml:space="preserve"> </v>
      </c>
      <c r="BX48" s="26" t="str">
        <f>IFERROR($AC48*HDF_Limited_Col!BX48/HDF_Limited_Col!$AH48," ")</f>
        <v xml:space="preserve"> </v>
      </c>
      <c r="BY48" s="26" t="str">
        <f>IFERROR($AC48*HDF_Limited_Col!BY48/HDF_Limited_Col!$AH48," ")</f>
        <v xml:space="preserve"> </v>
      </c>
      <c r="BZ48" s="26" t="str">
        <f>IFERROR($AC48*HDF_Limited_Col!BZ48/HDF_Limited_Col!$AH48," ")</f>
        <v xml:space="preserve"> </v>
      </c>
      <c r="CA48" s="26" t="str">
        <f>IFERROR($AC48*HDF_Limited_Col!CA48/HDF_Limited_Col!$AH48," ")</f>
        <v xml:space="preserve"> </v>
      </c>
      <c r="CB48" s="26" t="str">
        <f>IFERROR($AC48*HDF_Limited_Col!CB48/HDF_Limited_Col!$AH48," ")</f>
        <v xml:space="preserve"> </v>
      </c>
      <c r="CC48" s="26" t="str">
        <f>IFERROR($AC48*HDF_Limited_Col!CC48/HDF_Limited_Col!$AH48," ")</f>
        <v xml:space="preserve"> </v>
      </c>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row>
    <row r="49" spans="1:109">
      <c r="A49" s="26" t="s">
        <v>836</v>
      </c>
      <c r="B49" s="26" t="s">
        <v>24</v>
      </c>
      <c r="C49" s="152" t="s">
        <v>1800</v>
      </c>
      <c r="D49" s="26" t="s">
        <v>1706</v>
      </c>
      <c r="E49" s="26" t="s">
        <v>237</v>
      </c>
      <c r="F49" s="26" t="s">
        <v>163</v>
      </c>
      <c r="G49" s="26" t="s">
        <v>595</v>
      </c>
      <c r="H49" s="30">
        <v>355</v>
      </c>
      <c r="I49" s="26" t="s">
        <v>1148</v>
      </c>
      <c r="J49" s="153" t="s">
        <v>635</v>
      </c>
      <c r="K49" s="26" t="s">
        <v>128</v>
      </c>
      <c r="L49" s="26" t="s">
        <v>1509</v>
      </c>
      <c r="M49" s="26" t="s">
        <v>382</v>
      </c>
      <c r="N49" s="26">
        <v>31</v>
      </c>
      <c r="O49" s="95">
        <v>9.433281331695353</v>
      </c>
      <c r="P49" s="95">
        <v>1.3662686486800513</v>
      </c>
      <c r="Q49" s="95">
        <v>2.5014771582450934</v>
      </c>
      <c r="R49" s="95">
        <v>13.66268648680051</v>
      </c>
      <c r="S49" s="95">
        <v>18.987115779450708</v>
      </c>
      <c r="T49" s="95">
        <v>33.855333426851267</v>
      </c>
      <c r="U49" s="95">
        <v>0.10046093005000377</v>
      </c>
      <c r="V49" s="95">
        <v>6.2587159421152343</v>
      </c>
      <c r="W49" s="95">
        <v>9.9456320749503728</v>
      </c>
      <c r="X49" s="95">
        <v>2.6521685533200992</v>
      </c>
      <c r="Y49" s="95">
        <v>1.5973287877950597</v>
      </c>
      <c r="Z49" s="95">
        <v>100.36046911995375</v>
      </c>
      <c r="AA49" s="26"/>
      <c r="AB49" s="26"/>
      <c r="AC49" s="26">
        <f t="shared" si="0"/>
        <v>82562.402043386071</v>
      </c>
      <c r="AD49" s="26">
        <f>IFERROR($AC49*HDF_Limited_Col!AD49/HDF_Limited_Col!$AH49," ")</f>
        <v>0</v>
      </c>
      <c r="AE49" s="26">
        <f>IFERROR($AC49*HDF_Limited_Col!AE49/HDF_Limited_Col!$AH49," ")</f>
        <v>0</v>
      </c>
      <c r="AF49" s="26">
        <f>IFERROR($AC49*HDF_Limited_Col!AF49/HDF_Limited_Col!$AH49," ")</f>
        <v>0</v>
      </c>
      <c r="AG49" s="26">
        <f>IFERROR($AC49*HDF_Limited_Col!AG49/HDF_Limited_Col!$AH49," ")</f>
        <v>0</v>
      </c>
      <c r="AH49" s="26">
        <f>IFERROR($AC49*HDF_Limited_Col!AH49/HDF_Limited_Col!$AH49," ")</f>
        <v>82562.402043386071</v>
      </c>
      <c r="AI49" s="26">
        <f>IFERROR($AC49*HDF_Limited_Col!AI49/HDF_Limited_Col!$AH49," ")</f>
        <v>0</v>
      </c>
      <c r="AJ49" s="26">
        <f>IFERROR($AC49*HDF_Limited_Col!AJ49/HDF_Limited_Col!$AH49," ")</f>
        <v>8398.666535592778</v>
      </c>
      <c r="AK49" s="26">
        <f>IFERROR($AC49*HDF_Limited_Col!AK49/HDF_Limited_Col!$AH49," ")</f>
        <v>0</v>
      </c>
      <c r="AL49" s="26">
        <f>IFERROR($AC49*HDF_Limited_Col!AL49/HDF_Limited_Col!$AH49," ")</f>
        <v>0</v>
      </c>
      <c r="AM49" s="26">
        <f>IFERROR($AC49*HDF_Limited_Col!AM49/HDF_Limited_Col!$AH49," ")</f>
        <v>0</v>
      </c>
      <c r="AN49" s="26">
        <f>IFERROR($AC49*HDF_Limited_Col!AN49/HDF_Limited_Col!$AH49," ")</f>
        <v>0</v>
      </c>
      <c r="AO49" s="26">
        <f>IFERROR($AC49*HDF_Limited_Col!AO49/HDF_Limited_Col!$AH49," ")</f>
        <v>0</v>
      </c>
      <c r="AP49" s="26">
        <f>IFERROR($AC49*HDF_Limited_Col!AP49/HDF_Limited_Col!$AH49," ")</f>
        <v>0</v>
      </c>
      <c r="AQ49" s="26">
        <f>IFERROR($AC49*HDF_Limited_Col!AQ49/HDF_Limited_Col!$AH49," ")</f>
        <v>0</v>
      </c>
      <c r="AR49" s="26">
        <f>IFERROR($AC49*HDF_Limited_Col!AR49/HDF_Limited_Col!$AH49," ")</f>
        <v>0</v>
      </c>
      <c r="AS49" s="26">
        <f>IFERROR($AC49*HDF_Limited_Col!AS49/HDF_Limited_Col!$AH49," ")</f>
        <v>0</v>
      </c>
      <c r="AT49" s="26">
        <f>IFERROR($AC49*HDF_Limited_Col!AT49/HDF_Limited_Col!$AH49," ")</f>
        <v>0</v>
      </c>
      <c r="AU49" s="26">
        <f>IFERROR($AC49*HDF_Limited_Col!AU49/HDF_Limited_Col!$AH49," ")</f>
        <v>0</v>
      </c>
      <c r="AV49" s="26">
        <f>IFERROR($AC49*HDF_Limited_Col!AV49/HDF_Limited_Col!$AH49," ")</f>
        <v>0</v>
      </c>
      <c r="AW49" s="26">
        <f>IFERROR($AC49*HDF_Limited_Col!AW49/HDF_Limited_Col!$AH49," ")</f>
        <v>0</v>
      </c>
      <c r="AX49" s="26">
        <f>IFERROR($AC49*HDF_Limited_Col!AX49/HDF_Limited_Col!$AH49," ")</f>
        <v>440.74001897251202</v>
      </c>
      <c r="AY49" s="26">
        <f>IFERROR($AC49*HDF_Limited_Col!AY49/HDF_Limited_Col!$AH49," ")</f>
        <v>4444.3094523976952</v>
      </c>
      <c r="AZ49" s="26">
        <f>IFERROR($AC49*HDF_Limited_Col!AZ49/HDF_Limited_Col!$AH49," ")</f>
        <v>29.455039034780363</v>
      </c>
      <c r="BA49" s="26">
        <f>IFERROR($AC49*HDF_Limited_Col!BA49/HDF_Limited_Col!$AH49," ")</f>
        <v>4284.3693141498707</v>
      </c>
      <c r="BB49" s="26">
        <f>IFERROR($AC49*HDF_Limited_Col!BB49/HDF_Limited_Col!$AH49," ")</f>
        <v>0</v>
      </c>
      <c r="BC49" s="26">
        <f>IFERROR($AC49*HDF_Limited_Col!BC49/HDF_Limited_Col!$AH49," ")</f>
        <v>96.253567361812983</v>
      </c>
      <c r="BD49" s="26">
        <f>IFERROR($AC49*HDF_Limited_Col!BD49/HDF_Limited_Col!$AH49," ")</f>
        <v>0</v>
      </c>
      <c r="BE49" s="26">
        <f>IFERROR($AC49*HDF_Limited_Col!BE49/HDF_Limited_Col!$AH49," ")</f>
        <v>0</v>
      </c>
      <c r="BF49" s="26">
        <f>IFERROR($AC49*HDF_Limited_Col!BF49/HDF_Limited_Col!$AH49," ")</f>
        <v>0</v>
      </c>
      <c r="BG49" s="26">
        <f>IFERROR($AC49*HDF_Limited_Col!BG49/HDF_Limited_Col!$AH49," ")</f>
        <v>0</v>
      </c>
      <c r="BH49" s="26">
        <f>IFERROR($AC49*HDF_Limited_Col!BH49/HDF_Limited_Col!$AH49," ")</f>
        <v>0</v>
      </c>
      <c r="BI49" s="26">
        <f>IFERROR($AC49*HDF_Limited_Col!BI49/HDF_Limited_Col!$AH49," ")</f>
        <v>7856.6069720288851</v>
      </c>
      <c r="BJ49" s="26">
        <f>IFERROR($AC49*HDF_Limited_Col!BJ49/HDF_Limited_Col!$AH49," ")</f>
        <v>0</v>
      </c>
      <c r="BK49" s="26">
        <f>IFERROR($AC49*HDF_Limited_Col!BK49/HDF_Limited_Col!$AH49," ")</f>
        <v>307.57718893812415</v>
      </c>
      <c r="BL49" s="26">
        <f>IFERROR($AC49*HDF_Limited_Col!BL49/HDF_Limited_Col!$AH49," ")</f>
        <v>397.31735700477685</v>
      </c>
      <c r="BM49" s="26">
        <f>IFERROR($AC49*HDF_Limited_Col!BM49/HDF_Limited_Col!$AH49," ")</f>
        <v>55.798120628539692</v>
      </c>
      <c r="BN49" s="26">
        <f>IFERROR($AC49*HDF_Limited_Col!BN49/HDF_Limited_Col!$AH49," ")</f>
        <v>141.84736242793491</v>
      </c>
      <c r="BO49" s="26">
        <f>IFERROR($AC49*HDF_Limited_Col!BO49/HDF_Limited_Col!$AH49," ")</f>
        <v>61.153582271227037</v>
      </c>
      <c r="BP49" s="26">
        <f>IFERROR($AC49*HDF_Limited_Col!BP49/HDF_Limited_Col!$AH49," ")</f>
        <v>18.382260233007891</v>
      </c>
      <c r="BQ49" s="26">
        <f>IFERROR($AC49*HDF_Limited_Col!BQ49/HDF_Limited_Col!$AH49," ")</f>
        <v>17.803291406771425</v>
      </c>
      <c r="BR49" s="26">
        <f>IFERROR($AC49*HDF_Limited_Col!BR49/HDF_Limited_Col!$AH49," ")</f>
        <v>10.421438872256441</v>
      </c>
      <c r="BS49" s="26">
        <f>IFERROR($AC49*HDF_Limited_Col!BS49/HDF_Limited_Col!$AH49," ")</f>
        <v>11.868860937847613</v>
      </c>
      <c r="BT49" s="26">
        <f>IFERROR($AC49*HDF_Limited_Col!BT49/HDF_Limited_Col!$AH49," ")</f>
        <v>17.224322580534952</v>
      </c>
      <c r="BU49" s="26">
        <f>IFERROR($AC49*HDF_Limited_Col!BU49/HDF_Limited_Col!$AH49," ")</f>
        <v>0</v>
      </c>
      <c r="BV49" s="26">
        <f>IFERROR($AC49*HDF_Limited_Col!BV49/HDF_Limited_Col!$AH49," ")</f>
        <v>16.066384928062014</v>
      </c>
      <c r="BW49" s="26">
        <f>IFERROR($AC49*HDF_Limited_Col!BW49/HDF_Limited_Col!$AH49," ")</f>
        <v>7.099605231724702</v>
      </c>
      <c r="BX49" s="26">
        <f>IFERROR($AC49*HDF_Limited_Col!BX49/HDF_Limited_Col!$AH49," ")</f>
        <v>69.259145838537606</v>
      </c>
      <c r="BY49" s="26">
        <f>IFERROR($AC49*HDF_Limited_Col!BY49/HDF_Limited_Col!$AH49," ")</f>
        <v>15.921642721502897</v>
      </c>
      <c r="BZ49" s="26">
        <f>IFERROR($AC49*HDF_Limited_Col!BZ49/HDF_Limited_Col!$AH49," ")</f>
        <v>0</v>
      </c>
      <c r="CA49" s="26">
        <f>IFERROR($AC49*HDF_Limited_Col!CA49/HDF_Limited_Col!$AH49," ")</f>
        <v>0</v>
      </c>
      <c r="CB49" s="26">
        <f>IFERROR($AC49*HDF_Limited_Col!CB49/HDF_Limited_Col!$AH49," ")</f>
        <v>31.336687720048886</v>
      </c>
      <c r="CC49" s="26">
        <f>IFERROR($AC49*HDF_Limited_Col!CC49/HDF_Limited_Col!$AH49," ")</f>
        <v>9.2635012197835049</v>
      </c>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row>
    <row r="50" spans="1:109">
      <c r="A50" s="26" t="s">
        <v>836</v>
      </c>
      <c r="B50" s="26" t="s">
        <v>24</v>
      </c>
      <c r="C50" s="152" t="s">
        <v>1800</v>
      </c>
      <c r="D50" s="26" t="s">
        <v>1706</v>
      </c>
      <c r="E50" s="26" t="s">
        <v>237</v>
      </c>
      <c r="F50" s="26" t="s">
        <v>163</v>
      </c>
      <c r="G50" s="26" t="s">
        <v>595</v>
      </c>
      <c r="H50" s="30">
        <v>355</v>
      </c>
      <c r="I50" s="26" t="s">
        <v>1148</v>
      </c>
      <c r="J50" s="153" t="s">
        <v>635</v>
      </c>
      <c r="K50" s="26" t="s">
        <v>128</v>
      </c>
      <c r="L50" s="26" t="s">
        <v>1509</v>
      </c>
      <c r="M50" s="26" t="s">
        <v>383</v>
      </c>
      <c r="N50" s="26">
        <v>24</v>
      </c>
      <c r="O50" s="95">
        <v>10.065364000190238</v>
      </c>
      <c r="P50" s="95">
        <v>0</v>
      </c>
      <c r="Q50" s="95">
        <v>0.65621731194821009</v>
      </c>
      <c r="R50" s="95">
        <v>7.5414512619278913</v>
      </c>
      <c r="S50" s="95">
        <v>30.993648425861615</v>
      </c>
      <c r="T50" s="95">
        <v>18.878867282202354</v>
      </c>
      <c r="U50" s="95">
        <v>0.44420864193417303</v>
      </c>
      <c r="V50" s="95">
        <v>10.085555302096337</v>
      </c>
      <c r="W50" s="95">
        <v>16.153041524879018</v>
      </c>
      <c r="X50" s="95">
        <v>3.4930952297550872</v>
      </c>
      <c r="Y50" s="95">
        <v>2.1806606058586677</v>
      </c>
      <c r="Z50" s="95">
        <v>100.49210958665357</v>
      </c>
      <c r="AA50" s="26"/>
      <c r="AB50" s="26"/>
      <c r="AC50" s="26">
        <f t="shared" si="0"/>
        <v>134092.4235433499</v>
      </c>
      <c r="AD50" s="26">
        <f>IFERROR($AC50*HDF_Limited_Col!AD50/HDF_Limited_Col!$AH50," ")</f>
        <v>0</v>
      </c>
      <c r="AE50" s="26">
        <f>IFERROR($AC50*HDF_Limited_Col!AE50/HDF_Limited_Col!$AH50," ")</f>
        <v>0</v>
      </c>
      <c r="AF50" s="26">
        <f>IFERROR($AC50*HDF_Limited_Col!AF50/HDF_Limited_Col!$AH50," ")</f>
        <v>0</v>
      </c>
      <c r="AG50" s="26">
        <f>IFERROR($AC50*HDF_Limited_Col!AG50/HDF_Limited_Col!$AH50," ")</f>
        <v>0</v>
      </c>
      <c r="AH50" s="26">
        <f>IFERROR($AC50*HDF_Limited_Col!AH50/HDF_Limited_Col!$AH50," ")</f>
        <v>134092.4235433499</v>
      </c>
      <c r="AI50" s="26">
        <f>IFERROR($AC50*HDF_Limited_Col!AI50/HDF_Limited_Col!$AH50," ")</f>
        <v>0</v>
      </c>
      <c r="AJ50" s="26" t="str">
        <f>IFERROR($AC50*HDF_Limited_Col!AJ50/HDF_Limited_Col!$AH50," ")</f>
        <v xml:space="preserve"> </v>
      </c>
      <c r="AK50" s="26">
        <f>IFERROR($AC50*HDF_Limited_Col!AK50/HDF_Limited_Col!$AH50," ")</f>
        <v>0</v>
      </c>
      <c r="AL50" s="26">
        <f>IFERROR($AC50*HDF_Limited_Col!AL50/HDF_Limited_Col!$AH50," ")</f>
        <v>0</v>
      </c>
      <c r="AM50" s="26">
        <f>IFERROR($AC50*HDF_Limited_Col!AM50/HDF_Limited_Col!$AH50," ")</f>
        <v>0</v>
      </c>
      <c r="AN50" s="26">
        <f>IFERROR($AC50*HDF_Limited_Col!AN50/HDF_Limited_Col!$AH50," ")</f>
        <v>0</v>
      </c>
      <c r="AO50" s="26">
        <f>IFERROR($AC50*HDF_Limited_Col!AO50/HDF_Limited_Col!$AH50," ")</f>
        <v>0</v>
      </c>
      <c r="AP50" s="26">
        <f>IFERROR($AC50*HDF_Limited_Col!AP50/HDF_Limited_Col!$AH50," ")</f>
        <v>0</v>
      </c>
      <c r="AQ50" s="26">
        <f>IFERROR($AC50*HDF_Limited_Col!AQ50/HDF_Limited_Col!$AH50," ")</f>
        <v>0</v>
      </c>
      <c r="AR50" s="26">
        <f>IFERROR($AC50*HDF_Limited_Col!AR50/HDF_Limited_Col!$AH50," ")</f>
        <v>0</v>
      </c>
      <c r="AS50" s="26">
        <f>IFERROR($AC50*HDF_Limited_Col!AS50/HDF_Limited_Col!$AH50," ")</f>
        <v>0</v>
      </c>
      <c r="AT50" s="26">
        <f>IFERROR($AC50*HDF_Limited_Col!AT50/HDF_Limited_Col!$AH50," ")</f>
        <v>0</v>
      </c>
      <c r="AU50" s="26">
        <f>IFERROR($AC50*HDF_Limited_Col!AU50/HDF_Limited_Col!$AH50," ")</f>
        <v>0</v>
      </c>
      <c r="AV50" s="26">
        <f>IFERROR($AC50*HDF_Limited_Col!AV50/HDF_Limited_Col!$AH50," ")</f>
        <v>0</v>
      </c>
      <c r="AW50" s="26">
        <f>IFERROR($AC50*HDF_Limited_Col!AW50/HDF_Limited_Col!$AH50," ")</f>
        <v>0</v>
      </c>
      <c r="AX50" s="26">
        <f>IFERROR($AC50*HDF_Limited_Col!AX50/HDF_Limited_Col!$AH50," ")</f>
        <v>688.10831948480654</v>
      </c>
      <c r="AY50" s="26">
        <f>IFERROR($AC50*HDF_Limited_Col!AY50/HDF_Limited_Col!$AH50," ")</f>
        <v>4209.0331647036401</v>
      </c>
      <c r="AZ50" s="26">
        <f>IFERROR($AC50*HDF_Limited_Col!AZ50/HDF_Limited_Col!$AH50," ")</f>
        <v>8.4541001991083977</v>
      </c>
      <c r="BA50" s="26">
        <f>IFERROR($AC50*HDF_Limited_Col!BA50/HDF_Limited_Col!$AH50," ")</f>
        <v>327.07666344091507</v>
      </c>
      <c r="BB50" s="26">
        <f>IFERROR($AC50*HDF_Limited_Col!BB50/HDF_Limited_Col!$AH50," ")</f>
        <v>0</v>
      </c>
      <c r="BC50" s="26">
        <f>IFERROR($AC50*HDF_Limited_Col!BC50/HDF_Limited_Col!$AH50," ")</f>
        <v>1113.5851655710817</v>
      </c>
      <c r="BD50" s="26">
        <f>IFERROR($AC50*HDF_Limited_Col!BD50/HDF_Limited_Col!$AH50," ")</f>
        <v>0</v>
      </c>
      <c r="BE50" s="26">
        <f>IFERROR($AC50*HDF_Limited_Col!BE50/HDF_Limited_Col!$AH50," ")</f>
        <v>0</v>
      </c>
      <c r="BF50" s="26">
        <f>IFERROR($AC50*HDF_Limited_Col!BF50/HDF_Limited_Col!$AH50," ")</f>
        <v>0</v>
      </c>
      <c r="BG50" s="26">
        <f>IFERROR($AC50*HDF_Limited_Col!BG50/HDF_Limited_Col!$AH50," ")</f>
        <v>0</v>
      </c>
      <c r="BH50" s="26">
        <f>IFERROR($AC50*HDF_Limited_Col!BH50/HDF_Limited_Col!$AH50," ")</f>
        <v>0</v>
      </c>
      <c r="BI50" s="26">
        <f>IFERROR($AC50*HDF_Limited_Col!BI50/HDF_Limited_Col!$AH50," ")</f>
        <v>11379.773235226075</v>
      </c>
      <c r="BJ50" s="26">
        <f>IFERROR($AC50*HDF_Limited_Col!BJ50/HDF_Limited_Col!$AH50," ")</f>
        <v>0</v>
      </c>
      <c r="BK50" s="26">
        <f>IFERROR($AC50*HDF_Limited_Col!BK50/HDF_Limited_Col!$AH50," ")</f>
        <v>958.36234224318969</v>
      </c>
      <c r="BL50" s="26">
        <f>IFERROR($AC50*HDF_Limited_Col!BL50/HDF_Limited_Col!$AH50," ")</f>
        <v>1576.4817994239022</v>
      </c>
      <c r="BM50" s="26">
        <f>IFERROR($AC50*HDF_Limited_Col!BM50/HDF_Limited_Col!$AH50," ")</f>
        <v>109.48752716878089</v>
      </c>
      <c r="BN50" s="26">
        <f>IFERROR($AC50*HDF_Limited_Col!BN50/HDF_Limited_Col!$AH50," ")</f>
        <v>365.18941024017425</v>
      </c>
      <c r="BO50" s="26" t="str">
        <f>IFERROR($AC50*HDF_Limited_Col!BO50/HDF_Limited_Col!$AH50," ")</f>
        <v xml:space="preserve"> </v>
      </c>
      <c r="BP50" s="26">
        <f>IFERROR($AC50*HDF_Limited_Col!BP50/HDF_Limited_Col!$AH50," ")</f>
        <v>2.3491311208997927</v>
      </c>
      <c r="BQ50" s="26">
        <f>IFERROR($AC50*HDF_Limited_Col!BQ50/HDF_Limited_Col!$AH50," ")</f>
        <v>8.4541001991083977</v>
      </c>
      <c r="BR50" s="26" t="str">
        <f>IFERROR($AC50*HDF_Limited_Col!BR50/HDF_Limited_Col!$AH50," ")</f>
        <v xml:space="preserve"> </v>
      </c>
      <c r="BS50" s="26">
        <f>IFERROR($AC50*HDF_Limited_Col!BS50/HDF_Limited_Col!$AH50," ")</f>
        <v>1.0255793684164285</v>
      </c>
      <c r="BT50" s="26">
        <f>IFERROR($AC50*HDF_Limited_Col!BT50/HDF_Limited_Col!$AH50," ")</f>
        <v>13.0276298150195</v>
      </c>
      <c r="BU50" s="26">
        <f>IFERROR($AC50*HDF_Limited_Col!BU50/HDF_Limited_Col!$AH50," ")</f>
        <v>0</v>
      </c>
      <c r="BV50" s="26">
        <f>IFERROR($AC50*HDF_Limited_Col!BV50/HDF_Limited_Col!$AH50," ")</f>
        <v>4.8091356870337938</v>
      </c>
      <c r="BW50" s="26" t="str">
        <f>IFERROR($AC50*HDF_Limited_Col!BW50/HDF_Limited_Col!$AH50," ")</f>
        <v xml:space="preserve"> </v>
      </c>
      <c r="BX50" s="26" t="str">
        <f>IFERROR($AC50*HDF_Limited_Col!BX50/HDF_Limited_Col!$AH50," ")</f>
        <v xml:space="preserve"> </v>
      </c>
      <c r="BY50" s="26">
        <f>IFERROR($AC50*HDF_Limited_Col!BY50/HDF_Limited_Col!$AH50," ")</f>
        <v>43.240643641341308</v>
      </c>
      <c r="BZ50" s="26">
        <f>IFERROR($AC50*HDF_Limited_Col!BZ50/HDF_Limited_Col!$AH50," ")</f>
        <v>0</v>
      </c>
      <c r="CA50" s="26">
        <f>IFERROR($AC50*HDF_Limited_Col!CA50/HDF_Limited_Col!$AH50," ")</f>
        <v>0</v>
      </c>
      <c r="CB50" s="26">
        <f>IFERROR($AC50*HDF_Limited_Col!CB50/HDF_Limited_Col!$AH50," ")</f>
        <v>128.89038008476737</v>
      </c>
      <c r="CC50" s="26">
        <f>IFERROR($AC50*HDF_Limited_Col!CC50/HDF_Limited_Col!$AH50," ")</f>
        <v>15.59157823606057</v>
      </c>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row>
    <row r="51" spans="1:109">
      <c r="A51" s="26" t="s">
        <v>1494</v>
      </c>
      <c r="B51" s="26" t="s">
        <v>24</v>
      </c>
      <c r="C51" s="152" t="s">
        <v>1800</v>
      </c>
      <c r="D51" s="26" t="s">
        <v>25</v>
      </c>
      <c r="E51" s="26" t="s">
        <v>237</v>
      </c>
      <c r="F51" s="26" t="s">
        <v>163</v>
      </c>
      <c r="G51" s="26" t="s">
        <v>595</v>
      </c>
      <c r="H51" s="30">
        <v>355</v>
      </c>
      <c r="I51" s="26" t="s">
        <v>735</v>
      </c>
      <c r="J51" s="26" t="s">
        <v>1426</v>
      </c>
      <c r="K51" s="26" t="s">
        <v>115</v>
      </c>
      <c r="L51" s="26"/>
      <c r="M51" s="26" t="s">
        <v>807</v>
      </c>
      <c r="N51" s="26">
        <v>52</v>
      </c>
      <c r="O51" s="95">
        <v>9.9658491597114764</v>
      </c>
      <c r="P51" s="95">
        <v>1.3220003987372366</v>
      </c>
      <c r="Q51" s="95">
        <v>1.118615722008431</v>
      </c>
      <c r="R51" s="95">
        <v>7.4235407006014054</v>
      </c>
      <c r="S51" s="95">
        <v>25.931546282922717</v>
      </c>
      <c r="T51" s="95">
        <v>20.846929364702575</v>
      </c>
      <c r="U51" s="95">
        <v>0.61015403018641678</v>
      </c>
      <c r="V51" s="95">
        <v>9.6607721446182673</v>
      </c>
      <c r="W51" s="95">
        <v>17.592774537041684</v>
      </c>
      <c r="X51" s="95">
        <v>3.5592318427540985</v>
      </c>
      <c r="Y51" s="95">
        <v>2.5423084591100702</v>
      </c>
      <c r="Z51" s="95">
        <v>100.5737226423944</v>
      </c>
      <c r="AA51" s="26"/>
      <c r="AB51" s="26"/>
      <c r="AC51" s="26">
        <f t="shared" si="1"/>
        <v>146044.18436554004</v>
      </c>
      <c r="AD51" s="26">
        <f>IFERROR($AC51*HDF_Limited_Col!AD51/HDF_Limited_Col!$AH51," ")</f>
        <v>0</v>
      </c>
      <c r="AE51" s="26">
        <f>IFERROR($AC51*HDF_Limited_Col!AE51/HDF_Limited_Col!$AH51," ")</f>
        <v>0</v>
      </c>
      <c r="AF51" s="26">
        <f>IFERROR($AC51*HDF_Limited_Col!AF51/HDF_Limited_Col!$AH51," ")</f>
        <v>0</v>
      </c>
      <c r="AG51" s="26">
        <f>IFERROR($AC51*HDF_Limited_Col!AG51/HDF_Limited_Col!$AH51," ")</f>
        <v>0</v>
      </c>
      <c r="AH51" s="26">
        <f>IFERROR($AC51*HDF_Limited_Col!AH51/HDF_Limited_Col!$AH51," ")</f>
        <v>146044.18436554004</v>
      </c>
      <c r="AI51" s="26">
        <f>IFERROR($AC51*HDF_Limited_Col!AI51/HDF_Limited_Col!$AH51," ")</f>
        <v>0</v>
      </c>
      <c r="AJ51" s="26">
        <f>IFERROR($AC51*HDF_Limited_Col!AJ51/HDF_Limited_Col!$AH51," ")</f>
        <v>6436.5977911864147</v>
      </c>
      <c r="AK51" s="26">
        <f>IFERROR($AC51*HDF_Limited_Col!AK51/HDF_Limited_Col!$AH51," ")</f>
        <v>0</v>
      </c>
      <c r="AL51" s="26">
        <f>IFERROR($AC51*HDF_Limited_Col!AL51/HDF_Limited_Col!$AH51," ")</f>
        <v>0</v>
      </c>
      <c r="AM51" s="26">
        <f>IFERROR($AC51*HDF_Limited_Col!AM51/HDF_Limited_Col!$AH51," ")</f>
        <v>0</v>
      </c>
      <c r="AN51" s="26">
        <f>IFERROR($AC51*HDF_Limited_Col!AN51/HDF_Limited_Col!$AH51," ")</f>
        <v>0</v>
      </c>
      <c r="AO51" s="26">
        <f>IFERROR($AC51*HDF_Limited_Col!AO51/HDF_Limited_Col!$AH51," ")</f>
        <v>0</v>
      </c>
      <c r="AP51" s="26">
        <f>IFERROR($AC51*HDF_Limited_Col!AP51/HDF_Limited_Col!$AH51," ")</f>
        <v>0</v>
      </c>
      <c r="AQ51" s="26">
        <f>IFERROR($AC51*HDF_Limited_Col!AQ51/HDF_Limited_Col!$AH51," ")</f>
        <v>0</v>
      </c>
      <c r="AR51" s="26">
        <f>IFERROR($AC51*HDF_Limited_Col!AR51/HDF_Limited_Col!$AH51," ")</f>
        <v>0</v>
      </c>
      <c r="AS51" s="26">
        <f>IFERROR($AC51*HDF_Limited_Col!AS51/HDF_Limited_Col!$AH51," ")</f>
        <v>0</v>
      </c>
      <c r="AT51" s="26">
        <f>IFERROR($AC51*HDF_Limited_Col!AT51/HDF_Limited_Col!$AH51," ")</f>
        <v>0</v>
      </c>
      <c r="AU51" s="26">
        <f>IFERROR($AC51*HDF_Limited_Col!AU51/HDF_Limited_Col!$AH51," ")</f>
        <v>0</v>
      </c>
      <c r="AV51" s="26">
        <f>IFERROR($AC51*HDF_Limited_Col!AV51/HDF_Limited_Col!$AH51," ")</f>
        <v>0</v>
      </c>
      <c r="AW51" s="26">
        <f>IFERROR($AC51*HDF_Limited_Col!AW51/HDF_Limited_Col!$AH51," ")</f>
        <v>0</v>
      </c>
      <c r="AX51" s="26">
        <f>IFERROR($AC51*HDF_Limited_Col!AX51/HDF_Limited_Col!$AH51," ")</f>
        <v>719.123339429103</v>
      </c>
      <c r="AY51" s="26">
        <f>IFERROR($AC51*HDF_Limited_Col!AY51/HDF_Limited_Col!$AH51," ")</f>
        <v>5637.5718584874121</v>
      </c>
      <c r="AZ51" s="26">
        <f>IFERROR($AC51*HDF_Limited_Col!AZ51/HDF_Limited_Col!$AH51," ")</f>
        <v>25.302487868801773</v>
      </c>
      <c r="BA51" s="26">
        <f>IFERROR($AC51*HDF_Limited_Col!BA51/HDF_Limited_Col!$AH51," ")</f>
        <v>670.29397687527501</v>
      </c>
      <c r="BB51" s="26">
        <f>IFERROR($AC51*HDF_Limited_Col!BB51/HDF_Limited_Col!$AH51," ")</f>
        <v>0</v>
      </c>
      <c r="BC51" s="26">
        <f>IFERROR($AC51*HDF_Limited_Col!BC51/HDF_Limited_Col!$AH51," ")</f>
        <v>1239.1560506273709</v>
      </c>
      <c r="BD51" s="26">
        <f>IFERROR($AC51*HDF_Limited_Col!BD51/HDF_Limited_Col!$AH51," ")</f>
        <v>0</v>
      </c>
      <c r="BE51" s="26">
        <f>IFERROR($AC51*HDF_Limited_Col!BE51/HDF_Limited_Col!$AH51," ")</f>
        <v>0</v>
      </c>
      <c r="BF51" s="26">
        <f>IFERROR($AC51*HDF_Limited_Col!BF51/HDF_Limited_Col!$AH51," ")</f>
        <v>0</v>
      </c>
      <c r="BG51" s="26">
        <f>IFERROR($AC51*HDF_Limited_Col!BG51/HDF_Limited_Col!$AH51," ")</f>
        <v>0</v>
      </c>
      <c r="BH51" s="26">
        <f>IFERROR($AC51*HDF_Limited_Col!BH51/HDF_Limited_Col!$AH51," ")</f>
        <v>7.1024527351022515</v>
      </c>
      <c r="BI51" s="26">
        <f>IFERROR($AC51*HDF_Limited_Col!BI51/HDF_Limited_Col!$AH51," ")</f>
        <v>11896.608331296271</v>
      </c>
      <c r="BJ51" s="26">
        <f>IFERROR($AC51*HDF_Limited_Col!BJ51/HDF_Limited_Col!$AH51," ")</f>
        <v>0</v>
      </c>
      <c r="BK51" s="26">
        <f>IFERROR($AC51*HDF_Limited_Col!BK51/HDF_Limited_Col!$AH51," ")</f>
        <v>1003.2214488331929</v>
      </c>
      <c r="BL51" s="26">
        <f>IFERROR($AC51*HDF_Limited_Col!BL51/HDF_Limited_Col!$AH51," ")</f>
        <v>1456.0028106959614</v>
      </c>
      <c r="BM51" s="26">
        <f>IFERROR($AC51*HDF_Limited_Col!BM51/HDF_Limited_Col!$AH51," ")</f>
        <v>166.01983268301512</v>
      </c>
      <c r="BN51" s="26">
        <f>IFERROR($AC51*HDF_Limited_Col!BN51/HDF_Limited_Col!$AH51," ")</f>
        <v>803.46496565844211</v>
      </c>
      <c r="BO51" s="26">
        <f>IFERROR($AC51*HDF_Limited_Col!BO51/HDF_Limited_Col!$AH51," ")</f>
        <v>71.024527351022513</v>
      </c>
      <c r="BP51" s="26">
        <f>IFERROR($AC51*HDF_Limited_Col!BP51/HDF_Limited_Col!$AH51," ")</f>
        <v>15.092712062092286</v>
      </c>
      <c r="BQ51" s="26">
        <f>IFERROR($AC51*HDF_Limited_Col!BQ51/HDF_Limited_Col!$AH51," ")</f>
        <v>33.736650491735695</v>
      </c>
      <c r="BR51" s="26">
        <f>IFERROR($AC51*HDF_Limited_Col!BR51/HDF_Limited_Col!$AH51," ")</f>
        <v>0</v>
      </c>
      <c r="BS51" s="26">
        <f>IFERROR($AC51*HDF_Limited_Col!BS51/HDF_Limited_Col!$AH51," ")</f>
        <v>0</v>
      </c>
      <c r="BT51" s="26">
        <f>IFERROR($AC51*HDF_Limited_Col!BT51/HDF_Limited_Col!$AH51," ")</f>
        <v>0</v>
      </c>
      <c r="BU51" s="26">
        <f>IFERROR($AC51*HDF_Limited_Col!BU51/HDF_Limited_Col!$AH51," ")</f>
        <v>0</v>
      </c>
      <c r="BV51" s="26">
        <f>IFERROR($AC51*HDF_Limited_Col!BV51/HDF_Limited_Col!$AH51," ")</f>
        <v>0</v>
      </c>
      <c r="BW51" s="26">
        <f>IFERROR($AC51*HDF_Limited_Col!BW51/HDF_Limited_Col!$AH51," ")</f>
        <v>0</v>
      </c>
      <c r="BX51" s="26">
        <f>IFERROR($AC51*HDF_Limited_Col!BX51/HDF_Limited_Col!$AH51," ")</f>
        <v>17.756131837755628</v>
      </c>
      <c r="BY51" s="26">
        <f>IFERROR($AC51*HDF_Limited_Col!BY51/HDF_Limited_Col!$AH51," ")</f>
        <v>59.039138360537471</v>
      </c>
      <c r="BZ51" s="26">
        <f>IFERROR($AC51*HDF_Limited_Col!BZ51/HDF_Limited_Col!$AH51," ")</f>
        <v>0</v>
      </c>
      <c r="CA51" s="26">
        <f>IFERROR($AC51*HDF_Limited_Col!CA51/HDF_Limited_Col!$AH51," ")</f>
        <v>0</v>
      </c>
      <c r="CB51" s="26">
        <f>IFERROR($AC51*HDF_Limited_Col!CB51/HDF_Limited_Col!$AH51," ")</f>
        <v>121.62950308862607</v>
      </c>
      <c r="CC51" s="26">
        <f>IFERROR($AC51*HDF_Limited_Col!CC51/HDF_Limited_Col!$AH51," ")</f>
        <v>22.195164797194536</v>
      </c>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row>
    <row r="52" spans="1:109">
      <c r="A52" s="26" t="s">
        <v>1494</v>
      </c>
      <c r="B52" s="26" t="s">
        <v>24</v>
      </c>
      <c r="C52" s="152" t="s">
        <v>1800</v>
      </c>
      <c r="D52" s="26" t="s">
        <v>25</v>
      </c>
      <c r="E52" s="26" t="s">
        <v>237</v>
      </c>
      <c r="F52" s="26" t="s">
        <v>163</v>
      </c>
      <c r="G52" s="26" t="s">
        <v>595</v>
      </c>
      <c r="H52" s="30">
        <v>355</v>
      </c>
      <c r="I52" s="26" t="s">
        <v>735</v>
      </c>
      <c r="J52" s="26" t="s">
        <v>1426</v>
      </c>
      <c r="K52" s="26" t="s">
        <v>115</v>
      </c>
      <c r="L52" s="26"/>
      <c r="M52" s="26" t="s">
        <v>808</v>
      </c>
      <c r="N52" s="26">
        <v>35</v>
      </c>
      <c r="O52" s="95">
        <v>8.5529098201284661</v>
      </c>
      <c r="P52" s="95">
        <v>1.7105819640256936</v>
      </c>
      <c r="Q52" s="95">
        <v>0.60373481083259761</v>
      </c>
      <c r="R52" s="95">
        <v>7.9491750092958693</v>
      </c>
      <c r="S52" s="95">
        <v>19.218891478171027</v>
      </c>
      <c r="T52" s="95">
        <v>17.810176919561631</v>
      </c>
      <c r="U52" s="95">
        <v>2.7168066487466898</v>
      </c>
      <c r="V52" s="95">
        <v>10.56535918957046</v>
      </c>
      <c r="W52" s="95">
        <v>24.149392433303905</v>
      </c>
      <c r="X52" s="95">
        <v>2.5155617118024902</v>
      </c>
      <c r="Y52" s="95">
        <v>5.4336132974933795</v>
      </c>
      <c r="Z52" s="95">
        <v>101.2262032829322</v>
      </c>
      <c r="AA52" s="26"/>
      <c r="AB52" s="26"/>
      <c r="AC52" s="26">
        <f t="shared" si="0"/>
        <v>200473.11544971779</v>
      </c>
      <c r="AD52" s="26">
        <f>IFERROR($AC52*HDF_Limited_Col!AD52/HDF_Limited_Col!$AH52," ")</f>
        <v>0</v>
      </c>
      <c r="AE52" s="26">
        <f>IFERROR($AC52*HDF_Limited_Col!AE52/HDF_Limited_Col!$AH52," ")</f>
        <v>0</v>
      </c>
      <c r="AF52" s="26">
        <f>IFERROR($AC52*HDF_Limited_Col!AF52/HDF_Limited_Col!$AH52," ")</f>
        <v>0</v>
      </c>
      <c r="AG52" s="26">
        <f>IFERROR($AC52*HDF_Limited_Col!AG52/HDF_Limited_Col!$AH52," ")</f>
        <v>0</v>
      </c>
      <c r="AH52" s="26">
        <f>IFERROR($AC52*HDF_Limited_Col!AH52/HDF_Limited_Col!$AH52," ")</f>
        <v>200473.11544971779</v>
      </c>
      <c r="AI52" s="26">
        <f>IFERROR($AC52*HDF_Limited_Col!AI52/HDF_Limited_Col!$AH52," ")</f>
        <v>0</v>
      </c>
      <c r="AJ52" s="26">
        <f>IFERROR($AC52*HDF_Limited_Col!AJ52/HDF_Limited_Col!$AH52," ")</f>
        <v>6284.7706745279638</v>
      </c>
      <c r="AK52" s="26">
        <f>IFERROR($AC52*HDF_Limited_Col!AK52/HDF_Limited_Col!$AH52," ")</f>
        <v>0</v>
      </c>
      <c r="AL52" s="26">
        <f>IFERROR($AC52*HDF_Limited_Col!AL52/HDF_Limited_Col!$AH52," ")</f>
        <v>0</v>
      </c>
      <c r="AM52" s="26">
        <f>IFERROR($AC52*HDF_Limited_Col!AM52/HDF_Limited_Col!$AH52," ")</f>
        <v>0</v>
      </c>
      <c r="AN52" s="26">
        <f>IFERROR($AC52*HDF_Limited_Col!AN52/HDF_Limited_Col!$AH52," ")</f>
        <v>0</v>
      </c>
      <c r="AO52" s="26">
        <f>IFERROR($AC52*HDF_Limited_Col!AO52/HDF_Limited_Col!$AH52," ")</f>
        <v>0</v>
      </c>
      <c r="AP52" s="26">
        <f>IFERROR($AC52*HDF_Limited_Col!AP52/HDF_Limited_Col!$AH52," ")</f>
        <v>0</v>
      </c>
      <c r="AQ52" s="26">
        <f>IFERROR($AC52*HDF_Limited_Col!AQ52/HDF_Limited_Col!$AH52," ")</f>
        <v>0</v>
      </c>
      <c r="AR52" s="26">
        <f>IFERROR($AC52*HDF_Limited_Col!AR52/HDF_Limited_Col!$AH52," ")</f>
        <v>0</v>
      </c>
      <c r="AS52" s="26">
        <f>IFERROR($AC52*HDF_Limited_Col!AS52/HDF_Limited_Col!$AH52," ")</f>
        <v>0</v>
      </c>
      <c r="AT52" s="26">
        <f>IFERROR($AC52*HDF_Limited_Col!AT52/HDF_Limited_Col!$AH52," ")</f>
        <v>0</v>
      </c>
      <c r="AU52" s="26">
        <f>IFERROR($AC52*HDF_Limited_Col!AU52/HDF_Limited_Col!$AH52," ")</f>
        <v>0</v>
      </c>
      <c r="AV52" s="26">
        <f>IFERROR($AC52*HDF_Limited_Col!AV52/HDF_Limited_Col!$AH52," ")</f>
        <v>0</v>
      </c>
      <c r="AW52" s="26">
        <f>IFERROR($AC52*HDF_Limited_Col!AW52/HDF_Limited_Col!$AH52," ")</f>
        <v>0</v>
      </c>
      <c r="AX52" s="26">
        <f>IFERROR($AC52*HDF_Limited_Col!AX52/HDF_Limited_Col!$AH52," ")</f>
        <v>618.63789614238067</v>
      </c>
      <c r="AY52" s="26">
        <f>IFERROR($AC52*HDF_Limited_Col!AY52/HDF_Limited_Col!$AH52," ")</f>
        <v>6358.5644593560792</v>
      </c>
      <c r="AZ52" s="26">
        <f>IFERROR($AC52*HDF_Limited_Col!AZ52/HDF_Limited_Col!$AH52," ")</f>
        <v>34.437099586454586</v>
      </c>
      <c r="BA52" s="26">
        <f>IFERROR($AC52*HDF_Limited_Col!BA52/HDF_Limited_Col!$AH52," ")</f>
        <v>372.65861338199073</v>
      </c>
      <c r="BB52" s="26">
        <f>IFERROR($AC52*HDF_Limited_Col!BB52/HDF_Limited_Col!$AH52," ")</f>
        <v>0</v>
      </c>
      <c r="BC52" s="26">
        <f>IFERROR($AC52*HDF_Limited_Col!BC52/HDF_Limited_Col!$AH52," ")</f>
        <v>2162.7728436707284</v>
      </c>
      <c r="BD52" s="26">
        <f>IFERROR($AC52*HDF_Limited_Col!BD52/HDF_Limited_Col!$AH52," ")</f>
        <v>0</v>
      </c>
      <c r="BE52" s="26">
        <f>IFERROR($AC52*HDF_Limited_Col!BE52/HDF_Limited_Col!$AH52," ")</f>
        <v>0</v>
      </c>
      <c r="BF52" s="26">
        <f>IFERROR($AC52*HDF_Limited_Col!BF52/HDF_Limited_Col!$AH52," ")</f>
        <v>0</v>
      </c>
      <c r="BG52" s="26">
        <f>IFERROR($AC52*HDF_Limited_Col!BG52/HDF_Limited_Col!$AH52," ")</f>
        <v>0</v>
      </c>
      <c r="BH52" s="26">
        <f>IFERROR($AC52*HDF_Limited_Col!BH52/HDF_Limited_Col!$AH52," ")</f>
        <v>24.597928276038996</v>
      </c>
      <c r="BI52" s="26">
        <f>IFERROR($AC52*HDF_Limited_Col!BI52/HDF_Limited_Col!$AH52," ")</f>
        <v>20416.280469112367</v>
      </c>
      <c r="BJ52" s="26">
        <f>IFERROR($AC52*HDF_Limited_Col!BJ52/HDF_Limited_Col!$AH52," ")</f>
        <v>0</v>
      </c>
      <c r="BK52" s="26">
        <f>IFERROR($AC52*HDF_Limited_Col!BK52/HDF_Limited_Col!$AH52," ")</f>
        <v>1475.8756965623395</v>
      </c>
      <c r="BL52" s="26">
        <f>IFERROR($AC52*HDF_Limited_Col!BL52/HDF_Limited_Col!$AH52," ")</f>
        <v>1820.2466924268856</v>
      </c>
      <c r="BM52" s="26">
        <f>IFERROR($AC52*HDF_Limited_Col!BM52/HDF_Limited_Col!$AH52," ")</f>
        <v>180.79477282888658</v>
      </c>
      <c r="BN52" s="26">
        <f>IFERROR($AC52*HDF_Limited_Col!BN52/HDF_Limited_Col!$AH52," ")</f>
        <v>575.59152165931243</v>
      </c>
      <c r="BO52" s="26">
        <f>IFERROR($AC52*HDF_Limited_Col!BO52/HDF_Limited_Col!$AH52," ")</f>
        <v>73.793784828116969</v>
      </c>
      <c r="BP52" s="26">
        <f>IFERROR($AC52*HDF_Limited_Col!BP52/HDF_Limited_Col!$AH52," ")</f>
        <v>15.988653379425346</v>
      </c>
      <c r="BQ52" s="26">
        <f>IFERROR($AC52*HDF_Limited_Col!BQ52/HDF_Limited_Col!$AH52," ")</f>
        <v>46.736063724474086</v>
      </c>
      <c r="BR52" s="26">
        <f>IFERROR($AC52*HDF_Limited_Col!BR52/HDF_Limited_Col!$AH52," ")</f>
        <v>0</v>
      </c>
      <c r="BS52" s="26">
        <f>IFERROR($AC52*HDF_Limited_Col!BS52/HDF_Limited_Col!$AH52," ")</f>
        <v>0</v>
      </c>
      <c r="BT52" s="26">
        <f>IFERROR($AC52*HDF_Limited_Col!BT52/HDF_Limited_Col!$AH52," ")</f>
        <v>0</v>
      </c>
      <c r="BU52" s="26">
        <f>IFERROR($AC52*HDF_Limited_Col!BU52/HDF_Limited_Col!$AH52," ")</f>
        <v>0</v>
      </c>
      <c r="BV52" s="26">
        <f>IFERROR($AC52*HDF_Limited_Col!BV52/HDF_Limited_Col!$AH52," ")</f>
        <v>0</v>
      </c>
      <c r="BW52" s="26">
        <f>IFERROR($AC52*HDF_Limited_Col!BW52/HDF_Limited_Col!$AH52," ")</f>
        <v>0</v>
      </c>
      <c r="BX52" s="26">
        <f>IFERROR($AC52*HDF_Limited_Col!BX52/HDF_Limited_Col!$AH52," ")</f>
        <v>0</v>
      </c>
      <c r="BY52" s="26">
        <f>IFERROR($AC52*HDF_Limited_Col!BY52/HDF_Limited_Col!$AH52," ")</f>
        <v>116.84015931118522</v>
      </c>
      <c r="BZ52" s="26">
        <f>IFERROR($AC52*HDF_Limited_Col!BZ52/HDF_Limited_Col!$AH52," ")</f>
        <v>0</v>
      </c>
      <c r="CA52" s="26">
        <f>IFERROR($AC52*HDF_Limited_Col!CA52/HDF_Limited_Col!$AH52," ")</f>
        <v>0</v>
      </c>
      <c r="CB52" s="26">
        <f>IFERROR($AC52*HDF_Limited_Col!CB52/HDF_Limited_Col!$AH52," ")</f>
        <v>214.00197600153919</v>
      </c>
      <c r="CC52" s="26">
        <f>IFERROR($AC52*HDF_Limited_Col!CC52/HDF_Limited_Col!$AH52," ")</f>
        <v>34.437099586454586</v>
      </c>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row>
    <row r="53" spans="1:109">
      <c r="A53" s="26" t="s">
        <v>1494</v>
      </c>
      <c r="B53" s="26" t="s">
        <v>24</v>
      </c>
      <c r="C53" s="152" t="s">
        <v>1800</v>
      </c>
      <c r="D53" s="26" t="s">
        <v>25</v>
      </c>
      <c r="E53" s="26" t="s">
        <v>237</v>
      </c>
      <c r="F53" s="26" t="s">
        <v>163</v>
      </c>
      <c r="G53" s="26" t="s">
        <v>595</v>
      </c>
      <c r="H53" s="30">
        <v>355</v>
      </c>
      <c r="I53" s="26" t="s">
        <v>735</v>
      </c>
      <c r="J53" s="26" t="s">
        <v>1426</v>
      </c>
      <c r="K53" s="26" t="s">
        <v>115</v>
      </c>
      <c r="L53" s="26"/>
      <c r="M53" s="26" t="s">
        <v>810</v>
      </c>
      <c r="N53" s="26">
        <v>27</v>
      </c>
      <c r="O53" s="95">
        <v>9.3815306329383361</v>
      </c>
      <c r="P53" s="95">
        <v>1.1217047495904533</v>
      </c>
      <c r="Q53" s="95">
        <v>0.71381211337574291</v>
      </c>
      <c r="R53" s="95">
        <v>7.2400942928111069</v>
      </c>
      <c r="S53" s="95">
        <v>23.249880264238488</v>
      </c>
      <c r="T53" s="95">
        <v>19.170953902091384</v>
      </c>
      <c r="U53" s="95">
        <v>2.1414363401272287</v>
      </c>
      <c r="V53" s="95">
        <v>12.338752245494986</v>
      </c>
      <c r="W53" s="95">
        <v>18.967007583984032</v>
      </c>
      <c r="X53" s="95">
        <v>2.7532752944492946</v>
      </c>
      <c r="Y53" s="95">
        <v>3.7730068849860703</v>
      </c>
      <c r="Z53" s="95">
        <v>100.85145430408713</v>
      </c>
      <c r="AA53" s="26"/>
      <c r="AB53" s="26"/>
      <c r="AC53" s="26">
        <f t="shared" si="0"/>
        <v>157452.20554186407</v>
      </c>
      <c r="AD53" s="26">
        <f>IFERROR($AC53*HDF_Limited_Col!AD53/HDF_Limited_Col!$AH53," ")</f>
        <v>0</v>
      </c>
      <c r="AE53" s="26">
        <f>IFERROR($AC53*HDF_Limited_Col!AE53/HDF_Limited_Col!$AH53," ")</f>
        <v>0</v>
      </c>
      <c r="AF53" s="26">
        <f>IFERROR($AC53*HDF_Limited_Col!AF53/HDF_Limited_Col!$AH53," ")</f>
        <v>0</v>
      </c>
      <c r="AG53" s="26">
        <f>IFERROR($AC53*HDF_Limited_Col!AG53/HDF_Limited_Col!$AH53," ")</f>
        <v>0</v>
      </c>
      <c r="AH53" s="26">
        <f>IFERROR($AC53*HDF_Limited_Col!AH53/HDF_Limited_Col!$AH53," ")</f>
        <v>157452.20554186407</v>
      </c>
      <c r="AI53" s="26">
        <f>IFERROR($AC53*HDF_Limited_Col!AI53/HDF_Limited_Col!$AH53," ")</f>
        <v>0</v>
      </c>
      <c r="AJ53" s="26">
        <f>IFERROR($AC53*HDF_Limited_Col!AJ53/HDF_Limited_Col!$AH53," ")</f>
        <v>12362.125867543651</v>
      </c>
      <c r="AK53" s="26">
        <f>IFERROR($AC53*HDF_Limited_Col!AK53/HDF_Limited_Col!$AH53," ")</f>
        <v>0</v>
      </c>
      <c r="AL53" s="26">
        <f>IFERROR($AC53*HDF_Limited_Col!AL53/HDF_Limited_Col!$AH53," ")</f>
        <v>0</v>
      </c>
      <c r="AM53" s="26">
        <f>IFERROR($AC53*HDF_Limited_Col!AM53/HDF_Limited_Col!$AH53," ")</f>
        <v>0</v>
      </c>
      <c r="AN53" s="26">
        <f>IFERROR($AC53*HDF_Limited_Col!AN53/HDF_Limited_Col!$AH53," ")</f>
        <v>0</v>
      </c>
      <c r="AO53" s="26">
        <f>IFERROR($AC53*HDF_Limited_Col!AO53/HDF_Limited_Col!$AH53," ")</f>
        <v>0</v>
      </c>
      <c r="AP53" s="26">
        <f>IFERROR($AC53*HDF_Limited_Col!AP53/HDF_Limited_Col!$AH53," ")</f>
        <v>0</v>
      </c>
      <c r="AQ53" s="26">
        <f>IFERROR($AC53*HDF_Limited_Col!AQ53/HDF_Limited_Col!$AH53," ")</f>
        <v>0</v>
      </c>
      <c r="AR53" s="26">
        <f>IFERROR($AC53*HDF_Limited_Col!AR53/HDF_Limited_Col!$AH53," ")</f>
        <v>0</v>
      </c>
      <c r="AS53" s="26">
        <f>IFERROR($AC53*HDF_Limited_Col!AS53/HDF_Limited_Col!$AH53," ")</f>
        <v>0</v>
      </c>
      <c r="AT53" s="26">
        <f>IFERROR($AC53*HDF_Limited_Col!AT53/HDF_Limited_Col!$AH53," ")</f>
        <v>0</v>
      </c>
      <c r="AU53" s="26">
        <f>IFERROR($AC53*HDF_Limited_Col!AU53/HDF_Limited_Col!$AH53," ")</f>
        <v>0</v>
      </c>
      <c r="AV53" s="26">
        <f>IFERROR($AC53*HDF_Limited_Col!AV53/HDF_Limited_Col!$AH53," ")</f>
        <v>0</v>
      </c>
      <c r="AW53" s="26">
        <f>IFERROR($AC53*HDF_Limited_Col!AW53/HDF_Limited_Col!$AH53," ")</f>
        <v>0</v>
      </c>
      <c r="AX53" s="26">
        <f>IFERROR($AC53*HDF_Limited_Col!AX53/HDF_Limited_Col!$AH53," ")</f>
        <v>802.15515526057777</v>
      </c>
      <c r="AY53" s="26">
        <f>IFERROR($AC53*HDF_Limited_Col!AY53/HDF_Limited_Col!$AH53," ")</f>
        <v>4468.2382653772229</v>
      </c>
      <c r="AZ53" s="26">
        <f>IFERROR($AC53*HDF_Limited_Col!AZ53/HDF_Limited_Col!$AH53," ")</f>
        <v>26.596656341531091</v>
      </c>
      <c r="BA53" s="26">
        <f>IFERROR($AC53*HDF_Limited_Col!BA53/HDF_Limited_Col!$AH53," ")</f>
        <v>582.99870700636154</v>
      </c>
      <c r="BB53" s="26">
        <f>IFERROR($AC53*HDF_Limited_Col!BB53/HDF_Limited_Col!$AH53," ")</f>
        <v>0</v>
      </c>
      <c r="BC53" s="26">
        <f>IFERROR($AC53*HDF_Limited_Col!BC53/HDF_Limited_Col!$AH53," ")</f>
        <v>1153.0182457180558</v>
      </c>
      <c r="BD53" s="26">
        <f>IFERROR($AC53*HDF_Limited_Col!BD53/HDF_Limited_Col!$AH53," ")</f>
        <v>0</v>
      </c>
      <c r="BE53" s="26">
        <f>IFERROR($AC53*HDF_Limited_Col!BE53/HDF_Limited_Col!$AH53," ")</f>
        <v>0</v>
      </c>
      <c r="BF53" s="26">
        <f>IFERROR($AC53*HDF_Limited_Col!BF53/HDF_Limited_Col!$AH53," ")</f>
        <v>0</v>
      </c>
      <c r="BG53" s="26">
        <f>IFERROR($AC53*HDF_Limited_Col!BG53/HDF_Limited_Col!$AH53," ")</f>
        <v>0</v>
      </c>
      <c r="BH53" s="26">
        <f>IFERROR($AC53*HDF_Limited_Col!BH53/HDF_Limited_Col!$AH53," ")</f>
        <v>8.7237032800221979</v>
      </c>
      <c r="BI53" s="26">
        <f>IFERROR($AC53*HDF_Limited_Col!BI53/HDF_Limited_Col!$AH53," ")</f>
        <v>10298.225335440839</v>
      </c>
      <c r="BJ53" s="26">
        <f>IFERROR($AC53*HDF_Limited_Col!BJ53/HDF_Limited_Col!$AH53," ")</f>
        <v>0</v>
      </c>
      <c r="BK53" s="26">
        <f>IFERROR($AC53*HDF_Limited_Col!BK53/HDF_Limited_Col!$AH53," ")</f>
        <v>846.83753791435004</v>
      </c>
      <c r="BL53" s="26">
        <f>IFERROR($AC53*HDF_Limited_Col!BL53/HDF_Limited_Col!$AH53," ")</f>
        <v>1195.7856691152381</v>
      </c>
      <c r="BM53" s="26">
        <f>IFERROR($AC53*HDF_Limited_Col!BM53/HDF_Limited_Col!$AH53," ")</f>
        <v>133.6216014598522</v>
      </c>
      <c r="BN53" s="26">
        <f>IFERROR($AC53*HDF_Limited_Col!BN53/HDF_Limited_Col!$AH53," ")</f>
        <v>457.46248907433471</v>
      </c>
      <c r="BO53" s="26">
        <f>IFERROR($AC53*HDF_Limited_Col!BO53/HDF_Limited_Col!$AH53," ")</f>
        <v>48.51230116695271</v>
      </c>
      <c r="BP53" s="26">
        <f>IFERROR($AC53*HDF_Limited_Col!BP53/HDF_Limited_Col!$AH53," ")</f>
        <v>12.553621793202675</v>
      </c>
      <c r="BQ53" s="26">
        <f>IFERROR($AC53*HDF_Limited_Col!BQ53/HDF_Limited_Col!$AH53," ")</f>
        <v>28.724388848853582</v>
      </c>
      <c r="BR53" s="26">
        <f>IFERROR($AC53*HDF_Limited_Col!BR53/HDF_Limited_Col!$AH53," ")</f>
        <v>9.1492497814866951</v>
      </c>
      <c r="BS53" s="26">
        <f>IFERROR($AC53*HDF_Limited_Col!BS53/HDF_Limited_Col!$AH53," ")</f>
        <v>1.2766395043934924</v>
      </c>
      <c r="BT53" s="26">
        <f>IFERROR($AC53*HDF_Limited_Col!BT53/HDF_Limited_Col!$AH53," ")</f>
        <v>0</v>
      </c>
      <c r="BU53" s="26">
        <f>IFERROR($AC53*HDF_Limited_Col!BU53/HDF_Limited_Col!$AH53," ")</f>
        <v>0</v>
      </c>
      <c r="BV53" s="26">
        <f>IFERROR($AC53*HDF_Limited_Col!BV53/HDF_Limited_Col!$AH53," ")</f>
        <v>2.5532790087869848</v>
      </c>
      <c r="BW53" s="26">
        <f>IFERROR($AC53*HDF_Limited_Col!BW53/HDF_Limited_Col!$AH53," ")</f>
        <v>0</v>
      </c>
      <c r="BX53" s="26">
        <f>IFERROR($AC53*HDF_Limited_Col!BX53/HDF_Limited_Col!$AH53," ")</f>
        <v>14.255807799060666</v>
      </c>
      <c r="BY53" s="26">
        <f>IFERROR($AC53*HDF_Limited_Col!BY53/HDF_Limited_Col!$AH53," ")</f>
        <v>48.299527916220462</v>
      </c>
      <c r="BZ53" s="26">
        <f>IFERROR($AC53*HDF_Limited_Col!BZ53/HDF_Limited_Col!$AH53," ")</f>
        <v>0</v>
      </c>
      <c r="CA53" s="26">
        <f>IFERROR($AC53*HDF_Limited_Col!CA53/HDF_Limited_Col!$AH53," ")</f>
        <v>0</v>
      </c>
      <c r="CB53" s="26">
        <f>IFERROR($AC53*HDF_Limited_Col!CB53/HDF_Limited_Col!$AH53," ")</f>
        <v>101.91838710074714</v>
      </c>
      <c r="CC53" s="26">
        <f>IFERROR($AC53*HDF_Limited_Col!CC53/HDF_Limited_Col!$AH53," ")</f>
        <v>18.511272813705638</v>
      </c>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row>
    <row r="54" spans="1:109">
      <c r="A54" s="26" t="s">
        <v>1494</v>
      </c>
      <c r="B54" s="26" t="s">
        <v>24</v>
      </c>
      <c r="C54" s="152" t="s">
        <v>1800</v>
      </c>
      <c r="D54" s="26" t="s">
        <v>25</v>
      </c>
      <c r="E54" s="26" t="s">
        <v>237</v>
      </c>
      <c r="F54" s="26" t="s">
        <v>163</v>
      </c>
      <c r="G54" s="26" t="s">
        <v>595</v>
      </c>
      <c r="H54" s="30">
        <v>355</v>
      </c>
      <c r="I54" s="26" t="s">
        <v>735</v>
      </c>
      <c r="J54" s="26" t="s">
        <v>1426</v>
      </c>
      <c r="K54" s="26" t="s">
        <v>115</v>
      </c>
      <c r="L54" s="26"/>
      <c r="M54" s="26" t="s">
        <v>812</v>
      </c>
      <c r="N54" s="26">
        <v>28</v>
      </c>
      <c r="O54" s="95">
        <v>8.024287901037555</v>
      </c>
      <c r="P54" s="95">
        <v>0.60182159257781664</v>
      </c>
      <c r="Q54" s="95">
        <v>0.60182159257781664</v>
      </c>
      <c r="R54" s="95">
        <v>8.525805894852402</v>
      </c>
      <c r="S54" s="95">
        <v>22.066791727853278</v>
      </c>
      <c r="T54" s="95">
        <v>20.662541345171707</v>
      </c>
      <c r="U54" s="95">
        <v>1.5045539814445417</v>
      </c>
      <c r="V54" s="95">
        <v>8.2248950985634934</v>
      </c>
      <c r="W54" s="95">
        <v>23.57134570929782</v>
      </c>
      <c r="X54" s="95">
        <v>3.1094115616520526</v>
      </c>
      <c r="Y54" s="95">
        <v>4.0121439505187775</v>
      </c>
      <c r="Z54" s="95">
        <v>100.90542035554726</v>
      </c>
      <c r="AA54" s="26"/>
      <c r="AB54" s="26"/>
      <c r="AC54" s="26">
        <f t="shared" si="0"/>
        <v>195674.53395508809</v>
      </c>
      <c r="AD54" s="26">
        <f>IFERROR($AC54*HDF_Limited_Col!AD54/HDF_Limited_Col!$AH54," ")</f>
        <v>0</v>
      </c>
      <c r="AE54" s="26">
        <f>IFERROR($AC54*HDF_Limited_Col!AE54/HDF_Limited_Col!$AH54," ")</f>
        <v>0</v>
      </c>
      <c r="AF54" s="26">
        <f>IFERROR($AC54*HDF_Limited_Col!AF54/HDF_Limited_Col!$AH54," ")</f>
        <v>0</v>
      </c>
      <c r="AG54" s="26">
        <f>IFERROR($AC54*HDF_Limited_Col!AG54/HDF_Limited_Col!$AH54," ")</f>
        <v>0</v>
      </c>
      <c r="AH54" s="26">
        <f>IFERROR($AC54*HDF_Limited_Col!AH54/HDF_Limited_Col!$AH54," ")</f>
        <v>195674.53395508809</v>
      </c>
      <c r="AI54" s="26">
        <f>IFERROR($AC54*HDF_Limited_Col!AI54/HDF_Limited_Col!$AH54," ")</f>
        <v>0</v>
      </c>
      <c r="AJ54" s="26">
        <f>IFERROR($AC54*HDF_Limited_Col!AJ54/HDF_Limited_Col!$AH54," ")</f>
        <v>4327.3310727539019</v>
      </c>
      <c r="AK54" s="26">
        <f>IFERROR($AC54*HDF_Limited_Col!AK54/HDF_Limited_Col!$AH54," ")</f>
        <v>0</v>
      </c>
      <c r="AL54" s="26">
        <f>IFERROR($AC54*HDF_Limited_Col!AL54/HDF_Limited_Col!$AH54," ")</f>
        <v>0</v>
      </c>
      <c r="AM54" s="26">
        <f>IFERROR($AC54*HDF_Limited_Col!AM54/HDF_Limited_Col!$AH54," ")</f>
        <v>0</v>
      </c>
      <c r="AN54" s="26">
        <f>IFERROR($AC54*HDF_Limited_Col!AN54/HDF_Limited_Col!$AH54," ")</f>
        <v>0</v>
      </c>
      <c r="AO54" s="26">
        <f>IFERROR($AC54*HDF_Limited_Col!AO54/HDF_Limited_Col!$AH54," ")</f>
        <v>0</v>
      </c>
      <c r="AP54" s="26">
        <f>IFERROR($AC54*HDF_Limited_Col!AP54/HDF_Limited_Col!$AH54," ")</f>
        <v>0</v>
      </c>
      <c r="AQ54" s="26">
        <f>IFERROR($AC54*HDF_Limited_Col!AQ54/HDF_Limited_Col!$AH54," ")</f>
        <v>0</v>
      </c>
      <c r="AR54" s="26">
        <f>IFERROR($AC54*HDF_Limited_Col!AR54/HDF_Limited_Col!$AH54," ")</f>
        <v>0</v>
      </c>
      <c r="AS54" s="26">
        <f>IFERROR($AC54*HDF_Limited_Col!AS54/HDF_Limited_Col!$AH54," ")</f>
        <v>0</v>
      </c>
      <c r="AT54" s="26">
        <f>IFERROR($AC54*HDF_Limited_Col!AT54/HDF_Limited_Col!$AH54," ")</f>
        <v>0</v>
      </c>
      <c r="AU54" s="26">
        <f>IFERROR($AC54*HDF_Limited_Col!AU54/HDF_Limited_Col!$AH54," ")</f>
        <v>0</v>
      </c>
      <c r="AV54" s="26">
        <f>IFERROR($AC54*HDF_Limited_Col!AV54/HDF_Limited_Col!$AH54," ")</f>
        <v>0</v>
      </c>
      <c r="AW54" s="26">
        <f>IFERROR($AC54*HDF_Limited_Col!AW54/HDF_Limited_Col!$AH54," ")</f>
        <v>0</v>
      </c>
      <c r="AX54" s="26">
        <f>IFERROR($AC54*HDF_Limited_Col!AX54/HDF_Limited_Col!$AH54," ")</f>
        <v>701.72936314928143</v>
      </c>
      <c r="AY54" s="26">
        <f>IFERROR($AC54*HDF_Limited_Col!AY54/HDF_Limited_Col!$AH54," ")</f>
        <v>5847.7446929106791</v>
      </c>
      <c r="AZ54" s="26">
        <f>IFERROR($AC54*HDF_Limited_Col!AZ54/HDF_Limited_Col!$AH54," ")</f>
        <v>10.346009841303507</v>
      </c>
      <c r="BA54" s="26">
        <f>IFERROR($AC54*HDF_Limited_Col!BA54/HDF_Limited_Col!$AH54," ")</f>
        <v>409.34212850374752</v>
      </c>
      <c r="BB54" s="26">
        <f>IFERROR($AC54*HDF_Limited_Col!BB54/HDF_Limited_Col!$AH54," ")</f>
        <v>0</v>
      </c>
      <c r="BC54" s="26">
        <f>IFERROR($AC54*HDF_Limited_Col!BC54/HDF_Limited_Col!$AH54," ")</f>
        <v>1648.3892636285525</v>
      </c>
      <c r="BD54" s="26">
        <f>IFERROR($AC54*HDF_Limited_Col!BD54/HDF_Limited_Col!$AH54," ")</f>
        <v>0</v>
      </c>
      <c r="BE54" s="26">
        <f>IFERROR($AC54*HDF_Limited_Col!BE54/HDF_Limited_Col!$AH54," ")</f>
        <v>0</v>
      </c>
      <c r="BF54" s="26">
        <f>IFERROR($AC54*HDF_Limited_Col!BF54/HDF_Limited_Col!$AH54," ")</f>
        <v>0</v>
      </c>
      <c r="BG54" s="26">
        <f>IFERROR($AC54*HDF_Limited_Col!BG54/HDF_Limited_Col!$AH54," ")</f>
        <v>0</v>
      </c>
      <c r="BH54" s="26">
        <f>IFERROR($AC54*HDF_Limited_Col!BH54/HDF_Limited_Col!$AH54," ")</f>
        <v>9.8961833264642252</v>
      </c>
      <c r="BI54" s="26">
        <f>IFERROR($AC54*HDF_Limited_Col!BI54/HDF_Limited_Col!$AH54," ")</f>
        <v>16193.754534214188</v>
      </c>
      <c r="BJ54" s="26">
        <f>IFERROR($AC54*HDF_Limited_Col!BJ54/HDF_Limited_Col!$AH54," ")</f>
        <v>0</v>
      </c>
      <c r="BK54" s="26">
        <f>IFERROR($AC54*HDF_Limited_Col!BK54/HDF_Limited_Col!$AH54," ")</f>
        <v>1273.0090369951708</v>
      </c>
      <c r="BL54" s="26">
        <f>IFERROR($AC54*HDF_Limited_Col!BL54/HDF_Limited_Col!$AH54," ")</f>
        <v>1673.3546352021326</v>
      </c>
      <c r="BM54" s="26">
        <f>IFERROR($AC54*HDF_Limited_Col!BM54/HDF_Limited_Col!$AH54," ")</f>
        <v>172.28355518344537</v>
      </c>
      <c r="BN54" s="26">
        <f>IFERROR($AC54*HDF_Limited_Col!BN54/HDF_Limited_Col!$AH54," ")</f>
        <v>634.25538592338899</v>
      </c>
      <c r="BO54" s="26">
        <f>IFERROR($AC54*HDF_Limited_Col!BO54/HDF_Limited_Col!$AH54," ")</f>
        <v>47.681610572963997</v>
      </c>
      <c r="BP54" s="26">
        <f>IFERROR($AC54*HDF_Limited_Col!BP54/HDF_Limited_Col!$AH54," ")</f>
        <v>10.346009841303507</v>
      </c>
      <c r="BQ54" s="26">
        <f>IFERROR($AC54*HDF_Limited_Col!BQ54/HDF_Limited_Col!$AH54," ")</f>
        <v>21.141846197446302</v>
      </c>
      <c r="BR54" s="26">
        <f>IFERROR($AC54*HDF_Limited_Col!BR54/HDF_Limited_Col!$AH54," ")</f>
        <v>0</v>
      </c>
      <c r="BS54" s="26">
        <f>IFERROR($AC54*HDF_Limited_Col!BS54/HDF_Limited_Col!$AH54," ")</f>
        <v>0</v>
      </c>
      <c r="BT54" s="26">
        <f>IFERROR($AC54*HDF_Limited_Col!BT54/HDF_Limited_Col!$AH54," ")</f>
        <v>0</v>
      </c>
      <c r="BU54" s="26">
        <f>IFERROR($AC54*HDF_Limited_Col!BU54/HDF_Limited_Col!$AH54," ")</f>
        <v>0</v>
      </c>
      <c r="BV54" s="26">
        <f>IFERROR($AC54*HDF_Limited_Col!BV54/HDF_Limited_Col!$AH54," ")</f>
        <v>0</v>
      </c>
      <c r="BW54" s="26">
        <f>IFERROR($AC54*HDF_Limited_Col!BW54/HDF_Limited_Col!$AH54," ")</f>
        <v>0</v>
      </c>
      <c r="BX54" s="26">
        <f>IFERROR($AC54*HDF_Limited_Col!BX54/HDF_Limited_Col!$AH54," ")</f>
        <v>10.795836356142791</v>
      </c>
      <c r="BY54" s="26">
        <f>IFERROR($AC54*HDF_Limited_Col!BY54/HDF_Limited_Col!$AH54," ")</f>
        <v>94.913394631088707</v>
      </c>
      <c r="BZ54" s="26">
        <f>IFERROR($AC54*HDF_Limited_Col!BZ54/HDF_Limited_Col!$AH54," ")</f>
        <v>0</v>
      </c>
      <c r="CA54" s="26">
        <f>IFERROR($AC54*HDF_Limited_Col!CA54/HDF_Limited_Col!$AH54," ")</f>
        <v>0</v>
      </c>
      <c r="CB54" s="26">
        <f>IFERROR($AC54*HDF_Limited_Col!CB54/HDF_Limited_Col!$AH54," ")</f>
        <v>163.736851401499</v>
      </c>
      <c r="CC54" s="26">
        <f>IFERROR($AC54*HDF_Limited_Col!CC54/HDF_Limited_Col!$AH54," ")</f>
        <v>29.238723464553395</v>
      </c>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row>
    <row r="55" spans="1:109">
      <c r="A55" s="26" t="s">
        <v>1469</v>
      </c>
      <c r="B55" s="26" t="s">
        <v>24</v>
      </c>
      <c r="C55" s="152" t="s">
        <v>1800</v>
      </c>
      <c r="D55" s="26" t="s">
        <v>25</v>
      </c>
      <c r="E55" s="26" t="s">
        <v>237</v>
      </c>
      <c r="F55" s="26" t="s">
        <v>163</v>
      </c>
      <c r="G55" s="26" t="s">
        <v>595</v>
      </c>
      <c r="H55" s="30">
        <v>355</v>
      </c>
      <c r="I55" s="26" t="s">
        <v>735</v>
      </c>
      <c r="J55" s="26" t="s">
        <v>596</v>
      </c>
      <c r="K55" s="26" t="s">
        <v>115</v>
      </c>
      <c r="L55" s="26"/>
      <c r="M55" s="26" t="s">
        <v>591</v>
      </c>
      <c r="N55" s="26">
        <v>29</v>
      </c>
      <c r="O55" s="95">
        <v>8.6555345936055161</v>
      </c>
      <c r="P55" s="95">
        <v>1.2077490130612349</v>
      </c>
      <c r="Q55" s="95">
        <v>0.50322875544218126</v>
      </c>
      <c r="R55" s="95">
        <v>10.064575108843623</v>
      </c>
      <c r="S55" s="95">
        <v>23.752397256870953</v>
      </c>
      <c r="T55" s="95">
        <v>25.060792021020621</v>
      </c>
      <c r="U55" s="95">
        <v>0</v>
      </c>
      <c r="V55" s="95">
        <v>6.9445568251021008</v>
      </c>
      <c r="W55" s="95">
        <v>19.927858715510375</v>
      </c>
      <c r="X55" s="95">
        <v>2.0129150217687251</v>
      </c>
      <c r="Y55" s="95">
        <v>2.4154980261224699</v>
      </c>
      <c r="Z55" s="95">
        <v>100.54510533734779</v>
      </c>
      <c r="AA55" s="26"/>
      <c r="AB55" s="26"/>
      <c r="AC55" s="26">
        <f t="shared" si="0"/>
        <v>165428.58922739432</v>
      </c>
      <c r="AD55" s="26">
        <f>IFERROR($AC55*HDF_Limited_Col!AD55/HDF_Limited_Col!$AH55," ")</f>
        <v>727421.97412606573</v>
      </c>
      <c r="AE55" s="26">
        <f>IFERROR($AC55*HDF_Limited_Col!AE55/HDF_Limited_Col!$AH55," ")</f>
        <v>0</v>
      </c>
      <c r="AF55" s="26">
        <f>IFERROR($AC55*HDF_Limited_Col!AF55/HDF_Limited_Col!$AH55," ")</f>
        <v>0</v>
      </c>
      <c r="AG55" s="26">
        <f>IFERROR($AC55*HDF_Limited_Col!AG55/HDF_Limited_Col!$AH55," ")</f>
        <v>0</v>
      </c>
      <c r="AH55" s="26">
        <f>IFERROR($AC55*HDF_Limited_Col!AH55/HDF_Limited_Col!$AH55," ")</f>
        <v>165428.58922739432</v>
      </c>
      <c r="AI55" s="26">
        <f>IFERROR($AC55*HDF_Limited_Col!AI55/HDF_Limited_Col!$AH55," ")</f>
        <v>0</v>
      </c>
      <c r="AJ55" s="26">
        <f>IFERROR($AC55*HDF_Limited_Col!AJ55/HDF_Limited_Col!$AH55," ")</f>
        <v>0</v>
      </c>
      <c r="AK55" s="26">
        <f>IFERROR($AC55*HDF_Limited_Col!AK55/HDF_Limited_Col!$AH55," ")</f>
        <v>19866.891323102962</v>
      </c>
      <c r="AL55" s="26">
        <f>IFERROR($AC55*HDF_Limited_Col!AL55/HDF_Limited_Col!$AH55," ")</f>
        <v>0</v>
      </c>
      <c r="AM55" s="26">
        <f>IFERROR($AC55*HDF_Limited_Col!AM55/HDF_Limited_Col!$AH55," ")</f>
        <v>637750.40239532862</v>
      </c>
      <c r="AN55" s="26">
        <f>IFERROR($AC55*HDF_Limited_Col!AN55/HDF_Limited_Col!$AH55," ")</f>
        <v>0</v>
      </c>
      <c r="AO55" s="26">
        <f>IFERROR($AC55*HDF_Limited_Col!AO55/HDF_Limited_Col!$AH55," ")</f>
        <v>0</v>
      </c>
      <c r="AP55" s="26">
        <f>IFERROR($AC55*HDF_Limited_Col!AP55/HDF_Limited_Col!$AH55," ")</f>
        <v>1549.926735518344</v>
      </c>
      <c r="AQ55" s="26">
        <f>IFERROR($AC55*HDF_Limited_Col!AQ55/HDF_Limited_Col!$AH55," ")</f>
        <v>595.23370890230672</v>
      </c>
      <c r="AR55" s="26">
        <f>IFERROR($AC55*HDF_Limited_Col!AR55/HDF_Limited_Col!$AH55," ")</f>
        <v>0</v>
      </c>
      <c r="AS55" s="26">
        <f>IFERROR($AC55*HDF_Limited_Col!AS55/HDF_Limited_Col!$AH55," ")</f>
        <v>361.39189469068623</v>
      </c>
      <c r="AT55" s="26">
        <f>IFERROR($AC55*HDF_Limited_Col!AT55/HDF_Limited_Col!$AH55," ")</f>
        <v>0</v>
      </c>
      <c r="AU55" s="26">
        <f>IFERROR($AC55*HDF_Limited_Col!AU55/HDF_Limited_Col!$AH55," ")</f>
        <v>106.29173373255477</v>
      </c>
      <c r="AV55" s="26">
        <f>IFERROR($AC55*HDF_Limited_Col!AV55/HDF_Limited_Col!$AH55," ")</f>
        <v>0</v>
      </c>
      <c r="AW55" s="26">
        <f>IFERROR($AC55*HDF_Limited_Col!AW55/HDF_Limited_Col!$AH55," ")</f>
        <v>3459.3127887504188</v>
      </c>
      <c r="AX55" s="26">
        <f>IFERROR($AC55*HDF_Limited_Col!AX55/HDF_Limited_Col!$AH55," ")</f>
        <v>6995.928656579059</v>
      </c>
      <c r="AY55" s="26">
        <f>IFERROR($AC55*HDF_Limited_Col!AY55/HDF_Limited_Col!$AH55," ")</f>
        <v>63388.52484414175</v>
      </c>
      <c r="AZ55" s="26">
        <f>IFERROR($AC55*HDF_Limited_Col!AZ55/HDF_Limited_Col!$AH55," ")</f>
        <v>0</v>
      </c>
      <c r="BA55" s="26">
        <f>IFERROR($AC55*HDF_Limited_Col!BA55/HDF_Limited_Col!$AH55," ")</f>
        <v>7343.7925124310559</v>
      </c>
      <c r="BB55" s="26">
        <f>IFERROR($AC55*HDF_Limited_Col!BB55/HDF_Limited_Col!$AH55," ")</f>
        <v>6.9572771170399488</v>
      </c>
      <c r="BC55" s="26">
        <f>IFERROR($AC55*HDF_Limited_Col!BC55/HDF_Limited_Col!$AH55," ")</f>
        <v>0</v>
      </c>
      <c r="BD55" s="26">
        <f>IFERROR($AC55*HDF_Limited_Col!BD55/HDF_Limited_Col!$AH55," ")</f>
        <v>0</v>
      </c>
      <c r="BE55" s="26">
        <f>IFERROR($AC55*HDF_Limited_Col!BE55/HDF_Limited_Col!$AH55," ")</f>
        <v>0</v>
      </c>
      <c r="BF55" s="26">
        <f>IFERROR($AC55*HDF_Limited_Col!BF55/HDF_Limited_Col!$AH55," ")</f>
        <v>0</v>
      </c>
      <c r="BG55" s="26">
        <f>IFERROR($AC55*HDF_Limited_Col!BG55/HDF_Limited_Col!$AH55," ")</f>
        <v>0</v>
      </c>
      <c r="BH55" s="26">
        <f>IFERROR($AC55*HDF_Limited_Col!BH55/HDF_Limited_Col!$AH55," ")</f>
        <v>85.806417776826038</v>
      </c>
      <c r="BI55" s="26">
        <f>IFERROR($AC55*HDF_Limited_Col!BI55/HDF_Limited_Col!$AH55," ")</f>
        <v>84646.871590652692</v>
      </c>
      <c r="BJ55" s="26">
        <f>IFERROR($AC55*HDF_Limited_Col!BJ55/HDF_Limited_Col!$AH55," ")</f>
        <v>0</v>
      </c>
      <c r="BK55" s="26">
        <f>IFERROR($AC55*HDF_Limited_Col!BK55/HDF_Limited_Col!$AH55," ")</f>
        <v>9199.0664103083764</v>
      </c>
      <c r="BL55" s="26">
        <f>IFERROR($AC55*HDF_Limited_Col!BL55/HDF_Limited_Col!$AH55," ")</f>
        <v>12909.614206063015</v>
      </c>
      <c r="BM55" s="26">
        <f>IFERROR($AC55*HDF_Limited_Col!BM55/HDF_Limited_Col!$AH55," ")</f>
        <v>0</v>
      </c>
      <c r="BN55" s="26">
        <f>IFERROR($AC55*HDF_Limited_Col!BN55/HDF_Limited_Col!$AH55," ")</f>
        <v>3324.0324003635305</v>
      </c>
      <c r="BO55" s="26">
        <f>IFERROR($AC55*HDF_Limited_Col!BO55/HDF_Limited_Col!$AH55," ")</f>
        <v>510.20032191626296</v>
      </c>
      <c r="BP55" s="26">
        <f>IFERROR($AC55*HDF_Limited_Col!BP55/HDF_Limited_Col!$AH55," ")</f>
        <v>101.26703359247036</v>
      </c>
      <c r="BQ55" s="26">
        <f>IFERROR($AC55*HDF_Limited_Col!BQ55/HDF_Limited_Col!$AH55," ")</f>
        <v>1070.64764523337</v>
      </c>
      <c r="BR55" s="26">
        <f>IFERROR($AC55*HDF_Limited_Col!BR55/HDF_Limited_Col!$AH55," ")</f>
        <v>0</v>
      </c>
      <c r="BS55" s="26">
        <f>IFERROR($AC55*HDF_Limited_Col!BS55/HDF_Limited_Col!$AH55," ")</f>
        <v>0</v>
      </c>
      <c r="BT55" s="26">
        <f>IFERROR($AC55*HDF_Limited_Col!BT55/HDF_Limited_Col!$AH55," ")</f>
        <v>0</v>
      </c>
      <c r="BU55" s="26">
        <f>IFERROR($AC55*HDF_Limited_Col!BU55/HDF_Limited_Col!$AH55," ")</f>
        <v>0</v>
      </c>
      <c r="BV55" s="26">
        <f>IFERROR($AC55*HDF_Limited_Col!BV55/HDF_Limited_Col!$AH55," ")</f>
        <v>9.6628848847777071</v>
      </c>
      <c r="BW55" s="26">
        <f>IFERROR($AC55*HDF_Limited_Col!BW55/HDF_Limited_Col!$AH55," ")</f>
        <v>1.5074100420253222</v>
      </c>
      <c r="BX55" s="26">
        <f>IFERROR($AC55*HDF_Limited_Col!BX55/HDF_Limited_Col!$AH55," ")</f>
        <v>103.58612596481701</v>
      </c>
      <c r="BY55" s="26">
        <f>IFERROR($AC55*HDF_Limited_Col!BY55/HDF_Limited_Col!$AH55," ")</f>
        <v>572.04278517884018</v>
      </c>
      <c r="BZ55" s="26">
        <f>IFERROR($AC55*HDF_Limited_Col!BZ55/HDF_Limited_Col!$AH55," ")</f>
        <v>0</v>
      </c>
      <c r="CA55" s="26">
        <f>IFERROR($AC55*HDF_Limited_Col!CA55/HDF_Limited_Col!$AH55," ")</f>
        <v>0</v>
      </c>
      <c r="CB55" s="26">
        <f>IFERROR($AC55*HDF_Limited_Col!CB55/HDF_Limited_Col!$AH55," ")</f>
        <v>1089.9734150029251</v>
      </c>
      <c r="CC55" s="26">
        <f>IFERROR($AC55*HDF_Limited_Col!CC55/HDF_Limited_Col!$AH55," ")</f>
        <v>270.56077677377579</v>
      </c>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row>
    <row r="56" spans="1:109">
      <c r="A56" s="26" t="s">
        <v>1469</v>
      </c>
      <c r="B56" s="26" t="s">
        <v>24</v>
      </c>
      <c r="C56" s="152" t="s">
        <v>1800</v>
      </c>
      <c r="D56" s="26" t="s">
        <v>25</v>
      </c>
      <c r="E56" s="26" t="s">
        <v>237</v>
      </c>
      <c r="F56" s="26" t="s">
        <v>163</v>
      </c>
      <c r="G56" s="26" t="s">
        <v>595</v>
      </c>
      <c r="H56" s="30">
        <v>355</v>
      </c>
      <c r="I56" s="26" t="s">
        <v>735</v>
      </c>
      <c r="J56" s="26" t="s">
        <v>596</v>
      </c>
      <c r="K56" s="26" t="s">
        <v>115</v>
      </c>
      <c r="L56" s="26"/>
      <c r="M56" s="26" t="s">
        <v>593</v>
      </c>
      <c r="N56" s="26">
        <v>50</v>
      </c>
      <c r="O56" s="95">
        <v>8.6625561175200332</v>
      </c>
      <c r="P56" s="95">
        <v>0.90654657043814302</v>
      </c>
      <c r="Q56" s="95">
        <v>0.60436438029209527</v>
      </c>
      <c r="R56" s="95">
        <v>8.2596465306586353</v>
      </c>
      <c r="S56" s="95">
        <v>25.484031368983352</v>
      </c>
      <c r="T56" s="95">
        <v>26.491305336136843</v>
      </c>
      <c r="U56" s="95">
        <v>0</v>
      </c>
      <c r="V56" s="95">
        <v>7.5545547536511908</v>
      </c>
      <c r="W56" s="95">
        <v>17.425839631755416</v>
      </c>
      <c r="X56" s="95">
        <v>2.1152753310223336</v>
      </c>
      <c r="Y56" s="95">
        <v>3.2232766948911751</v>
      </c>
      <c r="Z56" s="95">
        <v>100.7273967153492</v>
      </c>
      <c r="AA56" s="26"/>
      <c r="AB56" s="26"/>
      <c r="AC56" s="26">
        <f t="shared" si="0"/>
        <v>144658.39544217609</v>
      </c>
      <c r="AD56" s="26">
        <f>IFERROR($AC56*HDF_Limited_Col!AD56/HDF_Limited_Col!$AH56," ")</f>
        <v>72032.631534532324</v>
      </c>
      <c r="AE56" s="26">
        <f>IFERROR($AC56*HDF_Limited_Col!AE56/HDF_Limited_Col!$AH56," ")</f>
        <v>0</v>
      </c>
      <c r="AF56" s="26">
        <f>IFERROR($AC56*HDF_Limited_Col!AF56/HDF_Limited_Col!$AH56," ")</f>
        <v>0</v>
      </c>
      <c r="AG56" s="26">
        <f>IFERROR($AC56*HDF_Limited_Col!AG56/HDF_Limited_Col!$AH56," ")</f>
        <v>0</v>
      </c>
      <c r="AH56" s="26">
        <f>IFERROR($AC56*HDF_Limited_Col!AH56/HDF_Limited_Col!$AH56," ")</f>
        <v>144658.39544217609</v>
      </c>
      <c r="AI56" s="26">
        <f>IFERROR($AC56*HDF_Limited_Col!AI56/HDF_Limited_Col!$AH56," ")</f>
        <v>0</v>
      </c>
      <c r="AJ56" s="26">
        <f>IFERROR($AC56*HDF_Limited_Col!AJ56/HDF_Limited_Col!$AH56," ")</f>
        <v>0</v>
      </c>
      <c r="AK56" s="26">
        <f>IFERROR($AC56*HDF_Limited_Col!AK56/HDF_Limited_Col!$AH56," ")</f>
        <v>2095.7343849937129</v>
      </c>
      <c r="AL56" s="26">
        <f>IFERROR($AC56*HDF_Limited_Col!AL56/HDF_Limited_Col!$AH56," ")</f>
        <v>0</v>
      </c>
      <c r="AM56" s="26">
        <f>IFERROR($AC56*HDF_Limited_Col!AM56/HDF_Limited_Col!$AH56," ")</f>
        <v>52788.781206917105</v>
      </c>
      <c r="AN56" s="26">
        <f>IFERROR($AC56*HDF_Limited_Col!AN56/HDF_Limited_Col!$AH56," ")</f>
        <v>0</v>
      </c>
      <c r="AO56" s="26">
        <f>IFERROR($AC56*HDF_Limited_Col!AO56/HDF_Limited_Col!$AH56," ")</f>
        <v>0</v>
      </c>
      <c r="AP56" s="26">
        <f>IFERROR($AC56*HDF_Limited_Col!AP56/HDF_Limited_Col!$AH56," ")</f>
        <v>126.53490626377135</v>
      </c>
      <c r="AQ56" s="26">
        <f>IFERROR($AC56*HDF_Limited_Col!AQ56/HDF_Limited_Col!$AH56," ")</f>
        <v>54.699985520276151</v>
      </c>
      <c r="AR56" s="26">
        <f>IFERROR($AC56*HDF_Limited_Col!AR56/HDF_Limited_Col!$AH56," ")</f>
        <v>0</v>
      </c>
      <c r="AS56" s="26">
        <f>IFERROR($AC56*HDF_Limited_Col!AS56/HDF_Limited_Col!$AH56," ")</f>
        <v>30.24975102868283</v>
      </c>
      <c r="AT56" s="26">
        <f>IFERROR($AC56*HDF_Limited_Col!AT56/HDF_Limited_Col!$AH56," ")</f>
        <v>0</v>
      </c>
      <c r="AU56" s="26">
        <f>IFERROR($AC56*HDF_Limited_Col!AU56/HDF_Limited_Col!$AH56," ")</f>
        <v>14.630598536748561</v>
      </c>
      <c r="AV56" s="26">
        <f>IFERROR($AC56*HDF_Limited_Col!AV56/HDF_Limited_Col!$AH56," ")</f>
        <v>0</v>
      </c>
      <c r="AW56" s="26">
        <f>IFERROR($AC56*HDF_Limited_Col!AW56/HDF_Limited_Col!$AH56," ")</f>
        <v>182.55296372429513</v>
      </c>
      <c r="AX56" s="26">
        <f>IFERROR($AC56*HDF_Limited_Col!AX56/HDF_Limited_Col!$AH56," ")</f>
        <v>572.70225803759001</v>
      </c>
      <c r="AY56" s="26">
        <f>IFERROR($AC56*HDF_Limited_Col!AY56/HDF_Limited_Col!$AH56," ")</f>
        <v>5931.3237311142821</v>
      </c>
      <c r="AZ56" s="26">
        <f>IFERROR($AC56*HDF_Limited_Col!AZ56/HDF_Limited_Col!$AH56," ")</f>
        <v>0</v>
      </c>
      <c r="BA56" s="26">
        <f>IFERROR($AC56*HDF_Limited_Col!BA56/HDF_Limited_Col!$AH56," ")</f>
        <v>810.61424325228506</v>
      </c>
      <c r="BB56" s="26">
        <f>IFERROR($AC56*HDF_Limited_Col!BB56/HDF_Limited_Col!$AH56," ")</f>
        <v>0.72493956713619001</v>
      </c>
      <c r="BC56" s="26">
        <f>IFERROR($AC56*HDF_Limited_Col!BC56/HDF_Limited_Col!$AH56," ")</f>
        <v>0</v>
      </c>
      <c r="BD56" s="26">
        <f>IFERROR($AC56*HDF_Limited_Col!BD56/HDF_Limited_Col!$AH56," ")</f>
        <v>0</v>
      </c>
      <c r="BE56" s="26">
        <f>IFERROR($AC56*HDF_Limited_Col!BE56/HDF_Limited_Col!$AH56," ")</f>
        <v>0</v>
      </c>
      <c r="BF56" s="26">
        <f>IFERROR($AC56*HDF_Limited_Col!BF56/HDF_Limited_Col!$AH56," ")</f>
        <v>0</v>
      </c>
      <c r="BG56" s="26">
        <f>IFERROR($AC56*HDF_Limited_Col!BG56/HDF_Limited_Col!$AH56," ")</f>
        <v>0</v>
      </c>
      <c r="BH56" s="26">
        <f>IFERROR($AC56*HDF_Limited_Col!BH56/HDF_Limited_Col!$AH56," ")</f>
        <v>6.9198776862999951</v>
      </c>
      <c r="BI56" s="26">
        <f>IFERROR($AC56*HDF_Limited_Col!BI56/HDF_Limited_Col!$AH56," ")</f>
        <v>7249.3956713618991</v>
      </c>
      <c r="BJ56" s="26">
        <f>IFERROR($AC56*HDF_Limited_Col!BJ56/HDF_Limited_Col!$AH56," ")</f>
        <v>0</v>
      </c>
      <c r="BK56" s="26">
        <f>IFERROR($AC56*HDF_Limited_Col!BK56/HDF_Limited_Col!$AH56," ")</f>
        <v>935.83107757580876</v>
      </c>
      <c r="BL56" s="26">
        <f>IFERROR($AC56*HDF_Limited_Col!BL56/HDF_Limited_Col!$AH56," ")</f>
        <v>1225.8069044302847</v>
      </c>
      <c r="BM56" s="26">
        <f>IFERROR($AC56*HDF_Limited_Col!BM56/HDF_Limited_Col!$AH56," ")</f>
        <v>0</v>
      </c>
      <c r="BN56" s="26">
        <f>IFERROR($AC56*HDF_Limited_Col!BN56/HDF_Limited_Col!$AH56," ")</f>
        <v>328.19991312165695</v>
      </c>
      <c r="BO56" s="26">
        <f>IFERROR($AC56*HDF_Limited_Col!BO56/HDF_Limited_Col!$AH56," ")</f>
        <v>57.336129400771384</v>
      </c>
      <c r="BP56" s="26">
        <f>IFERROR($AC56*HDF_Limited_Col!BP56/HDF_Limited_Col!$AH56," ")</f>
        <v>11.137707895092371</v>
      </c>
      <c r="BQ56" s="26">
        <f>IFERROR($AC56*HDF_Limited_Col!BQ56/HDF_Limited_Col!$AH56," ")</f>
        <v>16.409995656082845</v>
      </c>
      <c r="BR56" s="26">
        <f>IFERROR($AC56*HDF_Limited_Col!BR56/HDF_Limited_Col!$AH56," ")</f>
        <v>0</v>
      </c>
      <c r="BS56" s="26">
        <f>IFERROR($AC56*HDF_Limited_Col!BS56/HDF_Limited_Col!$AH56," ")</f>
        <v>0</v>
      </c>
      <c r="BT56" s="26">
        <f>IFERROR($AC56*HDF_Limited_Col!BT56/HDF_Limited_Col!$AH56," ")</f>
        <v>0</v>
      </c>
      <c r="BU56" s="26">
        <f>IFERROR($AC56*HDF_Limited_Col!BU56/HDF_Limited_Col!$AH56," ")</f>
        <v>0</v>
      </c>
      <c r="BV56" s="26">
        <f>IFERROR($AC56*HDF_Limited_Col!BV56/HDF_Limited_Col!$AH56," ")</f>
        <v>0.6590359701238091</v>
      </c>
      <c r="BW56" s="26">
        <f>IFERROR($AC56*HDF_Limited_Col!BW56/HDF_Limited_Col!$AH56," ")</f>
        <v>3.2951798506190455E-2</v>
      </c>
      <c r="BX56" s="26">
        <f>IFERROR($AC56*HDF_Limited_Col!BX56/HDF_Limited_Col!$AH56," ")</f>
        <v>11.862647462228562</v>
      </c>
      <c r="BY56" s="26">
        <f>IFERROR($AC56*HDF_Limited_Col!BY56/HDF_Limited_Col!$AH56," ")</f>
        <v>49.098179774223773</v>
      </c>
      <c r="BZ56" s="26">
        <f>IFERROR($AC56*HDF_Limited_Col!BZ56/HDF_Limited_Col!$AH56," ")</f>
        <v>0</v>
      </c>
      <c r="CA56" s="26">
        <f>IFERROR($AC56*HDF_Limited_Col!CA56/HDF_Limited_Col!$AH56," ")</f>
        <v>0</v>
      </c>
      <c r="CB56" s="26">
        <f>IFERROR($AC56*HDF_Limited_Col!CB56/HDF_Limited_Col!$AH56," ")</f>
        <v>94.901179697828496</v>
      </c>
      <c r="CC56" s="26">
        <f>IFERROR($AC56*HDF_Limited_Col!CC56/HDF_Limited_Col!$AH56," ")</f>
        <v>21.418669029023793</v>
      </c>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row>
    <row r="57" spans="1:109">
      <c r="A57" s="26" t="s">
        <v>1469</v>
      </c>
      <c r="B57" s="26" t="s">
        <v>24</v>
      </c>
      <c r="C57" s="152" t="s">
        <v>1800</v>
      </c>
      <c r="D57" s="26" t="s">
        <v>25</v>
      </c>
      <c r="E57" s="26" t="s">
        <v>237</v>
      </c>
      <c r="F57" s="26" t="s">
        <v>163</v>
      </c>
      <c r="G57" s="26" t="s">
        <v>595</v>
      </c>
      <c r="H57" s="30">
        <v>355</v>
      </c>
      <c r="I57" s="26" t="s">
        <v>735</v>
      </c>
      <c r="J57" s="26" t="s">
        <v>596</v>
      </c>
      <c r="K57" s="26" t="s">
        <v>115</v>
      </c>
      <c r="L57" s="26"/>
      <c r="M57" s="26" t="s">
        <v>594</v>
      </c>
      <c r="N57" s="26">
        <v>15</v>
      </c>
      <c r="O57" s="95">
        <v>9.9264112370369624</v>
      </c>
      <c r="P57" s="95">
        <v>0.20257982116401962</v>
      </c>
      <c r="Q57" s="95">
        <v>0.30386973174602944</v>
      </c>
      <c r="R57" s="95">
        <v>10.534150700529022</v>
      </c>
      <c r="S57" s="95">
        <v>21.878620685714122</v>
      </c>
      <c r="T57" s="95">
        <v>16.307675603703579</v>
      </c>
      <c r="U57" s="95">
        <v>0</v>
      </c>
      <c r="V57" s="95">
        <v>6.3812643666666187</v>
      </c>
      <c r="W57" s="95">
        <v>27.550855678306668</v>
      </c>
      <c r="X57" s="95">
        <v>2.8361174962962745</v>
      </c>
      <c r="Y57" s="95">
        <v>5.2670753502645109</v>
      </c>
      <c r="Z57" s="95">
        <v>101.1886206714278</v>
      </c>
      <c r="AA57" s="26"/>
      <c r="AB57" s="26"/>
      <c r="AC57" s="26">
        <f t="shared" si="0"/>
        <v>228709.93075249178</v>
      </c>
      <c r="AD57" s="26">
        <f>IFERROR($AC57*HDF_Limited_Col!AD57/HDF_Limited_Col!$AH57," ")</f>
        <v>89189.703403166073</v>
      </c>
      <c r="AE57" s="26">
        <f>IFERROR($AC57*HDF_Limited_Col!AE57/HDF_Limited_Col!$AH57," ")</f>
        <v>0</v>
      </c>
      <c r="AF57" s="26">
        <f>IFERROR($AC57*HDF_Limited_Col!AF57/HDF_Limited_Col!$AH57," ")</f>
        <v>0</v>
      </c>
      <c r="AG57" s="26">
        <f>IFERROR($AC57*HDF_Limited_Col!AG57/HDF_Limited_Col!$AH57," ")</f>
        <v>0</v>
      </c>
      <c r="AH57" s="26">
        <f>IFERROR($AC57*HDF_Limited_Col!AH57/HDF_Limited_Col!$AH57," ")</f>
        <v>228709.93075249178</v>
      </c>
      <c r="AI57" s="26">
        <f>IFERROR($AC57*HDF_Limited_Col!AI57/HDF_Limited_Col!$AH57," ")</f>
        <v>0</v>
      </c>
      <c r="AJ57" s="26">
        <f>IFERROR($AC57*HDF_Limited_Col!AJ57/HDF_Limited_Col!$AH57," ")</f>
        <v>0</v>
      </c>
      <c r="AK57" s="26">
        <f>IFERROR($AC57*HDF_Limited_Col!AK57/HDF_Limited_Col!$AH57," ")</f>
        <v>7528.0698210067831</v>
      </c>
      <c r="AL57" s="26">
        <f>IFERROR($AC57*HDF_Limited_Col!AL57/HDF_Limited_Col!$AH57," ")</f>
        <v>0</v>
      </c>
      <c r="AM57" s="26">
        <f>IFERROR($AC57*HDF_Limited_Col!AM57/HDF_Limited_Col!$AH57," ")</f>
        <v>57715.201961052015</v>
      </c>
      <c r="AN57" s="26">
        <f>IFERROR($AC57*HDF_Limited_Col!AN57/HDF_Limited_Col!$AH57," ")</f>
        <v>0</v>
      </c>
      <c r="AO57" s="26">
        <f>IFERROR($AC57*HDF_Limited_Col!AO57/HDF_Limited_Col!$AH57," ")</f>
        <v>0</v>
      </c>
      <c r="AP57" s="26">
        <f>IFERROR($AC57*HDF_Limited_Col!AP57/HDF_Limited_Col!$AH57," ")</f>
        <v>254.52045585308645</v>
      </c>
      <c r="AQ57" s="26">
        <f>IFERROR($AC57*HDF_Limited_Col!AQ57/HDF_Limited_Col!$AH57," ")</f>
        <v>269.57659549510009</v>
      </c>
      <c r="AR57" s="26">
        <f>IFERROR($AC57*HDF_Limited_Col!AR57/HDF_Limited_Col!$AH57," ")</f>
        <v>0</v>
      </c>
      <c r="AS57" s="26">
        <f>IFERROR($AC57*HDF_Limited_Col!AS57/HDF_Limited_Col!$AH57," ")</f>
        <v>33.697074436887512</v>
      </c>
      <c r="AT57" s="26">
        <f>IFERROR($AC57*HDF_Limited_Col!AT57/HDF_Limited_Col!$AH57," ")</f>
        <v>0</v>
      </c>
      <c r="AU57" s="26">
        <f>IFERROR($AC57*HDF_Limited_Col!AU57/HDF_Limited_Col!$AH57," ")</f>
        <v>14.339180611441494</v>
      </c>
      <c r="AV57" s="26">
        <f>IFERROR($AC57*HDF_Limited_Col!AV57/HDF_Limited_Col!$AH57," ")</f>
        <v>0</v>
      </c>
      <c r="AW57" s="26">
        <f>IFERROR($AC57*HDF_Limited_Col!AW57/HDF_Limited_Col!$AH57," ")</f>
        <v>227.99297172191973</v>
      </c>
      <c r="AX57" s="26">
        <f>IFERROR($AC57*HDF_Limited_Col!AX57/HDF_Limited_Col!$AH57," ")</f>
        <v>802.99411424072355</v>
      </c>
      <c r="AY57" s="26">
        <f>IFERROR($AC57*HDF_Limited_Col!AY57/HDF_Limited_Col!$AH57," ")</f>
        <v>11758.128101382023</v>
      </c>
      <c r="AZ57" s="26">
        <f>IFERROR($AC57*HDF_Limited_Col!AZ57/HDF_Limited_Col!$AH57," ")</f>
        <v>0</v>
      </c>
      <c r="BA57" s="26">
        <f>IFERROR($AC57*HDF_Limited_Col!BA57/HDF_Limited_Col!$AH57," ")</f>
        <v>430.1754183432447</v>
      </c>
      <c r="BB57" s="26" t="str">
        <f>IFERROR($AC57*HDF_Limited_Col!BB57/HDF_Limited_Col!$AH57," ")</f>
        <v xml:space="preserve"> </v>
      </c>
      <c r="BC57" s="26">
        <f>IFERROR($AC57*HDF_Limited_Col!BC57/HDF_Limited_Col!$AH57," ")</f>
        <v>0</v>
      </c>
      <c r="BD57" s="26">
        <f>IFERROR($AC57*HDF_Limited_Col!BD57/HDF_Limited_Col!$AH57," ")</f>
        <v>0</v>
      </c>
      <c r="BE57" s="26">
        <f>IFERROR($AC57*HDF_Limited_Col!BE57/HDF_Limited_Col!$AH57," ")</f>
        <v>0</v>
      </c>
      <c r="BF57" s="26">
        <f>IFERROR($AC57*HDF_Limited_Col!BF57/HDF_Limited_Col!$AH57," ")</f>
        <v>0</v>
      </c>
      <c r="BG57" s="26">
        <f>IFERROR($AC57*HDF_Limited_Col!BG57/HDF_Limited_Col!$AH57," ")</f>
        <v>0</v>
      </c>
      <c r="BH57" s="26">
        <f>IFERROR($AC57*HDF_Limited_Col!BH57/HDF_Limited_Col!$AH57," ")</f>
        <v>18.640934794873939</v>
      </c>
      <c r="BI57" s="26">
        <f>IFERROR($AC57*HDF_Limited_Col!BI57/HDF_Limited_Col!$AH57," ")</f>
        <v>15773.098672585642</v>
      </c>
      <c r="BJ57" s="26">
        <f>IFERROR($AC57*HDF_Limited_Col!BJ57/HDF_Limited_Col!$AH57," ")</f>
        <v>0</v>
      </c>
      <c r="BK57" s="26">
        <f>IFERROR($AC57*HDF_Limited_Col!BK57/HDF_Limited_Col!$AH57," ")</f>
        <v>1828.24552795879</v>
      </c>
      <c r="BL57" s="26">
        <f>IFERROR($AC57*HDF_Limited_Col!BL57/HDF_Limited_Col!$AH57," ")</f>
        <v>2150.8770917162237</v>
      </c>
      <c r="BM57" s="26">
        <f>IFERROR($AC57*HDF_Limited_Col!BM57/HDF_Limited_Col!$AH57," ")</f>
        <v>0</v>
      </c>
      <c r="BN57" s="26">
        <f>IFERROR($AC57*HDF_Limited_Col!BN57/HDF_Limited_Col!$AH57," ")</f>
        <v>494.70173109473149</v>
      </c>
      <c r="BO57" s="26">
        <f>IFERROR($AC57*HDF_Limited_Col!BO57/HDF_Limited_Col!$AH57," ")</f>
        <v>70.261984996063319</v>
      </c>
      <c r="BP57" s="26">
        <f>IFERROR($AC57*HDF_Limited_Col!BP57/HDF_Limited_Col!$AH57," ")</f>
        <v>10.037426428009045</v>
      </c>
      <c r="BQ57" s="26">
        <f>IFERROR($AC57*HDF_Limited_Col!BQ57/HDF_Limited_Col!$AH57," ")</f>
        <v>25.093566070022611</v>
      </c>
      <c r="BR57" s="26">
        <f>IFERROR($AC57*HDF_Limited_Col!BR57/HDF_Limited_Col!$AH57," ")</f>
        <v>0</v>
      </c>
      <c r="BS57" s="26">
        <f>IFERROR($AC57*HDF_Limited_Col!BS57/HDF_Limited_Col!$AH57," ")</f>
        <v>0</v>
      </c>
      <c r="BT57" s="26">
        <f>IFERROR($AC57*HDF_Limited_Col!BT57/HDF_Limited_Col!$AH57," ")</f>
        <v>0</v>
      </c>
      <c r="BU57" s="26">
        <f>IFERROR($AC57*HDF_Limited_Col!BU57/HDF_Limited_Col!$AH57," ")</f>
        <v>0</v>
      </c>
      <c r="BV57" s="26">
        <f>IFERROR($AC57*HDF_Limited_Col!BV57/HDF_Limited_Col!$AH57," ")</f>
        <v>7.1695903057207468</v>
      </c>
      <c r="BW57" s="26" t="str">
        <f>IFERROR($AC57*HDF_Limited_Col!BW57/HDF_Limited_Col!$AH57," ")</f>
        <v xml:space="preserve"> </v>
      </c>
      <c r="BX57" s="26">
        <f>IFERROR($AC57*HDF_Limited_Col!BX57/HDF_Limited_Col!$AH57," ")</f>
        <v>9.6789469127230063</v>
      </c>
      <c r="BY57" s="26">
        <f>IFERROR($AC57*HDF_Limited_Col!BY57/HDF_Limited_Col!$AH57," ")</f>
        <v>80.29941142407236</v>
      </c>
      <c r="BZ57" s="26">
        <f>IFERROR($AC57*HDF_Limited_Col!BZ57/HDF_Limited_Col!$AH57," ")</f>
        <v>0</v>
      </c>
      <c r="CA57" s="26">
        <f>IFERROR($AC57*HDF_Limited_Col!CA57/HDF_Limited_Col!$AH57," ")</f>
        <v>0</v>
      </c>
      <c r="CB57" s="26">
        <f>IFERROR($AC57*HDF_Limited_Col!CB57/HDF_Limited_Col!$AH57," ")</f>
        <v>215.08770917162235</v>
      </c>
      <c r="CC57" s="26">
        <f>IFERROR($AC57*HDF_Limited_Col!CC57/HDF_Limited_Col!$AH57," ")</f>
        <v>236.59648008878463</v>
      </c>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row>
    <row r="58" spans="1:109">
      <c r="A58" s="26" t="s">
        <v>670</v>
      </c>
      <c r="B58" s="26" t="s">
        <v>24</v>
      </c>
      <c r="C58" s="152" t="s">
        <v>1800</v>
      </c>
      <c r="D58" s="26" t="s">
        <v>1707</v>
      </c>
      <c r="E58" s="26" t="s">
        <v>237</v>
      </c>
      <c r="F58" s="26" t="s">
        <v>661</v>
      </c>
      <c r="G58" s="26" t="s">
        <v>595</v>
      </c>
      <c r="H58" s="30">
        <v>376</v>
      </c>
      <c r="I58" s="26" t="s">
        <v>712</v>
      </c>
      <c r="J58" s="26" t="s">
        <v>635</v>
      </c>
      <c r="K58" s="26" t="s">
        <v>662</v>
      </c>
      <c r="L58" s="26"/>
      <c r="M58" s="26" t="s">
        <v>659</v>
      </c>
      <c r="N58" s="26">
        <v>19</v>
      </c>
      <c r="O58" s="95">
        <v>9.3435192595044825</v>
      </c>
      <c r="P58" s="95">
        <v>0.87274630445921009</v>
      </c>
      <c r="Q58" s="95">
        <v>5.6574495736120545</v>
      </c>
      <c r="R58" s="95">
        <v>7.4234773896942219</v>
      </c>
      <c r="S58" s="95">
        <v>36.244640644011895</v>
      </c>
      <c r="T58" s="95">
        <v>23.204784095033116</v>
      </c>
      <c r="U58" s="95">
        <v>1.0883659796785443</v>
      </c>
      <c r="V58" s="95">
        <v>5.7806608165945326</v>
      </c>
      <c r="W58" s="95">
        <v>6.9511676249280603</v>
      </c>
      <c r="X58" s="95">
        <v>2.4950276703951535</v>
      </c>
      <c r="Y58" s="95">
        <v>1.2115772226610209</v>
      </c>
      <c r="Z58" s="95">
        <v>100.2734165805723</v>
      </c>
      <c r="AA58" s="26"/>
      <c r="AB58" s="26"/>
      <c r="AC58" s="26">
        <f t="shared" si="0"/>
        <v>57704.235567465759</v>
      </c>
      <c r="AD58" s="26">
        <f>IFERROR($AC58*HDF_Limited_Col!AD58/HDF_Limited_Col!$AH58," ")</f>
        <v>0</v>
      </c>
      <c r="AE58" s="26">
        <f>IFERROR($AC58*HDF_Limited_Col!AE58/HDF_Limited_Col!$AH58," ")</f>
        <v>0</v>
      </c>
      <c r="AF58" s="26">
        <f>IFERROR($AC58*HDF_Limited_Col!AF58/HDF_Limited_Col!$AH58," ")</f>
        <v>0</v>
      </c>
      <c r="AG58" s="26">
        <f>IFERROR($AC58*HDF_Limited_Col!AG58/HDF_Limited_Col!$AH58," ")</f>
        <v>0</v>
      </c>
      <c r="AH58" s="26">
        <f>IFERROR($AC58*HDF_Limited_Col!AH58/HDF_Limited_Col!$AH58," ")</f>
        <v>57704.235567465759</v>
      </c>
      <c r="AI58" s="26">
        <f>IFERROR($AC58*HDF_Limited_Col!AI58/HDF_Limited_Col!$AH58," ")</f>
        <v>0</v>
      </c>
      <c r="AJ58" s="26">
        <f>IFERROR($AC58*HDF_Limited_Col!AJ58/HDF_Limited_Col!$AH58," ")</f>
        <v>3061.8159075136432</v>
      </c>
      <c r="AK58" s="26">
        <f>IFERROR($AC58*HDF_Limited_Col!AK58/HDF_Limited_Col!$AH58," ")</f>
        <v>0</v>
      </c>
      <c r="AL58" s="26">
        <f>IFERROR($AC58*HDF_Limited_Col!AL58/HDF_Limited_Col!$AH58," ")</f>
        <v>0</v>
      </c>
      <c r="AM58" s="26">
        <f>IFERROR($AC58*HDF_Limited_Col!AM58/HDF_Limited_Col!$AH58," ")</f>
        <v>0</v>
      </c>
      <c r="AN58" s="26">
        <f>IFERROR($AC58*HDF_Limited_Col!AN58/HDF_Limited_Col!$AH58," ")</f>
        <v>0</v>
      </c>
      <c r="AO58" s="26">
        <f>IFERROR($AC58*HDF_Limited_Col!AO58/HDF_Limited_Col!$AH58," ")</f>
        <v>0</v>
      </c>
      <c r="AP58" s="26">
        <f>IFERROR($AC58*HDF_Limited_Col!AP58/HDF_Limited_Col!$AH58," ")</f>
        <v>0</v>
      </c>
      <c r="AQ58" s="26">
        <f>IFERROR($AC58*HDF_Limited_Col!AQ58/HDF_Limited_Col!$AH58," ")</f>
        <v>0</v>
      </c>
      <c r="AR58" s="26">
        <f>IFERROR($AC58*HDF_Limited_Col!AR58/HDF_Limited_Col!$AH58," ")</f>
        <v>0</v>
      </c>
      <c r="AS58" s="26">
        <f>IFERROR($AC58*HDF_Limited_Col!AS58/HDF_Limited_Col!$AH58," ")</f>
        <v>0</v>
      </c>
      <c r="AT58" s="26">
        <f>IFERROR($AC58*HDF_Limited_Col!AT58/HDF_Limited_Col!$AH58," ")</f>
        <v>0</v>
      </c>
      <c r="AU58" s="26">
        <f>IFERROR($AC58*HDF_Limited_Col!AU58/HDF_Limited_Col!$AH58," ")</f>
        <v>0</v>
      </c>
      <c r="AV58" s="26">
        <f>IFERROR($AC58*HDF_Limited_Col!AV58/HDF_Limited_Col!$AH58," ")</f>
        <v>0</v>
      </c>
      <c r="AW58" s="26">
        <f>IFERROR($AC58*HDF_Limited_Col!AW58/HDF_Limited_Col!$AH58," ")</f>
        <v>0</v>
      </c>
      <c r="AX58" s="26">
        <f>IFERROR($AC58*HDF_Limited_Col!AX58/HDF_Limited_Col!$AH58," ")</f>
        <v>294.78605015551591</v>
      </c>
      <c r="AY58" s="26">
        <f>IFERROR($AC58*HDF_Limited_Col!AY58/HDF_Limited_Col!$AH58," ")</f>
        <v>1710.9360950949906</v>
      </c>
      <c r="AZ58" s="26">
        <f>IFERROR($AC58*HDF_Limited_Col!AZ58/HDF_Limited_Col!$AH58," ")</f>
        <v>4.815017153175396</v>
      </c>
      <c r="BA58" s="26">
        <f>IFERROR($AC58*HDF_Limited_Col!BA58/HDF_Limited_Col!$AH58," ")</f>
        <v>64.735230614913647</v>
      </c>
      <c r="BB58" s="26">
        <f>IFERROR($AC58*HDF_Limited_Col!BB58/HDF_Limited_Col!$AH58," ")</f>
        <v>0</v>
      </c>
      <c r="BC58" s="26">
        <f>IFERROR($AC58*HDF_Limited_Col!BC58/HDF_Limited_Col!$AH58," ")</f>
        <v>233.79583288196088</v>
      </c>
      <c r="BD58" s="26">
        <f>IFERROR($AC58*HDF_Limited_Col!BD58/HDF_Limited_Col!$AH58," ")</f>
        <v>0</v>
      </c>
      <c r="BE58" s="26">
        <f>IFERROR($AC58*HDF_Limited_Col!BE58/HDF_Limited_Col!$AH58," ")</f>
        <v>0</v>
      </c>
      <c r="BF58" s="26">
        <f>IFERROR($AC58*HDF_Limited_Col!BF58/HDF_Limited_Col!$AH58," ")</f>
        <v>0</v>
      </c>
      <c r="BG58" s="26">
        <f>IFERROR($AC58*HDF_Limited_Col!BG58/HDF_Limited_Col!$AH58," ")</f>
        <v>0</v>
      </c>
      <c r="BH58" s="26">
        <f>IFERROR($AC58*HDF_Limited_Col!BH58/HDF_Limited_Col!$AH58," ")</f>
        <v>2.6750095295418865</v>
      </c>
      <c r="BI58" s="26">
        <f>IFERROR($AC58*HDF_Limited_Col!BI58/HDF_Limited_Col!$AH58," ")</f>
        <v>3723.6132651223061</v>
      </c>
      <c r="BJ58" s="26">
        <f>IFERROR($AC58*HDF_Limited_Col!BJ58/HDF_Limited_Col!$AH58," ")</f>
        <v>0</v>
      </c>
      <c r="BK58" s="26">
        <f>IFERROR($AC58*HDF_Limited_Col!BK58/HDF_Limited_Col!$AH58," ")</f>
        <v>158.89556605478808</v>
      </c>
      <c r="BL58" s="26">
        <f>IFERROR($AC58*HDF_Limited_Col!BL58/HDF_Limited_Col!$AH58," ")</f>
        <v>239.68085384695303</v>
      </c>
      <c r="BM58" s="26">
        <f>IFERROR($AC58*HDF_Limited_Col!BM58/HDF_Limited_Col!$AH58," ")</f>
        <v>30.495108636777505</v>
      </c>
      <c r="BN58" s="26">
        <f>IFERROR($AC58*HDF_Limited_Col!BN58/HDF_Limited_Col!$AH58," ")</f>
        <v>116.09541358211787</v>
      </c>
      <c r="BO58" s="26">
        <f>IFERROR($AC58*HDF_Limited_Col!BO58/HDF_Limited_Col!$AH58," ")</f>
        <v>13.375047647709433</v>
      </c>
      <c r="BP58" s="26">
        <f>IFERROR($AC58*HDF_Limited_Col!BP58/HDF_Limited_Col!$AH58," ")</f>
        <v>1.6050057177251318</v>
      </c>
      <c r="BQ58" s="26" t="str">
        <f>IFERROR($AC58*HDF_Limited_Col!BQ58/HDF_Limited_Col!$AH58," ")</f>
        <v xml:space="preserve"> </v>
      </c>
      <c r="BR58" s="26" t="str">
        <f>IFERROR($AC58*HDF_Limited_Col!BR58/HDF_Limited_Col!$AH58," ")</f>
        <v xml:space="preserve"> </v>
      </c>
      <c r="BS58" s="26" t="str">
        <f>IFERROR($AC58*HDF_Limited_Col!BS58/HDF_Limited_Col!$AH58," ")</f>
        <v xml:space="preserve"> </v>
      </c>
      <c r="BT58" s="26">
        <f>IFERROR($AC58*HDF_Limited_Col!BT58/HDF_Limited_Col!$AH58," ")</f>
        <v>3.2100114354502636</v>
      </c>
      <c r="BU58" s="26">
        <f>IFERROR($AC58*HDF_Limited_Col!BU58/HDF_Limited_Col!$AH58," ")</f>
        <v>0</v>
      </c>
      <c r="BV58" s="26" t="str">
        <f>IFERROR($AC58*HDF_Limited_Col!BV58/HDF_Limited_Col!$AH58," ")</f>
        <v xml:space="preserve"> </v>
      </c>
      <c r="BW58" s="26" t="str">
        <f>IFERROR($AC58*HDF_Limited_Col!BW58/HDF_Limited_Col!$AH58," ")</f>
        <v xml:space="preserve"> </v>
      </c>
      <c r="BX58" s="26">
        <f>IFERROR($AC58*HDF_Limited_Col!BX58/HDF_Limited_Col!$AH58," ")</f>
        <v>4.2800152472670181</v>
      </c>
      <c r="BY58" s="26">
        <f>IFERROR($AC58*HDF_Limited_Col!BY58/HDF_Limited_Col!$AH58," ")</f>
        <v>10.700038118167546</v>
      </c>
      <c r="BZ58" s="26">
        <f>IFERROR($AC58*HDF_Limited_Col!BZ58/HDF_Limited_Col!$AH58," ")</f>
        <v>0</v>
      </c>
      <c r="CA58" s="26">
        <f>IFERROR($AC58*HDF_Limited_Col!CA58/HDF_Limited_Col!$AH58," ")</f>
        <v>0</v>
      </c>
      <c r="CB58" s="26">
        <f>IFERROR($AC58*HDF_Limited_Col!CB58/HDF_Limited_Col!$AH58," ")</f>
        <v>17.655062894976449</v>
      </c>
      <c r="CC58" s="26">
        <f>IFERROR($AC58*HDF_Limited_Col!CC58/HDF_Limited_Col!$AH58," ")</f>
        <v>2.6750095295418865</v>
      </c>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row>
    <row r="59" spans="1:109">
      <c r="A59" s="26" t="s">
        <v>827</v>
      </c>
      <c r="B59" s="26" t="s">
        <v>24</v>
      </c>
      <c r="C59" s="152" t="s">
        <v>1800</v>
      </c>
      <c r="D59" s="26" t="s">
        <v>25</v>
      </c>
      <c r="E59" s="26" t="s">
        <v>237</v>
      </c>
      <c r="F59" s="26" t="s">
        <v>826</v>
      </c>
      <c r="G59" s="26" t="s">
        <v>595</v>
      </c>
      <c r="H59" s="30"/>
      <c r="I59" s="26" t="s">
        <v>735</v>
      </c>
      <c r="J59" s="26"/>
      <c r="K59" s="26" t="s">
        <v>115</v>
      </c>
      <c r="L59" s="26"/>
      <c r="M59" s="26" t="s">
        <v>816</v>
      </c>
      <c r="N59" s="26">
        <v>23</v>
      </c>
      <c r="O59" s="95">
        <v>8.9272351354638406</v>
      </c>
      <c r="P59" s="95">
        <v>1.3187960995571579</v>
      </c>
      <c r="Q59" s="95">
        <v>0.50722926906044541</v>
      </c>
      <c r="R59" s="95">
        <v>7.5069931820945914</v>
      </c>
      <c r="S59" s="95">
        <v>24.448450768713471</v>
      </c>
      <c r="T59" s="95">
        <v>18.463145393800211</v>
      </c>
      <c r="U59" s="95">
        <v>1.6231336609934255</v>
      </c>
      <c r="V59" s="95">
        <v>9.535910258336374</v>
      </c>
      <c r="W59" s="95">
        <v>20.897845885290351</v>
      </c>
      <c r="X59" s="95">
        <v>3.5506048834231176</v>
      </c>
      <c r="Y59" s="95">
        <v>4.1592800062956519</v>
      </c>
      <c r="Z59" s="95">
        <v>100.93862454302864</v>
      </c>
      <c r="AA59" s="26"/>
      <c r="AB59" s="26"/>
      <c r="AC59" s="26">
        <f t="shared" si="0"/>
        <v>173480.81457464056</v>
      </c>
      <c r="AD59" s="26" t="str">
        <f>IFERROR($AC59*HDF_Limited_Col!AD59/HDF_Limited_Col!$AH59," ")</f>
        <v xml:space="preserve"> </v>
      </c>
      <c r="AE59" s="26" t="str">
        <f>IFERROR($AC59*HDF_Limited_Col!AE59/HDF_Limited_Col!$AH59," ")</f>
        <v xml:space="preserve"> </v>
      </c>
      <c r="AF59" s="26" t="str">
        <f>IFERROR($AC59*HDF_Limited_Col!AF59/HDF_Limited_Col!$AH59," ")</f>
        <v xml:space="preserve"> </v>
      </c>
      <c r="AG59" s="26" t="str">
        <f>IFERROR($AC59*HDF_Limited_Col!AG59/HDF_Limited_Col!$AH59," ")</f>
        <v xml:space="preserve"> </v>
      </c>
      <c r="AH59" s="26" t="str">
        <f>IFERROR($AC59*HDF_Limited_Col!AH59/HDF_Limited_Col!$AH59," ")</f>
        <v xml:space="preserve"> </v>
      </c>
      <c r="AI59" s="26" t="str">
        <f>IFERROR($AC59*HDF_Limited_Col!AI59/HDF_Limited_Col!$AH59," ")</f>
        <v xml:space="preserve"> </v>
      </c>
      <c r="AJ59" s="26" t="str">
        <f>IFERROR($AC59*HDF_Limited_Col!AJ59/HDF_Limited_Col!$AH59," ")</f>
        <v xml:space="preserve"> </v>
      </c>
      <c r="AK59" s="26" t="str">
        <f>IFERROR($AC59*HDF_Limited_Col!AK59/HDF_Limited_Col!$AH59," ")</f>
        <v xml:space="preserve"> </v>
      </c>
      <c r="AL59" s="26" t="str">
        <f>IFERROR($AC59*HDF_Limited_Col!AL59/HDF_Limited_Col!$AH59," ")</f>
        <v xml:space="preserve"> </v>
      </c>
      <c r="AM59" s="26" t="str">
        <f>IFERROR($AC59*HDF_Limited_Col!AM59/HDF_Limited_Col!$AH59," ")</f>
        <v xml:space="preserve"> </v>
      </c>
      <c r="AN59" s="26" t="str">
        <f>IFERROR($AC59*HDF_Limited_Col!AN59/HDF_Limited_Col!$AH59," ")</f>
        <v xml:space="preserve"> </v>
      </c>
      <c r="AO59" s="26" t="str">
        <f>IFERROR($AC59*HDF_Limited_Col!AO59/HDF_Limited_Col!$AH59," ")</f>
        <v xml:space="preserve"> </v>
      </c>
      <c r="AP59" s="26" t="str">
        <f>IFERROR($AC59*HDF_Limited_Col!AP59/HDF_Limited_Col!$AH59," ")</f>
        <v xml:space="preserve"> </v>
      </c>
      <c r="AQ59" s="26" t="str">
        <f>IFERROR($AC59*HDF_Limited_Col!AQ59/HDF_Limited_Col!$AH59," ")</f>
        <v xml:space="preserve"> </v>
      </c>
      <c r="AR59" s="26" t="str">
        <f>IFERROR($AC59*HDF_Limited_Col!AR59/HDF_Limited_Col!$AH59," ")</f>
        <v xml:space="preserve"> </v>
      </c>
      <c r="AS59" s="26" t="str">
        <f>IFERROR($AC59*HDF_Limited_Col!AS59/HDF_Limited_Col!$AH59," ")</f>
        <v xml:space="preserve"> </v>
      </c>
      <c r="AT59" s="26" t="str">
        <f>IFERROR($AC59*HDF_Limited_Col!AT59/HDF_Limited_Col!$AH59," ")</f>
        <v xml:space="preserve"> </v>
      </c>
      <c r="AU59" s="26" t="str">
        <f>IFERROR($AC59*HDF_Limited_Col!AU59/HDF_Limited_Col!$AH59," ")</f>
        <v xml:space="preserve"> </v>
      </c>
      <c r="AV59" s="26" t="str">
        <f>IFERROR($AC59*HDF_Limited_Col!AV59/HDF_Limited_Col!$AH59," ")</f>
        <v xml:space="preserve"> </v>
      </c>
      <c r="AW59" s="26" t="str">
        <f>IFERROR($AC59*HDF_Limited_Col!AW59/HDF_Limited_Col!$AH59," ")</f>
        <v xml:space="preserve"> </v>
      </c>
      <c r="AX59" s="26" t="str">
        <f>IFERROR($AC59*HDF_Limited_Col!AX59/HDF_Limited_Col!$AH59," ")</f>
        <v xml:space="preserve"> </v>
      </c>
      <c r="AY59" s="26" t="str">
        <f>IFERROR($AC59*HDF_Limited_Col!AY59/HDF_Limited_Col!$AH59," ")</f>
        <v xml:space="preserve"> </v>
      </c>
      <c r="AZ59" s="26" t="str">
        <f>IFERROR($AC59*HDF_Limited_Col!AZ59/HDF_Limited_Col!$AH59," ")</f>
        <v xml:space="preserve"> </v>
      </c>
      <c r="BA59" s="26" t="str">
        <f>IFERROR($AC59*HDF_Limited_Col!BA59/HDF_Limited_Col!$AH59," ")</f>
        <v xml:space="preserve"> </v>
      </c>
      <c r="BB59" s="26" t="str">
        <f>IFERROR($AC59*HDF_Limited_Col!BB59/HDF_Limited_Col!$AH59," ")</f>
        <v xml:space="preserve"> </v>
      </c>
      <c r="BC59" s="26" t="str">
        <f>IFERROR($AC59*HDF_Limited_Col!BC59/HDF_Limited_Col!$AH59," ")</f>
        <v xml:space="preserve"> </v>
      </c>
      <c r="BD59" s="26" t="str">
        <f>IFERROR($AC59*HDF_Limited_Col!BD59/HDF_Limited_Col!$AH59," ")</f>
        <v xml:space="preserve"> </v>
      </c>
      <c r="BE59" s="26" t="str">
        <f>IFERROR($AC59*HDF_Limited_Col!BE59/HDF_Limited_Col!$AH59," ")</f>
        <v xml:space="preserve"> </v>
      </c>
      <c r="BF59" s="26" t="str">
        <f>IFERROR($AC59*HDF_Limited_Col!BF59/HDF_Limited_Col!$AH59," ")</f>
        <v xml:space="preserve"> </v>
      </c>
      <c r="BG59" s="26" t="str">
        <f>IFERROR($AC59*HDF_Limited_Col!BG59/HDF_Limited_Col!$AH59," ")</f>
        <v xml:space="preserve"> </v>
      </c>
      <c r="BH59" s="26" t="str">
        <f>IFERROR($AC59*HDF_Limited_Col!BH59/HDF_Limited_Col!$AH59," ")</f>
        <v xml:space="preserve"> </v>
      </c>
      <c r="BI59" s="26" t="str">
        <f>IFERROR($AC59*HDF_Limited_Col!BI59/HDF_Limited_Col!$AH59," ")</f>
        <v xml:space="preserve"> </v>
      </c>
      <c r="BJ59" s="26" t="str">
        <f>IFERROR($AC59*HDF_Limited_Col!BJ59/HDF_Limited_Col!$AH59," ")</f>
        <v xml:space="preserve"> </v>
      </c>
      <c r="BK59" s="26" t="str">
        <f>IFERROR($AC59*HDF_Limited_Col!BK59/HDF_Limited_Col!$AH59," ")</f>
        <v xml:space="preserve"> </v>
      </c>
      <c r="BL59" s="26" t="str">
        <f>IFERROR($AC59*HDF_Limited_Col!BL59/HDF_Limited_Col!$AH59," ")</f>
        <v xml:space="preserve"> </v>
      </c>
      <c r="BM59" s="26" t="str">
        <f>IFERROR($AC59*HDF_Limited_Col!BM59/HDF_Limited_Col!$AH59," ")</f>
        <v xml:space="preserve"> </v>
      </c>
      <c r="BN59" s="26" t="str">
        <f>IFERROR($AC59*HDF_Limited_Col!BN59/HDF_Limited_Col!$AH59," ")</f>
        <v xml:space="preserve"> </v>
      </c>
      <c r="BO59" s="26" t="str">
        <f>IFERROR($AC59*HDF_Limited_Col!BO59/HDF_Limited_Col!$AH59," ")</f>
        <v xml:space="preserve"> </v>
      </c>
      <c r="BP59" s="26" t="str">
        <f>IFERROR($AC59*HDF_Limited_Col!BP59/HDF_Limited_Col!$AH59," ")</f>
        <v xml:space="preserve"> </v>
      </c>
      <c r="BQ59" s="26" t="str">
        <f>IFERROR($AC59*HDF_Limited_Col!BQ59/HDF_Limited_Col!$AH59," ")</f>
        <v xml:space="preserve"> </v>
      </c>
      <c r="BR59" s="26" t="str">
        <f>IFERROR($AC59*HDF_Limited_Col!BR59/HDF_Limited_Col!$AH59," ")</f>
        <v xml:space="preserve"> </v>
      </c>
      <c r="BS59" s="26" t="str">
        <f>IFERROR($AC59*HDF_Limited_Col!BS59/HDF_Limited_Col!$AH59," ")</f>
        <v xml:space="preserve"> </v>
      </c>
      <c r="BT59" s="26" t="str">
        <f>IFERROR($AC59*HDF_Limited_Col!BT59/HDF_Limited_Col!$AH59," ")</f>
        <v xml:space="preserve"> </v>
      </c>
      <c r="BU59" s="26" t="str">
        <f>IFERROR($AC59*HDF_Limited_Col!BU59/HDF_Limited_Col!$AH59," ")</f>
        <v xml:space="preserve"> </v>
      </c>
      <c r="BV59" s="26" t="str">
        <f>IFERROR($AC59*HDF_Limited_Col!BV59/HDF_Limited_Col!$AH59," ")</f>
        <v xml:space="preserve"> </v>
      </c>
      <c r="BW59" s="26" t="str">
        <f>IFERROR($AC59*HDF_Limited_Col!BW59/HDF_Limited_Col!$AH59," ")</f>
        <v xml:space="preserve"> </v>
      </c>
      <c r="BX59" s="26" t="str">
        <f>IFERROR($AC59*HDF_Limited_Col!BX59/HDF_Limited_Col!$AH59," ")</f>
        <v xml:space="preserve"> </v>
      </c>
      <c r="BY59" s="26" t="str">
        <f>IFERROR($AC59*HDF_Limited_Col!BY59/HDF_Limited_Col!$AH59," ")</f>
        <v xml:space="preserve"> </v>
      </c>
      <c r="BZ59" s="26" t="str">
        <f>IFERROR($AC59*HDF_Limited_Col!BZ59/HDF_Limited_Col!$AH59," ")</f>
        <v xml:space="preserve"> </v>
      </c>
      <c r="CA59" s="26" t="str">
        <f>IFERROR($AC59*HDF_Limited_Col!CA59/HDF_Limited_Col!$AH59," ")</f>
        <v xml:space="preserve"> </v>
      </c>
      <c r="CB59" s="26" t="str">
        <f>IFERROR($AC59*HDF_Limited_Col!CB59/HDF_Limited_Col!$AH59," ")</f>
        <v xml:space="preserve"> </v>
      </c>
      <c r="CC59" s="26" t="str">
        <f>IFERROR($AC59*HDF_Limited_Col!CC59/HDF_Limited_Col!$AH59," ")</f>
        <v xml:space="preserve"> </v>
      </c>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row>
    <row r="60" spans="1:109">
      <c r="A60" s="26" t="s">
        <v>827</v>
      </c>
      <c r="B60" s="26" t="s">
        <v>24</v>
      </c>
      <c r="C60" s="152" t="s">
        <v>1800</v>
      </c>
      <c r="D60" s="26" t="s">
        <v>25</v>
      </c>
      <c r="E60" s="26" t="s">
        <v>237</v>
      </c>
      <c r="F60" s="26" t="s">
        <v>26</v>
      </c>
      <c r="G60" s="26" t="s">
        <v>595</v>
      </c>
      <c r="H60" s="30">
        <v>358</v>
      </c>
      <c r="I60" s="26" t="s">
        <v>735</v>
      </c>
      <c r="J60" s="26"/>
      <c r="K60" s="26" t="s">
        <v>115</v>
      </c>
      <c r="L60" s="26"/>
      <c r="M60" s="26" t="s">
        <v>815</v>
      </c>
      <c r="N60" s="26">
        <v>14</v>
      </c>
      <c r="O60" s="95">
        <v>8.8327146808914279</v>
      </c>
      <c r="P60" s="95">
        <v>1.2044610928488308</v>
      </c>
      <c r="Q60" s="95">
        <v>1.7063198815358438</v>
      </c>
      <c r="R60" s="95">
        <v>8.0297406189922054</v>
      </c>
      <c r="S60" s="95">
        <v>22.684017248652982</v>
      </c>
      <c r="T60" s="95">
        <v>18.669146939156882</v>
      </c>
      <c r="U60" s="95">
        <v>2.208178670222857</v>
      </c>
      <c r="V60" s="95">
        <v>4.0148703094961027</v>
      </c>
      <c r="W60" s="95">
        <v>25.695169980775063</v>
      </c>
      <c r="X60" s="95">
        <v>3.6133832785464928</v>
      </c>
      <c r="Y60" s="95">
        <v>4.3159855827083105</v>
      </c>
      <c r="Z60" s="95">
        <v>100.973988283827</v>
      </c>
      <c r="AA60" s="26"/>
      <c r="AB60" s="26"/>
      <c r="AC60" s="26">
        <f t="shared" si="0"/>
        <v>213305.19151911029</v>
      </c>
      <c r="AD60" s="26" t="str">
        <f>IFERROR($AC60*HDF_Limited_Col!AD60/HDF_Limited_Col!$AH60," ")</f>
        <v xml:space="preserve"> </v>
      </c>
      <c r="AE60" s="26" t="str">
        <f>IFERROR($AC60*HDF_Limited_Col!AE60/HDF_Limited_Col!$AH60," ")</f>
        <v xml:space="preserve"> </v>
      </c>
      <c r="AF60" s="26" t="str">
        <f>IFERROR($AC60*HDF_Limited_Col!AF60/HDF_Limited_Col!$AH60," ")</f>
        <v xml:space="preserve"> </v>
      </c>
      <c r="AG60" s="26" t="str">
        <f>IFERROR($AC60*HDF_Limited_Col!AG60/HDF_Limited_Col!$AH60," ")</f>
        <v xml:space="preserve"> </v>
      </c>
      <c r="AH60" s="26" t="str">
        <f>IFERROR($AC60*HDF_Limited_Col!AH60/HDF_Limited_Col!$AH60," ")</f>
        <v xml:space="preserve"> </v>
      </c>
      <c r="AI60" s="26" t="str">
        <f>IFERROR($AC60*HDF_Limited_Col!AI60/HDF_Limited_Col!$AH60," ")</f>
        <v xml:space="preserve"> </v>
      </c>
      <c r="AJ60" s="26" t="str">
        <f>IFERROR($AC60*HDF_Limited_Col!AJ60/HDF_Limited_Col!$AH60," ")</f>
        <v xml:space="preserve"> </v>
      </c>
      <c r="AK60" s="26" t="str">
        <f>IFERROR($AC60*HDF_Limited_Col!AK60/HDF_Limited_Col!$AH60," ")</f>
        <v xml:space="preserve"> </v>
      </c>
      <c r="AL60" s="26" t="str">
        <f>IFERROR($AC60*HDF_Limited_Col!AL60/HDF_Limited_Col!$AH60," ")</f>
        <v xml:space="preserve"> </v>
      </c>
      <c r="AM60" s="26" t="str">
        <f>IFERROR($AC60*HDF_Limited_Col!AM60/HDF_Limited_Col!$AH60," ")</f>
        <v xml:space="preserve"> </v>
      </c>
      <c r="AN60" s="26" t="str">
        <f>IFERROR($AC60*HDF_Limited_Col!AN60/HDF_Limited_Col!$AH60," ")</f>
        <v xml:space="preserve"> </v>
      </c>
      <c r="AO60" s="26" t="str">
        <f>IFERROR($AC60*HDF_Limited_Col!AO60/HDF_Limited_Col!$AH60," ")</f>
        <v xml:space="preserve"> </v>
      </c>
      <c r="AP60" s="26" t="str">
        <f>IFERROR($AC60*HDF_Limited_Col!AP60/HDF_Limited_Col!$AH60," ")</f>
        <v xml:space="preserve"> </v>
      </c>
      <c r="AQ60" s="26" t="str">
        <f>IFERROR($AC60*HDF_Limited_Col!AQ60/HDF_Limited_Col!$AH60," ")</f>
        <v xml:space="preserve"> </v>
      </c>
      <c r="AR60" s="26" t="str">
        <f>IFERROR($AC60*HDF_Limited_Col!AR60/HDF_Limited_Col!$AH60," ")</f>
        <v xml:space="preserve"> </v>
      </c>
      <c r="AS60" s="26" t="str">
        <f>IFERROR($AC60*HDF_Limited_Col!AS60/HDF_Limited_Col!$AH60," ")</f>
        <v xml:space="preserve"> </v>
      </c>
      <c r="AT60" s="26" t="str">
        <f>IFERROR($AC60*HDF_Limited_Col!AT60/HDF_Limited_Col!$AH60," ")</f>
        <v xml:space="preserve"> </v>
      </c>
      <c r="AU60" s="26" t="str">
        <f>IFERROR($AC60*HDF_Limited_Col!AU60/HDF_Limited_Col!$AH60," ")</f>
        <v xml:space="preserve"> </v>
      </c>
      <c r="AV60" s="26" t="str">
        <f>IFERROR($AC60*HDF_Limited_Col!AV60/HDF_Limited_Col!$AH60," ")</f>
        <v xml:space="preserve"> </v>
      </c>
      <c r="AW60" s="26" t="str">
        <f>IFERROR($AC60*HDF_Limited_Col!AW60/HDF_Limited_Col!$AH60," ")</f>
        <v xml:space="preserve"> </v>
      </c>
      <c r="AX60" s="26" t="str">
        <f>IFERROR($AC60*HDF_Limited_Col!AX60/HDF_Limited_Col!$AH60," ")</f>
        <v xml:space="preserve"> </v>
      </c>
      <c r="AY60" s="26" t="str">
        <f>IFERROR($AC60*HDF_Limited_Col!AY60/HDF_Limited_Col!$AH60," ")</f>
        <v xml:space="preserve"> </v>
      </c>
      <c r="AZ60" s="26" t="str">
        <f>IFERROR($AC60*HDF_Limited_Col!AZ60/HDF_Limited_Col!$AH60," ")</f>
        <v xml:space="preserve"> </v>
      </c>
      <c r="BA60" s="26" t="str">
        <f>IFERROR($AC60*HDF_Limited_Col!BA60/HDF_Limited_Col!$AH60," ")</f>
        <v xml:space="preserve"> </v>
      </c>
      <c r="BB60" s="26" t="str">
        <f>IFERROR($AC60*HDF_Limited_Col!BB60/HDF_Limited_Col!$AH60," ")</f>
        <v xml:space="preserve"> </v>
      </c>
      <c r="BC60" s="26" t="str">
        <f>IFERROR($AC60*HDF_Limited_Col!BC60/HDF_Limited_Col!$AH60," ")</f>
        <v xml:space="preserve"> </v>
      </c>
      <c r="BD60" s="26" t="str">
        <f>IFERROR($AC60*HDF_Limited_Col!BD60/HDF_Limited_Col!$AH60," ")</f>
        <v xml:space="preserve"> </v>
      </c>
      <c r="BE60" s="26" t="str">
        <f>IFERROR($AC60*HDF_Limited_Col!BE60/HDF_Limited_Col!$AH60," ")</f>
        <v xml:space="preserve"> </v>
      </c>
      <c r="BF60" s="26" t="str">
        <f>IFERROR($AC60*HDF_Limited_Col!BF60/HDF_Limited_Col!$AH60," ")</f>
        <v xml:space="preserve"> </v>
      </c>
      <c r="BG60" s="26" t="str">
        <f>IFERROR($AC60*HDF_Limited_Col!BG60/HDF_Limited_Col!$AH60," ")</f>
        <v xml:space="preserve"> </v>
      </c>
      <c r="BH60" s="26" t="str">
        <f>IFERROR($AC60*HDF_Limited_Col!BH60/HDF_Limited_Col!$AH60," ")</f>
        <v xml:space="preserve"> </v>
      </c>
      <c r="BI60" s="26" t="str">
        <f>IFERROR($AC60*HDF_Limited_Col!BI60/HDF_Limited_Col!$AH60," ")</f>
        <v xml:space="preserve"> </v>
      </c>
      <c r="BJ60" s="26" t="str">
        <f>IFERROR($AC60*HDF_Limited_Col!BJ60/HDF_Limited_Col!$AH60," ")</f>
        <v xml:space="preserve"> </v>
      </c>
      <c r="BK60" s="26" t="str">
        <f>IFERROR($AC60*HDF_Limited_Col!BK60/HDF_Limited_Col!$AH60," ")</f>
        <v xml:space="preserve"> </v>
      </c>
      <c r="BL60" s="26" t="str">
        <f>IFERROR($AC60*HDF_Limited_Col!BL60/HDF_Limited_Col!$AH60," ")</f>
        <v xml:space="preserve"> </v>
      </c>
      <c r="BM60" s="26" t="str">
        <f>IFERROR($AC60*HDF_Limited_Col!BM60/HDF_Limited_Col!$AH60," ")</f>
        <v xml:space="preserve"> </v>
      </c>
      <c r="BN60" s="26" t="str">
        <f>IFERROR($AC60*HDF_Limited_Col!BN60/HDF_Limited_Col!$AH60," ")</f>
        <v xml:space="preserve"> </v>
      </c>
      <c r="BO60" s="26" t="str">
        <f>IFERROR($AC60*HDF_Limited_Col!BO60/HDF_Limited_Col!$AH60," ")</f>
        <v xml:space="preserve"> </v>
      </c>
      <c r="BP60" s="26" t="str">
        <f>IFERROR($AC60*HDF_Limited_Col!BP60/HDF_Limited_Col!$AH60," ")</f>
        <v xml:space="preserve"> </v>
      </c>
      <c r="BQ60" s="26" t="str">
        <f>IFERROR($AC60*HDF_Limited_Col!BQ60/HDF_Limited_Col!$AH60," ")</f>
        <v xml:space="preserve"> </v>
      </c>
      <c r="BR60" s="26" t="str">
        <f>IFERROR($AC60*HDF_Limited_Col!BR60/HDF_Limited_Col!$AH60," ")</f>
        <v xml:space="preserve"> </v>
      </c>
      <c r="BS60" s="26" t="str">
        <f>IFERROR($AC60*HDF_Limited_Col!BS60/HDF_Limited_Col!$AH60," ")</f>
        <v xml:space="preserve"> </v>
      </c>
      <c r="BT60" s="26" t="str">
        <f>IFERROR($AC60*HDF_Limited_Col!BT60/HDF_Limited_Col!$AH60," ")</f>
        <v xml:space="preserve"> </v>
      </c>
      <c r="BU60" s="26" t="str">
        <f>IFERROR($AC60*HDF_Limited_Col!BU60/HDF_Limited_Col!$AH60," ")</f>
        <v xml:space="preserve"> </v>
      </c>
      <c r="BV60" s="26" t="str">
        <f>IFERROR($AC60*HDF_Limited_Col!BV60/HDF_Limited_Col!$AH60," ")</f>
        <v xml:space="preserve"> </v>
      </c>
      <c r="BW60" s="26" t="str">
        <f>IFERROR($AC60*HDF_Limited_Col!BW60/HDF_Limited_Col!$AH60," ")</f>
        <v xml:space="preserve"> </v>
      </c>
      <c r="BX60" s="26" t="str">
        <f>IFERROR($AC60*HDF_Limited_Col!BX60/HDF_Limited_Col!$AH60," ")</f>
        <v xml:space="preserve"> </v>
      </c>
      <c r="BY60" s="26" t="str">
        <f>IFERROR($AC60*HDF_Limited_Col!BY60/HDF_Limited_Col!$AH60," ")</f>
        <v xml:space="preserve"> </v>
      </c>
      <c r="BZ60" s="26" t="str">
        <f>IFERROR($AC60*HDF_Limited_Col!BZ60/HDF_Limited_Col!$AH60," ")</f>
        <v xml:space="preserve"> </v>
      </c>
      <c r="CA60" s="26" t="str">
        <f>IFERROR($AC60*HDF_Limited_Col!CA60/HDF_Limited_Col!$AH60," ")</f>
        <v xml:space="preserve"> </v>
      </c>
      <c r="CB60" s="26" t="str">
        <f>IFERROR($AC60*HDF_Limited_Col!CB60/HDF_Limited_Col!$AH60," ")</f>
        <v xml:space="preserve"> </v>
      </c>
      <c r="CC60" s="26" t="str">
        <f>IFERROR($AC60*HDF_Limited_Col!CC60/HDF_Limited_Col!$AH60," ")</f>
        <v xml:space="preserve"> </v>
      </c>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row>
    <row r="61" spans="1:109">
      <c r="A61" s="26" t="s">
        <v>1323</v>
      </c>
      <c r="B61" s="26" t="s">
        <v>24</v>
      </c>
      <c r="C61" s="152" t="s">
        <v>1800</v>
      </c>
      <c r="D61" s="26" t="s">
        <v>25</v>
      </c>
      <c r="E61" s="26" t="s">
        <v>237</v>
      </c>
      <c r="F61" s="26" t="s">
        <v>26</v>
      </c>
      <c r="G61" s="26" t="s">
        <v>595</v>
      </c>
      <c r="H61" s="30">
        <v>358</v>
      </c>
      <c r="I61" s="26" t="s">
        <v>735</v>
      </c>
      <c r="J61" s="26" t="s">
        <v>635</v>
      </c>
      <c r="K61" s="26" t="s">
        <v>115</v>
      </c>
      <c r="L61" s="26"/>
      <c r="M61" s="26" t="s">
        <v>813</v>
      </c>
      <c r="N61" s="26">
        <v>25</v>
      </c>
      <c r="O61" s="95">
        <v>9.7464236825578752</v>
      </c>
      <c r="P61" s="95">
        <v>0.92334540150548294</v>
      </c>
      <c r="Q61" s="95">
        <v>1.7440968695103567</v>
      </c>
      <c r="R61" s="95">
        <v>6.4634178105383802</v>
      </c>
      <c r="S61" s="95">
        <v>23.699198638640727</v>
      </c>
      <c r="T61" s="95">
        <v>17.338374761602953</v>
      </c>
      <c r="U61" s="95">
        <v>0.61556360100365526</v>
      </c>
      <c r="V61" s="95">
        <v>9.9516115495590931</v>
      </c>
      <c r="W61" s="95">
        <v>23.596604705140116</v>
      </c>
      <c r="X61" s="95">
        <v>1.9492847365115746</v>
      </c>
      <c r="Y61" s="95">
        <v>5.12969667503046</v>
      </c>
      <c r="Z61" s="95">
        <v>101.15761843160067</v>
      </c>
      <c r="AA61" s="26"/>
      <c r="AB61" s="26"/>
      <c r="AC61" s="26">
        <f t="shared" si="1"/>
        <v>195884.21830237017</v>
      </c>
      <c r="AD61" s="26">
        <f>IFERROR($AC61*HDF_Limited_Col!AD61/HDF_Limited_Col!$AH61," ")</f>
        <v>0</v>
      </c>
      <c r="AE61" s="26">
        <f>IFERROR($AC61*HDF_Limited_Col!AE61/HDF_Limited_Col!$AH61," ")</f>
        <v>0</v>
      </c>
      <c r="AF61" s="26">
        <f>IFERROR($AC61*HDF_Limited_Col!AF61/HDF_Limited_Col!$AH61," ")</f>
        <v>0</v>
      </c>
      <c r="AG61" s="26">
        <f>IFERROR($AC61*HDF_Limited_Col!AG61/HDF_Limited_Col!$AH61," ")</f>
        <v>0</v>
      </c>
      <c r="AH61" s="26">
        <f>IFERROR($AC61*HDF_Limited_Col!AH61/HDF_Limited_Col!$AH61," ")</f>
        <v>195884.21830237017</v>
      </c>
      <c r="AI61" s="26">
        <f>IFERROR($AC61*HDF_Limited_Col!AI61/HDF_Limited_Col!$AH61," ")</f>
        <v>0</v>
      </c>
      <c r="AJ61" s="26">
        <f>IFERROR($AC61*HDF_Limited_Col!AJ61/HDF_Limited_Col!$AH61," ")</f>
        <v>12406.000492483443</v>
      </c>
      <c r="AK61" s="26">
        <f>IFERROR($AC61*HDF_Limited_Col!AK61/HDF_Limited_Col!$AH61," ")</f>
        <v>0</v>
      </c>
      <c r="AL61" s="26">
        <f>IFERROR($AC61*HDF_Limited_Col!AL61/HDF_Limited_Col!$AH61," ")</f>
        <v>0</v>
      </c>
      <c r="AM61" s="26">
        <f>IFERROR($AC61*HDF_Limited_Col!AM61/HDF_Limited_Col!$AH61," ")</f>
        <v>0</v>
      </c>
      <c r="AN61" s="26">
        <f>IFERROR($AC61*HDF_Limited_Col!AN61/HDF_Limited_Col!$AH61," ")</f>
        <v>0</v>
      </c>
      <c r="AO61" s="26">
        <f>IFERROR($AC61*HDF_Limited_Col!AO61/HDF_Limited_Col!$AH61," ")</f>
        <v>0</v>
      </c>
      <c r="AP61" s="26">
        <f>IFERROR($AC61*HDF_Limited_Col!AP61/HDF_Limited_Col!$AH61," ")</f>
        <v>0</v>
      </c>
      <c r="AQ61" s="26">
        <f>IFERROR($AC61*HDF_Limited_Col!AQ61/HDF_Limited_Col!$AH61," ")</f>
        <v>0</v>
      </c>
      <c r="AR61" s="26">
        <f>IFERROR($AC61*HDF_Limited_Col!AR61/HDF_Limited_Col!$AH61," ")</f>
        <v>0</v>
      </c>
      <c r="AS61" s="26">
        <f>IFERROR($AC61*HDF_Limited_Col!AS61/HDF_Limited_Col!$AH61," ")</f>
        <v>0</v>
      </c>
      <c r="AT61" s="26">
        <f>IFERROR($AC61*HDF_Limited_Col!AT61/HDF_Limited_Col!$AH61," ")</f>
        <v>0</v>
      </c>
      <c r="AU61" s="26">
        <f>IFERROR($AC61*HDF_Limited_Col!AU61/HDF_Limited_Col!$AH61," ")</f>
        <v>0</v>
      </c>
      <c r="AV61" s="26">
        <f>IFERROR($AC61*HDF_Limited_Col!AV61/HDF_Limited_Col!$AH61," ")</f>
        <v>0</v>
      </c>
      <c r="AW61" s="26">
        <f>IFERROR($AC61*HDF_Limited_Col!AW61/HDF_Limited_Col!$AH61," ")</f>
        <v>0</v>
      </c>
      <c r="AX61" s="26">
        <f>IFERROR($AC61*HDF_Limited_Col!AX61/HDF_Limited_Col!$AH61," ")</f>
        <v>914.12635207772757</v>
      </c>
      <c r="AY61" s="26">
        <f>IFERROR($AC61*HDF_Limited_Col!AY61/HDF_Limited_Col!$AH61," ")</f>
        <v>4897.1054575592543</v>
      </c>
      <c r="AZ61" s="26">
        <f>IFERROR($AC61*HDF_Limited_Col!AZ61/HDF_Limited_Col!$AH61," ")</f>
        <v>21.628882437553372</v>
      </c>
      <c r="BA61" s="26">
        <f>IFERROR($AC61*HDF_Limited_Col!BA61/HDF_Limited_Col!$AH61," ")</f>
        <v>383.19850205401161</v>
      </c>
      <c r="BB61" s="26">
        <f>IFERROR($AC61*HDF_Limited_Col!BB61/HDF_Limited_Col!$AH61," ")</f>
        <v>0</v>
      </c>
      <c r="BC61" s="26">
        <f>IFERROR($AC61*HDF_Limited_Col!BC61/HDF_Limited_Col!$AH61," ")</f>
        <v>1776.8330968510827</v>
      </c>
      <c r="BD61" s="26">
        <f>IFERROR($AC61*HDF_Limited_Col!BD61/HDF_Limited_Col!$AH61," ")</f>
        <v>0</v>
      </c>
      <c r="BE61" s="26">
        <f>IFERROR($AC61*HDF_Limited_Col!BE61/HDF_Limited_Col!$AH61," ")</f>
        <v>0</v>
      </c>
      <c r="BF61" s="26">
        <f>IFERROR($AC61*HDF_Limited_Col!BF61/HDF_Limited_Col!$AH61," ")</f>
        <v>0</v>
      </c>
      <c r="BG61" s="26">
        <f>IFERROR($AC61*HDF_Limited_Col!BG61/HDF_Limited_Col!$AH61," ")</f>
        <v>0</v>
      </c>
      <c r="BH61" s="26">
        <f>IFERROR($AC61*HDF_Limited_Col!BH61/HDF_Limited_Col!$AH61," ")</f>
        <v>11.426579400971594</v>
      </c>
      <c r="BI61" s="26">
        <f>IFERROR($AC61*HDF_Limited_Col!BI61/HDF_Limited_Col!$AH61," ")</f>
        <v>14813.744009116743</v>
      </c>
      <c r="BJ61" s="26">
        <f>IFERROR($AC61*HDF_Limited_Col!BJ61/HDF_Limited_Col!$AH61," ")</f>
        <v>0</v>
      </c>
      <c r="BK61" s="26">
        <f>IFERROR($AC61*HDF_Limited_Col!BK61/HDF_Limited_Col!$AH61," ")</f>
        <v>1093.6868855215666</v>
      </c>
      <c r="BL61" s="26">
        <f>IFERROR($AC61*HDF_Limited_Col!BL61/HDF_Limited_Col!$AH61," ")</f>
        <v>1371.1895281165912</v>
      </c>
      <c r="BM61" s="26">
        <f>IFERROR($AC61*HDF_Limited_Col!BM61/HDF_Limited_Col!$AH61," ")</f>
        <v>138.75132129751222</v>
      </c>
      <c r="BN61" s="26">
        <f>IFERROR($AC61*HDF_Limited_Col!BN61/HDF_Limited_Col!$AH61," ")</f>
        <v>497.87238818519086</v>
      </c>
      <c r="BO61" s="26">
        <f>IFERROR($AC61*HDF_Limited_Col!BO61/HDF_Limited_Col!$AH61," ")</f>
        <v>43.257764875106744</v>
      </c>
      <c r="BP61" s="26">
        <f>IFERROR($AC61*HDF_Limited_Col!BP61/HDF_Limited_Col!$AH61," ")</f>
        <v>10.61039515804505</v>
      </c>
      <c r="BQ61" s="26">
        <f>IFERROR($AC61*HDF_Limited_Col!BQ61/HDF_Limited_Col!$AH61," ")</f>
        <v>18.364145465847205</v>
      </c>
      <c r="BR61" s="26">
        <f>IFERROR($AC61*HDF_Limited_Col!BR61/HDF_Limited_Col!$AH61," ")</f>
        <v>8.5699345507286964</v>
      </c>
      <c r="BS61" s="26">
        <f>IFERROR($AC61*HDF_Limited_Col!BS61/HDF_Limited_Col!$AH61," ")</f>
        <v>0</v>
      </c>
      <c r="BT61" s="26">
        <f>IFERROR($AC61*HDF_Limited_Col!BT61/HDF_Limited_Col!$AH61," ")</f>
        <v>0</v>
      </c>
      <c r="BU61" s="26">
        <f>IFERROR($AC61*HDF_Limited_Col!BU61/HDF_Limited_Col!$AH61," ")</f>
        <v>0</v>
      </c>
      <c r="BV61" s="26">
        <f>IFERROR($AC61*HDF_Limited_Col!BV61/HDF_Limited_Col!$AH61," ")</f>
        <v>0</v>
      </c>
      <c r="BW61" s="26">
        <f>IFERROR($AC61*HDF_Limited_Col!BW61/HDF_Limited_Col!$AH61," ")</f>
        <v>0</v>
      </c>
      <c r="BX61" s="26">
        <f>IFERROR($AC61*HDF_Limited_Col!BX61/HDF_Limited_Col!$AH61," ")</f>
        <v>0</v>
      </c>
      <c r="BY61" s="26">
        <f>IFERROR($AC61*HDF_Limited_Col!BY61/HDF_Limited_Col!$AH61," ")</f>
        <v>114.26579400971595</v>
      </c>
      <c r="BZ61" s="26">
        <f>IFERROR($AC61*HDF_Limited_Col!BZ61/HDF_Limited_Col!$AH61," ")</f>
        <v>0</v>
      </c>
      <c r="CA61" s="26">
        <f>IFERROR($AC61*HDF_Limited_Col!CA61/HDF_Limited_Col!$AH61," ")</f>
        <v>0</v>
      </c>
      <c r="CB61" s="26">
        <f>IFERROR($AC61*HDF_Limited_Col!CB61/HDF_Limited_Col!$AH61," ")</f>
        <v>162.42066434238194</v>
      </c>
      <c r="CC61" s="26">
        <f>IFERROR($AC61*HDF_Limited_Col!CC61/HDF_Limited_Col!$AH61," ")</f>
        <v>23.669343044869731</v>
      </c>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row>
    <row r="62" spans="1:109">
      <c r="A62" s="26" t="s">
        <v>1175</v>
      </c>
      <c r="B62" s="26" t="s">
        <v>24</v>
      </c>
      <c r="C62" s="152" t="s">
        <v>1800</v>
      </c>
      <c r="D62" s="26" t="s">
        <v>1707</v>
      </c>
      <c r="E62" s="26" t="s">
        <v>171</v>
      </c>
      <c r="F62" s="26" t="s">
        <v>45</v>
      </c>
      <c r="G62" s="26" t="s">
        <v>595</v>
      </c>
      <c r="H62" s="30">
        <v>55</v>
      </c>
      <c r="I62" s="26" t="s">
        <v>712</v>
      </c>
      <c r="J62" s="26"/>
      <c r="K62" s="26"/>
      <c r="L62" s="26" t="s">
        <v>773</v>
      </c>
      <c r="M62" s="26" t="s">
        <v>46</v>
      </c>
      <c r="N62" s="26">
        <v>60</v>
      </c>
      <c r="O62" s="95">
        <v>9.5437077993038031</v>
      </c>
      <c r="P62" s="95">
        <v>1.0262051397100862</v>
      </c>
      <c r="Q62" s="95">
        <v>1.6419282235361381</v>
      </c>
      <c r="R62" s="95">
        <v>7.9017795757676641</v>
      </c>
      <c r="S62" s="95">
        <v>19.087415598607606</v>
      </c>
      <c r="T62" s="95">
        <v>13.340666816231121</v>
      </c>
      <c r="U62" s="95">
        <v>7.9017795757676641</v>
      </c>
      <c r="V62" s="95">
        <v>15.906179665506336</v>
      </c>
      <c r="W62" s="95">
        <v>13.340666816231121</v>
      </c>
      <c r="X62" s="95">
        <v>3.0786154191302586</v>
      </c>
      <c r="Y62" s="95">
        <v>9.3384667713617837</v>
      </c>
      <c r="Z62" s="95">
        <v>102.10741140115358</v>
      </c>
      <c r="AA62" s="26"/>
      <c r="AB62" s="26"/>
      <c r="AC62" s="26">
        <f t="shared" si="0"/>
        <v>110745.85193862894</v>
      </c>
      <c r="AD62" s="26">
        <f>IFERROR($AC62*HDF_Limited_Col!AD62/HDF_Limited_Col!$AH62," ")</f>
        <v>0</v>
      </c>
      <c r="AE62" s="26">
        <f>IFERROR($AC62*HDF_Limited_Col!AE62/HDF_Limited_Col!$AH62," ")</f>
        <v>0</v>
      </c>
      <c r="AF62" s="26">
        <f>IFERROR($AC62*HDF_Limited_Col!AF62/HDF_Limited_Col!$AH62," ")</f>
        <v>0</v>
      </c>
      <c r="AG62" s="26">
        <f>IFERROR($AC62*HDF_Limited_Col!AG62/HDF_Limited_Col!$AH62," ")</f>
        <v>0</v>
      </c>
      <c r="AH62" s="26">
        <f>IFERROR($AC62*HDF_Limited_Col!AH62/HDF_Limited_Col!$AH62," ")</f>
        <v>110745.85193862894</v>
      </c>
      <c r="AI62" s="26">
        <f>IFERROR($AC62*HDF_Limited_Col!AI62/HDF_Limited_Col!$AH62," ")</f>
        <v>0</v>
      </c>
      <c r="AJ62" s="26">
        <f>IFERROR($AC62*HDF_Limited_Col!AJ62/HDF_Limited_Col!$AH62," ")</f>
        <v>575.87843008087054</v>
      </c>
      <c r="AK62" s="26">
        <f>IFERROR($AC62*HDF_Limited_Col!AK62/HDF_Limited_Col!$AH62," ")</f>
        <v>0</v>
      </c>
      <c r="AL62" s="26">
        <f>IFERROR($AC62*HDF_Limited_Col!AL62/HDF_Limited_Col!$AH62," ")</f>
        <v>0</v>
      </c>
      <c r="AM62" s="26">
        <f>IFERROR($AC62*HDF_Limited_Col!AM62/HDF_Limited_Col!$AH62," ")</f>
        <v>0</v>
      </c>
      <c r="AN62" s="26">
        <f>IFERROR($AC62*HDF_Limited_Col!AN62/HDF_Limited_Col!$AH62," ")</f>
        <v>0</v>
      </c>
      <c r="AO62" s="26">
        <f>IFERROR($AC62*HDF_Limited_Col!AO62/HDF_Limited_Col!$AH62," ")</f>
        <v>0</v>
      </c>
      <c r="AP62" s="26">
        <f>IFERROR($AC62*HDF_Limited_Col!AP62/HDF_Limited_Col!$AH62," ")</f>
        <v>0</v>
      </c>
      <c r="AQ62" s="26">
        <f>IFERROR($AC62*HDF_Limited_Col!AQ62/HDF_Limited_Col!$AH62," ")</f>
        <v>0</v>
      </c>
      <c r="AR62" s="26">
        <f>IFERROR($AC62*HDF_Limited_Col!AR62/HDF_Limited_Col!$AH62," ")</f>
        <v>0</v>
      </c>
      <c r="AS62" s="26">
        <f>IFERROR($AC62*HDF_Limited_Col!AS62/HDF_Limited_Col!$AH62," ")</f>
        <v>0</v>
      </c>
      <c r="AT62" s="26">
        <f>IFERROR($AC62*HDF_Limited_Col!AT62/HDF_Limited_Col!$AH62," ")</f>
        <v>0</v>
      </c>
      <c r="AU62" s="26">
        <f>IFERROR($AC62*HDF_Limited_Col!AU62/HDF_Limited_Col!$AH62," ")</f>
        <v>0</v>
      </c>
      <c r="AV62" s="26">
        <f>IFERROR($AC62*HDF_Limited_Col!AV62/HDF_Limited_Col!$AH62," ")</f>
        <v>0</v>
      </c>
      <c r="AW62" s="26">
        <f>IFERROR($AC62*HDF_Limited_Col!AW62/HDF_Limited_Col!$AH62," ")</f>
        <v>0</v>
      </c>
      <c r="AX62" s="26">
        <f>IFERROR($AC62*HDF_Limited_Col!AX62/HDF_Limited_Col!$AH62," ")</f>
        <v>155.04419271408051</v>
      </c>
      <c r="AY62" s="26">
        <f>IFERROR($AC62*HDF_Limited_Col!AY62/HDF_Limited_Col!$AH62," ")</f>
        <v>4518.4307590960607</v>
      </c>
      <c r="AZ62" s="26">
        <f>IFERROR($AC62*HDF_Limited_Col!AZ62/HDF_Limited_Col!$AH62," ")</f>
        <v>1.9048286533444176</v>
      </c>
      <c r="BA62" s="26">
        <f>IFERROR($AC62*HDF_Limited_Col!BA62/HDF_Limited_Col!$AH62," ")</f>
        <v>119.60552009371928</v>
      </c>
      <c r="BB62" s="26">
        <f>IFERROR($AC62*HDF_Limited_Col!BB62/HDF_Limited_Col!$AH62," ")</f>
        <v>0</v>
      </c>
      <c r="BC62" s="26">
        <f>IFERROR($AC62*HDF_Limited_Col!BC62/HDF_Limited_Col!$AH62," ")</f>
        <v>863.37466171355129</v>
      </c>
      <c r="BD62" s="26">
        <f>IFERROR($AC62*HDF_Limited_Col!BD62/HDF_Limited_Col!$AH62," ")</f>
        <v>0</v>
      </c>
      <c r="BE62" s="26">
        <f>IFERROR($AC62*HDF_Limited_Col!BE62/HDF_Limited_Col!$AH62," ")</f>
        <v>0</v>
      </c>
      <c r="BF62" s="26">
        <f>IFERROR($AC62*HDF_Limited_Col!BF62/HDF_Limited_Col!$AH62," ")</f>
        <v>0</v>
      </c>
      <c r="BG62" s="26">
        <f>IFERROR($AC62*HDF_Limited_Col!BG62/HDF_Limited_Col!$AH62," ")</f>
        <v>0</v>
      </c>
      <c r="BH62" s="26">
        <f>IFERROR($AC62*HDF_Limited_Col!BH62/HDF_Limited_Col!$AH62," ")</f>
        <v>13.732485640389989</v>
      </c>
      <c r="BI62" s="26">
        <f>IFERROR($AC62*HDF_Limited_Col!BI62/HDF_Limited_Col!$AH62," ")</f>
        <v>57587.843008087046</v>
      </c>
      <c r="BJ62" s="26">
        <f>IFERROR($AC62*HDF_Limited_Col!BJ62/HDF_Limited_Col!$AH62," ")</f>
        <v>0</v>
      </c>
      <c r="BK62" s="26">
        <f>IFERROR($AC62*HDF_Limited_Col!BK62/HDF_Limited_Col!$AH62," ")</f>
        <v>2746.4971280779978</v>
      </c>
      <c r="BL62" s="26">
        <f>IFERROR($AC62*HDF_Limited_Col!BL62/HDF_Limited_Col!$AH62," ")</f>
        <v>2259.2153795480303</v>
      </c>
      <c r="BM62" s="26">
        <f>IFERROR($AC62*HDF_Limited_Col!BM62/HDF_Limited_Col!$AH62," ")</f>
        <v>128.46518824880957</v>
      </c>
      <c r="BN62" s="26">
        <f>IFERROR($AC62*HDF_Limited_Col!BN62/HDF_Limited_Col!$AH62," ")</f>
        <v>349.95689212606749</v>
      </c>
      <c r="BO62" s="26">
        <f>IFERROR($AC62*HDF_Limited_Col!BO62/HDF_Limited_Col!$AH62," ")</f>
        <v>22.149170387725789</v>
      </c>
      <c r="BP62" s="26">
        <f>IFERROR($AC62*HDF_Limited_Col!BP62/HDF_Limited_Col!$AH62," ")</f>
        <v>6.2017677085632208</v>
      </c>
      <c r="BQ62" s="26">
        <f>IFERROR($AC62*HDF_Limited_Col!BQ62/HDF_Limited_Col!$AH62," ")</f>
        <v>11.960552009371925</v>
      </c>
      <c r="BR62" s="26">
        <f>IFERROR($AC62*HDF_Limited_Col!BR62/HDF_Limited_Col!$AH62," ")</f>
        <v>0</v>
      </c>
      <c r="BS62" s="26">
        <f>IFERROR($AC62*HDF_Limited_Col!BS62/HDF_Limited_Col!$AH62," ")</f>
        <v>0</v>
      </c>
      <c r="BT62" s="26">
        <f>IFERROR($AC62*HDF_Limited_Col!BT62/HDF_Limited_Col!$AH62," ")</f>
        <v>0</v>
      </c>
      <c r="BU62" s="26">
        <f>IFERROR($AC62*HDF_Limited_Col!BU62/HDF_Limited_Col!$AH62," ")</f>
        <v>0</v>
      </c>
      <c r="BV62" s="26">
        <f>IFERROR($AC62*HDF_Limited_Col!BV62/HDF_Limited_Col!$AH62," ")</f>
        <v>6.2017677085632208</v>
      </c>
      <c r="BW62" s="26">
        <f>IFERROR($AC62*HDF_Limited_Col!BW62/HDF_Limited_Col!$AH62," ")</f>
        <v>0</v>
      </c>
      <c r="BX62" s="26">
        <f>IFERROR($AC62*HDF_Limited_Col!BX62/HDF_Limited_Col!$AH62," ")</f>
        <v>0</v>
      </c>
      <c r="BY62" s="26">
        <f>IFERROR($AC62*HDF_Limited_Col!BY62/HDF_Limited_Col!$AH62," ")</f>
        <v>38.539556474642872</v>
      </c>
      <c r="BZ62" s="26">
        <f>IFERROR($AC62*HDF_Limited_Col!BZ62/HDF_Limited_Col!$AH62," ")</f>
        <v>0</v>
      </c>
      <c r="CA62" s="26">
        <f>IFERROR($AC62*HDF_Limited_Col!CA62/HDF_Limited_Col!$AH62," ")</f>
        <v>0</v>
      </c>
      <c r="CB62" s="26">
        <f>IFERROR($AC62*HDF_Limited_Col!CB62/HDF_Limited_Col!$AH62," ")</f>
        <v>664.47511163177364</v>
      </c>
      <c r="CC62" s="26">
        <f>IFERROR($AC62*HDF_Limited_Col!CC62/HDF_Limited_Col!$AH62," ")</f>
        <v>79.737013395812824</v>
      </c>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row>
    <row r="63" spans="1:109">
      <c r="A63" s="26" t="s">
        <v>1361</v>
      </c>
      <c r="B63" s="26" t="s">
        <v>24</v>
      </c>
      <c r="C63" s="152" t="s">
        <v>1800</v>
      </c>
      <c r="D63" s="26" t="s">
        <v>1265</v>
      </c>
      <c r="E63" s="26" t="s">
        <v>171</v>
      </c>
      <c r="F63" s="26" t="s">
        <v>1266</v>
      </c>
      <c r="G63" s="26" t="s">
        <v>595</v>
      </c>
      <c r="H63" s="30">
        <v>540</v>
      </c>
      <c r="I63" s="26" t="s">
        <v>735</v>
      </c>
      <c r="J63" s="26"/>
      <c r="K63" s="26" t="s">
        <v>115</v>
      </c>
      <c r="L63" s="26"/>
      <c r="M63" s="26" t="s">
        <v>1363</v>
      </c>
      <c r="N63" s="26">
        <v>13</v>
      </c>
      <c r="O63" s="95">
        <v>10.542030011741122</v>
      </c>
      <c r="P63" s="95">
        <v>2.4222903050338305</v>
      </c>
      <c r="Q63" s="95">
        <v>0.48382458284648217</v>
      </c>
      <c r="R63" s="95">
        <v>9.4652264236810932</v>
      </c>
      <c r="S63" s="95">
        <v>17.949472631284703</v>
      </c>
      <c r="T63" s="95">
        <v>13.11649503080714</v>
      </c>
      <c r="U63" s="95">
        <v>5.2924937228278583</v>
      </c>
      <c r="V63" s="95">
        <v>11.078649289440145</v>
      </c>
      <c r="W63" s="95">
        <v>21.398658119291238</v>
      </c>
      <c r="X63" s="95">
        <v>2.1960020017427584</v>
      </c>
      <c r="Y63" s="95">
        <v>7.8194794860551724</v>
      </c>
      <c r="Z63" s="95">
        <v>101.76462160475155</v>
      </c>
      <c r="AA63" s="26"/>
      <c r="AB63" s="26"/>
      <c r="AC63" s="26">
        <f t="shared" si="0"/>
        <v>177638.24375563447</v>
      </c>
      <c r="AD63" s="26" t="str">
        <f>IFERROR($AC63*HDF_Limited_Col!AD63/HDF_Limited_Col!$AH63," ")</f>
        <v xml:space="preserve"> </v>
      </c>
      <c r="AE63" s="26" t="str">
        <f>IFERROR($AC63*HDF_Limited_Col!AE63/HDF_Limited_Col!$AH63," ")</f>
        <v xml:space="preserve"> </v>
      </c>
      <c r="AF63" s="26" t="str">
        <f>IFERROR($AC63*HDF_Limited_Col!AF63/HDF_Limited_Col!$AH63," ")</f>
        <v xml:space="preserve"> </v>
      </c>
      <c r="AG63" s="26" t="str">
        <f>IFERROR($AC63*HDF_Limited_Col!AG63/HDF_Limited_Col!$AH63," ")</f>
        <v xml:space="preserve"> </v>
      </c>
      <c r="AH63" s="26" t="str">
        <f>IFERROR($AC63*HDF_Limited_Col!AH63/HDF_Limited_Col!$AH63," ")</f>
        <v xml:space="preserve"> </v>
      </c>
      <c r="AI63" s="26" t="str">
        <f>IFERROR($AC63*HDF_Limited_Col!AI63/HDF_Limited_Col!$AH63," ")</f>
        <v xml:space="preserve"> </v>
      </c>
      <c r="AJ63" s="26" t="str">
        <f>IFERROR($AC63*HDF_Limited_Col!AJ63/HDF_Limited_Col!$AH63," ")</f>
        <v xml:space="preserve"> </v>
      </c>
      <c r="AK63" s="26" t="str">
        <f>IFERROR($AC63*HDF_Limited_Col!AK63/HDF_Limited_Col!$AH63," ")</f>
        <v xml:space="preserve"> </v>
      </c>
      <c r="AL63" s="26" t="str">
        <f>IFERROR($AC63*HDF_Limited_Col!AL63/HDF_Limited_Col!$AH63," ")</f>
        <v xml:space="preserve"> </v>
      </c>
      <c r="AM63" s="26" t="str">
        <f>IFERROR($AC63*HDF_Limited_Col!AM63/HDF_Limited_Col!$AH63," ")</f>
        <v xml:space="preserve"> </v>
      </c>
      <c r="AN63" s="26" t="str">
        <f>IFERROR($AC63*HDF_Limited_Col!AN63/HDF_Limited_Col!$AH63," ")</f>
        <v xml:space="preserve"> </v>
      </c>
      <c r="AO63" s="26" t="str">
        <f>IFERROR($AC63*HDF_Limited_Col!AO63/HDF_Limited_Col!$AH63," ")</f>
        <v xml:space="preserve"> </v>
      </c>
      <c r="AP63" s="26" t="str">
        <f>IFERROR($AC63*HDF_Limited_Col!AP63/HDF_Limited_Col!$AH63," ")</f>
        <v xml:space="preserve"> </v>
      </c>
      <c r="AQ63" s="26" t="str">
        <f>IFERROR($AC63*HDF_Limited_Col!AQ63/HDF_Limited_Col!$AH63," ")</f>
        <v xml:space="preserve"> </v>
      </c>
      <c r="AR63" s="26" t="str">
        <f>IFERROR($AC63*HDF_Limited_Col!AR63/HDF_Limited_Col!$AH63," ")</f>
        <v xml:space="preserve"> </v>
      </c>
      <c r="AS63" s="26" t="str">
        <f>IFERROR($AC63*HDF_Limited_Col!AS63/HDF_Limited_Col!$AH63," ")</f>
        <v xml:space="preserve"> </v>
      </c>
      <c r="AT63" s="26" t="str">
        <f>IFERROR($AC63*HDF_Limited_Col!AT63/HDF_Limited_Col!$AH63," ")</f>
        <v xml:space="preserve"> </v>
      </c>
      <c r="AU63" s="26" t="str">
        <f>IFERROR($AC63*HDF_Limited_Col!AU63/HDF_Limited_Col!$AH63," ")</f>
        <v xml:space="preserve"> </v>
      </c>
      <c r="AV63" s="26" t="str">
        <f>IFERROR($AC63*HDF_Limited_Col!AV63/HDF_Limited_Col!$AH63," ")</f>
        <v xml:space="preserve"> </v>
      </c>
      <c r="AW63" s="26" t="str">
        <f>IFERROR($AC63*HDF_Limited_Col!AW63/HDF_Limited_Col!$AH63," ")</f>
        <v xml:space="preserve"> </v>
      </c>
      <c r="AX63" s="26" t="str">
        <f>IFERROR($AC63*HDF_Limited_Col!AX63/HDF_Limited_Col!$AH63," ")</f>
        <v xml:space="preserve"> </v>
      </c>
      <c r="AY63" s="26" t="str">
        <f>IFERROR($AC63*HDF_Limited_Col!AY63/HDF_Limited_Col!$AH63," ")</f>
        <v xml:space="preserve"> </v>
      </c>
      <c r="AZ63" s="26" t="str">
        <f>IFERROR($AC63*HDF_Limited_Col!AZ63/HDF_Limited_Col!$AH63," ")</f>
        <v xml:space="preserve"> </v>
      </c>
      <c r="BA63" s="26" t="str">
        <f>IFERROR($AC63*HDF_Limited_Col!BA63/HDF_Limited_Col!$AH63," ")</f>
        <v xml:space="preserve"> </v>
      </c>
      <c r="BB63" s="26" t="str">
        <f>IFERROR($AC63*HDF_Limited_Col!BB63/HDF_Limited_Col!$AH63," ")</f>
        <v xml:space="preserve"> </v>
      </c>
      <c r="BC63" s="26" t="str">
        <f>IFERROR($AC63*HDF_Limited_Col!BC63/HDF_Limited_Col!$AH63," ")</f>
        <v xml:space="preserve"> </v>
      </c>
      <c r="BD63" s="26" t="str">
        <f>IFERROR($AC63*HDF_Limited_Col!BD63/HDF_Limited_Col!$AH63," ")</f>
        <v xml:space="preserve"> </v>
      </c>
      <c r="BE63" s="26" t="str">
        <f>IFERROR($AC63*HDF_Limited_Col!BE63/HDF_Limited_Col!$AH63," ")</f>
        <v xml:space="preserve"> </v>
      </c>
      <c r="BF63" s="26" t="str">
        <f>IFERROR($AC63*HDF_Limited_Col!BF63/HDF_Limited_Col!$AH63," ")</f>
        <v xml:space="preserve"> </v>
      </c>
      <c r="BG63" s="26" t="str">
        <f>IFERROR($AC63*HDF_Limited_Col!BG63/HDF_Limited_Col!$AH63," ")</f>
        <v xml:space="preserve"> </v>
      </c>
      <c r="BH63" s="26" t="str">
        <f>IFERROR($AC63*HDF_Limited_Col!BH63/HDF_Limited_Col!$AH63," ")</f>
        <v xml:space="preserve"> </v>
      </c>
      <c r="BI63" s="26" t="str">
        <f>IFERROR($AC63*HDF_Limited_Col!BI63/HDF_Limited_Col!$AH63," ")</f>
        <v xml:space="preserve"> </v>
      </c>
      <c r="BJ63" s="26" t="str">
        <f>IFERROR($AC63*HDF_Limited_Col!BJ63/HDF_Limited_Col!$AH63," ")</f>
        <v xml:space="preserve"> </v>
      </c>
      <c r="BK63" s="26" t="str">
        <f>IFERROR($AC63*HDF_Limited_Col!BK63/HDF_Limited_Col!$AH63," ")</f>
        <v xml:space="preserve"> </v>
      </c>
      <c r="BL63" s="26" t="str">
        <f>IFERROR($AC63*HDF_Limited_Col!BL63/HDF_Limited_Col!$AH63," ")</f>
        <v xml:space="preserve"> </v>
      </c>
      <c r="BM63" s="26" t="str">
        <f>IFERROR($AC63*HDF_Limited_Col!BM63/HDF_Limited_Col!$AH63," ")</f>
        <v xml:space="preserve"> </v>
      </c>
      <c r="BN63" s="26" t="str">
        <f>IFERROR($AC63*HDF_Limited_Col!BN63/HDF_Limited_Col!$AH63," ")</f>
        <v xml:space="preserve"> </v>
      </c>
      <c r="BO63" s="26" t="str">
        <f>IFERROR($AC63*HDF_Limited_Col!BO63/HDF_Limited_Col!$AH63," ")</f>
        <v xml:space="preserve"> </v>
      </c>
      <c r="BP63" s="26" t="str">
        <f>IFERROR($AC63*HDF_Limited_Col!BP63/HDF_Limited_Col!$AH63," ")</f>
        <v xml:space="preserve"> </v>
      </c>
      <c r="BQ63" s="26" t="str">
        <f>IFERROR($AC63*HDF_Limited_Col!BQ63/HDF_Limited_Col!$AH63," ")</f>
        <v xml:space="preserve"> </v>
      </c>
      <c r="BR63" s="26" t="str">
        <f>IFERROR($AC63*HDF_Limited_Col!BR63/HDF_Limited_Col!$AH63," ")</f>
        <v xml:space="preserve"> </v>
      </c>
      <c r="BS63" s="26" t="str">
        <f>IFERROR($AC63*HDF_Limited_Col!BS63/HDF_Limited_Col!$AH63," ")</f>
        <v xml:space="preserve"> </v>
      </c>
      <c r="BT63" s="26" t="str">
        <f>IFERROR($AC63*HDF_Limited_Col!BT63/HDF_Limited_Col!$AH63," ")</f>
        <v xml:space="preserve"> </v>
      </c>
      <c r="BU63" s="26" t="str">
        <f>IFERROR($AC63*HDF_Limited_Col!BU63/HDF_Limited_Col!$AH63," ")</f>
        <v xml:space="preserve"> </v>
      </c>
      <c r="BV63" s="26" t="str">
        <f>IFERROR($AC63*HDF_Limited_Col!BV63/HDF_Limited_Col!$AH63," ")</f>
        <v xml:space="preserve"> </v>
      </c>
      <c r="BW63" s="26" t="str">
        <f>IFERROR($AC63*HDF_Limited_Col!BW63/HDF_Limited_Col!$AH63," ")</f>
        <v xml:space="preserve"> </v>
      </c>
      <c r="BX63" s="26" t="str">
        <f>IFERROR($AC63*HDF_Limited_Col!BX63/HDF_Limited_Col!$AH63," ")</f>
        <v xml:space="preserve"> </v>
      </c>
      <c r="BY63" s="26" t="str">
        <f>IFERROR($AC63*HDF_Limited_Col!BY63/HDF_Limited_Col!$AH63," ")</f>
        <v xml:space="preserve"> </v>
      </c>
      <c r="BZ63" s="26" t="str">
        <f>IFERROR($AC63*HDF_Limited_Col!BZ63/HDF_Limited_Col!$AH63," ")</f>
        <v xml:space="preserve"> </v>
      </c>
      <c r="CA63" s="26" t="str">
        <f>IFERROR($AC63*HDF_Limited_Col!CA63/HDF_Limited_Col!$AH63," ")</f>
        <v xml:space="preserve"> </v>
      </c>
      <c r="CB63" s="26" t="str">
        <f>IFERROR($AC63*HDF_Limited_Col!CB63/HDF_Limited_Col!$AH63," ")</f>
        <v xml:space="preserve"> </v>
      </c>
      <c r="CC63" s="26" t="str">
        <f>IFERROR($AC63*HDF_Limited_Col!CC63/HDF_Limited_Col!$AH63," ")</f>
        <v xml:space="preserve"> </v>
      </c>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row>
    <row r="64" spans="1:109">
      <c r="A64" s="26" t="s">
        <v>1162</v>
      </c>
      <c r="B64" s="26" t="s">
        <v>24</v>
      </c>
      <c r="C64" s="152" t="s">
        <v>1800</v>
      </c>
      <c r="D64" s="26" t="s">
        <v>831</v>
      </c>
      <c r="E64" s="26" t="s">
        <v>801</v>
      </c>
      <c r="F64" s="26" t="s">
        <v>800</v>
      </c>
      <c r="G64" s="26" t="s">
        <v>829</v>
      </c>
      <c r="H64" s="30"/>
      <c r="I64" s="26" t="s">
        <v>712</v>
      </c>
      <c r="J64" s="26" t="s">
        <v>635</v>
      </c>
      <c r="K64" s="26" t="s">
        <v>1169</v>
      </c>
      <c r="L64" s="26"/>
      <c r="M64" s="26" t="s">
        <v>27</v>
      </c>
      <c r="N64" s="26">
        <v>39</v>
      </c>
      <c r="O64" s="95">
        <v>8.3212669015925869</v>
      </c>
      <c r="P64" s="95">
        <v>0.60461396819062907</v>
      </c>
      <c r="Q64" s="95">
        <v>1.6130954943728051</v>
      </c>
      <c r="R64" s="95">
        <v>7.8750445927298758</v>
      </c>
      <c r="S64" s="95">
        <v>23.076260520039398</v>
      </c>
      <c r="T64" s="95">
        <v>22.659031126194058</v>
      </c>
      <c r="U64" s="95">
        <v>6.2157558630813909</v>
      </c>
      <c r="V64" s="95">
        <v>10.811505100729766</v>
      </c>
      <c r="W64" s="95">
        <v>9.762207300978913</v>
      </c>
      <c r="X64" s="95">
        <v>6.8365667876993257</v>
      </c>
      <c r="Y64" s="95">
        <v>2.8730027544142152</v>
      </c>
      <c r="Z64" s="95">
        <v>100.64835041002296</v>
      </c>
      <c r="AA64" s="26"/>
      <c r="AB64" s="26"/>
      <c r="AC64" s="26">
        <f t="shared" si="0"/>
        <v>81039.724568568621</v>
      </c>
      <c r="AD64" s="26">
        <f>IFERROR($AC64*HDF_Limited_Col!AD64/HDF_Limited_Col!$AH64," ")</f>
        <v>0</v>
      </c>
      <c r="AE64" s="26">
        <f>IFERROR($AC64*HDF_Limited_Col!AE64/HDF_Limited_Col!$AH64," ")</f>
        <v>0</v>
      </c>
      <c r="AF64" s="26">
        <f>IFERROR($AC64*HDF_Limited_Col!AF64/HDF_Limited_Col!$AH64," ")</f>
        <v>0</v>
      </c>
      <c r="AG64" s="26">
        <f>IFERROR($AC64*HDF_Limited_Col!AG64/HDF_Limited_Col!$AH64," ")</f>
        <v>0</v>
      </c>
      <c r="AH64" s="26">
        <f>IFERROR($AC64*HDF_Limited_Col!AH64/HDF_Limited_Col!$AH64," ")</f>
        <v>81039.724568568621</v>
      </c>
      <c r="AI64" s="26">
        <f>IFERROR($AC64*HDF_Limited_Col!AI64/HDF_Limited_Col!$AH64," ")</f>
        <v>0</v>
      </c>
      <c r="AJ64" s="26">
        <f>IFERROR($AC64*HDF_Limited_Col!AJ64/HDF_Limited_Col!$AH64," ")</f>
        <v>4818.578217590567</v>
      </c>
      <c r="AK64" s="26">
        <f>IFERROR($AC64*HDF_Limited_Col!AK64/HDF_Limited_Col!$AH64," ")</f>
        <v>0</v>
      </c>
      <c r="AL64" s="26">
        <f>IFERROR($AC64*HDF_Limited_Col!AL64/HDF_Limited_Col!$AH64," ")</f>
        <v>0</v>
      </c>
      <c r="AM64" s="26">
        <f>IFERROR($AC64*HDF_Limited_Col!AM64/HDF_Limited_Col!$AH64," ")</f>
        <v>0</v>
      </c>
      <c r="AN64" s="26">
        <f>IFERROR($AC64*HDF_Limited_Col!AN64/HDF_Limited_Col!$AH64," ")</f>
        <v>0</v>
      </c>
      <c r="AO64" s="26">
        <f>IFERROR($AC64*HDF_Limited_Col!AO64/HDF_Limited_Col!$AH64," ")</f>
        <v>0</v>
      </c>
      <c r="AP64" s="26">
        <f>IFERROR($AC64*HDF_Limited_Col!AP64/HDF_Limited_Col!$AH64," ")</f>
        <v>0</v>
      </c>
      <c r="AQ64" s="26">
        <f>IFERROR($AC64*HDF_Limited_Col!AQ64/HDF_Limited_Col!$AH64," ")</f>
        <v>0</v>
      </c>
      <c r="AR64" s="26">
        <f>IFERROR($AC64*HDF_Limited_Col!AR64/HDF_Limited_Col!$AH64," ")</f>
        <v>0</v>
      </c>
      <c r="AS64" s="26">
        <f>IFERROR($AC64*HDF_Limited_Col!AS64/HDF_Limited_Col!$AH64," ")</f>
        <v>0</v>
      </c>
      <c r="AT64" s="26">
        <f>IFERROR($AC64*HDF_Limited_Col!AT64/HDF_Limited_Col!$AH64," ")</f>
        <v>0</v>
      </c>
      <c r="AU64" s="26">
        <f>IFERROR($AC64*HDF_Limited_Col!AU64/HDF_Limited_Col!$AH64," ")</f>
        <v>0</v>
      </c>
      <c r="AV64" s="26">
        <f>IFERROR($AC64*HDF_Limited_Col!AV64/HDF_Limited_Col!$AH64," ")</f>
        <v>0</v>
      </c>
      <c r="AW64" s="26">
        <f>IFERROR($AC64*HDF_Limited_Col!AW64/HDF_Limited_Col!$AH64," ")</f>
        <v>0</v>
      </c>
      <c r="AX64" s="26">
        <f>IFERROR($AC64*HDF_Limited_Col!AX64/HDF_Limited_Col!$AH64," ")</f>
        <v>153.31839783242714</v>
      </c>
      <c r="AY64" s="26">
        <f>IFERROR($AC64*HDF_Limited_Col!AY64/HDF_Limited_Col!$AH64," ")</f>
        <v>5853.4774029594491</v>
      </c>
      <c r="AZ64" s="26">
        <f>IFERROR($AC64*HDF_Limited_Col!AZ64/HDF_Limited_Col!$AH64," ")</f>
        <v>18.61723402250901</v>
      </c>
      <c r="BA64" s="26">
        <f>IFERROR($AC64*HDF_Limited_Col!BA64/HDF_Limited_Col!$AH64," ")</f>
        <v>514.71176415171965</v>
      </c>
      <c r="BB64" s="26">
        <f>IFERROR($AC64*HDF_Limited_Col!BB64/HDF_Limited_Col!$AH64," ")</f>
        <v>0</v>
      </c>
      <c r="BC64" s="26">
        <f>IFERROR($AC64*HDF_Limited_Col!BC64/HDF_Limited_Col!$AH64," ")</f>
        <v>1872.6747163817884</v>
      </c>
      <c r="BD64" s="26">
        <f>IFERROR($AC64*HDF_Limited_Col!BD64/HDF_Limited_Col!$AH64," ")</f>
        <v>0</v>
      </c>
      <c r="BE64" s="26">
        <f>IFERROR($AC64*HDF_Limited_Col!BE64/HDF_Limited_Col!$AH64," ")</f>
        <v>0</v>
      </c>
      <c r="BF64" s="26">
        <f>IFERROR($AC64*HDF_Limited_Col!BF64/HDF_Limited_Col!$AH64," ")</f>
        <v>0</v>
      </c>
      <c r="BG64" s="26">
        <f>IFERROR($AC64*HDF_Limited_Col!BG64/HDF_Limited_Col!$AH64," ")</f>
        <v>0</v>
      </c>
      <c r="BH64" s="26">
        <f>IFERROR($AC64*HDF_Limited_Col!BH64/HDF_Limited_Col!$AH64," ")</f>
        <v>3.8329599458106784</v>
      </c>
      <c r="BI64" s="26">
        <f>IFERROR($AC64*HDF_Limited_Col!BI64/HDF_Limited_Col!$AH64," ")</f>
        <v>31868.32412088307</v>
      </c>
      <c r="BJ64" s="26">
        <f>IFERROR($AC64*HDF_Limited_Col!BJ64/HDF_Limited_Col!$AH64," ")</f>
        <v>0</v>
      </c>
      <c r="BK64" s="26">
        <f>IFERROR($AC64*HDF_Limited_Col!BK64/HDF_Limited_Col!$AH64," ")</f>
        <v>2327.154252813626</v>
      </c>
      <c r="BL64" s="26">
        <f>IFERROR($AC64*HDF_Limited_Col!BL64/HDF_Limited_Col!$AH64," ")</f>
        <v>2792.5851033763511</v>
      </c>
      <c r="BM64" s="26">
        <f>IFERROR($AC64*HDF_Limited_Col!BM64/HDF_Limited_Col!$AH64," ")</f>
        <v>258.99857919549294</v>
      </c>
      <c r="BN64" s="26">
        <f>IFERROR($AC64*HDF_Limited_Col!BN64/HDF_Limited_Col!$AH64," ")</f>
        <v>750.16501796580417</v>
      </c>
      <c r="BO64" s="26">
        <f>IFERROR($AC64*HDF_Limited_Col!BO64/HDF_Limited_Col!$AH64," ")</f>
        <v>57.49439918716017</v>
      </c>
      <c r="BP64" s="26">
        <f>IFERROR($AC64*HDF_Limited_Col!BP64/HDF_Limited_Col!$AH64," ")</f>
        <v>11.498879837432035</v>
      </c>
      <c r="BQ64" s="26">
        <f>IFERROR($AC64*HDF_Limited_Col!BQ64/HDF_Limited_Col!$AH64," ")</f>
        <v>27.925851033763507</v>
      </c>
      <c r="BR64" s="26">
        <f>IFERROR($AC64*HDF_Limited_Col!BR64/HDF_Limited_Col!$AH64," ")</f>
        <v>7.1183541850769725</v>
      </c>
      <c r="BS64" s="26">
        <f>IFERROR($AC64*HDF_Limited_Col!BS64/HDF_Limited_Col!$AH64," ")</f>
        <v>1.095131413088765</v>
      </c>
      <c r="BT64" s="26">
        <f>IFERROR($AC64*HDF_Limited_Col!BT64/HDF_Limited_Col!$AH64," ")</f>
        <v>0</v>
      </c>
      <c r="BU64" s="26">
        <f>IFERROR($AC64*HDF_Limited_Col!BU64/HDF_Limited_Col!$AH64," ")</f>
        <v>0</v>
      </c>
      <c r="BV64" s="26">
        <f>IFERROR($AC64*HDF_Limited_Col!BV64/HDF_Limited_Col!$AH64," ")</f>
        <v>0</v>
      </c>
      <c r="BW64" s="26">
        <f>IFERROR($AC64*HDF_Limited_Col!BW64/HDF_Limited_Col!$AH64," ")</f>
        <v>0</v>
      </c>
      <c r="BX64" s="26">
        <f>IFERROR($AC64*HDF_Limited_Col!BX64/HDF_Limited_Col!$AH64," ")</f>
        <v>7.1183541850769725</v>
      </c>
      <c r="BY64" s="26">
        <f>IFERROR($AC64*HDF_Limited_Col!BY64/HDF_Limited_Col!$AH64," ")</f>
        <v>66.255450491870292</v>
      </c>
      <c r="BZ64" s="26">
        <f>IFERROR($AC64*HDF_Limited_Col!BZ64/HDF_Limited_Col!$AH64," ")</f>
        <v>0</v>
      </c>
      <c r="CA64" s="26">
        <f>IFERROR($AC64*HDF_Limited_Col!CA64/HDF_Limited_Col!$AH64," ")</f>
        <v>0</v>
      </c>
      <c r="CB64" s="26">
        <f>IFERROR($AC64*HDF_Limited_Col!CB64/HDF_Limited_Col!$AH64," ")</f>
        <v>263.92667055439239</v>
      </c>
      <c r="CC64" s="26">
        <f>IFERROR($AC64*HDF_Limited_Col!CC64/HDF_Limited_Col!$AH64," ")</f>
        <v>53.113873534805109</v>
      </c>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row>
    <row r="65" spans="1:109">
      <c r="A65" s="26" t="s">
        <v>1162</v>
      </c>
      <c r="B65" s="26" t="s">
        <v>24</v>
      </c>
      <c r="C65" s="152" t="s">
        <v>1800</v>
      </c>
      <c r="D65" s="26" t="s">
        <v>831</v>
      </c>
      <c r="E65" s="26" t="s">
        <v>801</v>
      </c>
      <c r="F65" s="26" t="s">
        <v>800</v>
      </c>
      <c r="G65" s="26" t="s">
        <v>829</v>
      </c>
      <c r="H65" s="30"/>
      <c r="I65" s="26" t="s">
        <v>712</v>
      </c>
      <c r="J65" s="26" t="s">
        <v>635</v>
      </c>
      <c r="K65" s="26" t="s">
        <v>1169</v>
      </c>
      <c r="L65" s="26"/>
      <c r="M65" s="26" t="s">
        <v>28</v>
      </c>
      <c r="N65" s="26">
        <v>46</v>
      </c>
      <c r="O65" s="95">
        <v>9.7426550573884043</v>
      </c>
      <c r="P65" s="95">
        <v>1.3140789043887238</v>
      </c>
      <c r="Q65" s="95">
        <v>1.8255208412384902</v>
      </c>
      <c r="R65" s="95">
        <v>13.194635334889448</v>
      </c>
      <c r="S65" s="95">
        <v>22.83375499846019</v>
      </c>
      <c r="T65" s="95">
        <v>21.321198241973992</v>
      </c>
      <c r="U65" s="95">
        <v>4.0696299994813323</v>
      </c>
      <c r="V65" s="95">
        <v>10.331267576382317</v>
      </c>
      <c r="W65" s="95">
        <v>9.6753710043904082</v>
      </c>
      <c r="X65" s="95">
        <v>4.0447482454832473</v>
      </c>
      <c r="Y65" s="95">
        <v>2.1271805379047812</v>
      </c>
      <c r="Z65" s="95">
        <v>100.48004074198134</v>
      </c>
      <c r="AA65" s="26"/>
      <c r="AB65" s="26"/>
      <c r="AC65" s="26">
        <f t="shared" si="0"/>
        <v>80318.864076558646</v>
      </c>
      <c r="AD65" s="26">
        <f>IFERROR($AC65*HDF_Limited_Col!AD65/HDF_Limited_Col!$AH65," ")</f>
        <v>0</v>
      </c>
      <c r="AE65" s="26">
        <f>IFERROR($AC65*HDF_Limited_Col!AE65/HDF_Limited_Col!$AH65," ")</f>
        <v>0</v>
      </c>
      <c r="AF65" s="26">
        <f>IFERROR($AC65*HDF_Limited_Col!AF65/HDF_Limited_Col!$AH65," ")</f>
        <v>0</v>
      </c>
      <c r="AG65" s="26">
        <f>IFERROR($AC65*HDF_Limited_Col!AG65/HDF_Limited_Col!$AH65," ")</f>
        <v>0</v>
      </c>
      <c r="AH65" s="26">
        <f>IFERROR($AC65*HDF_Limited_Col!AH65/HDF_Limited_Col!$AH65," ")</f>
        <v>80318.864076558646</v>
      </c>
      <c r="AI65" s="26">
        <f>IFERROR($AC65*HDF_Limited_Col!AI65/HDF_Limited_Col!$AH65," ")</f>
        <v>0</v>
      </c>
      <c r="AJ65" s="26">
        <f>IFERROR($AC65*HDF_Limited_Col!AJ65/HDF_Limited_Col!$AH65," ")</f>
        <v>8325.0209480812609</v>
      </c>
      <c r="AK65" s="26">
        <f>IFERROR($AC65*HDF_Limited_Col!AK65/HDF_Limited_Col!$AH65," ")</f>
        <v>0</v>
      </c>
      <c r="AL65" s="26">
        <f>IFERROR($AC65*HDF_Limited_Col!AL65/HDF_Limited_Col!$AH65," ")</f>
        <v>0</v>
      </c>
      <c r="AM65" s="26">
        <f>IFERROR($AC65*HDF_Limited_Col!AM65/HDF_Limited_Col!$AH65," ")</f>
        <v>0</v>
      </c>
      <c r="AN65" s="26">
        <f>IFERROR($AC65*HDF_Limited_Col!AN65/HDF_Limited_Col!$AH65," ")</f>
        <v>0</v>
      </c>
      <c r="AO65" s="26">
        <f>IFERROR($AC65*HDF_Limited_Col!AO65/HDF_Limited_Col!$AH65," ")</f>
        <v>0</v>
      </c>
      <c r="AP65" s="26">
        <f>IFERROR($AC65*HDF_Limited_Col!AP65/HDF_Limited_Col!$AH65," ")</f>
        <v>0</v>
      </c>
      <c r="AQ65" s="26">
        <f>IFERROR($AC65*HDF_Limited_Col!AQ65/HDF_Limited_Col!$AH65," ")</f>
        <v>0</v>
      </c>
      <c r="AR65" s="26">
        <f>IFERROR($AC65*HDF_Limited_Col!AR65/HDF_Limited_Col!$AH65," ")</f>
        <v>0</v>
      </c>
      <c r="AS65" s="26">
        <f>IFERROR($AC65*HDF_Limited_Col!AS65/HDF_Limited_Col!$AH65," ")</f>
        <v>0</v>
      </c>
      <c r="AT65" s="26">
        <f>IFERROR($AC65*HDF_Limited_Col!AT65/HDF_Limited_Col!$AH65," ")</f>
        <v>0</v>
      </c>
      <c r="AU65" s="26">
        <f>IFERROR($AC65*HDF_Limited_Col!AU65/HDF_Limited_Col!$AH65," ")</f>
        <v>0</v>
      </c>
      <c r="AV65" s="26">
        <f>IFERROR($AC65*HDF_Limited_Col!AV65/HDF_Limited_Col!$AH65," ")</f>
        <v>0</v>
      </c>
      <c r="AW65" s="26">
        <f>IFERROR($AC65*HDF_Limited_Col!AW65/HDF_Limited_Col!$AH65," ")</f>
        <v>0</v>
      </c>
      <c r="AX65" s="26">
        <f>IFERROR($AC65*HDF_Limited_Col!AX65/HDF_Limited_Col!$AH65," ")</f>
        <v>203.43537105522515</v>
      </c>
      <c r="AY65" s="26">
        <f>IFERROR($AC65*HDF_Limited_Col!AY65/HDF_Limited_Col!$AH65," ")</f>
        <v>5106.4036942104076</v>
      </c>
      <c r="AZ65" s="26">
        <f>IFERROR($AC65*HDF_Limited_Col!AZ65/HDF_Limited_Col!$AH65," ")</f>
        <v>35.762413931898372</v>
      </c>
      <c r="BA65" s="26">
        <f>IFERROR($AC65*HDF_Limited_Col!BA65/HDF_Limited_Col!$AH65," ")</f>
        <v>685.93482459542781</v>
      </c>
      <c r="BB65" s="26">
        <f>IFERROR($AC65*HDF_Limited_Col!BB65/HDF_Limited_Col!$AH65," ")</f>
        <v>0</v>
      </c>
      <c r="BC65" s="26">
        <f>IFERROR($AC65*HDF_Limited_Col!BC65/HDF_Limited_Col!$AH65," ")</f>
        <v>1336.693504339808</v>
      </c>
      <c r="BD65" s="26">
        <f>IFERROR($AC65*HDF_Limited_Col!BD65/HDF_Limited_Col!$AH65," ")</f>
        <v>0</v>
      </c>
      <c r="BE65" s="26">
        <f>IFERROR($AC65*HDF_Limited_Col!BE65/HDF_Limited_Col!$AH65," ")</f>
        <v>0</v>
      </c>
      <c r="BF65" s="26">
        <f>IFERROR($AC65*HDF_Limited_Col!BF65/HDF_Limited_Col!$AH65," ")</f>
        <v>0</v>
      </c>
      <c r="BG65" s="26">
        <f>IFERROR($AC65*HDF_Limited_Col!BG65/HDF_Limited_Col!$AH65," ")</f>
        <v>0</v>
      </c>
      <c r="BH65" s="26">
        <f>IFERROR($AC65*HDF_Limited_Col!BH65/HDF_Limited_Col!$AH65," ")</f>
        <v>4.1038835659555515</v>
      </c>
      <c r="BI65" s="26">
        <f>IFERROR($AC65*HDF_Limited_Col!BI65/HDF_Limited_Col!$AH65," ")</f>
        <v>25737.212649349814</v>
      </c>
      <c r="BJ65" s="26">
        <f>IFERROR($AC65*HDF_Limited_Col!BJ65/HDF_Limited_Col!$AH65," ")</f>
        <v>0</v>
      </c>
      <c r="BK65" s="26">
        <f>IFERROR($AC65*HDF_Limited_Col!BK65/HDF_Limited_Col!$AH65," ")</f>
        <v>1653.2788079992363</v>
      </c>
      <c r="BL65" s="26">
        <f>IFERROR($AC65*HDF_Limited_Col!BL65/HDF_Limited_Col!$AH65," ")</f>
        <v>1934.6879668076172</v>
      </c>
      <c r="BM65" s="26">
        <f>IFERROR($AC65*HDF_Limited_Col!BM65/HDF_Limited_Col!$AH65," ")</f>
        <v>185.84729862970138</v>
      </c>
      <c r="BN65" s="26">
        <f>IFERROR($AC65*HDF_Limited_Col!BN65/HDF_Limited_Col!$AH65," ")</f>
        <v>738.69904187199927</v>
      </c>
      <c r="BO65" s="26">
        <f>IFERROR($AC65*HDF_Limited_Col!BO65/HDF_Limited_Col!$AH65," ")</f>
        <v>56.281831761676131</v>
      </c>
      <c r="BP65" s="26">
        <f>IFERROR($AC65*HDF_Limited_Col!BP65/HDF_Limited_Col!$AH65," ")</f>
        <v>12.897919778717446</v>
      </c>
      <c r="BQ65" s="26">
        <f>IFERROR($AC65*HDF_Limited_Col!BQ65/HDF_Limited_Col!$AH65," ")</f>
        <v>27.554646799987271</v>
      </c>
      <c r="BR65" s="26">
        <f>IFERROR($AC65*HDF_Limited_Col!BR65/HDF_Limited_Col!$AH65," ")</f>
        <v>10.552843455314273</v>
      </c>
      <c r="BS65" s="26">
        <f>IFERROR($AC65*HDF_Limited_Col!BS65/HDF_Limited_Col!$AH65," ")</f>
        <v>1.7588072425523791</v>
      </c>
      <c r="BT65" s="26">
        <f>IFERROR($AC65*HDF_Limited_Col!BT65/HDF_Limited_Col!$AH65," ")</f>
        <v>4.6901526468063448</v>
      </c>
      <c r="BU65" s="26">
        <f>IFERROR($AC65*HDF_Limited_Col!BU65/HDF_Limited_Col!$AH65," ")</f>
        <v>0</v>
      </c>
      <c r="BV65" s="26">
        <f>IFERROR($AC65*HDF_Limited_Col!BV65/HDF_Limited_Col!$AH65," ")</f>
        <v>0</v>
      </c>
      <c r="BW65" s="26">
        <f>IFERROR($AC65*HDF_Limited_Col!BW65/HDF_Limited_Col!$AH65," ")</f>
        <v>0</v>
      </c>
      <c r="BX65" s="26">
        <f>IFERROR($AC65*HDF_Limited_Col!BX65/HDF_Limited_Col!$AH65," ")</f>
        <v>12.897919778717446</v>
      </c>
      <c r="BY65" s="26">
        <f>IFERROR($AC65*HDF_Limited_Col!BY65/HDF_Limited_Col!$AH65," ")</f>
        <v>49.246602791466621</v>
      </c>
      <c r="BZ65" s="26">
        <f>IFERROR($AC65*HDF_Limited_Col!BZ65/HDF_Limited_Col!$AH65," ")</f>
        <v>0</v>
      </c>
      <c r="CA65" s="26">
        <f>IFERROR($AC65*HDF_Limited_Col!CA65/HDF_Limited_Col!$AH65," ")</f>
        <v>0</v>
      </c>
      <c r="CB65" s="26">
        <f>IFERROR($AC65*HDF_Limited_Col!CB65/HDF_Limited_Col!$AH65," ")</f>
        <v>217.50582899564424</v>
      </c>
      <c r="CC65" s="26">
        <f>IFERROR($AC65*HDF_Limited_Col!CC65/HDF_Limited_Col!$AH65," ")</f>
        <v>42.797642902107889</v>
      </c>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row>
    <row r="66" spans="1:109">
      <c r="A66" s="26" t="s">
        <v>1162</v>
      </c>
      <c r="B66" s="26" t="s">
        <v>24</v>
      </c>
      <c r="C66" s="152" t="s">
        <v>1800</v>
      </c>
      <c r="D66" s="26" t="s">
        <v>831</v>
      </c>
      <c r="E66" s="26" t="s">
        <v>801</v>
      </c>
      <c r="F66" s="26" t="s">
        <v>800</v>
      </c>
      <c r="G66" s="26" t="s">
        <v>829</v>
      </c>
      <c r="H66" s="30"/>
      <c r="I66" s="26" t="s">
        <v>712</v>
      </c>
      <c r="J66" s="26" t="s">
        <v>635</v>
      </c>
      <c r="K66" s="26" t="s">
        <v>1169</v>
      </c>
      <c r="L66" s="26"/>
      <c r="M66" s="26" t="s">
        <v>830</v>
      </c>
      <c r="N66" s="26">
        <v>45</v>
      </c>
      <c r="O66" s="95">
        <v>11.749006274892151</v>
      </c>
      <c r="P66" s="95">
        <v>2.7697344735753733</v>
      </c>
      <c r="Q66" s="95">
        <v>2.1803282681893728</v>
      </c>
      <c r="R66" s="95">
        <v>10.852385480762516</v>
      </c>
      <c r="S66" s="95">
        <v>22.990725363628865</v>
      </c>
      <c r="T66" s="95">
        <v>22.699635538784008</v>
      </c>
      <c r="U66" s="95">
        <v>3.0971889100222549</v>
      </c>
      <c r="V66" s="95">
        <v>9.0127141114119507</v>
      </c>
      <c r="W66" s="95">
        <v>9.8502656190490736</v>
      </c>
      <c r="X66" s="95">
        <v>2.7021092044668977</v>
      </c>
      <c r="Y66" s="95">
        <v>2.7067356820568911</v>
      </c>
      <c r="Z66" s="95">
        <v>100.61082892683935</v>
      </c>
      <c r="AA66" s="26"/>
      <c r="AB66" s="26"/>
      <c r="AC66" s="26">
        <f t="shared" ref="AC66:AC129" si="2">W66*10000/1.20462</f>
        <v>81770.729516769396</v>
      </c>
      <c r="AD66" s="26">
        <f>IFERROR($AC66*HDF_Limited_Col!AD66/HDF_Limited_Col!$AH66," ")</f>
        <v>0</v>
      </c>
      <c r="AE66" s="26">
        <f>IFERROR($AC66*HDF_Limited_Col!AE66/HDF_Limited_Col!$AH66," ")</f>
        <v>0</v>
      </c>
      <c r="AF66" s="26">
        <f>IFERROR($AC66*HDF_Limited_Col!AF66/HDF_Limited_Col!$AH66," ")</f>
        <v>0</v>
      </c>
      <c r="AG66" s="26">
        <f>IFERROR($AC66*HDF_Limited_Col!AG66/HDF_Limited_Col!$AH66," ")</f>
        <v>0</v>
      </c>
      <c r="AH66" s="26">
        <f>IFERROR($AC66*HDF_Limited_Col!AH66/HDF_Limited_Col!$AH66," ")</f>
        <v>81770.729516769396</v>
      </c>
      <c r="AI66" s="26">
        <f>IFERROR($AC66*HDF_Limited_Col!AI66/HDF_Limited_Col!$AH66," ")</f>
        <v>0</v>
      </c>
      <c r="AJ66" s="26">
        <f>IFERROR($AC66*HDF_Limited_Col!AJ66/HDF_Limited_Col!$AH66," ")</f>
        <v>13768.747837750139</v>
      </c>
      <c r="AK66" s="26">
        <f>IFERROR($AC66*HDF_Limited_Col!AK66/HDF_Limited_Col!$AH66," ")</f>
        <v>0</v>
      </c>
      <c r="AL66" s="26">
        <f>IFERROR($AC66*HDF_Limited_Col!AL66/HDF_Limited_Col!$AH66," ")</f>
        <v>0</v>
      </c>
      <c r="AM66" s="26">
        <f>IFERROR($AC66*HDF_Limited_Col!AM66/HDF_Limited_Col!$AH66," ")</f>
        <v>0</v>
      </c>
      <c r="AN66" s="26">
        <f>IFERROR($AC66*HDF_Limited_Col!AN66/HDF_Limited_Col!$AH66," ")</f>
        <v>0</v>
      </c>
      <c r="AO66" s="26">
        <f>IFERROR($AC66*HDF_Limited_Col!AO66/HDF_Limited_Col!$AH66," ")</f>
        <v>0</v>
      </c>
      <c r="AP66" s="26">
        <f>IFERROR($AC66*HDF_Limited_Col!AP66/HDF_Limited_Col!$AH66," ")</f>
        <v>0</v>
      </c>
      <c r="AQ66" s="26">
        <f>IFERROR($AC66*HDF_Limited_Col!AQ66/HDF_Limited_Col!$AH66," ")</f>
        <v>0</v>
      </c>
      <c r="AR66" s="26">
        <f>IFERROR($AC66*HDF_Limited_Col!AR66/HDF_Limited_Col!$AH66," ")</f>
        <v>0</v>
      </c>
      <c r="AS66" s="26">
        <f>IFERROR($AC66*HDF_Limited_Col!AS66/HDF_Limited_Col!$AH66," ")</f>
        <v>0</v>
      </c>
      <c r="AT66" s="26">
        <f>IFERROR($AC66*HDF_Limited_Col!AT66/HDF_Limited_Col!$AH66," ")</f>
        <v>0</v>
      </c>
      <c r="AU66" s="26">
        <f>IFERROR($AC66*HDF_Limited_Col!AU66/HDF_Limited_Col!$AH66," ")</f>
        <v>0</v>
      </c>
      <c r="AV66" s="26">
        <f>IFERROR($AC66*HDF_Limited_Col!AV66/HDF_Limited_Col!$AH66," ")</f>
        <v>0</v>
      </c>
      <c r="AW66" s="26">
        <f>IFERROR($AC66*HDF_Limited_Col!AW66/HDF_Limited_Col!$AH66," ")</f>
        <v>0</v>
      </c>
      <c r="AX66" s="26">
        <f>IFERROR($AC66*HDF_Limited_Col!AX66/HDF_Limited_Col!$AH66," ")</f>
        <v>150.31384102347315</v>
      </c>
      <c r="AY66" s="26">
        <f>IFERROR($AC66*HDF_Limited_Col!AY66/HDF_Limited_Col!$AH66," ")</f>
        <v>3415.1304680533099</v>
      </c>
      <c r="AZ66" s="26">
        <f>IFERROR($AC66*HDF_Limited_Col!AZ66/HDF_Limited_Col!$AH66," ")</f>
        <v>48.701684491605306</v>
      </c>
      <c r="BA66" s="26">
        <f>IFERROR($AC66*HDF_Limited_Col!BA66/HDF_Limited_Col!$AH66," ")</f>
        <v>288.60257476506843</v>
      </c>
      <c r="BB66" s="26">
        <f>IFERROR($AC66*HDF_Limited_Col!BB66/HDF_Limited_Col!$AH66," ")</f>
        <v>0</v>
      </c>
      <c r="BC66" s="26">
        <f>IFERROR($AC66*HDF_Limited_Col!BC66/HDF_Limited_Col!$AH66," ")</f>
        <v>1022.1341189596174</v>
      </c>
      <c r="BD66" s="26">
        <f>IFERROR($AC66*HDF_Limited_Col!BD66/HDF_Limited_Col!$AH66," ")</f>
        <v>0</v>
      </c>
      <c r="BE66" s="26">
        <f>IFERROR($AC66*HDF_Limited_Col!BE66/HDF_Limited_Col!$AH66," ")</f>
        <v>0</v>
      </c>
      <c r="BF66" s="26">
        <f>IFERROR($AC66*HDF_Limited_Col!BF66/HDF_Limited_Col!$AH66," ")</f>
        <v>0</v>
      </c>
      <c r="BG66" s="26">
        <f>IFERROR($AC66*HDF_Limited_Col!BG66/HDF_Limited_Col!$AH66," ")</f>
        <v>0</v>
      </c>
      <c r="BH66" s="26">
        <f>IFERROR($AC66*HDF_Limited_Col!BH66/HDF_Limited_Col!$AH66," ")</f>
        <v>4.2087875486572486</v>
      </c>
      <c r="BI66" s="26">
        <f>IFERROR($AC66*HDF_Limited_Col!BI66/HDF_Limited_Col!$AH66," ")</f>
        <v>29581.76391341952</v>
      </c>
      <c r="BJ66" s="26">
        <f>IFERROR($AC66*HDF_Limited_Col!BJ66/HDF_Limited_Col!$AH66," ")</f>
        <v>0</v>
      </c>
      <c r="BK66" s="26">
        <f>IFERROR($AC66*HDF_Limited_Col!BK66/HDF_Limited_Col!$AH66," ")</f>
        <v>2200.5946325836471</v>
      </c>
      <c r="BL66" s="26">
        <f>IFERROR($AC66*HDF_Limited_Col!BL66/HDF_Limited_Col!$AH66," ")</f>
        <v>2525.2725291943489</v>
      </c>
      <c r="BM66" s="26">
        <f>IFERROR($AC66*HDF_Limited_Col!BM66/HDF_Limited_Col!$AH66," ")</f>
        <v>205.02807915601738</v>
      </c>
      <c r="BN66" s="26">
        <f>IFERROR($AC66*HDF_Limited_Col!BN66/HDF_Limited_Col!$AH66," ")</f>
        <v>583.21770317107575</v>
      </c>
      <c r="BO66" s="26">
        <f>IFERROR($AC66*HDF_Limited_Col!BO66/HDF_Limited_Col!$AH66," ")</f>
        <v>37.277832573821343</v>
      </c>
      <c r="BP66" s="26">
        <f>IFERROR($AC66*HDF_Limited_Col!BP66/HDF_Limited_Col!$AH66," ")</f>
        <v>7.8163197332206025</v>
      </c>
      <c r="BQ66" s="26">
        <f>IFERROR($AC66*HDF_Limited_Col!BQ66/HDF_Limited_Col!$AH66," ")</f>
        <v>27.056491384225165</v>
      </c>
      <c r="BR66" s="26">
        <f>IFERROR($AC66*HDF_Limited_Col!BR66/HDF_Limited_Col!$AH66," ")</f>
        <v>12.626362645971746</v>
      </c>
      <c r="BS66" s="26">
        <f>IFERROR($AC66*HDF_Limited_Col!BS66/HDF_Limited_Col!$AH66," ")</f>
        <v>3.0062768204694628</v>
      </c>
      <c r="BT66" s="26">
        <f>IFERROR($AC66*HDF_Limited_Col!BT66/HDF_Limited_Col!$AH66," ")</f>
        <v>4.8100429127511406</v>
      </c>
      <c r="BU66" s="26">
        <f>IFERROR($AC66*HDF_Limited_Col!BU66/HDF_Limited_Col!$AH66," ")</f>
        <v>0</v>
      </c>
      <c r="BV66" s="26">
        <f>IFERROR($AC66*HDF_Limited_Col!BV66/HDF_Limited_Col!$AH66," ")</f>
        <v>0</v>
      </c>
      <c r="BW66" s="26">
        <f>IFERROR($AC66*HDF_Limited_Col!BW66/HDF_Limited_Col!$AH66," ")</f>
        <v>1.2025107281877851</v>
      </c>
      <c r="BX66" s="26">
        <f>IFERROR($AC66*HDF_Limited_Col!BX66/HDF_Limited_Col!$AH66," ")</f>
        <v>9.0188304614083883</v>
      </c>
      <c r="BY66" s="26">
        <f>IFERROR($AC66*HDF_Limited_Col!BY66/HDF_Limited_Col!$AH66," ")</f>
        <v>13.227618010065637</v>
      </c>
      <c r="BZ66" s="26">
        <f>IFERROR($AC66*HDF_Limited_Col!BZ66/HDF_Limited_Col!$AH66," ")</f>
        <v>0</v>
      </c>
      <c r="CA66" s="26">
        <f>IFERROR($AC66*HDF_Limited_Col!CA66/HDF_Limited_Col!$AH66," ")</f>
        <v>0</v>
      </c>
      <c r="CB66" s="26">
        <f>IFERROR($AC66*HDF_Limited_Col!CB66/HDF_Limited_Col!$AH66," ")</f>
        <v>269.36240311406391</v>
      </c>
      <c r="CC66" s="26">
        <f>IFERROR($AC66*HDF_Limited_Col!CC66/HDF_Limited_Col!$AH66," ")</f>
        <v>52.30921667616866</v>
      </c>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row>
    <row r="67" spans="1:109">
      <c r="A67" s="26" t="s">
        <v>1212</v>
      </c>
      <c r="B67" s="26" t="s">
        <v>24</v>
      </c>
      <c r="C67" s="152" t="s">
        <v>1800</v>
      </c>
      <c r="D67" s="26" t="s">
        <v>831</v>
      </c>
      <c r="E67" s="26" t="s">
        <v>801</v>
      </c>
      <c r="F67" s="26" t="s">
        <v>800</v>
      </c>
      <c r="G67" s="26" t="s">
        <v>829</v>
      </c>
      <c r="H67" s="30"/>
      <c r="I67" s="26" t="s">
        <v>712</v>
      </c>
      <c r="J67" s="26" t="s">
        <v>1311</v>
      </c>
      <c r="K67" s="26" t="s">
        <v>1169</v>
      </c>
      <c r="L67" s="26"/>
      <c r="M67" s="26" t="s">
        <v>1205</v>
      </c>
      <c r="N67" s="26">
        <v>51</v>
      </c>
      <c r="O67" s="95">
        <v>8.391939581420031</v>
      </c>
      <c r="P67" s="95">
        <v>0.56313738261124213</v>
      </c>
      <c r="Q67" s="95">
        <v>1.65966903929276</v>
      </c>
      <c r="R67" s="95">
        <v>9.4729938592900229</v>
      </c>
      <c r="S67" s="95">
        <v>23.67012821379469</v>
      </c>
      <c r="T67" s="95">
        <v>20.836591979036388</v>
      </c>
      <c r="U67" s="95">
        <v>4.8606204741784591</v>
      </c>
      <c r="V67" s="95">
        <v>11.042692141791232</v>
      </c>
      <c r="W67" s="95">
        <v>10.939096308972434</v>
      </c>
      <c r="X67" s="95">
        <v>6.1695623622675733</v>
      </c>
      <c r="Y67" s="95">
        <v>3.0911478653146194</v>
      </c>
      <c r="Z67" s="95">
        <v>100.69757920796947</v>
      </c>
      <c r="AA67" s="26"/>
      <c r="AB67" s="26"/>
      <c r="AC67" s="26">
        <f t="shared" si="2"/>
        <v>90809.519258956643</v>
      </c>
      <c r="AD67" s="26" t="str">
        <f>IFERROR($AC67*HDF_Limited_Col!AD67/HDF_Limited_Col!$AH67," ")</f>
        <v xml:space="preserve"> </v>
      </c>
      <c r="AE67" s="26" t="str">
        <f>IFERROR($AC67*HDF_Limited_Col!AE67/HDF_Limited_Col!$AH67," ")</f>
        <v xml:space="preserve"> </v>
      </c>
      <c r="AF67" s="26" t="str">
        <f>IFERROR($AC67*HDF_Limited_Col!AF67/HDF_Limited_Col!$AH67," ")</f>
        <v xml:space="preserve"> </v>
      </c>
      <c r="AG67" s="26" t="str">
        <f>IFERROR($AC67*HDF_Limited_Col!AG67/HDF_Limited_Col!$AH67," ")</f>
        <v xml:space="preserve"> </v>
      </c>
      <c r="AH67" s="26" t="str">
        <f>IFERROR($AC67*HDF_Limited_Col!AH67/HDF_Limited_Col!$AH67," ")</f>
        <v xml:space="preserve"> </v>
      </c>
      <c r="AI67" s="26" t="str">
        <f>IFERROR($AC67*HDF_Limited_Col!AI67/HDF_Limited_Col!$AH67," ")</f>
        <v xml:space="preserve"> </v>
      </c>
      <c r="AJ67" s="26" t="str">
        <f>IFERROR($AC67*HDF_Limited_Col!AJ67/HDF_Limited_Col!$AH67," ")</f>
        <v xml:space="preserve"> </v>
      </c>
      <c r="AK67" s="26" t="str">
        <f>IFERROR($AC67*HDF_Limited_Col!AK67/HDF_Limited_Col!$AH67," ")</f>
        <v xml:space="preserve"> </v>
      </c>
      <c r="AL67" s="26" t="str">
        <f>IFERROR($AC67*HDF_Limited_Col!AL67/HDF_Limited_Col!$AH67," ")</f>
        <v xml:space="preserve"> </v>
      </c>
      <c r="AM67" s="26" t="str">
        <f>IFERROR($AC67*HDF_Limited_Col!AM67/HDF_Limited_Col!$AH67," ")</f>
        <v xml:space="preserve"> </v>
      </c>
      <c r="AN67" s="26" t="str">
        <f>IFERROR($AC67*HDF_Limited_Col!AN67/HDF_Limited_Col!$AH67," ")</f>
        <v xml:space="preserve"> </v>
      </c>
      <c r="AO67" s="26" t="str">
        <f>IFERROR($AC67*HDF_Limited_Col!AO67/HDF_Limited_Col!$AH67," ")</f>
        <v xml:space="preserve"> </v>
      </c>
      <c r="AP67" s="26" t="str">
        <f>IFERROR($AC67*HDF_Limited_Col!AP67/HDF_Limited_Col!$AH67," ")</f>
        <v xml:space="preserve"> </v>
      </c>
      <c r="AQ67" s="26" t="str">
        <f>IFERROR($AC67*HDF_Limited_Col!AQ67/HDF_Limited_Col!$AH67," ")</f>
        <v xml:space="preserve"> </v>
      </c>
      <c r="AR67" s="26" t="str">
        <f>IFERROR($AC67*HDF_Limited_Col!AR67/HDF_Limited_Col!$AH67," ")</f>
        <v xml:space="preserve"> </v>
      </c>
      <c r="AS67" s="26" t="str">
        <f>IFERROR($AC67*HDF_Limited_Col!AS67/HDF_Limited_Col!$AH67," ")</f>
        <v xml:space="preserve"> </v>
      </c>
      <c r="AT67" s="26" t="str">
        <f>IFERROR($AC67*HDF_Limited_Col!AT67/HDF_Limited_Col!$AH67," ")</f>
        <v xml:space="preserve"> </v>
      </c>
      <c r="AU67" s="26" t="str">
        <f>IFERROR($AC67*HDF_Limited_Col!AU67/HDF_Limited_Col!$AH67," ")</f>
        <v xml:space="preserve"> </v>
      </c>
      <c r="AV67" s="26" t="str">
        <f>IFERROR($AC67*HDF_Limited_Col!AV67/HDF_Limited_Col!$AH67," ")</f>
        <v xml:space="preserve"> </v>
      </c>
      <c r="AW67" s="26" t="str">
        <f>IFERROR($AC67*HDF_Limited_Col!AW67/HDF_Limited_Col!$AH67," ")</f>
        <v xml:space="preserve"> </v>
      </c>
      <c r="AX67" s="26" t="str">
        <f>IFERROR($AC67*HDF_Limited_Col!AX67/HDF_Limited_Col!$AH67," ")</f>
        <v xml:space="preserve"> </v>
      </c>
      <c r="AY67" s="26" t="str">
        <f>IFERROR($AC67*HDF_Limited_Col!AY67/HDF_Limited_Col!$AH67," ")</f>
        <v xml:space="preserve"> </v>
      </c>
      <c r="AZ67" s="26" t="str">
        <f>IFERROR($AC67*HDF_Limited_Col!AZ67/HDF_Limited_Col!$AH67," ")</f>
        <v xml:space="preserve"> </v>
      </c>
      <c r="BA67" s="26" t="str">
        <f>IFERROR($AC67*HDF_Limited_Col!BA67/HDF_Limited_Col!$AH67," ")</f>
        <v xml:space="preserve"> </v>
      </c>
      <c r="BB67" s="26" t="str">
        <f>IFERROR($AC67*HDF_Limited_Col!BB67/HDF_Limited_Col!$AH67," ")</f>
        <v xml:space="preserve"> </v>
      </c>
      <c r="BC67" s="26" t="str">
        <f>IFERROR($AC67*HDF_Limited_Col!BC67/HDF_Limited_Col!$AH67," ")</f>
        <v xml:space="preserve"> </v>
      </c>
      <c r="BD67" s="26" t="str">
        <f>IFERROR($AC67*HDF_Limited_Col!BD67/HDF_Limited_Col!$AH67," ")</f>
        <v xml:space="preserve"> </v>
      </c>
      <c r="BE67" s="26" t="str">
        <f>IFERROR($AC67*HDF_Limited_Col!BE67/HDF_Limited_Col!$AH67," ")</f>
        <v xml:space="preserve"> </v>
      </c>
      <c r="BF67" s="26" t="str">
        <f>IFERROR($AC67*HDF_Limited_Col!BF67/HDF_Limited_Col!$AH67," ")</f>
        <v xml:space="preserve"> </v>
      </c>
      <c r="BG67" s="26" t="str">
        <f>IFERROR($AC67*HDF_Limited_Col!BG67/HDF_Limited_Col!$AH67," ")</f>
        <v xml:space="preserve"> </v>
      </c>
      <c r="BH67" s="26" t="str">
        <f>IFERROR($AC67*HDF_Limited_Col!BH67/HDF_Limited_Col!$AH67," ")</f>
        <v xml:space="preserve"> </v>
      </c>
      <c r="BI67" s="26" t="str">
        <f>IFERROR($AC67*HDF_Limited_Col!BI67/HDF_Limited_Col!$AH67," ")</f>
        <v xml:space="preserve"> </v>
      </c>
      <c r="BJ67" s="26" t="str">
        <f>IFERROR($AC67*HDF_Limited_Col!BJ67/HDF_Limited_Col!$AH67," ")</f>
        <v xml:space="preserve"> </v>
      </c>
      <c r="BK67" s="26" t="str">
        <f>IFERROR($AC67*HDF_Limited_Col!BK67/HDF_Limited_Col!$AH67," ")</f>
        <v xml:space="preserve"> </v>
      </c>
      <c r="BL67" s="26" t="str">
        <f>IFERROR($AC67*HDF_Limited_Col!BL67/HDF_Limited_Col!$AH67," ")</f>
        <v xml:space="preserve"> </v>
      </c>
      <c r="BM67" s="26" t="str">
        <f>IFERROR($AC67*HDF_Limited_Col!BM67/HDF_Limited_Col!$AH67," ")</f>
        <v xml:space="preserve"> </v>
      </c>
      <c r="BN67" s="26" t="str">
        <f>IFERROR($AC67*HDF_Limited_Col!BN67/HDF_Limited_Col!$AH67," ")</f>
        <v xml:space="preserve"> </v>
      </c>
      <c r="BO67" s="26" t="str">
        <f>IFERROR($AC67*HDF_Limited_Col!BO67/HDF_Limited_Col!$AH67," ")</f>
        <v xml:space="preserve"> </v>
      </c>
      <c r="BP67" s="26" t="str">
        <f>IFERROR($AC67*HDF_Limited_Col!BP67/HDF_Limited_Col!$AH67," ")</f>
        <v xml:space="preserve"> </v>
      </c>
      <c r="BQ67" s="26" t="str">
        <f>IFERROR($AC67*HDF_Limited_Col!BQ67/HDF_Limited_Col!$AH67," ")</f>
        <v xml:space="preserve"> </v>
      </c>
      <c r="BR67" s="26" t="str">
        <f>IFERROR($AC67*HDF_Limited_Col!BR67/HDF_Limited_Col!$AH67," ")</f>
        <v xml:space="preserve"> </v>
      </c>
      <c r="BS67" s="26" t="str">
        <f>IFERROR($AC67*HDF_Limited_Col!BS67/HDF_Limited_Col!$AH67," ")</f>
        <v xml:space="preserve"> </v>
      </c>
      <c r="BT67" s="26" t="str">
        <f>IFERROR($AC67*HDF_Limited_Col!BT67/HDF_Limited_Col!$AH67," ")</f>
        <v xml:space="preserve"> </v>
      </c>
      <c r="BU67" s="26" t="str">
        <f>IFERROR($AC67*HDF_Limited_Col!BU67/HDF_Limited_Col!$AH67," ")</f>
        <v xml:space="preserve"> </v>
      </c>
      <c r="BV67" s="26" t="str">
        <f>IFERROR($AC67*HDF_Limited_Col!BV67/HDF_Limited_Col!$AH67," ")</f>
        <v xml:space="preserve"> </v>
      </c>
      <c r="BW67" s="26" t="str">
        <f>IFERROR($AC67*HDF_Limited_Col!BW67/HDF_Limited_Col!$AH67," ")</f>
        <v xml:space="preserve"> </v>
      </c>
      <c r="BX67" s="26" t="str">
        <f>IFERROR($AC67*HDF_Limited_Col!BX67/HDF_Limited_Col!$AH67," ")</f>
        <v xml:space="preserve"> </v>
      </c>
      <c r="BY67" s="26" t="str">
        <f>IFERROR($AC67*HDF_Limited_Col!BY67/HDF_Limited_Col!$AH67," ")</f>
        <v xml:space="preserve"> </v>
      </c>
      <c r="BZ67" s="26" t="str">
        <f>IFERROR($AC67*HDF_Limited_Col!BZ67/HDF_Limited_Col!$AH67," ")</f>
        <v xml:space="preserve"> </v>
      </c>
      <c r="CA67" s="26" t="str">
        <f>IFERROR($AC67*HDF_Limited_Col!CA67/HDF_Limited_Col!$AH67," ")</f>
        <v xml:space="preserve"> </v>
      </c>
      <c r="CB67" s="26" t="str">
        <f>IFERROR($AC67*HDF_Limited_Col!CB67/HDF_Limited_Col!$AH67," ")</f>
        <v xml:space="preserve"> </v>
      </c>
      <c r="CC67" s="26" t="str">
        <f>IFERROR($AC67*HDF_Limited_Col!CC67/HDF_Limited_Col!$AH67," ")</f>
        <v xml:space="preserve"> </v>
      </c>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row>
    <row r="68" spans="1:109">
      <c r="A68" s="53" t="s">
        <v>1651</v>
      </c>
      <c r="B68" s="53" t="s">
        <v>24</v>
      </c>
      <c r="C68" s="152" t="s">
        <v>1800</v>
      </c>
      <c r="D68" s="53" t="s">
        <v>1630</v>
      </c>
      <c r="E68" s="53" t="s">
        <v>1394</v>
      </c>
      <c r="F68" s="53" t="s">
        <v>1628</v>
      </c>
      <c r="G68" s="53" t="s">
        <v>595</v>
      </c>
      <c r="H68" s="52">
        <v>132</v>
      </c>
      <c r="I68" s="53" t="s">
        <v>735</v>
      </c>
      <c r="J68" s="53"/>
      <c r="K68" s="53" t="s">
        <v>1649</v>
      </c>
      <c r="L68" s="53"/>
      <c r="M68" s="53" t="s">
        <v>1639</v>
      </c>
      <c r="N68" s="53">
        <v>31</v>
      </c>
      <c r="O68" s="95">
        <v>6.731475748194014</v>
      </c>
      <c r="P68" s="95">
        <v>2.1462676298589614</v>
      </c>
      <c r="Q68" s="95">
        <v>2.1462676298589614</v>
      </c>
      <c r="R68" s="95">
        <v>6.8290333677330572</v>
      </c>
      <c r="S68" s="95">
        <v>18.926178190574472</v>
      </c>
      <c r="T68" s="95">
        <v>17.755486756105949</v>
      </c>
      <c r="U68" s="95">
        <v>2.7316133470932229</v>
      </c>
      <c r="V68" s="95">
        <v>8.2923976608187129</v>
      </c>
      <c r="W68" s="95">
        <v>30.437977296181629</v>
      </c>
      <c r="X68" s="95">
        <v>2.3413828689370484</v>
      </c>
      <c r="Y68" s="95">
        <v>2.1462676298589614</v>
      </c>
      <c r="Z68" s="95">
        <v>100.48434812521498</v>
      </c>
      <c r="AA68" s="53"/>
      <c r="AB68" s="53"/>
      <c r="AC68" s="26">
        <f t="shared" si="2"/>
        <v>252677.00433482448</v>
      </c>
      <c r="AD68" s="26" t="str">
        <f>IFERROR($AC68*HDF_Limited_Col!AD68/HDF_Limited_Col!$AH68," ")</f>
        <v xml:space="preserve"> </v>
      </c>
      <c r="AE68" s="26" t="str">
        <f>IFERROR($AC68*HDF_Limited_Col!AE68/HDF_Limited_Col!$AH68," ")</f>
        <v xml:space="preserve"> </v>
      </c>
      <c r="AF68" s="26" t="str">
        <f>IFERROR($AC68*HDF_Limited_Col!AF68/HDF_Limited_Col!$AH68," ")</f>
        <v xml:space="preserve"> </v>
      </c>
      <c r="AG68" s="26" t="str">
        <f>IFERROR($AC68*HDF_Limited_Col!AG68/HDF_Limited_Col!$AH68," ")</f>
        <v xml:space="preserve"> </v>
      </c>
      <c r="AH68" s="26" t="str">
        <f>IFERROR($AC68*HDF_Limited_Col!AH68/HDF_Limited_Col!$AH68," ")</f>
        <v xml:space="preserve"> </v>
      </c>
      <c r="AI68" s="26" t="str">
        <f>IFERROR($AC68*HDF_Limited_Col!AI68/HDF_Limited_Col!$AH68," ")</f>
        <v xml:space="preserve"> </v>
      </c>
      <c r="AJ68" s="26" t="str">
        <f>IFERROR($AC68*HDF_Limited_Col!AJ68/HDF_Limited_Col!$AH68," ")</f>
        <v xml:space="preserve"> </v>
      </c>
      <c r="AK68" s="26" t="str">
        <f>IFERROR($AC68*HDF_Limited_Col!AK68/HDF_Limited_Col!$AH68," ")</f>
        <v xml:space="preserve"> </v>
      </c>
      <c r="AL68" s="26" t="str">
        <f>IFERROR($AC68*HDF_Limited_Col!AL68/HDF_Limited_Col!$AH68," ")</f>
        <v xml:space="preserve"> </v>
      </c>
      <c r="AM68" s="26" t="str">
        <f>IFERROR($AC68*HDF_Limited_Col!AM68/HDF_Limited_Col!$AH68," ")</f>
        <v xml:space="preserve"> </v>
      </c>
      <c r="AN68" s="26" t="str">
        <f>IFERROR($AC68*HDF_Limited_Col!AN68/HDF_Limited_Col!$AH68," ")</f>
        <v xml:space="preserve"> </v>
      </c>
      <c r="AO68" s="26" t="str">
        <f>IFERROR($AC68*HDF_Limited_Col!AO68/HDF_Limited_Col!$AH68," ")</f>
        <v xml:space="preserve"> </v>
      </c>
      <c r="AP68" s="26" t="str">
        <f>IFERROR($AC68*HDF_Limited_Col!AP68/HDF_Limited_Col!$AH68," ")</f>
        <v xml:space="preserve"> </v>
      </c>
      <c r="AQ68" s="26" t="str">
        <f>IFERROR($AC68*HDF_Limited_Col!AQ68/HDF_Limited_Col!$AH68," ")</f>
        <v xml:space="preserve"> </v>
      </c>
      <c r="AR68" s="26" t="str">
        <f>IFERROR($AC68*HDF_Limited_Col!AR68/HDF_Limited_Col!$AH68," ")</f>
        <v xml:space="preserve"> </v>
      </c>
      <c r="AS68" s="26" t="str">
        <f>IFERROR($AC68*HDF_Limited_Col!AS68/HDF_Limited_Col!$AH68," ")</f>
        <v xml:space="preserve"> </v>
      </c>
      <c r="AT68" s="26" t="str">
        <f>IFERROR($AC68*HDF_Limited_Col!AT68/HDF_Limited_Col!$AH68," ")</f>
        <v xml:space="preserve"> </v>
      </c>
      <c r="AU68" s="26" t="str">
        <f>IFERROR($AC68*HDF_Limited_Col!AU68/HDF_Limited_Col!$AH68," ")</f>
        <v xml:space="preserve"> </v>
      </c>
      <c r="AV68" s="26" t="str">
        <f>IFERROR($AC68*HDF_Limited_Col!AV68/HDF_Limited_Col!$AH68," ")</f>
        <v xml:space="preserve"> </v>
      </c>
      <c r="AW68" s="26" t="str">
        <f>IFERROR($AC68*HDF_Limited_Col!AW68/HDF_Limited_Col!$AH68," ")</f>
        <v xml:space="preserve"> </v>
      </c>
      <c r="AX68" s="26" t="str">
        <f>IFERROR($AC68*HDF_Limited_Col!AX68/HDF_Limited_Col!$AH68," ")</f>
        <v xml:space="preserve"> </v>
      </c>
      <c r="AY68" s="26" t="str">
        <f>IFERROR($AC68*HDF_Limited_Col!AY68/HDF_Limited_Col!$AH68," ")</f>
        <v xml:space="preserve"> </v>
      </c>
      <c r="AZ68" s="26" t="str">
        <f>IFERROR($AC68*HDF_Limited_Col!AZ68/HDF_Limited_Col!$AH68," ")</f>
        <v xml:space="preserve"> </v>
      </c>
      <c r="BA68" s="26" t="str">
        <f>IFERROR($AC68*HDF_Limited_Col!BA68/HDF_Limited_Col!$AH68," ")</f>
        <v xml:space="preserve"> </v>
      </c>
      <c r="BB68" s="26" t="str">
        <f>IFERROR($AC68*HDF_Limited_Col!BB68/HDF_Limited_Col!$AH68," ")</f>
        <v xml:space="preserve"> </v>
      </c>
      <c r="BC68" s="26" t="str">
        <f>IFERROR($AC68*HDF_Limited_Col!BC68/HDF_Limited_Col!$AH68," ")</f>
        <v xml:space="preserve"> </v>
      </c>
      <c r="BD68" s="26" t="str">
        <f>IFERROR($AC68*HDF_Limited_Col!BD68/HDF_Limited_Col!$AH68," ")</f>
        <v xml:space="preserve"> </v>
      </c>
      <c r="BE68" s="26" t="str">
        <f>IFERROR($AC68*HDF_Limited_Col!BE68/HDF_Limited_Col!$AH68," ")</f>
        <v xml:space="preserve"> </v>
      </c>
      <c r="BF68" s="26" t="str">
        <f>IFERROR($AC68*HDF_Limited_Col!BF68/HDF_Limited_Col!$AH68," ")</f>
        <v xml:space="preserve"> </v>
      </c>
      <c r="BG68" s="26" t="str">
        <f>IFERROR($AC68*HDF_Limited_Col!BG68/HDF_Limited_Col!$AH68," ")</f>
        <v xml:space="preserve"> </v>
      </c>
      <c r="BH68" s="26" t="str">
        <f>IFERROR($AC68*HDF_Limited_Col!BH68/HDF_Limited_Col!$AH68," ")</f>
        <v xml:space="preserve"> </v>
      </c>
      <c r="BI68" s="26" t="str">
        <f>IFERROR($AC68*HDF_Limited_Col!BI68/HDF_Limited_Col!$AH68," ")</f>
        <v xml:space="preserve"> </v>
      </c>
      <c r="BJ68" s="26" t="str">
        <f>IFERROR($AC68*HDF_Limited_Col!BJ68/HDF_Limited_Col!$AH68," ")</f>
        <v xml:space="preserve"> </v>
      </c>
      <c r="BK68" s="26" t="str">
        <f>IFERROR($AC68*HDF_Limited_Col!BK68/HDF_Limited_Col!$AH68," ")</f>
        <v xml:space="preserve"> </v>
      </c>
      <c r="BL68" s="26" t="str">
        <f>IFERROR($AC68*HDF_Limited_Col!BL68/HDF_Limited_Col!$AH68," ")</f>
        <v xml:space="preserve"> </v>
      </c>
      <c r="BM68" s="26" t="str">
        <f>IFERROR($AC68*HDF_Limited_Col!BM68/HDF_Limited_Col!$AH68," ")</f>
        <v xml:space="preserve"> </v>
      </c>
      <c r="BN68" s="26" t="str">
        <f>IFERROR($AC68*HDF_Limited_Col!BN68/HDF_Limited_Col!$AH68," ")</f>
        <v xml:space="preserve"> </v>
      </c>
      <c r="BO68" s="26" t="str">
        <f>IFERROR($AC68*HDF_Limited_Col!BO68/HDF_Limited_Col!$AH68," ")</f>
        <v xml:space="preserve"> </v>
      </c>
      <c r="BP68" s="26" t="str">
        <f>IFERROR($AC68*HDF_Limited_Col!BP68/HDF_Limited_Col!$AH68," ")</f>
        <v xml:space="preserve"> </v>
      </c>
      <c r="BQ68" s="26" t="str">
        <f>IFERROR($AC68*HDF_Limited_Col!BQ68/HDF_Limited_Col!$AH68," ")</f>
        <v xml:space="preserve"> </v>
      </c>
      <c r="BR68" s="26" t="str">
        <f>IFERROR($AC68*HDF_Limited_Col!BR68/HDF_Limited_Col!$AH68," ")</f>
        <v xml:space="preserve"> </v>
      </c>
      <c r="BS68" s="26" t="str">
        <f>IFERROR($AC68*HDF_Limited_Col!BS68/HDF_Limited_Col!$AH68," ")</f>
        <v xml:space="preserve"> </v>
      </c>
      <c r="BT68" s="26" t="str">
        <f>IFERROR($AC68*HDF_Limited_Col!BT68/HDF_Limited_Col!$AH68," ")</f>
        <v xml:space="preserve"> </v>
      </c>
      <c r="BU68" s="26" t="str">
        <f>IFERROR($AC68*HDF_Limited_Col!BU68/HDF_Limited_Col!$AH68," ")</f>
        <v xml:space="preserve"> </v>
      </c>
      <c r="BV68" s="26" t="str">
        <f>IFERROR($AC68*HDF_Limited_Col!BV68/HDF_Limited_Col!$AH68," ")</f>
        <v xml:space="preserve"> </v>
      </c>
      <c r="BW68" s="26" t="str">
        <f>IFERROR($AC68*HDF_Limited_Col!BW68/HDF_Limited_Col!$AH68," ")</f>
        <v xml:space="preserve"> </v>
      </c>
      <c r="BX68" s="26" t="str">
        <f>IFERROR($AC68*HDF_Limited_Col!BX68/HDF_Limited_Col!$AH68," ")</f>
        <v xml:space="preserve"> </v>
      </c>
      <c r="BY68" s="26" t="str">
        <f>IFERROR($AC68*HDF_Limited_Col!BY68/HDF_Limited_Col!$AH68," ")</f>
        <v xml:space="preserve"> </v>
      </c>
      <c r="BZ68" s="26" t="str">
        <f>IFERROR($AC68*HDF_Limited_Col!BZ68/HDF_Limited_Col!$AH68," ")</f>
        <v xml:space="preserve"> </v>
      </c>
      <c r="CA68" s="26" t="str">
        <f>IFERROR($AC68*HDF_Limited_Col!CA68/HDF_Limited_Col!$AH68," ")</f>
        <v xml:space="preserve"> </v>
      </c>
      <c r="CB68" s="26" t="str">
        <f>IFERROR($AC68*HDF_Limited_Col!CB68/HDF_Limited_Col!$AH68," ")</f>
        <v xml:space="preserve"> </v>
      </c>
      <c r="CC68" s="26" t="str">
        <f>IFERROR($AC68*HDF_Limited_Col!CC68/HDF_Limited_Col!$AH68," ")</f>
        <v xml:space="preserve"> </v>
      </c>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row>
    <row r="69" spans="1:109">
      <c r="A69" s="26" t="s">
        <v>1656</v>
      </c>
      <c r="B69" s="53" t="s">
        <v>24</v>
      </c>
      <c r="C69" s="152" t="s">
        <v>1800</v>
      </c>
      <c r="D69" s="53" t="s">
        <v>1706</v>
      </c>
      <c r="E69" s="53" t="s">
        <v>237</v>
      </c>
      <c r="F69" s="53" t="s">
        <v>849</v>
      </c>
      <c r="G69" s="53" t="s">
        <v>595</v>
      </c>
      <c r="H69" s="52">
        <v>364</v>
      </c>
      <c r="I69" s="53" t="s">
        <v>1148</v>
      </c>
      <c r="J69" s="53" t="s">
        <v>635</v>
      </c>
      <c r="K69" s="53" t="s">
        <v>128</v>
      </c>
      <c r="L69" s="53"/>
      <c r="M69" s="53" t="s">
        <v>1665</v>
      </c>
      <c r="N69" s="53">
        <v>21</v>
      </c>
      <c r="O69" s="95">
        <v>11.672377743874362</v>
      </c>
      <c r="P69" s="95">
        <v>0</v>
      </c>
      <c r="Q69" s="95">
        <v>1.7508566615811545</v>
      </c>
      <c r="R69" s="95">
        <v>6.5908684674462998</v>
      </c>
      <c r="S69" s="95">
        <v>22.539763919205665</v>
      </c>
      <c r="T69" s="95">
        <v>12.376745366349541</v>
      </c>
      <c r="U69" s="95">
        <v>0</v>
      </c>
      <c r="V69" s="95">
        <v>16.804198993336367</v>
      </c>
      <c r="W69" s="95">
        <v>22.841635757409314</v>
      </c>
      <c r="X69" s="95">
        <v>3.3004654310265442</v>
      </c>
      <c r="Y69" s="95">
        <v>2.7369713330464025</v>
      </c>
      <c r="Z69" s="95">
        <v>100.61388367327564</v>
      </c>
      <c r="AA69" s="53"/>
      <c r="AB69" s="26"/>
      <c r="AC69" s="26">
        <f t="shared" si="2"/>
        <v>189616.93942827874</v>
      </c>
      <c r="AD69" s="26" t="str">
        <f>IFERROR($AC69*HDF_Limited_Col!AD69/HDF_Limited_Col!$AH69," ")</f>
        <v xml:space="preserve"> </v>
      </c>
      <c r="AE69" s="26" t="str">
        <f>IFERROR($AC69*HDF_Limited_Col!AE69/HDF_Limited_Col!$AH69," ")</f>
        <v xml:space="preserve"> </v>
      </c>
      <c r="AF69" s="26" t="str">
        <f>IFERROR($AC69*HDF_Limited_Col!AF69/HDF_Limited_Col!$AH69," ")</f>
        <v xml:space="preserve"> </v>
      </c>
      <c r="AG69" s="26" t="str">
        <f>IFERROR($AC69*HDF_Limited_Col!AG69/HDF_Limited_Col!$AH69," ")</f>
        <v xml:space="preserve"> </v>
      </c>
      <c r="AH69" s="26" t="str">
        <f>IFERROR($AC69*HDF_Limited_Col!AH69/HDF_Limited_Col!$AH69," ")</f>
        <v xml:space="preserve"> </v>
      </c>
      <c r="AI69" s="26" t="str">
        <f>IFERROR($AC69*HDF_Limited_Col!AI69/HDF_Limited_Col!$AH69," ")</f>
        <v xml:space="preserve"> </v>
      </c>
      <c r="AJ69" s="26" t="str">
        <f>IFERROR($AC69*HDF_Limited_Col!AJ69/HDF_Limited_Col!$AH69," ")</f>
        <v xml:space="preserve"> </v>
      </c>
      <c r="AK69" s="26" t="str">
        <f>IFERROR($AC69*HDF_Limited_Col!AK69/HDF_Limited_Col!$AH69," ")</f>
        <v xml:space="preserve"> </v>
      </c>
      <c r="AL69" s="26" t="str">
        <f>IFERROR($AC69*HDF_Limited_Col!AL69/HDF_Limited_Col!$AH69," ")</f>
        <v xml:space="preserve"> </v>
      </c>
      <c r="AM69" s="26" t="str">
        <f>IFERROR($AC69*HDF_Limited_Col!AM69/HDF_Limited_Col!$AH69," ")</f>
        <v xml:space="preserve"> </v>
      </c>
      <c r="AN69" s="26" t="str">
        <f>IFERROR($AC69*HDF_Limited_Col!AN69/HDF_Limited_Col!$AH69," ")</f>
        <v xml:space="preserve"> </v>
      </c>
      <c r="AO69" s="26" t="str">
        <f>IFERROR($AC69*HDF_Limited_Col!AO69/HDF_Limited_Col!$AH69," ")</f>
        <v xml:space="preserve"> </v>
      </c>
      <c r="AP69" s="26" t="str">
        <f>IFERROR($AC69*HDF_Limited_Col!AP69/HDF_Limited_Col!$AH69," ")</f>
        <v xml:space="preserve"> </v>
      </c>
      <c r="AQ69" s="26" t="str">
        <f>IFERROR($AC69*HDF_Limited_Col!AQ69/HDF_Limited_Col!$AH69," ")</f>
        <v xml:space="preserve"> </v>
      </c>
      <c r="AR69" s="26" t="str">
        <f>IFERROR($AC69*HDF_Limited_Col!AR69/HDF_Limited_Col!$AH69," ")</f>
        <v xml:space="preserve"> </v>
      </c>
      <c r="AS69" s="26" t="str">
        <f>IFERROR($AC69*HDF_Limited_Col!AS69/HDF_Limited_Col!$AH69," ")</f>
        <v xml:space="preserve"> </v>
      </c>
      <c r="AT69" s="26" t="str">
        <f>IFERROR($AC69*HDF_Limited_Col!AT69/HDF_Limited_Col!$AH69," ")</f>
        <v xml:space="preserve"> </v>
      </c>
      <c r="AU69" s="26" t="str">
        <f>IFERROR($AC69*HDF_Limited_Col!AU69/HDF_Limited_Col!$AH69," ")</f>
        <v xml:space="preserve"> </v>
      </c>
      <c r="AV69" s="26" t="str">
        <f>IFERROR($AC69*HDF_Limited_Col!AV69/HDF_Limited_Col!$AH69," ")</f>
        <v xml:space="preserve"> </v>
      </c>
      <c r="AW69" s="26" t="str">
        <f>IFERROR($AC69*HDF_Limited_Col!AW69/HDF_Limited_Col!$AH69," ")</f>
        <v xml:space="preserve"> </v>
      </c>
      <c r="AX69" s="26" t="str">
        <f>IFERROR($AC69*HDF_Limited_Col!AX69/HDF_Limited_Col!$AH69," ")</f>
        <v xml:space="preserve"> </v>
      </c>
      <c r="AY69" s="26" t="str">
        <f>IFERROR($AC69*HDF_Limited_Col!AY69/HDF_Limited_Col!$AH69," ")</f>
        <v xml:space="preserve"> </v>
      </c>
      <c r="AZ69" s="26" t="str">
        <f>IFERROR($AC69*HDF_Limited_Col!AZ69/HDF_Limited_Col!$AH69," ")</f>
        <v xml:space="preserve"> </v>
      </c>
      <c r="BA69" s="26" t="str">
        <f>IFERROR($AC69*HDF_Limited_Col!BA69/HDF_Limited_Col!$AH69," ")</f>
        <v xml:space="preserve"> </v>
      </c>
      <c r="BB69" s="26" t="str">
        <f>IFERROR($AC69*HDF_Limited_Col!BB69/HDF_Limited_Col!$AH69," ")</f>
        <v xml:space="preserve"> </v>
      </c>
      <c r="BC69" s="26" t="str">
        <f>IFERROR($AC69*HDF_Limited_Col!BC69/HDF_Limited_Col!$AH69," ")</f>
        <v xml:space="preserve"> </v>
      </c>
      <c r="BD69" s="26" t="str">
        <f>IFERROR($AC69*HDF_Limited_Col!BD69/HDF_Limited_Col!$AH69," ")</f>
        <v xml:space="preserve"> </v>
      </c>
      <c r="BE69" s="26" t="str">
        <f>IFERROR($AC69*HDF_Limited_Col!BE69/HDF_Limited_Col!$AH69," ")</f>
        <v xml:space="preserve"> </v>
      </c>
      <c r="BF69" s="26" t="str">
        <f>IFERROR($AC69*HDF_Limited_Col!BF69/HDF_Limited_Col!$AH69," ")</f>
        <v xml:space="preserve"> </v>
      </c>
      <c r="BG69" s="26" t="str">
        <f>IFERROR($AC69*HDF_Limited_Col!BG69/HDF_Limited_Col!$AH69," ")</f>
        <v xml:space="preserve"> </v>
      </c>
      <c r="BH69" s="26" t="str">
        <f>IFERROR($AC69*HDF_Limited_Col!BH69/HDF_Limited_Col!$AH69," ")</f>
        <v xml:space="preserve"> </v>
      </c>
      <c r="BI69" s="26" t="str">
        <f>IFERROR($AC69*HDF_Limited_Col!BI69/HDF_Limited_Col!$AH69," ")</f>
        <v xml:space="preserve"> </v>
      </c>
      <c r="BJ69" s="26" t="str">
        <f>IFERROR($AC69*HDF_Limited_Col!BJ69/HDF_Limited_Col!$AH69," ")</f>
        <v xml:space="preserve"> </v>
      </c>
      <c r="BK69" s="26" t="str">
        <f>IFERROR($AC69*HDF_Limited_Col!BK69/HDF_Limited_Col!$AH69," ")</f>
        <v xml:space="preserve"> </v>
      </c>
      <c r="BL69" s="26" t="str">
        <f>IFERROR($AC69*HDF_Limited_Col!BL69/HDF_Limited_Col!$AH69," ")</f>
        <v xml:space="preserve"> </v>
      </c>
      <c r="BM69" s="26" t="str">
        <f>IFERROR($AC69*HDF_Limited_Col!BM69/HDF_Limited_Col!$AH69," ")</f>
        <v xml:space="preserve"> </v>
      </c>
      <c r="BN69" s="26" t="str">
        <f>IFERROR($AC69*HDF_Limited_Col!BN69/HDF_Limited_Col!$AH69," ")</f>
        <v xml:space="preserve"> </v>
      </c>
      <c r="BO69" s="26" t="str">
        <f>IFERROR($AC69*HDF_Limited_Col!BO69/HDF_Limited_Col!$AH69," ")</f>
        <v xml:space="preserve"> </v>
      </c>
      <c r="BP69" s="26" t="str">
        <f>IFERROR($AC69*HDF_Limited_Col!BP69/HDF_Limited_Col!$AH69," ")</f>
        <v xml:space="preserve"> </v>
      </c>
      <c r="BQ69" s="26" t="str">
        <f>IFERROR($AC69*HDF_Limited_Col!BQ69/HDF_Limited_Col!$AH69," ")</f>
        <v xml:space="preserve"> </v>
      </c>
      <c r="BR69" s="26" t="str">
        <f>IFERROR($AC69*HDF_Limited_Col!BR69/HDF_Limited_Col!$AH69," ")</f>
        <v xml:space="preserve"> </v>
      </c>
      <c r="BS69" s="26" t="str">
        <f>IFERROR($AC69*HDF_Limited_Col!BS69/HDF_Limited_Col!$AH69," ")</f>
        <v xml:space="preserve"> </v>
      </c>
      <c r="BT69" s="26" t="str">
        <f>IFERROR($AC69*HDF_Limited_Col!BT69/HDF_Limited_Col!$AH69," ")</f>
        <v xml:space="preserve"> </v>
      </c>
      <c r="BU69" s="26" t="str">
        <f>IFERROR($AC69*HDF_Limited_Col!BU69/HDF_Limited_Col!$AH69," ")</f>
        <v xml:space="preserve"> </v>
      </c>
      <c r="BV69" s="26" t="str">
        <f>IFERROR($AC69*HDF_Limited_Col!BV69/HDF_Limited_Col!$AH69," ")</f>
        <v xml:space="preserve"> </v>
      </c>
      <c r="BW69" s="26" t="str">
        <f>IFERROR($AC69*HDF_Limited_Col!BW69/HDF_Limited_Col!$AH69," ")</f>
        <v xml:space="preserve"> </v>
      </c>
      <c r="BX69" s="26" t="str">
        <f>IFERROR($AC69*HDF_Limited_Col!BX69/HDF_Limited_Col!$AH69," ")</f>
        <v xml:space="preserve"> </v>
      </c>
      <c r="BY69" s="26" t="str">
        <f>IFERROR($AC69*HDF_Limited_Col!BY69/HDF_Limited_Col!$AH69," ")</f>
        <v xml:space="preserve"> </v>
      </c>
      <c r="BZ69" s="26" t="str">
        <f>IFERROR($AC69*HDF_Limited_Col!BZ69/HDF_Limited_Col!$AH69," ")</f>
        <v xml:space="preserve"> </v>
      </c>
      <c r="CA69" s="26" t="str">
        <f>IFERROR($AC69*HDF_Limited_Col!CA69/HDF_Limited_Col!$AH69," ")</f>
        <v xml:space="preserve"> </v>
      </c>
      <c r="CB69" s="26" t="str">
        <f>IFERROR($AC69*HDF_Limited_Col!CB69/HDF_Limited_Col!$AH69," ")</f>
        <v xml:space="preserve"> </v>
      </c>
      <c r="CC69" s="26" t="str">
        <f>IFERROR($AC69*HDF_Limited_Col!CC69/HDF_Limited_Col!$AH69," ")</f>
        <v xml:space="preserve"> </v>
      </c>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row>
    <row r="70" spans="1:109">
      <c r="A70" s="26" t="s">
        <v>1656</v>
      </c>
      <c r="B70" s="53" t="s">
        <v>24</v>
      </c>
      <c r="C70" s="152" t="s">
        <v>1800</v>
      </c>
      <c r="D70" s="53" t="s">
        <v>1706</v>
      </c>
      <c r="E70" s="53" t="s">
        <v>237</v>
      </c>
      <c r="F70" s="53" t="s">
        <v>849</v>
      </c>
      <c r="G70" s="53" t="s">
        <v>595</v>
      </c>
      <c r="H70" s="52">
        <v>364</v>
      </c>
      <c r="I70" s="53" t="s">
        <v>1148</v>
      </c>
      <c r="J70" s="53" t="s">
        <v>635</v>
      </c>
      <c r="K70" s="53" t="s">
        <v>1667</v>
      </c>
      <c r="L70" s="53"/>
      <c r="M70" s="53" t="s">
        <v>1669</v>
      </c>
      <c r="N70" s="53">
        <v>20</v>
      </c>
      <c r="O70" s="95">
        <v>18.575252175007833</v>
      </c>
      <c r="P70" s="95">
        <v>0.14056947591897823</v>
      </c>
      <c r="Q70" s="95">
        <v>2.6406980119065189</v>
      </c>
      <c r="R70" s="95">
        <v>8.9562837514091829</v>
      </c>
      <c r="S70" s="95">
        <v>25.302505665416074</v>
      </c>
      <c r="T70" s="95">
        <v>16.868337110277388</v>
      </c>
      <c r="U70" s="95">
        <v>0</v>
      </c>
      <c r="V70" s="95">
        <v>9.418154886571541</v>
      </c>
      <c r="W70" s="95">
        <v>14.759794971492711</v>
      </c>
      <c r="X70" s="95">
        <v>2.1788268767441625</v>
      </c>
      <c r="Y70" s="95">
        <v>1.4960608508519824</v>
      </c>
      <c r="Z70" s="95">
        <v>100.33648377559636</v>
      </c>
      <c r="AA70" s="53"/>
      <c r="AB70" s="26"/>
      <c r="AC70" s="26">
        <f t="shared" si="2"/>
        <v>122526.56415710109</v>
      </c>
      <c r="AD70" s="26" t="str">
        <f>IFERROR($AC70*HDF_Limited_Col!AD70/HDF_Limited_Col!$AH70," ")</f>
        <v xml:space="preserve"> </v>
      </c>
      <c r="AE70" s="26" t="str">
        <f>IFERROR($AC70*HDF_Limited_Col!AE70/HDF_Limited_Col!$AH70," ")</f>
        <v xml:space="preserve"> </v>
      </c>
      <c r="AF70" s="26" t="str">
        <f>IFERROR($AC70*HDF_Limited_Col!AF70/HDF_Limited_Col!$AH70," ")</f>
        <v xml:space="preserve"> </v>
      </c>
      <c r="AG70" s="26" t="str">
        <f>IFERROR($AC70*HDF_Limited_Col!AG70/HDF_Limited_Col!$AH70," ")</f>
        <v xml:space="preserve"> </v>
      </c>
      <c r="AH70" s="26" t="str">
        <f>IFERROR($AC70*HDF_Limited_Col!AH70/HDF_Limited_Col!$AH70," ")</f>
        <v xml:space="preserve"> </v>
      </c>
      <c r="AI70" s="26" t="str">
        <f>IFERROR($AC70*HDF_Limited_Col!AI70/HDF_Limited_Col!$AH70," ")</f>
        <v xml:space="preserve"> </v>
      </c>
      <c r="AJ70" s="26" t="str">
        <f>IFERROR($AC70*HDF_Limited_Col!AJ70/HDF_Limited_Col!$AH70," ")</f>
        <v xml:space="preserve"> </v>
      </c>
      <c r="AK70" s="26" t="str">
        <f>IFERROR($AC70*HDF_Limited_Col!AK70/HDF_Limited_Col!$AH70," ")</f>
        <v xml:space="preserve"> </v>
      </c>
      <c r="AL70" s="26" t="str">
        <f>IFERROR($AC70*HDF_Limited_Col!AL70/HDF_Limited_Col!$AH70," ")</f>
        <v xml:space="preserve"> </v>
      </c>
      <c r="AM70" s="26" t="str">
        <f>IFERROR($AC70*HDF_Limited_Col!AM70/HDF_Limited_Col!$AH70," ")</f>
        <v xml:space="preserve"> </v>
      </c>
      <c r="AN70" s="26" t="str">
        <f>IFERROR($AC70*HDF_Limited_Col!AN70/HDF_Limited_Col!$AH70," ")</f>
        <v xml:space="preserve"> </v>
      </c>
      <c r="AO70" s="26" t="str">
        <f>IFERROR($AC70*HDF_Limited_Col!AO70/HDF_Limited_Col!$AH70," ")</f>
        <v xml:space="preserve"> </v>
      </c>
      <c r="AP70" s="26" t="str">
        <f>IFERROR($AC70*HDF_Limited_Col!AP70/HDF_Limited_Col!$AH70," ")</f>
        <v xml:space="preserve"> </v>
      </c>
      <c r="AQ70" s="26" t="str">
        <f>IFERROR($AC70*HDF_Limited_Col!AQ70/HDF_Limited_Col!$AH70," ")</f>
        <v xml:space="preserve"> </v>
      </c>
      <c r="AR70" s="26" t="str">
        <f>IFERROR($AC70*HDF_Limited_Col!AR70/HDF_Limited_Col!$AH70," ")</f>
        <v xml:space="preserve"> </v>
      </c>
      <c r="AS70" s="26" t="str">
        <f>IFERROR($AC70*HDF_Limited_Col!AS70/HDF_Limited_Col!$AH70," ")</f>
        <v xml:space="preserve"> </v>
      </c>
      <c r="AT70" s="26" t="str">
        <f>IFERROR($AC70*HDF_Limited_Col!AT70/HDF_Limited_Col!$AH70," ")</f>
        <v xml:space="preserve"> </v>
      </c>
      <c r="AU70" s="26" t="str">
        <f>IFERROR($AC70*HDF_Limited_Col!AU70/HDF_Limited_Col!$AH70," ")</f>
        <v xml:space="preserve"> </v>
      </c>
      <c r="AV70" s="26" t="str">
        <f>IFERROR($AC70*HDF_Limited_Col!AV70/HDF_Limited_Col!$AH70," ")</f>
        <v xml:space="preserve"> </v>
      </c>
      <c r="AW70" s="26" t="str">
        <f>IFERROR($AC70*HDF_Limited_Col!AW70/HDF_Limited_Col!$AH70," ")</f>
        <v xml:space="preserve"> </v>
      </c>
      <c r="AX70" s="26" t="str">
        <f>IFERROR($AC70*HDF_Limited_Col!AX70/HDF_Limited_Col!$AH70," ")</f>
        <v xml:space="preserve"> </v>
      </c>
      <c r="AY70" s="26" t="str">
        <f>IFERROR($AC70*HDF_Limited_Col!AY70/HDF_Limited_Col!$AH70," ")</f>
        <v xml:space="preserve"> </v>
      </c>
      <c r="AZ70" s="26" t="str">
        <f>IFERROR($AC70*HDF_Limited_Col!AZ70/HDF_Limited_Col!$AH70," ")</f>
        <v xml:space="preserve"> </v>
      </c>
      <c r="BA70" s="26" t="str">
        <f>IFERROR($AC70*HDF_Limited_Col!BA70/HDF_Limited_Col!$AH70," ")</f>
        <v xml:space="preserve"> </v>
      </c>
      <c r="BB70" s="26" t="str">
        <f>IFERROR($AC70*HDF_Limited_Col!BB70/HDF_Limited_Col!$AH70," ")</f>
        <v xml:space="preserve"> </v>
      </c>
      <c r="BC70" s="26" t="str">
        <f>IFERROR($AC70*HDF_Limited_Col!BC70/HDF_Limited_Col!$AH70," ")</f>
        <v xml:space="preserve"> </v>
      </c>
      <c r="BD70" s="26" t="str">
        <f>IFERROR($AC70*HDF_Limited_Col!BD70/HDF_Limited_Col!$AH70," ")</f>
        <v xml:space="preserve"> </v>
      </c>
      <c r="BE70" s="26" t="str">
        <f>IFERROR($AC70*HDF_Limited_Col!BE70/HDF_Limited_Col!$AH70," ")</f>
        <v xml:space="preserve"> </v>
      </c>
      <c r="BF70" s="26" t="str">
        <f>IFERROR($AC70*HDF_Limited_Col!BF70/HDF_Limited_Col!$AH70," ")</f>
        <v xml:space="preserve"> </v>
      </c>
      <c r="BG70" s="26" t="str">
        <f>IFERROR($AC70*HDF_Limited_Col!BG70/HDF_Limited_Col!$AH70," ")</f>
        <v xml:space="preserve"> </v>
      </c>
      <c r="BH70" s="26" t="str">
        <f>IFERROR($AC70*HDF_Limited_Col!BH70/HDF_Limited_Col!$AH70," ")</f>
        <v xml:space="preserve"> </v>
      </c>
      <c r="BI70" s="26" t="str">
        <f>IFERROR($AC70*HDF_Limited_Col!BI70/HDF_Limited_Col!$AH70," ")</f>
        <v xml:space="preserve"> </v>
      </c>
      <c r="BJ70" s="26" t="str">
        <f>IFERROR($AC70*HDF_Limited_Col!BJ70/HDF_Limited_Col!$AH70," ")</f>
        <v xml:space="preserve"> </v>
      </c>
      <c r="BK70" s="26" t="str">
        <f>IFERROR($AC70*HDF_Limited_Col!BK70/HDF_Limited_Col!$AH70," ")</f>
        <v xml:space="preserve"> </v>
      </c>
      <c r="BL70" s="26" t="str">
        <f>IFERROR($AC70*HDF_Limited_Col!BL70/HDF_Limited_Col!$AH70," ")</f>
        <v xml:space="preserve"> </v>
      </c>
      <c r="BM70" s="26" t="str">
        <f>IFERROR($AC70*HDF_Limited_Col!BM70/HDF_Limited_Col!$AH70," ")</f>
        <v xml:space="preserve"> </v>
      </c>
      <c r="BN70" s="26" t="str">
        <f>IFERROR($AC70*HDF_Limited_Col!BN70/HDF_Limited_Col!$AH70," ")</f>
        <v xml:space="preserve"> </v>
      </c>
      <c r="BO70" s="26" t="str">
        <f>IFERROR($AC70*HDF_Limited_Col!BO70/HDF_Limited_Col!$AH70," ")</f>
        <v xml:space="preserve"> </v>
      </c>
      <c r="BP70" s="26" t="str">
        <f>IFERROR($AC70*HDF_Limited_Col!BP70/HDF_Limited_Col!$AH70," ")</f>
        <v xml:space="preserve"> </v>
      </c>
      <c r="BQ70" s="26" t="str">
        <f>IFERROR($AC70*HDF_Limited_Col!BQ70/HDF_Limited_Col!$AH70," ")</f>
        <v xml:space="preserve"> </v>
      </c>
      <c r="BR70" s="26" t="str">
        <f>IFERROR($AC70*HDF_Limited_Col!BR70/HDF_Limited_Col!$AH70," ")</f>
        <v xml:space="preserve"> </v>
      </c>
      <c r="BS70" s="26" t="str">
        <f>IFERROR($AC70*HDF_Limited_Col!BS70/HDF_Limited_Col!$AH70," ")</f>
        <v xml:space="preserve"> </v>
      </c>
      <c r="BT70" s="26" t="str">
        <f>IFERROR($AC70*HDF_Limited_Col!BT70/HDF_Limited_Col!$AH70," ")</f>
        <v xml:space="preserve"> </v>
      </c>
      <c r="BU70" s="26" t="str">
        <f>IFERROR($AC70*HDF_Limited_Col!BU70/HDF_Limited_Col!$AH70," ")</f>
        <v xml:space="preserve"> </v>
      </c>
      <c r="BV70" s="26" t="str">
        <f>IFERROR($AC70*HDF_Limited_Col!BV70/HDF_Limited_Col!$AH70," ")</f>
        <v xml:space="preserve"> </v>
      </c>
      <c r="BW70" s="26" t="str">
        <f>IFERROR($AC70*HDF_Limited_Col!BW70/HDF_Limited_Col!$AH70," ")</f>
        <v xml:space="preserve"> </v>
      </c>
      <c r="BX70" s="26" t="str">
        <f>IFERROR($AC70*HDF_Limited_Col!BX70/HDF_Limited_Col!$AH70," ")</f>
        <v xml:space="preserve"> </v>
      </c>
      <c r="BY70" s="26" t="str">
        <f>IFERROR($AC70*HDF_Limited_Col!BY70/HDF_Limited_Col!$AH70," ")</f>
        <v xml:space="preserve"> </v>
      </c>
      <c r="BZ70" s="26" t="str">
        <f>IFERROR($AC70*HDF_Limited_Col!BZ70/HDF_Limited_Col!$AH70," ")</f>
        <v xml:space="preserve"> </v>
      </c>
      <c r="CA70" s="26" t="str">
        <f>IFERROR($AC70*HDF_Limited_Col!CA70/HDF_Limited_Col!$AH70," ")</f>
        <v xml:space="preserve"> </v>
      </c>
      <c r="CB70" s="26" t="str">
        <f>IFERROR($AC70*HDF_Limited_Col!CB70/HDF_Limited_Col!$AH70," ")</f>
        <v xml:space="preserve"> </v>
      </c>
      <c r="CC70" s="26" t="str">
        <f>IFERROR($AC70*HDF_Limited_Col!CC70/HDF_Limited_Col!$AH70," ")</f>
        <v xml:space="preserve"> </v>
      </c>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row>
    <row r="71" spans="1:109">
      <c r="A71" s="26" t="s">
        <v>1656</v>
      </c>
      <c r="B71" s="53" t="s">
        <v>24</v>
      </c>
      <c r="C71" s="152" t="s">
        <v>1800</v>
      </c>
      <c r="D71" s="53" t="s">
        <v>1706</v>
      </c>
      <c r="E71" s="53" t="s">
        <v>237</v>
      </c>
      <c r="F71" s="53" t="s">
        <v>849</v>
      </c>
      <c r="G71" s="53" t="s">
        <v>595</v>
      </c>
      <c r="H71" s="52">
        <v>364</v>
      </c>
      <c r="I71" s="53" t="s">
        <v>1148</v>
      </c>
      <c r="J71" s="53" t="s">
        <v>635</v>
      </c>
      <c r="K71" s="53" t="s">
        <v>1667</v>
      </c>
      <c r="L71" s="53"/>
      <c r="M71" s="53" t="s">
        <v>1670</v>
      </c>
      <c r="N71" s="53">
        <v>24</v>
      </c>
      <c r="O71" s="95">
        <v>8.7926300173623382</v>
      </c>
      <c r="P71" s="95">
        <v>1.4972592829565583</v>
      </c>
      <c r="Q71" s="95">
        <v>1.7183311233930969</v>
      </c>
      <c r="R71" s="95">
        <v>8.9333120976401368</v>
      </c>
      <c r="S71" s="95">
        <v>21.403773642264891</v>
      </c>
      <c r="T71" s="95">
        <v>15.475028830557715</v>
      </c>
      <c r="U71" s="95">
        <v>0</v>
      </c>
      <c r="V71" s="95">
        <v>17.685747234923102</v>
      </c>
      <c r="W71" s="95">
        <v>17.384285634327821</v>
      </c>
      <c r="X71" s="95">
        <v>5.5669908909928401</v>
      </c>
      <c r="Y71" s="95">
        <v>1.989646563928849</v>
      </c>
      <c r="Z71" s="95">
        <v>100.44700531834735</v>
      </c>
      <c r="AA71" s="53"/>
      <c r="AB71" s="26"/>
      <c r="AC71" s="26">
        <f t="shared" si="1"/>
        <v>144313.4402079313</v>
      </c>
      <c r="AD71" s="26" t="str">
        <f>IFERROR($AC71*HDF_Limited_Col!AD71/HDF_Limited_Col!$AH71," ")</f>
        <v xml:space="preserve"> </v>
      </c>
      <c r="AE71" s="26" t="str">
        <f>IFERROR($AC71*HDF_Limited_Col!AE71/HDF_Limited_Col!$AH71," ")</f>
        <v xml:space="preserve"> </v>
      </c>
      <c r="AF71" s="26" t="str">
        <f>IFERROR($AC71*HDF_Limited_Col!AF71/HDF_Limited_Col!$AH71," ")</f>
        <v xml:space="preserve"> </v>
      </c>
      <c r="AG71" s="26" t="str">
        <f>IFERROR($AC71*HDF_Limited_Col!AG71/HDF_Limited_Col!$AH71," ")</f>
        <v xml:space="preserve"> </v>
      </c>
      <c r="AH71" s="26" t="str">
        <f>IFERROR($AC71*HDF_Limited_Col!AH71/HDF_Limited_Col!$AH71," ")</f>
        <v xml:space="preserve"> </v>
      </c>
      <c r="AI71" s="26" t="str">
        <f>IFERROR($AC71*HDF_Limited_Col!AI71/HDF_Limited_Col!$AH71," ")</f>
        <v xml:space="preserve"> </v>
      </c>
      <c r="AJ71" s="26" t="str">
        <f>IFERROR($AC71*HDF_Limited_Col!AJ71/HDF_Limited_Col!$AH71," ")</f>
        <v xml:space="preserve"> </v>
      </c>
      <c r="AK71" s="26" t="str">
        <f>IFERROR($AC71*HDF_Limited_Col!AK71/HDF_Limited_Col!$AH71," ")</f>
        <v xml:space="preserve"> </v>
      </c>
      <c r="AL71" s="26" t="str">
        <f>IFERROR($AC71*HDF_Limited_Col!AL71/HDF_Limited_Col!$AH71," ")</f>
        <v xml:space="preserve"> </v>
      </c>
      <c r="AM71" s="26" t="str">
        <f>IFERROR($AC71*HDF_Limited_Col!AM71/HDF_Limited_Col!$AH71," ")</f>
        <v xml:space="preserve"> </v>
      </c>
      <c r="AN71" s="26" t="str">
        <f>IFERROR($AC71*HDF_Limited_Col!AN71/HDF_Limited_Col!$AH71," ")</f>
        <v xml:space="preserve"> </v>
      </c>
      <c r="AO71" s="26" t="str">
        <f>IFERROR($AC71*HDF_Limited_Col!AO71/HDF_Limited_Col!$AH71," ")</f>
        <v xml:space="preserve"> </v>
      </c>
      <c r="AP71" s="26" t="str">
        <f>IFERROR($AC71*HDF_Limited_Col!AP71/HDF_Limited_Col!$AH71," ")</f>
        <v xml:space="preserve"> </v>
      </c>
      <c r="AQ71" s="26" t="str">
        <f>IFERROR($AC71*HDF_Limited_Col!AQ71/HDF_Limited_Col!$AH71," ")</f>
        <v xml:space="preserve"> </v>
      </c>
      <c r="AR71" s="26" t="str">
        <f>IFERROR($AC71*HDF_Limited_Col!AR71/HDF_Limited_Col!$AH71," ")</f>
        <v xml:space="preserve"> </v>
      </c>
      <c r="AS71" s="26" t="str">
        <f>IFERROR($AC71*HDF_Limited_Col!AS71/HDF_Limited_Col!$AH71," ")</f>
        <v xml:space="preserve"> </v>
      </c>
      <c r="AT71" s="26" t="str">
        <f>IFERROR($AC71*HDF_Limited_Col!AT71/HDF_Limited_Col!$AH71," ")</f>
        <v xml:space="preserve"> </v>
      </c>
      <c r="AU71" s="26" t="str">
        <f>IFERROR($AC71*HDF_Limited_Col!AU71/HDF_Limited_Col!$AH71," ")</f>
        <v xml:space="preserve"> </v>
      </c>
      <c r="AV71" s="26" t="str">
        <f>IFERROR($AC71*HDF_Limited_Col!AV71/HDF_Limited_Col!$AH71," ")</f>
        <v xml:space="preserve"> </v>
      </c>
      <c r="AW71" s="26" t="str">
        <f>IFERROR($AC71*HDF_Limited_Col!AW71/HDF_Limited_Col!$AH71," ")</f>
        <v xml:space="preserve"> </v>
      </c>
      <c r="AX71" s="26" t="str">
        <f>IFERROR($AC71*HDF_Limited_Col!AX71/HDF_Limited_Col!$AH71," ")</f>
        <v xml:space="preserve"> </v>
      </c>
      <c r="AY71" s="26" t="str">
        <f>IFERROR($AC71*HDF_Limited_Col!AY71/HDF_Limited_Col!$AH71," ")</f>
        <v xml:space="preserve"> </v>
      </c>
      <c r="AZ71" s="26" t="str">
        <f>IFERROR($AC71*HDF_Limited_Col!AZ71/HDF_Limited_Col!$AH71," ")</f>
        <v xml:space="preserve"> </v>
      </c>
      <c r="BA71" s="26" t="str">
        <f>IFERROR($AC71*HDF_Limited_Col!BA71/HDF_Limited_Col!$AH71," ")</f>
        <v xml:space="preserve"> </v>
      </c>
      <c r="BB71" s="26" t="str">
        <f>IFERROR($AC71*HDF_Limited_Col!BB71/HDF_Limited_Col!$AH71," ")</f>
        <v xml:space="preserve"> </v>
      </c>
      <c r="BC71" s="26" t="str">
        <f>IFERROR($AC71*HDF_Limited_Col!BC71/HDF_Limited_Col!$AH71," ")</f>
        <v xml:space="preserve"> </v>
      </c>
      <c r="BD71" s="26" t="str">
        <f>IFERROR($AC71*HDF_Limited_Col!BD71/HDF_Limited_Col!$AH71," ")</f>
        <v xml:space="preserve"> </v>
      </c>
      <c r="BE71" s="26" t="str">
        <f>IFERROR($AC71*HDF_Limited_Col!BE71/HDF_Limited_Col!$AH71," ")</f>
        <v xml:space="preserve"> </v>
      </c>
      <c r="BF71" s="26" t="str">
        <f>IFERROR($AC71*HDF_Limited_Col!BF71/HDF_Limited_Col!$AH71," ")</f>
        <v xml:space="preserve"> </v>
      </c>
      <c r="BG71" s="26" t="str">
        <f>IFERROR($AC71*HDF_Limited_Col!BG71/HDF_Limited_Col!$AH71," ")</f>
        <v xml:space="preserve"> </v>
      </c>
      <c r="BH71" s="26" t="str">
        <f>IFERROR($AC71*HDF_Limited_Col!BH71/HDF_Limited_Col!$AH71," ")</f>
        <v xml:space="preserve"> </v>
      </c>
      <c r="BI71" s="26" t="str">
        <f>IFERROR($AC71*HDF_Limited_Col!BI71/HDF_Limited_Col!$AH71," ")</f>
        <v xml:space="preserve"> </v>
      </c>
      <c r="BJ71" s="26" t="str">
        <f>IFERROR($AC71*HDF_Limited_Col!BJ71/HDF_Limited_Col!$AH71," ")</f>
        <v xml:space="preserve"> </v>
      </c>
      <c r="BK71" s="26" t="str">
        <f>IFERROR($AC71*HDF_Limited_Col!BK71/HDF_Limited_Col!$AH71," ")</f>
        <v xml:space="preserve"> </v>
      </c>
      <c r="BL71" s="26" t="str">
        <f>IFERROR($AC71*HDF_Limited_Col!BL71/HDF_Limited_Col!$AH71," ")</f>
        <v xml:space="preserve"> </v>
      </c>
      <c r="BM71" s="26" t="str">
        <f>IFERROR($AC71*HDF_Limited_Col!BM71/HDF_Limited_Col!$AH71," ")</f>
        <v xml:space="preserve"> </v>
      </c>
      <c r="BN71" s="26" t="str">
        <f>IFERROR($AC71*HDF_Limited_Col!BN71/HDF_Limited_Col!$AH71," ")</f>
        <v xml:space="preserve"> </v>
      </c>
      <c r="BO71" s="26" t="str">
        <f>IFERROR($AC71*HDF_Limited_Col!BO71/HDF_Limited_Col!$AH71," ")</f>
        <v xml:space="preserve"> </v>
      </c>
      <c r="BP71" s="26" t="str">
        <f>IFERROR($AC71*HDF_Limited_Col!BP71/HDF_Limited_Col!$AH71," ")</f>
        <v xml:space="preserve"> </v>
      </c>
      <c r="BQ71" s="26" t="str">
        <f>IFERROR($AC71*HDF_Limited_Col!BQ71/HDF_Limited_Col!$AH71," ")</f>
        <v xml:space="preserve"> </v>
      </c>
      <c r="BR71" s="26" t="str">
        <f>IFERROR($AC71*HDF_Limited_Col!BR71/HDF_Limited_Col!$AH71," ")</f>
        <v xml:space="preserve"> </v>
      </c>
      <c r="BS71" s="26" t="str">
        <f>IFERROR($AC71*HDF_Limited_Col!BS71/HDF_Limited_Col!$AH71," ")</f>
        <v xml:space="preserve"> </v>
      </c>
      <c r="BT71" s="26" t="str">
        <f>IFERROR($AC71*HDF_Limited_Col!BT71/HDF_Limited_Col!$AH71," ")</f>
        <v xml:space="preserve"> </v>
      </c>
      <c r="BU71" s="26" t="str">
        <f>IFERROR($AC71*HDF_Limited_Col!BU71/HDF_Limited_Col!$AH71," ")</f>
        <v xml:space="preserve"> </v>
      </c>
      <c r="BV71" s="26" t="str">
        <f>IFERROR($AC71*HDF_Limited_Col!BV71/HDF_Limited_Col!$AH71," ")</f>
        <v xml:space="preserve"> </v>
      </c>
      <c r="BW71" s="26" t="str">
        <f>IFERROR($AC71*HDF_Limited_Col!BW71/HDF_Limited_Col!$AH71," ")</f>
        <v xml:space="preserve"> </v>
      </c>
      <c r="BX71" s="26" t="str">
        <f>IFERROR($AC71*HDF_Limited_Col!BX71/HDF_Limited_Col!$AH71," ")</f>
        <v xml:space="preserve"> </v>
      </c>
      <c r="BY71" s="26" t="str">
        <f>IFERROR($AC71*HDF_Limited_Col!BY71/HDF_Limited_Col!$AH71," ")</f>
        <v xml:space="preserve"> </v>
      </c>
      <c r="BZ71" s="26" t="str">
        <f>IFERROR($AC71*HDF_Limited_Col!BZ71/HDF_Limited_Col!$AH71," ")</f>
        <v xml:space="preserve"> </v>
      </c>
      <c r="CA71" s="26" t="str">
        <f>IFERROR($AC71*HDF_Limited_Col!CA71/HDF_Limited_Col!$AH71," ")</f>
        <v xml:space="preserve"> </v>
      </c>
      <c r="CB71" s="26" t="str">
        <f>IFERROR($AC71*HDF_Limited_Col!CB71/HDF_Limited_Col!$AH71," ")</f>
        <v xml:space="preserve"> </v>
      </c>
      <c r="CC71" s="26" t="str">
        <f>IFERROR($AC71*HDF_Limited_Col!CC71/HDF_Limited_Col!$AH71," ")</f>
        <v xml:space="preserve"> </v>
      </c>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row>
    <row r="72" spans="1:109">
      <c r="A72" s="26" t="s">
        <v>1656</v>
      </c>
      <c r="B72" s="53" t="s">
        <v>24</v>
      </c>
      <c r="C72" s="152" t="s">
        <v>1800</v>
      </c>
      <c r="D72" s="53" t="s">
        <v>1706</v>
      </c>
      <c r="E72" s="53" t="s">
        <v>237</v>
      </c>
      <c r="F72" s="53" t="s">
        <v>849</v>
      </c>
      <c r="G72" s="53" t="s">
        <v>595</v>
      </c>
      <c r="H72" s="52">
        <v>364</v>
      </c>
      <c r="I72" s="53" t="s">
        <v>1148</v>
      </c>
      <c r="J72" s="53" t="s">
        <v>635</v>
      </c>
      <c r="K72" s="53" t="s">
        <v>1667</v>
      </c>
      <c r="L72" s="53"/>
      <c r="M72" s="53" t="s">
        <v>1672</v>
      </c>
      <c r="N72" s="53">
        <v>20</v>
      </c>
      <c r="O72" s="95">
        <v>11.047665299931266</v>
      </c>
      <c r="P72" s="95">
        <v>0</v>
      </c>
      <c r="Q72" s="95">
        <v>0.9541165486304275</v>
      </c>
      <c r="R72" s="95">
        <v>6.5884258515953729</v>
      </c>
      <c r="S72" s="95">
        <v>26.112663436201181</v>
      </c>
      <c r="T72" s="95">
        <v>15.064998136269908</v>
      </c>
      <c r="U72" s="95">
        <v>0</v>
      </c>
      <c r="V72" s="95">
        <v>16.571497949896902</v>
      </c>
      <c r="W72" s="95">
        <v>14.964564815361445</v>
      </c>
      <c r="X72" s="95">
        <v>8.0346656726772867</v>
      </c>
      <c r="Y72" s="95">
        <v>0.85368322772196148</v>
      </c>
      <c r="Z72" s="95">
        <v>100.19228093828575</v>
      </c>
      <c r="AA72" s="53"/>
      <c r="AB72" s="26"/>
      <c r="AC72" s="26">
        <f t="shared" si="2"/>
        <v>124226.43501985227</v>
      </c>
      <c r="AD72" s="26" t="str">
        <f>IFERROR($AC72*HDF_Limited_Col!AD72/HDF_Limited_Col!$AH72," ")</f>
        <v xml:space="preserve"> </v>
      </c>
      <c r="AE72" s="26" t="str">
        <f>IFERROR($AC72*HDF_Limited_Col!AE72/HDF_Limited_Col!$AH72," ")</f>
        <v xml:space="preserve"> </v>
      </c>
      <c r="AF72" s="26" t="str">
        <f>IFERROR($AC72*HDF_Limited_Col!AF72/HDF_Limited_Col!$AH72," ")</f>
        <v xml:space="preserve"> </v>
      </c>
      <c r="AG72" s="26" t="str">
        <f>IFERROR($AC72*HDF_Limited_Col!AG72/HDF_Limited_Col!$AH72," ")</f>
        <v xml:space="preserve"> </v>
      </c>
      <c r="AH72" s="26" t="str">
        <f>IFERROR($AC72*HDF_Limited_Col!AH72/HDF_Limited_Col!$AH72," ")</f>
        <v xml:space="preserve"> </v>
      </c>
      <c r="AI72" s="26" t="str">
        <f>IFERROR($AC72*HDF_Limited_Col!AI72/HDF_Limited_Col!$AH72," ")</f>
        <v xml:space="preserve"> </v>
      </c>
      <c r="AJ72" s="26" t="str">
        <f>IFERROR($AC72*HDF_Limited_Col!AJ72/HDF_Limited_Col!$AH72," ")</f>
        <v xml:space="preserve"> </v>
      </c>
      <c r="AK72" s="26" t="str">
        <f>IFERROR($AC72*HDF_Limited_Col!AK72/HDF_Limited_Col!$AH72," ")</f>
        <v xml:space="preserve"> </v>
      </c>
      <c r="AL72" s="26" t="str">
        <f>IFERROR($AC72*HDF_Limited_Col!AL72/HDF_Limited_Col!$AH72," ")</f>
        <v xml:space="preserve"> </v>
      </c>
      <c r="AM72" s="26" t="str">
        <f>IFERROR($AC72*HDF_Limited_Col!AM72/HDF_Limited_Col!$AH72," ")</f>
        <v xml:space="preserve"> </v>
      </c>
      <c r="AN72" s="26" t="str">
        <f>IFERROR($AC72*HDF_Limited_Col!AN72/HDF_Limited_Col!$AH72," ")</f>
        <v xml:space="preserve"> </v>
      </c>
      <c r="AO72" s="26" t="str">
        <f>IFERROR($AC72*HDF_Limited_Col!AO72/HDF_Limited_Col!$AH72," ")</f>
        <v xml:space="preserve"> </v>
      </c>
      <c r="AP72" s="26" t="str">
        <f>IFERROR($AC72*HDF_Limited_Col!AP72/HDF_Limited_Col!$AH72," ")</f>
        <v xml:space="preserve"> </v>
      </c>
      <c r="AQ72" s="26" t="str">
        <f>IFERROR($AC72*HDF_Limited_Col!AQ72/HDF_Limited_Col!$AH72," ")</f>
        <v xml:space="preserve"> </v>
      </c>
      <c r="AR72" s="26" t="str">
        <f>IFERROR($AC72*HDF_Limited_Col!AR72/HDF_Limited_Col!$AH72," ")</f>
        <v xml:space="preserve"> </v>
      </c>
      <c r="AS72" s="26" t="str">
        <f>IFERROR($AC72*HDF_Limited_Col!AS72/HDF_Limited_Col!$AH72," ")</f>
        <v xml:space="preserve"> </v>
      </c>
      <c r="AT72" s="26" t="str">
        <f>IFERROR($AC72*HDF_Limited_Col!AT72/HDF_Limited_Col!$AH72," ")</f>
        <v xml:space="preserve"> </v>
      </c>
      <c r="AU72" s="26" t="str">
        <f>IFERROR($AC72*HDF_Limited_Col!AU72/HDF_Limited_Col!$AH72," ")</f>
        <v xml:space="preserve"> </v>
      </c>
      <c r="AV72" s="26" t="str">
        <f>IFERROR($AC72*HDF_Limited_Col!AV72/HDF_Limited_Col!$AH72," ")</f>
        <v xml:space="preserve"> </v>
      </c>
      <c r="AW72" s="26" t="str">
        <f>IFERROR($AC72*HDF_Limited_Col!AW72/HDF_Limited_Col!$AH72," ")</f>
        <v xml:space="preserve"> </v>
      </c>
      <c r="AX72" s="26" t="str">
        <f>IFERROR($AC72*HDF_Limited_Col!AX72/HDF_Limited_Col!$AH72," ")</f>
        <v xml:space="preserve"> </v>
      </c>
      <c r="AY72" s="26" t="str">
        <f>IFERROR($AC72*HDF_Limited_Col!AY72/HDF_Limited_Col!$AH72," ")</f>
        <v xml:space="preserve"> </v>
      </c>
      <c r="AZ72" s="26" t="str">
        <f>IFERROR($AC72*HDF_Limited_Col!AZ72/HDF_Limited_Col!$AH72," ")</f>
        <v xml:space="preserve"> </v>
      </c>
      <c r="BA72" s="26" t="str">
        <f>IFERROR($AC72*HDF_Limited_Col!BA72/HDF_Limited_Col!$AH72," ")</f>
        <v xml:space="preserve"> </v>
      </c>
      <c r="BB72" s="26" t="str">
        <f>IFERROR($AC72*HDF_Limited_Col!BB72/HDF_Limited_Col!$AH72," ")</f>
        <v xml:space="preserve"> </v>
      </c>
      <c r="BC72" s="26" t="str">
        <f>IFERROR($AC72*HDF_Limited_Col!BC72/HDF_Limited_Col!$AH72," ")</f>
        <v xml:space="preserve"> </v>
      </c>
      <c r="BD72" s="26" t="str">
        <f>IFERROR($AC72*HDF_Limited_Col!BD72/HDF_Limited_Col!$AH72," ")</f>
        <v xml:space="preserve"> </v>
      </c>
      <c r="BE72" s="26" t="str">
        <f>IFERROR($AC72*HDF_Limited_Col!BE72/HDF_Limited_Col!$AH72," ")</f>
        <v xml:space="preserve"> </v>
      </c>
      <c r="BF72" s="26" t="str">
        <f>IFERROR($AC72*HDF_Limited_Col!BF72/HDF_Limited_Col!$AH72," ")</f>
        <v xml:space="preserve"> </v>
      </c>
      <c r="BG72" s="26" t="str">
        <f>IFERROR($AC72*HDF_Limited_Col!BG72/HDF_Limited_Col!$AH72," ")</f>
        <v xml:space="preserve"> </v>
      </c>
      <c r="BH72" s="26" t="str">
        <f>IFERROR($AC72*HDF_Limited_Col!BH72/HDF_Limited_Col!$AH72," ")</f>
        <v xml:space="preserve"> </v>
      </c>
      <c r="BI72" s="26" t="str">
        <f>IFERROR($AC72*HDF_Limited_Col!BI72/HDF_Limited_Col!$AH72," ")</f>
        <v xml:space="preserve"> </v>
      </c>
      <c r="BJ72" s="26" t="str">
        <f>IFERROR($AC72*HDF_Limited_Col!BJ72/HDF_Limited_Col!$AH72," ")</f>
        <v xml:space="preserve"> </v>
      </c>
      <c r="BK72" s="26" t="str">
        <f>IFERROR($AC72*HDF_Limited_Col!BK72/HDF_Limited_Col!$AH72," ")</f>
        <v xml:space="preserve"> </v>
      </c>
      <c r="BL72" s="26" t="str">
        <f>IFERROR($AC72*HDF_Limited_Col!BL72/HDF_Limited_Col!$AH72," ")</f>
        <v xml:space="preserve"> </v>
      </c>
      <c r="BM72" s="26" t="str">
        <f>IFERROR($AC72*HDF_Limited_Col!BM72/HDF_Limited_Col!$AH72," ")</f>
        <v xml:space="preserve"> </v>
      </c>
      <c r="BN72" s="26" t="str">
        <f>IFERROR($AC72*HDF_Limited_Col!BN72/HDF_Limited_Col!$AH72," ")</f>
        <v xml:space="preserve"> </v>
      </c>
      <c r="BO72" s="26" t="str">
        <f>IFERROR($AC72*HDF_Limited_Col!BO72/HDF_Limited_Col!$AH72," ")</f>
        <v xml:space="preserve"> </v>
      </c>
      <c r="BP72" s="26" t="str">
        <f>IFERROR($AC72*HDF_Limited_Col!BP72/HDF_Limited_Col!$AH72," ")</f>
        <v xml:space="preserve"> </v>
      </c>
      <c r="BQ72" s="26" t="str">
        <f>IFERROR($AC72*HDF_Limited_Col!BQ72/HDF_Limited_Col!$AH72," ")</f>
        <v xml:space="preserve"> </v>
      </c>
      <c r="BR72" s="26" t="str">
        <f>IFERROR($AC72*HDF_Limited_Col!BR72/HDF_Limited_Col!$AH72," ")</f>
        <v xml:space="preserve"> </v>
      </c>
      <c r="BS72" s="26" t="str">
        <f>IFERROR($AC72*HDF_Limited_Col!BS72/HDF_Limited_Col!$AH72," ")</f>
        <v xml:space="preserve"> </v>
      </c>
      <c r="BT72" s="26" t="str">
        <f>IFERROR($AC72*HDF_Limited_Col!BT72/HDF_Limited_Col!$AH72," ")</f>
        <v xml:space="preserve"> </v>
      </c>
      <c r="BU72" s="26" t="str">
        <f>IFERROR($AC72*HDF_Limited_Col!BU72/HDF_Limited_Col!$AH72," ")</f>
        <v xml:space="preserve"> </v>
      </c>
      <c r="BV72" s="26" t="str">
        <f>IFERROR($AC72*HDF_Limited_Col!BV72/HDF_Limited_Col!$AH72," ")</f>
        <v xml:space="preserve"> </v>
      </c>
      <c r="BW72" s="26" t="str">
        <f>IFERROR($AC72*HDF_Limited_Col!BW72/HDF_Limited_Col!$AH72," ")</f>
        <v xml:space="preserve"> </v>
      </c>
      <c r="BX72" s="26" t="str">
        <f>IFERROR($AC72*HDF_Limited_Col!BX72/HDF_Limited_Col!$AH72," ")</f>
        <v xml:space="preserve"> </v>
      </c>
      <c r="BY72" s="26" t="str">
        <f>IFERROR($AC72*HDF_Limited_Col!BY72/HDF_Limited_Col!$AH72," ")</f>
        <v xml:space="preserve"> </v>
      </c>
      <c r="BZ72" s="26" t="str">
        <f>IFERROR($AC72*HDF_Limited_Col!BZ72/HDF_Limited_Col!$AH72," ")</f>
        <v xml:space="preserve"> </v>
      </c>
      <c r="CA72" s="26" t="str">
        <f>IFERROR($AC72*HDF_Limited_Col!CA72/HDF_Limited_Col!$AH72," ")</f>
        <v xml:space="preserve"> </v>
      </c>
      <c r="CB72" s="26" t="str">
        <f>IFERROR($AC72*HDF_Limited_Col!CB72/HDF_Limited_Col!$AH72," ")</f>
        <v xml:space="preserve"> </v>
      </c>
      <c r="CC72" s="26" t="str">
        <f>IFERROR($AC72*HDF_Limited_Col!CC72/HDF_Limited_Col!$AH72," ")</f>
        <v xml:space="preserve"> </v>
      </c>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row>
    <row r="73" spans="1:109">
      <c r="A73" s="26" t="s">
        <v>1656</v>
      </c>
      <c r="B73" s="53" t="s">
        <v>24</v>
      </c>
      <c r="C73" s="152" t="s">
        <v>1800</v>
      </c>
      <c r="D73" s="53" t="s">
        <v>1706</v>
      </c>
      <c r="E73" s="53" t="s">
        <v>237</v>
      </c>
      <c r="F73" s="53" t="s">
        <v>849</v>
      </c>
      <c r="G73" s="53" t="s">
        <v>595</v>
      </c>
      <c r="H73" s="52">
        <v>364</v>
      </c>
      <c r="I73" s="53" t="s">
        <v>1148</v>
      </c>
      <c r="J73" s="53" t="s">
        <v>635</v>
      </c>
      <c r="K73" s="53" t="s">
        <v>1678</v>
      </c>
      <c r="L73" s="53"/>
      <c r="M73" s="53" t="s">
        <v>1680</v>
      </c>
      <c r="N73" s="53">
        <v>32</v>
      </c>
      <c r="O73" s="95">
        <v>8.2791533334544276</v>
      </c>
      <c r="P73" s="95">
        <v>1.4385406156549003</v>
      </c>
      <c r="Q73" s="95">
        <v>2.8670215067248015</v>
      </c>
      <c r="R73" s="95">
        <v>7.7862268287894603</v>
      </c>
      <c r="S73" s="95">
        <v>29.374395788197958</v>
      </c>
      <c r="T73" s="95">
        <v>24.143339003998324</v>
      </c>
      <c r="U73" s="95">
        <v>0</v>
      </c>
      <c r="V73" s="95">
        <v>9.9792467883193083</v>
      </c>
      <c r="W73" s="95">
        <v>11.971072256149171</v>
      </c>
      <c r="X73" s="95">
        <v>3.8025758931297364</v>
      </c>
      <c r="Y73" s="95">
        <v>0.46274733090996789</v>
      </c>
      <c r="Z73" s="95">
        <v>100.10431934532805</v>
      </c>
      <c r="AA73" s="53"/>
      <c r="AB73" s="26"/>
      <c r="AC73" s="26">
        <f t="shared" si="2"/>
        <v>99376.336572107146</v>
      </c>
      <c r="AD73" s="26" t="str">
        <f>IFERROR($AC73*HDF_Limited_Col!AD73/HDF_Limited_Col!$AH73," ")</f>
        <v xml:space="preserve"> </v>
      </c>
      <c r="AE73" s="26" t="str">
        <f>IFERROR($AC73*HDF_Limited_Col!AE73/HDF_Limited_Col!$AH73," ")</f>
        <v xml:space="preserve"> </v>
      </c>
      <c r="AF73" s="26" t="str">
        <f>IFERROR($AC73*HDF_Limited_Col!AF73/HDF_Limited_Col!$AH73," ")</f>
        <v xml:space="preserve"> </v>
      </c>
      <c r="AG73" s="26" t="str">
        <f>IFERROR($AC73*HDF_Limited_Col!AG73/HDF_Limited_Col!$AH73," ")</f>
        <v xml:space="preserve"> </v>
      </c>
      <c r="AH73" s="26" t="str">
        <f>IFERROR($AC73*HDF_Limited_Col!AH73/HDF_Limited_Col!$AH73," ")</f>
        <v xml:space="preserve"> </v>
      </c>
      <c r="AI73" s="26" t="str">
        <f>IFERROR($AC73*HDF_Limited_Col!AI73/HDF_Limited_Col!$AH73," ")</f>
        <v xml:space="preserve"> </v>
      </c>
      <c r="AJ73" s="26" t="str">
        <f>IFERROR($AC73*HDF_Limited_Col!AJ73/HDF_Limited_Col!$AH73," ")</f>
        <v xml:space="preserve"> </v>
      </c>
      <c r="AK73" s="26" t="str">
        <f>IFERROR($AC73*HDF_Limited_Col!AK73/HDF_Limited_Col!$AH73," ")</f>
        <v xml:space="preserve"> </v>
      </c>
      <c r="AL73" s="26" t="str">
        <f>IFERROR($AC73*HDF_Limited_Col!AL73/HDF_Limited_Col!$AH73," ")</f>
        <v xml:space="preserve"> </v>
      </c>
      <c r="AM73" s="26" t="str">
        <f>IFERROR($AC73*HDF_Limited_Col!AM73/HDF_Limited_Col!$AH73," ")</f>
        <v xml:space="preserve"> </v>
      </c>
      <c r="AN73" s="26" t="str">
        <f>IFERROR($AC73*HDF_Limited_Col!AN73/HDF_Limited_Col!$AH73," ")</f>
        <v xml:space="preserve"> </v>
      </c>
      <c r="AO73" s="26" t="str">
        <f>IFERROR($AC73*HDF_Limited_Col!AO73/HDF_Limited_Col!$AH73," ")</f>
        <v xml:space="preserve"> </v>
      </c>
      <c r="AP73" s="26" t="str">
        <f>IFERROR($AC73*HDF_Limited_Col!AP73/HDF_Limited_Col!$AH73," ")</f>
        <v xml:space="preserve"> </v>
      </c>
      <c r="AQ73" s="26" t="str">
        <f>IFERROR($AC73*HDF_Limited_Col!AQ73/HDF_Limited_Col!$AH73," ")</f>
        <v xml:space="preserve"> </v>
      </c>
      <c r="AR73" s="26" t="str">
        <f>IFERROR($AC73*HDF_Limited_Col!AR73/HDF_Limited_Col!$AH73," ")</f>
        <v xml:space="preserve"> </v>
      </c>
      <c r="AS73" s="26" t="str">
        <f>IFERROR($AC73*HDF_Limited_Col!AS73/HDF_Limited_Col!$AH73," ")</f>
        <v xml:space="preserve"> </v>
      </c>
      <c r="AT73" s="26" t="str">
        <f>IFERROR($AC73*HDF_Limited_Col!AT73/HDF_Limited_Col!$AH73," ")</f>
        <v xml:space="preserve"> </v>
      </c>
      <c r="AU73" s="26" t="str">
        <f>IFERROR($AC73*HDF_Limited_Col!AU73/HDF_Limited_Col!$AH73," ")</f>
        <v xml:space="preserve"> </v>
      </c>
      <c r="AV73" s="26" t="str">
        <f>IFERROR($AC73*HDF_Limited_Col!AV73/HDF_Limited_Col!$AH73," ")</f>
        <v xml:space="preserve"> </v>
      </c>
      <c r="AW73" s="26" t="str">
        <f>IFERROR($AC73*HDF_Limited_Col!AW73/HDF_Limited_Col!$AH73," ")</f>
        <v xml:space="preserve"> </v>
      </c>
      <c r="AX73" s="26" t="str">
        <f>IFERROR($AC73*HDF_Limited_Col!AX73/HDF_Limited_Col!$AH73," ")</f>
        <v xml:space="preserve"> </v>
      </c>
      <c r="AY73" s="26" t="str">
        <f>IFERROR($AC73*HDF_Limited_Col!AY73/HDF_Limited_Col!$AH73," ")</f>
        <v xml:space="preserve"> </v>
      </c>
      <c r="AZ73" s="26" t="str">
        <f>IFERROR($AC73*HDF_Limited_Col!AZ73/HDF_Limited_Col!$AH73," ")</f>
        <v xml:space="preserve"> </v>
      </c>
      <c r="BA73" s="26" t="str">
        <f>IFERROR($AC73*HDF_Limited_Col!BA73/HDF_Limited_Col!$AH73," ")</f>
        <v xml:space="preserve"> </v>
      </c>
      <c r="BB73" s="26" t="str">
        <f>IFERROR($AC73*HDF_Limited_Col!BB73/HDF_Limited_Col!$AH73," ")</f>
        <v xml:space="preserve"> </v>
      </c>
      <c r="BC73" s="26" t="str">
        <f>IFERROR($AC73*HDF_Limited_Col!BC73/HDF_Limited_Col!$AH73," ")</f>
        <v xml:space="preserve"> </v>
      </c>
      <c r="BD73" s="26" t="str">
        <f>IFERROR($AC73*HDF_Limited_Col!BD73/HDF_Limited_Col!$AH73," ")</f>
        <v xml:space="preserve"> </v>
      </c>
      <c r="BE73" s="26" t="str">
        <f>IFERROR($AC73*HDF_Limited_Col!BE73/HDF_Limited_Col!$AH73," ")</f>
        <v xml:space="preserve"> </v>
      </c>
      <c r="BF73" s="26" t="str">
        <f>IFERROR($AC73*HDF_Limited_Col!BF73/HDF_Limited_Col!$AH73," ")</f>
        <v xml:space="preserve"> </v>
      </c>
      <c r="BG73" s="26" t="str">
        <f>IFERROR($AC73*HDF_Limited_Col!BG73/HDF_Limited_Col!$AH73," ")</f>
        <v xml:space="preserve"> </v>
      </c>
      <c r="BH73" s="26" t="str">
        <f>IFERROR($AC73*HDF_Limited_Col!BH73/HDF_Limited_Col!$AH73," ")</f>
        <v xml:space="preserve"> </v>
      </c>
      <c r="BI73" s="26" t="str">
        <f>IFERROR($AC73*HDF_Limited_Col!BI73/HDF_Limited_Col!$AH73," ")</f>
        <v xml:space="preserve"> </v>
      </c>
      <c r="BJ73" s="26" t="str">
        <f>IFERROR($AC73*HDF_Limited_Col!BJ73/HDF_Limited_Col!$AH73," ")</f>
        <v xml:space="preserve"> </v>
      </c>
      <c r="BK73" s="26" t="str">
        <f>IFERROR($AC73*HDF_Limited_Col!BK73/HDF_Limited_Col!$AH73," ")</f>
        <v xml:space="preserve"> </v>
      </c>
      <c r="BL73" s="26" t="str">
        <f>IFERROR($AC73*HDF_Limited_Col!BL73/HDF_Limited_Col!$AH73," ")</f>
        <v xml:space="preserve"> </v>
      </c>
      <c r="BM73" s="26" t="str">
        <f>IFERROR($AC73*HDF_Limited_Col!BM73/HDF_Limited_Col!$AH73," ")</f>
        <v xml:space="preserve"> </v>
      </c>
      <c r="BN73" s="26" t="str">
        <f>IFERROR($AC73*HDF_Limited_Col!BN73/HDF_Limited_Col!$AH73," ")</f>
        <v xml:space="preserve"> </v>
      </c>
      <c r="BO73" s="26" t="str">
        <f>IFERROR($AC73*HDF_Limited_Col!BO73/HDF_Limited_Col!$AH73," ")</f>
        <v xml:space="preserve"> </v>
      </c>
      <c r="BP73" s="26" t="str">
        <f>IFERROR($AC73*HDF_Limited_Col!BP73/HDF_Limited_Col!$AH73," ")</f>
        <v xml:space="preserve"> </v>
      </c>
      <c r="BQ73" s="26" t="str">
        <f>IFERROR($AC73*HDF_Limited_Col!BQ73/HDF_Limited_Col!$AH73," ")</f>
        <v xml:space="preserve"> </v>
      </c>
      <c r="BR73" s="26" t="str">
        <f>IFERROR($AC73*HDF_Limited_Col!BR73/HDF_Limited_Col!$AH73," ")</f>
        <v xml:space="preserve"> </v>
      </c>
      <c r="BS73" s="26" t="str">
        <f>IFERROR($AC73*HDF_Limited_Col!BS73/HDF_Limited_Col!$AH73," ")</f>
        <v xml:space="preserve"> </v>
      </c>
      <c r="BT73" s="26" t="str">
        <f>IFERROR($AC73*HDF_Limited_Col!BT73/HDF_Limited_Col!$AH73," ")</f>
        <v xml:space="preserve"> </v>
      </c>
      <c r="BU73" s="26" t="str">
        <f>IFERROR($AC73*HDF_Limited_Col!BU73/HDF_Limited_Col!$AH73," ")</f>
        <v xml:space="preserve"> </v>
      </c>
      <c r="BV73" s="26" t="str">
        <f>IFERROR($AC73*HDF_Limited_Col!BV73/HDF_Limited_Col!$AH73," ")</f>
        <v xml:space="preserve"> </v>
      </c>
      <c r="BW73" s="26" t="str">
        <f>IFERROR($AC73*HDF_Limited_Col!BW73/HDF_Limited_Col!$AH73," ")</f>
        <v xml:space="preserve"> </v>
      </c>
      <c r="BX73" s="26" t="str">
        <f>IFERROR($AC73*HDF_Limited_Col!BX73/HDF_Limited_Col!$AH73," ")</f>
        <v xml:space="preserve"> </v>
      </c>
      <c r="BY73" s="26" t="str">
        <f>IFERROR($AC73*HDF_Limited_Col!BY73/HDF_Limited_Col!$AH73," ")</f>
        <v xml:space="preserve"> </v>
      </c>
      <c r="BZ73" s="26" t="str">
        <f>IFERROR($AC73*HDF_Limited_Col!BZ73/HDF_Limited_Col!$AH73," ")</f>
        <v xml:space="preserve"> </v>
      </c>
      <c r="CA73" s="26" t="str">
        <f>IFERROR($AC73*HDF_Limited_Col!CA73/HDF_Limited_Col!$AH73," ")</f>
        <v xml:space="preserve"> </v>
      </c>
      <c r="CB73" s="26" t="str">
        <f>IFERROR($AC73*HDF_Limited_Col!CB73/HDF_Limited_Col!$AH73," ")</f>
        <v xml:space="preserve"> </v>
      </c>
      <c r="CC73" s="26" t="str">
        <f>IFERROR($AC73*HDF_Limited_Col!CC73/HDF_Limited_Col!$AH73," ")</f>
        <v xml:space="preserve"> </v>
      </c>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row>
    <row r="74" spans="1:109">
      <c r="A74" s="26" t="s">
        <v>1656</v>
      </c>
      <c r="B74" s="53" t="s">
        <v>24</v>
      </c>
      <c r="C74" s="152" t="s">
        <v>1800</v>
      </c>
      <c r="D74" s="53" t="s">
        <v>1706</v>
      </c>
      <c r="E74" s="53" t="s">
        <v>237</v>
      </c>
      <c r="F74" s="53" t="s">
        <v>849</v>
      </c>
      <c r="G74" s="53" t="s">
        <v>595</v>
      </c>
      <c r="H74" s="52">
        <v>364</v>
      </c>
      <c r="I74" s="53" t="s">
        <v>1148</v>
      </c>
      <c r="J74" s="53" t="s">
        <v>635</v>
      </c>
      <c r="K74" s="53" t="s">
        <v>1678</v>
      </c>
      <c r="L74" s="53"/>
      <c r="M74" s="53" t="s">
        <v>1681</v>
      </c>
      <c r="N74" s="53">
        <v>28</v>
      </c>
      <c r="O74" s="95">
        <v>2.8044226526990754</v>
      </c>
      <c r="P74" s="95">
        <v>0</v>
      </c>
      <c r="Q74" s="95">
        <v>0.35055283158738443</v>
      </c>
      <c r="R74" s="95">
        <v>19.789272750900732</v>
      </c>
      <c r="S74" s="95">
        <v>16.849152227909769</v>
      </c>
      <c r="T74" s="95">
        <v>17.979967813675525</v>
      </c>
      <c r="U74" s="95">
        <v>9.9285608430233392</v>
      </c>
      <c r="V74" s="95">
        <v>2.9175042112756508</v>
      </c>
      <c r="W74" s="95">
        <v>23.520964183927727</v>
      </c>
      <c r="X74" s="95">
        <v>0</v>
      </c>
      <c r="Y74" s="95">
        <v>7.5312318011999366</v>
      </c>
      <c r="Z74" s="95">
        <v>101.67162931619914</v>
      </c>
      <c r="AA74" s="53"/>
      <c r="AB74" s="26"/>
      <c r="AC74" s="26">
        <f t="shared" si="2"/>
        <v>195256.29811830889</v>
      </c>
      <c r="AD74" s="26" t="str">
        <f>IFERROR($AC74*HDF_Limited_Col!AD74/HDF_Limited_Col!$AH74," ")</f>
        <v xml:space="preserve"> </v>
      </c>
      <c r="AE74" s="26" t="str">
        <f>IFERROR($AC74*HDF_Limited_Col!AE74/HDF_Limited_Col!$AH74," ")</f>
        <v xml:space="preserve"> </v>
      </c>
      <c r="AF74" s="26" t="str">
        <f>IFERROR($AC74*HDF_Limited_Col!AF74/HDF_Limited_Col!$AH74," ")</f>
        <v xml:space="preserve"> </v>
      </c>
      <c r="AG74" s="26" t="str">
        <f>IFERROR($AC74*HDF_Limited_Col!AG74/HDF_Limited_Col!$AH74," ")</f>
        <v xml:space="preserve"> </v>
      </c>
      <c r="AH74" s="26" t="str">
        <f>IFERROR($AC74*HDF_Limited_Col!AH74/HDF_Limited_Col!$AH74," ")</f>
        <v xml:space="preserve"> </v>
      </c>
      <c r="AI74" s="26" t="str">
        <f>IFERROR($AC74*HDF_Limited_Col!AI74/HDF_Limited_Col!$AH74," ")</f>
        <v xml:space="preserve"> </v>
      </c>
      <c r="AJ74" s="26" t="str">
        <f>IFERROR($AC74*HDF_Limited_Col!AJ74/HDF_Limited_Col!$AH74," ")</f>
        <v xml:space="preserve"> </v>
      </c>
      <c r="AK74" s="26" t="str">
        <f>IFERROR($AC74*HDF_Limited_Col!AK74/HDF_Limited_Col!$AH74," ")</f>
        <v xml:space="preserve"> </v>
      </c>
      <c r="AL74" s="26" t="str">
        <f>IFERROR($AC74*HDF_Limited_Col!AL74/HDF_Limited_Col!$AH74," ")</f>
        <v xml:space="preserve"> </v>
      </c>
      <c r="AM74" s="26" t="str">
        <f>IFERROR($AC74*HDF_Limited_Col!AM74/HDF_Limited_Col!$AH74," ")</f>
        <v xml:space="preserve"> </v>
      </c>
      <c r="AN74" s="26" t="str">
        <f>IFERROR($AC74*HDF_Limited_Col!AN74/HDF_Limited_Col!$AH74," ")</f>
        <v xml:space="preserve"> </v>
      </c>
      <c r="AO74" s="26" t="str">
        <f>IFERROR($AC74*HDF_Limited_Col!AO74/HDF_Limited_Col!$AH74," ")</f>
        <v xml:space="preserve"> </v>
      </c>
      <c r="AP74" s="26" t="str">
        <f>IFERROR($AC74*HDF_Limited_Col!AP74/HDF_Limited_Col!$AH74," ")</f>
        <v xml:space="preserve"> </v>
      </c>
      <c r="AQ74" s="26" t="str">
        <f>IFERROR($AC74*HDF_Limited_Col!AQ74/HDF_Limited_Col!$AH74," ")</f>
        <v xml:space="preserve"> </v>
      </c>
      <c r="AR74" s="26" t="str">
        <f>IFERROR($AC74*HDF_Limited_Col!AR74/HDF_Limited_Col!$AH74," ")</f>
        <v xml:space="preserve"> </v>
      </c>
      <c r="AS74" s="26" t="str">
        <f>IFERROR($AC74*HDF_Limited_Col!AS74/HDF_Limited_Col!$AH74," ")</f>
        <v xml:space="preserve"> </v>
      </c>
      <c r="AT74" s="26" t="str">
        <f>IFERROR($AC74*HDF_Limited_Col!AT74/HDF_Limited_Col!$AH74," ")</f>
        <v xml:space="preserve"> </v>
      </c>
      <c r="AU74" s="26" t="str">
        <f>IFERROR($AC74*HDF_Limited_Col!AU74/HDF_Limited_Col!$AH74," ")</f>
        <v xml:space="preserve"> </v>
      </c>
      <c r="AV74" s="26" t="str">
        <f>IFERROR($AC74*HDF_Limited_Col!AV74/HDF_Limited_Col!$AH74," ")</f>
        <v xml:space="preserve"> </v>
      </c>
      <c r="AW74" s="26" t="str">
        <f>IFERROR($AC74*HDF_Limited_Col!AW74/HDF_Limited_Col!$AH74," ")</f>
        <v xml:space="preserve"> </v>
      </c>
      <c r="AX74" s="26" t="str">
        <f>IFERROR($AC74*HDF_Limited_Col!AX74/HDF_Limited_Col!$AH74," ")</f>
        <v xml:space="preserve"> </v>
      </c>
      <c r="AY74" s="26" t="str">
        <f>IFERROR($AC74*HDF_Limited_Col!AY74/HDF_Limited_Col!$AH74," ")</f>
        <v xml:space="preserve"> </v>
      </c>
      <c r="AZ74" s="26" t="str">
        <f>IFERROR($AC74*HDF_Limited_Col!AZ74/HDF_Limited_Col!$AH74," ")</f>
        <v xml:space="preserve"> </v>
      </c>
      <c r="BA74" s="26" t="str">
        <f>IFERROR($AC74*HDF_Limited_Col!BA74/HDF_Limited_Col!$AH74," ")</f>
        <v xml:space="preserve"> </v>
      </c>
      <c r="BB74" s="26" t="str">
        <f>IFERROR($AC74*HDF_Limited_Col!BB74/HDF_Limited_Col!$AH74," ")</f>
        <v xml:space="preserve"> </v>
      </c>
      <c r="BC74" s="26" t="str">
        <f>IFERROR($AC74*HDF_Limited_Col!BC74/HDF_Limited_Col!$AH74," ")</f>
        <v xml:space="preserve"> </v>
      </c>
      <c r="BD74" s="26" t="str">
        <f>IFERROR($AC74*HDF_Limited_Col!BD74/HDF_Limited_Col!$AH74," ")</f>
        <v xml:space="preserve"> </v>
      </c>
      <c r="BE74" s="26" t="str">
        <f>IFERROR($AC74*HDF_Limited_Col!BE74/HDF_Limited_Col!$AH74," ")</f>
        <v xml:space="preserve"> </v>
      </c>
      <c r="BF74" s="26" t="str">
        <f>IFERROR($AC74*HDF_Limited_Col!BF74/HDF_Limited_Col!$AH74," ")</f>
        <v xml:space="preserve"> </v>
      </c>
      <c r="BG74" s="26" t="str">
        <f>IFERROR($AC74*HDF_Limited_Col!BG74/HDF_Limited_Col!$AH74," ")</f>
        <v xml:space="preserve"> </v>
      </c>
      <c r="BH74" s="26" t="str">
        <f>IFERROR($AC74*HDF_Limited_Col!BH74/HDF_Limited_Col!$AH74," ")</f>
        <v xml:space="preserve"> </v>
      </c>
      <c r="BI74" s="26" t="str">
        <f>IFERROR($AC74*HDF_Limited_Col!BI74/HDF_Limited_Col!$AH74," ")</f>
        <v xml:space="preserve"> </v>
      </c>
      <c r="BJ74" s="26" t="str">
        <f>IFERROR($AC74*HDF_Limited_Col!BJ74/HDF_Limited_Col!$AH74," ")</f>
        <v xml:space="preserve"> </v>
      </c>
      <c r="BK74" s="26" t="str">
        <f>IFERROR($AC74*HDF_Limited_Col!BK74/HDF_Limited_Col!$AH74," ")</f>
        <v xml:space="preserve"> </v>
      </c>
      <c r="BL74" s="26" t="str">
        <f>IFERROR($AC74*HDF_Limited_Col!BL74/HDF_Limited_Col!$AH74," ")</f>
        <v xml:space="preserve"> </v>
      </c>
      <c r="BM74" s="26" t="str">
        <f>IFERROR($AC74*HDF_Limited_Col!BM74/HDF_Limited_Col!$AH74," ")</f>
        <v xml:space="preserve"> </v>
      </c>
      <c r="BN74" s="26" t="str">
        <f>IFERROR($AC74*HDF_Limited_Col!BN74/HDF_Limited_Col!$AH74," ")</f>
        <v xml:space="preserve"> </v>
      </c>
      <c r="BO74" s="26" t="str">
        <f>IFERROR($AC74*HDF_Limited_Col!BO74/HDF_Limited_Col!$AH74," ")</f>
        <v xml:space="preserve"> </v>
      </c>
      <c r="BP74" s="26" t="str">
        <f>IFERROR($AC74*HDF_Limited_Col!BP74/HDF_Limited_Col!$AH74," ")</f>
        <v xml:space="preserve"> </v>
      </c>
      <c r="BQ74" s="26" t="str">
        <f>IFERROR($AC74*HDF_Limited_Col!BQ74/HDF_Limited_Col!$AH74," ")</f>
        <v xml:space="preserve"> </v>
      </c>
      <c r="BR74" s="26" t="str">
        <f>IFERROR($AC74*HDF_Limited_Col!BR74/HDF_Limited_Col!$AH74," ")</f>
        <v xml:space="preserve"> </v>
      </c>
      <c r="BS74" s="26" t="str">
        <f>IFERROR($AC74*HDF_Limited_Col!BS74/HDF_Limited_Col!$AH74," ")</f>
        <v xml:space="preserve"> </v>
      </c>
      <c r="BT74" s="26" t="str">
        <f>IFERROR($AC74*HDF_Limited_Col!BT74/HDF_Limited_Col!$AH74," ")</f>
        <v xml:space="preserve"> </v>
      </c>
      <c r="BU74" s="26" t="str">
        <f>IFERROR($AC74*HDF_Limited_Col!BU74/HDF_Limited_Col!$AH74," ")</f>
        <v xml:space="preserve"> </v>
      </c>
      <c r="BV74" s="26" t="str">
        <f>IFERROR($AC74*HDF_Limited_Col!BV74/HDF_Limited_Col!$AH74," ")</f>
        <v xml:space="preserve"> </v>
      </c>
      <c r="BW74" s="26" t="str">
        <f>IFERROR($AC74*HDF_Limited_Col!BW74/HDF_Limited_Col!$AH74," ")</f>
        <v xml:space="preserve"> </v>
      </c>
      <c r="BX74" s="26" t="str">
        <f>IFERROR($AC74*HDF_Limited_Col!BX74/HDF_Limited_Col!$AH74," ")</f>
        <v xml:space="preserve"> </v>
      </c>
      <c r="BY74" s="26" t="str">
        <f>IFERROR($AC74*HDF_Limited_Col!BY74/HDF_Limited_Col!$AH74," ")</f>
        <v xml:space="preserve"> </v>
      </c>
      <c r="BZ74" s="26" t="str">
        <f>IFERROR($AC74*HDF_Limited_Col!BZ74/HDF_Limited_Col!$AH74," ")</f>
        <v xml:space="preserve"> </v>
      </c>
      <c r="CA74" s="26" t="str">
        <f>IFERROR($AC74*HDF_Limited_Col!CA74/HDF_Limited_Col!$AH74," ")</f>
        <v xml:space="preserve"> </v>
      </c>
      <c r="CB74" s="26" t="str">
        <f>IFERROR($AC74*HDF_Limited_Col!CB74/HDF_Limited_Col!$AH74," ")</f>
        <v xml:space="preserve"> </v>
      </c>
      <c r="CC74" s="26" t="str">
        <f>IFERROR($AC74*HDF_Limited_Col!CC74/HDF_Limited_Col!$AH74," ")</f>
        <v xml:space="preserve"> </v>
      </c>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row>
    <row r="75" spans="1:109">
      <c r="A75" s="26" t="s">
        <v>1656</v>
      </c>
      <c r="B75" s="53" t="s">
        <v>24</v>
      </c>
      <c r="C75" s="152" t="s">
        <v>1800</v>
      </c>
      <c r="D75" s="53" t="s">
        <v>1706</v>
      </c>
      <c r="E75" s="53" t="s">
        <v>237</v>
      </c>
      <c r="F75" s="53" t="s">
        <v>849</v>
      </c>
      <c r="G75" s="53" t="s">
        <v>595</v>
      </c>
      <c r="H75" s="52">
        <v>364</v>
      </c>
      <c r="I75" s="53" t="s">
        <v>1148</v>
      </c>
      <c r="J75" s="53" t="s">
        <v>635</v>
      </c>
      <c r="K75" s="53" t="s">
        <v>1678</v>
      </c>
      <c r="L75" s="53"/>
      <c r="M75" s="53" t="s">
        <v>1682</v>
      </c>
      <c r="N75" s="53">
        <v>30</v>
      </c>
      <c r="O75" s="95">
        <v>9.5934323774789014</v>
      </c>
      <c r="P75" s="95">
        <v>0</v>
      </c>
      <c r="Q75" s="95">
        <v>1.3035661829270695</v>
      </c>
      <c r="R75" s="95">
        <v>7.6482672138924164</v>
      </c>
      <c r="S75" s="95">
        <v>31.570743492764962</v>
      </c>
      <c r="T75" s="95">
        <v>18.840604987617802</v>
      </c>
      <c r="U75" s="95">
        <v>0.36662798894823828</v>
      </c>
      <c r="V75" s="95">
        <v>11.202521884529503</v>
      </c>
      <c r="W75" s="95">
        <v>13.137502937311874</v>
      </c>
      <c r="X75" s="95">
        <v>4.9392937399970993</v>
      </c>
      <c r="Y75" s="95">
        <v>1.8025876123288382</v>
      </c>
      <c r="Z75" s="95">
        <v>100.4051484177967</v>
      </c>
      <c r="AA75" s="53"/>
      <c r="AB75" s="26"/>
      <c r="AC75" s="26">
        <f t="shared" si="2"/>
        <v>109059.31279002402</v>
      </c>
      <c r="AD75" s="26" t="str">
        <f>IFERROR($AC75*HDF_Limited_Col!AD75/HDF_Limited_Col!$AH75," ")</f>
        <v xml:space="preserve"> </v>
      </c>
      <c r="AE75" s="26" t="str">
        <f>IFERROR($AC75*HDF_Limited_Col!AE75/HDF_Limited_Col!$AH75," ")</f>
        <v xml:space="preserve"> </v>
      </c>
      <c r="AF75" s="26" t="str">
        <f>IFERROR($AC75*HDF_Limited_Col!AF75/HDF_Limited_Col!$AH75," ")</f>
        <v xml:space="preserve"> </v>
      </c>
      <c r="AG75" s="26" t="str">
        <f>IFERROR($AC75*HDF_Limited_Col!AG75/HDF_Limited_Col!$AH75," ")</f>
        <v xml:space="preserve"> </v>
      </c>
      <c r="AH75" s="26" t="str">
        <f>IFERROR($AC75*HDF_Limited_Col!AH75/HDF_Limited_Col!$AH75," ")</f>
        <v xml:space="preserve"> </v>
      </c>
      <c r="AI75" s="26" t="str">
        <f>IFERROR($AC75*HDF_Limited_Col!AI75/HDF_Limited_Col!$AH75," ")</f>
        <v xml:space="preserve"> </v>
      </c>
      <c r="AJ75" s="26" t="str">
        <f>IFERROR($AC75*HDF_Limited_Col!AJ75/HDF_Limited_Col!$AH75," ")</f>
        <v xml:space="preserve"> </v>
      </c>
      <c r="AK75" s="26" t="str">
        <f>IFERROR($AC75*HDF_Limited_Col!AK75/HDF_Limited_Col!$AH75," ")</f>
        <v xml:space="preserve"> </v>
      </c>
      <c r="AL75" s="26" t="str">
        <f>IFERROR($AC75*HDF_Limited_Col!AL75/HDF_Limited_Col!$AH75," ")</f>
        <v xml:space="preserve"> </v>
      </c>
      <c r="AM75" s="26" t="str">
        <f>IFERROR($AC75*HDF_Limited_Col!AM75/HDF_Limited_Col!$AH75," ")</f>
        <v xml:space="preserve"> </v>
      </c>
      <c r="AN75" s="26" t="str">
        <f>IFERROR($AC75*HDF_Limited_Col!AN75/HDF_Limited_Col!$AH75," ")</f>
        <v xml:space="preserve"> </v>
      </c>
      <c r="AO75" s="26" t="str">
        <f>IFERROR($AC75*HDF_Limited_Col!AO75/HDF_Limited_Col!$AH75," ")</f>
        <v xml:space="preserve"> </v>
      </c>
      <c r="AP75" s="26" t="str">
        <f>IFERROR($AC75*HDF_Limited_Col!AP75/HDF_Limited_Col!$AH75," ")</f>
        <v xml:space="preserve"> </v>
      </c>
      <c r="AQ75" s="26" t="str">
        <f>IFERROR($AC75*HDF_Limited_Col!AQ75/HDF_Limited_Col!$AH75," ")</f>
        <v xml:space="preserve"> </v>
      </c>
      <c r="AR75" s="26" t="str">
        <f>IFERROR($AC75*HDF_Limited_Col!AR75/HDF_Limited_Col!$AH75," ")</f>
        <v xml:space="preserve"> </v>
      </c>
      <c r="AS75" s="26" t="str">
        <f>IFERROR($AC75*HDF_Limited_Col!AS75/HDF_Limited_Col!$AH75," ")</f>
        <v xml:space="preserve"> </v>
      </c>
      <c r="AT75" s="26" t="str">
        <f>IFERROR($AC75*HDF_Limited_Col!AT75/HDF_Limited_Col!$AH75," ")</f>
        <v xml:space="preserve"> </v>
      </c>
      <c r="AU75" s="26" t="str">
        <f>IFERROR($AC75*HDF_Limited_Col!AU75/HDF_Limited_Col!$AH75," ")</f>
        <v xml:space="preserve"> </v>
      </c>
      <c r="AV75" s="26" t="str">
        <f>IFERROR($AC75*HDF_Limited_Col!AV75/HDF_Limited_Col!$AH75," ")</f>
        <v xml:space="preserve"> </v>
      </c>
      <c r="AW75" s="26" t="str">
        <f>IFERROR($AC75*HDF_Limited_Col!AW75/HDF_Limited_Col!$AH75," ")</f>
        <v xml:space="preserve"> </v>
      </c>
      <c r="AX75" s="26" t="str">
        <f>IFERROR($AC75*HDF_Limited_Col!AX75/HDF_Limited_Col!$AH75," ")</f>
        <v xml:space="preserve"> </v>
      </c>
      <c r="AY75" s="26" t="str">
        <f>IFERROR($AC75*HDF_Limited_Col!AY75/HDF_Limited_Col!$AH75," ")</f>
        <v xml:space="preserve"> </v>
      </c>
      <c r="AZ75" s="26" t="str">
        <f>IFERROR($AC75*HDF_Limited_Col!AZ75/HDF_Limited_Col!$AH75," ")</f>
        <v xml:space="preserve"> </v>
      </c>
      <c r="BA75" s="26" t="str">
        <f>IFERROR($AC75*HDF_Limited_Col!BA75/HDF_Limited_Col!$AH75," ")</f>
        <v xml:space="preserve"> </v>
      </c>
      <c r="BB75" s="26" t="str">
        <f>IFERROR($AC75*HDF_Limited_Col!BB75/HDF_Limited_Col!$AH75," ")</f>
        <v xml:space="preserve"> </v>
      </c>
      <c r="BC75" s="26" t="str">
        <f>IFERROR($AC75*HDF_Limited_Col!BC75/HDF_Limited_Col!$AH75," ")</f>
        <v xml:space="preserve"> </v>
      </c>
      <c r="BD75" s="26" t="str">
        <f>IFERROR($AC75*HDF_Limited_Col!BD75/HDF_Limited_Col!$AH75," ")</f>
        <v xml:space="preserve"> </v>
      </c>
      <c r="BE75" s="26" t="str">
        <f>IFERROR($AC75*HDF_Limited_Col!BE75/HDF_Limited_Col!$AH75," ")</f>
        <v xml:space="preserve"> </v>
      </c>
      <c r="BF75" s="26" t="str">
        <f>IFERROR($AC75*HDF_Limited_Col!BF75/HDF_Limited_Col!$AH75," ")</f>
        <v xml:space="preserve"> </v>
      </c>
      <c r="BG75" s="26" t="str">
        <f>IFERROR($AC75*HDF_Limited_Col!BG75/HDF_Limited_Col!$AH75," ")</f>
        <v xml:space="preserve"> </v>
      </c>
      <c r="BH75" s="26" t="str">
        <f>IFERROR($AC75*HDF_Limited_Col!BH75/HDF_Limited_Col!$AH75," ")</f>
        <v xml:space="preserve"> </v>
      </c>
      <c r="BI75" s="26" t="str">
        <f>IFERROR($AC75*HDF_Limited_Col!BI75/HDF_Limited_Col!$AH75," ")</f>
        <v xml:space="preserve"> </v>
      </c>
      <c r="BJ75" s="26" t="str">
        <f>IFERROR($AC75*HDF_Limited_Col!BJ75/HDF_Limited_Col!$AH75," ")</f>
        <v xml:space="preserve"> </v>
      </c>
      <c r="BK75" s="26" t="str">
        <f>IFERROR($AC75*HDF_Limited_Col!BK75/HDF_Limited_Col!$AH75," ")</f>
        <v xml:space="preserve"> </v>
      </c>
      <c r="BL75" s="26" t="str">
        <f>IFERROR($AC75*HDF_Limited_Col!BL75/HDF_Limited_Col!$AH75," ")</f>
        <v xml:space="preserve"> </v>
      </c>
      <c r="BM75" s="26" t="str">
        <f>IFERROR($AC75*HDF_Limited_Col!BM75/HDF_Limited_Col!$AH75," ")</f>
        <v xml:space="preserve"> </v>
      </c>
      <c r="BN75" s="26" t="str">
        <f>IFERROR($AC75*HDF_Limited_Col!BN75/HDF_Limited_Col!$AH75," ")</f>
        <v xml:space="preserve"> </v>
      </c>
      <c r="BO75" s="26" t="str">
        <f>IFERROR($AC75*HDF_Limited_Col!BO75/HDF_Limited_Col!$AH75," ")</f>
        <v xml:space="preserve"> </v>
      </c>
      <c r="BP75" s="26" t="str">
        <f>IFERROR($AC75*HDF_Limited_Col!BP75/HDF_Limited_Col!$AH75," ")</f>
        <v xml:space="preserve"> </v>
      </c>
      <c r="BQ75" s="26" t="str">
        <f>IFERROR($AC75*HDF_Limited_Col!BQ75/HDF_Limited_Col!$AH75," ")</f>
        <v xml:space="preserve"> </v>
      </c>
      <c r="BR75" s="26" t="str">
        <f>IFERROR($AC75*HDF_Limited_Col!BR75/HDF_Limited_Col!$AH75," ")</f>
        <v xml:space="preserve"> </v>
      </c>
      <c r="BS75" s="26" t="str">
        <f>IFERROR($AC75*HDF_Limited_Col!BS75/HDF_Limited_Col!$AH75," ")</f>
        <v xml:space="preserve"> </v>
      </c>
      <c r="BT75" s="26" t="str">
        <f>IFERROR($AC75*HDF_Limited_Col!BT75/HDF_Limited_Col!$AH75," ")</f>
        <v xml:space="preserve"> </v>
      </c>
      <c r="BU75" s="26" t="str">
        <f>IFERROR($AC75*HDF_Limited_Col!BU75/HDF_Limited_Col!$AH75," ")</f>
        <v xml:space="preserve"> </v>
      </c>
      <c r="BV75" s="26" t="str">
        <f>IFERROR($AC75*HDF_Limited_Col!BV75/HDF_Limited_Col!$AH75," ")</f>
        <v xml:space="preserve"> </v>
      </c>
      <c r="BW75" s="26" t="str">
        <f>IFERROR($AC75*HDF_Limited_Col!BW75/HDF_Limited_Col!$AH75," ")</f>
        <v xml:space="preserve"> </v>
      </c>
      <c r="BX75" s="26" t="str">
        <f>IFERROR($AC75*HDF_Limited_Col!BX75/HDF_Limited_Col!$AH75," ")</f>
        <v xml:space="preserve"> </v>
      </c>
      <c r="BY75" s="26" t="str">
        <f>IFERROR($AC75*HDF_Limited_Col!BY75/HDF_Limited_Col!$AH75," ")</f>
        <v xml:space="preserve"> </v>
      </c>
      <c r="BZ75" s="26" t="str">
        <f>IFERROR($AC75*HDF_Limited_Col!BZ75/HDF_Limited_Col!$AH75," ")</f>
        <v xml:space="preserve"> </v>
      </c>
      <c r="CA75" s="26" t="str">
        <f>IFERROR($AC75*HDF_Limited_Col!CA75/HDF_Limited_Col!$AH75," ")</f>
        <v xml:space="preserve"> </v>
      </c>
      <c r="CB75" s="26" t="str">
        <f>IFERROR($AC75*HDF_Limited_Col!CB75/HDF_Limited_Col!$AH75," ")</f>
        <v xml:space="preserve"> </v>
      </c>
      <c r="CC75" s="26" t="str">
        <f>IFERROR($AC75*HDF_Limited_Col!CC75/HDF_Limited_Col!$AH75," ")</f>
        <v xml:space="preserve"> </v>
      </c>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row>
    <row r="76" spans="1:109">
      <c r="A76" s="26" t="s">
        <v>1656</v>
      </c>
      <c r="B76" s="53" t="s">
        <v>24</v>
      </c>
      <c r="C76" s="152" t="s">
        <v>1800</v>
      </c>
      <c r="D76" s="53" t="s">
        <v>1706</v>
      </c>
      <c r="E76" s="53" t="s">
        <v>237</v>
      </c>
      <c r="F76" s="53" t="s">
        <v>849</v>
      </c>
      <c r="G76" s="53" t="s">
        <v>595</v>
      </c>
      <c r="H76" s="52">
        <v>364</v>
      </c>
      <c r="I76" s="53" t="s">
        <v>1148</v>
      </c>
      <c r="J76" s="53" t="s">
        <v>635</v>
      </c>
      <c r="K76" s="53" t="s">
        <v>1678</v>
      </c>
      <c r="L76" s="53"/>
      <c r="M76" s="53" t="s">
        <v>1683</v>
      </c>
      <c r="N76" s="53">
        <v>30</v>
      </c>
      <c r="O76" s="95">
        <v>7.2239362051877594</v>
      </c>
      <c r="P76" s="95">
        <v>0</v>
      </c>
      <c r="Q76" s="95">
        <v>1.2023054663179626</v>
      </c>
      <c r="R76" s="95">
        <v>5.486150153030704</v>
      </c>
      <c r="S76" s="95">
        <v>23.540938962360109</v>
      </c>
      <c r="T76" s="95">
        <v>18.691303467968329</v>
      </c>
      <c r="U76" s="95">
        <v>0</v>
      </c>
      <c r="V76" s="95">
        <v>9.1334801811045221</v>
      </c>
      <c r="W76" s="95">
        <v>26.369893000755319</v>
      </c>
      <c r="X76" s="95">
        <v>6.1024579971096591</v>
      </c>
      <c r="Y76" s="95">
        <v>2.8996778893550865</v>
      </c>
      <c r="Z76" s="95">
        <v>100.65014332318944</v>
      </c>
      <c r="AA76" s="53"/>
      <c r="AB76" s="26"/>
      <c r="AC76" s="26">
        <f t="shared" si="2"/>
        <v>218906.31901143363</v>
      </c>
      <c r="AD76" s="26" t="str">
        <f>IFERROR($AC76*HDF_Limited_Col!AD76/HDF_Limited_Col!$AH76," ")</f>
        <v xml:space="preserve"> </v>
      </c>
      <c r="AE76" s="26" t="str">
        <f>IFERROR($AC76*HDF_Limited_Col!AE76/HDF_Limited_Col!$AH76," ")</f>
        <v xml:space="preserve"> </v>
      </c>
      <c r="AF76" s="26" t="str">
        <f>IFERROR($AC76*HDF_Limited_Col!AF76/HDF_Limited_Col!$AH76," ")</f>
        <v xml:space="preserve"> </v>
      </c>
      <c r="AG76" s="26" t="str">
        <f>IFERROR($AC76*HDF_Limited_Col!AG76/HDF_Limited_Col!$AH76," ")</f>
        <v xml:space="preserve"> </v>
      </c>
      <c r="AH76" s="26" t="str">
        <f>IFERROR($AC76*HDF_Limited_Col!AH76/HDF_Limited_Col!$AH76," ")</f>
        <v xml:space="preserve"> </v>
      </c>
      <c r="AI76" s="26" t="str">
        <f>IFERROR($AC76*HDF_Limited_Col!AI76/HDF_Limited_Col!$AH76," ")</f>
        <v xml:space="preserve"> </v>
      </c>
      <c r="AJ76" s="26" t="str">
        <f>IFERROR($AC76*HDF_Limited_Col!AJ76/HDF_Limited_Col!$AH76," ")</f>
        <v xml:space="preserve"> </v>
      </c>
      <c r="AK76" s="26" t="str">
        <f>IFERROR($AC76*HDF_Limited_Col!AK76/HDF_Limited_Col!$AH76," ")</f>
        <v xml:space="preserve"> </v>
      </c>
      <c r="AL76" s="26" t="str">
        <f>IFERROR($AC76*HDF_Limited_Col!AL76/HDF_Limited_Col!$AH76," ")</f>
        <v xml:space="preserve"> </v>
      </c>
      <c r="AM76" s="26" t="str">
        <f>IFERROR($AC76*HDF_Limited_Col!AM76/HDF_Limited_Col!$AH76," ")</f>
        <v xml:space="preserve"> </v>
      </c>
      <c r="AN76" s="26" t="str">
        <f>IFERROR($AC76*HDF_Limited_Col!AN76/HDF_Limited_Col!$AH76," ")</f>
        <v xml:space="preserve"> </v>
      </c>
      <c r="AO76" s="26" t="str">
        <f>IFERROR($AC76*HDF_Limited_Col!AO76/HDF_Limited_Col!$AH76," ")</f>
        <v xml:space="preserve"> </v>
      </c>
      <c r="AP76" s="26" t="str">
        <f>IFERROR($AC76*HDF_Limited_Col!AP76/HDF_Limited_Col!$AH76," ")</f>
        <v xml:space="preserve"> </v>
      </c>
      <c r="AQ76" s="26" t="str">
        <f>IFERROR($AC76*HDF_Limited_Col!AQ76/HDF_Limited_Col!$AH76," ")</f>
        <v xml:space="preserve"> </v>
      </c>
      <c r="AR76" s="26" t="str">
        <f>IFERROR($AC76*HDF_Limited_Col!AR76/HDF_Limited_Col!$AH76," ")</f>
        <v xml:space="preserve"> </v>
      </c>
      <c r="AS76" s="26" t="str">
        <f>IFERROR($AC76*HDF_Limited_Col!AS76/HDF_Limited_Col!$AH76," ")</f>
        <v xml:space="preserve"> </v>
      </c>
      <c r="AT76" s="26" t="str">
        <f>IFERROR($AC76*HDF_Limited_Col!AT76/HDF_Limited_Col!$AH76," ")</f>
        <v xml:space="preserve"> </v>
      </c>
      <c r="AU76" s="26" t="str">
        <f>IFERROR($AC76*HDF_Limited_Col!AU76/HDF_Limited_Col!$AH76," ")</f>
        <v xml:space="preserve"> </v>
      </c>
      <c r="AV76" s="26" t="str">
        <f>IFERROR($AC76*HDF_Limited_Col!AV76/HDF_Limited_Col!$AH76," ")</f>
        <v xml:space="preserve"> </v>
      </c>
      <c r="AW76" s="26" t="str">
        <f>IFERROR($AC76*HDF_Limited_Col!AW76/HDF_Limited_Col!$AH76," ")</f>
        <v xml:space="preserve"> </v>
      </c>
      <c r="AX76" s="26" t="str">
        <f>IFERROR($AC76*HDF_Limited_Col!AX76/HDF_Limited_Col!$AH76," ")</f>
        <v xml:space="preserve"> </v>
      </c>
      <c r="AY76" s="26" t="str">
        <f>IFERROR($AC76*HDF_Limited_Col!AY76/HDF_Limited_Col!$AH76," ")</f>
        <v xml:space="preserve"> </v>
      </c>
      <c r="AZ76" s="26" t="str">
        <f>IFERROR($AC76*HDF_Limited_Col!AZ76/HDF_Limited_Col!$AH76," ")</f>
        <v xml:space="preserve"> </v>
      </c>
      <c r="BA76" s="26" t="str">
        <f>IFERROR($AC76*HDF_Limited_Col!BA76/HDF_Limited_Col!$AH76," ")</f>
        <v xml:space="preserve"> </v>
      </c>
      <c r="BB76" s="26" t="str">
        <f>IFERROR($AC76*HDF_Limited_Col!BB76/HDF_Limited_Col!$AH76," ")</f>
        <v xml:space="preserve"> </v>
      </c>
      <c r="BC76" s="26" t="str">
        <f>IFERROR($AC76*HDF_Limited_Col!BC76/HDF_Limited_Col!$AH76," ")</f>
        <v xml:space="preserve"> </v>
      </c>
      <c r="BD76" s="26" t="str">
        <f>IFERROR($AC76*HDF_Limited_Col!BD76/HDF_Limited_Col!$AH76," ")</f>
        <v xml:space="preserve"> </v>
      </c>
      <c r="BE76" s="26" t="str">
        <f>IFERROR($AC76*HDF_Limited_Col!BE76/HDF_Limited_Col!$AH76," ")</f>
        <v xml:space="preserve"> </v>
      </c>
      <c r="BF76" s="26" t="str">
        <f>IFERROR($AC76*HDF_Limited_Col!BF76/HDF_Limited_Col!$AH76," ")</f>
        <v xml:space="preserve"> </v>
      </c>
      <c r="BG76" s="26" t="str">
        <f>IFERROR($AC76*HDF_Limited_Col!BG76/HDF_Limited_Col!$AH76," ")</f>
        <v xml:space="preserve"> </v>
      </c>
      <c r="BH76" s="26" t="str">
        <f>IFERROR($AC76*HDF_Limited_Col!BH76/HDF_Limited_Col!$AH76," ")</f>
        <v xml:space="preserve"> </v>
      </c>
      <c r="BI76" s="26" t="str">
        <f>IFERROR($AC76*HDF_Limited_Col!BI76/HDF_Limited_Col!$AH76," ")</f>
        <v xml:space="preserve"> </v>
      </c>
      <c r="BJ76" s="26" t="str">
        <f>IFERROR($AC76*HDF_Limited_Col!BJ76/HDF_Limited_Col!$AH76," ")</f>
        <v xml:space="preserve"> </v>
      </c>
      <c r="BK76" s="26" t="str">
        <f>IFERROR($AC76*HDF_Limited_Col!BK76/HDF_Limited_Col!$AH76," ")</f>
        <v xml:space="preserve"> </v>
      </c>
      <c r="BL76" s="26" t="str">
        <f>IFERROR($AC76*HDF_Limited_Col!BL76/HDF_Limited_Col!$AH76," ")</f>
        <v xml:space="preserve"> </v>
      </c>
      <c r="BM76" s="26" t="str">
        <f>IFERROR($AC76*HDF_Limited_Col!BM76/HDF_Limited_Col!$AH76," ")</f>
        <v xml:space="preserve"> </v>
      </c>
      <c r="BN76" s="26" t="str">
        <f>IFERROR($AC76*HDF_Limited_Col!BN76/HDF_Limited_Col!$AH76," ")</f>
        <v xml:space="preserve"> </v>
      </c>
      <c r="BO76" s="26" t="str">
        <f>IFERROR($AC76*HDF_Limited_Col!BO76/HDF_Limited_Col!$AH76," ")</f>
        <v xml:space="preserve"> </v>
      </c>
      <c r="BP76" s="26" t="str">
        <f>IFERROR($AC76*HDF_Limited_Col!BP76/HDF_Limited_Col!$AH76," ")</f>
        <v xml:space="preserve"> </v>
      </c>
      <c r="BQ76" s="26" t="str">
        <f>IFERROR($AC76*HDF_Limited_Col!BQ76/HDF_Limited_Col!$AH76," ")</f>
        <v xml:space="preserve"> </v>
      </c>
      <c r="BR76" s="26" t="str">
        <f>IFERROR($AC76*HDF_Limited_Col!BR76/HDF_Limited_Col!$AH76," ")</f>
        <v xml:space="preserve"> </v>
      </c>
      <c r="BS76" s="26" t="str">
        <f>IFERROR($AC76*HDF_Limited_Col!BS76/HDF_Limited_Col!$AH76," ")</f>
        <v xml:space="preserve"> </v>
      </c>
      <c r="BT76" s="26" t="str">
        <f>IFERROR($AC76*HDF_Limited_Col!BT76/HDF_Limited_Col!$AH76," ")</f>
        <v xml:space="preserve"> </v>
      </c>
      <c r="BU76" s="26" t="str">
        <f>IFERROR($AC76*HDF_Limited_Col!BU76/HDF_Limited_Col!$AH76," ")</f>
        <v xml:space="preserve"> </v>
      </c>
      <c r="BV76" s="26" t="str">
        <f>IFERROR($AC76*HDF_Limited_Col!BV76/HDF_Limited_Col!$AH76," ")</f>
        <v xml:space="preserve"> </v>
      </c>
      <c r="BW76" s="26" t="str">
        <f>IFERROR($AC76*HDF_Limited_Col!BW76/HDF_Limited_Col!$AH76," ")</f>
        <v xml:space="preserve"> </v>
      </c>
      <c r="BX76" s="26" t="str">
        <f>IFERROR($AC76*HDF_Limited_Col!BX76/HDF_Limited_Col!$AH76," ")</f>
        <v xml:space="preserve"> </v>
      </c>
      <c r="BY76" s="26" t="str">
        <f>IFERROR($AC76*HDF_Limited_Col!BY76/HDF_Limited_Col!$AH76," ")</f>
        <v xml:space="preserve"> </v>
      </c>
      <c r="BZ76" s="26" t="str">
        <f>IFERROR($AC76*HDF_Limited_Col!BZ76/HDF_Limited_Col!$AH76," ")</f>
        <v xml:space="preserve"> </v>
      </c>
      <c r="CA76" s="26" t="str">
        <f>IFERROR($AC76*HDF_Limited_Col!CA76/HDF_Limited_Col!$AH76," ")</f>
        <v xml:space="preserve"> </v>
      </c>
      <c r="CB76" s="26" t="str">
        <f>IFERROR($AC76*HDF_Limited_Col!CB76/HDF_Limited_Col!$AH76," ")</f>
        <v xml:space="preserve"> </v>
      </c>
      <c r="CC76" s="26" t="str">
        <f>IFERROR($AC76*HDF_Limited_Col!CC76/HDF_Limited_Col!$AH76," ")</f>
        <v xml:space="preserve"> </v>
      </c>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row>
    <row r="77" spans="1:109">
      <c r="A77" s="26" t="s">
        <v>1656</v>
      </c>
      <c r="B77" s="53" t="s">
        <v>24</v>
      </c>
      <c r="C77" s="152" t="s">
        <v>1800</v>
      </c>
      <c r="D77" s="53" t="s">
        <v>1706</v>
      </c>
      <c r="E77" s="53" t="s">
        <v>237</v>
      </c>
      <c r="F77" s="53" t="s">
        <v>849</v>
      </c>
      <c r="G77" s="53" t="s">
        <v>595</v>
      </c>
      <c r="H77" s="52">
        <v>364</v>
      </c>
      <c r="I77" s="53" t="s">
        <v>1148</v>
      </c>
      <c r="J77" s="53" t="s">
        <v>635</v>
      </c>
      <c r="K77" s="53" t="s">
        <v>1678</v>
      </c>
      <c r="L77" s="53"/>
      <c r="M77" s="53" t="s">
        <v>1684</v>
      </c>
      <c r="N77" s="53">
        <v>32</v>
      </c>
      <c r="O77" s="95">
        <v>6.4935386005442961</v>
      </c>
      <c r="P77" s="95">
        <v>0</v>
      </c>
      <c r="Q77" s="95">
        <v>0.50259586691519331</v>
      </c>
      <c r="R77" s="95">
        <v>6.0814099896738387</v>
      </c>
      <c r="S77" s="95">
        <v>29.050041107698167</v>
      </c>
      <c r="T77" s="95">
        <v>24.426159132078393</v>
      </c>
      <c r="U77" s="95">
        <v>0</v>
      </c>
      <c r="V77" s="95">
        <v>8.001326201289876</v>
      </c>
      <c r="W77" s="95">
        <v>15.379433527604915</v>
      </c>
      <c r="X77" s="95">
        <v>8.795427671015883</v>
      </c>
      <c r="Y77" s="95">
        <v>1.6384625261435297</v>
      </c>
      <c r="Z77" s="95">
        <v>100.36839462296409</v>
      </c>
      <c r="AA77" s="53"/>
      <c r="AB77" s="26"/>
      <c r="AC77" s="26">
        <f t="shared" si="2"/>
        <v>127670.41496575614</v>
      </c>
      <c r="AD77" s="26" t="str">
        <f>IFERROR($AC77*HDF_Limited_Col!AD77/HDF_Limited_Col!$AH77," ")</f>
        <v xml:space="preserve"> </v>
      </c>
      <c r="AE77" s="26" t="str">
        <f>IFERROR($AC77*HDF_Limited_Col!AE77/HDF_Limited_Col!$AH77," ")</f>
        <v xml:space="preserve"> </v>
      </c>
      <c r="AF77" s="26" t="str">
        <f>IFERROR($AC77*HDF_Limited_Col!AF77/HDF_Limited_Col!$AH77," ")</f>
        <v xml:space="preserve"> </v>
      </c>
      <c r="AG77" s="26" t="str">
        <f>IFERROR($AC77*HDF_Limited_Col!AG77/HDF_Limited_Col!$AH77," ")</f>
        <v xml:space="preserve"> </v>
      </c>
      <c r="AH77" s="26" t="str">
        <f>IFERROR($AC77*HDF_Limited_Col!AH77/HDF_Limited_Col!$AH77," ")</f>
        <v xml:space="preserve"> </v>
      </c>
      <c r="AI77" s="26" t="str">
        <f>IFERROR($AC77*HDF_Limited_Col!AI77/HDF_Limited_Col!$AH77," ")</f>
        <v xml:space="preserve"> </v>
      </c>
      <c r="AJ77" s="26" t="str">
        <f>IFERROR($AC77*HDF_Limited_Col!AJ77/HDF_Limited_Col!$AH77," ")</f>
        <v xml:space="preserve"> </v>
      </c>
      <c r="AK77" s="26" t="str">
        <f>IFERROR($AC77*HDF_Limited_Col!AK77/HDF_Limited_Col!$AH77," ")</f>
        <v xml:space="preserve"> </v>
      </c>
      <c r="AL77" s="26" t="str">
        <f>IFERROR($AC77*HDF_Limited_Col!AL77/HDF_Limited_Col!$AH77," ")</f>
        <v xml:space="preserve"> </v>
      </c>
      <c r="AM77" s="26" t="str">
        <f>IFERROR($AC77*HDF_Limited_Col!AM77/HDF_Limited_Col!$AH77," ")</f>
        <v xml:space="preserve"> </v>
      </c>
      <c r="AN77" s="26" t="str">
        <f>IFERROR($AC77*HDF_Limited_Col!AN77/HDF_Limited_Col!$AH77," ")</f>
        <v xml:space="preserve"> </v>
      </c>
      <c r="AO77" s="26" t="str">
        <f>IFERROR($AC77*HDF_Limited_Col!AO77/HDF_Limited_Col!$AH77," ")</f>
        <v xml:space="preserve"> </v>
      </c>
      <c r="AP77" s="26" t="str">
        <f>IFERROR($AC77*HDF_Limited_Col!AP77/HDF_Limited_Col!$AH77," ")</f>
        <v xml:space="preserve"> </v>
      </c>
      <c r="AQ77" s="26" t="str">
        <f>IFERROR($AC77*HDF_Limited_Col!AQ77/HDF_Limited_Col!$AH77," ")</f>
        <v xml:space="preserve"> </v>
      </c>
      <c r="AR77" s="26" t="str">
        <f>IFERROR($AC77*HDF_Limited_Col!AR77/HDF_Limited_Col!$AH77," ")</f>
        <v xml:space="preserve"> </v>
      </c>
      <c r="AS77" s="26" t="str">
        <f>IFERROR($AC77*HDF_Limited_Col!AS77/HDF_Limited_Col!$AH77," ")</f>
        <v xml:space="preserve"> </v>
      </c>
      <c r="AT77" s="26" t="str">
        <f>IFERROR($AC77*HDF_Limited_Col!AT77/HDF_Limited_Col!$AH77," ")</f>
        <v xml:space="preserve"> </v>
      </c>
      <c r="AU77" s="26" t="str">
        <f>IFERROR($AC77*HDF_Limited_Col!AU77/HDF_Limited_Col!$AH77," ")</f>
        <v xml:space="preserve"> </v>
      </c>
      <c r="AV77" s="26" t="str">
        <f>IFERROR($AC77*HDF_Limited_Col!AV77/HDF_Limited_Col!$AH77," ")</f>
        <v xml:space="preserve"> </v>
      </c>
      <c r="AW77" s="26" t="str">
        <f>IFERROR($AC77*HDF_Limited_Col!AW77/HDF_Limited_Col!$AH77," ")</f>
        <v xml:space="preserve"> </v>
      </c>
      <c r="AX77" s="26" t="str">
        <f>IFERROR($AC77*HDF_Limited_Col!AX77/HDF_Limited_Col!$AH77," ")</f>
        <v xml:space="preserve"> </v>
      </c>
      <c r="AY77" s="26" t="str">
        <f>IFERROR($AC77*HDF_Limited_Col!AY77/HDF_Limited_Col!$AH77," ")</f>
        <v xml:space="preserve"> </v>
      </c>
      <c r="AZ77" s="26" t="str">
        <f>IFERROR($AC77*HDF_Limited_Col!AZ77/HDF_Limited_Col!$AH77," ")</f>
        <v xml:space="preserve"> </v>
      </c>
      <c r="BA77" s="26" t="str">
        <f>IFERROR($AC77*HDF_Limited_Col!BA77/HDF_Limited_Col!$AH77," ")</f>
        <v xml:space="preserve"> </v>
      </c>
      <c r="BB77" s="26" t="str">
        <f>IFERROR($AC77*HDF_Limited_Col!BB77/HDF_Limited_Col!$AH77," ")</f>
        <v xml:space="preserve"> </v>
      </c>
      <c r="BC77" s="26" t="str">
        <f>IFERROR($AC77*HDF_Limited_Col!BC77/HDF_Limited_Col!$AH77," ")</f>
        <v xml:space="preserve"> </v>
      </c>
      <c r="BD77" s="26" t="str">
        <f>IFERROR($AC77*HDF_Limited_Col!BD77/HDF_Limited_Col!$AH77," ")</f>
        <v xml:space="preserve"> </v>
      </c>
      <c r="BE77" s="26" t="str">
        <f>IFERROR($AC77*HDF_Limited_Col!BE77/HDF_Limited_Col!$AH77," ")</f>
        <v xml:space="preserve"> </v>
      </c>
      <c r="BF77" s="26" t="str">
        <f>IFERROR($AC77*HDF_Limited_Col!BF77/HDF_Limited_Col!$AH77," ")</f>
        <v xml:space="preserve"> </v>
      </c>
      <c r="BG77" s="26" t="str">
        <f>IFERROR($AC77*HDF_Limited_Col!BG77/HDF_Limited_Col!$AH77," ")</f>
        <v xml:space="preserve"> </v>
      </c>
      <c r="BH77" s="26" t="str">
        <f>IFERROR($AC77*HDF_Limited_Col!BH77/HDF_Limited_Col!$AH77," ")</f>
        <v xml:space="preserve"> </v>
      </c>
      <c r="BI77" s="26" t="str">
        <f>IFERROR($AC77*HDF_Limited_Col!BI77/HDF_Limited_Col!$AH77," ")</f>
        <v xml:space="preserve"> </v>
      </c>
      <c r="BJ77" s="26" t="str">
        <f>IFERROR($AC77*HDF_Limited_Col!BJ77/HDF_Limited_Col!$AH77," ")</f>
        <v xml:space="preserve"> </v>
      </c>
      <c r="BK77" s="26" t="str">
        <f>IFERROR($AC77*HDF_Limited_Col!BK77/HDF_Limited_Col!$AH77," ")</f>
        <v xml:space="preserve"> </v>
      </c>
      <c r="BL77" s="26" t="str">
        <f>IFERROR($AC77*HDF_Limited_Col!BL77/HDF_Limited_Col!$AH77," ")</f>
        <v xml:space="preserve"> </v>
      </c>
      <c r="BM77" s="26" t="str">
        <f>IFERROR($AC77*HDF_Limited_Col!BM77/HDF_Limited_Col!$AH77," ")</f>
        <v xml:space="preserve"> </v>
      </c>
      <c r="BN77" s="26" t="str">
        <f>IFERROR($AC77*HDF_Limited_Col!BN77/HDF_Limited_Col!$AH77," ")</f>
        <v xml:space="preserve"> </v>
      </c>
      <c r="BO77" s="26" t="str">
        <f>IFERROR($AC77*HDF_Limited_Col!BO77/HDF_Limited_Col!$AH77," ")</f>
        <v xml:space="preserve"> </v>
      </c>
      <c r="BP77" s="26" t="str">
        <f>IFERROR($AC77*HDF_Limited_Col!BP77/HDF_Limited_Col!$AH77," ")</f>
        <v xml:space="preserve"> </v>
      </c>
      <c r="BQ77" s="26" t="str">
        <f>IFERROR($AC77*HDF_Limited_Col!BQ77/HDF_Limited_Col!$AH77," ")</f>
        <v xml:space="preserve"> </v>
      </c>
      <c r="BR77" s="26" t="str">
        <f>IFERROR($AC77*HDF_Limited_Col!BR77/HDF_Limited_Col!$AH77," ")</f>
        <v xml:space="preserve"> </v>
      </c>
      <c r="BS77" s="26" t="str">
        <f>IFERROR($AC77*HDF_Limited_Col!BS77/HDF_Limited_Col!$AH77," ")</f>
        <v xml:space="preserve"> </v>
      </c>
      <c r="BT77" s="26" t="str">
        <f>IFERROR($AC77*HDF_Limited_Col!BT77/HDF_Limited_Col!$AH77," ")</f>
        <v xml:space="preserve"> </v>
      </c>
      <c r="BU77" s="26" t="str">
        <f>IFERROR($AC77*HDF_Limited_Col!BU77/HDF_Limited_Col!$AH77," ")</f>
        <v xml:space="preserve"> </v>
      </c>
      <c r="BV77" s="26" t="str">
        <f>IFERROR($AC77*HDF_Limited_Col!BV77/HDF_Limited_Col!$AH77," ")</f>
        <v xml:space="preserve"> </v>
      </c>
      <c r="BW77" s="26" t="str">
        <f>IFERROR($AC77*HDF_Limited_Col!BW77/HDF_Limited_Col!$AH77," ")</f>
        <v xml:space="preserve"> </v>
      </c>
      <c r="BX77" s="26" t="str">
        <f>IFERROR($AC77*HDF_Limited_Col!BX77/HDF_Limited_Col!$AH77," ")</f>
        <v xml:space="preserve"> </v>
      </c>
      <c r="BY77" s="26" t="str">
        <f>IFERROR($AC77*HDF_Limited_Col!BY77/HDF_Limited_Col!$AH77," ")</f>
        <v xml:space="preserve"> </v>
      </c>
      <c r="BZ77" s="26" t="str">
        <f>IFERROR($AC77*HDF_Limited_Col!BZ77/HDF_Limited_Col!$AH77," ")</f>
        <v xml:space="preserve"> </v>
      </c>
      <c r="CA77" s="26" t="str">
        <f>IFERROR($AC77*HDF_Limited_Col!CA77/HDF_Limited_Col!$AH77," ")</f>
        <v xml:space="preserve"> </v>
      </c>
      <c r="CB77" s="26" t="str">
        <f>IFERROR($AC77*HDF_Limited_Col!CB77/HDF_Limited_Col!$AH77," ")</f>
        <v xml:space="preserve"> </v>
      </c>
      <c r="CC77" s="26" t="str">
        <f>IFERROR($AC77*HDF_Limited_Col!CC77/HDF_Limited_Col!$AH77," ")</f>
        <v xml:space="preserve"> </v>
      </c>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row>
    <row r="78" spans="1:109">
      <c r="A78" s="26" t="s">
        <v>1656</v>
      </c>
      <c r="B78" s="53" t="s">
        <v>24</v>
      </c>
      <c r="C78" s="152" t="s">
        <v>1800</v>
      </c>
      <c r="D78" s="53" t="s">
        <v>1706</v>
      </c>
      <c r="E78" s="53" t="s">
        <v>237</v>
      </c>
      <c r="F78" s="53" t="s">
        <v>849</v>
      </c>
      <c r="G78" s="53" t="s">
        <v>595</v>
      </c>
      <c r="H78" s="52">
        <v>364</v>
      </c>
      <c r="I78" s="53" t="s">
        <v>1148</v>
      </c>
      <c r="J78" s="53" t="s">
        <v>635</v>
      </c>
      <c r="K78" s="53" t="s">
        <v>1678</v>
      </c>
      <c r="L78" s="53"/>
      <c r="M78" s="53" t="s">
        <v>1685</v>
      </c>
      <c r="N78" s="53">
        <v>26</v>
      </c>
      <c r="O78" s="95">
        <v>8.8793200571582442</v>
      </c>
      <c r="P78" s="95">
        <v>0.1422316713961275</v>
      </c>
      <c r="Q78" s="95">
        <v>6.0346866292356953</v>
      </c>
      <c r="R78" s="95">
        <v>5.5165569691498009</v>
      </c>
      <c r="S78" s="95">
        <v>25.90648300429465</v>
      </c>
      <c r="T78" s="95">
        <v>19.099681587479978</v>
      </c>
      <c r="U78" s="95">
        <v>0.47749203968699933</v>
      </c>
      <c r="V78" s="95">
        <v>10.768969405706795</v>
      </c>
      <c r="W78" s="95">
        <v>10.870563456704028</v>
      </c>
      <c r="X78" s="95">
        <v>11.327736686191583</v>
      </c>
      <c r="Y78" s="95">
        <v>1.2597662323657006</v>
      </c>
      <c r="Z78" s="95">
        <v>100.28348773936962</v>
      </c>
      <c r="AA78" s="53"/>
      <c r="AB78" s="26"/>
      <c r="AC78" s="26">
        <f t="shared" si="2"/>
        <v>90240.602486294665</v>
      </c>
      <c r="AD78" s="26" t="str">
        <f>IFERROR($AC78*HDF_Limited_Col!AD78/HDF_Limited_Col!$AH78," ")</f>
        <v xml:space="preserve"> </v>
      </c>
      <c r="AE78" s="26" t="str">
        <f>IFERROR($AC78*HDF_Limited_Col!AE78/HDF_Limited_Col!$AH78," ")</f>
        <v xml:space="preserve"> </v>
      </c>
      <c r="AF78" s="26" t="str">
        <f>IFERROR($AC78*HDF_Limited_Col!AF78/HDF_Limited_Col!$AH78," ")</f>
        <v xml:space="preserve"> </v>
      </c>
      <c r="AG78" s="26" t="str">
        <f>IFERROR($AC78*HDF_Limited_Col!AG78/HDF_Limited_Col!$AH78," ")</f>
        <v xml:space="preserve"> </v>
      </c>
      <c r="AH78" s="26" t="str">
        <f>IFERROR($AC78*HDF_Limited_Col!AH78/HDF_Limited_Col!$AH78," ")</f>
        <v xml:space="preserve"> </v>
      </c>
      <c r="AI78" s="26" t="str">
        <f>IFERROR($AC78*HDF_Limited_Col!AI78/HDF_Limited_Col!$AH78," ")</f>
        <v xml:space="preserve"> </v>
      </c>
      <c r="AJ78" s="26" t="str">
        <f>IFERROR($AC78*HDF_Limited_Col!AJ78/HDF_Limited_Col!$AH78," ")</f>
        <v xml:space="preserve"> </v>
      </c>
      <c r="AK78" s="26" t="str">
        <f>IFERROR($AC78*HDF_Limited_Col!AK78/HDF_Limited_Col!$AH78," ")</f>
        <v xml:space="preserve"> </v>
      </c>
      <c r="AL78" s="26" t="str">
        <f>IFERROR($AC78*HDF_Limited_Col!AL78/HDF_Limited_Col!$AH78," ")</f>
        <v xml:space="preserve"> </v>
      </c>
      <c r="AM78" s="26" t="str">
        <f>IFERROR($AC78*HDF_Limited_Col!AM78/HDF_Limited_Col!$AH78," ")</f>
        <v xml:space="preserve"> </v>
      </c>
      <c r="AN78" s="26" t="str">
        <f>IFERROR($AC78*HDF_Limited_Col!AN78/HDF_Limited_Col!$AH78," ")</f>
        <v xml:space="preserve"> </v>
      </c>
      <c r="AO78" s="26" t="str">
        <f>IFERROR($AC78*HDF_Limited_Col!AO78/HDF_Limited_Col!$AH78," ")</f>
        <v xml:space="preserve"> </v>
      </c>
      <c r="AP78" s="26" t="str">
        <f>IFERROR($AC78*HDF_Limited_Col!AP78/HDF_Limited_Col!$AH78," ")</f>
        <v xml:space="preserve"> </v>
      </c>
      <c r="AQ78" s="26" t="str">
        <f>IFERROR($AC78*HDF_Limited_Col!AQ78/HDF_Limited_Col!$AH78," ")</f>
        <v xml:space="preserve"> </v>
      </c>
      <c r="AR78" s="26" t="str">
        <f>IFERROR($AC78*HDF_Limited_Col!AR78/HDF_Limited_Col!$AH78," ")</f>
        <v xml:space="preserve"> </v>
      </c>
      <c r="AS78" s="26" t="str">
        <f>IFERROR($AC78*HDF_Limited_Col!AS78/HDF_Limited_Col!$AH78," ")</f>
        <v xml:space="preserve"> </v>
      </c>
      <c r="AT78" s="26" t="str">
        <f>IFERROR($AC78*HDF_Limited_Col!AT78/HDF_Limited_Col!$AH78," ")</f>
        <v xml:space="preserve"> </v>
      </c>
      <c r="AU78" s="26" t="str">
        <f>IFERROR($AC78*HDF_Limited_Col!AU78/HDF_Limited_Col!$AH78," ")</f>
        <v xml:space="preserve"> </v>
      </c>
      <c r="AV78" s="26" t="str">
        <f>IFERROR($AC78*HDF_Limited_Col!AV78/HDF_Limited_Col!$AH78," ")</f>
        <v xml:space="preserve"> </v>
      </c>
      <c r="AW78" s="26" t="str">
        <f>IFERROR($AC78*HDF_Limited_Col!AW78/HDF_Limited_Col!$AH78," ")</f>
        <v xml:space="preserve"> </v>
      </c>
      <c r="AX78" s="26" t="str">
        <f>IFERROR($AC78*HDF_Limited_Col!AX78/HDF_Limited_Col!$AH78," ")</f>
        <v xml:space="preserve"> </v>
      </c>
      <c r="AY78" s="26" t="str">
        <f>IFERROR($AC78*HDF_Limited_Col!AY78/HDF_Limited_Col!$AH78," ")</f>
        <v xml:space="preserve"> </v>
      </c>
      <c r="AZ78" s="26" t="str">
        <f>IFERROR($AC78*HDF_Limited_Col!AZ78/HDF_Limited_Col!$AH78," ")</f>
        <v xml:space="preserve"> </v>
      </c>
      <c r="BA78" s="26" t="str">
        <f>IFERROR($AC78*HDF_Limited_Col!BA78/HDF_Limited_Col!$AH78," ")</f>
        <v xml:space="preserve"> </v>
      </c>
      <c r="BB78" s="26" t="str">
        <f>IFERROR($AC78*HDF_Limited_Col!BB78/HDF_Limited_Col!$AH78," ")</f>
        <v xml:space="preserve"> </v>
      </c>
      <c r="BC78" s="26" t="str">
        <f>IFERROR($AC78*HDF_Limited_Col!BC78/HDF_Limited_Col!$AH78," ")</f>
        <v xml:space="preserve"> </v>
      </c>
      <c r="BD78" s="26" t="str">
        <f>IFERROR($AC78*HDF_Limited_Col!BD78/HDF_Limited_Col!$AH78," ")</f>
        <v xml:space="preserve"> </v>
      </c>
      <c r="BE78" s="26" t="str">
        <f>IFERROR($AC78*HDF_Limited_Col!BE78/HDF_Limited_Col!$AH78," ")</f>
        <v xml:space="preserve"> </v>
      </c>
      <c r="BF78" s="26" t="str">
        <f>IFERROR($AC78*HDF_Limited_Col!BF78/HDF_Limited_Col!$AH78," ")</f>
        <v xml:space="preserve"> </v>
      </c>
      <c r="BG78" s="26" t="str">
        <f>IFERROR($AC78*HDF_Limited_Col!BG78/HDF_Limited_Col!$AH78," ")</f>
        <v xml:space="preserve"> </v>
      </c>
      <c r="BH78" s="26" t="str">
        <f>IFERROR($AC78*HDF_Limited_Col!BH78/HDF_Limited_Col!$AH78," ")</f>
        <v xml:space="preserve"> </v>
      </c>
      <c r="BI78" s="26" t="str">
        <f>IFERROR($AC78*HDF_Limited_Col!BI78/HDF_Limited_Col!$AH78," ")</f>
        <v xml:space="preserve"> </v>
      </c>
      <c r="BJ78" s="26" t="str">
        <f>IFERROR($AC78*HDF_Limited_Col!BJ78/HDF_Limited_Col!$AH78," ")</f>
        <v xml:space="preserve"> </v>
      </c>
      <c r="BK78" s="26" t="str">
        <f>IFERROR($AC78*HDF_Limited_Col!BK78/HDF_Limited_Col!$AH78," ")</f>
        <v xml:space="preserve"> </v>
      </c>
      <c r="BL78" s="26" t="str">
        <f>IFERROR($AC78*HDF_Limited_Col!BL78/HDF_Limited_Col!$AH78," ")</f>
        <v xml:space="preserve"> </v>
      </c>
      <c r="BM78" s="26" t="str">
        <f>IFERROR($AC78*HDF_Limited_Col!BM78/HDF_Limited_Col!$AH78," ")</f>
        <v xml:space="preserve"> </v>
      </c>
      <c r="BN78" s="26" t="str">
        <f>IFERROR($AC78*HDF_Limited_Col!BN78/HDF_Limited_Col!$AH78," ")</f>
        <v xml:space="preserve"> </v>
      </c>
      <c r="BO78" s="26" t="str">
        <f>IFERROR($AC78*HDF_Limited_Col!BO78/HDF_Limited_Col!$AH78," ")</f>
        <v xml:space="preserve"> </v>
      </c>
      <c r="BP78" s="26" t="str">
        <f>IFERROR($AC78*HDF_Limited_Col!BP78/HDF_Limited_Col!$AH78," ")</f>
        <v xml:space="preserve"> </v>
      </c>
      <c r="BQ78" s="26" t="str">
        <f>IFERROR($AC78*HDF_Limited_Col!BQ78/HDF_Limited_Col!$AH78," ")</f>
        <v xml:space="preserve"> </v>
      </c>
      <c r="BR78" s="26" t="str">
        <f>IFERROR($AC78*HDF_Limited_Col!BR78/HDF_Limited_Col!$AH78," ")</f>
        <v xml:space="preserve"> </v>
      </c>
      <c r="BS78" s="26" t="str">
        <f>IFERROR($AC78*HDF_Limited_Col!BS78/HDF_Limited_Col!$AH78," ")</f>
        <v xml:space="preserve"> </v>
      </c>
      <c r="BT78" s="26" t="str">
        <f>IFERROR($AC78*HDF_Limited_Col!BT78/HDF_Limited_Col!$AH78," ")</f>
        <v xml:space="preserve"> </v>
      </c>
      <c r="BU78" s="26" t="str">
        <f>IFERROR($AC78*HDF_Limited_Col!BU78/HDF_Limited_Col!$AH78," ")</f>
        <v xml:space="preserve"> </v>
      </c>
      <c r="BV78" s="26" t="str">
        <f>IFERROR($AC78*HDF_Limited_Col!BV78/HDF_Limited_Col!$AH78," ")</f>
        <v xml:space="preserve"> </v>
      </c>
      <c r="BW78" s="26" t="str">
        <f>IFERROR($AC78*HDF_Limited_Col!BW78/HDF_Limited_Col!$AH78," ")</f>
        <v xml:space="preserve"> </v>
      </c>
      <c r="BX78" s="26" t="str">
        <f>IFERROR($AC78*HDF_Limited_Col!BX78/HDF_Limited_Col!$AH78," ")</f>
        <v xml:space="preserve"> </v>
      </c>
      <c r="BY78" s="26" t="str">
        <f>IFERROR($AC78*HDF_Limited_Col!BY78/HDF_Limited_Col!$AH78," ")</f>
        <v xml:space="preserve"> </v>
      </c>
      <c r="BZ78" s="26" t="str">
        <f>IFERROR($AC78*HDF_Limited_Col!BZ78/HDF_Limited_Col!$AH78," ")</f>
        <v xml:space="preserve"> </v>
      </c>
      <c r="CA78" s="26" t="str">
        <f>IFERROR($AC78*HDF_Limited_Col!CA78/HDF_Limited_Col!$AH78," ")</f>
        <v xml:space="preserve"> </v>
      </c>
      <c r="CB78" s="26" t="str">
        <f>IFERROR($AC78*HDF_Limited_Col!CB78/HDF_Limited_Col!$AH78," ")</f>
        <v xml:space="preserve"> </v>
      </c>
      <c r="CC78" s="26" t="str">
        <f>IFERROR($AC78*HDF_Limited_Col!CC78/HDF_Limited_Col!$AH78," ")</f>
        <v xml:space="preserve"> </v>
      </c>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row>
    <row r="79" spans="1:109">
      <c r="A79" s="26" t="s">
        <v>1656</v>
      </c>
      <c r="B79" s="53" t="s">
        <v>24</v>
      </c>
      <c r="C79" s="152" t="s">
        <v>1800</v>
      </c>
      <c r="D79" s="53" t="s">
        <v>1706</v>
      </c>
      <c r="E79" s="53" t="s">
        <v>237</v>
      </c>
      <c r="F79" s="53" t="s">
        <v>849</v>
      </c>
      <c r="G79" s="53" t="s">
        <v>595</v>
      </c>
      <c r="H79" s="52">
        <v>364</v>
      </c>
      <c r="I79" s="53" t="s">
        <v>1148</v>
      </c>
      <c r="J79" s="53" t="s">
        <v>635</v>
      </c>
      <c r="K79" s="53" t="s">
        <v>1678</v>
      </c>
      <c r="L79" s="53"/>
      <c r="M79" s="53" t="s">
        <v>1686</v>
      </c>
      <c r="N79" s="53">
        <v>30</v>
      </c>
      <c r="O79" s="95">
        <v>11.002122694598016</v>
      </c>
      <c r="P79" s="95">
        <v>0.14131166763703876</v>
      </c>
      <c r="Q79" s="95">
        <v>1.3020860803698571</v>
      </c>
      <c r="R79" s="95">
        <v>7.8932660065831648</v>
      </c>
      <c r="S79" s="95">
        <v>30.785756163783446</v>
      </c>
      <c r="T79" s="95">
        <v>33.309178800159131</v>
      </c>
      <c r="U79" s="95">
        <v>0</v>
      </c>
      <c r="V79" s="95">
        <v>3.1290440691058583</v>
      </c>
      <c r="W79" s="95">
        <v>8.6099180353138625</v>
      </c>
      <c r="X79" s="95">
        <v>2.7555775189222556</v>
      </c>
      <c r="Y79" s="95">
        <v>1.3828356047338792</v>
      </c>
      <c r="Z79" s="95">
        <v>100.31109664120652</v>
      </c>
      <c r="AA79" s="53"/>
      <c r="AB79" s="26"/>
      <c r="AC79" s="26">
        <f t="shared" si="2"/>
        <v>71474.14151611182</v>
      </c>
      <c r="AD79" s="26" t="str">
        <f>IFERROR($AC79*HDF_Limited_Col!AD79/HDF_Limited_Col!$AH79," ")</f>
        <v xml:space="preserve"> </v>
      </c>
      <c r="AE79" s="26" t="str">
        <f>IFERROR($AC79*HDF_Limited_Col!AE79/HDF_Limited_Col!$AH79," ")</f>
        <v xml:space="preserve"> </v>
      </c>
      <c r="AF79" s="26" t="str">
        <f>IFERROR($AC79*HDF_Limited_Col!AF79/HDF_Limited_Col!$AH79," ")</f>
        <v xml:space="preserve"> </v>
      </c>
      <c r="AG79" s="26" t="str">
        <f>IFERROR($AC79*HDF_Limited_Col!AG79/HDF_Limited_Col!$AH79," ")</f>
        <v xml:space="preserve"> </v>
      </c>
      <c r="AH79" s="26" t="str">
        <f>IFERROR($AC79*HDF_Limited_Col!AH79/HDF_Limited_Col!$AH79," ")</f>
        <v xml:space="preserve"> </v>
      </c>
      <c r="AI79" s="26" t="str">
        <f>IFERROR($AC79*HDF_Limited_Col!AI79/HDF_Limited_Col!$AH79," ")</f>
        <v xml:space="preserve"> </v>
      </c>
      <c r="AJ79" s="26" t="str">
        <f>IFERROR($AC79*HDF_Limited_Col!AJ79/HDF_Limited_Col!$AH79," ")</f>
        <v xml:space="preserve"> </v>
      </c>
      <c r="AK79" s="26" t="str">
        <f>IFERROR($AC79*HDF_Limited_Col!AK79/HDF_Limited_Col!$AH79," ")</f>
        <v xml:space="preserve"> </v>
      </c>
      <c r="AL79" s="26" t="str">
        <f>IFERROR($AC79*HDF_Limited_Col!AL79/HDF_Limited_Col!$AH79," ")</f>
        <v xml:space="preserve"> </v>
      </c>
      <c r="AM79" s="26" t="str">
        <f>IFERROR($AC79*HDF_Limited_Col!AM79/HDF_Limited_Col!$AH79," ")</f>
        <v xml:space="preserve"> </v>
      </c>
      <c r="AN79" s="26" t="str">
        <f>IFERROR($AC79*HDF_Limited_Col!AN79/HDF_Limited_Col!$AH79," ")</f>
        <v xml:space="preserve"> </v>
      </c>
      <c r="AO79" s="26" t="str">
        <f>IFERROR($AC79*HDF_Limited_Col!AO79/HDF_Limited_Col!$AH79," ")</f>
        <v xml:space="preserve"> </v>
      </c>
      <c r="AP79" s="26" t="str">
        <f>IFERROR($AC79*HDF_Limited_Col!AP79/HDF_Limited_Col!$AH79," ")</f>
        <v xml:space="preserve"> </v>
      </c>
      <c r="AQ79" s="26" t="str">
        <f>IFERROR($AC79*HDF_Limited_Col!AQ79/HDF_Limited_Col!$AH79," ")</f>
        <v xml:space="preserve"> </v>
      </c>
      <c r="AR79" s="26" t="str">
        <f>IFERROR($AC79*HDF_Limited_Col!AR79/HDF_Limited_Col!$AH79," ")</f>
        <v xml:space="preserve"> </v>
      </c>
      <c r="AS79" s="26" t="str">
        <f>IFERROR($AC79*HDF_Limited_Col!AS79/HDF_Limited_Col!$AH79," ")</f>
        <v xml:space="preserve"> </v>
      </c>
      <c r="AT79" s="26" t="str">
        <f>IFERROR($AC79*HDF_Limited_Col!AT79/HDF_Limited_Col!$AH79," ")</f>
        <v xml:space="preserve"> </v>
      </c>
      <c r="AU79" s="26" t="str">
        <f>IFERROR($AC79*HDF_Limited_Col!AU79/HDF_Limited_Col!$AH79," ")</f>
        <v xml:space="preserve"> </v>
      </c>
      <c r="AV79" s="26" t="str">
        <f>IFERROR($AC79*HDF_Limited_Col!AV79/HDF_Limited_Col!$AH79," ")</f>
        <v xml:space="preserve"> </v>
      </c>
      <c r="AW79" s="26" t="str">
        <f>IFERROR($AC79*HDF_Limited_Col!AW79/HDF_Limited_Col!$AH79," ")</f>
        <v xml:space="preserve"> </v>
      </c>
      <c r="AX79" s="26" t="str">
        <f>IFERROR($AC79*HDF_Limited_Col!AX79/HDF_Limited_Col!$AH79," ")</f>
        <v xml:space="preserve"> </v>
      </c>
      <c r="AY79" s="26" t="str">
        <f>IFERROR($AC79*HDF_Limited_Col!AY79/HDF_Limited_Col!$AH79," ")</f>
        <v xml:space="preserve"> </v>
      </c>
      <c r="AZ79" s="26" t="str">
        <f>IFERROR($AC79*HDF_Limited_Col!AZ79/HDF_Limited_Col!$AH79," ")</f>
        <v xml:space="preserve"> </v>
      </c>
      <c r="BA79" s="26" t="str">
        <f>IFERROR($AC79*HDF_Limited_Col!BA79/HDF_Limited_Col!$AH79," ")</f>
        <v xml:space="preserve"> </v>
      </c>
      <c r="BB79" s="26" t="str">
        <f>IFERROR($AC79*HDF_Limited_Col!BB79/HDF_Limited_Col!$AH79," ")</f>
        <v xml:space="preserve"> </v>
      </c>
      <c r="BC79" s="26" t="str">
        <f>IFERROR($AC79*HDF_Limited_Col!BC79/HDF_Limited_Col!$AH79," ")</f>
        <v xml:space="preserve"> </v>
      </c>
      <c r="BD79" s="26" t="str">
        <f>IFERROR($AC79*HDF_Limited_Col!BD79/HDF_Limited_Col!$AH79," ")</f>
        <v xml:space="preserve"> </v>
      </c>
      <c r="BE79" s="26" t="str">
        <f>IFERROR($AC79*HDF_Limited_Col!BE79/HDF_Limited_Col!$AH79," ")</f>
        <v xml:space="preserve"> </v>
      </c>
      <c r="BF79" s="26" t="str">
        <f>IFERROR($AC79*HDF_Limited_Col!BF79/HDF_Limited_Col!$AH79," ")</f>
        <v xml:space="preserve"> </v>
      </c>
      <c r="BG79" s="26" t="str">
        <f>IFERROR($AC79*HDF_Limited_Col!BG79/HDF_Limited_Col!$AH79," ")</f>
        <v xml:space="preserve"> </v>
      </c>
      <c r="BH79" s="26" t="str">
        <f>IFERROR($AC79*HDF_Limited_Col!BH79/HDF_Limited_Col!$AH79," ")</f>
        <v xml:space="preserve"> </v>
      </c>
      <c r="BI79" s="26" t="str">
        <f>IFERROR($AC79*HDF_Limited_Col!BI79/HDF_Limited_Col!$AH79," ")</f>
        <v xml:space="preserve"> </v>
      </c>
      <c r="BJ79" s="26" t="str">
        <f>IFERROR($AC79*HDF_Limited_Col!BJ79/HDF_Limited_Col!$AH79," ")</f>
        <v xml:space="preserve"> </v>
      </c>
      <c r="BK79" s="26" t="str">
        <f>IFERROR($AC79*HDF_Limited_Col!BK79/HDF_Limited_Col!$AH79," ")</f>
        <v xml:space="preserve"> </v>
      </c>
      <c r="BL79" s="26" t="str">
        <f>IFERROR($AC79*HDF_Limited_Col!BL79/HDF_Limited_Col!$AH79," ")</f>
        <v xml:space="preserve"> </v>
      </c>
      <c r="BM79" s="26" t="str">
        <f>IFERROR($AC79*HDF_Limited_Col!BM79/HDF_Limited_Col!$AH79," ")</f>
        <v xml:space="preserve"> </v>
      </c>
      <c r="BN79" s="26" t="str">
        <f>IFERROR($AC79*HDF_Limited_Col!BN79/HDF_Limited_Col!$AH79," ")</f>
        <v xml:space="preserve"> </v>
      </c>
      <c r="BO79" s="26" t="str">
        <f>IFERROR($AC79*HDF_Limited_Col!BO79/HDF_Limited_Col!$AH79," ")</f>
        <v xml:space="preserve"> </v>
      </c>
      <c r="BP79" s="26" t="str">
        <f>IFERROR($AC79*HDF_Limited_Col!BP79/HDF_Limited_Col!$AH79," ")</f>
        <v xml:space="preserve"> </v>
      </c>
      <c r="BQ79" s="26" t="str">
        <f>IFERROR($AC79*HDF_Limited_Col!BQ79/HDF_Limited_Col!$AH79," ")</f>
        <v xml:space="preserve"> </v>
      </c>
      <c r="BR79" s="26" t="str">
        <f>IFERROR($AC79*HDF_Limited_Col!BR79/HDF_Limited_Col!$AH79," ")</f>
        <v xml:space="preserve"> </v>
      </c>
      <c r="BS79" s="26" t="str">
        <f>IFERROR($AC79*HDF_Limited_Col!BS79/HDF_Limited_Col!$AH79," ")</f>
        <v xml:space="preserve"> </v>
      </c>
      <c r="BT79" s="26" t="str">
        <f>IFERROR($AC79*HDF_Limited_Col!BT79/HDF_Limited_Col!$AH79," ")</f>
        <v xml:space="preserve"> </v>
      </c>
      <c r="BU79" s="26" t="str">
        <f>IFERROR($AC79*HDF_Limited_Col!BU79/HDF_Limited_Col!$AH79," ")</f>
        <v xml:space="preserve"> </v>
      </c>
      <c r="BV79" s="26" t="str">
        <f>IFERROR($AC79*HDF_Limited_Col!BV79/HDF_Limited_Col!$AH79," ")</f>
        <v xml:space="preserve"> </v>
      </c>
      <c r="BW79" s="26" t="str">
        <f>IFERROR($AC79*HDF_Limited_Col!BW79/HDF_Limited_Col!$AH79," ")</f>
        <v xml:space="preserve"> </v>
      </c>
      <c r="BX79" s="26" t="str">
        <f>IFERROR($AC79*HDF_Limited_Col!BX79/HDF_Limited_Col!$AH79," ")</f>
        <v xml:space="preserve"> </v>
      </c>
      <c r="BY79" s="26" t="str">
        <f>IFERROR($AC79*HDF_Limited_Col!BY79/HDF_Limited_Col!$AH79," ")</f>
        <v xml:space="preserve"> </v>
      </c>
      <c r="BZ79" s="26" t="str">
        <f>IFERROR($AC79*HDF_Limited_Col!BZ79/HDF_Limited_Col!$AH79," ")</f>
        <v xml:space="preserve"> </v>
      </c>
      <c r="CA79" s="26" t="str">
        <f>IFERROR($AC79*HDF_Limited_Col!CA79/HDF_Limited_Col!$AH79," ")</f>
        <v xml:space="preserve"> </v>
      </c>
      <c r="CB79" s="26" t="str">
        <f>IFERROR($AC79*HDF_Limited_Col!CB79/HDF_Limited_Col!$AH79," ")</f>
        <v xml:space="preserve"> </v>
      </c>
      <c r="CC79" s="26" t="str">
        <f>IFERROR($AC79*HDF_Limited_Col!CC79/HDF_Limited_Col!$AH79," ")</f>
        <v xml:space="preserve"> </v>
      </c>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row>
    <row r="80" spans="1:109">
      <c r="A80" s="26" t="s">
        <v>1656</v>
      </c>
      <c r="B80" s="53" t="s">
        <v>24</v>
      </c>
      <c r="C80" s="152" t="s">
        <v>1800</v>
      </c>
      <c r="D80" s="53" t="s">
        <v>1706</v>
      </c>
      <c r="E80" s="53" t="s">
        <v>237</v>
      </c>
      <c r="F80" s="53" t="s">
        <v>849</v>
      </c>
      <c r="G80" s="53" t="s">
        <v>595</v>
      </c>
      <c r="H80" s="52">
        <v>364</v>
      </c>
      <c r="I80" s="53" t="s">
        <v>1148</v>
      </c>
      <c r="J80" s="53" t="s">
        <v>635</v>
      </c>
      <c r="K80" s="53" t="s">
        <v>1678</v>
      </c>
      <c r="L80" s="53"/>
      <c r="M80" s="53" t="s">
        <v>1688</v>
      </c>
      <c r="N80" s="53">
        <v>30</v>
      </c>
      <c r="O80" s="95">
        <v>8.3740775267059284</v>
      </c>
      <c r="P80" s="95">
        <v>0.53473025170531829</v>
      </c>
      <c r="Q80" s="95">
        <v>0.90803250289582349</v>
      </c>
      <c r="R80" s="95">
        <v>6.5781910209786316</v>
      </c>
      <c r="S80" s="95">
        <v>23.407060074647895</v>
      </c>
      <c r="T80" s="95">
        <v>15.84012255051603</v>
      </c>
      <c r="U80" s="95">
        <v>0.36321300115832944</v>
      </c>
      <c r="V80" s="95">
        <v>12.207992538932738</v>
      </c>
      <c r="W80" s="95">
        <v>22.095457570465037</v>
      </c>
      <c r="X80" s="95">
        <v>6.5580125209142803</v>
      </c>
      <c r="Y80" s="95">
        <v>4.0357000128703264</v>
      </c>
      <c r="Z80" s="95">
        <v>100.90258957179033</v>
      </c>
      <c r="AA80" s="53"/>
      <c r="AB80" s="26"/>
      <c r="AC80" s="26">
        <f t="shared" si="2"/>
        <v>183422.63593884409</v>
      </c>
      <c r="AD80" s="26" t="str">
        <f>IFERROR($AC80*HDF_Limited_Col!AD80/HDF_Limited_Col!$AH80," ")</f>
        <v xml:space="preserve"> </v>
      </c>
      <c r="AE80" s="26" t="str">
        <f>IFERROR($AC80*HDF_Limited_Col!AE80/HDF_Limited_Col!$AH80," ")</f>
        <v xml:space="preserve"> </v>
      </c>
      <c r="AF80" s="26" t="str">
        <f>IFERROR($AC80*HDF_Limited_Col!AF80/HDF_Limited_Col!$AH80," ")</f>
        <v xml:space="preserve"> </v>
      </c>
      <c r="AG80" s="26" t="str">
        <f>IFERROR($AC80*HDF_Limited_Col!AG80/HDF_Limited_Col!$AH80," ")</f>
        <v xml:space="preserve"> </v>
      </c>
      <c r="AH80" s="26" t="str">
        <f>IFERROR($AC80*HDF_Limited_Col!AH80/HDF_Limited_Col!$AH80," ")</f>
        <v xml:space="preserve"> </v>
      </c>
      <c r="AI80" s="26" t="str">
        <f>IFERROR($AC80*HDF_Limited_Col!AI80/HDF_Limited_Col!$AH80," ")</f>
        <v xml:space="preserve"> </v>
      </c>
      <c r="AJ80" s="26" t="str">
        <f>IFERROR($AC80*HDF_Limited_Col!AJ80/HDF_Limited_Col!$AH80," ")</f>
        <v xml:space="preserve"> </v>
      </c>
      <c r="AK80" s="26" t="str">
        <f>IFERROR($AC80*HDF_Limited_Col!AK80/HDF_Limited_Col!$AH80," ")</f>
        <v xml:space="preserve"> </v>
      </c>
      <c r="AL80" s="26" t="str">
        <f>IFERROR($AC80*HDF_Limited_Col!AL80/HDF_Limited_Col!$AH80," ")</f>
        <v xml:space="preserve"> </v>
      </c>
      <c r="AM80" s="26" t="str">
        <f>IFERROR($AC80*HDF_Limited_Col!AM80/HDF_Limited_Col!$AH80," ")</f>
        <v xml:space="preserve"> </v>
      </c>
      <c r="AN80" s="26" t="str">
        <f>IFERROR($AC80*HDF_Limited_Col!AN80/HDF_Limited_Col!$AH80," ")</f>
        <v xml:space="preserve"> </v>
      </c>
      <c r="AO80" s="26" t="str">
        <f>IFERROR($AC80*HDF_Limited_Col!AO80/HDF_Limited_Col!$AH80," ")</f>
        <v xml:space="preserve"> </v>
      </c>
      <c r="AP80" s="26" t="str">
        <f>IFERROR($AC80*HDF_Limited_Col!AP80/HDF_Limited_Col!$AH80," ")</f>
        <v xml:space="preserve"> </v>
      </c>
      <c r="AQ80" s="26" t="str">
        <f>IFERROR($AC80*HDF_Limited_Col!AQ80/HDF_Limited_Col!$AH80," ")</f>
        <v xml:space="preserve"> </v>
      </c>
      <c r="AR80" s="26" t="str">
        <f>IFERROR($AC80*HDF_Limited_Col!AR80/HDF_Limited_Col!$AH80," ")</f>
        <v xml:space="preserve"> </v>
      </c>
      <c r="AS80" s="26" t="str">
        <f>IFERROR($AC80*HDF_Limited_Col!AS80/HDF_Limited_Col!$AH80," ")</f>
        <v xml:space="preserve"> </v>
      </c>
      <c r="AT80" s="26" t="str">
        <f>IFERROR($AC80*HDF_Limited_Col!AT80/HDF_Limited_Col!$AH80," ")</f>
        <v xml:space="preserve"> </v>
      </c>
      <c r="AU80" s="26" t="str">
        <f>IFERROR($AC80*HDF_Limited_Col!AU80/HDF_Limited_Col!$AH80," ")</f>
        <v xml:space="preserve"> </v>
      </c>
      <c r="AV80" s="26" t="str">
        <f>IFERROR($AC80*HDF_Limited_Col!AV80/HDF_Limited_Col!$AH80," ")</f>
        <v xml:space="preserve"> </v>
      </c>
      <c r="AW80" s="26" t="str">
        <f>IFERROR($AC80*HDF_Limited_Col!AW80/HDF_Limited_Col!$AH80," ")</f>
        <v xml:space="preserve"> </v>
      </c>
      <c r="AX80" s="26" t="str">
        <f>IFERROR($AC80*HDF_Limited_Col!AX80/HDF_Limited_Col!$AH80," ")</f>
        <v xml:space="preserve"> </v>
      </c>
      <c r="AY80" s="26" t="str">
        <f>IFERROR($AC80*HDF_Limited_Col!AY80/HDF_Limited_Col!$AH80," ")</f>
        <v xml:space="preserve"> </v>
      </c>
      <c r="AZ80" s="26" t="str">
        <f>IFERROR($AC80*HDF_Limited_Col!AZ80/HDF_Limited_Col!$AH80," ")</f>
        <v xml:space="preserve"> </v>
      </c>
      <c r="BA80" s="26" t="str">
        <f>IFERROR($AC80*HDF_Limited_Col!BA80/HDF_Limited_Col!$AH80," ")</f>
        <v xml:space="preserve"> </v>
      </c>
      <c r="BB80" s="26" t="str">
        <f>IFERROR($AC80*HDF_Limited_Col!BB80/HDF_Limited_Col!$AH80," ")</f>
        <v xml:space="preserve"> </v>
      </c>
      <c r="BC80" s="26" t="str">
        <f>IFERROR($AC80*HDF_Limited_Col!BC80/HDF_Limited_Col!$AH80," ")</f>
        <v xml:space="preserve"> </v>
      </c>
      <c r="BD80" s="26" t="str">
        <f>IFERROR($AC80*HDF_Limited_Col!BD80/HDF_Limited_Col!$AH80," ")</f>
        <v xml:space="preserve"> </v>
      </c>
      <c r="BE80" s="26" t="str">
        <f>IFERROR($AC80*HDF_Limited_Col!BE80/HDF_Limited_Col!$AH80," ")</f>
        <v xml:space="preserve"> </v>
      </c>
      <c r="BF80" s="26" t="str">
        <f>IFERROR($AC80*HDF_Limited_Col!BF80/HDF_Limited_Col!$AH80," ")</f>
        <v xml:space="preserve"> </v>
      </c>
      <c r="BG80" s="26" t="str">
        <f>IFERROR($AC80*HDF_Limited_Col!BG80/HDF_Limited_Col!$AH80," ")</f>
        <v xml:space="preserve"> </v>
      </c>
      <c r="BH80" s="26" t="str">
        <f>IFERROR($AC80*HDF_Limited_Col!BH80/HDF_Limited_Col!$AH80," ")</f>
        <v xml:space="preserve"> </v>
      </c>
      <c r="BI80" s="26" t="str">
        <f>IFERROR($AC80*HDF_Limited_Col!BI80/HDF_Limited_Col!$AH80," ")</f>
        <v xml:space="preserve"> </v>
      </c>
      <c r="BJ80" s="26" t="str">
        <f>IFERROR($AC80*HDF_Limited_Col!BJ80/HDF_Limited_Col!$AH80," ")</f>
        <v xml:space="preserve"> </v>
      </c>
      <c r="BK80" s="26" t="str">
        <f>IFERROR($AC80*HDF_Limited_Col!BK80/HDF_Limited_Col!$AH80," ")</f>
        <v xml:space="preserve"> </v>
      </c>
      <c r="BL80" s="26" t="str">
        <f>IFERROR($AC80*HDF_Limited_Col!BL80/HDF_Limited_Col!$AH80," ")</f>
        <v xml:space="preserve"> </v>
      </c>
      <c r="BM80" s="26" t="str">
        <f>IFERROR($AC80*HDF_Limited_Col!BM80/HDF_Limited_Col!$AH80," ")</f>
        <v xml:space="preserve"> </v>
      </c>
      <c r="BN80" s="26" t="str">
        <f>IFERROR($AC80*HDF_Limited_Col!BN80/HDF_Limited_Col!$AH80," ")</f>
        <v xml:space="preserve"> </v>
      </c>
      <c r="BO80" s="26" t="str">
        <f>IFERROR($AC80*HDF_Limited_Col!BO80/HDF_Limited_Col!$AH80," ")</f>
        <v xml:space="preserve"> </v>
      </c>
      <c r="BP80" s="26" t="str">
        <f>IFERROR($AC80*HDF_Limited_Col!BP80/HDF_Limited_Col!$AH80," ")</f>
        <v xml:space="preserve"> </v>
      </c>
      <c r="BQ80" s="26" t="str">
        <f>IFERROR($AC80*HDF_Limited_Col!BQ80/HDF_Limited_Col!$AH80," ")</f>
        <v xml:space="preserve"> </v>
      </c>
      <c r="BR80" s="26" t="str">
        <f>IFERROR($AC80*HDF_Limited_Col!BR80/HDF_Limited_Col!$AH80," ")</f>
        <v xml:space="preserve"> </v>
      </c>
      <c r="BS80" s="26" t="str">
        <f>IFERROR($AC80*HDF_Limited_Col!BS80/HDF_Limited_Col!$AH80," ")</f>
        <v xml:space="preserve"> </v>
      </c>
      <c r="BT80" s="26" t="str">
        <f>IFERROR($AC80*HDF_Limited_Col!BT80/HDF_Limited_Col!$AH80," ")</f>
        <v xml:space="preserve"> </v>
      </c>
      <c r="BU80" s="26" t="str">
        <f>IFERROR($AC80*HDF_Limited_Col!BU80/HDF_Limited_Col!$AH80," ")</f>
        <v xml:space="preserve"> </v>
      </c>
      <c r="BV80" s="26" t="str">
        <f>IFERROR($AC80*HDF_Limited_Col!BV80/HDF_Limited_Col!$AH80," ")</f>
        <v xml:space="preserve"> </v>
      </c>
      <c r="BW80" s="26" t="str">
        <f>IFERROR($AC80*HDF_Limited_Col!BW80/HDF_Limited_Col!$AH80," ")</f>
        <v xml:space="preserve"> </v>
      </c>
      <c r="BX80" s="26" t="str">
        <f>IFERROR($AC80*HDF_Limited_Col!BX80/HDF_Limited_Col!$AH80," ")</f>
        <v xml:space="preserve"> </v>
      </c>
      <c r="BY80" s="26" t="str">
        <f>IFERROR($AC80*HDF_Limited_Col!BY80/HDF_Limited_Col!$AH80," ")</f>
        <v xml:space="preserve"> </v>
      </c>
      <c r="BZ80" s="26" t="str">
        <f>IFERROR($AC80*HDF_Limited_Col!BZ80/HDF_Limited_Col!$AH80," ")</f>
        <v xml:space="preserve"> </v>
      </c>
      <c r="CA80" s="26" t="str">
        <f>IFERROR($AC80*HDF_Limited_Col!CA80/HDF_Limited_Col!$AH80," ")</f>
        <v xml:space="preserve"> </v>
      </c>
      <c r="CB80" s="26" t="str">
        <f>IFERROR($AC80*HDF_Limited_Col!CB80/HDF_Limited_Col!$AH80," ")</f>
        <v xml:space="preserve"> </v>
      </c>
      <c r="CC80" s="26" t="str">
        <f>IFERROR($AC80*HDF_Limited_Col!CC80/HDF_Limited_Col!$AH80," ")</f>
        <v xml:space="preserve"> </v>
      </c>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row>
    <row r="81" spans="1:109">
      <c r="A81" s="26" t="s">
        <v>1656</v>
      </c>
      <c r="B81" s="53" t="s">
        <v>24</v>
      </c>
      <c r="C81" s="152" t="s">
        <v>1800</v>
      </c>
      <c r="D81" s="53" t="s">
        <v>1706</v>
      </c>
      <c r="E81" s="53" t="s">
        <v>237</v>
      </c>
      <c r="F81" s="53" t="s">
        <v>849</v>
      </c>
      <c r="G81" s="53" t="s">
        <v>595</v>
      </c>
      <c r="H81" s="52">
        <v>364</v>
      </c>
      <c r="I81" s="53" t="s">
        <v>1148</v>
      </c>
      <c r="J81" s="53" t="s">
        <v>635</v>
      </c>
      <c r="K81" s="53" t="s">
        <v>1678</v>
      </c>
      <c r="L81" s="53"/>
      <c r="M81" s="53" t="s">
        <v>1689</v>
      </c>
      <c r="N81" s="53">
        <v>20</v>
      </c>
      <c r="O81" s="95">
        <v>5.2281904159079069</v>
      </c>
      <c r="P81" s="95">
        <v>0.11433418404569974</v>
      </c>
      <c r="Q81" s="95">
        <v>0</v>
      </c>
      <c r="R81" s="95">
        <v>8.8972783221017266</v>
      </c>
      <c r="S81" s="95">
        <v>16.006785766397964</v>
      </c>
      <c r="T81" s="95">
        <v>14.135862754741057</v>
      </c>
      <c r="U81" s="95">
        <v>8.6270338870846164</v>
      </c>
      <c r="V81" s="95">
        <v>7.9826048497361271</v>
      </c>
      <c r="W81" s="95">
        <v>30.662349357710383</v>
      </c>
      <c r="X81" s="95">
        <v>0</v>
      </c>
      <c r="Y81" s="95">
        <v>10.705837233370067</v>
      </c>
      <c r="Z81" s="95">
        <v>102.36027677109554</v>
      </c>
      <c r="AA81" s="53"/>
      <c r="AB81" s="26"/>
      <c r="AC81" s="26">
        <f t="shared" si="2"/>
        <v>254539.600518922</v>
      </c>
      <c r="AD81" s="26" t="str">
        <f>IFERROR($AC81*HDF_Limited_Col!AD81/HDF_Limited_Col!$AH81," ")</f>
        <v xml:space="preserve"> </v>
      </c>
      <c r="AE81" s="26" t="str">
        <f>IFERROR($AC81*HDF_Limited_Col!AE81/HDF_Limited_Col!$AH81," ")</f>
        <v xml:space="preserve"> </v>
      </c>
      <c r="AF81" s="26" t="str">
        <f>IFERROR($AC81*HDF_Limited_Col!AF81/HDF_Limited_Col!$AH81," ")</f>
        <v xml:space="preserve"> </v>
      </c>
      <c r="AG81" s="26" t="str">
        <f>IFERROR($AC81*HDF_Limited_Col!AG81/HDF_Limited_Col!$AH81," ")</f>
        <v xml:space="preserve"> </v>
      </c>
      <c r="AH81" s="26" t="str">
        <f>IFERROR($AC81*HDF_Limited_Col!AH81/HDF_Limited_Col!$AH81," ")</f>
        <v xml:space="preserve"> </v>
      </c>
      <c r="AI81" s="26" t="str">
        <f>IFERROR($AC81*HDF_Limited_Col!AI81/HDF_Limited_Col!$AH81," ")</f>
        <v xml:space="preserve"> </v>
      </c>
      <c r="AJ81" s="26" t="str">
        <f>IFERROR($AC81*HDF_Limited_Col!AJ81/HDF_Limited_Col!$AH81," ")</f>
        <v xml:space="preserve"> </v>
      </c>
      <c r="AK81" s="26" t="str">
        <f>IFERROR($AC81*HDF_Limited_Col!AK81/HDF_Limited_Col!$AH81," ")</f>
        <v xml:space="preserve"> </v>
      </c>
      <c r="AL81" s="26" t="str">
        <f>IFERROR($AC81*HDF_Limited_Col!AL81/HDF_Limited_Col!$AH81," ")</f>
        <v xml:space="preserve"> </v>
      </c>
      <c r="AM81" s="26" t="str">
        <f>IFERROR($AC81*HDF_Limited_Col!AM81/HDF_Limited_Col!$AH81," ")</f>
        <v xml:space="preserve"> </v>
      </c>
      <c r="AN81" s="26" t="str">
        <f>IFERROR($AC81*HDF_Limited_Col!AN81/HDF_Limited_Col!$AH81," ")</f>
        <v xml:space="preserve"> </v>
      </c>
      <c r="AO81" s="26" t="str">
        <f>IFERROR($AC81*HDF_Limited_Col!AO81/HDF_Limited_Col!$AH81," ")</f>
        <v xml:space="preserve"> </v>
      </c>
      <c r="AP81" s="26" t="str">
        <f>IFERROR($AC81*HDF_Limited_Col!AP81/HDF_Limited_Col!$AH81," ")</f>
        <v xml:space="preserve"> </v>
      </c>
      <c r="AQ81" s="26" t="str">
        <f>IFERROR($AC81*HDF_Limited_Col!AQ81/HDF_Limited_Col!$AH81," ")</f>
        <v xml:space="preserve"> </v>
      </c>
      <c r="AR81" s="26" t="str">
        <f>IFERROR($AC81*HDF_Limited_Col!AR81/HDF_Limited_Col!$AH81," ")</f>
        <v xml:space="preserve"> </v>
      </c>
      <c r="AS81" s="26" t="str">
        <f>IFERROR($AC81*HDF_Limited_Col!AS81/HDF_Limited_Col!$AH81," ")</f>
        <v xml:space="preserve"> </v>
      </c>
      <c r="AT81" s="26" t="str">
        <f>IFERROR($AC81*HDF_Limited_Col!AT81/HDF_Limited_Col!$AH81," ")</f>
        <v xml:space="preserve"> </v>
      </c>
      <c r="AU81" s="26" t="str">
        <f>IFERROR($AC81*HDF_Limited_Col!AU81/HDF_Limited_Col!$AH81," ")</f>
        <v xml:space="preserve"> </v>
      </c>
      <c r="AV81" s="26" t="str">
        <f>IFERROR($AC81*HDF_Limited_Col!AV81/HDF_Limited_Col!$AH81," ")</f>
        <v xml:space="preserve"> </v>
      </c>
      <c r="AW81" s="26" t="str">
        <f>IFERROR($AC81*HDF_Limited_Col!AW81/HDF_Limited_Col!$AH81," ")</f>
        <v xml:space="preserve"> </v>
      </c>
      <c r="AX81" s="26" t="str">
        <f>IFERROR($AC81*HDF_Limited_Col!AX81/HDF_Limited_Col!$AH81," ")</f>
        <v xml:space="preserve"> </v>
      </c>
      <c r="AY81" s="26" t="str">
        <f>IFERROR($AC81*HDF_Limited_Col!AY81/HDF_Limited_Col!$AH81," ")</f>
        <v xml:space="preserve"> </v>
      </c>
      <c r="AZ81" s="26" t="str">
        <f>IFERROR($AC81*HDF_Limited_Col!AZ81/HDF_Limited_Col!$AH81," ")</f>
        <v xml:space="preserve"> </v>
      </c>
      <c r="BA81" s="26" t="str">
        <f>IFERROR($AC81*HDF_Limited_Col!BA81/HDF_Limited_Col!$AH81," ")</f>
        <v xml:space="preserve"> </v>
      </c>
      <c r="BB81" s="26" t="str">
        <f>IFERROR($AC81*HDF_Limited_Col!BB81/HDF_Limited_Col!$AH81," ")</f>
        <v xml:space="preserve"> </v>
      </c>
      <c r="BC81" s="26" t="str">
        <f>IFERROR($AC81*HDF_Limited_Col!BC81/HDF_Limited_Col!$AH81," ")</f>
        <v xml:space="preserve"> </v>
      </c>
      <c r="BD81" s="26" t="str">
        <f>IFERROR($AC81*HDF_Limited_Col!BD81/HDF_Limited_Col!$AH81," ")</f>
        <v xml:space="preserve"> </v>
      </c>
      <c r="BE81" s="26" t="str">
        <f>IFERROR($AC81*HDF_Limited_Col!BE81/HDF_Limited_Col!$AH81," ")</f>
        <v xml:space="preserve"> </v>
      </c>
      <c r="BF81" s="26" t="str">
        <f>IFERROR($AC81*HDF_Limited_Col!BF81/HDF_Limited_Col!$AH81," ")</f>
        <v xml:space="preserve"> </v>
      </c>
      <c r="BG81" s="26" t="str">
        <f>IFERROR($AC81*HDF_Limited_Col!BG81/HDF_Limited_Col!$AH81," ")</f>
        <v xml:space="preserve"> </v>
      </c>
      <c r="BH81" s="26" t="str">
        <f>IFERROR($AC81*HDF_Limited_Col!BH81/HDF_Limited_Col!$AH81," ")</f>
        <v xml:space="preserve"> </v>
      </c>
      <c r="BI81" s="26" t="str">
        <f>IFERROR($AC81*HDF_Limited_Col!BI81/HDF_Limited_Col!$AH81," ")</f>
        <v xml:space="preserve"> </v>
      </c>
      <c r="BJ81" s="26" t="str">
        <f>IFERROR($AC81*HDF_Limited_Col!BJ81/HDF_Limited_Col!$AH81," ")</f>
        <v xml:space="preserve"> </v>
      </c>
      <c r="BK81" s="26" t="str">
        <f>IFERROR($AC81*HDF_Limited_Col!BK81/HDF_Limited_Col!$AH81," ")</f>
        <v xml:space="preserve"> </v>
      </c>
      <c r="BL81" s="26" t="str">
        <f>IFERROR($AC81*HDF_Limited_Col!BL81/HDF_Limited_Col!$AH81," ")</f>
        <v xml:space="preserve"> </v>
      </c>
      <c r="BM81" s="26" t="str">
        <f>IFERROR($AC81*HDF_Limited_Col!BM81/HDF_Limited_Col!$AH81," ")</f>
        <v xml:space="preserve"> </v>
      </c>
      <c r="BN81" s="26" t="str">
        <f>IFERROR($AC81*HDF_Limited_Col!BN81/HDF_Limited_Col!$AH81," ")</f>
        <v xml:space="preserve"> </v>
      </c>
      <c r="BO81" s="26" t="str">
        <f>IFERROR($AC81*HDF_Limited_Col!BO81/HDF_Limited_Col!$AH81," ")</f>
        <v xml:space="preserve"> </v>
      </c>
      <c r="BP81" s="26" t="str">
        <f>IFERROR($AC81*HDF_Limited_Col!BP81/HDF_Limited_Col!$AH81," ")</f>
        <v xml:space="preserve"> </v>
      </c>
      <c r="BQ81" s="26" t="str">
        <f>IFERROR($AC81*HDF_Limited_Col!BQ81/HDF_Limited_Col!$AH81," ")</f>
        <v xml:space="preserve"> </v>
      </c>
      <c r="BR81" s="26" t="str">
        <f>IFERROR($AC81*HDF_Limited_Col!BR81/HDF_Limited_Col!$AH81," ")</f>
        <v xml:space="preserve"> </v>
      </c>
      <c r="BS81" s="26" t="str">
        <f>IFERROR($AC81*HDF_Limited_Col!BS81/HDF_Limited_Col!$AH81," ")</f>
        <v xml:space="preserve"> </v>
      </c>
      <c r="BT81" s="26" t="str">
        <f>IFERROR($AC81*HDF_Limited_Col!BT81/HDF_Limited_Col!$AH81," ")</f>
        <v xml:space="preserve"> </v>
      </c>
      <c r="BU81" s="26" t="str">
        <f>IFERROR($AC81*HDF_Limited_Col!BU81/HDF_Limited_Col!$AH81," ")</f>
        <v xml:space="preserve"> </v>
      </c>
      <c r="BV81" s="26" t="str">
        <f>IFERROR($AC81*HDF_Limited_Col!BV81/HDF_Limited_Col!$AH81," ")</f>
        <v xml:space="preserve"> </v>
      </c>
      <c r="BW81" s="26" t="str">
        <f>IFERROR($AC81*HDF_Limited_Col!BW81/HDF_Limited_Col!$AH81," ")</f>
        <v xml:space="preserve"> </v>
      </c>
      <c r="BX81" s="26" t="str">
        <f>IFERROR($AC81*HDF_Limited_Col!BX81/HDF_Limited_Col!$AH81," ")</f>
        <v xml:space="preserve"> </v>
      </c>
      <c r="BY81" s="26" t="str">
        <f>IFERROR($AC81*HDF_Limited_Col!BY81/HDF_Limited_Col!$AH81," ")</f>
        <v xml:space="preserve"> </v>
      </c>
      <c r="BZ81" s="26" t="str">
        <f>IFERROR($AC81*HDF_Limited_Col!BZ81/HDF_Limited_Col!$AH81," ")</f>
        <v xml:space="preserve"> </v>
      </c>
      <c r="CA81" s="26" t="str">
        <f>IFERROR($AC81*HDF_Limited_Col!CA81/HDF_Limited_Col!$AH81," ")</f>
        <v xml:space="preserve"> </v>
      </c>
      <c r="CB81" s="26" t="str">
        <f>IFERROR($AC81*HDF_Limited_Col!CB81/HDF_Limited_Col!$AH81," ")</f>
        <v xml:space="preserve"> </v>
      </c>
      <c r="CC81" s="26" t="str">
        <f>IFERROR($AC81*HDF_Limited_Col!CC81/HDF_Limited_Col!$AH81," ")</f>
        <v xml:space="preserve"> </v>
      </c>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row>
    <row r="82" spans="1:109">
      <c r="A82" s="26" t="s">
        <v>1656</v>
      </c>
      <c r="B82" s="53" t="s">
        <v>24</v>
      </c>
      <c r="C82" s="152" t="s">
        <v>1800</v>
      </c>
      <c r="D82" s="53" t="s">
        <v>1706</v>
      </c>
      <c r="E82" s="53" t="s">
        <v>237</v>
      </c>
      <c r="F82" s="53" t="s">
        <v>849</v>
      </c>
      <c r="G82" s="53" t="s">
        <v>595</v>
      </c>
      <c r="H82" s="52">
        <v>364</v>
      </c>
      <c r="I82" s="53" t="s">
        <v>1148</v>
      </c>
      <c r="J82" s="53" t="s">
        <v>635</v>
      </c>
      <c r="K82" s="53" t="s">
        <v>1678</v>
      </c>
      <c r="L82" s="53"/>
      <c r="M82" s="53" t="s">
        <v>1690</v>
      </c>
      <c r="N82" s="53">
        <v>26</v>
      </c>
      <c r="O82" s="95">
        <v>7.83671058975305</v>
      </c>
      <c r="P82" s="95">
        <v>0.45386354766909559</v>
      </c>
      <c r="Q82" s="95">
        <v>1.1094442276355672</v>
      </c>
      <c r="R82" s="95">
        <v>6.6364936525836633</v>
      </c>
      <c r="S82" s="95">
        <v>22.390601685008715</v>
      </c>
      <c r="T82" s="95">
        <v>12.809037900883364</v>
      </c>
      <c r="U82" s="95">
        <v>0.15128784922303185</v>
      </c>
      <c r="V82" s="95">
        <v>16.036512017641378</v>
      </c>
      <c r="W82" s="95">
        <v>21.382016023521835</v>
      </c>
      <c r="X82" s="95">
        <v>8.0384277220504252</v>
      </c>
      <c r="Y82" s="95">
        <v>4.0646002157921224</v>
      </c>
      <c r="Z82" s="95">
        <v>100.90899543176225</v>
      </c>
      <c r="AA82" s="53"/>
      <c r="AB82" s="26"/>
      <c r="AC82" s="26">
        <f t="shared" si="2"/>
        <v>177500.09151036706</v>
      </c>
      <c r="AD82" s="26" t="str">
        <f>IFERROR($AC82*HDF_Limited_Col!AD82/HDF_Limited_Col!$AH82," ")</f>
        <v xml:space="preserve"> </v>
      </c>
      <c r="AE82" s="26" t="str">
        <f>IFERROR($AC82*HDF_Limited_Col!AE82/HDF_Limited_Col!$AH82," ")</f>
        <v xml:space="preserve"> </v>
      </c>
      <c r="AF82" s="26" t="str">
        <f>IFERROR($AC82*HDF_Limited_Col!AF82/HDF_Limited_Col!$AH82," ")</f>
        <v xml:space="preserve"> </v>
      </c>
      <c r="AG82" s="26" t="str">
        <f>IFERROR($AC82*HDF_Limited_Col!AG82/HDF_Limited_Col!$AH82," ")</f>
        <v xml:space="preserve"> </v>
      </c>
      <c r="AH82" s="26" t="str">
        <f>IFERROR($AC82*HDF_Limited_Col!AH82/HDF_Limited_Col!$AH82," ")</f>
        <v xml:space="preserve"> </v>
      </c>
      <c r="AI82" s="26" t="str">
        <f>IFERROR($AC82*HDF_Limited_Col!AI82/HDF_Limited_Col!$AH82," ")</f>
        <v xml:space="preserve"> </v>
      </c>
      <c r="AJ82" s="26" t="str">
        <f>IFERROR($AC82*HDF_Limited_Col!AJ82/HDF_Limited_Col!$AH82," ")</f>
        <v xml:space="preserve"> </v>
      </c>
      <c r="AK82" s="26" t="str">
        <f>IFERROR($AC82*HDF_Limited_Col!AK82/HDF_Limited_Col!$AH82," ")</f>
        <v xml:space="preserve"> </v>
      </c>
      <c r="AL82" s="26" t="str">
        <f>IFERROR($AC82*HDF_Limited_Col!AL82/HDF_Limited_Col!$AH82," ")</f>
        <v xml:space="preserve"> </v>
      </c>
      <c r="AM82" s="26" t="str">
        <f>IFERROR($AC82*HDF_Limited_Col!AM82/HDF_Limited_Col!$AH82," ")</f>
        <v xml:space="preserve"> </v>
      </c>
      <c r="AN82" s="26" t="str">
        <f>IFERROR($AC82*HDF_Limited_Col!AN82/HDF_Limited_Col!$AH82," ")</f>
        <v xml:space="preserve"> </v>
      </c>
      <c r="AO82" s="26" t="str">
        <f>IFERROR($AC82*HDF_Limited_Col!AO82/HDF_Limited_Col!$AH82," ")</f>
        <v xml:space="preserve"> </v>
      </c>
      <c r="AP82" s="26" t="str">
        <f>IFERROR($AC82*HDF_Limited_Col!AP82/HDF_Limited_Col!$AH82," ")</f>
        <v xml:space="preserve"> </v>
      </c>
      <c r="AQ82" s="26" t="str">
        <f>IFERROR($AC82*HDF_Limited_Col!AQ82/HDF_Limited_Col!$AH82," ")</f>
        <v xml:space="preserve"> </v>
      </c>
      <c r="AR82" s="26" t="str">
        <f>IFERROR($AC82*HDF_Limited_Col!AR82/HDF_Limited_Col!$AH82," ")</f>
        <v xml:space="preserve"> </v>
      </c>
      <c r="AS82" s="26" t="str">
        <f>IFERROR($AC82*HDF_Limited_Col!AS82/HDF_Limited_Col!$AH82," ")</f>
        <v xml:space="preserve"> </v>
      </c>
      <c r="AT82" s="26" t="str">
        <f>IFERROR($AC82*HDF_Limited_Col!AT82/HDF_Limited_Col!$AH82," ")</f>
        <v xml:space="preserve"> </v>
      </c>
      <c r="AU82" s="26" t="str">
        <f>IFERROR($AC82*HDF_Limited_Col!AU82/HDF_Limited_Col!$AH82," ")</f>
        <v xml:space="preserve"> </v>
      </c>
      <c r="AV82" s="26" t="str">
        <f>IFERROR($AC82*HDF_Limited_Col!AV82/HDF_Limited_Col!$AH82," ")</f>
        <v xml:space="preserve"> </v>
      </c>
      <c r="AW82" s="26" t="str">
        <f>IFERROR($AC82*HDF_Limited_Col!AW82/HDF_Limited_Col!$AH82," ")</f>
        <v xml:space="preserve"> </v>
      </c>
      <c r="AX82" s="26" t="str">
        <f>IFERROR($AC82*HDF_Limited_Col!AX82/HDF_Limited_Col!$AH82," ")</f>
        <v xml:space="preserve"> </v>
      </c>
      <c r="AY82" s="26" t="str">
        <f>IFERROR($AC82*HDF_Limited_Col!AY82/HDF_Limited_Col!$AH82," ")</f>
        <v xml:space="preserve"> </v>
      </c>
      <c r="AZ82" s="26" t="str">
        <f>IFERROR($AC82*HDF_Limited_Col!AZ82/HDF_Limited_Col!$AH82," ")</f>
        <v xml:space="preserve"> </v>
      </c>
      <c r="BA82" s="26" t="str">
        <f>IFERROR($AC82*HDF_Limited_Col!BA82/HDF_Limited_Col!$AH82," ")</f>
        <v xml:space="preserve"> </v>
      </c>
      <c r="BB82" s="26" t="str">
        <f>IFERROR($AC82*HDF_Limited_Col!BB82/HDF_Limited_Col!$AH82," ")</f>
        <v xml:space="preserve"> </v>
      </c>
      <c r="BC82" s="26" t="str">
        <f>IFERROR($AC82*HDF_Limited_Col!BC82/HDF_Limited_Col!$AH82," ")</f>
        <v xml:space="preserve"> </v>
      </c>
      <c r="BD82" s="26" t="str">
        <f>IFERROR($AC82*HDF_Limited_Col!BD82/HDF_Limited_Col!$AH82," ")</f>
        <v xml:space="preserve"> </v>
      </c>
      <c r="BE82" s="26" t="str">
        <f>IFERROR($AC82*HDF_Limited_Col!BE82/HDF_Limited_Col!$AH82," ")</f>
        <v xml:space="preserve"> </v>
      </c>
      <c r="BF82" s="26" t="str">
        <f>IFERROR($AC82*HDF_Limited_Col!BF82/HDF_Limited_Col!$AH82," ")</f>
        <v xml:space="preserve"> </v>
      </c>
      <c r="BG82" s="26" t="str">
        <f>IFERROR($AC82*HDF_Limited_Col!BG82/HDF_Limited_Col!$AH82," ")</f>
        <v xml:space="preserve"> </v>
      </c>
      <c r="BH82" s="26" t="str">
        <f>IFERROR($AC82*HDF_Limited_Col!BH82/HDF_Limited_Col!$AH82," ")</f>
        <v xml:space="preserve"> </v>
      </c>
      <c r="BI82" s="26" t="str">
        <f>IFERROR($AC82*HDF_Limited_Col!BI82/HDF_Limited_Col!$AH82," ")</f>
        <v xml:space="preserve"> </v>
      </c>
      <c r="BJ82" s="26" t="str">
        <f>IFERROR($AC82*HDF_Limited_Col!BJ82/HDF_Limited_Col!$AH82," ")</f>
        <v xml:space="preserve"> </v>
      </c>
      <c r="BK82" s="26" t="str">
        <f>IFERROR($AC82*HDF_Limited_Col!BK82/HDF_Limited_Col!$AH82," ")</f>
        <v xml:space="preserve"> </v>
      </c>
      <c r="BL82" s="26" t="str">
        <f>IFERROR($AC82*HDF_Limited_Col!BL82/HDF_Limited_Col!$AH82," ")</f>
        <v xml:space="preserve"> </v>
      </c>
      <c r="BM82" s="26" t="str">
        <f>IFERROR($AC82*HDF_Limited_Col!BM82/HDF_Limited_Col!$AH82," ")</f>
        <v xml:space="preserve"> </v>
      </c>
      <c r="BN82" s="26" t="str">
        <f>IFERROR($AC82*HDF_Limited_Col!BN82/HDF_Limited_Col!$AH82," ")</f>
        <v xml:space="preserve"> </v>
      </c>
      <c r="BO82" s="26" t="str">
        <f>IFERROR($AC82*HDF_Limited_Col!BO82/HDF_Limited_Col!$AH82," ")</f>
        <v xml:space="preserve"> </v>
      </c>
      <c r="BP82" s="26" t="str">
        <f>IFERROR($AC82*HDF_Limited_Col!BP82/HDF_Limited_Col!$AH82," ")</f>
        <v xml:space="preserve"> </v>
      </c>
      <c r="BQ82" s="26" t="str">
        <f>IFERROR($AC82*HDF_Limited_Col!BQ82/HDF_Limited_Col!$AH82," ")</f>
        <v xml:space="preserve"> </v>
      </c>
      <c r="BR82" s="26" t="str">
        <f>IFERROR($AC82*HDF_Limited_Col!BR82/HDF_Limited_Col!$AH82," ")</f>
        <v xml:space="preserve"> </v>
      </c>
      <c r="BS82" s="26" t="str">
        <f>IFERROR($AC82*HDF_Limited_Col!BS82/HDF_Limited_Col!$AH82," ")</f>
        <v xml:space="preserve"> </v>
      </c>
      <c r="BT82" s="26" t="str">
        <f>IFERROR($AC82*HDF_Limited_Col!BT82/HDF_Limited_Col!$AH82," ")</f>
        <v xml:space="preserve"> </v>
      </c>
      <c r="BU82" s="26" t="str">
        <f>IFERROR($AC82*HDF_Limited_Col!BU82/HDF_Limited_Col!$AH82," ")</f>
        <v xml:space="preserve"> </v>
      </c>
      <c r="BV82" s="26" t="str">
        <f>IFERROR($AC82*HDF_Limited_Col!BV82/HDF_Limited_Col!$AH82," ")</f>
        <v xml:space="preserve"> </v>
      </c>
      <c r="BW82" s="26" t="str">
        <f>IFERROR($AC82*HDF_Limited_Col!BW82/HDF_Limited_Col!$AH82," ")</f>
        <v xml:space="preserve"> </v>
      </c>
      <c r="BX82" s="26" t="str">
        <f>IFERROR($AC82*HDF_Limited_Col!BX82/HDF_Limited_Col!$AH82," ")</f>
        <v xml:space="preserve"> </v>
      </c>
      <c r="BY82" s="26" t="str">
        <f>IFERROR($AC82*HDF_Limited_Col!BY82/HDF_Limited_Col!$AH82," ")</f>
        <v xml:space="preserve"> </v>
      </c>
      <c r="BZ82" s="26" t="str">
        <f>IFERROR($AC82*HDF_Limited_Col!BZ82/HDF_Limited_Col!$AH82," ")</f>
        <v xml:space="preserve"> </v>
      </c>
      <c r="CA82" s="26" t="str">
        <f>IFERROR($AC82*HDF_Limited_Col!CA82/HDF_Limited_Col!$AH82," ")</f>
        <v xml:space="preserve"> </v>
      </c>
      <c r="CB82" s="26" t="str">
        <f>IFERROR($AC82*HDF_Limited_Col!CB82/HDF_Limited_Col!$AH82," ")</f>
        <v xml:space="preserve"> </v>
      </c>
      <c r="CC82" s="26" t="str">
        <f>IFERROR($AC82*HDF_Limited_Col!CC82/HDF_Limited_Col!$AH82," ")</f>
        <v xml:space="preserve"> </v>
      </c>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row>
    <row r="83" spans="1:109">
      <c r="A83" s="26" t="s">
        <v>1656</v>
      </c>
      <c r="B83" s="53" t="s">
        <v>24</v>
      </c>
      <c r="C83" s="152" t="s">
        <v>1800</v>
      </c>
      <c r="D83" s="53" t="s">
        <v>1706</v>
      </c>
      <c r="E83" s="53" t="s">
        <v>237</v>
      </c>
      <c r="F83" s="53" t="s">
        <v>849</v>
      </c>
      <c r="G83" s="53" t="s">
        <v>595</v>
      </c>
      <c r="H83" s="52">
        <v>364</v>
      </c>
      <c r="I83" s="53" t="s">
        <v>1148</v>
      </c>
      <c r="J83" s="53" t="s">
        <v>635</v>
      </c>
      <c r="K83" s="53" t="s">
        <v>1678</v>
      </c>
      <c r="L83" s="53"/>
      <c r="M83" s="53" t="s">
        <v>1691</v>
      </c>
      <c r="N83" s="53">
        <v>21</v>
      </c>
      <c r="O83" s="95">
        <v>6.6396657891947948</v>
      </c>
      <c r="P83" s="95">
        <v>0.19114189393136533</v>
      </c>
      <c r="Q83" s="95">
        <v>1.3078129584777629</v>
      </c>
      <c r="R83" s="95">
        <v>6.086360306761895</v>
      </c>
      <c r="S83" s="95">
        <v>27.564673124838997</v>
      </c>
      <c r="T83" s="95">
        <v>25.351451195107401</v>
      </c>
      <c r="U83" s="95">
        <v>0</v>
      </c>
      <c r="V83" s="95">
        <v>11.066109648657992</v>
      </c>
      <c r="W83" s="95">
        <v>16.599164472986988</v>
      </c>
      <c r="X83" s="95">
        <v>4.4063236601020002</v>
      </c>
      <c r="Y83" s="95">
        <v>1.0160700677404155</v>
      </c>
      <c r="Z83" s="95">
        <v>100.22877311779961</v>
      </c>
      <c r="AA83" s="53"/>
      <c r="AB83" s="26"/>
      <c r="AC83" s="26">
        <f t="shared" si="2"/>
        <v>137795.8565604671</v>
      </c>
      <c r="AD83" s="26" t="str">
        <f>IFERROR($AC83*HDF_Limited_Col!AD83/HDF_Limited_Col!$AH83," ")</f>
        <v xml:space="preserve"> </v>
      </c>
      <c r="AE83" s="26" t="str">
        <f>IFERROR($AC83*HDF_Limited_Col!AE83/HDF_Limited_Col!$AH83," ")</f>
        <v xml:space="preserve"> </v>
      </c>
      <c r="AF83" s="26" t="str">
        <f>IFERROR($AC83*HDF_Limited_Col!AF83/HDF_Limited_Col!$AH83," ")</f>
        <v xml:space="preserve"> </v>
      </c>
      <c r="AG83" s="26" t="str">
        <f>IFERROR($AC83*HDF_Limited_Col!AG83/HDF_Limited_Col!$AH83," ")</f>
        <v xml:space="preserve"> </v>
      </c>
      <c r="AH83" s="26" t="str">
        <f>IFERROR($AC83*HDF_Limited_Col!AH83/HDF_Limited_Col!$AH83," ")</f>
        <v xml:space="preserve"> </v>
      </c>
      <c r="AI83" s="26" t="str">
        <f>IFERROR($AC83*HDF_Limited_Col!AI83/HDF_Limited_Col!$AH83," ")</f>
        <v xml:space="preserve"> </v>
      </c>
      <c r="AJ83" s="26" t="str">
        <f>IFERROR($AC83*HDF_Limited_Col!AJ83/HDF_Limited_Col!$AH83," ")</f>
        <v xml:space="preserve"> </v>
      </c>
      <c r="AK83" s="26" t="str">
        <f>IFERROR($AC83*HDF_Limited_Col!AK83/HDF_Limited_Col!$AH83," ")</f>
        <v xml:space="preserve"> </v>
      </c>
      <c r="AL83" s="26" t="str">
        <f>IFERROR($AC83*HDF_Limited_Col!AL83/HDF_Limited_Col!$AH83," ")</f>
        <v xml:space="preserve"> </v>
      </c>
      <c r="AM83" s="26" t="str">
        <f>IFERROR($AC83*HDF_Limited_Col!AM83/HDF_Limited_Col!$AH83," ")</f>
        <v xml:space="preserve"> </v>
      </c>
      <c r="AN83" s="26" t="str">
        <f>IFERROR($AC83*HDF_Limited_Col!AN83/HDF_Limited_Col!$AH83," ")</f>
        <v xml:space="preserve"> </v>
      </c>
      <c r="AO83" s="26" t="str">
        <f>IFERROR($AC83*HDF_Limited_Col!AO83/HDF_Limited_Col!$AH83," ")</f>
        <v xml:space="preserve"> </v>
      </c>
      <c r="AP83" s="26" t="str">
        <f>IFERROR($AC83*HDF_Limited_Col!AP83/HDF_Limited_Col!$AH83," ")</f>
        <v xml:space="preserve"> </v>
      </c>
      <c r="AQ83" s="26" t="str">
        <f>IFERROR($AC83*HDF_Limited_Col!AQ83/HDF_Limited_Col!$AH83," ")</f>
        <v xml:space="preserve"> </v>
      </c>
      <c r="AR83" s="26" t="str">
        <f>IFERROR($AC83*HDF_Limited_Col!AR83/HDF_Limited_Col!$AH83," ")</f>
        <v xml:space="preserve"> </v>
      </c>
      <c r="AS83" s="26" t="str">
        <f>IFERROR($AC83*HDF_Limited_Col!AS83/HDF_Limited_Col!$AH83," ")</f>
        <v xml:space="preserve"> </v>
      </c>
      <c r="AT83" s="26" t="str">
        <f>IFERROR($AC83*HDF_Limited_Col!AT83/HDF_Limited_Col!$AH83," ")</f>
        <v xml:space="preserve"> </v>
      </c>
      <c r="AU83" s="26" t="str">
        <f>IFERROR($AC83*HDF_Limited_Col!AU83/HDF_Limited_Col!$AH83," ")</f>
        <v xml:space="preserve"> </v>
      </c>
      <c r="AV83" s="26" t="str">
        <f>IFERROR($AC83*HDF_Limited_Col!AV83/HDF_Limited_Col!$AH83," ")</f>
        <v xml:space="preserve"> </v>
      </c>
      <c r="AW83" s="26" t="str">
        <f>IFERROR($AC83*HDF_Limited_Col!AW83/HDF_Limited_Col!$AH83," ")</f>
        <v xml:space="preserve"> </v>
      </c>
      <c r="AX83" s="26" t="str">
        <f>IFERROR($AC83*HDF_Limited_Col!AX83/HDF_Limited_Col!$AH83," ")</f>
        <v xml:space="preserve"> </v>
      </c>
      <c r="AY83" s="26" t="str">
        <f>IFERROR($AC83*HDF_Limited_Col!AY83/HDF_Limited_Col!$AH83," ")</f>
        <v xml:space="preserve"> </v>
      </c>
      <c r="AZ83" s="26" t="str">
        <f>IFERROR($AC83*HDF_Limited_Col!AZ83/HDF_Limited_Col!$AH83," ")</f>
        <v xml:space="preserve"> </v>
      </c>
      <c r="BA83" s="26" t="str">
        <f>IFERROR($AC83*HDF_Limited_Col!BA83/HDF_Limited_Col!$AH83," ")</f>
        <v xml:space="preserve"> </v>
      </c>
      <c r="BB83" s="26" t="str">
        <f>IFERROR($AC83*HDF_Limited_Col!BB83/HDF_Limited_Col!$AH83," ")</f>
        <v xml:space="preserve"> </v>
      </c>
      <c r="BC83" s="26" t="str">
        <f>IFERROR($AC83*HDF_Limited_Col!BC83/HDF_Limited_Col!$AH83," ")</f>
        <v xml:space="preserve"> </v>
      </c>
      <c r="BD83" s="26" t="str">
        <f>IFERROR($AC83*HDF_Limited_Col!BD83/HDF_Limited_Col!$AH83," ")</f>
        <v xml:space="preserve"> </v>
      </c>
      <c r="BE83" s="26" t="str">
        <f>IFERROR($AC83*HDF_Limited_Col!BE83/HDF_Limited_Col!$AH83," ")</f>
        <v xml:space="preserve"> </v>
      </c>
      <c r="BF83" s="26" t="str">
        <f>IFERROR($AC83*HDF_Limited_Col!BF83/HDF_Limited_Col!$AH83," ")</f>
        <v xml:space="preserve"> </v>
      </c>
      <c r="BG83" s="26" t="str">
        <f>IFERROR($AC83*HDF_Limited_Col!BG83/HDF_Limited_Col!$AH83," ")</f>
        <v xml:space="preserve"> </v>
      </c>
      <c r="BH83" s="26" t="str">
        <f>IFERROR($AC83*HDF_Limited_Col!BH83/HDF_Limited_Col!$AH83," ")</f>
        <v xml:space="preserve"> </v>
      </c>
      <c r="BI83" s="26" t="str">
        <f>IFERROR($AC83*HDF_Limited_Col!BI83/HDF_Limited_Col!$AH83," ")</f>
        <v xml:space="preserve"> </v>
      </c>
      <c r="BJ83" s="26" t="str">
        <f>IFERROR($AC83*HDF_Limited_Col!BJ83/HDF_Limited_Col!$AH83," ")</f>
        <v xml:space="preserve"> </v>
      </c>
      <c r="BK83" s="26" t="str">
        <f>IFERROR($AC83*HDF_Limited_Col!BK83/HDF_Limited_Col!$AH83," ")</f>
        <v xml:space="preserve"> </v>
      </c>
      <c r="BL83" s="26" t="str">
        <f>IFERROR($AC83*HDF_Limited_Col!BL83/HDF_Limited_Col!$AH83," ")</f>
        <v xml:space="preserve"> </v>
      </c>
      <c r="BM83" s="26" t="str">
        <f>IFERROR($AC83*HDF_Limited_Col!BM83/HDF_Limited_Col!$AH83," ")</f>
        <v xml:space="preserve"> </v>
      </c>
      <c r="BN83" s="26" t="str">
        <f>IFERROR($AC83*HDF_Limited_Col!BN83/HDF_Limited_Col!$AH83," ")</f>
        <v xml:space="preserve"> </v>
      </c>
      <c r="BO83" s="26" t="str">
        <f>IFERROR($AC83*HDF_Limited_Col!BO83/HDF_Limited_Col!$AH83," ")</f>
        <v xml:space="preserve"> </v>
      </c>
      <c r="BP83" s="26" t="str">
        <f>IFERROR($AC83*HDF_Limited_Col!BP83/HDF_Limited_Col!$AH83," ")</f>
        <v xml:space="preserve"> </v>
      </c>
      <c r="BQ83" s="26" t="str">
        <f>IFERROR($AC83*HDF_Limited_Col!BQ83/HDF_Limited_Col!$AH83," ")</f>
        <v xml:space="preserve"> </v>
      </c>
      <c r="BR83" s="26" t="str">
        <f>IFERROR($AC83*HDF_Limited_Col!BR83/HDF_Limited_Col!$AH83," ")</f>
        <v xml:space="preserve"> </v>
      </c>
      <c r="BS83" s="26" t="str">
        <f>IFERROR($AC83*HDF_Limited_Col!BS83/HDF_Limited_Col!$AH83," ")</f>
        <v xml:space="preserve"> </v>
      </c>
      <c r="BT83" s="26" t="str">
        <f>IFERROR($AC83*HDF_Limited_Col!BT83/HDF_Limited_Col!$AH83," ")</f>
        <v xml:space="preserve"> </v>
      </c>
      <c r="BU83" s="26" t="str">
        <f>IFERROR($AC83*HDF_Limited_Col!BU83/HDF_Limited_Col!$AH83," ")</f>
        <v xml:space="preserve"> </v>
      </c>
      <c r="BV83" s="26" t="str">
        <f>IFERROR($AC83*HDF_Limited_Col!BV83/HDF_Limited_Col!$AH83," ")</f>
        <v xml:space="preserve"> </v>
      </c>
      <c r="BW83" s="26" t="str">
        <f>IFERROR($AC83*HDF_Limited_Col!BW83/HDF_Limited_Col!$AH83," ")</f>
        <v xml:space="preserve"> </v>
      </c>
      <c r="BX83" s="26" t="str">
        <f>IFERROR($AC83*HDF_Limited_Col!BX83/HDF_Limited_Col!$AH83," ")</f>
        <v xml:space="preserve"> </v>
      </c>
      <c r="BY83" s="26" t="str">
        <f>IFERROR($AC83*HDF_Limited_Col!BY83/HDF_Limited_Col!$AH83," ")</f>
        <v xml:space="preserve"> </v>
      </c>
      <c r="BZ83" s="26" t="str">
        <f>IFERROR($AC83*HDF_Limited_Col!BZ83/HDF_Limited_Col!$AH83," ")</f>
        <v xml:space="preserve"> </v>
      </c>
      <c r="CA83" s="26" t="str">
        <f>IFERROR($AC83*HDF_Limited_Col!CA83/HDF_Limited_Col!$AH83," ")</f>
        <v xml:space="preserve"> </v>
      </c>
      <c r="CB83" s="26" t="str">
        <f>IFERROR($AC83*HDF_Limited_Col!CB83/HDF_Limited_Col!$AH83," ")</f>
        <v xml:space="preserve"> </v>
      </c>
      <c r="CC83" s="26" t="str">
        <f>IFERROR($AC83*HDF_Limited_Col!CC83/HDF_Limited_Col!$AH83," ")</f>
        <v xml:space="preserve"> </v>
      </c>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row>
    <row r="84" spans="1:109">
      <c r="A84" s="26" t="s">
        <v>1656</v>
      </c>
      <c r="B84" s="53" t="s">
        <v>24</v>
      </c>
      <c r="C84" s="152" t="s">
        <v>1800</v>
      </c>
      <c r="D84" s="53" t="s">
        <v>1706</v>
      </c>
      <c r="E84" s="53" t="s">
        <v>237</v>
      </c>
      <c r="F84" s="53" t="s">
        <v>849</v>
      </c>
      <c r="G84" s="53" t="s">
        <v>595</v>
      </c>
      <c r="H84" s="52">
        <v>364</v>
      </c>
      <c r="I84" s="53" t="s">
        <v>1148</v>
      </c>
      <c r="J84" s="53" t="s">
        <v>635</v>
      </c>
      <c r="K84" s="53" t="s">
        <v>1678</v>
      </c>
      <c r="L84" s="53"/>
      <c r="M84" s="53" t="s">
        <v>1692</v>
      </c>
      <c r="N84" s="53">
        <v>24</v>
      </c>
      <c r="O84" s="95">
        <v>13.364310146589045</v>
      </c>
      <c r="P84" s="95">
        <v>0</v>
      </c>
      <c r="Q84" s="95">
        <v>3.2849678375585283</v>
      </c>
      <c r="R84" s="95">
        <v>6.8147779984133443</v>
      </c>
      <c r="S84" s="95">
        <v>22.647914904906624</v>
      </c>
      <c r="T84" s="95">
        <v>10.711851644212594</v>
      </c>
      <c r="U84" s="95">
        <v>0.17342997900153723</v>
      </c>
      <c r="V84" s="95">
        <v>13.568345416002618</v>
      </c>
      <c r="W84" s="95">
        <v>20.811597480184467</v>
      </c>
      <c r="X84" s="95">
        <v>6.5495321481756994</v>
      </c>
      <c r="Y84" s="95">
        <v>2.6728620293178094</v>
      </c>
      <c r="Z84" s="95">
        <v>100.59958958436228</v>
      </c>
      <c r="AA84" s="53"/>
      <c r="AB84" s="26"/>
      <c r="AC84" s="26">
        <f t="shared" si="2"/>
        <v>172764.83438913905</v>
      </c>
      <c r="AD84" s="26" t="str">
        <f>IFERROR($AC84*HDF_Limited_Col!AD84/HDF_Limited_Col!$AH84," ")</f>
        <v xml:space="preserve"> </v>
      </c>
      <c r="AE84" s="26" t="str">
        <f>IFERROR($AC84*HDF_Limited_Col!AE84/HDF_Limited_Col!$AH84," ")</f>
        <v xml:space="preserve"> </v>
      </c>
      <c r="AF84" s="26" t="str">
        <f>IFERROR($AC84*HDF_Limited_Col!AF84/HDF_Limited_Col!$AH84," ")</f>
        <v xml:space="preserve"> </v>
      </c>
      <c r="AG84" s="26" t="str">
        <f>IFERROR($AC84*HDF_Limited_Col!AG84/HDF_Limited_Col!$AH84," ")</f>
        <v xml:space="preserve"> </v>
      </c>
      <c r="AH84" s="26" t="str">
        <f>IFERROR($AC84*HDF_Limited_Col!AH84/HDF_Limited_Col!$AH84," ")</f>
        <v xml:space="preserve"> </v>
      </c>
      <c r="AI84" s="26" t="str">
        <f>IFERROR($AC84*HDF_Limited_Col!AI84/HDF_Limited_Col!$AH84," ")</f>
        <v xml:space="preserve"> </v>
      </c>
      <c r="AJ84" s="26" t="str">
        <f>IFERROR($AC84*HDF_Limited_Col!AJ84/HDF_Limited_Col!$AH84," ")</f>
        <v xml:space="preserve"> </v>
      </c>
      <c r="AK84" s="26" t="str">
        <f>IFERROR($AC84*HDF_Limited_Col!AK84/HDF_Limited_Col!$AH84," ")</f>
        <v xml:space="preserve"> </v>
      </c>
      <c r="AL84" s="26" t="str">
        <f>IFERROR($AC84*HDF_Limited_Col!AL84/HDF_Limited_Col!$AH84," ")</f>
        <v xml:space="preserve"> </v>
      </c>
      <c r="AM84" s="26" t="str">
        <f>IFERROR($AC84*HDF_Limited_Col!AM84/HDF_Limited_Col!$AH84," ")</f>
        <v xml:space="preserve"> </v>
      </c>
      <c r="AN84" s="26" t="str">
        <f>IFERROR($AC84*HDF_Limited_Col!AN84/HDF_Limited_Col!$AH84," ")</f>
        <v xml:space="preserve"> </v>
      </c>
      <c r="AO84" s="26" t="str">
        <f>IFERROR($AC84*HDF_Limited_Col!AO84/HDF_Limited_Col!$AH84," ")</f>
        <v xml:space="preserve"> </v>
      </c>
      <c r="AP84" s="26" t="str">
        <f>IFERROR($AC84*HDF_Limited_Col!AP84/HDF_Limited_Col!$AH84," ")</f>
        <v xml:space="preserve"> </v>
      </c>
      <c r="AQ84" s="26" t="str">
        <f>IFERROR($AC84*HDF_Limited_Col!AQ84/HDF_Limited_Col!$AH84," ")</f>
        <v xml:space="preserve"> </v>
      </c>
      <c r="AR84" s="26" t="str">
        <f>IFERROR($AC84*HDF_Limited_Col!AR84/HDF_Limited_Col!$AH84," ")</f>
        <v xml:space="preserve"> </v>
      </c>
      <c r="AS84" s="26" t="str">
        <f>IFERROR($AC84*HDF_Limited_Col!AS84/HDF_Limited_Col!$AH84," ")</f>
        <v xml:space="preserve"> </v>
      </c>
      <c r="AT84" s="26" t="str">
        <f>IFERROR($AC84*HDF_Limited_Col!AT84/HDF_Limited_Col!$AH84," ")</f>
        <v xml:space="preserve"> </v>
      </c>
      <c r="AU84" s="26" t="str">
        <f>IFERROR($AC84*HDF_Limited_Col!AU84/HDF_Limited_Col!$AH84," ")</f>
        <v xml:space="preserve"> </v>
      </c>
      <c r="AV84" s="26" t="str">
        <f>IFERROR($AC84*HDF_Limited_Col!AV84/HDF_Limited_Col!$AH84," ")</f>
        <v xml:space="preserve"> </v>
      </c>
      <c r="AW84" s="26" t="str">
        <f>IFERROR($AC84*HDF_Limited_Col!AW84/HDF_Limited_Col!$AH84," ")</f>
        <v xml:space="preserve"> </v>
      </c>
      <c r="AX84" s="26" t="str">
        <f>IFERROR($AC84*HDF_Limited_Col!AX84/HDF_Limited_Col!$AH84," ")</f>
        <v xml:space="preserve"> </v>
      </c>
      <c r="AY84" s="26" t="str">
        <f>IFERROR($AC84*HDF_Limited_Col!AY84/HDF_Limited_Col!$AH84," ")</f>
        <v xml:space="preserve"> </v>
      </c>
      <c r="AZ84" s="26" t="str">
        <f>IFERROR($AC84*HDF_Limited_Col!AZ84/HDF_Limited_Col!$AH84," ")</f>
        <v xml:space="preserve"> </v>
      </c>
      <c r="BA84" s="26" t="str">
        <f>IFERROR($AC84*HDF_Limited_Col!BA84/HDF_Limited_Col!$AH84," ")</f>
        <v xml:space="preserve"> </v>
      </c>
      <c r="BB84" s="26" t="str">
        <f>IFERROR($AC84*HDF_Limited_Col!BB84/HDF_Limited_Col!$AH84," ")</f>
        <v xml:space="preserve"> </v>
      </c>
      <c r="BC84" s="26" t="str">
        <f>IFERROR($AC84*HDF_Limited_Col!BC84/HDF_Limited_Col!$AH84," ")</f>
        <v xml:space="preserve"> </v>
      </c>
      <c r="BD84" s="26" t="str">
        <f>IFERROR($AC84*HDF_Limited_Col!BD84/HDF_Limited_Col!$AH84," ")</f>
        <v xml:space="preserve"> </v>
      </c>
      <c r="BE84" s="26" t="str">
        <f>IFERROR($AC84*HDF_Limited_Col!BE84/HDF_Limited_Col!$AH84," ")</f>
        <v xml:space="preserve"> </v>
      </c>
      <c r="BF84" s="26" t="str">
        <f>IFERROR($AC84*HDF_Limited_Col!BF84/HDF_Limited_Col!$AH84," ")</f>
        <v xml:space="preserve"> </v>
      </c>
      <c r="BG84" s="26" t="str">
        <f>IFERROR($AC84*HDF_Limited_Col!BG84/HDF_Limited_Col!$AH84," ")</f>
        <v xml:space="preserve"> </v>
      </c>
      <c r="BH84" s="26" t="str">
        <f>IFERROR($AC84*HDF_Limited_Col!BH84/HDF_Limited_Col!$AH84," ")</f>
        <v xml:space="preserve"> </v>
      </c>
      <c r="BI84" s="26" t="str">
        <f>IFERROR($AC84*HDF_Limited_Col!BI84/HDF_Limited_Col!$AH84," ")</f>
        <v xml:space="preserve"> </v>
      </c>
      <c r="BJ84" s="26" t="str">
        <f>IFERROR($AC84*HDF_Limited_Col!BJ84/HDF_Limited_Col!$AH84," ")</f>
        <v xml:space="preserve"> </v>
      </c>
      <c r="BK84" s="26" t="str">
        <f>IFERROR($AC84*HDF_Limited_Col!BK84/HDF_Limited_Col!$AH84," ")</f>
        <v xml:space="preserve"> </v>
      </c>
      <c r="BL84" s="26" t="str">
        <f>IFERROR($AC84*HDF_Limited_Col!BL84/HDF_Limited_Col!$AH84," ")</f>
        <v xml:space="preserve"> </v>
      </c>
      <c r="BM84" s="26" t="str">
        <f>IFERROR($AC84*HDF_Limited_Col!BM84/HDF_Limited_Col!$AH84," ")</f>
        <v xml:space="preserve"> </v>
      </c>
      <c r="BN84" s="26" t="str">
        <f>IFERROR($AC84*HDF_Limited_Col!BN84/HDF_Limited_Col!$AH84," ")</f>
        <v xml:space="preserve"> </v>
      </c>
      <c r="BO84" s="26" t="str">
        <f>IFERROR($AC84*HDF_Limited_Col!BO84/HDF_Limited_Col!$AH84," ")</f>
        <v xml:space="preserve"> </v>
      </c>
      <c r="BP84" s="26" t="str">
        <f>IFERROR($AC84*HDF_Limited_Col!BP84/HDF_Limited_Col!$AH84," ")</f>
        <v xml:space="preserve"> </v>
      </c>
      <c r="BQ84" s="26" t="str">
        <f>IFERROR($AC84*HDF_Limited_Col!BQ84/HDF_Limited_Col!$AH84," ")</f>
        <v xml:space="preserve"> </v>
      </c>
      <c r="BR84" s="26" t="str">
        <f>IFERROR($AC84*HDF_Limited_Col!BR84/HDF_Limited_Col!$AH84," ")</f>
        <v xml:space="preserve"> </v>
      </c>
      <c r="BS84" s="26" t="str">
        <f>IFERROR($AC84*HDF_Limited_Col!BS84/HDF_Limited_Col!$AH84," ")</f>
        <v xml:space="preserve"> </v>
      </c>
      <c r="BT84" s="26" t="str">
        <f>IFERROR($AC84*HDF_Limited_Col!BT84/HDF_Limited_Col!$AH84," ")</f>
        <v xml:space="preserve"> </v>
      </c>
      <c r="BU84" s="26" t="str">
        <f>IFERROR($AC84*HDF_Limited_Col!BU84/HDF_Limited_Col!$AH84," ")</f>
        <v xml:space="preserve"> </v>
      </c>
      <c r="BV84" s="26" t="str">
        <f>IFERROR($AC84*HDF_Limited_Col!BV84/HDF_Limited_Col!$AH84," ")</f>
        <v xml:space="preserve"> </v>
      </c>
      <c r="BW84" s="26" t="str">
        <f>IFERROR($AC84*HDF_Limited_Col!BW84/HDF_Limited_Col!$AH84," ")</f>
        <v xml:space="preserve"> </v>
      </c>
      <c r="BX84" s="26" t="str">
        <f>IFERROR($AC84*HDF_Limited_Col!BX84/HDF_Limited_Col!$AH84," ")</f>
        <v xml:space="preserve"> </v>
      </c>
      <c r="BY84" s="26" t="str">
        <f>IFERROR($AC84*HDF_Limited_Col!BY84/HDF_Limited_Col!$AH84," ")</f>
        <v xml:space="preserve"> </v>
      </c>
      <c r="BZ84" s="26" t="str">
        <f>IFERROR($AC84*HDF_Limited_Col!BZ84/HDF_Limited_Col!$AH84," ")</f>
        <v xml:space="preserve"> </v>
      </c>
      <c r="CA84" s="26" t="str">
        <f>IFERROR($AC84*HDF_Limited_Col!CA84/HDF_Limited_Col!$AH84," ")</f>
        <v xml:space="preserve"> </v>
      </c>
      <c r="CB84" s="26" t="str">
        <f>IFERROR($AC84*HDF_Limited_Col!CB84/HDF_Limited_Col!$AH84," ")</f>
        <v xml:space="preserve"> </v>
      </c>
      <c r="CC84" s="26" t="str">
        <f>IFERROR($AC84*HDF_Limited_Col!CC84/HDF_Limited_Col!$AH84," ")</f>
        <v xml:space="preserve"> </v>
      </c>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row>
    <row r="85" spans="1:109">
      <c r="A85" s="26" t="s">
        <v>1656</v>
      </c>
      <c r="B85" s="53" t="s">
        <v>24</v>
      </c>
      <c r="C85" s="152" t="s">
        <v>1800</v>
      </c>
      <c r="D85" s="53" t="s">
        <v>1706</v>
      </c>
      <c r="E85" s="53" t="s">
        <v>237</v>
      </c>
      <c r="F85" s="53" t="s">
        <v>849</v>
      </c>
      <c r="G85" s="53" t="s">
        <v>595</v>
      </c>
      <c r="H85" s="52">
        <v>364</v>
      </c>
      <c r="I85" s="53" t="s">
        <v>1148</v>
      </c>
      <c r="J85" s="53" t="s">
        <v>635</v>
      </c>
      <c r="K85" s="53" t="s">
        <v>1678</v>
      </c>
      <c r="L85" s="53"/>
      <c r="M85" s="53" t="s">
        <v>1693</v>
      </c>
      <c r="N85" s="53">
        <v>38</v>
      </c>
      <c r="O85" s="95">
        <v>6.964378532068114</v>
      </c>
      <c r="P85" s="95">
        <v>0</v>
      </c>
      <c r="Q85" s="95">
        <v>1.7360185553697483</v>
      </c>
      <c r="R85" s="95">
        <v>7.0455957744245943</v>
      </c>
      <c r="S85" s="95">
        <v>24.872780471671838</v>
      </c>
      <c r="T85" s="95">
        <v>15.431276047731096</v>
      </c>
      <c r="U85" s="95">
        <v>0.14213017412383908</v>
      </c>
      <c r="V85" s="95">
        <v>17.055620894860688</v>
      </c>
      <c r="W85" s="95">
        <v>17.461707106643086</v>
      </c>
      <c r="X85" s="95">
        <v>7.3298561226722709</v>
      </c>
      <c r="Y85" s="95">
        <v>2.5278866683454235</v>
      </c>
      <c r="Z85" s="95">
        <v>100.56725034791069</v>
      </c>
      <c r="AA85" s="53"/>
      <c r="AB85" s="26"/>
      <c r="AC85" s="26">
        <f t="shared" si="2"/>
        <v>144956.1447314762</v>
      </c>
      <c r="AD85" s="26" t="str">
        <f>IFERROR($AC85*HDF_Limited_Col!AD85/HDF_Limited_Col!$AH85," ")</f>
        <v xml:space="preserve"> </v>
      </c>
      <c r="AE85" s="26" t="str">
        <f>IFERROR($AC85*HDF_Limited_Col!AE85/HDF_Limited_Col!$AH85," ")</f>
        <v xml:space="preserve"> </v>
      </c>
      <c r="AF85" s="26" t="str">
        <f>IFERROR($AC85*HDF_Limited_Col!AF85/HDF_Limited_Col!$AH85," ")</f>
        <v xml:space="preserve"> </v>
      </c>
      <c r="AG85" s="26" t="str">
        <f>IFERROR($AC85*HDF_Limited_Col!AG85/HDF_Limited_Col!$AH85," ")</f>
        <v xml:space="preserve"> </v>
      </c>
      <c r="AH85" s="26" t="str">
        <f>IFERROR($AC85*HDF_Limited_Col!AH85/HDF_Limited_Col!$AH85," ")</f>
        <v xml:space="preserve"> </v>
      </c>
      <c r="AI85" s="26" t="str">
        <f>IFERROR($AC85*HDF_Limited_Col!AI85/HDF_Limited_Col!$AH85," ")</f>
        <v xml:space="preserve"> </v>
      </c>
      <c r="AJ85" s="26" t="str">
        <f>IFERROR($AC85*HDF_Limited_Col!AJ85/HDF_Limited_Col!$AH85," ")</f>
        <v xml:space="preserve"> </v>
      </c>
      <c r="AK85" s="26" t="str">
        <f>IFERROR($AC85*HDF_Limited_Col!AK85/HDF_Limited_Col!$AH85," ")</f>
        <v xml:space="preserve"> </v>
      </c>
      <c r="AL85" s="26" t="str">
        <f>IFERROR($AC85*HDF_Limited_Col!AL85/HDF_Limited_Col!$AH85," ")</f>
        <v xml:space="preserve"> </v>
      </c>
      <c r="AM85" s="26" t="str">
        <f>IFERROR($AC85*HDF_Limited_Col!AM85/HDF_Limited_Col!$AH85," ")</f>
        <v xml:space="preserve"> </v>
      </c>
      <c r="AN85" s="26" t="str">
        <f>IFERROR($AC85*HDF_Limited_Col!AN85/HDF_Limited_Col!$AH85," ")</f>
        <v xml:space="preserve"> </v>
      </c>
      <c r="AO85" s="26" t="str">
        <f>IFERROR($AC85*HDF_Limited_Col!AO85/HDF_Limited_Col!$AH85," ")</f>
        <v xml:space="preserve"> </v>
      </c>
      <c r="AP85" s="26" t="str">
        <f>IFERROR($AC85*HDF_Limited_Col!AP85/HDF_Limited_Col!$AH85," ")</f>
        <v xml:space="preserve"> </v>
      </c>
      <c r="AQ85" s="26" t="str">
        <f>IFERROR($AC85*HDF_Limited_Col!AQ85/HDF_Limited_Col!$AH85," ")</f>
        <v xml:space="preserve"> </v>
      </c>
      <c r="AR85" s="26" t="str">
        <f>IFERROR($AC85*HDF_Limited_Col!AR85/HDF_Limited_Col!$AH85," ")</f>
        <v xml:space="preserve"> </v>
      </c>
      <c r="AS85" s="26" t="str">
        <f>IFERROR($AC85*HDF_Limited_Col!AS85/HDF_Limited_Col!$AH85," ")</f>
        <v xml:space="preserve"> </v>
      </c>
      <c r="AT85" s="26" t="str">
        <f>IFERROR($AC85*HDF_Limited_Col!AT85/HDF_Limited_Col!$AH85," ")</f>
        <v xml:space="preserve"> </v>
      </c>
      <c r="AU85" s="26" t="str">
        <f>IFERROR($AC85*HDF_Limited_Col!AU85/HDF_Limited_Col!$AH85," ")</f>
        <v xml:space="preserve"> </v>
      </c>
      <c r="AV85" s="26" t="str">
        <f>IFERROR($AC85*HDF_Limited_Col!AV85/HDF_Limited_Col!$AH85," ")</f>
        <v xml:space="preserve"> </v>
      </c>
      <c r="AW85" s="26" t="str">
        <f>IFERROR($AC85*HDF_Limited_Col!AW85/HDF_Limited_Col!$AH85," ")</f>
        <v xml:space="preserve"> </v>
      </c>
      <c r="AX85" s="26" t="str">
        <f>IFERROR($AC85*HDF_Limited_Col!AX85/HDF_Limited_Col!$AH85," ")</f>
        <v xml:space="preserve"> </v>
      </c>
      <c r="AY85" s="26" t="str">
        <f>IFERROR($AC85*HDF_Limited_Col!AY85/HDF_Limited_Col!$AH85," ")</f>
        <v xml:space="preserve"> </v>
      </c>
      <c r="AZ85" s="26" t="str">
        <f>IFERROR($AC85*HDF_Limited_Col!AZ85/HDF_Limited_Col!$AH85," ")</f>
        <v xml:space="preserve"> </v>
      </c>
      <c r="BA85" s="26" t="str">
        <f>IFERROR($AC85*HDF_Limited_Col!BA85/HDF_Limited_Col!$AH85," ")</f>
        <v xml:space="preserve"> </v>
      </c>
      <c r="BB85" s="26" t="str">
        <f>IFERROR($AC85*HDF_Limited_Col!BB85/HDF_Limited_Col!$AH85," ")</f>
        <v xml:space="preserve"> </v>
      </c>
      <c r="BC85" s="26" t="str">
        <f>IFERROR($AC85*HDF_Limited_Col!BC85/HDF_Limited_Col!$AH85," ")</f>
        <v xml:space="preserve"> </v>
      </c>
      <c r="BD85" s="26" t="str">
        <f>IFERROR($AC85*HDF_Limited_Col!BD85/HDF_Limited_Col!$AH85," ")</f>
        <v xml:space="preserve"> </v>
      </c>
      <c r="BE85" s="26" t="str">
        <f>IFERROR($AC85*HDF_Limited_Col!BE85/HDF_Limited_Col!$AH85," ")</f>
        <v xml:space="preserve"> </v>
      </c>
      <c r="BF85" s="26" t="str">
        <f>IFERROR($AC85*HDF_Limited_Col!BF85/HDF_Limited_Col!$AH85," ")</f>
        <v xml:space="preserve"> </v>
      </c>
      <c r="BG85" s="26" t="str">
        <f>IFERROR($AC85*HDF_Limited_Col!BG85/HDF_Limited_Col!$AH85," ")</f>
        <v xml:space="preserve"> </v>
      </c>
      <c r="BH85" s="26" t="str">
        <f>IFERROR($AC85*HDF_Limited_Col!BH85/HDF_Limited_Col!$AH85," ")</f>
        <v xml:space="preserve"> </v>
      </c>
      <c r="BI85" s="26" t="str">
        <f>IFERROR($AC85*HDF_Limited_Col!BI85/HDF_Limited_Col!$AH85," ")</f>
        <v xml:space="preserve"> </v>
      </c>
      <c r="BJ85" s="26" t="str">
        <f>IFERROR($AC85*HDF_Limited_Col!BJ85/HDF_Limited_Col!$AH85," ")</f>
        <v xml:space="preserve"> </v>
      </c>
      <c r="BK85" s="26" t="str">
        <f>IFERROR($AC85*HDF_Limited_Col!BK85/HDF_Limited_Col!$AH85," ")</f>
        <v xml:space="preserve"> </v>
      </c>
      <c r="BL85" s="26" t="str">
        <f>IFERROR($AC85*HDF_Limited_Col!BL85/HDF_Limited_Col!$AH85," ")</f>
        <v xml:space="preserve"> </v>
      </c>
      <c r="BM85" s="26" t="str">
        <f>IFERROR($AC85*HDF_Limited_Col!BM85/HDF_Limited_Col!$AH85," ")</f>
        <v xml:space="preserve"> </v>
      </c>
      <c r="BN85" s="26" t="str">
        <f>IFERROR($AC85*HDF_Limited_Col!BN85/HDF_Limited_Col!$AH85," ")</f>
        <v xml:space="preserve"> </v>
      </c>
      <c r="BO85" s="26" t="str">
        <f>IFERROR($AC85*HDF_Limited_Col!BO85/HDF_Limited_Col!$AH85," ")</f>
        <v xml:space="preserve"> </v>
      </c>
      <c r="BP85" s="26" t="str">
        <f>IFERROR($AC85*HDF_Limited_Col!BP85/HDF_Limited_Col!$AH85," ")</f>
        <v xml:space="preserve"> </v>
      </c>
      <c r="BQ85" s="26" t="str">
        <f>IFERROR($AC85*HDF_Limited_Col!BQ85/HDF_Limited_Col!$AH85," ")</f>
        <v xml:space="preserve"> </v>
      </c>
      <c r="BR85" s="26" t="str">
        <f>IFERROR($AC85*HDF_Limited_Col!BR85/HDF_Limited_Col!$AH85," ")</f>
        <v xml:space="preserve"> </v>
      </c>
      <c r="BS85" s="26" t="str">
        <f>IFERROR($AC85*HDF_Limited_Col!BS85/HDF_Limited_Col!$AH85," ")</f>
        <v xml:space="preserve"> </v>
      </c>
      <c r="BT85" s="26" t="str">
        <f>IFERROR($AC85*HDF_Limited_Col!BT85/HDF_Limited_Col!$AH85," ")</f>
        <v xml:space="preserve"> </v>
      </c>
      <c r="BU85" s="26" t="str">
        <f>IFERROR($AC85*HDF_Limited_Col!BU85/HDF_Limited_Col!$AH85," ")</f>
        <v xml:space="preserve"> </v>
      </c>
      <c r="BV85" s="26" t="str">
        <f>IFERROR($AC85*HDF_Limited_Col!BV85/HDF_Limited_Col!$AH85," ")</f>
        <v xml:space="preserve"> </v>
      </c>
      <c r="BW85" s="26" t="str">
        <f>IFERROR($AC85*HDF_Limited_Col!BW85/HDF_Limited_Col!$AH85," ")</f>
        <v xml:space="preserve"> </v>
      </c>
      <c r="BX85" s="26" t="str">
        <f>IFERROR($AC85*HDF_Limited_Col!BX85/HDF_Limited_Col!$AH85," ")</f>
        <v xml:space="preserve"> </v>
      </c>
      <c r="BY85" s="26" t="str">
        <f>IFERROR($AC85*HDF_Limited_Col!BY85/HDF_Limited_Col!$AH85," ")</f>
        <v xml:space="preserve"> </v>
      </c>
      <c r="BZ85" s="26" t="str">
        <f>IFERROR($AC85*HDF_Limited_Col!BZ85/HDF_Limited_Col!$AH85," ")</f>
        <v xml:space="preserve"> </v>
      </c>
      <c r="CA85" s="26" t="str">
        <f>IFERROR($AC85*HDF_Limited_Col!CA85/HDF_Limited_Col!$AH85," ")</f>
        <v xml:space="preserve"> </v>
      </c>
      <c r="CB85" s="26" t="str">
        <f>IFERROR($AC85*HDF_Limited_Col!CB85/HDF_Limited_Col!$AH85," ")</f>
        <v xml:space="preserve"> </v>
      </c>
      <c r="CC85" s="26" t="str">
        <f>IFERROR($AC85*HDF_Limited_Col!CC85/HDF_Limited_Col!$AH85," ")</f>
        <v xml:space="preserve"> </v>
      </c>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row>
    <row r="86" spans="1:109">
      <c r="A86" s="26" t="s">
        <v>1656</v>
      </c>
      <c r="B86" s="53" t="s">
        <v>24</v>
      </c>
      <c r="C86" s="152" t="s">
        <v>1800</v>
      </c>
      <c r="D86" s="53" t="s">
        <v>1706</v>
      </c>
      <c r="E86" s="53" t="s">
        <v>237</v>
      </c>
      <c r="F86" s="53" t="s">
        <v>849</v>
      </c>
      <c r="G86" s="53" t="s">
        <v>595</v>
      </c>
      <c r="H86" s="52">
        <v>364</v>
      </c>
      <c r="I86" s="53" t="s">
        <v>1148</v>
      </c>
      <c r="J86" s="53" t="s">
        <v>635</v>
      </c>
      <c r="K86" s="53" t="s">
        <v>1678</v>
      </c>
      <c r="L86" s="53"/>
      <c r="M86" s="53" t="s">
        <v>1696</v>
      </c>
      <c r="N86" s="53">
        <v>36</v>
      </c>
      <c r="O86" s="95">
        <v>6.3926090287730437</v>
      </c>
      <c r="P86" s="95">
        <v>0</v>
      </c>
      <c r="Q86" s="95">
        <v>0.70349285962574171</v>
      </c>
      <c r="R86" s="95">
        <v>7.4325549951763152</v>
      </c>
      <c r="S86" s="95">
        <v>27.120159516006858</v>
      </c>
      <c r="T86" s="95">
        <v>16.108966930560463</v>
      </c>
      <c r="U86" s="95">
        <v>0.65251511617460101</v>
      </c>
      <c r="V86" s="95">
        <v>16.108966930560463</v>
      </c>
      <c r="W86" s="95">
        <v>19.065676050726623</v>
      </c>
      <c r="X86" s="95">
        <v>3.9864595378792034</v>
      </c>
      <c r="Y86" s="95">
        <v>3.1300334479000393</v>
      </c>
      <c r="Z86" s="95">
        <v>100.70143441338334</v>
      </c>
      <c r="AA86" s="53"/>
      <c r="AB86" s="53"/>
      <c r="AC86" s="26">
        <f t="shared" si="2"/>
        <v>158271.28929227992</v>
      </c>
      <c r="AD86" s="26" t="str">
        <f>IFERROR($AC86*HDF_Limited_Col!AD86/HDF_Limited_Col!$AH86," ")</f>
        <v xml:space="preserve"> </v>
      </c>
      <c r="AE86" s="26" t="str">
        <f>IFERROR($AC86*HDF_Limited_Col!AE86/HDF_Limited_Col!$AH86," ")</f>
        <v xml:space="preserve"> </v>
      </c>
      <c r="AF86" s="26" t="str">
        <f>IFERROR($AC86*HDF_Limited_Col!AF86/HDF_Limited_Col!$AH86," ")</f>
        <v xml:space="preserve"> </v>
      </c>
      <c r="AG86" s="26" t="str">
        <f>IFERROR($AC86*HDF_Limited_Col!AG86/HDF_Limited_Col!$AH86," ")</f>
        <v xml:space="preserve"> </v>
      </c>
      <c r="AH86" s="26" t="str">
        <f>IFERROR($AC86*HDF_Limited_Col!AH86/HDF_Limited_Col!$AH86," ")</f>
        <v xml:space="preserve"> </v>
      </c>
      <c r="AI86" s="26" t="str">
        <f>IFERROR($AC86*HDF_Limited_Col!AI86/HDF_Limited_Col!$AH86," ")</f>
        <v xml:space="preserve"> </v>
      </c>
      <c r="AJ86" s="26" t="str">
        <f>IFERROR($AC86*HDF_Limited_Col!AJ86/HDF_Limited_Col!$AH86," ")</f>
        <v xml:space="preserve"> </v>
      </c>
      <c r="AK86" s="26" t="str">
        <f>IFERROR($AC86*HDF_Limited_Col!AK86/HDF_Limited_Col!$AH86," ")</f>
        <v xml:space="preserve"> </v>
      </c>
      <c r="AL86" s="26" t="str">
        <f>IFERROR($AC86*HDF_Limited_Col!AL86/HDF_Limited_Col!$AH86," ")</f>
        <v xml:space="preserve"> </v>
      </c>
      <c r="AM86" s="26" t="str">
        <f>IFERROR($AC86*HDF_Limited_Col!AM86/HDF_Limited_Col!$AH86," ")</f>
        <v xml:space="preserve"> </v>
      </c>
      <c r="AN86" s="26" t="str">
        <f>IFERROR($AC86*HDF_Limited_Col!AN86/HDF_Limited_Col!$AH86," ")</f>
        <v xml:space="preserve"> </v>
      </c>
      <c r="AO86" s="26" t="str">
        <f>IFERROR($AC86*HDF_Limited_Col!AO86/HDF_Limited_Col!$AH86," ")</f>
        <v xml:space="preserve"> </v>
      </c>
      <c r="AP86" s="26" t="str">
        <f>IFERROR($AC86*HDF_Limited_Col!AP86/HDF_Limited_Col!$AH86," ")</f>
        <v xml:space="preserve"> </v>
      </c>
      <c r="AQ86" s="26" t="str">
        <f>IFERROR($AC86*HDF_Limited_Col!AQ86/HDF_Limited_Col!$AH86," ")</f>
        <v xml:space="preserve"> </v>
      </c>
      <c r="AR86" s="26" t="str">
        <f>IFERROR($AC86*HDF_Limited_Col!AR86/HDF_Limited_Col!$AH86," ")</f>
        <v xml:space="preserve"> </v>
      </c>
      <c r="AS86" s="26" t="str">
        <f>IFERROR($AC86*HDF_Limited_Col!AS86/HDF_Limited_Col!$AH86," ")</f>
        <v xml:space="preserve"> </v>
      </c>
      <c r="AT86" s="26" t="str">
        <f>IFERROR($AC86*HDF_Limited_Col!AT86/HDF_Limited_Col!$AH86," ")</f>
        <v xml:space="preserve"> </v>
      </c>
      <c r="AU86" s="26" t="str">
        <f>IFERROR($AC86*HDF_Limited_Col!AU86/HDF_Limited_Col!$AH86," ")</f>
        <v xml:space="preserve"> </v>
      </c>
      <c r="AV86" s="26" t="str">
        <f>IFERROR($AC86*HDF_Limited_Col!AV86/HDF_Limited_Col!$AH86," ")</f>
        <v xml:space="preserve"> </v>
      </c>
      <c r="AW86" s="26" t="str">
        <f>IFERROR($AC86*HDF_Limited_Col!AW86/HDF_Limited_Col!$AH86," ")</f>
        <v xml:space="preserve"> </v>
      </c>
      <c r="AX86" s="26" t="str">
        <f>IFERROR($AC86*HDF_Limited_Col!AX86/HDF_Limited_Col!$AH86," ")</f>
        <v xml:space="preserve"> </v>
      </c>
      <c r="AY86" s="26" t="str">
        <f>IFERROR($AC86*HDF_Limited_Col!AY86/HDF_Limited_Col!$AH86," ")</f>
        <v xml:space="preserve"> </v>
      </c>
      <c r="AZ86" s="26" t="str">
        <f>IFERROR($AC86*HDF_Limited_Col!AZ86/HDF_Limited_Col!$AH86," ")</f>
        <v xml:space="preserve"> </v>
      </c>
      <c r="BA86" s="26" t="str">
        <f>IFERROR($AC86*HDF_Limited_Col!BA86/HDF_Limited_Col!$AH86," ")</f>
        <v xml:space="preserve"> </v>
      </c>
      <c r="BB86" s="26" t="str">
        <f>IFERROR($AC86*HDF_Limited_Col!BB86/HDF_Limited_Col!$AH86," ")</f>
        <v xml:space="preserve"> </v>
      </c>
      <c r="BC86" s="26" t="str">
        <f>IFERROR($AC86*HDF_Limited_Col!BC86/HDF_Limited_Col!$AH86," ")</f>
        <v xml:space="preserve"> </v>
      </c>
      <c r="BD86" s="26" t="str">
        <f>IFERROR($AC86*HDF_Limited_Col!BD86/HDF_Limited_Col!$AH86," ")</f>
        <v xml:space="preserve"> </v>
      </c>
      <c r="BE86" s="26" t="str">
        <f>IFERROR($AC86*HDF_Limited_Col!BE86/HDF_Limited_Col!$AH86," ")</f>
        <v xml:space="preserve"> </v>
      </c>
      <c r="BF86" s="26" t="str">
        <f>IFERROR($AC86*HDF_Limited_Col!BF86/HDF_Limited_Col!$AH86," ")</f>
        <v xml:space="preserve"> </v>
      </c>
      <c r="BG86" s="26" t="str">
        <f>IFERROR($AC86*HDF_Limited_Col!BG86/HDF_Limited_Col!$AH86," ")</f>
        <v xml:space="preserve"> </v>
      </c>
      <c r="BH86" s="26" t="str">
        <f>IFERROR($AC86*HDF_Limited_Col!BH86/HDF_Limited_Col!$AH86," ")</f>
        <v xml:space="preserve"> </v>
      </c>
      <c r="BI86" s="26" t="str">
        <f>IFERROR($AC86*HDF_Limited_Col!BI86/HDF_Limited_Col!$AH86," ")</f>
        <v xml:space="preserve"> </v>
      </c>
      <c r="BJ86" s="26" t="str">
        <f>IFERROR($AC86*HDF_Limited_Col!BJ86/HDF_Limited_Col!$AH86," ")</f>
        <v xml:space="preserve"> </v>
      </c>
      <c r="BK86" s="26" t="str">
        <f>IFERROR($AC86*HDF_Limited_Col!BK86/HDF_Limited_Col!$AH86," ")</f>
        <v xml:space="preserve"> </v>
      </c>
      <c r="BL86" s="26" t="str">
        <f>IFERROR($AC86*HDF_Limited_Col!BL86/HDF_Limited_Col!$AH86," ")</f>
        <v xml:space="preserve"> </v>
      </c>
      <c r="BM86" s="26" t="str">
        <f>IFERROR($AC86*HDF_Limited_Col!BM86/HDF_Limited_Col!$AH86," ")</f>
        <v xml:space="preserve"> </v>
      </c>
      <c r="BN86" s="26" t="str">
        <f>IFERROR($AC86*HDF_Limited_Col!BN86/HDF_Limited_Col!$AH86," ")</f>
        <v xml:space="preserve"> </v>
      </c>
      <c r="BO86" s="26" t="str">
        <f>IFERROR($AC86*HDF_Limited_Col!BO86/HDF_Limited_Col!$AH86," ")</f>
        <v xml:space="preserve"> </v>
      </c>
      <c r="BP86" s="26" t="str">
        <f>IFERROR($AC86*HDF_Limited_Col!BP86/HDF_Limited_Col!$AH86," ")</f>
        <v xml:space="preserve"> </v>
      </c>
      <c r="BQ86" s="26" t="str">
        <f>IFERROR($AC86*HDF_Limited_Col!BQ86/HDF_Limited_Col!$AH86," ")</f>
        <v xml:space="preserve"> </v>
      </c>
      <c r="BR86" s="26" t="str">
        <f>IFERROR($AC86*HDF_Limited_Col!BR86/HDF_Limited_Col!$AH86," ")</f>
        <v xml:space="preserve"> </v>
      </c>
      <c r="BS86" s="26" t="str">
        <f>IFERROR($AC86*HDF_Limited_Col!BS86/HDF_Limited_Col!$AH86," ")</f>
        <v xml:space="preserve"> </v>
      </c>
      <c r="BT86" s="26" t="str">
        <f>IFERROR($AC86*HDF_Limited_Col!BT86/HDF_Limited_Col!$AH86," ")</f>
        <v xml:space="preserve"> </v>
      </c>
      <c r="BU86" s="26" t="str">
        <f>IFERROR($AC86*HDF_Limited_Col!BU86/HDF_Limited_Col!$AH86," ")</f>
        <v xml:space="preserve"> </v>
      </c>
      <c r="BV86" s="26" t="str">
        <f>IFERROR($AC86*HDF_Limited_Col!BV86/HDF_Limited_Col!$AH86," ")</f>
        <v xml:space="preserve"> </v>
      </c>
      <c r="BW86" s="26" t="str">
        <f>IFERROR($AC86*HDF_Limited_Col!BW86/HDF_Limited_Col!$AH86," ")</f>
        <v xml:space="preserve"> </v>
      </c>
      <c r="BX86" s="26" t="str">
        <f>IFERROR($AC86*HDF_Limited_Col!BX86/HDF_Limited_Col!$AH86," ")</f>
        <v xml:space="preserve"> </v>
      </c>
      <c r="BY86" s="26" t="str">
        <f>IFERROR($AC86*HDF_Limited_Col!BY86/HDF_Limited_Col!$AH86," ")</f>
        <v xml:space="preserve"> </v>
      </c>
      <c r="BZ86" s="26" t="str">
        <f>IFERROR($AC86*HDF_Limited_Col!BZ86/HDF_Limited_Col!$AH86," ")</f>
        <v xml:space="preserve"> </v>
      </c>
      <c r="CA86" s="26" t="str">
        <f>IFERROR($AC86*HDF_Limited_Col!CA86/HDF_Limited_Col!$AH86," ")</f>
        <v xml:space="preserve"> </v>
      </c>
      <c r="CB86" s="26" t="str">
        <f>IFERROR($AC86*HDF_Limited_Col!CB86/HDF_Limited_Col!$AH86," ")</f>
        <v xml:space="preserve"> </v>
      </c>
      <c r="CC86" s="26" t="str">
        <f>IFERROR($AC86*HDF_Limited_Col!CC86/HDF_Limited_Col!$AH86," ")</f>
        <v xml:space="preserve"> </v>
      </c>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row>
    <row r="87" spans="1:109">
      <c r="A87" s="26" t="s">
        <v>1656</v>
      </c>
      <c r="B87" s="53" t="s">
        <v>24</v>
      </c>
      <c r="C87" s="152" t="s">
        <v>1800</v>
      </c>
      <c r="D87" s="53" t="s">
        <v>1706</v>
      </c>
      <c r="E87" s="53" t="s">
        <v>237</v>
      </c>
      <c r="F87" s="53" t="s">
        <v>849</v>
      </c>
      <c r="G87" s="53" t="s">
        <v>595</v>
      </c>
      <c r="H87" s="52">
        <v>364</v>
      </c>
      <c r="I87" s="53" t="s">
        <v>1148</v>
      </c>
      <c r="J87" s="53" t="s">
        <v>635</v>
      </c>
      <c r="K87" s="53" t="s">
        <v>1678</v>
      </c>
      <c r="L87" s="53"/>
      <c r="M87" s="53" t="s">
        <v>1699</v>
      </c>
      <c r="N87" s="53">
        <v>34</v>
      </c>
      <c r="O87" s="95">
        <v>13.514189024560334</v>
      </c>
      <c r="P87" s="95">
        <v>0.82698768657757249</v>
      </c>
      <c r="Q87" s="95">
        <v>0.73622074536783899</v>
      </c>
      <c r="R87" s="95">
        <v>6.7167536495202844</v>
      </c>
      <c r="S87" s="95">
        <v>22.086622361035168</v>
      </c>
      <c r="T87" s="95">
        <v>13.312484710760923</v>
      </c>
      <c r="U87" s="95">
        <v>0.17144866672949674</v>
      </c>
      <c r="V87" s="95">
        <v>12.808223926262404</v>
      </c>
      <c r="W87" s="95">
        <v>19.161909810943754</v>
      </c>
      <c r="X87" s="95">
        <v>9.0464384739034482</v>
      </c>
      <c r="Y87" s="95">
        <v>2.0876396478238721</v>
      </c>
      <c r="Z87" s="95">
        <v>100.46891870348512</v>
      </c>
      <c r="AA87" s="53"/>
      <c r="AB87" s="53"/>
      <c r="AC87" s="26">
        <f t="shared" si="2"/>
        <v>159070.16163556767</v>
      </c>
      <c r="AD87" s="26" t="str">
        <f>IFERROR($AC87*HDF_Limited_Col!AD87/HDF_Limited_Col!$AH87," ")</f>
        <v xml:space="preserve"> </v>
      </c>
      <c r="AE87" s="26" t="str">
        <f>IFERROR($AC87*HDF_Limited_Col!AE87/HDF_Limited_Col!$AH87," ")</f>
        <v xml:space="preserve"> </v>
      </c>
      <c r="AF87" s="26" t="str">
        <f>IFERROR($AC87*HDF_Limited_Col!AF87/HDF_Limited_Col!$AH87," ")</f>
        <v xml:space="preserve"> </v>
      </c>
      <c r="AG87" s="26" t="str">
        <f>IFERROR($AC87*HDF_Limited_Col!AG87/HDF_Limited_Col!$AH87," ")</f>
        <v xml:space="preserve"> </v>
      </c>
      <c r="AH87" s="26" t="str">
        <f>IFERROR($AC87*HDF_Limited_Col!AH87/HDF_Limited_Col!$AH87," ")</f>
        <v xml:space="preserve"> </v>
      </c>
      <c r="AI87" s="26" t="str">
        <f>IFERROR($AC87*HDF_Limited_Col!AI87/HDF_Limited_Col!$AH87," ")</f>
        <v xml:space="preserve"> </v>
      </c>
      <c r="AJ87" s="26" t="str">
        <f>IFERROR($AC87*HDF_Limited_Col!AJ87/HDF_Limited_Col!$AH87," ")</f>
        <v xml:space="preserve"> </v>
      </c>
      <c r="AK87" s="26" t="str">
        <f>IFERROR($AC87*HDF_Limited_Col!AK87/HDF_Limited_Col!$AH87," ")</f>
        <v xml:space="preserve"> </v>
      </c>
      <c r="AL87" s="26" t="str">
        <f>IFERROR($AC87*HDF_Limited_Col!AL87/HDF_Limited_Col!$AH87," ")</f>
        <v xml:space="preserve"> </v>
      </c>
      <c r="AM87" s="26" t="str">
        <f>IFERROR($AC87*HDF_Limited_Col!AM87/HDF_Limited_Col!$AH87," ")</f>
        <v xml:space="preserve"> </v>
      </c>
      <c r="AN87" s="26" t="str">
        <f>IFERROR($AC87*HDF_Limited_Col!AN87/HDF_Limited_Col!$AH87," ")</f>
        <v xml:space="preserve"> </v>
      </c>
      <c r="AO87" s="26" t="str">
        <f>IFERROR($AC87*HDF_Limited_Col!AO87/HDF_Limited_Col!$AH87," ")</f>
        <v xml:space="preserve"> </v>
      </c>
      <c r="AP87" s="26" t="str">
        <f>IFERROR($AC87*HDF_Limited_Col!AP87/HDF_Limited_Col!$AH87," ")</f>
        <v xml:space="preserve"> </v>
      </c>
      <c r="AQ87" s="26" t="str">
        <f>IFERROR($AC87*HDF_Limited_Col!AQ87/HDF_Limited_Col!$AH87," ")</f>
        <v xml:space="preserve"> </v>
      </c>
      <c r="AR87" s="26" t="str">
        <f>IFERROR($AC87*HDF_Limited_Col!AR87/HDF_Limited_Col!$AH87," ")</f>
        <v xml:space="preserve"> </v>
      </c>
      <c r="AS87" s="26" t="str">
        <f>IFERROR($AC87*HDF_Limited_Col!AS87/HDF_Limited_Col!$AH87," ")</f>
        <v xml:space="preserve"> </v>
      </c>
      <c r="AT87" s="26" t="str">
        <f>IFERROR($AC87*HDF_Limited_Col!AT87/HDF_Limited_Col!$AH87," ")</f>
        <v xml:space="preserve"> </v>
      </c>
      <c r="AU87" s="26" t="str">
        <f>IFERROR($AC87*HDF_Limited_Col!AU87/HDF_Limited_Col!$AH87," ")</f>
        <v xml:space="preserve"> </v>
      </c>
      <c r="AV87" s="26" t="str">
        <f>IFERROR($AC87*HDF_Limited_Col!AV87/HDF_Limited_Col!$AH87," ")</f>
        <v xml:space="preserve"> </v>
      </c>
      <c r="AW87" s="26" t="str">
        <f>IFERROR($AC87*HDF_Limited_Col!AW87/HDF_Limited_Col!$AH87," ")</f>
        <v xml:space="preserve"> </v>
      </c>
      <c r="AX87" s="26" t="str">
        <f>IFERROR($AC87*HDF_Limited_Col!AX87/HDF_Limited_Col!$AH87," ")</f>
        <v xml:space="preserve"> </v>
      </c>
      <c r="AY87" s="26" t="str">
        <f>IFERROR($AC87*HDF_Limited_Col!AY87/HDF_Limited_Col!$AH87," ")</f>
        <v xml:space="preserve"> </v>
      </c>
      <c r="AZ87" s="26" t="str">
        <f>IFERROR($AC87*HDF_Limited_Col!AZ87/HDF_Limited_Col!$AH87," ")</f>
        <v xml:space="preserve"> </v>
      </c>
      <c r="BA87" s="26" t="str">
        <f>IFERROR($AC87*HDF_Limited_Col!BA87/HDF_Limited_Col!$AH87," ")</f>
        <v xml:space="preserve"> </v>
      </c>
      <c r="BB87" s="26" t="str">
        <f>IFERROR($AC87*HDF_Limited_Col!BB87/HDF_Limited_Col!$AH87," ")</f>
        <v xml:space="preserve"> </v>
      </c>
      <c r="BC87" s="26" t="str">
        <f>IFERROR($AC87*HDF_Limited_Col!BC87/HDF_Limited_Col!$AH87," ")</f>
        <v xml:space="preserve"> </v>
      </c>
      <c r="BD87" s="26" t="str">
        <f>IFERROR($AC87*HDF_Limited_Col!BD87/HDF_Limited_Col!$AH87," ")</f>
        <v xml:space="preserve"> </v>
      </c>
      <c r="BE87" s="26" t="str">
        <f>IFERROR($AC87*HDF_Limited_Col!BE87/HDF_Limited_Col!$AH87," ")</f>
        <v xml:space="preserve"> </v>
      </c>
      <c r="BF87" s="26" t="str">
        <f>IFERROR($AC87*HDF_Limited_Col!BF87/HDF_Limited_Col!$AH87," ")</f>
        <v xml:space="preserve"> </v>
      </c>
      <c r="BG87" s="26" t="str">
        <f>IFERROR($AC87*HDF_Limited_Col!BG87/HDF_Limited_Col!$AH87," ")</f>
        <v xml:space="preserve"> </v>
      </c>
      <c r="BH87" s="26" t="str">
        <f>IFERROR($AC87*HDF_Limited_Col!BH87/HDF_Limited_Col!$AH87," ")</f>
        <v xml:space="preserve"> </v>
      </c>
      <c r="BI87" s="26" t="str">
        <f>IFERROR($AC87*HDF_Limited_Col!BI87/HDF_Limited_Col!$AH87," ")</f>
        <v xml:space="preserve"> </v>
      </c>
      <c r="BJ87" s="26" t="str">
        <f>IFERROR($AC87*HDF_Limited_Col!BJ87/HDF_Limited_Col!$AH87," ")</f>
        <v xml:space="preserve"> </v>
      </c>
      <c r="BK87" s="26" t="str">
        <f>IFERROR($AC87*HDF_Limited_Col!BK87/HDF_Limited_Col!$AH87," ")</f>
        <v xml:space="preserve"> </v>
      </c>
      <c r="BL87" s="26" t="str">
        <f>IFERROR($AC87*HDF_Limited_Col!BL87/HDF_Limited_Col!$AH87," ")</f>
        <v xml:space="preserve"> </v>
      </c>
      <c r="BM87" s="26" t="str">
        <f>IFERROR($AC87*HDF_Limited_Col!BM87/HDF_Limited_Col!$AH87," ")</f>
        <v xml:space="preserve"> </v>
      </c>
      <c r="BN87" s="26" t="str">
        <f>IFERROR($AC87*HDF_Limited_Col!BN87/HDF_Limited_Col!$AH87," ")</f>
        <v xml:space="preserve"> </v>
      </c>
      <c r="BO87" s="26" t="str">
        <f>IFERROR($AC87*HDF_Limited_Col!BO87/HDF_Limited_Col!$AH87," ")</f>
        <v xml:space="preserve"> </v>
      </c>
      <c r="BP87" s="26" t="str">
        <f>IFERROR($AC87*HDF_Limited_Col!BP87/HDF_Limited_Col!$AH87," ")</f>
        <v xml:space="preserve"> </v>
      </c>
      <c r="BQ87" s="26" t="str">
        <f>IFERROR($AC87*HDF_Limited_Col!BQ87/HDF_Limited_Col!$AH87," ")</f>
        <v xml:space="preserve"> </v>
      </c>
      <c r="BR87" s="26" t="str">
        <f>IFERROR($AC87*HDF_Limited_Col!BR87/HDF_Limited_Col!$AH87," ")</f>
        <v xml:space="preserve"> </v>
      </c>
      <c r="BS87" s="26" t="str">
        <f>IFERROR($AC87*HDF_Limited_Col!BS87/HDF_Limited_Col!$AH87," ")</f>
        <v xml:space="preserve"> </v>
      </c>
      <c r="BT87" s="26" t="str">
        <f>IFERROR($AC87*HDF_Limited_Col!BT87/HDF_Limited_Col!$AH87," ")</f>
        <v xml:space="preserve"> </v>
      </c>
      <c r="BU87" s="26" t="str">
        <f>IFERROR($AC87*HDF_Limited_Col!BU87/HDF_Limited_Col!$AH87," ")</f>
        <v xml:space="preserve"> </v>
      </c>
      <c r="BV87" s="26" t="str">
        <f>IFERROR($AC87*HDF_Limited_Col!BV87/HDF_Limited_Col!$AH87," ")</f>
        <v xml:space="preserve"> </v>
      </c>
      <c r="BW87" s="26" t="str">
        <f>IFERROR($AC87*HDF_Limited_Col!BW87/HDF_Limited_Col!$AH87," ")</f>
        <v xml:space="preserve"> </v>
      </c>
      <c r="BX87" s="26" t="str">
        <f>IFERROR($AC87*HDF_Limited_Col!BX87/HDF_Limited_Col!$AH87," ")</f>
        <v xml:space="preserve"> </v>
      </c>
      <c r="BY87" s="26" t="str">
        <f>IFERROR($AC87*HDF_Limited_Col!BY87/HDF_Limited_Col!$AH87," ")</f>
        <v xml:space="preserve"> </v>
      </c>
      <c r="BZ87" s="26" t="str">
        <f>IFERROR($AC87*HDF_Limited_Col!BZ87/HDF_Limited_Col!$AH87," ")</f>
        <v xml:space="preserve"> </v>
      </c>
      <c r="CA87" s="26" t="str">
        <f>IFERROR($AC87*HDF_Limited_Col!CA87/HDF_Limited_Col!$AH87," ")</f>
        <v xml:space="preserve"> </v>
      </c>
      <c r="CB87" s="26" t="str">
        <f>IFERROR($AC87*HDF_Limited_Col!CB87/HDF_Limited_Col!$AH87," ")</f>
        <v xml:space="preserve"> </v>
      </c>
      <c r="CC87" s="26" t="str">
        <f>IFERROR($AC87*HDF_Limited_Col!CC87/HDF_Limited_Col!$AH87," ")</f>
        <v xml:space="preserve"> </v>
      </c>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row>
    <row r="88" spans="1:109">
      <c r="A88" s="26" t="s">
        <v>1656</v>
      </c>
      <c r="B88" s="53" t="s">
        <v>24</v>
      </c>
      <c r="C88" s="152" t="s">
        <v>1800</v>
      </c>
      <c r="D88" s="53" t="s">
        <v>1706</v>
      </c>
      <c r="E88" s="53" t="s">
        <v>237</v>
      </c>
      <c r="F88" s="53" t="s">
        <v>849</v>
      </c>
      <c r="G88" s="53" t="s">
        <v>595</v>
      </c>
      <c r="H88" s="52">
        <v>364</v>
      </c>
      <c r="I88" s="53" t="s">
        <v>1148</v>
      </c>
      <c r="J88" s="53" t="s">
        <v>635</v>
      </c>
      <c r="K88" s="53" t="s">
        <v>1678</v>
      </c>
      <c r="L88" s="53"/>
      <c r="M88" s="53" t="s">
        <v>1701</v>
      </c>
      <c r="N88" s="53">
        <v>24</v>
      </c>
      <c r="O88" s="95">
        <v>11.328606297385297</v>
      </c>
      <c r="P88" s="95">
        <v>0.37762020991284329</v>
      </c>
      <c r="Q88" s="95">
        <v>2.2248974529999956</v>
      </c>
      <c r="R88" s="95">
        <v>14.08421323458713</v>
      </c>
      <c r="S88" s="95">
        <v>22.248974529999959</v>
      </c>
      <c r="T88" s="95">
        <v>15.410986945091713</v>
      </c>
      <c r="U88" s="95">
        <v>0.12247141943119241</v>
      </c>
      <c r="V88" s="95">
        <v>11.838903878348601</v>
      </c>
      <c r="W88" s="95">
        <v>11.328606297385297</v>
      </c>
      <c r="X88" s="95">
        <v>10.410070651651356</v>
      </c>
      <c r="Y88" s="95">
        <v>0.80627017792201683</v>
      </c>
      <c r="Z88" s="95">
        <v>100.1816210947154</v>
      </c>
      <c r="AA88" s="53"/>
      <c r="AB88" s="53"/>
      <c r="AC88" s="26">
        <f t="shared" si="2"/>
        <v>94042.986978344183</v>
      </c>
      <c r="AD88" s="26" t="str">
        <f>IFERROR($AC88*HDF_Limited_Col!AD88/HDF_Limited_Col!$AH88," ")</f>
        <v xml:space="preserve"> </v>
      </c>
      <c r="AE88" s="26" t="str">
        <f>IFERROR($AC88*HDF_Limited_Col!AE88/HDF_Limited_Col!$AH88," ")</f>
        <v xml:space="preserve"> </v>
      </c>
      <c r="AF88" s="26" t="str">
        <f>IFERROR($AC88*HDF_Limited_Col!AF88/HDF_Limited_Col!$AH88," ")</f>
        <v xml:space="preserve"> </v>
      </c>
      <c r="AG88" s="26" t="str">
        <f>IFERROR($AC88*HDF_Limited_Col!AG88/HDF_Limited_Col!$AH88," ")</f>
        <v xml:space="preserve"> </v>
      </c>
      <c r="AH88" s="26" t="str">
        <f>IFERROR($AC88*HDF_Limited_Col!AH88/HDF_Limited_Col!$AH88," ")</f>
        <v xml:space="preserve"> </v>
      </c>
      <c r="AI88" s="26" t="str">
        <f>IFERROR($AC88*HDF_Limited_Col!AI88/HDF_Limited_Col!$AH88," ")</f>
        <v xml:space="preserve"> </v>
      </c>
      <c r="AJ88" s="26" t="str">
        <f>IFERROR($AC88*HDF_Limited_Col!AJ88/HDF_Limited_Col!$AH88," ")</f>
        <v xml:space="preserve"> </v>
      </c>
      <c r="AK88" s="26" t="str">
        <f>IFERROR($AC88*HDF_Limited_Col!AK88/HDF_Limited_Col!$AH88," ")</f>
        <v xml:space="preserve"> </v>
      </c>
      <c r="AL88" s="26" t="str">
        <f>IFERROR($AC88*HDF_Limited_Col!AL88/HDF_Limited_Col!$AH88," ")</f>
        <v xml:space="preserve"> </v>
      </c>
      <c r="AM88" s="26" t="str">
        <f>IFERROR($AC88*HDF_Limited_Col!AM88/HDF_Limited_Col!$AH88," ")</f>
        <v xml:space="preserve"> </v>
      </c>
      <c r="AN88" s="26" t="str">
        <f>IFERROR($AC88*HDF_Limited_Col!AN88/HDF_Limited_Col!$AH88," ")</f>
        <v xml:space="preserve"> </v>
      </c>
      <c r="AO88" s="26" t="str">
        <f>IFERROR($AC88*HDF_Limited_Col!AO88/HDF_Limited_Col!$AH88," ")</f>
        <v xml:space="preserve"> </v>
      </c>
      <c r="AP88" s="26" t="str">
        <f>IFERROR($AC88*HDF_Limited_Col!AP88/HDF_Limited_Col!$AH88," ")</f>
        <v xml:space="preserve"> </v>
      </c>
      <c r="AQ88" s="26" t="str">
        <f>IFERROR($AC88*HDF_Limited_Col!AQ88/HDF_Limited_Col!$AH88," ")</f>
        <v xml:space="preserve"> </v>
      </c>
      <c r="AR88" s="26" t="str">
        <f>IFERROR($AC88*HDF_Limited_Col!AR88/HDF_Limited_Col!$AH88," ")</f>
        <v xml:space="preserve"> </v>
      </c>
      <c r="AS88" s="26" t="str">
        <f>IFERROR($AC88*HDF_Limited_Col!AS88/HDF_Limited_Col!$AH88," ")</f>
        <v xml:space="preserve"> </v>
      </c>
      <c r="AT88" s="26" t="str">
        <f>IFERROR($AC88*HDF_Limited_Col!AT88/HDF_Limited_Col!$AH88," ")</f>
        <v xml:space="preserve"> </v>
      </c>
      <c r="AU88" s="26" t="str">
        <f>IFERROR($AC88*HDF_Limited_Col!AU88/HDF_Limited_Col!$AH88," ")</f>
        <v xml:space="preserve"> </v>
      </c>
      <c r="AV88" s="26" t="str">
        <f>IFERROR($AC88*HDF_Limited_Col!AV88/HDF_Limited_Col!$AH88," ")</f>
        <v xml:space="preserve"> </v>
      </c>
      <c r="AW88" s="26" t="str">
        <f>IFERROR($AC88*HDF_Limited_Col!AW88/HDF_Limited_Col!$AH88," ")</f>
        <v xml:space="preserve"> </v>
      </c>
      <c r="AX88" s="26" t="str">
        <f>IFERROR($AC88*HDF_Limited_Col!AX88/HDF_Limited_Col!$AH88," ")</f>
        <v xml:space="preserve"> </v>
      </c>
      <c r="AY88" s="26" t="str">
        <f>IFERROR($AC88*HDF_Limited_Col!AY88/HDF_Limited_Col!$AH88," ")</f>
        <v xml:space="preserve"> </v>
      </c>
      <c r="AZ88" s="26" t="str">
        <f>IFERROR($AC88*HDF_Limited_Col!AZ88/HDF_Limited_Col!$AH88," ")</f>
        <v xml:space="preserve"> </v>
      </c>
      <c r="BA88" s="26" t="str">
        <f>IFERROR($AC88*HDF_Limited_Col!BA88/HDF_Limited_Col!$AH88," ")</f>
        <v xml:space="preserve"> </v>
      </c>
      <c r="BB88" s="26" t="str">
        <f>IFERROR($AC88*HDF_Limited_Col!BB88/HDF_Limited_Col!$AH88," ")</f>
        <v xml:space="preserve"> </v>
      </c>
      <c r="BC88" s="26" t="str">
        <f>IFERROR($AC88*HDF_Limited_Col!BC88/HDF_Limited_Col!$AH88," ")</f>
        <v xml:space="preserve"> </v>
      </c>
      <c r="BD88" s="26" t="str">
        <f>IFERROR($AC88*HDF_Limited_Col!BD88/HDF_Limited_Col!$AH88," ")</f>
        <v xml:space="preserve"> </v>
      </c>
      <c r="BE88" s="26" t="str">
        <f>IFERROR($AC88*HDF_Limited_Col!BE88/HDF_Limited_Col!$AH88," ")</f>
        <v xml:space="preserve"> </v>
      </c>
      <c r="BF88" s="26" t="str">
        <f>IFERROR($AC88*HDF_Limited_Col!BF88/HDF_Limited_Col!$AH88," ")</f>
        <v xml:space="preserve"> </v>
      </c>
      <c r="BG88" s="26" t="str">
        <f>IFERROR($AC88*HDF_Limited_Col!BG88/HDF_Limited_Col!$AH88," ")</f>
        <v xml:space="preserve"> </v>
      </c>
      <c r="BH88" s="26" t="str">
        <f>IFERROR($AC88*HDF_Limited_Col!BH88/HDF_Limited_Col!$AH88," ")</f>
        <v xml:space="preserve"> </v>
      </c>
      <c r="BI88" s="26" t="str">
        <f>IFERROR($AC88*HDF_Limited_Col!BI88/HDF_Limited_Col!$AH88," ")</f>
        <v xml:space="preserve"> </v>
      </c>
      <c r="BJ88" s="26" t="str">
        <f>IFERROR($AC88*HDF_Limited_Col!BJ88/HDF_Limited_Col!$AH88," ")</f>
        <v xml:space="preserve"> </v>
      </c>
      <c r="BK88" s="26" t="str">
        <f>IFERROR($AC88*HDF_Limited_Col!BK88/HDF_Limited_Col!$AH88," ")</f>
        <v xml:space="preserve"> </v>
      </c>
      <c r="BL88" s="26" t="str">
        <f>IFERROR($AC88*HDF_Limited_Col!BL88/HDF_Limited_Col!$AH88," ")</f>
        <v xml:space="preserve"> </v>
      </c>
      <c r="BM88" s="26" t="str">
        <f>IFERROR($AC88*HDF_Limited_Col!BM88/HDF_Limited_Col!$AH88," ")</f>
        <v xml:space="preserve"> </v>
      </c>
      <c r="BN88" s="26" t="str">
        <f>IFERROR($AC88*HDF_Limited_Col!BN88/HDF_Limited_Col!$AH88," ")</f>
        <v xml:space="preserve"> </v>
      </c>
      <c r="BO88" s="26" t="str">
        <f>IFERROR($AC88*HDF_Limited_Col!BO88/HDF_Limited_Col!$AH88," ")</f>
        <v xml:space="preserve"> </v>
      </c>
      <c r="BP88" s="26" t="str">
        <f>IFERROR($AC88*HDF_Limited_Col!BP88/HDF_Limited_Col!$AH88," ")</f>
        <v xml:space="preserve"> </v>
      </c>
      <c r="BQ88" s="26" t="str">
        <f>IFERROR($AC88*HDF_Limited_Col!BQ88/HDF_Limited_Col!$AH88," ")</f>
        <v xml:space="preserve"> </v>
      </c>
      <c r="BR88" s="26" t="str">
        <f>IFERROR($AC88*HDF_Limited_Col!BR88/HDF_Limited_Col!$AH88," ")</f>
        <v xml:space="preserve"> </v>
      </c>
      <c r="BS88" s="26" t="str">
        <f>IFERROR($AC88*HDF_Limited_Col!BS88/HDF_Limited_Col!$AH88," ")</f>
        <v xml:space="preserve"> </v>
      </c>
      <c r="BT88" s="26" t="str">
        <f>IFERROR($AC88*HDF_Limited_Col!BT88/HDF_Limited_Col!$AH88," ")</f>
        <v xml:space="preserve"> </v>
      </c>
      <c r="BU88" s="26" t="str">
        <f>IFERROR($AC88*HDF_Limited_Col!BU88/HDF_Limited_Col!$AH88," ")</f>
        <v xml:space="preserve"> </v>
      </c>
      <c r="BV88" s="26" t="str">
        <f>IFERROR($AC88*HDF_Limited_Col!BV88/HDF_Limited_Col!$AH88," ")</f>
        <v xml:space="preserve"> </v>
      </c>
      <c r="BW88" s="26" t="str">
        <f>IFERROR($AC88*HDF_Limited_Col!BW88/HDF_Limited_Col!$AH88," ")</f>
        <v xml:space="preserve"> </v>
      </c>
      <c r="BX88" s="26" t="str">
        <f>IFERROR($AC88*HDF_Limited_Col!BX88/HDF_Limited_Col!$AH88," ")</f>
        <v xml:space="preserve"> </v>
      </c>
      <c r="BY88" s="26" t="str">
        <f>IFERROR($AC88*HDF_Limited_Col!BY88/HDF_Limited_Col!$AH88," ")</f>
        <v xml:space="preserve"> </v>
      </c>
      <c r="BZ88" s="26" t="str">
        <f>IFERROR($AC88*HDF_Limited_Col!BZ88/HDF_Limited_Col!$AH88," ")</f>
        <v xml:space="preserve"> </v>
      </c>
      <c r="CA88" s="26" t="str">
        <f>IFERROR($AC88*HDF_Limited_Col!CA88/HDF_Limited_Col!$AH88," ")</f>
        <v xml:space="preserve"> </v>
      </c>
      <c r="CB88" s="26" t="str">
        <f>IFERROR($AC88*HDF_Limited_Col!CB88/HDF_Limited_Col!$AH88," ")</f>
        <v xml:space="preserve"> </v>
      </c>
      <c r="CC88" s="26" t="str">
        <f>IFERROR($AC88*HDF_Limited_Col!CC88/HDF_Limited_Col!$AH88," ")</f>
        <v xml:space="preserve"> </v>
      </c>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row>
    <row r="89" spans="1:109">
      <c r="A89" s="26" t="s">
        <v>1656</v>
      </c>
      <c r="B89" s="53" t="s">
        <v>24</v>
      </c>
      <c r="C89" s="152" t="s">
        <v>1800</v>
      </c>
      <c r="D89" s="53" t="s">
        <v>1706</v>
      </c>
      <c r="E89" s="53" t="s">
        <v>237</v>
      </c>
      <c r="F89" s="53" t="s">
        <v>849</v>
      </c>
      <c r="G89" s="53" t="s">
        <v>595</v>
      </c>
      <c r="H89" s="52">
        <v>364</v>
      </c>
      <c r="I89" s="53" t="s">
        <v>1148</v>
      </c>
      <c r="J89" s="53" t="s">
        <v>635</v>
      </c>
      <c r="K89" s="53" t="s">
        <v>1678</v>
      </c>
      <c r="L89" s="53"/>
      <c r="M89" s="53" t="s">
        <v>1702</v>
      </c>
      <c r="N89" s="53">
        <v>24</v>
      </c>
      <c r="O89" s="95">
        <v>7.1303546202128807</v>
      </c>
      <c r="P89" s="95">
        <v>0</v>
      </c>
      <c r="Q89" s="95">
        <v>0</v>
      </c>
      <c r="R89" s="95">
        <v>6.5895692978933651</v>
      </c>
      <c r="S89" s="95">
        <v>29.643047297514229</v>
      </c>
      <c r="T89" s="95">
        <v>12.618324187455379</v>
      </c>
      <c r="U89" s="95">
        <v>0</v>
      </c>
      <c r="V89" s="95">
        <v>9.8042376027927105</v>
      </c>
      <c r="W89" s="95">
        <v>23.033448913609028</v>
      </c>
      <c r="X89" s="95">
        <v>10.715561016331154</v>
      </c>
      <c r="Y89" s="95">
        <v>0.60087258035501812</v>
      </c>
      <c r="Z89" s="95">
        <v>100.13541551616375</v>
      </c>
      <c r="AA89" s="53"/>
      <c r="AB89" s="53"/>
      <c r="AC89" s="26">
        <f t="shared" si="2"/>
        <v>191209.25199323459</v>
      </c>
      <c r="AD89" s="26" t="str">
        <f>IFERROR($AC89*HDF_Limited_Col!AD89/HDF_Limited_Col!$AH89," ")</f>
        <v xml:space="preserve"> </v>
      </c>
      <c r="AE89" s="26" t="str">
        <f>IFERROR($AC89*HDF_Limited_Col!AE89/HDF_Limited_Col!$AH89," ")</f>
        <v xml:space="preserve"> </v>
      </c>
      <c r="AF89" s="26" t="str">
        <f>IFERROR($AC89*HDF_Limited_Col!AF89/HDF_Limited_Col!$AH89," ")</f>
        <v xml:space="preserve"> </v>
      </c>
      <c r="AG89" s="26" t="str">
        <f>IFERROR($AC89*HDF_Limited_Col!AG89/HDF_Limited_Col!$AH89," ")</f>
        <v xml:space="preserve"> </v>
      </c>
      <c r="AH89" s="26" t="str">
        <f>IFERROR($AC89*HDF_Limited_Col!AH89/HDF_Limited_Col!$AH89," ")</f>
        <v xml:space="preserve"> </v>
      </c>
      <c r="AI89" s="26" t="str">
        <f>IFERROR($AC89*HDF_Limited_Col!AI89/HDF_Limited_Col!$AH89," ")</f>
        <v xml:space="preserve"> </v>
      </c>
      <c r="AJ89" s="26" t="str">
        <f>IFERROR($AC89*HDF_Limited_Col!AJ89/HDF_Limited_Col!$AH89," ")</f>
        <v xml:space="preserve"> </v>
      </c>
      <c r="AK89" s="26" t="str">
        <f>IFERROR($AC89*HDF_Limited_Col!AK89/HDF_Limited_Col!$AH89," ")</f>
        <v xml:space="preserve"> </v>
      </c>
      <c r="AL89" s="26" t="str">
        <f>IFERROR($AC89*HDF_Limited_Col!AL89/HDF_Limited_Col!$AH89," ")</f>
        <v xml:space="preserve"> </v>
      </c>
      <c r="AM89" s="26" t="str">
        <f>IFERROR($AC89*HDF_Limited_Col!AM89/HDF_Limited_Col!$AH89," ")</f>
        <v xml:space="preserve"> </v>
      </c>
      <c r="AN89" s="26" t="str">
        <f>IFERROR($AC89*HDF_Limited_Col!AN89/HDF_Limited_Col!$AH89," ")</f>
        <v xml:space="preserve"> </v>
      </c>
      <c r="AO89" s="26" t="str">
        <f>IFERROR($AC89*HDF_Limited_Col!AO89/HDF_Limited_Col!$AH89," ")</f>
        <v xml:space="preserve"> </v>
      </c>
      <c r="AP89" s="26" t="str">
        <f>IFERROR($AC89*HDF_Limited_Col!AP89/HDF_Limited_Col!$AH89," ")</f>
        <v xml:space="preserve"> </v>
      </c>
      <c r="AQ89" s="26" t="str">
        <f>IFERROR($AC89*HDF_Limited_Col!AQ89/HDF_Limited_Col!$AH89," ")</f>
        <v xml:space="preserve"> </v>
      </c>
      <c r="AR89" s="26" t="str">
        <f>IFERROR($AC89*HDF_Limited_Col!AR89/HDF_Limited_Col!$AH89," ")</f>
        <v xml:space="preserve"> </v>
      </c>
      <c r="AS89" s="26" t="str">
        <f>IFERROR($AC89*HDF_Limited_Col!AS89/HDF_Limited_Col!$AH89," ")</f>
        <v xml:space="preserve"> </v>
      </c>
      <c r="AT89" s="26" t="str">
        <f>IFERROR($AC89*HDF_Limited_Col!AT89/HDF_Limited_Col!$AH89," ")</f>
        <v xml:space="preserve"> </v>
      </c>
      <c r="AU89" s="26" t="str">
        <f>IFERROR($AC89*HDF_Limited_Col!AU89/HDF_Limited_Col!$AH89," ")</f>
        <v xml:space="preserve"> </v>
      </c>
      <c r="AV89" s="26" t="str">
        <f>IFERROR($AC89*HDF_Limited_Col!AV89/HDF_Limited_Col!$AH89," ")</f>
        <v xml:space="preserve"> </v>
      </c>
      <c r="AW89" s="26" t="str">
        <f>IFERROR($AC89*HDF_Limited_Col!AW89/HDF_Limited_Col!$AH89," ")</f>
        <v xml:space="preserve"> </v>
      </c>
      <c r="AX89" s="26" t="str">
        <f>IFERROR($AC89*HDF_Limited_Col!AX89/HDF_Limited_Col!$AH89," ")</f>
        <v xml:space="preserve"> </v>
      </c>
      <c r="AY89" s="26" t="str">
        <f>IFERROR($AC89*HDF_Limited_Col!AY89/HDF_Limited_Col!$AH89," ")</f>
        <v xml:space="preserve"> </v>
      </c>
      <c r="AZ89" s="26" t="str">
        <f>IFERROR($AC89*HDF_Limited_Col!AZ89/HDF_Limited_Col!$AH89," ")</f>
        <v xml:space="preserve"> </v>
      </c>
      <c r="BA89" s="26" t="str">
        <f>IFERROR($AC89*HDF_Limited_Col!BA89/HDF_Limited_Col!$AH89," ")</f>
        <v xml:space="preserve"> </v>
      </c>
      <c r="BB89" s="26" t="str">
        <f>IFERROR($AC89*HDF_Limited_Col!BB89/HDF_Limited_Col!$AH89," ")</f>
        <v xml:space="preserve"> </v>
      </c>
      <c r="BC89" s="26" t="str">
        <f>IFERROR($AC89*HDF_Limited_Col!BC89/HDF_Limited_Col!$AH89," ")</f>
        <v xml:space="preserve"> </v>
      </c>
      <c r="BD89" s="26" t="str">
        <f>IFERROR($AC89*HDF_Limited_Col!BD89/HDF_Limited_Col!$AH89," ")</f>
        <v xml:space="preserve"> </v>
      </c>
      <c r="BE89" s="26" t="str">
        <f>IFERROR($AC89*HDF_Limited_Col!BE89/HDF_Limited_Col!$AH89," ")</f>
        <v xml:space="preserve"> </v>
      </c>
      <c r="BF89" s="26" t="str">
        <f>IFERROR($AC89*HDF_Limited_Col!BF89/HDF_Limited_Col!$AH89," ")</f>
        <v xml:space="preserve"> </v>
      </c>
      <c r="BG89" s="26" t="str">
        <f>IFERROR($AC89*HDF_Limited_Col!BG89/HDF_Limited_Col!$AH89," ")</f>
        <v xml:space="preserve"> </v>
      </c>
      <c r="BH89" s="26" t="str">
        <f>IFERROR($AC89*HDF_Limited_Col!BH89/HDF_Limited_Col!$AH89," ")</f>
        <v xml:space="preserve"> </v>
      </c>
      <c r="BI89" s="26" t="str">
        <f>IFERROR($AC89*HDF_Limited_Col!BI89/HDF_Limited_Col!$AH89," ")</f>
        <v xml:space="preserve"> </v>
      </c>
      <c r="BJ89" s="26" t="str">
        <f>IFERROR($AC89*HDF_Limited_Col!BJ89/HDF_Limited_Col!$AH89," ")</f>
        <v xml:space="preserve"> </v>
      </c>
      <c r="BK89" s="26" t="str">
        <f>IFERROR($AC89*HDF_Limited_Col!BK89/HDF_Limited_Col!$AH89," ")</f>
        <v xml:space="preserve"> </v>
      </c>
      <c r="BL89" s="26" t="str">
        <f>IFERROR($AC89*HDF_Limited_Col!BL89/HDF_Limited_Col!$AH89," ")</f>
        <v xml:space="preserve"> </v>
      </c>
      <c r="BM89" s="26" t="str">
        <f>IFERROR($AC89*HDF_Limited_Col!BM89/HDF_Limited_Col!$AH89," ")</f>
        <v xml:space="preserve"> </v>
      </c>
      <c r="BN89" s="26" t="str">
        <f>IFERROR($AC89*HDF_Limited_Col!BN89/HDF_Limited_Col!$AH89," ")</f>
        <v xml:space="preserve"> </v>
      </c>
      <c r="BO89" s="26" t="str">
        <f>IFERROR($AC89*HDF_Limited_Col!BO89/HDF_Limited_Col!$AH89," ")</f>
        <v xml:space="preserve"> </v>
      </c>
      <c r="BP89" s="26" t="str">
        <f>IFERROR($AC89*HDF_Limited_Col!BP89/HDF_Limited_Col!$AH89," ")</f>
        <v xml:space="preserve"> </v>
      </c>
      <c r="BQ89" s="26" t="str">
        <f>IFERROR($AC89*HDF_Limited_Col!BQ89/HDF_Limited_Col!$AH89," ")</f>
        <v xml:space="preserve"> </v>
      </c>
      <c r="BR89" s="26" t="str">
        <f>IFERROR($AC89*HDF_Limited_Col!BR89/HDF_Limited_Col!$AH89," ")</f>
        <v xml:space="preserve"> </v>
      </c>
      <c r="BS89" s="26" t="str">
        <f>IFERROR($AC89*HDF_Limited_Col!BS89/HDF_Limited_Col!$AH89," ")</f>
        <v xml:space="preserve"> </v>
      </c>
      <c r="BT89" s="26" t="str">
        <f>IFERROR($AC89*HDF_Limited_Col!BT89/HDF_Limited_Col!$AH89," ")</f>
        <v xml:space="preserve"> </v>
      </c>
      <c r="BU89" s="26" t="str">
        <f>IFERROR($AC89*HDF_Limited_Col!BU89/HDF_Limited_Col!$AH89," ")</f>
        <v xml:space="preserve"> </v>
      </c>
      <c r="BV89" s="26" t="str">
        <f>IFERROR($AC89*HDF_Limited_Col!BV89/HDF_Limited_Col!$AH89," ")</f>
        <v xml:space="preserve"> </v>
      </c>
      <c r="BW89" s="26" t="str">
        <f>IFERROR($AC89*HDF_Limited_Col!BW89/HDF_Limited_Col!$AH89," ")</f>
        <v xml:space="preserve"> </v>
      </c>
      <c r="BX89" s="26" t="str">
        <f>IFERROR($AC89*HDF_Limited_Col!BX89/HDF_Limited_Col!$AH89," ")</f>
        <v xml:space="preserve"> </v>
      </c>
      <c r="BY89" s="26" t="str">
        <f>IFERROR($AC89*HDF_Limited_Col!BY89/HDF_Limited_Col!$AH89," ")</f>
        <v xml:space="preserve"> </v>
      </c>
      <c r="BZ89" s="26" t="str">
        <f>IFERROR($AC89*HDF_Limited_Col!BZ89/HDF_Limited_Col!$AH89," ")</f>
        <v xml:space="preserve"> </v>
      </c>
      <c r="CA89" s="26" t="str">
        <f>IFERROR($AC89*HDF_Limited_Col!CA89/HDF_Limited_Col!$AH89," ")</f>
        <v xml:space="preserve"> </v>
      </c>
      <c r="CB89" s="26" t="str">
        <f>IFERROR($AC89*HDF_Limited_Col!CB89/HDF_Limited_Col!$AH89," ")</f>
        <v xml:space="preserve"> </v>
      </c>
      <c r="CC89" s="26" t="str">
        <f>IFERROR($AC89*HDF_Limited_Col!CC89/HDF_Limited_Col!$AH89," ")</f>
        <v xml:space="preserve"> </v>
      </c>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row>
    <row r="90" spans="1:109">
      <c r="A90" s="26" t="s">
        <v>1656</v>
      </c>
      <c r="B90" s="53" t="s">
        <v>24</v>
      </c>
      <c r="C90" s="152" t="s">
        <v>1800</v>
      </c>
      <c r="D90" s="53" t="s">
        <v>1706</v>
      </c>
      <c r="E90" s="53" t="s">
        <v>237</v>
      </c>
      <c r="F90" s="53" t="s">
        <v>849</v>
      </c>
      <c r="G90" s="53" t="s">
        <v>595</v>
      </c>
      <c r="H90" s="52">
        <v>364</v>
      </c>
      <c r="I90" s="53" t="s">
        <v>1148</v>
      </c>
      <c r="J90" s="53" t="s">
        <v>635</v>
      </c>
      <c r="K90" s="53" t="s">
        <v>1678</v>
      </c>
      <c r="L90" s="53"/>
      <c r="M90" s="53" t="s">
        <v>1703</v>
      </c>
      <c r="N90" s="53">
        <v>22</v>
      </c>
      <c r="O90" s="95">
        <v>11.928387733110737</v>
      </c>
      <c r="P90" s="95">
        <v>0</v>
      </c>
      <c r="Q90" s="95">
        <v>1.5292804786039407</v>
      </c>
      <c r="R90" s="95">
        <v>6.4331732133272439</v>
      </c>
      <c r="S90" s="95">
        <v>16.210373073201772</v>
      </c>
      <c r="T90" s="95">
        <v>9.0329500269539427</v>
      </c>
      <c r="U90" s="95">
        <v>3.1605129891148107</v>
      </c>
      <c r="V90" s="95">
        <v>10.001494330069773</v>
      </c>
      <c r="W90" s="95">
        <v>17.943557615619572</v>
      </c>
      <c r="X90" s="95">
        <v>21.307974668548237</v>
      </c>
      <c r="Y90" s="95">
        <v>3.1605129891148107</v>
      </c>
      <c r="Z90" s="95">
        <v>100.70821711766484</v>
      </c>
      <c r="AA90" s="53"/>
      <c r="AB90" s="53"/>
      <c r="AC90" s="26">
        <f t="shared" si="2"/>
        <v>148956.16555942598</v>
      </c>
      <c r="AD90" s="26" t="str">
        <f>IFERROR($AC90*HDF_Limited_Col!AD90/HDF_Limited_Col!$AH90," ")</f>
        <v xml:space="preserve"> </v>
      </c>
      <c r="AE90" s="26" t="str">
        <f>IFERROR($AC90*HDF_Limited_Col!AE90/HDF_Limited_Col!$AH90," ")</f>
        <v xml:space="preserve"> </v>
      </c>
      <c r="AF90" s="26" t="str">
        <f>IFERROR($AC90*HDF_Limited_Col!AF90/HDF_Limited_Col!$AH90," ")</f>
        <v xml:space="preserve"> </v>
      </c>
      <c r="AG90" s="26" t="str">
        <f>IFERROR($AC90*HDF_Limited_Col!AG90/HDF_Limited_Col!$AH90," ")</f>
        <v xml:space="preserve"> </v>
      </c>
      <c r="AH90" s="26" t="str">
        <f>IFERROR($AC90*HDF_Limited_Col!AH90/HDF_Limited_Col!$AH90," ")</f>
        <v xml:space="preserve"> </v>
      </c>
      <c r="AI90" s="26" t="str">
        <f>IFERROR($AC90*HDF_Limited_Col!AI90/HDF_Limited_Col!$AH90," ")</f>
        <v xml:space="preserve"> </v>
      </c>
      <c r="AJ90" s="26" t="str">
        <f>IFERROR($AC90*HDF_Limited_Col!AJ90/HDF_Limited_Col!$AH90," ")</f>
        <v xml:space="preserve"> </v>
      </c>
      <c r="AK90" s="26" t="str">
        <f>IFERROR($AC90*HDF_Limited_Col!AK90/HDF_Limited_Col!$AH90," ")</f>
        <v xml:space="preserve"> </v>
      </c>
      <c r="AL90" s="26" t="str">
        <f>IFERROR($AC90*HDF_Limited_Col!AL90/HDF_Limited_Col!$AH90," ")</f>
        <v xml:space="preserve"> </v>
      </c>
      <c r="AM90" s="26" t="str">
        <f>IFERROR($AC90*HDF_Limited_Col!AM90/HDF_Limited_Col!$AH90," ")</f>
        <v xml:space="preserve"> </v>
      </c>
      <c r="AN90" s="26" t="str">
        <f>IFERROR($AC90*HDF_Limited_Col!AN90/HDF_Limited_Col!$AH90," ")</f>
        <v xml:space="preserve"> </v>
      </c>
      <c r="AO90" s="26" t="str">
        <f>IFERROR($AC90*HDF_Limited_Col!AO90/HDF_Limited_Col!$AH90," ")</f>
        <v xml:space="preserve"> </v>
      </c>
      <c r="AP90" s="26" t="str">
        <f>IFERROR($AC90*HDF_Limited_Col!AP90/HDF_Limited_Col!$AH90," ")</f>
        <v xml:space="preserve"> </v>
      </c>
      <c r="AQ90" s="26" t="str">
        <f>IFERROR($AC90*HDF_Limited_Col!AQ90/HDF_Limited_Col!$AH90," ")</f>
        <v xml:space="preserve"> </v>
      </c>
      <c r="AR90" s="26" t="str">
        <f>IFERROR($AC90*HDF_Limited_Col!AR90/HDF_Limited_Col!$AH90," ")</f>
        <v xml:space="preserve"> </v>
      </c>
      <c r="AS90" s="26" t="str">
        <f>IFERROR($AC90*HDF_Limited_Col!AS90/HDF_Limited_Col!$AH90," ")</f>
        <v xml:space="preserve"> </v>
      </c>
      <c r="AT90" s="26" t="str">
        <f>IFERROR($AC90*HDF_Limited_Col!AT90/HDF_Limited_Col!$AH90," ")</f>
        <v xml:space="preserve"> </v>
      </c>
      <c r="AU90" s="26" t="str">
        <f>IFERROR($AC90*HDF_Limited_Col!AU90/HDF_Limited_Col!$AH90," ")</f>
        <v xml:space="preserve"> </v>
      </c>
      <c r="AV90" s="26" t="str">
        <f>IFERROR($AC90*HDF_Limited_Col!AV90/HDF_Limited_Col!$AH90," ")</f>
        <v xml:space="preserve"> </v>
      </c>
      <c r="AW90" s="26" t="str">
        <f>IFERROR($AC90*HDF_Limited_Col!AW90/HDF_Limited_Col!$AH90," ")</f>
        <v xml:space="preserve"> </v>
      </c>
      <c r="AX90" s="26" t="str">
        <f>IFERROR($AC90*HDF_Limited_Col!AX90/HDF_Limited_Col!$AH90," ")</f>
        <v xml:space="preserve"> </v>
      </c>
      <c r="AY90" s="26" t="str">
        <f>IFERROR($AC90*HDF_Limited_Col!AY90/HDF_Limited_Col!$AH90," ")</f>
        <v xml:space="preserve"> </v>
      </c>
      <c r="AZ90" s="26" t="str">
        <f>IFERROR($AC90*HDF_Limited_Col!AZ90/HDF_Limited_Col!$AH90," ")</f>
        <v xml:space="preserve"> </v>
      </c>
      <c r="BA90" s="26" t="str">
        <f>IFERROR($AC90*HDF_Limited_Col!BA90/HDF_Limited_Col!$AH90," ")</f>
        <v xml:space="preserve"> </v>
      </c>
      <c r="BB90" s="26" t="str">
        <f>IFERROR($AC90*HDF_Limited_Col!BB90/HDF_Limited_Col!$AH90," ")</f>
        <v xml:space="preserve"> </v>
      </c>
      <c r="BC90" s="26" t="str">
        <f>IFERROR($AC90*HDF_Limited_Col!BC90/HDF_Limited_Col!$AH90," ")</f>
        <v xml:space="preserve"> </v>
      </c>
      <c r="BD90" s="26" t="str">
        <f>IFERROR($AC90*HDF_Limited_Col!BD90/HDF_Limited_Col!$AH90," ")</f>
        <v xml:space="preserve"> </v>
      </c>
      <c r="BE90" s="26" t="str">
        <f>IFERROR($AC90*HDF_Limited_Col!BE90/HDF_Limited_Col!$AH90," ")</f>
        <v xml:space="preserve"> </v>
      </c>
      <c r="BF90" s="26" t="str">
        <f>IFERROR($AC90*HDF_Limited_Col!BF90/HDF_Limited_Col!$AH90," ")</f>
        <v xml:space="preserve"> </v>
      </c>
      <c r="BG90" s="26" t="str">
        <f>IFERROR($AC90*HDF_Limited_Col!BG90/HDF_Limited_Col!$AH90," ")</f>
        <v xml:space="preserve"> </v>
      </c>
      <c r="BH90" s="26" t="str">
        <f>IFERROR($AC90*HDF_Limited_Col!BH90/HDF_Limited_Col!$AH90," ")</f>
        <v xml:space="preserve"> </v>
      </c>
      <c r="BI90" s="26" t="str">
        <f>IFERROR($AC90*HDF_Limited_Col!BI90/HDF_Limited_Col!$AH90," ")</f>
        <v xml:space="preserve"> </v>
      </c>
      <c r="BJ90" s="26" t="str">
        <f>IFERROR($AC90*HDF_Limited_Col!BJ90/HDF_Limited_Col!$AH90," ")</f>
        <v xml:space="preserve"> </v>
      </c>
      <c r="BK90" s="26" t="str">
        <f>IFERROR($AC90*HDF_Limited_Col!BK90/HDF_Limited_Col!$AH90," ")</f>
        <v xml:space="preserve"> </v>
      </c>
      <c r="BL90" s="26" t="str">
        <f>IFERROR($AC90*HDF_Limited_Col!BL90/HDF_Limited_Col!$AH90," ")</f>
        <v xml:space="preserve"> </v>
      </c>
      <c r="BM90" s="26" t="str">
        <f>IFERROR($AC90*HDF_Limited_Col!BM90/HDF_Limited_Col!$AH90," ")</f>
        <v xml:space="preserve"> </v>
      </c>
      <c r="BN90" s="26" t="str">
        <f>IFERROR($AC90*HDF_Limited_Col!BN90/HDF_Limited_Col!$AH90," ")</f>
        <v xml:space="preserve"> </v>
      </c>
      <c r="BO90" s="26" t="str">
        <f>IFERROR($AC90*HDF_Limited_Col!BO90/HDF_Limited_Col!$AH90," ")</f>
        <v xml:space="preserve"> </v>
      </c>
      <c r="BP90" s="26" t="str">
        <f>IFERROR($AC90*HDF_Limited_Col!BP90/HDF_Limited_Col!$AH90," ")</f>
        <v xml:space="preserve"> </v>
      </c>
      <c r="BQ90" s="26" t="str">
        <f>IFERROR($AC90*HDF_Limited_Col!BQ90/HDF_Limited_Col!$AH90," ")</f>
        <v xml:space="preserve"> </v>
      </c>
      <c r="BR90" s="26" t="str">
        <f>IFERROR($AC90*HDF_Limited_Col!BR90/HDF_Limited_Col!$AH90," ")</f>
        <v xml:space="preserve"> </v>
      </c>
      <c r="BS90" s="26" t="str">
        <f>IFERROR($AC90*HDF_Limited_Col!BS90/HDF_Limited_Col!$AH90," ")</f>
        <v xml:space="preserve"> </v>
      </c>
      <c r="BT90" s="26" t="str">
        <f>IFERROR($AC90*HDF_Limited_Col!BT90/HDF_Limited_Col!$AH90," ")</f>
        <v xml:space="preserve"> </v>
      </c>
      <c r="BU90" s="26" t="str">
        <f>IFERROR($AC90*HDF_Limited_Col!BU90/HDF_Limited_Col!$AH90," ")</f>
        <v xml:space="preserve"> </v>
      </c>
      <c r="BV90" s="26" t="str">
        <f>IFERROR($AC90*HDF_Limited_Col!BV90/HDF_Limited_Col!$AH90," ")</f>
        <v xml:space="preserve"> </v>
      </c>
      <c r="BW90" s="26" t="str">
        <f>IFERROR($AC90*HDF_Limited_Col!BW90/HDF_Limited_Col!$AH90," ")</f>
        <v xml:space="preserve"> </v>
      </c>
      <c r="BX90" s="26" t="str">
        <f>IFERROR($AC90*HDF_Limited_Col!BX90/HDF_Limited_Col!$AH90," ")</f>
        <v xml:space="preserve"> </v>
      </c>
      <c r="BY90" s="26" t="str">
        <f>IFERROR($AC90*HDF_Limited_Col!BY90/HDF_Limited_Col!$AH90," ")</f>
        <v xml:space="preserve"> </v>
      </c>
      <c r="BZ90" s="26" t="str">
        <f>IFERROR($AC90*HDF_Limited_Col!BZ90/HDF_Limited_Col!$AH90," ")</f>
        <v xml:space="preserve"> </v>
      </c>
      <c r="CA90" s="26" t="str">
        <f>IFERROR($AC90*HDF_Limited_Col!CA90/HDF_Limited_Col!$AH90," ")</f>
        <v xml:space="preserve"> </v>
      </c>
      <c r="CB90" s="26" t="str">
        <f>IFERROR($AC90*HDF_Limited_Col!CB90/HDF_Limited_Col!$AH90," ")</f>
        <v xml:space="preserve"> </v>
      </c>
      <c r="CC90" s="26" t="str">
        <f>IFERROR($AC90*HDF_Limited_Col!CC90/HDF_Limited_Col!$AH90," ")</f>
        <v xml:space="preserve"> </v>
      </c>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row>
    <row r="91" spans="1:109">
      <c r="A91" s="26" t="s">
        <v>827</v>
      </c>
      <c r="B91" s="26" t="s">
        <v>24</v>
      </c>
      <c r="C91" s="154" t="s">
        <v>1801</v>
      </c>
      <c r="D91" s="26" t="s">
        <v>1718</v>
      </c>
      <c r="E91" s="26" t="s">
        <v>237</v>
      </c>
      <c r="F91" s="26" t="s">
        <v>817</v>
      </c>
      <c r="G91" s="26" t="s">
        <v>595</v>
      </c>
      <c r="H91" s="30" t="s">
        <v>1796</v>
      </c>
      <c r="I91" s="26" t="s">
        <v>735</v>
      </c>
      <c r="J91" s="26"/>
      <c r="K91" s="26" t="s">
        <v>802</v>
      </c>
      <c r="L91" s="26"/>
      <c r="M91" s="26" t="s">
        <v>821</v>
      </c>
      <c r="N91" s="26">
        <v>20</v>
      </c>
      <c r="O91" s="95">
        <v>16.594892884990113</v>
      </c>
      <c r="P91" s="95">
        <v>2.4434198112868879</v>
      </c>
      <c r="Q91" s="95">
        <v>3.1560839229122304</v>
      </c>
      <c r="R91" s="95">
        <v>12.11528989763082</v>
      </c>
      <c r="S91" s="95">
        <v>11.097198309594617</v>
      </c>
      <c r="T91" s="95">
        <v>17.409366155419079</v>
      </c>
      <c r="U91" s="95">
        <v>1.1199007468398237</v>
      </c>
      <c r="V91" s="95">
        <v>7.1266411162534222</v>
      </c>
      <c r="W91" s="95">
        <v>24.0269614776544</v>
      </c>
      <c r="X91" s="95">
        <v>2.5452289700905082</v>
      </c>
      <c r="Y91" s="95">
        <v>3.0542747641086101</v>
      </c>
      <c r="Z91" s="95">
        <v>100.6892580567805</v>
      </c>
      <c r="AA91" s="26"/>
      <c r="AB91" s="26"/>
      <c r="AC91" s="26">
        <f t="shared" si="2"/>
        <v>199456.77041435803</v>
      </c>
      <c r="AD91" s="26" t="str">
        <f>IFERROR($AC91*HDF_Limited_Col!AD91/HDF_Limited_Col!$AH91," ")</f>
        <v xml:space="preserve"> </v>
      </c>
      <c r="AE91" s="26" t="str">
        <f>IFERROR($AC91*HDF_Limited_Col!AE91/HDF_Limited_Col!$AH91," ")</f>
        <v xml:space="preserve"> </v>
      </c>
      <c r="AF91" s="26" t="str">
        <f>IFERROR($AC91*HDF_Limited_Col!AF91/HDF_Limited_Col!$AH91," ")</f>
        <v xml:space="preserve"> </v>
      </c>
      <c r="AG91" s="26" t="str">
        <f>IFERROR($AC91*HDF_Limited_Col!AG91/HDF_Limited_Col!$AH91," ")</f>
        <v xml:space="preserve"> </v>
      </c>
      <c r="AH91" s="26" t="str">
        <f>IFERROR($AC91*HDF_Limited_Col!AH91/HDF_Limited_Col!$AH91," ")</f>
        <v xml:space="preserve"> </v>
      </c>
      <c r="AI91" s="26" t="str">
        <f>IFERROR($AC91*HDF_Limited_Col!AI91/HDF_Limited_Col!$AH91," ")</f>
        <v xml:space="preserve"> </v>
      </c>
      <c r="AJ91" s="26" t="str">
        <f>IFERROR($AC91*HDF_Limited_Col!AJ91/HDF_Limited_Col!$AH91," ")</f>
        <v xml:space="preserve"> </v>
      </c>
      <c r="AK91" s="26" t="str">
        <f>IFERROR($AC91*HDF_Limited_Col!AK91/HDF_Limited_Col!$AH91," ")</f>
        <v xml:space="preserve"> </v>
      </c>
      <c r="AL91" s="26" t="str">
        <f>IFERROR($AC91*HDF_Limited_Col!AL91/HDF_Limited_Col!$AH91," ")</f>
        <v xml:space="preserve"> </v>
      </c>
      <c r="AM91" s="26" t="str">
        <f>IFERROR($AC91*HDF_Limited_Col!AM91/HDF_Limited_Col!$AH91," ")</f>
        <v xml:space="preserve"> </v>
      </c>
      <c r="AN91" s="26" t="str">
        <f>IFERROR($AC91*HDF_Limited_Col!AN91/HDF_Limited_Col!$AH91," ")</f>
        <v xml:space="preserve"> </v>
      </c>
      <c r="AO91" s="26" t="str">
        <f>IFERROR($AC91*HDF_Limited_Col!AO91/HDF_Limited_Col!$AH91," ")</f>
        <v xml:space="preserve"> </v>
      </c>
      <c r="AP91" s="26" t="str">
        <f>IFERROR($AC91*HDF_Limited_Col!AP91/HDF_Limited_Col!$AH91," ")</f>
        <v xml:space="preserve"> </v>
      </c>
      <c r="AQ91" s="26" t="str">
        <f>IFERROR($AC91*HDF_Limited_Col!AQ91/HDF_Limited_Col!$AH91," ")</f>
        <v xml:space="preserve"> </v>
      </c>
      <c r="AR91" s="26" t="str">
        <f>IFERROR($AC91*HDF_Limited_Col!AR91/HDF_Limited_Col!$AH91," ")</f>
        <v xml:space="preserve"> </v>
      </c>
      <c r="AS91" s="26" t="str">
        <f>IFERROR($AC91*HDF_Limited_Col!AS91/HDF_Limited_Col!$AH91," ")</f>
        <v xml:space="preserve"> </v>
      </c>
      <c r="AT91" s="26" t="str">
        <f>IFERROR($AC91*HDF_Limited_Col!AT91/HDF_Limited_Col!$AH91," ")</f>
        <v xml:space="preserve"> </v>
      </c>
      <c r="AU91" s="26" t="str">
        <f>IFERROR($AC91*HDF_Limited_Col!AU91/HDF_Limited_Col!$AH91," ")</f>
        <v xml:space="preserve"> </v>
      </c>
      <c r="AV91" s="26" t="str">
        <f>IFERROR($AC91*HDF_Limited_Col!AV91/HDF_Limited_Col!$AH91," ")</f>
        <v xml:space="preserve"> </v>
      </c>
      <c r="AW91" s="26" t="str">
        <f>IFERROR($AC91*HDF_Limited_Col!AW91/HDF_Limited_Col!$AH91," ")</f>
        <v xml:space="preserve"> </v>
      </c>
      <c r="AX91" s="26" t="str">
        <f>IFERROR($AC91*HDF_Limited_Col!AX91/HDF_Limited_Col!$AH91," ")</f>
        <v xml:space="preserve"> </v>
      </c>
      <c r="AY91" s="26" t="str">
        <f>IFERROR($AC91*HDF_Limited_Col!AY91/HDF_Limited_Col!$AH91," ")</f>
        <v xml:space="preserve"> </v>
      </c>
      <c r="AZ91" s="26" t="str">
        <f>IFERROR($AC91*HDF_Limited_Col!AZ91/HDF_Limited_Col!$AH91," ")</f>
        <v xml:space="preserve"> </v>
      </c>
      <c r="BA91" s="26" t="str">
        <f>IFERROR($AC91*HDF_Limited_Col!BA91/HDF_Limited_Col!$AH91," ")</f>
        <v xml:space="preserve"> </v>
      </c>
      <c r="BB91" s="26" t="str">
        <f>IFERROR($AC91*HDF_Limited_Col!BB91/HDF_Limited_Col!$AH91," ")</f>
        <v xml:space="preserve"> </v>
      </c>
      <c r="BC91" s="26" t="str">
        <f>IFERROR($AC91*HDF_Limited_Col!BC91/HDF_Limited_Col!$AH91," ")</f>
        <v xml:space="preserve"> </v>
      </c>
      <c r="BD91" s="26" t="str">
        <f>IFERROR($AC91*HDF_Limited_Col!BD91/HDF_Limited_Col!$AH91," ")</f>
        <v xml:space="preserve"> </v>
      </c>
      <c r="BE91" s="26" t="str">
        <f>IFERROR($AC91*HDF_Limited_Col!BE91/HDF_Limited_Col!$AH91," ")</f>
        <v xml:space="preserve"> </v>
      </c>
      <c r="BF91" s="26" t="str">
        <f>IFERROR($AC91*HDF_Limited_Col!BF91/HDF_Limited_Col!$AH91," ")</f>
        <v xml:space="preserve"> </v>
      </c>
      <c r="BG91" s="26" t="str">
        <f>IFERROR($AC91*HDF_Limited_Col!BG91/HDF_Limited_Col!$AH91," ")</f>
        <v xml:space="preserve"> </v>
      </c>
      <c r="BH91" s="26" t="str">
        <f>IFERROR($AC91*HDF_Limited_Col!BH91/HDF_Limited_Col!$AH91," ")</f>
        <v xml:space="preserve"> </v>
      </c>
      <c r="BI91" s="26" t="str">
        <f>IFERROR($AC91*HDF_Limited_Col!BI91/HDF_Limited_Col!$AH91," ")</f>
        <v xml:space="preserve"> </v>
      </c>
      <c r="BJ91" s="26" t="str">
        <f>IFERROR($AC91*HDF_Limited_Col!BJ91/HDF_Limited_Col!$AH91," ")</f>
        <v xml:space="preserve"> </v>
      </c>
      <c r="BK91" s="26" t="str">
        <f>IFERROR($AC91*HDF_Limited_Col!BK91/HDF_Limited_Col!$AH91," ")</f>
        <v xml:space="preserve"> </v>
      </c>
      <c r="BL91" s="26" t="str">
        <f>IFERROR($AC91*HDF_Limited_Col!BL91/HDF_Limited_Col!$AH91," ")</f>
        <v xml:space="preserve"> </v>
      </c>
      <c r="BM91" s="26" t="str">
        <f>IFERROR($AC91*HDF_Limited_Col!BM91/HDF_Limited_Col!$AH91," ")</f>
        <v xml:space="preserve"> </v>
      </c>
      <c r="BN91" s="26" t="str">
        <f>IFERROR($AC91*HDF_Limited_Col!BN91/HDF_Limited_Col!$AH91," ")</f>
        <v xml:space="preserve"> </v>
      </c>
      <c r="BO91" s="26" t="str">
        <f>IFERROR($AC91*HDF_Limited_Col!BO91/HDF_Limited_Col!$AH91," ")</f>
        <v xml:space="preserve"> </v>
      </c>
      <c r="BP91" s="26" t="str">
        <f>IFERROR($AC91*HDF_Limited_Col!BP91/HDF_Limited_Col!$AH91," ")</f>
        <v xml:space="preserve"> </v>
      </c>
      <c r="BQ91" s="26" t="str">
        <f>IFERROR($AC91*HDF_Limited_Col!BQ91/HDF_Limited_Col!$AH91," ")</f>
        <v xml:space="preserve"> </v>
      </c>
      <c r="BR91" s="26" t="str">
        <f>IFERROR($AC91*HDF_Limited_Col!BR91/HDF_Limited_Col!$AH91," ")</f>
        <v xml:space="preserve"> </v>
      </c>
      <c r="BS91" s="26" t="str">
        <f>IFERROR($AC91*HDF_Limited_Col!BS91/HDF_Limited_Col!$AH91," ")</f>
        <v xml:space="preserve"> </v>
      </c>
      <c r="BT91" s="26" t="str">
        <f>IFERROR($AC91*HDF_Limited_Col!BT91/HDF_Limited_Col!$AH91," ")</f>
        <v xml:space="preserve"> </v>
      </c>
      <c r="BU91" s="26" t="str">
        <f>IFERROR($AC91*HDF_Limited_Col!BU91/HDF_Limited_Col!$AH91," ")</f>
        <v xml:space="preserve"> </v>
      </c>
      <c r="BV91" s="26" t="str">
        <f>IFERROR($AC91*HDF_Limited_Col!BV91/HDF_Limited_Col!$AH91," ")</f>
        <v xml:space="preserve"> </v>
      </c>
      <c r="BW91" s="26" t="str">
        <f>IFERROR($AC91*HDF_Limited_Col!BW91/HDF_Limited_Col!$AH91," ")</f>
        <v xml:space="preserve"> </v>
      </c>
      <c r="BX91" s="26" t="str">
        <f>IFERROR($AC91*HDF_Limited_Col!BX91/HDF_Limited_Col!$AH91," ")</f>
        <v xml:space="preserve"> </v>
      </c>
      <c r="BY91" s="26" t="str">
        <f>IFERROR($AC91*HDF_Limited_Col!BY91/HDF_Limited_Col!$AH91," ")</f>
        <v xml:space="preserve"> </v>
      </c>
      <c r="BZ91" s="26" t="str">
        <f>IFERROR($AC91*HDF_Limited_Col!BZ91/HDF_Limited_Col!$AH91," ")</f>
        <v xml:space="preserve"> </v>
      </c>
      <c r="CA91" s="26" t="str">
        <f>IFERROR($AC91*HDF_Limited_Col!CA91/HDF_Limited_Col!$AH91," ")</f>
        <v xml:space="preserve"> </v>
      </c>
      <c r="CB91" s="26" t="str">
        <f>IFERROR($AC91*HDF_Limited_Col!CB91/HDF_Limited_Col!$AH91," ")</f>
        <v xml:space="preserve"> </v>
      </c>
      <c r="CC91" s="26" t="str">
        <f>IFERROR($AC91*HDF_Limited_Col!CC91/HDF_Limited_Col!$AH91," ")</f>
        <v xml:space="preserve"> </v>
      </c>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row>
    <row r="92" spans="1:109">
      <c r="A92" s="26" t="s">
        <v>1469</v>
      </c>
      <c r="B92" s="26" t="s">
        <v>24</v>
      </c>
      <c r="C92" s="154" t="s">
        <v>1801</v>
      </c>
      <c r="D92" s="26" t="s">
        <v>1705</v>
      </c>
      <c r="E92" s="26" t="s">
        <v>237</v>
      </c>
      <c r="F92" s="26" t="s">
        <v>817</v>
      </c>
      <c r="G92" s="26" t="s">
        <v>595</v>
      </c>
      <c r="H92" s="30" t="s">
        <v>1796</v>
      </c>
      <c r="I92" s="26" t="s">
        <v>735</v>
      </c>
      <c r="J92" s="26" t="s">
        <v>596</v>
      </c>
      <c r="K92" s="26" t="s">
        <v>115</v>
      </c>
      <c r="L92" s="26"/>
      <c r="M92" s="26" t="s">
        <v>589</v>
      </c>
      <c r="N92" s="26">
        <v>15</v>
      </c>
      <c r="O92" s="95">
        <v>9.8700088497963705</v>
      </c>
      <c r="P92" s="95">
        <v>3.3235744086048999</v>
      </c>
      <c r="Q92" s="95">
        <v>1.309286888238294</v>
      </c>
      <c r="R92" s="95">
        <v>17.625015803207802</v>
      </c>
      <c r="S92" s="95">
        <v>12.085725122199635</v>
      </c>
      <c r="T92" s="95">
        <v>21.452162091904352</v>
      </c>
      <c r="U92" s="95">
        <v>0</v>
      </c>
      <c r="V92" s="95">
        <v>8.3592932095214145</v>
      </c>
      <c r="W92" s="95">
        <v>22.660734604124315</v>
      </c>
      <c r="X92" s="95">
        <v>1.2085725122199635</v>
      </c>
      <c r="Y92" s="95">
        <v>2.7192881524949182</v>
      </c>
      <c r="Z92" s="95">
        <v>100.61366164231195</v>
      </c>
      <c r="AA92" s="26"/>
      <c r="AB92" s="26"/>
      <c r="AC92" s="26">
        <f t="shared" si="2"/>
        <v>188115.21147020897</v>
      </c>
      <c r="AD92" s="26">
        <f>IFERROR($AC92*HDF_Limited_Col!AD92/HDF_Limited_Col!$AH92," ")</f>
        <v>107382.43321424427</v>
      </c>
      <c r="AE92" s="26">
        <f>IFERROR($AC92*HDF_Limited_Col!AE92/HDF_Limited_Col!$AH92," ")</f>
        <v>0</v>
      </c>
      <c r="AF92" s="26">
        <f>IFERROR($AC92*HDF_Limited_Col!AF92/HDF_Limited_Col!$AH92," ")</f>
        <v>0</v>
      </c>
      <c r="AG92" s="26">
        <f>IFERROR($AC92*HDF_Limited_Col!AG92/HDF_Limited_Col!$AH92," ")</f>
        <v>0</v>
      </c>
      <c r="AH92" s="26">
        <f>IFERROR($AC92*HDF_Limited_Col!AH92/HDF_Limited_Col!$AH92," ")</f>
        <v>188115.21147020897</v>
      </c>
      <c r="AI92" s="26">
        <f>IFERROR($AC92*HDF_Limited_Col!AI92/HDF_Limited_Col!$AH92," ")</f>
        <v>0</v>
      </c>
      <c r="AJ92" s="26">
        <f>IFERROR($AC92*HDF_Limited_Col!AJ92/HDF_Limited_Col!$AH92," ")</f>
        <v>0</v>
      </c>
      <c r="AK92" s="26">
        <f>IFERROR($AC92*HDF_Limited_Col!AK92/HDF_Limited_Col!$AH92," ")</f>
        <v>470.28802867552241</v>
      </c>
      <c r="AL92" s="26">
        <f>IFERROR($AC92*HDF_Limited_Col!AL92/HDF_Limited_Col!$AH92," ")</f>
        <v>0</v>
      </c>
      <c r="AM92" s="26">
        <f>IFERROR($AC92*HDF_Limited_Col!AM92/HDF_Limited_Col!$AH92," ")</f>
        <v>134032.08817252392</v>
      </c>
      <c r="AN92" s="26">
        <f>IFERROR($AC92*HDF_Limited_Col!AN92/HDF_Limited_Col!$AH92," ")</f>
        <v>0</v>
      </c>
      <c r="AO92" s="26">
        <f>IFERROR($AC92*HDF_Limited_Col!AO92/HDF_Limited_Col!$AH92," ")</f>
        <v>0</v>
      </c>
      <c r="AP92" s="26">
        <f>IFERROR($AC92*HDF_Limited_Col!AP92/HDF_Limited_Col!$AH92," ")</f>
        <v>917.06165591726869</v>
      </c>
      <c r="AQ92" s="26">
        <f>IFERROR($AC92*HDF_Limited_Col!AQ92/HDF_Limited_Col!$AH92," ")</f>
        <v>159.89792974967762</v>
      </c>
      <c r="AR92" s="26">
        <f>IFERROR($AC92*HDF_Limited_Col!AR92/HDF_Limited_Col!$AH92," ")</f>
        <v>0</v>
      </c>
      <c r="AS92" s="26">
        <f>IFERROR($AC92*HDF_Limited_Col!AS92/HDF_Limited_Col!$AH92," ")</f>
        <v>12.541014098013932</v>
      </c>
      <c r="AT92" s="26">
        <f>IFERROR($AC92*HDF_Limited_Col!AT92/HDF_Limited_Col!$AH92," ")</f>
        <v>0</v>
      </c>
      <c r="AU92" s="26">
        <f>IFERROR($AC92*HDF_Limited_Col!AU92/HDF_Limited_Col!$AH92," ")</f>
        <v>3.1352535245034829</v>
      </c>
      <c r="AV92" s="26">
        <f>IFERROR($AC92*HDF_Limited_Col!AV92/HDF_Limited_Col!$AH92," ")</f>
        <v>0</v>
      </c>
      <c r="AW92" s="26">
        <f>IFERROR($AC92*HDF_Limited_Col!AW92/HDF_Limited_Col!$AH92," ")</f>
        <v>70.151297610765425</v>
      </c>
      <c r="AX92" s="26">
        <f>IFERROR($AC92*HDF_Limited_Col!AX92/HDF_Limited_Col!$AH92," ")</f>
        <v>1512.7598255729306</v>
      </c>
      <c r="AY92" s="26">
        <f>IFERROR($AC92*HDF_Limited_Col!AY92/HDF_Limited_Col!$AH92," ")</f>
        <v>4702.880286755224</v>
      </c>
      <c r="AZ92" s="26">
        <f>IFERROR($AC92*HDF_Limited_Col!AZ92/HDF_Limited_Col!$AH92," ")</f>
        <v>0</v>
      </c>
      <c r="BA92" s="26">
        <f>IFERROR($AC92*HDF_Limited_Col!BA92/HDF_Limited_Col!$AH92," ")</f>
        <v>681.91764157950752</v>
      </c>
      <c r="BB92" s="26">
        <f>IFERROR($AC92*HDF_Limited_Col!BB92/HDF_Limited_Col!$AH92," ")</f>
        <v>18.811521147020894</v>
      </c>
      <c r="BC92" s="26">
        <f>IFERROR($AC92*HDF_Limited_Col!BC92/HDF_Limited_Col!$AH92," ")</f>
        <v>0</v>
      </c>
      <c r="BD92" s="26">
        <f>IFERROR($AC92*HDF_Limited_Col!BD92/HDF_Limited_Col!$AH92," ")</f>
        <v>0</v>
      </c>
      <c r="BE92" s="26">
        <f>IFERROR($AC92*HDF_Limited_Col!BE92/HDF_Limited_Col!$AH92," ")</f>
        <v>0</v>
      </c>
      <c r="BF92" s="26">
        <f>IFERROR($AC92*HDF_Limited_Col!BF92/HDF_Limited_Col!$AH92," ")</f>
        <v>0</v>
      </c>
      <c r="BG92" s="26">
        <f>IFERROR($AC92*HDF_Limited_Col!BG92/HDF_Limited_Col!$AH92," ")</f>
        <v>0</v>
      </c>
      <c r="BH92" s="26">
        <f>IFERROR($AC92*HDF_Limited_Col!BH92/HDF_Limited_Col!$AH92," ")</f>
        <v>14.892454241391542</v>
      </c>
      <c r="BI92" s="26">
        <f>IFERROR($AC92*HDF_Limited_Col!BI92/HDF_Limited_Col!$AH92," ")</f>
        <v>7446.2271206957712</v>
      </c>
      <c r="BJ92" s="26">
        <f>IFERROR($AC92*HDF_Limited_Col!BJ92/HDF_Limited_Col!$AH92," ")</f>
        <v>0</v>
      </c>
      <c r="BK92" s="26">
        <f>IFERROR($AC92*HDF_Limited_Col!BK92/HDF_Limited_Col!$AH92," ")</f>
        <v>407.58295818545275</v>
      </c>
      <c r="BL92" s="26">
        <f>IFERROR($AC92*HDF_Limited_Col!BL92/HDF_Limited_Col!$AH92," ")</f>
        <v>570.61614145963392</v>
      </c>
      <c r="BM92" s="26">
        <f>IFERROR($AC92*HDF_Limited_Col!BM92/HDF_Limited_Col!$AH92," ")</f>
        <v>0</v>
      </c>
      <c r="BN92" s="26">
        <f>IFERROR($AC92*HDF_Limited_Col!BN92/HDF_Limited_Col!$AH92," ")</f>
        <v>194.38571851921594</v>
      </c>
      <c r="BO92" s="26">
        <f>IFERROR($AC92*HDF_Limited_Col!BO92/HDF_Limited_Col!$AH92," ")</f>
        <v>34.487788769538312</v>
      </c>
      <c r="BP92" s="26">
        <f>IFERROR($AC92*HDF_Limited_Col!BP92/HDF_Limited_Col!$AH92," ")</f>
        <v>9.7976672640733842</v>
      </c>
      <c r="BQ92" s="26">
        <f>IFERROR($AC92*HDF_Limited_Col!BQ92/HDF_Limited_Col!$AH92," ")</f>
        <v>556.5075005993682</v>
      </c>
      <c r="BR92" s="26">
        <f>IFERROR($AC92*HDF_Limited_Col!BR92/HDF_Limited_Col!$AH92," ")</f>
        <v>0</v>
      </c>
      <c r="BS92" s="26">
        <f>IFERROR($AC92*HDF_Limited_Col!BS92/HDF_Limited_Col!$AH92," ")</f>
        <v>0</v>
      </c>
      <c r="BT92" s="26">
        <f>IFERROR($AC92*HDF_Limited_Col!BT92/HDF_Limited_Col!$AH92," ")</f>
        <v>0</v>
      </c>
      <c r="BU92" s="26">
        <f>IFERROR($AC92*HDF_Limited_Col!BU92/HDF_Limited_Col!$AH92," ")</f>
        <v>0</v>
      </c>
      <c r="BV92" s="26">
        <f>IFERROR($AC92*HDF_Limited_Col!BV92/HDF_Limited_Col!$AH92," ")</f>
        <v>1.5676267622517415</v>
      </c>
      <c r="BW92" s="26">
        <f>IFERROR($AC92*HDF_Limited_Col!BW92/HDF_Limited_Col!$AH92," ")</f>
        <v>0.15676267622517417</v>
      </c>
      <c r="BX92" s="26">
        <f>IFERROR($AC92*HDF_Limited_Col!BX92/HDF_Limited_Col!$AH92," ")</f>
        <v>3.8406855675167666</v>
      </c>
      <c r="BY92" s="26">
        <f>IFERROR($AC92*HDF_Limited_Col!BY92/HDF_Limited_Col!$AH92," ")</f>
        <v>73.678457825831842</v>
      </c>
      <c r="BZ92" s="26">
        <f>IFERROR($AC92*HDF_Limited_Col!BZ92/HDF_Limited_Col!$AH92," ")</f>
        <v>0</v>
      </c>
      <c r="CA92" s="26">
        <f>IFERROR($AC92*HDF_Limited_Col!CA92/HDF_Limited_Col!$AH92," ")</f>
        <v>0</v>
      </c>
      <c r="CB92" s="26">
        <f>IFERROR($AC92*HDF_Limited_Col!CB92/HDF_Limited_Col!$AH92," ")</f>
        <v>83.868031780468172</v>
      </c>
      <c r="CC92" s="26">
        <f>IFERROR($AC92*HDF_Limited_Col!CC92/HDF_Limited_Col!$AH92," ")</f>
        <v>23.122494743213192</v>
      </c>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row>
    <row r="93" spans="1:109">
      <c r="A93" s="26" t="s">
        <v>641</v>
      </c>
      <c r="B93" s="26" t="s">
        <v>24</v>
      </c>
      <c r="C93" s="154" t="s">
        <v>1801</v>
      </c>
      <c r="D93" s="26" t="s">
        <v>1707</v>
      </c>
      <c r="E93" s="26" t="s">
        <v>237</v>
      </c>
      <c r="F93" s="26" t="s">
        <v>639</v>
      </c>
      <c r="G93" s="26" t="s">
        <v>640</v>
      </c>
      <c r="H93" s="30"/>
      <c r="I93" s="26" t="s">
        <v>712</v>
      </c>
      <c r="J93" s="26" t="s">
        <v>635</v>
      </c>
      <c r="K93" s="26" t="s">
        <v>642</v>
      </c>
      <c r="L93" s="26"/>
      <c r="M93" s="26" t="s">
        <v>625</v>
      </c>
      <c r="N93" s="26" t="s">
        <v>1084</v>
      </c>
      <c r="O93" s="95">
        <v>14.23855857894439</v>
      </c>
      <c r="P93" s="95">
        <v>1.1130140861005828</v>
      </c>
      <c r="Q93" s="95">
        <v>3.2788793347287437</v>
      </c>
      <c r="R93" s="95">
        <v>7.9013972959212531</v>
      </c>
      <c r="S93" s="95">
        <v>12.032584714600894</v>
      </c>
      <c r="T93" s="95">
        <v>29.279289472195508</v>
      </c>
      <c r="U93" s="95">
        <v>0</v>
      </c>
      <c r="V93" s="95">
        <v>17.948605532612998</v>
      </c>
      <c r="W93" s="95">
        <v>10.127425468122418</v>
      </c>
      <c r="X93" s="95">
        <v>3.1485263336539004</v>
      </c>
      <c r="Y93" s="95">
        <v>1.2032584714600894</v>
      </c>
      <c r="Z93" s="95">
        <v>100.27153928834079</v>
      </c>
      <c r="AA93" s="26"/>
      <c r="AB93" s="26"/>
      <c r="AC93" s="26">
        <f t="shared" si="2"/>
        <v>84071.536817605695</v>
      </c>
      <c r="AD93" s="26">
        <f>IFERROR($AC93*HDF_Limited_Col!AD93/HDF_Limited_Col!$AH93," ")</f>
        <v>46712.642058289333</v>
      </c>
      <c r="AE93" s="26">
        <f>IFERROR($AC93*HDF_Limited_Col!AE93/HDF_Limited_Col!$AH93," ")</f>
        <v>40577.313057838546</v>
      </c>
      <c r="AF93" s="26">
        <f>IFERROR($AC93*HDF_Limited_Col!AF93/HDF_Limited_Col!$AH93," ")</f>
        <v>7748.0440519978556</v>
      </c>
      <c r="AG93" s="26">
        <f>IFERROR($AC93*HDF_Limited_Col!AG93/HDF_Limited_Col!$AH93," ")</f>
        <v>9669.2785047104462</v>
      </c>
      <c r="AH93" s="26">
        <f>IFERROR($AC93*HDF_Limited_Col!AH93/HDF_Limited_Col!$AH93," ")</f>
        <v>84071.536817605695</v>
      </c>
      <c r="AI93" s="26">
        <f>IFERROR($AC93*HDF_Limited_Col!AI93/HDF_Limited_Col!$AH93," ")</f>
        <v>109363.11590860684</v>
      </c>
      <c r="AJ93" s="26">
        <f>IFERROR($AC93*HDF_Limited_Col!AJ93/HDF_Limited_Col!$AH93," ")</f>
        <v>8701.6494737822068</v>
      </c>
      <c r="AK93" s="26">
        <f>IFERROR($AC93*HDF_Limited_Col!AK93/HDF_Limited_Col!$AH93," ")</f>
        <v>1535.5852012556836</v>
      </c>
      <c r="AL93" s="26">
        <f>IFERROR($AC93*HDF_Limited_Col!AL93/HDF_Limited_Col!$AH93," ")</f>
        <v>995.67624921601396</v>
      </c>
      <c r="AM93" s="26">
        <f>IFERROR($AC93*HDF_Limited_Col!AM93/HDF_Limited_Col!$AH93," ")</f>
        <v>29442.567397591854</v>
      </c>
      <c r="AN93" s="26">
        <f>IFERROR($AC93*HDF_Limited_Col!AN93/HDF_Limited_Col!$AH93," ")</f>
        <v>22.437774630220034</v>
      </c>
      <c r="AO93" s="26">
        <f>IFERROR($AC93*HDF_Limited_Col!AO93/HDF_Limited_Col!$AH93," ")</f>
        <v>139.53491098168084</v>
      </c>
      <c r="AP93" s="26">
        <f>IFERROR($AC93*HDF_Limited_Col!AP93/HDF_Limited_Col!$AH93," ")</f>
        <v>631.06241147493847</v>
      </c>
      <c r="AQ93" s="26">
        <f>IFERROR($AC93*HDF_Limited_Col!AQ93/HDF_Limited_Col!$AH93," ")</f>
        <v>16.828330972665025</v>
      </c>
      <c r="AR93" s="26">
        <f>IFERROR($AC93*HDF_Limited_Col!AR93/HDF_Limited_Col!$AH93," ")</f>
        <v>17.529511429859404</v>
      </c>
      <c r="AS93" s="26">
        <f>IFERROR($AC93*HDF_Limited_Col!AS93/HDF_Limited_Col!$AH93," ")</f>
        <v>0</v>
      </c>
      <c r="AT93" s="26">
        <f>IFERROR($AC93*HDF_Limited_Col!AT93/HDF_Limited_Col!$AH93," ")</f>
        <v>0</v>
      </c>
      <c r="AU93" s="26">
        <f>IFERROR($AC93*HDF_Limited_Col!AU93/HDF_Limited_Col!$AH93," ")</f>
        <v>0</v>
      </c>
      <c r="AV93" s="26">
        <f>IFERROR($AC93*HDF_Limited_Col!AV93/HDF_Limited_Col!$AH93," ")</f>
        <v>0</v>
      </c>
      <c r="AW93" s="26">
        <f>IFERROR($AC93*HDF_Limited_Col!AW93/HDF_Limited_Col!$AH93," ")</f>
        <v>0</v>
      </c>
      <c r="AX93" s="26">
        <f>IFERROR($AC93*HDF_Limited_Col!AX93/HDF_Limited_Col!$AH93," ")</f>
        <v>296.59933339322112</v>
      </c>
      <c r="AY93" s="26">
        <f>IFERROR($AC93*HDF_Limited_Col!AY93/HDF_Limited_Col!$AH93," ")</f>
        <v>2124.5767852989593</v>
      </c>
      <c r="AZ93" s="26">
        <f>IFERROR($AC93*HDF_Limited_Col!AZ93/HDF_Limited_Col!$AH93," ")</f>
        <v>23.138955087414413</v>
      </c>
      <c r="BA93" s="26">
        <f>IFERROR($AC93*HDF_Limited_Col!BA93/HDF_Limited_Col!$AH93," ")</f>
        <v>164.07622698348402</v>
      </c>
      <c r="BB93" s="26">
        <f>IFERROR($AC93*HDF_Limited_Col!BB93/HDF_Limited_Col!$AH93," ")</f>
        <v>0</v>
      </c>
      <c r="BC93" s="26">
        <f>IFERROR($AC93*HDF_Limited_Col!BC93/HDF_Limited_Col!$AH93," ")</f>
        <v>492.22868095045197</v>
      </c>
      <c r="BD93" s="26">
        <f>IFERROR($AC93*HDF_Limited_Col!BD93/HDF_Limited_Col!$AH93," ")</f>
        <v>0</v>
      </c>
      <c r="BE93" s="26">
        <f>IFERROR($AC93*HDF_Limited_Col!BE93/HDF_Limited_Col!$AH93," ")</f>
        <v>0</v>
      </c>
      <c r="BF93" s="26">
        <f>IFERROR($AC93*HDF_Limited_Col!BF93/HDF_Limited_Col!$AH93," ")</f>
        <v>0</v>
      </c>
      <c r="BG93" s="26">
        <f>IFERROR($AC93*HDF_Limited_Col!BG93/HDF_Limited_Col!$AH93," ")</f>
        <v>0</v>
      </c>
      <c r="BH93" s="26">
        <f>IFERROR($AC93*HDF_Limited_Col!BH93/HDF_Limited_Col!$AH93," ")</f>
        <v>6.310624114749384</v>
      </c>
      <c r="BI93" s="26">
        <f>IFERROR($AC93*HDF_Limited_Col!BI93/HDF_Limited_Col!$AH93," ")</f>
        <v>8463.2481183361197</v>
      </c>
      <c r="BJ93" s="26">
        <f>IFERROR($AC93*HDF_Limited_Col!BJ93/HDF_Limited_Col!$AH93," ")</f>
        <v>68.715684805048852</v>
      </c>
      <c r="BK93" s="26">
        <f>IFERROR($AC93*HDF_Limited_Col!BK93/HDF_Limited_Col!$AH93," ")</f>
        <v>500.64284643678451</v>
      </c>
      <c r="BL93" s="26">
        <f>IFERROR($AC93*HDF_Limited_Col!BL93/HDF_Limited_Col!$AH93," ")</f>
        <v>641.58011833285411</v>
      </c>
      <c r="BM93" s="26">
        <f>IFERROR($AC93*HDF_Limited_Col!BM93/HDF_Limited_Col!$AH93," ")</f>
        <v>65.209782519076967</v>
      </c>
      <c r="BN93" s="26">
        <f>IFERROR($AC93*HDF_Limited_Col!BN93/HDF_Limited_Col!$AH93," ")</f>
        <v>211.05531761550719</v>
      </c>
      <c r="BO93" s="26">
        <f>IFERROR($AC93*HDF_Limited_Col!BO93/HDF_Limited_Col!$AH93," ")</f>
        <v>14.724789601081898</v>
      </c>
      <c r="BP93" s="26">
        <f>IFERROR($AC93*HDF_Limited_Col!BP93/HDF_Limited_Col!$AH93," ")</f>
        <v>7.7129850291381361</v>
      </c>
      <c r="BQ93" s="26">
        <f>IFERROR($AC93*HDF_Limited_Col!BQ93/HDF_Limited_Col!$AH93," ")</f>
        <v>10.517706857915641</v>
      </c>
      <c r="BR93" s="26">
        <f>IFERROR($AC93*HDF_Limited_Col!BR93/HDF_Limited_Col!$AH93," ")</f>
        <v>7.7129850291381361</v>
      </c>
      <c r="BS93" s="26">
        <f>IFERROR($AC93*HDF_Limited_Col!BS93/HDF_Limited_Col!$AH93," ")</f>
        <v>2.1035413715831282</v>
      </c>
      <c r="BT93" s="26">
        <f>IFERROR($AC93*HDF_Limited_Col!BT93/HDF_Limited_Col!$AH93," ")</f>
        <v>7.7129850291381361</v>
      </c>
      <c r="BU93" s="26">
        <f>IFERROR($AC93*HDF_Limited_Col!BU93/HDF_Limited_Col!$AH93," ")</f>
        <v>0</v>
      </c>
      <c r="BV93" s="26">
        <f>IFERROR($AC93*HDF_Limited_Col!BV93/HDF_Limited_Col!$AH93," ")</f>
        <v>8.4141654863325126</v>
      </c>
      <c r="BW93" s="26">
        <f>IFERROR($AC93*HDF_Limited_Col!BW93/HDF_Limited_Col!$AH93," ")</f>
        <v>1.4023609143887521</v>
      </c>
      <c r="BX93" s="26">
        <f>IFERROR($AC93*HDF_Limited_Col!BX93/HDF_Limited_Col!$AH93," ")</f>
        <v>6.310624114749384</v>
      </c>
      <c r="BY93" s="26">
        <f>IFERROR($AC93*HDF_Limited_Col!BY93/HDF_Limited_Col!$AH93," ")</f>
        <v>11.218887315110017</v>
      </c>
      <c r="BZ93" s="26">
        <f>IFERROR($AC93*HDF_Limited_Col!BZ93/HDF_Limited_Col!$AH93," ")</f>
        <v>25.242496458997536</v>
      </c>
      <c r="CA93" s="26">
        <f>IFERROR($AC93*HDF_Limited_Col!CA93/HDF_Limited_Col!$AH93," ")</f>
        <v>42.070827431662565</v>
      </c>
      <c r="CB93" s="26">
        <f>IFERROR($AC93*HDF_Limited_Col!CB93/HDF_Limited_Col!$AH93," ")</f>
        <v>77.129850291381359</v>
      </c>
      <c r="CC93" s="26">
        <f>IFERROR($AC93*HDF_Limited_Col!CC93/HDF_Limited_Col!$AH93," ")</f>
        <v>16.828330972665025</v>
      </c>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row>
    <row r="94" spans="1:109">
      <c r="A94" s="26" t="s">
        <v>641</v>
      </c>
      <c r="B94" s="26" t="s">
        <v>24</v>
      </c>
      <c r="C94" s="154" t="s">
        <v>1801</v>
      </c>
      <c r="D94" s="26" t="s">
        <v>1707</v>
      </c>
      <c r="E94" s="26" t="s">
        <v>237</v>
      </c>
      <c r="F94" s="26" t="s">
        <v>639</v>
      </c>
      <c r="G94" s="26" t="s">
        <v>640</v>
      </c>
      <c r="H94" s="30"/>
      <c r="I94" s="26" t="s">
        <v>712</v>
      </c>
      <c r="J94" s="26" t="s">
        <v>635</v>
      </c>
      <c r="K94" s="26" t="s">
        <v>642</v>
      </c>
      <c r="L94" s="26"/>
      <c r="M94" s="26" t="s">
        <v>626</v>
      </c>
      <c r="N94" s="26" t="s">
        <v>1084</v>
      </c>
      <c r="O94" s="95">
        <v>13.954975517797971</v>
      </c>
      <c r="P94" s="95">
        <v>4.3872836699839661</v>
      </c>
      <c r="Q94" s="95">
        <v>2.5600854367183326</v>
      </c>
      <c r="R94" s="95">
        <v>6.8570131501122402</v>
      </c>
      <c r="S94" s="95">
        <v>8.9653188038802796</v>
      </c>
      <c r="T94" s="95">
        <v>40.660180465526466</v>
      </c>
      <c r="U94" s="95">
        <v>0</v>
      </c>
      <c r="V94" s="95">
        <v>10.441132761517906</v>
      </c>
      <c r="W94" s="95">
        <v>9.5877709492784629</v>
      </c>
      <c r="X94" s="95">
        <v>1.1947065371352217</v>
      </c>
      <c r="Y94" s="95">
        <v>1.7970795810689473</v>
      </c>
      <c r="Z94" s="95">
        <v>100.40554687301979</v>
      </c>
      <c r="AA94" s="26"/>
      <c r="AB94" s="26"/>
      <c r="AC94" s="26">
        <f t="shared" si="2"/>
        <v>79591.663340127707</v>
      </c>
      <c r="AD94" s="26">
        <f>IFERROR($AC94*HDF_Limited_Col!AD94/HDF_Limited_Col!$AH94," ")</f>
        <v>29309.742261433013</v>
      </c>
      <c r="AE94" s="26">
        <f>IFERROR($AC94*HDF_Limited_Col!AE94/HDF_Limited_Col!$AH94," ")</f>
        <v>27022.25690623729</v>
      </c>
      <c r="AF94" s="26">
        <f>IFERROR($AC94*HDF_Limited_Col!AF94/HDF_Limited_Col!$AH94," ")</f>
        <v>6947.9695368094299</v>
      </c>
      <c r="AG94" s="26">
        <f>IFERROR($AC94*HDF_Limited_Col!AG94/HDF_Limited_Col!$AH94," ")</f>
        <v>15713.100337092093</v>
      </c>
      <c r="AH94" s="26">
        <f>IFERROR($AC94*HDF_Limited_Col!AH94/HDF_Limited_Col!$AH94," ")</f>
        <v>79591.663340127707</v>
      </c>
      <c r="AI94" s="26">
        <f>IFERROR($AC94*HDF_Limited_Col!AI94/HDF_Limited_Col!$AH94," ")</f>
        <v>144026.06390610812</v>
      </c>
      <c r="AJ94" s="26">
        <f>IFERROR($AC94*HDF_Limited_Col!AJ94/HDF_Limited_Col!$AH94," ")</f>
        <v>10731.940638394872</v>
      </c>
      <c r="AK94" s="26">
        <f>IFERROR($AC94*HDF_Limited_Col!AK94/HDF_Limited_Col!$AH94," ")</f>
        <v>3719.8359981687404</v>
      </c>
      <c r="AL94" s="26">
        <f>IFERROR($AC94*HDF_Limited_Col!AL94/HDF_Limited_Col!$AH94," ")</f>
        <v>1077.4697374006009</v>
      </c>
      <c r="AM94" s="26">
        <f>IFERROR($AC94*HDF_Limited_Col!AM94/HDF_Limited_Col!$AH94," ")</f>
        <v>24606.501344208165</v>
      </c>
      <c r="AN94" s="26">
        <f>IFERROR($AC94*HDF_Limited_Col!AN94/HDF_Limited_Col!$AH94," ")</f>
        <v>44.894572391691703</v>
      </c>
      <c r="AO94" s="26">
        <f>IFERROR($AC94*HDF_Limited_Col!AO94/HDF_Limited_Col!$AH94," ")</f>
        <v>260.81608722792322</v>
      </c>
      <c r="AP94" s="26">
        <f>IFERROR($AC94*HDF_Limited_Col!AP94/HDF_Limited_Col!$AH94," ")</f>
        <v>1325.4588039451835</v>
      </c>
      <c r="AQ94" s="26">
        <f>IFERROR($AC94*HDF_Limited_Col!AQ94/HDF_Limited_Col!$AH94," ")</f>
        <v>19.240531025010728</v>
      </c>
      <c r="AR94" s="26">
        <f>IFERROR($AC94*HDF_Limited_Col!AR94/HDF_Limited_Col!$AH94," ")</f>
        <v>29.929714927794464</v>
      </c>
      <c r="AS94" s="26">
        <f>IFERROR($AC94*HDF_Limited_Col!AS94/HDF_Limited_Col!$AH94," ")</f>
        <v>0</v>
      </c>
      <c r="AT94" s="26">
        <f>IFERROR($AC94*HDF_Limited_Col!AT94/HDF_Limited_Col!$AH94," ")</f>
        <v>0</v>
      </c>
      <c r="AU94" s="26">
        <f>IFERROR($AC94*HDF_Limited_Col!AU94/HDF_Limited_Col!$AH94," ")</f>
        <v>0</v>
      </c>
      <c r="AV94" s="26">
        <f>IFERROR($AC94*HDF_Limited_Col!AV94/HDF_Limited_Col!$AH94," ")</f>
        <v>0</v>
      </c>
      <c r="AW94" s="26">
        <f>IFERROR($AC94*HDF_Limited_Col!AW94/HDF_Limited_Col!$AH94," ")</f>
        <v>0</v>
      </c>
      <c r="AX94" s="26">
        <f>IFERROR($AC94*HDF_Limited_Col!AX94/HDF_Limited_Col!$AH94," ")</f>
        <v>286.4701285946042</v>
      </c>
      <c r="AY94" s="26">
        <f>IFERROR($AC94*HDF_Limited_Col!AY94/HDF_Limited_Col!$AH94," ")</f>
        <v>1817.1612634732353</v>
      </c>
      <c r="AZ94" s="26">
        <f>IFERROR($AC94*HDF_Limited_Col!AZ94/HDF_Limited_Col!$AH94," ")</f>
        <v>25.654041366680971</v>
      </c>
      <c r="BA94" s="26">
        <f>IFERROR($AC94*HDF_Limited_Col!BA94/HDF_Limited_Col!$AH94," ")</f>
        <v>143.2350642973021</v>
      </c>
      <c r="BB94" s="26">
        <f>IFERROR($AC94*HDF_Limited_Col!BB94/HDF_Limited_Col!$AH94," ")</f>
        <v>0</v>
      </c>
      <c r="BC94" s="26">
        <f>IFERROR($AC94*HDF_Limited_Col!BC94/HDF_Limited_Col!$AH94," ")</f>
        <v>515.21866411417625</v>
      </c>
      <c r="BD94" s="26">
        <f>IFERROR($AC94*HDF_Limited_Col!BD94/HDF_Limited_Col!$AH94," ")</f>
        <v>0</v>
      </c>
      <c r="BE94" s="26">
        <f>IFERROR($AC94*HDF_Limited_Col!BE94/HDF_Limited_Col!$AH94," ")</f>
        <v>0</v>
      </c>
      <c r="BF94" s="26">
        <f>IFERROR($AC94*HDF_Limited_Col!BF94/HDF_Limited_Col!$AH94," ")</f>
        <v>0</v>
      </c>
      <c r="BG94" s="26">
        <f>IFERROR($AC94*HDF_Limited_Col!BG94/HDF_Limited_Col!$AH94," ")</f>
        <v>0</v>
      </c>
      <c r="BH94" s="26">
        <f>IFERROR($AC94*HDF_Limited_Col!BH94/HDF_Limited_Col!$AH94," ")</f>
        <v>6.4135103416702428</v>
      </c>
      <c r="BI94" s="26">
        <f>IFERROR($AC94*HDF_Limited_Col!BI94/HDF_Limited_Col!$AH94," ")</f>
        <v>12207.04801697903</v>
      </c>
      <c r="BJ94" s="26">
        <f>IFERROR($AC94*HDF_Limited_Col!BJ94/HDF_Limited_Col!$AH94," ")</f>
        <v>126.13237005284812</v>
      </c>
      <c r="BK94" s="26">
        <f>IFERROR($AC94*HDF_Limited_Col!BK94/HDF_Limited_Col!$AH94," ")</f>
        <v>637.07536060591076</v>
      </c>
      <c r="BL94" s="26">
        <f>IFERROR($AC94*HDF_Limited_Col!BL94/HDF_Limited_Col!$AH94," ")</f>
        <v>741.82936285319136</v>
      </c>
      <c r="BM94" s="26">
        <f>IFERROR($AC94*HDF_Limited_Col!BM94/HDF_Limited_Col!$AH94," ")</f>
        <v>57.721593075032189</v>
      </c>
      <c r="BN94" s="26">
        <f>IFERROR($AC94*HDF_Limited_Col!BN94/HDF_Limited_Col!$AH94," ")</f>
        <v>235.16204586124223</v>
      </c>
      <c r="BO94" s="26">
        <f>IFERROR($AC94*HDF_Limited_Col!BO94/HDF_Limited_Col!$AH94," ")</f>
        <v>40.618898830578203</v>
      </c>
      <c r="BP94" s="26">
        <f>IFERROR($AC94*HDF_Limited_Col!BP94/HDF_Limited_Col!$AH94," ")</f>
        <v>12.827020683340486</v>
      </c>
      <c r="BQ94" s="26">
        <f>IFERROR($AC94*HDF_Limited_Col!BQ94/HDF_Limited_Col!$AH94," ")</f>
        <v>40.618898830578203</v>
      </c>
      <c r="BR94" s="26">
        <f>IFERROR($AC94*HDF_Limited_Col!BR94/HDF_Limited_Col!$AH94," ")</f>
        <v>21.378367805567475</v>
      </c>
      <c r="BS94" s="26">
        <f>IFERROR($AC94*HDF_Limited_Col!BS94/HDF_Limited_Col!$AH94," ")</f>
        <v>6.4135103416702428</v>
      </c>
      <c r="BT94" s="26">
        <f>IFERROR($AC94*HDF_Limited_Col!BT94/HDF_Limited_Col!$AH94," ")</f>
        <v>25.654041366680971</v>
      </c>
      <c r="BU94" s="26">
        <f>IFERROR($AC94*HDF_Limited_Col!BU94/HDF_Limited_Col!$AH94," ")</f>
        <v>0</v>
      </c>
      <c r="BV94" s="26">
        <f>IFERROR($AC94*HDF_Limited_Col!BV94/HDF_Limited_Col!$AH94," ")</f>
        <v>36.34322526946471</v>
      </c>
      <c r="BW94" s="26">
        <f>IFERROR($AC94*HDF_Limited_Col!BW94/HDF_Limited_Col!$AH94," ")</f>
        <v>6.4135103416702428</v>
      </c>
      <c r="BX94" s="26">
        <f>IFERROR($AC94*HDF_Limited_Col!BX94/HDF_Limited_Col!$AH94," ")</f>
        <v>23.516204586124221</v>
      </c>
      <c r="BY94" s="26">
        <f>IFERROR($AC94*HDF_Limited_Col!BY94/HDF_Limited_Col!$AH94," ")</f>
        <v>21.378367805567475</v>
      </c>
      <c r="BZ94" s="26">
        <f>IFERROR($AC94*HDF_Limited_Col!BZ94/HDF_Limited_Col!$AH94," ")</f>
        <v>64.135103416702435</v>
      </c>
      <c r="CA94" s="26">
        <f>IFERROR($AC94*HDF_Limited_Col!CA94/HDF_Limited_Col!$AH94," ")</f>
        <v>70.548613758372667</v>
      </c>
      <c r="CB94" s="26">
        <f>IFERROR($AC94*HDF_Limited_Col!CB94/HDF_Limited_Col!$AH94," ")</f>
        <v>87.651308002826653</v>
      </c>
      <c r="CC94" s="26">
        <f>IFERROR($AC94*HDF_Limited_Col!CC94/HDF_Limited_Col!$AH94," ")</f>
        <v>21.378367805567475</v>
      </c>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row>
    <row r="95" spans="1:109">
      <c r="A95" s="26" t="s">
        <v>641</v>
      </c>
      <c r="B95" s="26" t="s">
        <v>24</v>
      </c>
      <c r="C95" s="154" t="s">
        <v>1801</v>
      </c>
      <c r="D95" s="26" t="s">
        <v>1707</v>
      </c>
      <c r="E95" s="26" t="s">
        <v>237</v>
      </c>
      <c r="F95" s="26" t="s">
        <v>639</v>
      </c>
      <c r="G95" s="26" t="s">
        <v>640</v>
      </c>
      <c r="H95" s="30"/>
      <c r="I95" s="26" t="s">
        <v>712</v>
      </c>
      <c r="J95" s="26" t="s">
        <v>635</v>
      </c>
      <c r="K95" s="26" t="s">
        <v>642</v>
      </c>
      <c r="L95" s="26"/>
      <c r="M95" s="26" t="s">
        <v>620</v>
      </c>
      <c r="N95" s="26" t="s">
        <v>1084</v>
      </c>
      <c r="O95" s="95">
        <v>13.200142349320915</v>
      </c>
      <c r="P95" s="95">
        <v>1.5215431257614183</v>
      </c>
      <c r="Q95" s="95">
        <v>1.9548302410444713</v>
      </c>
      <c r="R95" s="95">
        <v>9.713692537973559</v>
      </c>
      <c r="S95" s="95">
        <v>14.308551248882212</v>
      </c>
      <c r="T95" s="95">
        <v>37.585138139669475</v>
      </c>
      <c r="U95" s="95">
        <v>0.21160533537079329</v>
      </c>
      <c r="V95" s="95">
        <v>7.1643520689825726</v>
      </c>
      <c r="W95" s="95">
        <v>8.8571947519489189</v>
      </c>
      <c r="X95" s="95">
        <v>3.2748444759765629</v>
      </c>
      <c r="Y95" s="95">
        <v>2.8516338052349761</v>
      </c>
      <c r="Z95" s="95">
        <v>100.64352808016588</v>
      </c>
      <c r="AA95" s="26"/>
      <c r="AB95" s="26"/>
      <c r="AC95" s="26">
        <f t="shared" si="2"/>
        <v>73526.87778676195</v>
      </c>
      <c r="AD95" s="26">
        <f>IFERROR($AC95*HDF_Limited_Col!AD95/HDF_Limited_Col!$AH95," ")</f>
        <v>38390.206844413507</v>
      </c>
      <c r="AE95" s="26">
        <f>IFERROR($AC95*HDF_Limited_Col!AE95/HDF_Limited_Col!$AH95," ")</f>
        <v>29645.855107627896</v>
      </c>
      <c r="AF95" s="26">
        <f>IFERROR($AC95*HDF_Limited_Col!AF95/HDF_Limited_Col!$AH95," ")</f>
        <v>4542.81586325636</v>
      </c>
      <c r="AG95" s="26">
        <f>IFERROR($AC95*HDF_Limited_Col!AG95/HDF_Limited_Col!$AH95," ")</f>
        <v>7807.7277649790021</v>
      </c>
      <c r="AH95" s="26">
        <f>IFERROR($AC95*HDF_Limited_Col!AH95/HDF_Limited_Col!$AH95," ")</f>
        <v>73526.87778676195</v>
      </c>
      <c r="AI95" s="26">
        <f>IFERROR($AC95*HDF_Limited_Col!AI95/HDF_Limited_Col!$AH95," ")</f>
        <v>78297.213643169714</v>
      </c>
      <c r="AJ95" s="26">
        <f>IFERROR($AC95*HDF_Limited_Col!AJ95/HDF_Limited_Col!$AH95," ")</f>
        <v>5714.5438279860891</v>
      </c>
      <c r="AK95" s="26">
        <f>IFERROR($AC95*HDF_Limited_Col!AK95/HDF_Limited_Col!$AH95," ")</f>
        <v>735.64797785620522</v>
      </c>
      <c r="AL95" s="26">
        <f>IFERROR($AC95*HDF_Limited_Col!AL95/HDF_Limited_Col!$AH95," ")</f>
        <v>1425.7919570821296</v>
      </c>
      <c r="AM95" s="26">
        <f>IFERROR($AC95*HDF_Limited_Col!AM95/HDF_Limited_Col!$AH95," ")</f>
        <v>28083.551154654928</v>
      </c>
      <c r="AN95" s="26">
        <f>IFERROR($AC95*HDF_Limited_Col!AN95/HDF_Limited_Col!$AH95," ")</f>
        <v>20.855999372212001</v>
      </c>
      <c r="AO95" s="26">
        <f>IFERROR($AC95*HDF_Limited_Col!AO95/HDF_Limited_Col!$AH95," ")</f>
        <v>71.289597854106475</v>
      </c>
      <c r="AP95" s="26">
        <f>IFERROR($AC95*HDF_Limited_Col!AP95/HDF_Limited_Col!$AH95," ")</f>
        <v>530.87998401994184</v>
      </c>
      <c r="AQ95" s="26">
        <f>IFERROR($AC95*HDF_Limited_Col!AQ95/HDF_Limited_Col!$AH95," ")</f>
        <v>18.959999429283638</v>
      </c>
      <c r="AR95" s="26">
        <f>IFERROR($AC95*HDF_Limited_Col!AR95/HDF_Limited_Col!$AH95," ")</f>
        <v>10.996799668984512</v>
      </c>
      <c r="AS95" s="26">
        <f>IFERROR($AC95*HDF_Limited_Col!AS95/HDF_Limited_Col!$AH95," ")</f>
        <v>0</v>
      </c>
      <c r="AT95" s="26">
        <f>IFERROR($AC95*HDF_Limited_Col!AT95/HDF_Limited_Col!$AH95," ")</f>
        <v>0</v>
      </c>
      <c r="AU95" s="26">
        <f>IFERROR($AC95*HDF_Limited_Col!AU95/HDF_Limited_Col!$AH95," ")</f>
        <v>0</v>
      </c>
      <c r="AV95" s="26">
        <f>IFERROR($AC95*HDF_Limited_Col!AV95/HDF_Limited_Col!$AH95," ")</f>
        <v>0</v>
      </c>
      <c r="AW95" s="26">
        <f>IFERROR($AC95*HDF_Limited_Col!AW95/HDF_Limited_Col!$AH95," ")</f>
        <v>0</v>
      </c>
      <c r="AX95" s="26">
        <f>IFERROR($AC95*HDF_Limited_Col!AX95/HDF_Limited_Col!$AH95," ")</f>
        <v>248.75519251220132</v>
      </c>
      <c r="AY95" s="26">
        <f>IFERROR($AC95*HDF_Limited_Col!AY95/HDF_Limited_Col!$AH95," ")</f>
        <v>1721.5679481789543</v>
      </c>
      <c r="AZ95" s="26">
        <f>IFERROR($AC95*HDF_Limited_Col!AZ95/HDF_Limited_Col!$AH95," ")</f>
        <v>16.6847994977696</v>
      </c>
      <c r="BA95" s="26">
        <f>IFERROR($AC95*HDF_Limited_Col!BA95/HDF_Limited_Col!$AH95," ")</f>
        <v>109.20959671267374</v>
      </c>
      <c r="BB95" s="26">
        <f>IFERROR($AC95*HDF_Limited_Col!BB95/HDF_Limited_Col!$AH95," ")</f>
        <v>0</v>
      </c>
      <c r="BC95" s="26">
        <f>IFERROR($AC95*HDF_Limited_Col!BC95/HDF_Limited_Col!$AH95," ")</f>
        <v>483.47998544673277</v>
      </c>
      <c r="BD95" s="26">
        <f>IFERROR($AC95*HDF_Limited_Col!BD95/HDF_Limited_Col!$AH95," ")</f>
        <v>0</v>
      </c>
      <c r="BE95" s="26">
        <f>IFERROR($AC95*HDF_Limited_Col!BE95/HDF_Limited_Col!$AH95," ")</f>
        <v>0</v>
      </c>
      <c r="BF95" s="26">
        <f>IFERROR($AC95*HDF_Limited_Col!BF95/HDF_Limited_Col!$AH95," ")</f>
        <v>0</v>
      </c>
      <c r="BG95" s="26">
        <f>IFERROR($AC95*HDF_Limited_Col!BG95/HDF_Limited_Col!$AH95," ")</f>
        <v>0</v>
      </c>
      <c r="BH95" s="26">
        <f>IFERROR($AC95*HDF_Limited_Col!BH95/HDF_Limited_Col!$AH95," ")</f>
        <v>4.5503998630280726</v>
      </c>
      <c r="BI95" s="26">
        <f>IFERROR($AC95*HDF_Limited_Col!BI95/HDF_Limited_Col!$AH95," ")</f>
        <v>11595.935650949872</v>
      </c>
      <c r="BJ95" s="26">
        <f>IFERROR($AC95*HDF_Limited_Col!BJ95/HDF_Limited_Col!$AH95," ")</f>
        <v>38.299198847152951</v>
      </c>
      <c r="BK95" s="26">
        <f>IFERROR($AC95*HDF_Limited_Col!BK95/HDF_Limited_Col!$AH95," ")</f>
        <v>585.48478237627876</v>
      </c>
      <c r="BL95" s="26">
        <f>IFERROR($AC95*HDF_Limited_Col!BL95/HDF_Limited_Col!$AH95," ")</f>
        <v>658.29118018472798</v>
      </c>
      <c r="BM95" s="26">
        <f>IFERROR($AC95*HDF_Limited_Col!BM95/HDF_Limited_Col!$AH95," ")</f>
        <v>63.705598082393031</v>
      </c>
      <c r="BN95" s="26">
        <f>IFERROR($AC95*HDF_Limited_Col!BN95/HDF_Limited_Col!$AH95," ")</f>
        <v>185.42879441839398</v>
      </c>
      <c r="BO95" s="26">
        <f>IFERROR($AC95*HDF_Limited_Col!BO95/HDF_Limited_Col!$AH95," ")</f>
        <v>17.822399463526619</v>
      </c>
      <c r="BP95" s="26">
        <f>IFERROR($AC95*HDF_Limited_Col!BP95/HDF_Limited_Col!$AH95," ")</f>
        <v>3.7919998858567276</v>
      </c>
      <c r="BQ95" s="26">
        <f>IFERROR($AC95*HDF_Limited_Col!BQ95/HDF_Limited_Col!$AH95," ")</f>
        <v>5.3087998401994181</v>
      </c>
      <c r="BR95" s="26">
        <f>IFERROR($AC95*HDF_Limited_Col!BR95/HDF_Limited_Col!$AH95," ")</f>
        <v>3.0335999086853822</v>
      </c>
      <c r="BS95" s="26">
        <f>IFERROR($AC95*HDF_Limited_Col!BS95/HDF_Limited_Col!$AH95," ")</f>
        <v>0.75839997717134555</v>
      </c>
      <c r="BT95" s="26">
        <f>IFERROR($AC95*HDF_Limited_Col!BT95/HDF_Limited_Col!$AH95," ")</f>
        <v>3.4127998972710545</v>
      </c>
      <c r="BU95" s="26">
        <f>IFERROR($AC95*HDF_Limited_Col!BU95/HDF_Limited_Col!$AH95," ")</f>
        <v>0</v>
      </c>
      <c r="BV95" s="26">
        <f>IFERROR($AC95*HDF_Limited_Col!BV95/HDF_Limited_Col!$AH95," ")</f>
        <v>4.5503998630280726</v>
      </c>
      <c r="BW95" s="26">
        <f>IFERROR($AC95*HDF_Limited_Col!BW95/HDF_Limited_Col!$AH95," ")</f>
        <v>0.75839997717134555</v>
      </c>
      <c r="BX95" s="26">
        <f>IFERROR($AC95*HDF_Limited_Col!BX95/HDF_Limited_Col!$AH95," ")</f>
        <v>3.0335999086853822</v>
      </c>
      <c r="BY95" s="26">
        <f>IFERROR($AC95*HDF_Limited_Col!BY95/HDF_Limited_Col!$AH95," ")</f>
        <v>15.926399520598258</v>
      </c>
      <c r="BZ95" s="26">
        <f>IFERROR($AC95*HDF_Limited_Col!BZ95/HDF_Limited_Col!$AH95," ")</f>
        <v>24.647999258068729</v>
      </c>
      <c r="CA95" s="26">
        <f>IFERROR($AC95*HDF_Limited_Col!CA95/HDF_Limited_Col!$AH95," ")</f>
        <v>40.195198790081307</v>
      </c>
      <c r="CB95" s="26">
        <f>IFERROR($AC95*HDF_Limited_Col!CB95/HDF_Limited_Col!$AH95," ")</f>
        <v>115.6559965186302</v>
      </c>
      <c r="CC95" s="26">
        <f>IFERROR($AC95*HDF_Limited_Col!CC95/HDF_Limited_Col!$AH95," ")</f>
        <v>17.822399463526619</v>
      </c>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row>
    <row r="96" spans="1:109">
      <c r="A96" s="26" t="s">
        <v>641</v>
      </c>
      <c r="B96" s="26" t="s">
        <v>24</v>
      </c>
      <c r="C96" s="154" t="s">
        <v>1801</v>
      </c>
      <c r="D96" s="26" t="s">
        <v>1707</v>
      </c>
      <c r="E96" s="26" t="s">
        <v>237</v>
      </c>
      <c r="F96" s="26" t="s">
        <v>639</v>
      </c>
      <c r="G96" s="26" t="s">
        <v>640</v>
      </c>
      <c r="H96" s="30"/>
      <c r="I96" s="26" t="s">
        <v>712</v>
      </c>
      <c r="J96" s="26" t="s">
        <v>635</v>
      </c>
      <c r="K96" s="26" t="s">
        <v>642</v>
      </c>
      <c r="L96" s="26" t="s">
        <v>161</v>
      </c>
      <c r="M96" s="26" t="s">
        <v>621</v>
      </c>
      <c r="N96" s="26" t="s">
        <v>1084</v>
      </c>
      <c r="O96" s="95">
        <v>18.620940479106391</v>
      </c>
      <c r="P96" s="95">
        <v>1.8924542769526604</v>
      </c>
      <c r="Q96" s="95">
        <v>5.404120769479789</v>
      </c>
      <c r="R96" s="95">
        <v>4.4022332110930869</v>
      </c>
      <c r="S96" s="95">
        <v>5.2320794715750019</v>
      </c>
      <c r="T96" s="95">
        <v>44.7307374552447</v>
      </c>
      <c r="U96" s="95">
        <v>0</v>
      </c>
      <c r="V96" s="95">
        <v>5.7178431362473434</v>
      </c>
      <c r="W96" s="95">
        <v>7.488856497031918</v>
      </c>
      <c r="X96" s="95">
        <v>5.0296779446281938</v>
      </c>
      <c r="Y96" s="95">
        <v>1.9126944296473412</v>
      </c>
      <c r="Z96" s="95">
        <v>100.43163767100643</v>
      </c>
      <c r="AA96" s="26"/>
      <c r="AB96" s="26"/>
      <c r="AC96" s="26">
        <f t="shared" si="2"/>
        <v>62167.791478075385</v>
      </c>
      <c r="AD96" s="26">
        <f>IFERROR($AC96*HDF_Limited_Col!AD96/HDF_Limited_Col!$AH96," ")</f>
        <v>28343.95509207802</v>
      </c>
      <c r="AE96" s="26">
        <f>IFERROR($AC96*HDF_Limited_Col!AE96/HDF_Limited_Col!$AH96," ")</f>
        <v>22969.023645101046</v>
      </c>
      <c r="AF96" s="26">
        <f>IFERROR($AC96*HDF_Limited_Col!AF96/HDF_Limited_Col!$AH96," ")</f>
        <v>5419.9099528094175</v>
      </c>
      <c r="AG96" s="26">
        <f>IFERROR($AC96*HDF_Limited_Col!AG96/HDF_Limited_Col!$AH96," ")</f>
        <v>8853.2692313525895</v>
      </c>
      <c r="AH96" s="26">
        <f>IFERROR($AC96*HDF_Limited_Col!AH96/HDF_Limited_Col!$AH96," ")</f>
        <v>62167.791478075393</v>
      </c>
      <c r="AI96" s="26">
        <f>IFERROR($AC96*HDF_Limited_Col!AI96/HDF_Limited_Col!$AH96," ")</f>
        <v>104717.45799556674</v>
      </c>
      <c r="AJ96" s="26">
        <f>IFERROR($AC96*HDF_Limited_Col!AJ96/HDF_Limited_Col!$AH96," ")</f>
        <v>5599.8239761391906</v>
      </c>
      <c r="AK96" s="26">
        <f>IFERROR($AC96*HDF_Limited_Col!AK96/HDF_Limited_Col!$AH96," ")</f>
        <v>1424.3193513607046</v>
      </c>
      <c r="AL96" s="26">
        <f>IFERROR($AC96*HDF_Limited_Col!AL96/HDF_Limited_Col!$AH96," ")</f>
        <v>997.02354595249324</v>
      </c>
      <c r="AM96" s="26">
        <f>IFERROR($AC96*HDF_Limited_Col!AM96/HDF_Limited_Col!$AH96," ")</f>
        <v>22534.231422054094</v>
      </c>
      <c r="AN96" s="26">
        <f>IFERROR($AC96*HDF_Limited_Col!AN96/HDF_Limited_Col!$AH96," ")</f>
        <v>29.985670554962201</v>
      </c>
      <c r="AO96" s="26">
        <f>IFERROR($AC96*HDF_Limited_Col!AO96/HDF_Limited_Col!$AH96," ")</f>
        <v>56.223132290554119</v>
      </c>
      <c r="AP96" s="26">
        <f>IFERROR($AC96*HDF_Limited_Col!AP96/HDF_Limited_Col!$AH96," ")</f>
        <v>982.03071067501207</v>
      </c>
      <c r="AQ96" s="26">
        <f>IFERROR($AC96*HDF_Limited_Col!AQ96/HDF_Limited_Col!$AH96," ")</f>
        <v>7.4964176387405503</v>
      </c>
      <c r="AR96" s="26">
        <f>IFERROR($AC96*HDF_Limited_Col!AR96/HDF_Limited_Col!$AH96," ")</f>
        <v>10.49498469423677</v>
      </c>
      <c r="AS96" s="26">
        <f>IFERROR($AC96*HDF_Limited_Col!AS96/HDF_Limited_Col!$AH96," ")</f>
        <v>0</v>
      </c>
      <c r="AT96" s="26">
        <f>IFERROR($AC96*HDF_Limited_Col!AT96/HDF_Limited_Col!$AH96," ")</f>
        <v>0</v>
      </c>
      <c r="AU96" s="26">
        <f>IFERROR($AC96*HDF_Limited_Col!AU96/HDF_Limited_Col!$AH96," ")</f>
        <v>0</v>
      </c>
      <c r="AV96" s="26">
        <f>IFERROR($AC96*HDF_Limited_Col!AV96/HDF_Limited_Col!$AH96," ")</f>
        <v>0</v>
      </c>
      <c r="AW96" s="26">
        <f>IFERROR($AC96*HDF_Limited_Col!AW96/HDF_Limited_Col!$AH96," ")</f>
        <v>0</v>
      </c>
      <c r="AX96" s="26">
        <f>IFERROR($AC96*HDF_Limited_Col!AX96/HDF_Limited_Col!$AH96," ")</f>
        <v>172.41760569103266</v>
      </c>
      <c r="AY96" s="26">
        <f>IFERROR($AC96*HDF_Limited_Col!AY96/HDF_Limited_Col!$AH96," ")</f>
        <v>1649.2118805229211</v>
      </c>
      <c r="AZ96" s="26">
        <f>IFERROR($AC96*HDF_Limited_Col!AZ96/HDF_Limited_Col!$AH96," ")</f>
        <v>20.98996938847354</v>
      </c>
      <c r="BA96" s="26">
        <f>IFERROR($AC96*HDF_Limited_Col!BA96/HDF_Limited_Col!$AH96," ")</f>
        <v>100.45199635912337</v>
      </c>
      <c r="BB96" s="26">
        <f>IFERROR($AC96*HDF_Limited_Col!BB96/HDF_Limited_Col!$AH96," ")</f>
        <v>0</v>
      </c>
      <c r="BC96" s="26">
        <f>IFERROR($AC96*HDF_Limited_Col!BC96/HDF_Limited_Col!$AH96," ")</f>
        <v>314.09989906322903</v>
      </c>
      <c r="BD96" s="26">
        <f>IFERROR($AC96*HDF_Limited_Col!BD96/HDF_Limited_Col!$AH96," ")</f>
        <v>0</v>
      </c>
      <c r="BE96" s="26">
        <f>IFERROR($AC96*HDF_Limited_Col!BE96/HDF_Limited_Col!$AH96," ")</f>
        <v>0</v>
      </c>
      <c r="BF96" s="26">
        <f>IFERROR($AC96*HDF_Limited_Col!BF96/HDF_Limited_Col!$AH96," ")</f>
        <v>0</v>
      </c>
      <c r="BG96" s="26">
        <f>IFERROR($AC96*HDF_Limited_Col!BG96/HDF_Limited_Col!$AH96," ")</f>
        <v>0</v>
      </c>
      <c r="BH96" s="26">
        <f>IFERROR($AC96*HDF_Limited_Col!BH96/HDF_Limited_Col!$AH96," ")</f>
        <v>7.4964176387405503</v>
      </c>
      <c r="BI96" s="26">
        <f>IFERROR($AC96*HDF_Limited_Col!BI96/HDF_Limited_Col!$AH96," ")</f>
        <v>9497.9611482842774</v>
      </c>
      <c r="BJ96" s="26">
        <f>IFERROR($AC96*HDF_Limited_Col!BJ96/HDF_Limited_Col!$AH96," ")</f>
        <v>52.474923471183857</v>
      </c>
      <c r="BK96" s="26">
        <f>IFERROR($AC96*HDF_Limited_Col!BK96/HDF_Limited_Col!$AH96," ")</f>
        <v>547.23848762806017</v>
      </c>
      <c r="BL96" s="26">
        <f>IFERROR($AC96*HDF_Limited_Col!BL96/HDF_Limited_Col!$AH96," ")</f>
        <v>614.70624637672506</v>
      </c>
      <c r="BM96" s="26">
        <f>IFERROR($AC96*HDF_Limited_Col!BM96/HDF_Limited_Col!$AH96," ")</f>
        <v>52.474923471183857</v>
      </c>
      <c r="BN96" s="26">
        <f>IFERROR($AC96*HDF_Limited_Col!BN96/HDF_Limited_Col!$AH96," ")</f>
        <v>197.15578389887648</v>
      </c>
      <c r="BO96" s="26">
        <f>IFERROR($AC96*HDF_Limited_Col!BO96/HDF_Limited_Col!$AH96," ")</f>
        <v>13.493551749732987</v>
      </c>
      <c r="BP96" s="26">
        <f>IFERROR($AC96*HDF_Limited_Col!BP96/HDF_Limited_Col!$AH96," ")</f>
        <v>4.4978505832443307</v>
      </c>
      <c r="BQ96" s="26">
        <f>IFERROR($AC96*HDF_Limited_Col!BQ96/HDF_Limited_Col!$AH96," ")</f>
        <v>13.493551749732987</v>
      </c>
      <c r="BR96" s="26">
        <f>IFERROR($AC96*HDF_Limited_Col!BR96/HDF_Limited_Col!$AH96," ")</f>
        <v>7.4964176387405503</v>
      </c>
      <c r="BS96" s="26">
        <f>IFERROR($AC96*HDF_Limited_Col!BS96/HDF_Limited_Col!$AH96," ")</f>
        <v>2.2489252916221654</v>
      </c>
      <c r="BT96" s="26">
        <f>IFERROR($AC96*HDF_Limited_Col!BT96/HDF_Limited_Col!$AH96," ")</f>
        <v>9.7453429303627139</v>
      </c>
      <c r="BU96" s="26">
        <f>IFERROR($AC96*HDF_Limited_Col!BU96/HDF_Limited_Col!$AH96," ")</f>
        <v>0</v>
      </c>
      <c r="BV96" s="26">
        <f>IFERROR($AC96*HDF_Limited_Col!BV96/HDF_Limited_Col!$AH96," ")</f>
        <v>11.244626458110824</v>
      </c>
      <c r="BW96" s="26">
        <f>IFERROR($AC96*HDF_Limited_Col!BW96/HDF_Limited_Col!$AH96," ")</f>
        <v>2.2489252916221654</v>
      </c>
      <c r="BX96" s="26">
        <f>IFERROR($AC96*HDF_Limited_Col!BX96/HDF_Limited_Col!$AH96," ")</f>
        <v>5.9971341109924401</v>
      </c>
      <c r="BY96" s="26">
        <f>IFERROR($AC96*HDF_Limited_Col!BY96/HDF_Limited_Col!$AH96," ")</f>
        <v>4.4978505832443307</v>
      </c>
      <c r="BZ96" s="26">
        <f>IFERROR($AC96*HDF_Limited_Col!BZ96/HDF_Limited_Col!$AH96," ")</f>
        <v>34.483521138206527</v>
      </c>
      <c r="CA96" s="26">
        <f>IFERROR($AC96*HDF_Limited_Col!CA96/HDF_Limited_Col!$AH96," ")</f>
        <v>41.97993877694708</v>
      </c>
      <c r="CB96" s="26">
        <f>IFERROR($AC96*HDF_Limited_Col!CB96/HDF_Limited_Col!$AH96," ")</f>
        <v>118.44339869210069</v>
      </c>
      <c r="CC96" s="26">
        <f>IFERROR($AC96*HDF_Limited_Col!CC96/HDF_Limited_Col!$AH96," ")</f>
        <v>17.241760569103263</v>
      </c>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row>
    <row r="97" spans="1:109">
      <c r="A97" s="26" t="s">
        <v>672</v>
      </c>
      <c r="B97" s="26" t="s">
        <v>24</v>
      </c>
      <c r="C97" s="154" t="s">
        <v>1801</v>
      </c>
      <c r="D97" s="26" t="s">
        <v>1723</v>
      </c>
      <c r="E97" s="26" t="s">
        <v>237</v>
      </c>
      <c r="F97" s="26" t="s">
        <v>29</v>
      </c>
      <c r="G97" s="26" t="s">
        <v>595</v>
      </c>
      <c r="H97" s="30">
        <v>360</v>
      </c>
      <c r="I97" s="26" t="s">
        <v>735</v>
      </c>
      <c r="J97" s="26" t="s">
        <v>1496</v>
      </c>
      <c r="K97" s="26"/>
      <c r="L97" s="26"/>
      <c r="M97" s="26" t="s">
        <v>72</v>
      </c>
      <c r="N97" s="26">
        <v>24</v>
      </c>
      <c r="O97" s="95">
        <v>10.63593348387082</v>
      </c>
      <c r="P97" s="95">
        <v>2.6641464454744379</v>
      </c>
      <c r="Q97" s="95">
        <v>5.1114437616660737</v>
      </c>
      <c r="R97" s="95">
        <v>24.514277757970216</v>
      </c>
      <c r="S97" s="95">
        <v>13.217470737237525</v>
      </c>
      <c r="T97" s="95">
        <v>17.389234938678115</v>
      </c>
      <c r="U97" s="95">
        <v>0</v>
      </c>
      <c r="V97" s="95">
        <v>6.7946060508611641</v>
      </c>
      <c r="W97" s="95">
        <v>13.702799740870461</v>
      </c>
      <c r="X97" s="95">
        <v>2.7157771905417722</v>
      </c>
      <c r="Y97" s="95">
        <v>4.2027426484809931</v>
      </c>
      <c r="Z97" s="95">
        <v>100.94843275565158</v>
      </c>
      <c r="AA97" s="26"/>
      <c r="AB97" s="26"/>
      <c r="AC97" s="26">
        <f t="shared" si="2"/>
        <v>113752.05243869817</v>
      </c>
      <c r="AD97" s="26">
        <f>IFERROR($AC97*HDF_Limited_Col!AD97/HDF_Limited_Col!$AH97," ")</f>
        <v>44774.744045019499</v>
      </c>
      <c r="AE97" s="26">
        <f>IFERROR($AC97*HDF_Limited_Col!AE97/HDF_Limited_Col!$AH97," ")</f>
        <v>45379.808153735969</v>
      </c>
      <c r="AF97" s="26">
        <f>IFERROR($AC97*HDF_Limited_Col!AF97/HDF_Limited_Col!$AH97," ")</f>
        <v>5445.5769784483164</v>
      </c>
      <c r="AG97" s="26">
        <f>IFERROR($AC97*HDF_Limited_Col!AG97/HDF_Limited_Col!$AH97," ")</f>
        <v>0</v>
      </c>
      <c r="AH97" s="26">
        <f>IFERROR($AC97*HDF_Limited_Col!AH97/HDF_Limited_Col!$AH97," ")</f>
        <v>113752.05243869817</v>
      </c>
      <c r="AI97" s="26">
        <f>IFERROR($AC97*HDF_Limited_Col!AI97/HDF_Limited_Col!$AH97," ")</f>
        <v>59296.282654215007</v>
      </c>
      <c r="AJ97" s="26">
        <f>IFERROR($AC97*HDF_Limited_Col!AJ97/HDF_Limited_Col!$AH97," ")</f>
        <v>9124.3667594445124</v>
      </c>
      <c r="AK97" s="26">
        <f>IFERROR($AC97*HDF_Limited_Col!AK97/HDF_Limited_Col!$AH97," ")</f>
        <v>0</v>
      </c>
      <c r="AL97" s="26">
        <f>IFERROR($AC97*HDF_Limited_Col!AL97/HDF_Limited_Col!$AH97," ")</f>
        <v>1010.457061556521</v>
      </c>
      <c r="AM97" s="26">
        <f>IFERROR($AC97*HDF_Limited_Col!AM97/HDF_Limited_Col!$AH97," ")</f>
        <v>72002.628937261077</v>
      </c>
      <c r="AN97" s="26">
        <f>IFERROR($AC97*HDF_Limited_Col!AN97/HDF_Limited_Col!$AH97," ")</f>
        <v>86.524167546456582</v>
      </c>
      <c r="AO97" s="26">
        <f>IFERROR($AC97*HDF_Limited_Col!AO97/HDF_Limited_Col!$AH97," ")</f>
        <v>88.339359872606011</v>
      </c>
      <c r="AP97" s="26">
        <f>IFERROR($AC97*HDF_Limited_Col!AP97/HDF_Limited_Col!$AH97," ")</f>
        <v>0</v>
      </c>
      <c r="AQ97" s="26">
        <f>IFERROR($AC97*HDF_Limited_Col!AQ97/HDF_Limited_Col!$AH97," ")</f>
        <v>52.035513349617247</v>
      </c>
      <c r="AR97" s="26">
        <f>IFERROR($AC97*HDF_Limited_Col!AR97/HDF_Limited_Col!$AH97," ")</f>
        <v>17.546859152777913</v>
      </c>
      <c r="AS97" s="26">
        <f>IFERROR($AC97*HDF_Limited_Col!AS97/HDF_Limited_Col!$AH97," ")</f>
        <v>0</v>
      </c>
      <c r="AT97" s="26">
        <f>IFERROR($AC97*HDF_Limited_Col!AT97/HDF_Limited_Col!$AH97," ")</f>
        <v>0</v>
      </c>
      <c r="AU97" s="26">
        <f>IFERROR($AC97*HDF_Limited_Col!AU97/HDF_Limited_Col!$AH97," ")</f>
        <v>0</v>
      </c>
      <c r="AV97" s="26">
        <f>IFERROR($AC97*HDF_Limited_Col!AV97/HDF_Limited_Col!$AH97," ")</f>
        <v>0</v>
      </c>
      <c r="AW97" s="26">
        <f>IFERROR($AC97*HDF_Limited_Col!AW97/HDF_Limited_Col!$AH97," ")</f>
        <v>0</v>
      </c>
      <c r="AX97" s="26">
        <f>IFERROR($AC97*HDF_Limited_Col!AX97/HDF_Limited_Col!$AH97," ")</f>
        <v>417.49423501437093</v>
      </c>
      <c r="AY97" s="26">
        <f>IFERROR($AC97*HDF_Limited_Col!AY97/HDF_Limited_Col!$AH97," ")</f>
        <v>3388.3590088122855</v>
      </c>
      <c r="AZ97" s="26">
        <f>IFERROR($AC97*HDF_Limited_Col!AZ97/HDF_Limited_Col!$AH97," ")</f>
        <v>22.387372022509744</v>
      </c>
      <c r="BA97" s="26">
        <f>IFERROR($AC97*HDF_Limited_Col!BA97/HDF_Limited_Col!$AH97," ")</f>
        <v>229.92436131226225</v>
      </c>
      <c r="BB97" s="26">
        <f>IFERROR($AC97*HDF_Limited_Col!BB97/HDF_Limited_Col!$AH97," ")</f>
        <v>0</v>
      </c>
      <c r="BC97" s="26">
        <f>IFERROR($AC97*HDF_Limited_Col!BC97/HDF_Limited_Col!$AH97," ")</f>
        <v>483.44622286446725</v>
      </c>
      <c r="BD97" s="26">
        <f>IFERROR($AC97*HDF_Limited_Col!BD97/HDF_Limited_Col!$AH97," ")</f>
        <v>0</v>
      </c>
      <c r="BE97" s="26">
        <f>IFERROR($AC97*HDF_Limited_Col!BE97/HDF_Limited_Col!$AH97," ")</f>
        <v>0</v>
      </c>
      <c r="BF97" s="26">
        <f>IFERROR($AC97*HDF_Limited_Col!BF97/HDF_Limited_Col!$AH97," ")</f>
        <v>0</v>
      </c>
      <c r="BG97" s="26">
        <f>IFERROR($AC97*HDF_Limited_Col!BG97/HDF_Limited_Col!$AH97," ")</f>
        <v>0</v>
      </c>
      <c r="BH97" s="26">
        <f>IFERROR($AC97*HDF_Limited_Col!BH97/HDF_Limited_Col!$AH97," ")</f>
        <v>7.8658334133142347</v>
      </c>
      <c r="BI97" s="26">
        <f>IFERROR($AC97*HDF_Limited_Col!BI97/HDF_Limited_Col!$AH97," ")</f>
        <v>6377.3757058716956</v>
      </c>
      <c r="BJ97" s="26">
        <f>IFERROR($AC97*HDF_Limited_Col!BJ97/HDF_Limited_Col!$AH97," ")</f>
        <v>75.633013589559951</v>
      </c>
      <c r="BK97" s="26">
        <f>IFERROR($AC97*HDF_Limited_Col!BK97/HDF_Limited_Col!$AH97," ")</f>
        <v>435.64615827586533</v>
      </c>
      <c r="BL97" s="26">
        <f>IFERROR($AC97*HDF_Limited_Col!BL97/HDF_Limited_Col!$AH97," ")</f>
        <v>586.91218545498521</v>
      </c>
      <c r="BM97" s="26">
        <f>IFERROR($AC97*HDF_Limited_Col!BM97/HDF_Limited_Col!$AH97," ")</f>
        <v>68.977308393678683</v>
      </c>
      <c r="BN97" s="26">
        <f>IFERROR($AC97*HDF_Limited_Col!BN97/HDF_Limited_Col!$AH97," ")</f>
        <v>273.48897713984883</v>
      </c>
      <c r="BO97" s="26">
        <f>IFERROR($AC97*HDF_Limited_Col!BO97/HDF_Limited_Col!$AH97," ")</f>
        <v>26.622820783525103</v>
      </c>
      <c r="BP97" s="26">
        <f>IFERROR($AC97*HDF_Limited_Col!BP97/HDF_Limited_Col!$AH97," ")</f>
        <v>6.0506410871647969</v>
      </c>
      <c r="BQ97" s="26">
        <f>IFERROR($AC97*HDF_Limited_Col!BQ97/HDF_Limited_Col!$AH97," ")</f>
        <v>13.916474500479032</v>
      </c>
      <c r="BR97" s="26">
        <f>IFERROR($AC97*HDF_Limited_Col!BR97/HDF_Limited_Col!$AH97," ")</f>
        <v>4.2354487610153582</v>
      </c>
      <c r="BS97" s="26">
        <f>IFERROR($AC97*HDF_Limited_Col!BS97/HDF_Limited_Col!$AH97," ")</f>
        <v>0.60506410871647964</v>
      </c>
      <c r="BT97" s="26">
        <f>IFERROR($AC97*HDF_Limited_Col!BT97/HDF_Limited_Col!$AH97," ")</f>
        <v>3.6303846522988779</v>
      </c>
      <c r="BU97" s="26">
        <f>IFERROR($AC97*HDF_Limited_Col!BU97/HDF_Limited_Col!$AH97," ")</f>
        <v>0</v>
      </c>
      <c r="BV97" s="26">
        <f>IFERROR($AC97*HDF_Limited_Col!BV97/HDF_Limited_Col!$AH97," ")</f>
        <v>3.6303846522988779</v>
      </c>
      <c r="BW97" s="26">
        <f>IFERROR($AC97*HDF_Limited_Col!BW97/HDF_Limited_Col!$AH97," ")</f>
        <v>0.60506410871647964</v>
      </c>
      <c r="BX97" s="26">
        <f>IFERROR($AC97*HDF_Limited_Col!BX97/HDF_Limited_Col!$AH97," ")</f>
        <v>6.0506410871647969</v>
      </c>
      <c r="BY97" s="26">
        <f>IFERROR($AC97*HDF_Limited_Col!BY97/HDF_Limited_Col!$AH97," ")</f>
        <v>20.572179696360308</v>
      </c>
      <c r="BZ97" s="26">
        <f>IFERROR($AC97*HDF_Limited_Col!BZ97/HDF_Limited_Col!$AH97," ")</f>
        <v>0</v>
      </c>
      <c r="CA97" s="26">
        <f>IFERROR($AC97*HDF_Limited_Col!CA97/HDF_Limited_Col!$AH97," ")</f>
        <v>52.035513349617247</v>
      </c>
      <c r="CB97" s="26">
        <f>IFERROR($AC97*HDF_Limited_Col!CB97/HDF_Limited_Col!$AH97," ")</f>
        <v>56.270962110632603</v>
      </c>
      <c r="CC97" s="26">
        <f>IFERROR($AC97*HDF_Limited_Col!CC97/HDF_Limited_Col!$AH97," ")</f>
        <v>12.706346283046074</v>
      </c>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row>
    <row r="98" spans="1:109">
      <c r="A98" s="26" t="s">
        <v>672</v>
      </c>
      <c r="B98" s="26" t="s">
        <v>24</v>
      </c>
      <c r="C98" s="154" t="s">
        <v>1801</v>
      </c>
      <c r="D98" s="26" t="s">
        <v>1723</v>
      </c>
      <c r="E98" s="26" t="s">
        <v>237</v>
      </c>
      <c r="F98" s="26" t="s">
        <v>29</v>
      </c>
      <c r="G98" s="26" t="s">
        <v>595</v>
      </c>
      <c r="H98" s="30">
        <v>360</v>
      </c>
      <c r="I98" s="26" t="s">
        <v>735</v>
      </c>
      <c r="J98" s="26" t="s">
        <v>1496</v>
      </c>
      <c r="K98" s="26"/>
      <c r="L98" s="26"/>
      <c r="M98" s="26" t="s">
        <v>74</v>
      </c>
      <c r="N98" s="26">
        <v>24</v>
      </c>
      <c r="O98" s="95">
        <v>11.31495691564252</v>
      </c>
      <c r="P98" s="95">
        <v>2.9002236137567463</v>
      </c>
      <c r="Q98" s="95">
        <v>3.3189178678554323</v>
      </c>
      <c r="R98" s="95">
        <v>26.806644317293877</v>
      </c>
      <c r="S98" s="95">
        <v>9.9873897685003463</v>
      </c>
      <c r="T98" s="95">
        <v>23.171152745119926</v>
      </c>
      <c r="U98" s="95">
        <v>0</v>
      </c>
      <c r="V98" s="95">
        <v>2.8185271739326128</v>
      </c>
      <c r="W98" s="95">
        <v>13.193975031597594</v>
      </c>
      <c r="X98" s="95">
        <v>4.9936948842501732</v>
      </c>
      <c r="Y98" s="95">
        <v>1.9300783908451586</v>
      </c>
      <c r="Z98" s="95">
        <v>100.43556070879437</v>
      </c>
      <c r="AA98" s="26"/>
      <c r="AB98" s="26"/>
      <c r="AC98" s="26">
        <f t="shared" si="2"/>
        <v>109528.10871144092</v>
      </c>
      <c r="AD98" s="26">
        <f>IFERROR($AC98*HDF_Limited_Col!AD98/HDF_Limited_Col!$AH98," ")</f>
        <v>27617.402769646993</v>
      </c>
      <c r="AE98" s="26">
        <f>IFERROR($AC98*HDF_Limited_Col!AE98/HDF_Limited_Col!$AH98," ")</f>
        <v>39700.016481367551</v>
      </c>
      <c r="AF98" s="26">
        <f>IFERROR($AC98*HDF_Limited_Col!AF98/HDF_Limited_Col!$AH98," ")</f>
        <v>6590.5165700293956</v>
      </c>
      <c r="AG98" s="26">
        <f>IFERROR($AC98*HDF_Limited_Col!AG98/HDF_Limited_Col!$AH98," ")</f>
        <v>0</v>
      </c>
      <c r="AH98" s="26">
        <f>IFERROR($AC98*HDF_Limited_Col!AH98/HDF_Limited_Col!$AH98," ")</f>
        <v>109528.10871144092</v>
      </c>
      <c r="AI98" s="26">
        <f>IFERROR($AC98*HDF_Limited_Col!AI98/HDF_Limited_Col!$AH98," ")</f>
        <v>102623.75801902918</v>
      </c>
      <c r="AJ98" s="26">
        <f>IFERROR($AC98*HDF_Limited_Col!AJ98/HDF_Limited_Col!$AH98," ")</f>
        <v>11185.048121707032</v>
      </c>
      <c r="AK98" s="26">
        <f>IFERROR($AC98*HDF_Limited_Col!AK98/HDF_Limited_Col!$AH98," ")</f>
        <v>0</v>
      </c>
      <c r="AL98" s="26">
        <f>IFERROR($AC98*HDF_Limited_Col!AL98/HDF_Limited_Col!$AH98," ")</f>
        <v>1034.0834332498505</v>
      </c>
      <c r="AM98" s="26">
        <f>IFERROR($AC98*HDF_Limited_Col!AM98/HDF_Limited_Col!$AH98," ")</f>
        <v>78301.613534396878</v>
      </c>
      <c r="AN98" s="26">
        <f>IFERROR($AC98*HDF_Limited_Col!AN98/HDF_Limited_Col!$AH98," ")</f>
        <v>128.98582429914674</v>
      </c>
      <c r="AO98" s="26">
        <f>IFERROR($AC98*HDF_Limited_Col!AO98/HDF_Limited_Col!$AH98," ")</f>
        <v>223.92064631980833</v>
      </c>
      <c r="AP98" s="26">
        <f>IFERROR($AC98*HDF_Limited_Col!AP98/HDF_Limited_Col!$AH98," ")</f>
        <v>0</v>
      </c>
      <c r="AQ98" s="26">
        <f>IFERROR($AC98*HDF_Limited_Col!AQ98/HDF_Limited_Col!$AH98," ")</f>
        <v>45.662864806632243</v>
      </c>
      <c r="AR98" s="26">
        <f>IFERROR($AC98*HDF_Limited_Col!AR98/HDF_Limited_Col!$AH98," ")</f>
        <v>24.322144484632297</v>
      </c>
      <c r="AS98" s="26">
        <f>IFERROR($AC98*HDF_Limited_Col!AS98/HDF_Limited_Col!$AH98," ")</f>
        <v>0</v>
      </c>
      <c r="AT98" s="26">
        <f>IFERROR($AC98*HDF_Limited_Col!AT98/HDF_Limited_Col!$AH98," ")</f>
        <v>0</v>
      </c>
      <c r="AU98" s="26">
        <f>IFERROR($AC98*HDF_Limited_Col!AU98/HDF_Limited_Col!$AH98," ")</f>
        <v>0</v>
      </c>
      <c r="AV98" s="26">
        <f>IFERROR($AC98*HDF_Limited_Col!AV98/HDF_Limited_Col!$AH98," ")</f>
        <v>0</v>
      </c>
      <c r="AW98" s="26">
        <f>IFERROR($AC98*HDF_Limited_Col!AW98/HDF_Limited_Col!$AH98," ")</f>
        <v>0</v>
      </c>
      <c r="AX98" s="26">
        <f>IFERROR($AC98*HDF_Limited_Col!AX98/HDF_Limited_Col!$AH98," ")</f>
        <v>386.0159705302932</v>
      </c>
      <c r="AY98" s="26">
        <f>IFERROR($AC98*HDF_Limited_Col!AY98/HDF_Limited_Col!$AH98," ")</f>
        <v>3450.6061755939622</v>
      </c>
      <c r="AZ98" s="26">
        <f>IFERROR($AC98*HDF_Limited_Col!AZ98/HDF_Limited_Col!$AH98," ")</f>
        <v>26.675900402499941</v>
      </c>
      <c r="BA98" s="26">
        <f>IFERROR($AC98*HDF_Limited_Col!BA98/HDF_Limited_Col!$AH98," ")</f>
        <v>186.41746869511721</v>
      </c>
      <c r="BB98" s="26">
        <f>IFERROR($AC98*HDF_Limited_Col!BB98/HDF_Limited_Col!$AH98," ")</f>
        <v>0</v>
      </c>
      <c r="BC98" s="26">
        <f>IFERROR($AC98*HDF_Limited_Col!BC98/HDF_Limited_Col!$AH98," ")</f>
        <v>572.5903562866016</v>
      </c>
      <c r="BD98" s="26">
        <f>IFERROR($AC98*HDF_Limited_Col!BD98/HDF_Limited_Col!$AH98," ")</f>
        <v>0</v>
      </c>
      <c r="BE98" s="26">
        <f>IFERROR($AC98*HDF_Limited_Col!BE98/HDF_Limited_Col!$AH98," ")</f>
        <v>0</v>
      </c>
      <c r="BF98" s="26">
        <f>IFERROR($AC98*HDF_Limited_Col!BF98/HDF_Limited_Col!$AH98," ")</f>
        <v>0</v>
      </c>
      <c r="BG98" s="26">
        <f>IFERROR($AC98*HDF_Limited_Col!BG98/HDF_Limited_Col!$AH98," ")</f>
        <v>0</v>
      </c>
      <c r="BH98" s="26">
        <f>IFERROR($AC98*HDF_Limited_Col!BH98/HDF_Limited_Col!$AH98," ")</f>
        <v>8.1596871819411572</v>
      </c>
      <c r="BI98" s="26">
        <f>IFERROR($AC98*HDF_Limited_Col!BI98/HDF_Limited_Col!$AH98," ")</f>
        <v>7850.5605713945406</v>
      </c>
      <c r="BJ98" s="26">
        <f>IFERROR($AC98*HDF_Limited_Col!BJ98/HDF_Limited_Col!$AH98," ")</f>
        <v>73.751018759852755</v>
      </c>
      <c r="BK98" s="26">
        <f>IFERROR($AC98*HDF_Limited_Col!BK98/HDF_Limited_Col!$AH98," ")</f>
        <v>500.56542519985169</v>
      </c>
      <c r="BL98" s="26">
        <f>IFERROR($AC98*HDF_Limited_Col!BL98/HDF_Limited_Col!$AH98," ")</f>
        <v>729.66433453896889</v>
      </c>
      <c r="BM98" s="26">
        <f>IFERROR($AC98*HDF_Limited_Col!BM98/HDF_Limited_Col!$AH98," ")</f>
        <v>82.381457125367447</v>
      </c>
      <c r="BN98" s="26">
        <f>IFERROR($AC98*HDF_Limited_Col!BN98/HDF_Limited_Col!$AH98," ")</f>
        <v>271.46651586073466</v>
      </c>
      <c r="BO98" s="26">
        <f>IFERROR($AC98*HDF_Limited_Col!BO98/HDF_Limited_Col!$AH98," ")</f>
        <v>27.460485708455817</v>
      </c>
      <c r="BP98" s="26">
        <f>IFERROR($AC98*HDF_Limited_Col!BP98/HDF_Limited_Col!$AH98," ")</f>
        <v>6.2766824476470449</v>
      </c>
      <c r="BQ98" s="26">
        <f>IFERROR($AC98*HDF_Limited_Col!BQ98/HDF_Limited_Col!$AH98," ")</f>
        <v>14.907120813161731</v>
      </c>
      <c r="BR98" s="26">
        <f>IFERROR($AC98*HDF_Limited_Col!BR98/HDF_Limited_Col!$AH98," ")</f>
        <v>6.7474336312205709</v>
      </c>
      <c r="BS98" s="26">
        <f>IFERROR($AC98*HDF_Limited_Col!BS98/HDF_Limited_Col!$AH98," ")</f>
        <v>1.4122535507205849</v>
      </c>
      <c r="BT98" s="26">
        <f>IFERROR($AC98*HDF_Limited_Col!BT98/HDF_Limited_Col!$AH98," ")</f>
        <v>2.6675900402499941</v>
      </c>
      <c r="BU98" s="26">
        <f>IFERROR($AC98*HDF_Limited_Col!BU98/HDF_Limited_Col!$AH98," ")</f>
        <v>0</v>
      </c>
      <c r="BV98" s="26">
        <f>IFERROR($AC98*HDF_Limited_Col!BV98/HDF_Limited_Col!$AH98," ")</f>
        <v>1.2553364895294088</v>
      </c>
      <c r="BW98" s="26">
        <f>IFERROR($AC98*HDF_Limited_Col!BW98/HDF_Limited_Col!$AH98," ")</f>
        <v>0.3138341223823522</v>
      </c>
      <c r="BX98" s="26">
        <f>IFERROR($AC98*HDF_Limited_Col!BX98/HDF_Limited_Col!$AH98," ")</f>
        <v>5.1782630193088117</v>
      </c>
      <c r="BY98" s="26">
        <f>IFERROR($AC98*HDF_Limited_Col!BY98/HDF_Limited_Col!$AH98," ")</f>
        <v>19.457715587705835</v>
      </c>
      <c r="BZ98" s="26">
        <f>IFERROR($AC98*HDF_Limited_Col!BZ98/HDF_Limited_Col!$AH98," ")</f>
        <v>0</v>
      </c>
      <c r="CA98" s="26">
        <f>IFERROR($AC98*HDF_Limited_Col!CA98/HDF_Limited_Col!$AH98," ")</f>
        <v>50.370376642367532</v>
      </c>
      <c r="CB98" s="26">
        <f>IFERROR($AC98*HDF_Limited_Col!CB98/HDF_Limited_Col!$AH98," ")</f>
        <v>53.665634927382229</v>
      </c>
      <c r="CC98" s="26">
        <f>IFERROR($AC98*HDF_Limited_Col!CC98/HDF_Limited_Col!$AH98," ")</f>
        <v>12.08261371172056</v>
      </c>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row>
    <row r="99" spans="1:109">
      <c r="A99" s="26" t="s">
        <v>672</v>
      </c>
      <c r="B99" s="26" t="s">
        <v>24</v>
      </c>
      <c r="C99" s="154" t="s">
        <v>1801</v>
      </c>
      <c r="D99" s="26" t="s">
        <v>1723</v>
      </c>
      <c r="E99" s="26" t="s">
        <v>237</v>
      </c>
      <c r="F99" s="26" t="s">
        <v>29</v>
      </c>
      <c r="G99" s="26" t="s">
        <v>595</v>
      </c>
      <c r="H99" s="30">
        <v>360</v>
      </c>
      <c r="I99" s="26" t="s">
        <v>735</v>
      </c>
      <c r="J99" s="26" t="s">
        <v>1496</v>
      </c>
      <c r="K99" s="26"/>
      <c r="L99" s="26"/>
      <c r="M99" s="26" t="s">
        <v>78</v>
      </c>
      <c r="N99" s="26">
        <v>22</v>
      </c>
      <c r="O99" s="95">
        <v>9.4510446479267003</v>
      </c>
      <c r="P99" s="95">
        <v>2.9732475595099133</v>
      </c>
      <c r="Q99" s="95">
        <v>3.5454189111681784</v>
      </c>
      <c r="R99" s="95">
        <v>32.419637478779912</v>
      </c>
      <c r="S99" s="95">
        <v>13.456244109534554</v>
      </c>
      <c r="T99" s="95">
        <v>21.364469577097005</v>
      </c>
      <c r="U99" s="95">
        <v>0</v>
      </c>
      <c r="V99" s="95">
        <v>4.3934585930902497</v>
      </c>
      <c r="W99" s="95">
        <v>9.7984343971477887</v>
      </c>
      <c r="X99" s="95">
        <v>1.450863070276315</v>
      </c>
      <c r="Y99" s="95">
        <v>1.4815151069722934</v>
      </c>
      <c r="Z99" s="95">
        <v>100.3343334515029</v>
      </c>
      <c r="AA99" s="26"/>
      <c r="AB99" s="26"/>
      <c r="AC99" s="26">
        <f t="shared" si="2"/>
        <v>81340.459208279703</v>
      </c>
      <c r="AD99" s="26">
        <f>IFERROR($AC99*HDF_Limited_Col!AD99/HDF_Limited_Col!$AH99," ")</f>
        <v>116200.65601182815</v>
      </c>
      <c r="AE99" s="26">
        <f>IFERROR($AC99*HDF_Limited_Col!AE99/HDF_Limited_Col!$AH99," ")</f>
        <v>1673289.4465703254</v>
      </c>
      <c r="AF99" s="26">
        <f>IFERROR($AC99*HDF_Limited_Col!AF99/HDF_Limited_Col!$AH99," ")</f>
        <v>69720.393607096892</v>
      </c>
      <c r="AG99" s="26">
        <f>IFERROR($AC99*HDF_Limited_Col!AG99/HDF_Limited_Col!$AH99," ")</f>
        <v>0</v>
      </c>
      <c r="AH99" s="26">
        <f>IFERROR($AC99*HDF_Limited_Col!AH99/HDF_Limited_Col!$AH99," ")</f>
        <v>81340.459208279703</v>
      </c>
      <c r="AI99" s="26">
        <f>IFERROR($AC99*HDF_Limited_Col!AI99/HDF_Limited_Col!$AH99," ")</f>
        <v>209161.18082129068</v>
      </c>
      <c r="AJ99" s="26">
        <f>IFERROR($AC99*HDF_Limited_Col!AJ99/HDF_Limited_Col!$AH99," ")</f>
        <v>15222.285937549488</v>
      </c>
      <c r="AK99" s="26">
        <f>IFERROR($AC99*HDF_Limited_Col!AK99/HDF_Limited_Col!$AH99," ")</f>
        <v>0</v>
      </c>
      <c r="AL99" s="26">
        <f>IFERROR($AC99*HDF_Limited_Col!AL99/HDF_Limited_Col!$AH99," ")</f>
        <v>3253.6183683311888</v>
      </c>
      <c r="AM99" s="26">
        <f>IFERROR($AC99*HDF_Limited_Col!AM99/HDF_Limited_Col!$AH99," ")</f>
        <v>848264.78888634557</v>
      </c>
      <c r="AN99" s="26">
        <f>IFERROR($AC99*HDF_Limited_Col!AN99/HDF_Limited_Col!$AH99," ")</f>
        <v>76134.669818949798</v>
      </c>
      <c r="AO99" s="26">
        <f>IFERROR($AC99*HDF_Limited_Col!AO99/HDF_Limited_Col!$AH99," ")</f>
        <v>19173.108241951642</v>
      </c>
      <c r="AP99" s="26">
        <f>IFERROR($AC99*HDF_Limited_Col!AP99/HDF_Limited_Col!$AH99," ")</f>
        <v>0</v>
      </c>
      <c r="AQ99" s="26">
        <f>IFERROR($AC99*HDF_Limited_Col!AQ99/HDF_Limited_Col!$AH99," ")</f>
        <v>255.64144322602192</v>
      </c>
      <c r="AR99" s="26">
        <f>IFERROR($AC99*HDF_Limited_Col!AR99/HDF_Limited_Col!$AH99," ")</f>
        <v>104.58059041064531</v>
      </c>
      <c r="AS99" s="26">
        <f>IFERROR($AC99*HDF_Limited_Col!AS99/HDF_Limited_Col!$AH99," ")</f>
        <v>0</v>
      </c>
      <c r="AT99" s="26">
        <f>IFERROR($AC99*HDF_Limited_Col!AT99/HDF_Limited_Col!$AH99," ")</f>
        <v>0</v>
      </c>
      <c r="AU99" s="26">
        <f>IFERROR($AC99*HDF_Limited_Col!AU99/HDF_Limited_Col!$AH99," ")</f>
        <v>0</v>
      </c>
      <c r="AV99" s="26">
        <f>IFERROR($AC99*HDF_Limited_Col!AV99/HDF_Limited_Col!$AH99," ")</f>
        <v>0</v>
      </c>
      <c r="AW99" s="26">
        <f>IFERROR($AC99*HDF_Limited_Col!AW99/HDF_Limited_Col!$AH99," ")</f>
        <v>0</v>
      </c>
      <c r="AX99" s="26">
        <f>IFERROR($AC99*HDF_Limited_Col!AX99/HDF_Limited_Col!$AH99," ")</f>
        <v>232.40131202365632</v>
      </c>
      <c r="AY99" s="26">
        <f>IFERROR($AC99*HDF_Limited_Col!AY99/HDF_Limited_Col!$AH99," ")</f>
        <v>929.60524809462527</v>
      </c>
      <c r="AZ99" s="26">
        <f>IFERROR($AC99*HDF_Limited_Col!AZ99/HDF_Limited_Col!$AH99," ")</f>
        <v>46.480262404731263</v>
      </c>
      <c r="BA99" s="26">
        <f>IFERROR($AC99*HDF_Limited_Col!BA99/HDF_Limited_Col!$AH99," ")</f>
        <v>534.5230176544095</v>
      </c>
      <c r="BB99" s="26">
        <f>IFERROR($AC99*HDF_Limited_Col!BB99/HDF_Limited_Col!$AH99," ")</f>
        <v>0</v>
      </c>
      <c r="BC99" s="26">
        <f>IFERROR($AC99*HDF_Limited_Col!BC99/HDF_Limited_Col!$AH99," ")</f>
        <v>81.340459208279711</v>
      </c>
      <c r="BD99" s="26">
        <f>IFERROR($AC99*HDF_Limited_Col!BD99/HDF_Limited_Col!$AH99," ")</f>
        <v>0</v>
      </c>
      <c r="BE99" s="26">
        <f>IFERROR($AC99*HDF_Limited_Col!BE99/HDF_Limited_Col!$AH99," ")</f>
        <v>0</v>
      </c>
      <c r="BF99" s="26">
        <f>IFERROR($AC99*HDF_Limited_Col!BF99/HDF_Limited_Col!$AH99," ")</f>
        <v>0</v>
      </c>
      <c r="BG99" s="26">
        <f>IFERROR($AC99*HDF_Limited_Col!BG99/HDF_Limited_Col!$AH99," ")</f>
        <v>0</v>
      </c>
      <c r="BH99" s="26">
        <f>IFERROR($AC99*HDF_Limited_Col!BH99/HDF_Limited_Col!$AH99," ")</f>
        <v>34.860196803548448</v>
      </c>
      <c r="BI99" s="26">
        <f>IFERROR($AC99*HDF_Limited_Col!BI99/HDF_Limited_Col!$AH99," ")</f>
        <v>3253.6183683311888</v>
      </c>
      <c r="BJ99" s="26">
        <f>IFERROR($AC99*HDF_Limited_Col!BJ99/HDF_Limited_Col!$AH99," ")</f>
        <v>1336.3075441360238</v>
      </c>
      <c r="BK99" s="26">
        <f>IFERROR($AC99*HDF_Limited_Col!BK99/HDF_Limited_Col!$AH99," ")</f>
        <v>569.38321445795793</v>
      </c>
      <c r="BL99" s="26">
        <f>IFERROR($AC99*HDF_Limited_Col!BL99/HDF_Limited_Col!$AH99," ")</f>
        <v>825.02465768397974</v>
      </c>
      <c r="BM99" s="26">
        <f>IFERROR($AC99*HDF_Limited_Col!BM99/HDF_Limited_Col!$AH99," ")</f>
        <v>92.960524809462527</v>
      </c>
      <c r="BN99" s="26">
        <f>IFERROR($AC99*HDF_Limited_Col!BN99/HDF_Limited_Col!$AH99," ")</f>
        <v>220.78124642247349</v>
      </c>
      <c r="BO99" s="26">
        <f>IFERROR($AC99*HDF_Limited_Col!BO99/HDF_Limited_Col!$AH99," ")</f>
        <v>46.480262404731263</v>
      </c>
      <c r="BP99" s="26">
        <f>IFERROR($AC99*HDF_Limited_Col!BP99/HDF_Limited_Col!$AH99," ")</f>
        <v>23.240131202365632</v>
      </c>
      <c r="BQ99" s="26">
        <f>IFERROR($AC99*HDF_Limited_Col!BQ99/HDF_Limited_Col!$AH99," ")</f>
        <v>34.860196803548448</v>
      </c>
      <c r="BR99" s="26">
        <f>IFERROR($AC99*HDF_Limited_Col!BR99/HDF_Limited_Col!$AH99," ")</f>
        <v>23.240131202365632</v>
      </c>
      <c r="BS99" s="26">
        <f>IFERROR($AC99*HDF_Limited_Col!BS99/HDF_Limited_Col!$AH99," ")</f>
        <v>11.620065601182816</v>
      </c>
      <c r="BT99" s="26">
        <f>IFERROR($AC99*HDF_Limited_Col!BT99/HDF_Limited_Col!$AH99," ")</f>
        <v>46.480262404731263</v>
      </c>
      <c r="BU99" s="26">
        <f>IFERROR($AC99*HDF_Limited_Col!BU99/HDF_Limited_Col!$AH99," ")</f>
        <v>0</v>
      </c>
      <c r="BV99" s="26">
        <f>IFERROR($AC99*HDF_Limited_Col!BV99/HDF_Limited_Col!$AH99," ")</f>
        <v>23.240131202365632</v>
      </c>
      <c r="BW99" s="26">
        <f>IFERROR($AC99*HDF_Limited_Col!BW99/HDF_Limited_Col!$AH99," ")</f>
        <v>11.620065601182816</v>
      </c>
      <c r="BX99" s="26">
        <f>IFERROR($AC99*HDF_Limited_Col!BX99/HDF_Limited_Col!$AH99," ")</f>
        <v>34.860196803548448</v>
      </c>
      <c r="BY99" s="26">
        <f>IFERROR($AC99*HDF_Limited_Col!BY99/HDF_Limited_Col!$AH99," ")</f>
        <v>23.240131202365632</v>
      </c>
      <c r="BZ99" s="26">
        <f>IFERROR($AC99*HDF_Limited_Col!BZ99/HDF_Limited_Col!$AH99," ")</f>
        <v>0</v>
      </c>
      <c r="CA99" s="26">
        <f>IFERROR($AC99*HDF_Limited_Col!CA99/HDF_Limited_Col!$AH99," ")</f>
        <v>10690.46035308819</v>
      </c>
      <c r="CB99" s="26">
        <f>IFERROR($AC99*HDF_Limited_Col!CB99/HDF_Limited_Col!$AH99," ")</f>
        <v>34.860196803548448</v>
      </c>
      <c r="CC99" s="26">
        <f>IFERROR($AC99*HDF_Limited_Col!CC99/HDF_Limited_Col!$AH99," ")</f>
        <v>34.860196803548448</v>
      </c>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row>
    <row r="100" spans="1:109">
      <c r="A100" s="26" t="s">
        <v>672</v>
      </c>
      <c r="B100" s="26" t="s">
        <v>24</v>
      </c>
      <c r="C100" s="154" t="s">
        <v>1801</v>
      </c>
      <c r="D100" s="26" t="s">
        <v>1723</v>
      </c>
      <c r="E100" s="26" t="s">
        <v>237</v>
      </c>
      <c r="F100" s="26" t="s">
        <v>29</v>
      </c>
      <c r="G100" s="26" t="s">
        <v>595</v>
      </c>
      <c r="H100" s="30">
        <v>360</v>
      </c>
      <c r="I100" s="26" t="s">
        <v>735</v>
      </c>
      <c r="J100" s="26" t="s">
        <v>1496</v>
      </c>
      <c r="K100" s="26"/>
      <c r="L100" s="26"/>
      <c r="M100" s="26" t="s">
        <v>79</v>
      </c>
      <c r="N100" s="26">
        <v>24</v>
      </c>
      <c r="O100" s="95">
        <v>14.539658560351718</v>
      </c>
      <c r="P100" s="95">
        <v>4.7783395831697755</v>
      </c>
      <c r="Q100" s="95">
        <v>3.9495483492581016</v>
      </c>
      <c r="R100" s="95">
        <v>34.788767843206074</v>
      </c>
      <c r="S100" s="95">
        <v>11.357509501752572</v>
      </c>
      <c r="T100" s="95">
        <v>19.184982266473938</v>
      </c>
      <c r="U100" s="95">
        <v>0</v>
      </c>
      <c r="V100" s="95">
        <v>1.5961905245706318</v>
      </c>
      <c r="W100" s="95">
        <v>4.1848841317268484</v>
      </c>
      <c r="X100" s="95">
        <v>4.9625154129279254</v>
      </c>
      <c r="Y100" s="95">
        <v>0.84925521499591294</v>
      </c>
      <c r="Z100" s="95">
        <v>100.19165138843348</v>
      </c>
      <c r="AA100" s="26"/>
      <c r="AB100" s="26"/>
      <c r="AC100" s="26">
        <f t="shared" si="2"/>
        <v>34740.28433636207</v>
      </c>
      <c r="AD100" s="26">
        <f>IFERROR($AC100*HDF_Limited_Col!AD100/HDF_Limited_Col!$AH100," ")</f>
        <v>10348.169802320617</v>
      </c>
      <c r="AE100" s="26">
        <f>IFERROR($AC100*HDF_Limited_Col!AE100/HDF_Limited_Col!$AH100," ")</f>
        <v>15522.254703480927</v>
      </c>
      <c r="AF100" s="26">
        <f>IFERROR($AC100*HDF_Limited_Col!AF100/HDF_Limited_Col!$AH100," ")</f>
        <v>2956.6199435201761</v>
      </c>
      <c r="AG100" s="26">
        <f>IFERROR($AC100*HDF_Limited_Col!AG100/HDF_Limited_Col!$AH100," ")</f>
        <v>0</v>
      </c>
      <c r="AH100" s="26">
        <f>IFERROR($AC100*HDF_Limited_Col!AH100/HDF_Limited_Col!$AH100," ")</f>
        <v>34740.28433636207</v>
      </c>
      <c r="AI100" s="26">
        <f>IFERROR($AC100*HDF_Limited_Col!AI100/HDF_Limited_Col!$AH100," ")</f>
        <v>48045.07408220286</v>
      </c>
      <c r="AJ100" s="26">
        <f>IFERROR($AC100*HDF_Limited_Col!AJ100/HDF_Limited_Col!$AH100," ")</f>
        <v>4372.101741480461</v>
      </c>
      <c r="AK100" s="26">
        <f>IFERROR($AC100*HDF_Limited_Col!AK100/HDF_Limited_Col!$AH100," ")</f>
        <v>0</v>
      </c>
      <c r="AL100" s="26">
        <f>IFERROR($AC100*HDF_Limited_Col!AL100/HDF_Limited_Col!$AH100," ")</f>
        <v>384.36059265762293</v>
      </c>
      <c r="AM100" s="26">
        <f>IFERROR($AC100*HDF_Limited_Col!AM100/HDF_Limited_Col!$AH100," ")</f>
        <v>25131.269519921498</v>
      </c>
      <c r="AN100" s="26">
        <f>IFERROR($AC100*HDF_Limited_Col!AN100/HDF_Limited_Col!$AH100," ")</f>
        <v>149.30930714776892</v>
      </c>
      <c r="AO100" s="26">
        <f>IFERROR($AC100*HDF_Limited_Col!AO100/HDF_Limited_Col!$AH100," ")</f>
        <v>59.501976363343545</v>
      </c>
      <c r="AP100" s="26">
        <f>IFERROR($AC100*HDF_Limited_Col!AP100/HDF_Limited_Col!$AH100," ")</f>
        <v>0</v>
      </c>
      <c r="AQ100" s="26">
        <f>IFERROR($AC100*HDF_Limited_Col!AQ100/HDF_Limited_Col!$AH100," ")</f>
        <v>19.95718461876119</v>
      </c>
      <c r="AR100" s="26">
        <f>IFERROR($AC100*HDF_Limited_Col!AR100/HDF_Limited_Col!$AH100," ")</f>
        <v>7.3915498588004409</v>
      </c>
      <c r="AS100" s="26">
        <f>IFERROR($AC100*HDF_Limited_Col!AS100/HDF_Limited_Col!$AH100," ")</f>
        <v>0</v>
      </c>
      <c r="AT100" s="26">
        <f>IFERROR($AC100*HDF_Limited_Col!AT100/HDF_Limited_Col!$AH100," ")</f>
        <v>0</v>
      </c>
      <c r="AU100" s="26">
        <f>IFERROR($AC100*HDF_Limited_Col!AU100/HDF_Limited_Col!$AH100," ")</f>
        <v>0</v>
      </c>
      <c r="AV100" s="26">
        <f>IFERROR($AC100*HDF_Limited_Col!AV100/HDF_Limited_Col!$AH100," ")</f>
        <v>0</v>
      </c>
      <c r="AW100" s="26">
        <f>IFERROR($AC100*HDF_Limited_Col!AW100/HDF_Limited_Col!$AH100," ")</f>
        <v>0</v>
      </c>
      <c r="AX100" s="26">
        <f>IFERROR($AC100*HDF_Limited_Col!AX100/HDF_Limited_Col!$AH100," ")</f>
        <v>129.35212252900769</v>
      </c>
      <c r="AY100" s="26">
        <f>IFERROR($AC100*HDF_Limited_Col!AY100/HDF_Limited_Col!$AH100," ")</f>
        <v>1293.5212252900772</v>
      </c>
      <c r="AZ100" s="26">
        <f>IFERROR($AC100*HDF_Limited_Col!AZ100/HDF_Limited_Col!$AH100," ")</f>
        <v>14.783099717600882</v>
      </c>
      <c r="BA100" s="26">
        <f>IFERROR($AC100*HDF_Limited_Col!BA100/HDF_Limited_Col!$AH100," ")</f>
        <v>92.763950727945527</v>
      </c>
      <c r="BB100" s="26">
        <f>IFERROR($AC100*HDF_Limited_Col!BB100/HDF_Limited_Col!$AH100," ")</f>
        <v>0</v>
      </c>
      <c r="BC100" s="26">
        <f>IFERROR($AC100*HDF_Limited_Col!BC100/HDF_Limited_Col!$AH100," ")</f>
        <v>154.4833920489292</v>
      </c>
      <c r="BD100" s="26">
        <f>IFERROR($AC100*HDF_Limited_Col!BD100/HDF_Limited_Col!$AH100," ")</f>
        <v>0</v>
      </c>
      <c r="BE100" s="26">
        <f>IFERROR($AC100*HDF_Limited_Col!BE100/HDF_Limited_Col!$AH100," ")</f>
        <v>0</v>
      </c>
      <c r="BF100" s="26">
        <f>IFERROR($AC100*HDF_Limited_Col!BF100/HDF_Limited_Col!$AH100," ")</f>
        <v>0</v>
      </c>
      <c r="BG100" s="26">
        <f>IFERROR($AC100*HDF_Limited_Col!BG100/HDF_Limited_Col!$AH100," ")</f>
        <v>0</v>
      </c>
      <c r="BH100" s="26">
        <f>IFERROR($AC100*HDF_Limited_Col!BH100/HDF_Limited_Col!$AH100," ")</f>
        <v>4.4349299152802644</v>
      </c>
      <c r="BI100" s="26">
        <f>IFERROR($AC100*HDF_Limited_Col!BI100/HDF_Limited_Col!$AH100," ")</f>
        <v>2080.7212852523239</v>
      </c>
      <c r="BJ100" s="26">
        <f>IFERROR($AC100*HDF_Limited_Col!BJ100/HDF_Limited_Col!$AH100," ")</f>
        <v>37.32732678694223</v>
      </c>
      <c r="BK100" s="26">
        <f>IFERROR($AC100*HDF_Limited_Col!BK100/HDF_Limited_Col!$AH100," ")</f>
        <v>158.54874447126946</v>
      </c>
      <c r="BL100" s="26">
        <f>IFERROR($AC100*HDF_Limited_Col!BL100/HDF_Limited_Col!$AH100," ")</f>
        <v>247.61692026981476</v>
      </c>
      <c r="BM100" s="26">
        <f>IFERROR($AC100*HDF_Limited_Col!BM100/HDF_Limited_Col!$AH100," ")</f>
        <v>31.783664392841892</v>
      </c>
      <c r="BN100" s="26">
        <f>IFERROR($AC100*HDF_Limited_Col!BN100/HDF_Limited_Col!$AH100," ")</f>
        <v>102.00338805144608</v>
      </c>
      <c r="BO100" s="26">
        <f>IFERROR($AC100*HDF_Limited_Col!BO100/HDF_Limited_Col!$AH100," ")</f>
        <v>12.196057267020727</v>
      </c>
      <c r="BP100" s="26">
        <f>IFERROR($AC100*HDF_Limited_Col!BP100/HDF_Limited_Col!$AH100," ")</f>
        <v>4.0653524223402417</v>
      </c>
      <c r="BQ100" s="26">
        <f>IFERROR($AC100*HDF_Limited_Col!BQ100/HDF_Limited_Col!$AH100," ")</f>
        <v>7.3915498588004409</v>
      </c>
      <c r="BR100" s="26">
        <f>IFERROR($AC100*HDF_Limited_Col!BR100/HDF_Limited_Col!$AH100," ")</f>
        <v>5.1740849011603087</v>
      </c>
      <c r="BS100" s="26">
        <f>IFERROR($AC100*HDF_Limited_Col!BS100/HDF_Limited_Col!$AH100," ")</f>
        <v>2.9566199435201765</v>
      </c>
      <c r="BT100" s="26">
        <f>IFERROR($AC100*HDF_Limited_Col!BT100/HDF_Limited_Col!$AH100," ")</f>
        <v>3.6957749294002205</v>
      </c>
      <c r="BU100" s="26">
        <f>IFERROR($AC100*HDF_Limited_Col!BU100/HDF_Limited_Col!$AH100," ")</f>
        <v>0</v>
      </c>
      <c r="BV100" s="26">
        <f>IFERROR($AC100*HDF_Limited_Col!BV100/HDF_Limited_Col!$AH100," ")</f>
        <v>1.8478874647001102</v>
      </c>
      <c r="BW100" s="26">
        <f>IFERROR($AC100*HDF_Limited_Col!BW100/HDF_Limited_Col!$AH100," ")</f>
        <v>1.8478874647001102</v>
      </c>
      <c r="BX100" s="26">
        <f>IFERROR($AC100*HDF_Limited_Col!BX100/HDF_Limited_Col!$AH100," ")</f>
        <v>4.4349299152802644</v>
      </c>
      <c r="BY100" s="26">
        <f>IFERROR($AC100*HDF_Limited_Col!BY100/HDF_Limited_Col!$AH100," ")</f>
        <v>6.2828173799803748</v>
      </c>
      <c r="BZ100" s="26">
        <f>IFERROR($AC100*HDF_Limited_Col!BZ100/HDF_Limited_Col!$AH100," ")</f>
        <v>0</v>
      </c>
      <c r="CA100" s="26">
        <f>IFERROR($AC100*HDF_Limited_Col!CA100/HDF_Limited_Col!$AH100," ")</f>
        <v>24.022537041101433</v>
      </c>
      <c r="CB100" s="26">
        <f>IFERROR($AC100*HDF_Limited_Col!CB100/HDF_Limited_Col!$AH100," ")</f>
        <v>21.065917097581256</v>
      </c>
      <c r="CC100" s="26">
        <f>IFERROR($AC100*HDF_Limited_Col!CC100/HDF_Limited_Col!$AH100," ")</f>
        <v>5.1740849011603087</v>
      </c>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row>
    <row r="101" spans="1:109">
      <c r="A101" s="26" t="s">
        <v>672</v>
      </c>
      <c r="B101" s="26" t="s">
        <v>24</v>
      </c>
      <c r="C101" s="154" t="s">
        <v>1801</v>
      </c>
      <c r="D101" s="26" t="s">
        <v>1723</v>
      </c>
      <c r="E101" s="26" t="s">
        <v>237</v>
      </c>
      <c r="F101" s="26" t="s">
        <v>29</v>
      </c>
      <c r="G101" s="26" t="s">
        <v>595</v>
      </c>
      <c r="H101" s="30">
        <v>360</v>
      </c>
      <c r="I101" s="26" t="s">
        <v>735</v>
      </c>
      <c r="J101" s="26" t="s">
        <v>1496</v>
      </c>
      <c r="K101" s="26"/>
      <c r="L101" s="26"/>
      <c r="M101" s="26" t="s">
        <v>85</v>
      </c>
      <c r="N101" s="26">
        <v>31</v>
      </c>
      <c r="O101" s="95">
        <v>11.072012433062095</v>
      </c>
      <c r="P101" s="95">
        <v>1.8930890019560882</v>
      </c>
      <c r="Q101" s="95">
        <v>4.3592211612610461</v>
      </c>
      <c r="R101" s="95">
        <v>25.9813674376568</v>
      </c>
      <c r="S101" s="95">
        <v>14.858190436974272</v>
      </c>
      <c r="T101" s="95">
        <v>20.731882799800193</v>
      </c>
      <c r="U101" s="95">
        <v>0</v>
      </c>
      <c r="V101" s="95">
        <v>5.8225277952054828</v>
      </c>
      <c r="W101" s="95">
        <v>11.655288503935052</v>
      </c>
      <c r="X101" s="95">
        <v>1.7088965585225231</v>
      </c>
      <c r="Y101" s="95">
        <v>2.4763650728290449</v>
      </c>
      <c r="Z101" s="95">
        <v>100.5588412012026</v>
      </c>
      <c r="AA101" s="26"/>
      <c r="AB101" s="26"/>
      <c r="AC101" s="26">
        <f t="shared" si="2"/>
        <v>96754.897842764127</v>
      </c>
      <c r="AD101" s="26">
        <f>IFERROR($AC101*HDF_Limited_Col!AD101/HDF_Limited_Col!$AH101," ")</f>
        <v>44170.714232566235</v>
      </c>
      <c r="AE101" s="26">
        <f>IFERROR($AC101*HDF_Limited_Col!AE101/HDF_Limited_Col!$AH101," ")</f>
        <v>55213.392790707789</v>
      </c>
      <c r="AF101" s="26">
        <f>IFERROR($AC101*HDF_Limited_Col!AF101/HDF_Limited_Col!$AH101," ")</f>
        <v>7887.6275415296841</v>
      </c>
      <c r="AG101" s="26">
        <f>IFERROR($AC101*HDF_Limited_Col!AG101/HDF_Limited_Col!$AH101," ")</f>
        <v>0</v>
      </c>
      <c r="AH101" s="26">
        <f>IFERROR($AC101*HDF_Limited_Col!AH101/HDF_Limited_Col!$AH101," ")</f>
        <v>96754.897842764127</v>
      </c>
      <c r="AI101" s="26">
        <f>IFERROR($AC101*HDF_Limited_Col!AI101/HDF_Limited_Col!$AH101," ")</f>
        <v>85011.096836486598</v>
      </c>
      <c r="AJ101" s="26">
        <f>IFERROR($AC101*HDF_Limited_Col!AJ101/HDF_Limited_Col!$AH101," ")</f>
        <v>9805.1974371815686</v>
      </c>
      <c r="AK101" s="26">
        <f>IFERROR($AC101*HDF_Limited_Col!AK101/HDF_Limited_Col!$AH101," ")</f>
        <v>0</v>
      </c>
      <c r="AL101" s="26">
        <f>IFERROR($AC101*HDF_Limited_Col!AL101/HDF_Limited_Col!$AH101," ")</f>
        <v>1109.5262741751756</v>
      </c>
      <c r="AM101" s="26">
        <f>IFERROR($AC101*HDF_Limited_Col!AM101/HDF_Limited_Col!$AH101," ")</f>
        <v>111829.03047768753</v>
      </c>
      <c r="AN101" s="26">
        <f>IFERROR($AC101*HDF_Limited_Col!AN101/HDF_Limited_Col!$AH101," ")</f>
        <v>179.48734672280881</v>
      </c>
      <c r="AO101" s="26">
        <f>IFERROR($AC101*HDF_Limited_Col!AO101/HDF_Limited_Col!$AH101," ")</f>
        <v>597.70688703591611</v>
      </c>
      <c r="AP101" s="26">
        <f>IFERROR($AC101*HDF_Limited_Col!AP101/HDF_Limited_Col!$AH101," ")</f>
        <v>0</v>
      </c>
      <c r="AQ101" s="26">
        <f>IFERROR($AC101*HDF_Limited_Col!AQ101/HDF_Limited_Col!$AH101," ")</f>
        <v>68.88528052935925</v>
      </c>
      <c r="AR101" s="26">
        <f>IFERROR($AC101*HDF_Limited_Col!AR101/HDF_Limited_Col!$AH101," ")</f>
        <v>16.47637753119534</v>
      </c>
      <c r="AS101" s="26">
        <f>IFERROR($AC101*HDF_Limited_Col!AS101/HDF_Limited_Col!$AH101," ")</f>
        <v>0</v>
      </c>
      <c r="AT101" s="26">
        <f>IFERROR($AC101*HDF_Limited_Col!AT101/HDF_Limited_Col!$AH101," ")</f>
        <v>0</v>
      </c>
      <c r="AU101" s="26">
        <f>IFERROR($AC101*HDF_Limited_Col!AU101/HDF_Limited_Col!$AH101," ")</f>
        <v>0</v>
      </c>
      <c r="AV101" s="26">
        <f>IFERROR($AC101*HDF_Limited_Col!AV101/HDF_Limited_Col!$AH101," ")</f>
        <v>0</v>
      </c>
      <c r="AW101" s="26">
        <f>IFERROR($AC101*HDF_Limited_Col!AW101/HDF_Limited_Col!$AH101," ")</f>
        <v>0</v>
      </c>
      <c r="AX101" s="26">
        <f>IFERROR($AC101*HDF_Limited_Col!AX101/HDF_Limited_Col!$AH101," ")</f>
        <v>378.60612199342484</v>
      </c>
      <c r="AY101" s="26">
        <f>IFERROR($AC101*HDF_Limited_Col!AY101/HDF_Limited_Col!$AH101," ")</f>
        <v>2879.8604557185049</v>
      </c>
      <c r="AZ101" s="26">
        <f>IFERROR($AC101*HDF_Limited_Col!AZ101/HDF_Limited_Col!$AH101," ")</f>
        <v>15.775255083059369</v>
      </c>
      <c r="BA101" s="26">
        <f>IFERROR($AC101*HDF_Limited_Col!BA101/HDF_Limited_Col!$AH101," ")</f>
        <v>161.95928551940952</v>
      </c>
      <c r="BB101" s="26">
        <f>IFERROR($AC101*HDF_Limited_Col!BB101/HDF_Limited_Col!$AH101," ")</f>
        <v>0</v>
      </c>
      <c r="BC101" s="26">
        <f>IFERROR($AC101*HDF_Limited_Col!BC101/HDF_Limited_Col!$AH101," ")</f>
        <v>676.40788183917891</v>
      </c>
      <c r="BD101" s="26">
        <f>IFERROR($AC101*HDF_Limited_Col!BD101/HDF_Limited_Col!$AH101," ")</f>
        <v>0</v>
      </c>
      <c r="BE101" s="26">
        <f>IFERROR($AC101*HDF_Limited_Col!BE101/HDF_Limited_Col!$AH101," ")</f>
        <v>0</v>
      </c>
      <c r="BF101" s="26">
        <f>IFERROR($AC101*HDF_Limited_Col!BF101/HDF_Limited_Col!$AH101," ")</f>
        <v>0</v>
      </c>
      <c r="BG101" s="26">
        <f>IFERROR($AC101*HDF_Limited_Col!BG101/HDF_Limited_Col!$AH101," ")</f>
        <v>0</v>
      </c>
      <c r="BH101" s="26">
        <f>IFERROR($AC101*HDF_Limited_Col!BH101/HDF_Limited_Col!$AH101," ")</f>
        <v>5.6089795850877753</v>
      </c>
      <c r="BI101" s="26">
        <f>IFERROR($AC101*HDF_Limited_Col!BI101/HDF_Limited_Col!$AH101," ")</f>
        <v>6101.5181049032963</v>
      </c>
      <c r="BJ101" s="26">
        <f>IFERROR($AC101*HDF_Limited_Col!BJ101/HDF_Limited_Col!$AH101," ")</f>
        <v>178.78622427467286</v>
      </c>
      <c r="BK101" s="26">
        <f>IFERROR($AC101*HDF_Limited_Col!BK101/HDF_Limited_Col!$AH101," ")</f>
        <v>378.60612199342484</v>
      </c>
      <c r="BL101" s="26">
        <f>IFERROR($AC101*HDF_Limited_Col!BL101/HDF_Limited_Col!$AH101," ")</f>
        <v>557.39234626809775</v>
      </c>
      <c r="BM101" s="26">
        <f>IFERROR($AC101*HDF_Limited_Col!BM101/HDF_Limited_Col!$AH101," ")</f>
        <v>61.523494823931536</v>
      </c>
      <c r="BN101" s="26">
        <f>IFERROR($AC101*HDF_Limited_Col!BN101/HDF_Limited_Col!$AH101," ")</f>
        <v>208.93448954451964</v>
      </c>
      <c r="BO101" s="26">
        <f>IFERROR($AC101*HDF_Limited_Col!BO101/HDF_Limited_Col!$AH101," ")</f>
        <v>22.435918340351101</v>
      </c>
      <c r="BP101" s="26">
        <f>IFERROR($AC101*HDF_Limited_Col!BP101/HDF_Limited_Col!$AH101," ")</f>
        <v>3.8561734647478452</v>
      </c>
      <c r="BQ101" s="26">
        <f>IFERROR($AC101*HDF_Limited_Col!BQ101/HDF_Limited_Col!$AH101," ")</f>
        <v>8.0629081535636775</v>
      </c>
      <c r="BR101" s="26">
        <f>IFERROR($AC101*HDF_Limited_Col!BR101/HDF_Limited_Col!$AH101," ")</f>
        <v>3.5056122406798598</v>
      </c>
      <c r="BS101" s="26">
        <f>IFERROR($AC101*HDF_Limited_Col!BS101/HDF_Limited_Col!$AH101," ")</f>
        <v>0.87640306016996494</v>
      </c>
      <c r="BT101" s="26">
        <f>IFERROR($AC101*HDF_Limited_Col!BT101/HDF_Limited_Col!$AH101," ")</f>
        <v>2.103367344407916</v>
      </c>
      <c r="BU101" s="26">
        <f>IFERROR($AC101*HDF_Limited_Col!BU101/HDF_Limited_Col!$AH101," ")</f>
        <v>0</v>
      </c>
      <c r="BV101" s="26">
        <f>IFERROR($AC101*HDF_Limited_Col!BV101/HDF_Limited_Col!$AH101," ")</f>
        <v>0.87640306016996494</v>
      </c>
      <c r="BW101" s="26">
        <f>IFERROR($AC101*HDF_Limited_Col!BW101/HDF_Limited_Col!$AH101," ")</f>
        <v>0.17528061203399298</v>
      </c>
      <c r="BX101" s="26">
        <f>IFERROR($AC101*HDF_Limited_Col!BX101/HDF_Limited_Col!$AH101," ")</f>
        <v>4.2067346888158319</v>
      </c>
      <c r="BY101" s="26">
        <f>IFERROR($AC101*HDF_Limited_Col!BY101/HDF_Limited_Col!$AH101," ")</f>
        <v>32.426913226288704</v>
      </c>
      <c r="BZ101" s="26">
        <f>IFERROR($AC101*HDF_Limited_Col!BZ101/HDF_Limited_Col!$AH101," ")</f>
        <v>0</v>
      </c>
      <c r="CA101" s="26">
        <f>IFERROR($AC101*HDF_Limited_Col!CA101/HDF_Limited_Col!$AH101," ")</f>
        <v>85.361658060554589</v>
      </c>
      <c r="CB101" s="26">
        <f>IFERROR($AC101*HDF_Limited_Col!CB101/HDF_Limited_Col!$AH101," ")</f>
        <v>48.202168309348075</v>
      </c>
      <c r="CC101" s="26">
        <f>IFERROR($AC101*HDF_Limited_Col!CC101/HDF_Limited_Col!$AH101," ")</f>
        <v>10.867397946107564</v>
      </c>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row>
    <row r="102" spans="1:109">
      <c r="A102" s="26" t="s">
        <v>672</v>
      </c>
      <c r="B102" s="26" t="s">
        <v>24</v>
      </c>
      <c r="C102" s="154" t="s">
        <v>1801</v>
      </c>
      <c r="D102" s="26" t="s">
        <v>1723</v>
      </c>
      <c r="E102" s="26" t="s">
        <v>237</v>
      </c>
      <c r="F102" s="26" t="s">
        <v>29</v>
      </c>
      <c r="G102" s="26" t="s">
        <v>595</v>
      </c>
      <c r="H102" s="30">
        <v>360</v>
      </c>
      <c r="I102" s="26" t="s">
        <v>735</v>
      </c>
      <c r="J102" s="26" t="s">
        <v>1496</v>
      </c>
      <c r="K102" s="26"/>
      <c r="L102" s="26"/>
      <c r="M102" s="26" t="s">
        <v>88</v>
      </c>
      <c r="N102" s="26">
        <v>24</v>
      </c>
      <c r="O102" s="95">
        <v>19.235485931625512</v>
      </c>
      <c r="P102" s="95">
        <v>3.6143110508468324</v>
      </c>
      <c r="Q102" s="95">
        <v>7.0754733283526967</v>
      </c>
      <c r="R102" s="95">
        <v>27.250271736469479</v>
      </c>
      <c r="S102" s="95">
        <v>10.648944706308603</v>
      </c>
      <c r="T102" s="95">
        <v>15.723274063005993</v>
      </c>
      <c r="U102" s="95">
        <v>0</v>
      </c>
      <c r="V102" s="95">
        <v>3.0731853850420805</v>
      </c>
      <c r="W102" s="95">
        <v>11.067551353440582</v>
      </c>
      <c r="X102" s="95">
        <v>1.694846424973373</v>
      </c>
      <c r="Y102" s="95">
        <v>0.7963736213730308</v>
      </c>
      <c r="Z102" s="95">
        <v>100.17971760143818</v>
      </c>
      <c r="AA102" s="26"/>
      <c r="AB102" s="26"/>
      <c r="AC102" s="26">
        <f t="shared" si="2"/>
        <v>91875.872502868806</v>
      </c>
      <c r="AD102" s="26">
        <f>IFERROR($AC102*HDF_Limited_Col!AD102/HDF_Limited_Col!$AH102," ")</f>
        <v>27809.670036229028</v>
      </c>
      <c r="AE102" s="26">
        <f>IFERROR($AC102*HDF_Limited_Col!AE102/HDF_Limited_Col!$AH102," ")</f>
        <v>49511.608802818977</v>
      </c>
      <c r="AF102" s="26">
        <f>IFERROR($AC102*HDF_Limited_Col!AF102/HDF_Limited_Col!$AH102," ")</f>
        <v>10266.186602159314</v>
      </c>
      <c r="AG102" s="26">
        <f>IFERROR($AC102*HDF_Limited_Col!AG102/HDF_Limited_Col!$AH102," ")</f>
        <v>0</v>
      </c>
      <c r="AH102" s="26">
        <f>IFERROR($AC102*HDF_Limited_Col!AH102/HDF_Limited_Col!$AH102," ")</f>
        <v>91875.872502868806</v>
      </c>
      <c r="AI102" s="26">
        <f>IFERROR($AC102*HDF_Limited_Col!AI102/HDF_Limited_Col!$AH102," ")</f>
        <v>57438.66428043566</v>
      </c>
      <c r="AJ102" s="26">
        <f>IFERROR($AC102*HDF_Limited_Col!AJ102/HDF_Limited_Col!$AH102," ")</f>
        <v>16342.7294568045</v>
      </c>
      <c r="AK102" s="26">
        <f>IFERROR($AC102*HDF_Limited_Col!AK102/HDF_Limited_Col!$AH102," ")</f>
        <v>0</v>
      </c>
      <c r="AL102" s="26">
        <f>IFERROR($AC102*HDF_Limited_Col!AL102/HDF_Limited_Col!$AH102," ")</f>
        <v>673.14995695171206</v>
      </c>
      <c r="AM102" s="26">
        <f>IFERROR($AC102*HDF_Limited_Col!AM102/HDF_Limited_Col!$AH102," ")</f>
        <v>83688.913566969612</v>
      </c>
      <c r="AN102" s="26">
        <f>IFERROR($AC102*HDF_Limited_Col!AN102/HDF_Limited_Col!$AH102," ")</f>
        <v>78.230940943036799</v>
      </c>
      <c r="AO102" s="26">
        <f>IFERROR($AC102*HDF_Limited_Col!AO102/HDF_Limited_Col!$AH102," ")</f>
        <v>311.88414993901716</v>
      </c>
      <c r="AP102" s="26">
        <f>IFERROR($AC102*HDF_Limited_Col!AP102/HDF_Limited_Col!$AH102," ")</f>
        <v>0</v>
      </c>
      <c r="AQ102" s="26">
        <f>IFERROR($AC102*HDF_Limited_Col!AQ102/HDF_Limited_Col!$AH102," ")</f>
        <v>41.844456783484809</v>
      </c>
      <c r="AR102" s="26">
        <f>IFERROR($AC102*HDF_Limited_Col!AR102/HDF_Limited_Col!$AH102," ")</f>
        <v>23.781166432850057</v>
      </c>
      <c r="AS102" s="26">
        <f>IFERROR($AC102*HDF_Limited_Col!AS102/HDF_Limited_Col!$AH102," ")</f>
        <v>0</v>
      </c>
      <c r="AT102" s="26">
        <f>IFERROR($AC102*HDF_Limited_Col!AT102/HDF_Limited_Col!$AH102," ")</f>
        <v>0</v>
      </c>
      <c r="AU102" s="26">
        <f>IFERROR($AC102*HDF_Limited_Col!AU102/HDF_Limited_Col!$AH102," ")</f>
        <v>0</v>
      </c>
      <c r="AV102" s="26">
        <f>IFERROR($AC102*HDF_Limited_Col!AV102/HDF_Limited_Col!$AH102," ")</f>
        <v>0</v>
      </c>
      <c r="AW102" s="26">
        <f>IFERROR($AC102*HDF_Limited_Col!AW102/HDF_Limited_Col!$AH102," ")</f>
        <v>0</v>
      </c>
      <c r="AX102" s="26">
        <f>IFERROR($AC102*HDF_Limited_Col!AX102/HDF_Limited_Col!$AH102," ")</f>
        <v>363.86484159551998</v>
      </c>
      <c r="AY102" s="26">
        <f>IFERROR($AC102*HDF_Limited_Col!AY102/HDF_Limited_Col!$AH102," ")</f>
        <v>2410.6045755703203</v>
      </c>
      <c r="AZ102" s="26">
        <f>IFERROR($AC102*HDF_Limited_Col!AZ102/HDF_Limited_Col!$AH102," ")</f>
        <v>23.651214703708799</v>
      </c>
      <c r="BA102" s="26">
        <f>IFERROR($AC102*HDF_Limited_Col!BA102/HDF_Limited_Col!$AH102," ")</f>
        <v>339.04406132953989</v>
      </c>
      <c r="BB102" s="26">
        <f>IFERROR($AC102*HDF_Limited_Col!BB102/HDF_Limited_Col!$AH102," ")</f>
        <v>0</v>
      </c>
      <c r="BC102" s="26">
        <f>IFERROR($AC102*HDF_Limited_Col!BC102/HDF_Limited_Col!$AH102," ")</f>
        <v>1021.2906393211399</v>
      </c>
      <c r="BD102" s="26">
        <f>IFERROR($AC102*HDF_Limited_Col!BD102/HDF_Limited_Col!$AH102," ")</f>
        <v>0</v>
      </c>
      <c r="BE102" s="26">
        <f>IFERROR($AC102*HDF_Limited_Col!BE102/HDF_Limited_Col!$AH102," ")</f>
        <v>0</v>
      </c>
      <c r="BF102" s="26">
        <f>IFERROR($AC102*HDF_Limited_Col!BF102/HDF_Limited_Col!$AH102," ")</f>
        <v>0</v>
      </c>
      <c r="BG102" s="26">
        <f>IFERROR($AC102*HDF_Limited_Col!BG102/HDF_Limited_Col!$AH102," ")</f>
        <v>0</v>
      </c>
      <c r="BH102" s="26">
        <f>IFERROR($AC102*HDF_Limited_Col!BH102/HDF_Limited_Col!$AH102," ")</f>
        <v>4.5483105199440006</v>
      </c>
      <c r="BI102" s="26">
        <f>IFERROR($AC102*HDF_Limited_Col!BI102/HDF_Limited_Col!$AH102," ")</f>
        <v>5400.7938631106472</v>
      </c>
      <c r="BJ102" s="26">
        <f>IFERROR($AC102*HDF_Limited_Col!BJ102/HDF_Limited_Col!$AH102," ")</f>
        <v>87.067658524642297</v>
      </c>
      <c r="BK102" s="26">
        <f>IFERROR($AC102*HDF_Limited_Col!BK102/HDF_Limited_Col!$AH102," ")</f>
        <v>436.63780991462403</v>
      </c>
      <c r="BL102" s="26">
        <f>IFERROR($AC102*HDF_Limited_Col!BL102/HDF_Limited_Col!$AH102," ")</f>
        <v>626.36733446085952</v>
      </c>
      <c r="BM102" s="26">
        <f>IFERROR($AC102*HDF_Limited_Col!BM102/HDF_Limited_Col!$AH102," ")</f>
        <v>68.874416444866299</v>
      </c>
      <c r="BN102" s="26">
        <f>IFERROR($AC102*HDF_Limited_Col!BN102/HDF_Limited_Col!$AH102," ")</f>
        <v>230.01456058002518</v>
      </c>
      <c r="BO102" s="26">
        <f>IFERROR($AC102*HDF_Limited_Col!BO102/HDF_Limited_Col!$AH102," ")</f>
        <v>21.182131850024916</v>
      </c>
      <c r="BP102" s="26">
        <f>IFERROR($AC102*HDF_Limited_Col!BP102/HDF_Limited_Col!$AH102," ")</f>
        <v>5.5879243530740572</v>
      </c>
      <c r="BQ102" s="26">
        <f>IFERROR($AC102*HDF_Limited_Col!BQ102/HDF_Limited_Col!$AH102," ")</f>
        <v>14.684545392962058</v>
      </c>
      <c r="BR102" s="26">
        <f>IFERROR($AC102*HDF_Limited_Col!BR102/HDF_Limited_Col!$AH102," ")</f>
        <v>7.0173933736278862</v>
      </c>
      <c r="BS102" s="26">
        <f>IFERROR($AC102*HDF_Limited_Col!BS102/HDF_Limited_Col!$AH102," ")</f>
        <v>1.1695655622713144</v>
      </c>
      <c r="BT102" s="26">
        <f>IFERROR($AC102*HDF_Limited_Col!BT102/HDF_Limited_Col!$AH102," ")</f>
        <v>1.8193242079776</v>
      </c>
      <c r="BU102" s="26">
        <f>IFERROR($AC102*HDF_Limited_Col!BU102/HDF_Limited_Col!$AH102," ")</f>
        <v>0</v>
      </c>
      <c r="BV102" s="26">
        <f>IFERROR($AC102*HDF_Limited_Col!BV102/HDF_Limited_Col!$AH102," ")</f>
        <v>0.64975864570628583</v>
      </c>
      <c r="BW102" s="26">
        <f>IFERROR($AC102*HDF_Limited_Col!BW102/HDF_Limited_Col!$AH102," ")</f>
        <v>0.25990345828251427</v>
      </c>
      <c r="BX102" s="26">
        <f>IFERROR($AC102*HDF_Limited_Col!BX102/HDF_Limited_Col!$AH102," ")</f>
        <v>8.4468623941817143</v>
      </c>
      <c r="BY102" s="26">
        <f>IFERROR($AC102*HDF_Limited_Col!BY102/HDF_Limited_Col!$AH102," ")</f>
        <v>40.804842950354747</v>
      </c>
      <c r="BZ102" s="26">
        <f>IFERROR($AC102*HDF_Limited_Col!BZ102/HDF_Limited_Col!$AH102," ")</f>
        <v>0</v>
      </c>
      <c r="CA102" s="26">
        <f>IFERROR($AC102*HDF_Limited_Col!CA102/HDF_Limited_Col!$AH102," ")</f>
        <v>25.600490640827658</v>
      </c>
      <c r="CB102" s="26">
        <f>IFERROR($AC102*HDF_Limited_Col!CB102/HDF_Limited_Col!$AH102," ")</f>
        <v>64.975864570628573</v>
      </c>
      <c r="CC102" s="26">
        <f>IFERROR($AC102*HDF_Limited_Col!CC102/HDF_Limited_Col!$AH102," ")</f>
        <v>13.904835018114515</v>
      </c>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row>
    <row r="103" spans="1:109">
      <c r="A103" s="26" t="s">
        <v>672</v>
      </c>
      <c r="B103" s="26" t="s">
        <v>24</v>
      </c>
      <c r="C103" s="154" t="s">
        <v>1801</v>
      </c>
      <c r="D103" s="26" t="s">
        <v>1723</v>
      </c>
      <c r="E103" s="26" t="s">
        <v>237</v>
      </c>
      <c r="F103" s="26" t="s">
        <v>29</v>
      </c>
      <c r="G103" s="26" t="s">
        <v>595</v>
      </c>
      <c r="H103" s="30">
        <v>360</v>
      </c>
      <c r="I103" s="26" t="s">
        <v>735</v>
      </c>
      <c r="J103" s="26" t="s">
        <v>1496</v>
      </c>
      <c r="K103" s="26"/>
      <c r="L103" s="26"/>
      <c r="M103" s="26" t="s">
        <v>92</v>
      </c>
      <c r="N103" s="26">
        <v>43</v>
      </c>
      <c r="O103" s="95">
        <v>8.8782209539015717</v>
      </c>
      <c r="P103" s="95">
        <v>2.1711872066442104</v>
      </c>
      <c r="Q103" s="95">
        <v>4.1811476405178114</v>
      </c>
      <c r="R103" s="95">
        <v>37.318623670637116</v>
      </c>
      <c r="S103" s="95">
        <v>11.705063703146264</v>
      </c>
      <c r="T103" s="95">
        <v>16.316149404385698</v>
      </c>
      <c r="U103" s="95">
        <v>0</v>
      </c>
      <c r="V103" s="95">
        <v>3.2137870038941529</v>
      </c>
      <c r="W103" s="95">
        <v>10.597973196788075</v>
      </c>
      <c r="X103" s="95">
        <v>2.396904688523064</v>
      </c>
      <c r="Y103" s="95">
        <v>4.15965073748173</v>
      </c>
      <c r="Z103" s="95">
        <v>100.9387082059197</v>
      </c>
      <c r="AA103" s="26"/>
      <c r="AB103" s="26"/>
      <c r="AC103" s="26">
        <f t="shared" si="2"/>
        <v>87977.729049725851</v>
      </c>
      <c r="AD103" s="26">
        <f>IFERROR($AC103*HDF_Limited_Col!AD103/HDF_Limited_Col!$AH103," ")</f>
        <v>24749.778721681119</v>
      </c>
      <c r="AE103" s="26">
        <f>IFERROR($AC103*HDF_Limited_Col!AE103/HDF_Limited_Col!$AH103," ")</f>
        <v>40411.748068994952</v>
      </c>
      <c r="AF103" s="26">
        <f>IFERROR($AC103*HDF_Limited_Col!AF103/HDF_Limited_Col!$AH103," ")</f>
        <v>5800.7293878940118</v>
      </c>
      <c r="AG103" s="26">
        <f>IFERROR($AC103*HDF_Limited_Col!AG103/HDF_Limited_Col!$AH103," ")</f>
        <v>0</v>
      </c>
      <c r="AH103" s="26">
        <f>IFERROR($AC103*HDF_Limited_Col!AH103/HDF_Limited_Col!$AH103," ")</f>
        <v>87977.729049725851</v>
      </c>
      <c r="AI103" s="26">
        <f>IFERROR($AC103*HDF_Limited_Col!AI103/HDF_Limited_Col!$AH103," ")</f>
        <v>93005.02785256732</v>
      </c>
      <c r="AJ103" s="26">
        <f>IFERROR($AC103*HDF_Limited_Col!AJ103/HDF_Limited_Col!$AH103," ")</f>
        <v>8751.3670698694314</v>
      </c>
      <c r="AK103" s="26">
        <f>IFERROR($AC103*HDF_Limited_Col!AK103/HDF_Limited_Col!$AH103," ")</f>
        <v>0</v>
      </c>
      <c r="AL103" s="26">
        <f>IFERROR($AC103*HDF_Limited_Col!AL103/HDF_Limited_Col!$AH103," ")</f>
        <v>926.18312560041068</v>
      </c>
      <c r="AM103" s="26">
        <f>IFERROR($AC103*HDF_Limited_Col!AM103/HDF_Limited_Col!$AH103," ")</f>
        <v>66515.030314518008</v>
      </c>
      <c r="AN103" s="26">
        <f>IFERROR($AC103*HDF_Limited_Col!AN103/HDF_Limited_Col!$AH103," ")</f>
        <v>145.59830763613971</v>
      </c>
      <c r="AO103" s="26">
        <f>IFERROR($AC103*HDF_Limited_Col!AO103/HDF_Limited_Col!$AH103," ")</f>
        <v>222.3612932026038</v>
      </c>
      <c r="AP103" s="26">
        <f>IFERROR($AC103*HDF_Limited_Col!AP103/HDF_Limited_Col!$AH103," ")</f>
        <v>0</v>
      </c>
      <c r="AQ103" s="26">
        <f>IFERROR($AC103*HDF_Limited_Col!AQ103/HDF_Limited_Col!$AH103," ")</f>
        <v>40.991821007784345</v>
      </c>
      <c r="AR103" s="26">
        <f>IFERROR($AC103*HDF_Limited_Col!AR103/HDF_Limited_Col!$AH103," ")</f>
        <v>18.949049333787109</v>
      </c>
      <c r="AS103" s="26">
        <f>IFERROR($AC103*HDF_Limited_Col!AS103/HDF_Limited_Col!$AH103," ")</f>
        <v>0</v>
      </c>
      <c r="AT103" s="26">
        <f>IFERROR($AC103*HDF_Limited_Col!AT103/HDF_Limited_Col!$AH103," ")</f>
        <v>0</v>
      </c>
      <c r="AU103" s="26">
        <f>IFERROR($AC103*HDF_Limited_Col!AU103/HDF_Limited_Col!$AH103," ")</f>
        <v>0</v>
      </c>
      <c r="AV103" s="26">
        <f>IFERROR($AC103*HDF_Limited_Col!AV103/HDF_Limited_Col!$AH103," ")</f>
        <v>0</v>
      </c>
      <c r="AW103" s="26">
        <f>IFERROR($AC103*HDF_Limited_Col!AW103/HDF_Limited_Col!$AH103," ")</f>
        <v>0</v>
      </c>
      <c r="AX103" s="26">
        <f>IFERROR($AC103*HDF_Limited_Col!AX103/HDF_Limited_Col!$AH103," ")</f>
        <v>286.16931646943789</v>
      </c>
      <c r="AY103" s="26">
        <f>IFERROR($AC103*HDF_Limited_Col!AY103/HDF_Limited_Col!$AH103," ")</f>
        <v>3024.1135875554114</v>
      </c>
      <c r="AZ103" s="26">
        <f>IFERROR($AC103*HDF_Limited_Col!AZ103/HDF_Limited_Col!$AH103," ")</f>
        <v>24.363063429154852</v>
      </c>
      <c r="BA103" s="26">
        <f>IFERROR($AC103*HDF_Limited_Col!BA103/HDF_Limited_Col!$AH103," ")</f>
        <v>194.13107684818627</v>
      </c>
      <c r="BB103" s="26">
        <f>IFERROR($AC103*HDF_Limited_Col!BB103/HDF_Limited_Col!$AH103," ")</f>
        <v>0</v>
      </c>
      <c r="BC103" s="26">
        <f>IFERROR($AC103*HDF_Limited_Col!BC103/HDF_Limited_Col!$AH103," ")</f>
        <v>423.25988766999978</v>
      </c>
      <c r="BD103" s="26">
        <f>IFERROR($AC103*HDF_Limited_Col!BD103/HDF_Limited_Col!$AH103," ")</f>
        <v>0</v>
      </c>
      <c r="BE103" s="26">
        <f>IFERROR($AC103*HDF_Limited_Col!BE103/HDF_Limited_Col!$AH103," ")</f>
        <v>0</v>
      </c>
      <c r="BF103" s="26">
        <f>IFERROR($AC103*HDF_Limited_Col!BF103/HDF_Limited_Col!$AH103," ")</f>
        <v>0</v>
      </c>
      <c r="BG103" s="26">
        <f>IFERROR($AC103*HDF_Limited_Col!BG103/HDF_Limited_Col!$AH103," ")</f>
        <v>0</v>
      </c>
      <c r="BH103" s="26">
        <f>IFERROR($AC103*HDF_Limited_Col!BH103/HDF_Limited_Col!$AH103," ")</f>
        <v>5.4140140953677447</v>
      </c>
      <c r="BI103" s="26">
        <f>IFERROR($AC103*HDF_Limited_Col!BI103/HDF_Limited_Col!$AH103," ")</f>
        <v>6469.7468439644554</v>
      </c>
      <c r="BJ103" s="26">
        <f>IFERROR($AC103*HDF_Limited_Col!BJ103/HDF_Limited_Col!$AH103," ")</f>
        <v>63.034592681781596</v>
      </c>
      <c r="BK103" s="26">
        <f>IFERROR($AC103*HDF_Limited_Col!BK103/HDF_Limited_Col!$AH103," ")</f>
        <v>429.44733235042008</v>
      </c>
      <c r="BL103" s="26">
        <f>IFERROR($AC103*HDF_Limited_Col!BL103/HDF_Limited_Col!$AH103," ")</f>
        <v>636.14665620570997</v>
      </c>
      <c r="BM103" s="26">
        <f>IFERROR($AC103*HDF_Limited_Col!BM103/HDF_Limited_Col!$AH103," ")</f>
        <v>71.542329117359472</v>
      </c>
      <c r="BN103" s="26">
        <f>IFERROR($AC103*HDF_Limited_Col!BN103/HDF_Limited_Col!$AH103," ")</f>
        <v>243.63063429154849</v>
      </c>
      <c r="BO103" s="26">
        <f>IFERROR($AC103*HDF_Limited_Col!BO103/HDF_Limited_Col!$AH103," ")</f>
        <v>24.556421075417983</v>
      </c>
      <c r="BP103" s="26">
        <f>IFERROR($AC103*HDF_Limited_Col!BP103/HDF_Limited_Col!$AH103," ")</f>
        <v>6.3808023266834137</v>
      </c>
      <c r="BQ103" s="26">
        <f>IFERROR($AC103*HDF_Limited_Col!BQ103/HDF_Limited_Col!$AH103," ")</f>
        <v>13.341677592156229</v>
      </c>
      <c r="BR103" s="26">
        <f>IFERROR($AC103*HDF_Limited_Col!BR103/HDF_Limited_Col!$AH103," ")</f>
        <v>5.9940870341571459</v>
      </c>
      <c r="BS103" s="26">
        <f>IFERROR($AC103*HDF_Limited_Col!BS103/HDF_Limited_Col!$AH103," ")</f>
        <v>1.1601458775788025</v>
      </c>
      <c r="BT103" s="26">
        <f>IFERROR($AC103*HDF_Limited_Col!BT103/HDF_Limited_Col!$AH103," ")</f>
        <v>1.7402188163682035</v>
      </c>
      <c r="BU103" s="26">
        <f>IFERROR($AC103*HDF_Limited_Col!BU103/HDF_Limited_Col!$AH103," ")</f>
        <v>0</v>
      </c>
      <c r="BV103" s="26">
        <f>IFERROR($AC103*HDF_Limited_Col!BV103/HDF_Limited_Col!$AH103," ")</f>
        <v>0.77343058505253492</v>
      </c>
      <c r="BW103" s="26">
        <f>IFERROR($AC103*HDF_Limited_Col!BW103/HDF_Limited_Col!$AH103," ")</f>
        <v>0.19335764626313373</v>
      </c>
      <c r="BX103" s="26">
        <f>IFERROR($AC103*HDF_Limited_Col!BX103/HDF_Limited_Col!$AH103," ")</f>
        <v>4.64058351031521</v>
      </c>
      <c r="BY103" s="26">
        <f>IFERROR($AC103*HDF_Limited_Col!BY103/HDF_Limited_Col!$AH103," ")</f>
        <v>12.374889360840559</v>
      </c>
      <c r="BZ103" s="26">
        <f>IFERROR($AC103*HDF_Limited_Col!BZ103/HDF_Limited_Col!$AH103," ")</f>
        <v>0</v>
      </c>
      <c r="CA103" s="26">
        <f>IFERROR($AC103*HDF_Limited_Col!CA103/HDF_Limited_Col!$AH103," ")</f>
        <v>53.560068014888046</v>
      </c>
      <c r="CB103" s="26">
        <f>IFERROR($AC103*HDF_Limited_Col!CB103/HDF_Limited_Col!$AH103," ")</f>
        <v>42.925397470415689</v>
      </c>
      <c r="CC103" s="26">
        <f>IFERROR($AC103*HDF_Limited_Col!CC103/HDF_Limited_Col!$AH103," ")</f>
        <v>8.701094081841017</v>
      </c>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row>
    <row r="104" spans="1:109">
      <c r="A104" s="26" t="s">
        <v>1181</v>
      </c>
      <c r="B104" s="26" t="s">
        <v>24</v>
      </c>
      <c r="C104" s="154" t="s">
        <v>1801</v>
      </c>
      <c r="D104" s="26" t="s">
        <v>831</v>
      </c>
      <c r="E104" s="26" t="s">
        <v>801</v>
      </c>
      <c r="F104" s="26" t="s">
        <v>800</v>
      </c>
      <c r="G104" s="26" t="s">
        <v>829</v>
      </c>
      <c r="H104" s="30"/>
      <c r="I104" s="26" t="s">
        <v>712</v>
      </c>
      <c r="J104" s="26" t="s">
        <v>635</v>
      </c>
      <c r="K104" s="26" t="s">
        <v>1169</v>
      </c>
      <c r="L104" s="26" t="s">
        <v>773</v>
      </c>
      <c r="M104" s="26" t="s">
        <v>787</v>
      </c>
      <c r="N104" s="26">
        <v>37</v>
      </c>
      <c r="O104" s="95">
        <v>19.268517421727058</v>
      </c>
      <c r="P104" s="95">
        <v>1.3503623397747033</v>
      </c>
      <c r="Q104" s="95">
        <v>2.5967952232560836</v>
      </c>
      <c r="R104" s="95">
        <v>13.091801814244022</v>
      </c>
      <c r="S104" s="95">
        <v>7.9743598437073935</v>
      </c>
      <c r="T104" s="95">
        <v>26.177531941636495</v>
      </c>
      <c r="U104" s="95">
        <v>3.709685879609427</v>
      </c>
      <c r="V104" s="95">
        <v>6.0768809185477819</v>
      </c>
      <c r="W104" s="95">
        <v>12.2842916231016</v>
      </c>
      <c r="X104" s="95">
        <v>5.7747267945813929</v>
      </c>
      <c r="Y104" s="95">
        <v>2.1890487352789734</v>
      </c>
      <c r="Z104" s="95">
        <v>100.49400253546493</v>
      </c>
      <c r="AA104" s="26"/>
      <c r="AB104" s="26"/>
      <c r="AC104" s="26">
        <f t="shared" si="2"/>
        <v>101976.48738275639</v>
      </c>
      <c r="AD104" s="26">
        <f>IFERROR($AC104*HDF_Limited_Col!AD104/HDF_Limited_Col!$AH104," ")</f>
        <v>0</v>
      </c>
      <c r="AE104" s="26">
        <f>IFERROR($AC104*HDF_Limited_Col!AE104/HDF_Limited_Col!$AH104," ")</f>
        <v>0</v>
      </c>
      <c r="AF104" s="26">
        <f>IFERROR($AC104*HDF_Limited_Col!AF104/HDF_Limited_Col!$AH104," ")</f>
        <v>0</v>
      </c>
      <c r="AG104" s="26">
        <f>IFERROR($AC104*HDF_Limited_Col!AG104/HDF_Limited_Col!$AH104," ")</f>
        <v>0</v>
      </c>
      <c r="AH104" s="26">
        <f>IFERROR($AC104*HDF_Limited_Col!AH104/HDF_Limited_Col!$AH104," ")</f>
        <v>101976.48738275639</v>
      </c>
      <c r="AI104" s="26">
        <f>IFERROR($AC104*HDF_Limited_Col!AI104/HDF_Limited_Col!$AH104," ")</f>
        <v>0</v>
      </c>
      <c r="AJ104" s="26">
        <f>IFERROR($AC104*HDF_Limited_Col!AJ104/HDF_Limited_Col!$AH104," ")</f>
        <v>41545.976341122972</v>
      </c>
      <c r="AK104" s="26">
        <f>IFERROR($AC104*HDF_Limited_Col!AK104/HDF_Limited_Col!$AH104," ")</f>
        <v>0</v>
      </c>
      <c r="AL104" s="26">
        <f>IFERROR($AC104*HDF_Limited_Col!AL104/HDF_Limited_Col!$AH104," ")</f>
        <v>0</v>
      </c>
      <c r="AM104" s="26">
        <f>IFERROR($AC104*HDF_Limited_Col!AM104/HDF_Limited_Col!$AH104," ")</f>
        <v>0</v>
      </c>
      <c r="AN104" s="26">
        <f>IFERROR($AC104*HDF_Limited_Col!AN104/HDF_Limited_Col!$AH104," ")</f>
        <v>0</v>
      </c>
      <c r="AO104" s="26">
        <f>IFERROR($AC104*HDF_Limited_Col!AO104/HDF_Limited_Col!$AH104," ")</f>
        <v>0</v>
      </c>
      <c r="AP104" s="26">
        <f>IFERROR($AC104*HDF_Limited_Col!AP104/HDF_Limited_Col!$AH104," ")</f>
        <v>0</v>
      </c>
      <c r="AQ104" s="26">
        <f>IFERROR($AC104*HDF_Limited_Col!AQ104/HDF_Limited_Col!$AH104," ")</f>
        <v>0</v>
      </c>
      <c r="AR104" s="26">
        <f>IFERROR($AC104*HDF_Limited_Col!AR104/HDF_Limited_Col!$AH104," ")</f>
        <v>0</v>
      </c>
      <c r="AS104" s="26">
        <f>IFERROR($AC104*HDF_Limited_Col!AS104/HDF_Limited_Col!$AH104," ")</f>
        <v>0</v>
      </c>
      <c r="AT104" s="26">
        <f>IFERROR($AC104*HDF_Limited_Col!AT104/HDF_Limited_Col!$AH104," ")</f>
        <v>0</v>
      </c>
      <c r="AU104" s="26">
        <f>IFERROR($AC104*HDF_Limited_Col!AU104/HDF_Limited_Col!$AH104," ")</f>
        <v>0</v>
      </c>
      <c r="AV104" s="26">
        <f>IFERROR($AC104*HDF_Limited_Col!AV104/HDF_Limited_Col!$AH104," ")</f>
        <v>0</v>
      </c>
      <c r="AW104" s="26">
        <f>IFERROR($AC104*HDF_Limited_Col!AW104/HDF_Limited_Col!$AH104," ")</f>
        <v>0</v>
      </c>
      <c r="AX104" s="26">
        <f>IFERROR($AC104*HDF_Limited_Col!AX104/HDF_Limited_Col!$AH104," ")</f>
        <v>362.58306624980048</v>
      </c>
      <c r="AY104" s="26">
        <f>IFERROR($AC104*HDF_Limited_Col!AY104/HDF_Limited_Col!$AH104," ")</f>
        <v>4079.0594953102559</v>
      </c>
      <c r="AZ104" s="26">
        <f>IFERROR($AC104*HDF_Limited_Col!AZ104/HDF_Limited_Col!$AH104," ")</f>
        <v>158.6300914842877</v>
      </c>
      <c r="BA104" s="26">
        <f>IFERROR($AC104*HDF_Limited_Col!BA104/HDF_Limited_Col!$AH104," ")</f>
        <v>1057.5339432285846</v>
      </c>
      <c r="BB104" s="26">
        <f>IFERROR($AC104*HDF_Limited_Col!BB104/HDF_Limited_Col!$AH104," ")</f>
        <v>0</v>
      </c>
      <c r="BC104" s="26">
        <f>IFERROR($AC104*HDF_Limited_Col!BC104/HDF_Limited_Col!$AH104," ")</f>
        <v>98.199580442654295</v>
      </c>
      <c r="BD104" s="26">
        <f>IFERROR($AC104*HDF_Limited_Col!BD104/HDF_Limited_Col!$AH104," ")</f>
        <v>0</v>
      </c>
      <c r="BE104" s="26">
        <f>IFERROR($AC104*HDF_Limited_Col!BE104/HDF_Limited_Col!$AH104," ")</f>
        <v>0</v>
      </c>
      <c r="BF104" s="26">
        <f>IFERROR($AC104*HDF_Limited_Col!BF104/HDF_Limited_Col!$AH104," ")</f>
        <v>0</v>
      </c>
      <c r="BG104" s="26">
        <f>IFERROR($AC104*HDF_Limited_Col!BG104/HDF_Limited_Col!$AH104," ")</f>
        <v>0</v>
      </c>
      <c r="BH104" s="26">
        <f>IFERROR($AC104*HDF_Limited_Col!BH104/HDF_Limited_Col!$AH104," ")</f>
        <v>7.553813880204177</v>
      </c>
      <c r="BI104" s="26">
        <f>IFERROR($AC104*HDF_Limited_Col!BI104/HDF_Limited_Col!$AH104," ")</f>
        <v>15107.627760408353</v>
      </c>
      <c r="BJ104" s="26">
        <f>IFERROR($AC104*HDF_Limited_Col!BJ104/HDF_Limited_Col!$AH104," ")</f>
        <v>0</v>
      </c>
      <c r="BK104" s="26">
        <f>IFERROR($AC104*HDF_Limited_Col!BK104/HDF_Limited_Col!$AH104," ")</f>
        <v>1284.14835963471</v>
      </c>
      <c r="BL104" s="26">
        <f>IFERROR($AC104*HDF_Limited_Col!BL104/HDF_Limited_Col!$AH104," ")</f>
        <v>1812.9153312490025</v>
      </c>
      <c r="BM104" s="26">
        <f>IFERROR($AC104*HDF_Limited_Col!BM104/HDF_Limited_Col!$AH104," ")</f>
        <v>219.0606025259211</v>
      </c>
      <c r="BN104" s="26">
        <f>IFERROR($AC104*HDF_Limited_Col!BN104/HDF_Limited_Col!$AH104," ")</f>
        <v>981.99580442654292</v>
      </c>
      <c r="BO104" s="26">
        <f>IFERROR($AC104*HDF_Limited_Col!BO104/HDF_Limited_Col!$AH104," ")</f>
        <v>151.07627760408354</v>
      </c>
      <c r="BP104" s="26">
        <f>IFERROR($AC104*HDF_Limited_Col!BP104/HDF_Limited_Col!$AH104," ")</f>
        <v>37.769069401020886</v>
      </c>
      <c r="BQ104" s="26">
        <f>IFERROR($AC104*HDF_Limited_Col!BQ104/HDF_Limited_Col!$AH104," ")</f>
        <v>105.75339432285848</v>
      </c>
      <c r="BR104" s="26">
        <f>IFERROR($AC104*HDF_Limited_Col!BR104/HDF_Limited_Col!$AH104," ")</f>
        <v>46.078264669245478</v>
      </c>
      <c r="BS104" s="26">
        <f>IFERROR($AC104*HDF_Limited_Col!BS104/HDF_Limited_Col!$AH104," ")</f>
        <v>7.553813880204177</v>
      </c>
      <c r="BT104" s="26">
        <f>IFERROR($AC104*HDF_Limited_Col!BT104/HDF_Limited_Col!$AH104," ")</f>
        <v>17.373771924469604</v>
      </c>
      <c r="BU104" s="26">
        <f>IFERROR($AC104*HDF_Limited_Col!BU104/HDF_Limited_Col!$AH104," ")</f>
        <v>0</v>
      </c>
      <c r="BV104" s="26">
        <f>IFERROR($AC104*HDF_Limited_Col!BV104/HDF_Limited_Col!$AH104," ")</f>
        <v>8.3091952682245953</v>
      </c>
      <c r="BW104" s="26">
        <f>IFERROR($AC104*HDF_Limited_Col!BW104/HDF_Limited_Col!$AH104," ")</f>
        <v>1.5107627760408353</v>
      </c>
      <c r="BX104" s="26">
        <f>IFERROR($AC104*HDF_Limited_Col!BX104/HDF_Limited_Col!$AH104," ")</f>
        <v>27.949111356755452</v>
      </c>
      <c r="BY104" s="26">
        <f>IFERROR($AC104*HDF_Limited_Col!BY104/HDF_Limited_Col!$AH104," ")</f>
        <v>6.0430511041633412</v>
      </c>
      <c r="BZ104" s="26">
        <f>IFERROR($AC104*HDF_Limited_Col!BZ104/HDF_Limited_Col!$AH104," ")</f>
        <v>0</v>
      </c>
      <c r="CA104" s="26">
        <f>IFERROR($AC104*HDF_Limited_Col!CA104/HDF_Limited_Col!$AH104," ")</f>
        <v>0</v>
      </c>
      <c r="CB104" s="26">
        <f>IFERROR($AC104*HDF_Limited_Col!CB104/HDF_Limited_Col!$AH104," ")</f>
        <v>211.50678864571697</v>
      </c>
      <c r="CC104" s="26">
        <f>IFERROR($AC104*HDF_Limited_Col!CC104/HDF_Limited_Col!$AH104," ")</f>
        <v>31.726018296857546</v>
      </c>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row>
    <row r="105" spans="1:109">
      <c r="A105" s="26" t="s">
        <v>1656</v>
      </c>
      <c r="B105" s="53" t="s">
        <v>24</v>
      </c>
      <c r="C105" s="154" t="s">
        <v>1801</v>
      </c>
      <c r="D105" s="53" t="s">
        <v>1706</v>
      </c>
      <c r="E105" s="53" t="s">
        <v>237</v>
      </c>
      <c r="F105" s="53" t="s">
        <v>849</v>
      </c>
      <c r="G105" s="53" t="s">
        <v>595</v>
      </c>
      <c r="H105" s="52">
        <v>364</v>
      </c>
      <c r="I105" s="53" t="s">
        <v>1148</v>
      </c>
      <c r="J105" s="53" t="s">
        <v>635</v>
      </c>
      <c r="K105" s="53" t="s">
        <v>1678</v>
      </c>
      <c r="L105" s="53"/>
      <c r="M105" s="53" t="s">
        <v>1698</v>
      </c>
      <c r="N105" s="53">
        <v>36</v>
      </c>
      <c r="O105" s="95">
        <v>2.4913975284669099</v>
      </c>
      <c r="P105" s="95">
        <v>0.46025817794971019</v>
      </c>
      <c r="Q105" s="95">
        <v>1.650926073080482</v>
      </c>
      <c r="R105" s="95">
        <v>9.8955508259187699</v>
      </c>
      <c r="S105" s="95">
        <v>12.507015705155165</v>
      </c>
      <c r="T105" s="95">
        <v>23.81335790261544</v>
      </c>
      <c r="U105" s="95">
        <v>0.12006735076948961</v>
      </c>
      <c r="V105" s="95">
        <v>21.111842510301923</v>
      </c>
      <c r="W105" s="95">
        <v>23.913414028256678</v>
      </c>
      <c r="X105" s="95">
        <v>3.9121945125725364</v>
      </c>
      <c r="Y105" s="95">
        <v>0.16008980102598616</v>
      </c>
      <c r="Z105" s="95">
        <v>100.03611441611311</v>
      </c>
      <c r="AA105" s="53"/>
      <c r="AB105" s="53"/>
      <c r="AC105" s="26">
        <f t="shared" si="2"/>
        <v>198514.17067836062</v>
      </c>
      <c r="AD105" s="26" t="str">
        <f>IFERROR($AC105*HDF_Limited_Col!AD105/HDF_Limited_Col!$AH105," ")</f>
        <v xml:space="preserve"> </v>
      </c>
      <c r="AE105" s="26" t="str">
        <f>IFERROR($AC105*HDF_Limited_Col!AE105/HDF_Limited_Col!$AH105," ")</f>
        <v xml:space="preserve"> </v>
      </c>
      <c r="AF105" s="26" t="str">
        <f>IFERROR($AC105*HDF_Limited_Col!AF105/HDF_Limited_Col!$AH105," ")</f>
        <v xml:space="preserve"> </v>
      </c>
      <c r="AG105" s="26" t="str">
        <f>IFERROR($AC105*HDF_Limited_Col!AG105/HDF_Limited_Col!$AH105," ")</f>
        <v xml:space="preserve"> </v>
      </c>
      <c r="AH105" s="26" t="str">
        <f>IFERROR($AC105*HDF_Limited_Col!AH105/HDF_Limited_Col!$AH105," ")</f>
        <v xml:space="preserve"> </v>
      </c>
      <c r="AI105" s="26" t="str">
        <f>IFERROR($AC105*HDF_Limited_Col!AI105/HDF_Limited_Col!$AH105," ")</f>
        <v xml:space="preserve"> </v>
      </c>
      <c r="AJ105" s="26" t="str">
        <f>IFERROR($AC105*HDF_Limited_Col!AJ105/HDF_Limited_Col!$AH105," ")</f>
        <v xml:space="preserve"> </v>
      </c>
      <c r="AK105" s="26" t="str">
        <f>IFERROR($AC105*HDF_Limited_Col!AK105/HDF_Limited_Col!$AH105," ")</f>
        <v xml:space="preserve"> </v>
      </c>
      <c r="AL105" s="26" t="str">
        <f>IFERROR($AC105*HDF_Limited_Col!AL105/HDF_Limited_Col!$AH105," ")</f>
        <v xml:space="preserve"> </v>
      </c>
      <c r="AM105" s="26" t="str">
        <f>IFERROR($AC105*HDF_Limited_Col!AM105/HDF_Limited_Col!$AH105," ")</f>
        <v xml:space="preserve"> </v>
      </c>
      <c r="AN105" s="26" t="str">
        <f>IFERROR($AC105*HDF_Limited_Col!AN105/HDF_Limited_Col!$AH105," ")</f>
        <v xml:space="preserve"> </v>
      </c>
      <c r="AO105" s="26" t="str">
        <f>IFERROR($AC105*HDF_Limited_Col!AO105/HDF_Limited_Col!$AH105," ")</f>
        <v xml:space="preserve"> </v>
      </c>
      <c r="AP105" s="26" t="str">
        <f>IFERROR($AC105*HDF_Limited_Col!AP105/HDF_Limited_Col!$AH105," ")</f>
        <v xml:space="preserve"> </v>
      </c>
      <c r="AQ105" s="26" t="str">
        <f>IFERROR($AC105*HDF_Limited_Col!AQ105/HDF_Limited_Col!$AH105," ")</f>
        <v xml:space="preserve"> </v>
      </c>
      <c r="AR105" s="26" t="str">
        <f>IFERROR($AC105*HDF_Limited_Col!AR105/HDF_Limited_Col!$AH105," ")</f>
        <v xml:space="preserve"> </v>
      </c>
      <c r="AS105" s="26" t="str">
        <f>IFERROR($AC105*HDF_Limited_Col!AS105/HDF_Limited_Col!$AH105," ")</f>
        <v xml:space="preserve"> </v>
      </c>
      <c r="AT105" s="26" t="str">
        <f>IFERROR($AC105*HDF_Limited_Col!AT105/HDF_Limited_Col!$AH105," ")</f>
        <v xml:space="preserve"> </v>
      </c>
      <c r="AU105" s="26" t="str">
        <f>IFERROR($AC105*HDF_Limited_Col!AU105/HDF_Limited_Col!$AH105," ")</f>
        <v xml:space="preserve"> </v>
      </c>
      <c r="AV105" s="26" t="str">
        <f>IFERROR($AC105*HDF_Limited_Col!AV105/HDF_Limited_Col!$AH105," ")</f>
        <v xml:space="preserve"> </v>
      </c>
      <c r="AW105" s="26" t="str">
        <f>IFERROR($AC105*HDF_Limited_Col!AW105/HDF_Limited_Col!$AH105," ")</f>
        <v xml:space="preserve"> </v>
      </c>
      <c r="AX105" s="26" t="str">
        <f>IFERROR($AC105*HDF_Limited_Col!AX105/HDF_Limited_Col!$AH105," ")</f>
        <v xml:space="preserve"> </v>
      </c>
      <c r="AY105" s="26" t="str">
        <f>IFERROR($AC105*HDF_Limited_Col!AY105/HDF_Limited_Col!$AH105," ")</f>
        <v xml:space="preserve"> </v>
      </c>
      <c r="AZ105" s="26" t="str">
        <f>IFERROR($AC105*HDF_Limited_Col!AZ105/HDF_Limited_Col!$AH105," ")</f>
        <v xml:space="preserve"> </v>
      </c>
      <c r="BA105" s="26" t="str">
        <f>IFERROR($AC105*HDF_Limited_Col!BA105/HDF_Limited_Col!$AH105," ")</f>
        <v xml:space="preserve"> </v>
      </c>
      <c r="BB105" s="26" t="str">
        <f>IFERROR($AC105*HDF_Limited_Col!BB105/HDF_Limited_Col!$AH105," ")</f>
        <v xml:space="preserve"> </v>
      </c>
      <c r="BC105" s="26" t="str">
        <f>IFERROR($AC105*HDF_Limited_Col!BC105/HDF_Limited_Col!$AH105," ")</f>
        <v xml:space="preserve"> </v>
      </c>
      <c r="BD105" s="26" t="str">
        <f>IFERROR($AC105*HDF_Limited_Col!BD105/HDF_Limited_Col!$AH105," ")</f>
        <v xml:space="preserve"> </v>
      </c>
      <c r="BE105" s="26" t="str">
        <f>IFERROR($AC105*HDF_Limited_Col!BE105/HDF_Limited_Col!$AH105," ")</f>
        <v xml:space="preserve"> </v>
      </c>
      <c r="BF105" s="26" t="str">
        <f>IFERROR($AC105*HDF_Limited_Col!BF105/HDF_Limited_Col!$AH105," ")</f>
        <v xml:space="preserve"> </v>
      </c>
      <c r="BG105" s="26" t="str">
        <f>IFERROR($AC105*HDF_Limited_Col!BG105/HDF_Limited_Col!$AH105," ")</f>
        <v xml:space="preserve"> </v>
      </c>
      <c r="BH105" s="26" t="str">
        <f>IFERROR($AC105*HDF_Limited_Col!BH105/HDF_Limited_Col!$AH105," ")</f>
        <v xml:space="preserve"> </v>
      </c>
      <c r="BI105" s="26" t="str">
        <f>IFERROR($AC105*HDF_Limited_Col!BI105/HDF_Limited_Col!$AH105," ")</f>
        <v xml:space="preserve"> </v>
      </c>
      <c r="BJ105" s="26" t="str">
        <f>IFERROR($AC105*HDF_Limited_Col!BJ105/HDF_Limited_Col!$AH105," ")</f>
        <v xml:space="preserve"> </v>
      </c>
      <c r="BK105" s="26" t="str">
        <f>IFERROR($AC105*HDF_Limited_Col!BK105/HDF_Limited_Col!$AH105," ")</f>
        <v xml:space="preserve"> </v>
      </c>
      <c r="BL105" s="26" t="str">
        <f>IFERROR($AC105*HDF_Limited_Col!BL105/HDF_Limited_Col!$AH105," ")</f>
        <v xml:space="preserve"> </v>
      </c>
      <c r="BM105" s="26" t="str">
        <f>IFERROR($AC105*HDF_Limited_Col!BM105/HDF_Limited_Col!$AH105," ")</f>
        <v xml:space="preserve"> </v>
      </c>
      <c r="BN105" s="26" t="str">
        <f>IFERROR($AC105*HDF_Limited_Col!BN105/HDF_Limited_Col!$AH105," ")</f>
        <v xml:space="preserve"> </v>
      </c>
      <c r="BO105" s="26" t="str">
        <f>IFERROR($AC105*HDF_Limited_Col!BO105/HDF_Limited_Col!$AH105," ")</f>
        <v xml:space="preserve"> </v>
      </c>
      <c r="BP105" s="26" t="str">
        <f>IFERROR($AC105*HDF_Limited_Col!BP105/HDF_Limited_Col!$AH105," ")</f>
        <v xml:space="preserve"> </v>
      </c>
      <c r="BQ105" s="26" t="str">
        <f>IFERROR($AC105*HDF_Limited_Col!BQ105/HDF_Limited_Col!$AH105," ")</f>
        <v xml:space="preserve"> </v>
      </c>
      <c r="BR105" s="26" t="str">
        <f>IFERROR($AC105*HDF_Limited_Col!BR105/HDF_Limited_Col!$AH105," ")</f>
        <v xml:space="preserve"> </v>
      </c>
      <c r="BS105" s="26" t="str">
        <f>IFERROR($AC105*HDF_Limited_Col!BS105/HDF_Limited_Col!$AH105," ")</f>
        <v xml:space="preserve"> </v>
      </c>
      <c r="BT105" s="26" t="str">
        <f>IFERROR($AC105*HDF_Limited_Col!BT105/HDF_Limited_Col!$AH105," ")</f>
        <v xml:space="preserve"> </v>
      </c>
      <c r="BU105" s="26" t="str">
        <f>IFERROR($AC105*HDF_Limited_Col!BU105/HDF_Limited_Col!$AH105," ")</f>
        <v xml:space="preserve"> </v>
      </c>
      <c r="BV105" s="26" t="str">
        <f>IFERROR($AC105*HDF_Limited_Col!BV105/HDF_Limited_Col!$AH105," ")</f>
        <v xml:space="preserve"> </v>
      </c>
      <c r="BW105" s="26" t="str">
        <f>IFERROR($AC105*HDF_Limited_Col!BW105/HDF_Limited_Col!$AH105," ")</f>
        <v xml:space="preserve"> </v>
      </c>
      <c r="BX105" s="26" t="str">
        <f>IFERROR($AC105*HDF_Limited_Col!BX105/HDF_Limited_Col!$AH105," ")</f>
        <v xml:space="preserve"> </v>
      </c>
      <c r="BY105" s="26" t="str">
        <f>IFERROR($AC105*HDF_Limited_Col!BY105/HDF_Limited_Col!$AH105," ")</f>
        <v xml:space="preserve"> </v>
      </c>
      <c r="BZ105" s="26" t="str">
        <f>IFERROR($AC105*HDF_Limited_Col!BZ105/HDF_Limited_Col!$AH105," ")</f>
        <v xml:space="preserve"> </v>
      </c>
      <c r="CA105" s="26" t="str">
        <f>IFERROR($AC105*HDF_Limited_Col!CA105/HDF_Limited_Col!$AH105," ")</f>
        <v xml:space="preserve"> </v>
      </c>
      <c r="CB105" s="26" t="str">
        <f>IFERROR($AC105*HDF_Limited_Col!CB105/HDF_Limited_Col!$AH105," ")</f>
        <v xml:space="preserve"> </v>
      </c>
      <c r="CC105" s="26" t="str">
        <f>IFERROR($AC105*HDF_Limited_Col!CC105/HDF_Limited_Col!$AH105," ")</f>
        <v xml:space="preserve"> </v>
      </c>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row>
    <row r="106" spans="1:109">
      <c r="A106" s="26" t="s">
        <v>1656</v>
      </c>
      <c r="B106" s="53" t="s">
        <v>24</v>
      </c>
      <c r="C106" s="154" t="s">
        <v>1801</v>
      </c>
      <c r="D106" s="53" t="s">
        <v>1706</v>
      </c>
      <c r="E106" s="53" t="s">
        <v>237</v>
      </c>
      <c r="F106" s="53" t="s">
        <v>849</v>
      </c>
      <c r="G106" s="53" t="s">
        <v>595</v>
      </c>
      <c r="H106" s="52">
        <v>364</v>
      </c>
      <c r="I106" s="53" t="s">
        <v>1148</v>
      </c>
      <c r="J106" s="53" t="s">
        <v>635</v>
      </c>
      <c r="K106" s="53" t="s">
        <v>1678</v>
      </c>
      <c r="L106" s="53"/>
      <c r="M106" s="53" t="s">
        <v>1700</v>
      </c>
      <c r="N106" s="53">
        <v>24</v>
      </c>
      <c r="O106" s="95">
        <v>17.378179123771993</v>
      </c>
      <c r="P106" s="95">
        <v>3.3139783445332638</v>
      </c>
      <c r="Q106" s="95">
        <v>6.2945381361104378</v>
      </c>
      <c r="R106" s="95">
        <v>12.831562492552575</v>
      </c>
      <c r="S106" s="95">
        <v>7.4463476826860218</v>
      </c>
      <c r="T106" s="95">
        <v>15.256424695869597</v>
      </c>
      <c r="U106" s="95">
        <v>7.3453117575478126</v>
      </c>
      <c r="V106" s="95">
        <v>6.7087854291770936</v>
      </c>
      <c r="W106" s="95">
        <v>14.953316920454968</v>
      </c>
      <c r="X106" s="95">
        <v>4.940656739258432</v>
      </c>
      <c r="Y106" s="95">
        <v>4.5466166312194165</v>
      </c>
      <c r="Z106" s="95">
        <v>101.01571795318162</v>
      </c>
      <c r="AA106" s="53"/>
      <c r="AB106" s="53"/>
      <c r="AC106" s="26">
        <f t="shared" si="2"/>
        <v>124133.06204823902</v>
      </c>
      <c r="AD106" s="26" t="str">
        <f>IFERROR($AC106*HDF_Limited_Col!AD106/HDF_Limited_Col!$AH106," ")</f>
        <v xml:space="preserve"> </v>
      </c>
      <c r="AE106" s="26" t="str">
        <f>IFERROR($AC106*HDF_Limited_Col!AE106/HDF_Limited_Col!$AH106," ")</f>
        <v xml:space="preserve"> </v>
      </c>
      <c r="AF106" s="26" t="str">
        <f>IFERROR($AC106*HDF_Limited_Col!AF106/HDF_Limited_Col!$AH106," ")</f>
        <v xml:space="preserve"> </v>
      </c>
      <c r="AG106" s="26" t="str">
        <f>IFERROR($AC106*HDF_Limited_Col!AG106/HDF_Limited_Col!$AH106," ")</f>
        <v xml:space="preserve"> </v>
      </c>
      <c r="AH106" s="26" t="str">
        <f>IFERROR($AC106*HDF_Limited_Col!AH106/HDF_Limited_Col!$AH106," ")</f>
        <v xml:space="preserve"> </v>
      </c>
      <c r="AI106" s="26" t="str">
        <f>IFERROR($AC106*HDF_Limited_Col!AI106/HDF_Limited_Col!$AH106," ")</f>
        <v xml:space="preserve"> </v>
      </c>
      <c r="AJ106" s="26" t="str">
        <f>IFERROR($AC106*HDF_Limited_Col!AJ106/HDF_Limited_Col!$AH106," ")</f>
        <v xml:space="preserve"> </v>
      </c>
      <c r="AK106" s="26" t="str">
        <f>IFERROR($AC106*HDF_Limited_Col!AK106/HDF_Limited_Col!$AH106," ")</f>
        <v xml:space="preserve"> </v>
      </c>
      <c r="AL106" s="26" t="str">
        <f>IFERROR($AC106*HDF_Limited_Col!AL106/HDF_Limited_Col!$AH106," ")</f>
        <v xml:space="preserve"> </v>
      </c>
      <c r="AM106" s="26" t="str">
        <f>IFERROR($AC106*HDF_Limited_Col!AM106/HDF_Limited_Col!$AH106," ")</f>
        <v xml:space="preserve"> </v>
      </c>
      <c r="AN106" s="26" t="str">
        <f>IFERROR($AC106*HDF_Limited_Col!AN106/HDF_Limited_Col!$AH106," ")</f>
        <v xml:space="preserve"> </v>
      </c>
      <c r="AO106" s="26" t="str">
        <f>IFERROR($AC106*HDF_Limited_Col!AO106/HDF_Limited_Col!$AH106," ")</f>
        <v xml:space="preserve"> </v>
      </c>
      <c r="AP106" s="26" t="str">
        <f>IFERROR($AC106*HDF_Limited_Col!AP106/HDF_Limited_Col!$AH106," ")</f>
        <v xml:space="preserve"> </v>
      </c>
      <c r="AQ106" s="26" t="str">
        <f>IFERROR($AC106*HDF_Limited_Col!AQ106/HDF_Limited_Col!$AH106," ")</f>
        <v xml:space="preserve"> </v>
      </c>
      <c r="AR106" s="26" t="str">
        <f>IFERROR($AC106*HDF_Limited_Col!AR106/HDF_Limited_Col!$AH106," ")</f>
        <v xml:space="preserve"> </v>
      </c>
      <c r="AS106" s="26" t="str">
        <f>IFERROR($AC106*HDF_Limited_Col!AS106/HDF_Limited_Col!$AH106," ")</f>
        <v xml:space="preserve"> </v>
      </c>
      <c r="AT106" s="26" t="str">
        <f>IFERROR($AC106*HDF_Limited_Col!AT106/HDF_Limited_Col!$AH106," ")</f>
        <v xml:space="preserve"> </v>
      </c>
      <c r="AU106" s="26" t="str">
        <f>IFERROR($AC106*HDF_Limited_Col!AU106/HDF_Limited_Col!$AH106," ")</f>
        <v xml:space="preserve"> </v>
      </c>
      <c r="AV106" s="26" t="str">
        <f>IFERROR($AC106*HDF_Limited_Col!AV106/HDF_Limited_Col!$AH106," ")</f>
        <v xml:space="preserve"> </v>
      </c>
      <c r="AW106" s="26" t="str">
        <f>IFERROR($AC106*HDF_Limited_Col!AW106/HDF_Limited_Col!$AH106," ")</f>
        <v xml:space="preserve"> </v>
      </c>
      <c r="AX106" s="26" t="str">
        <f>IFERROR($AC106*HDF_Limited_Col!AX106/HDF_Limited_Col!$AH106," ")</f>
        <v xml:space="preserve"> </v>
      </c>
      <c r="AY106" s="26" t="str">
        <f>IFERROR($AC106*HDF_Limited_Col!AY106/HDF_Limited_Col!$AH106," ")</f>
        <v xml:space="preserve"> </v>
      </c>
      <c r="AZ106" s="26" t="str">
        <f>IFERROR($AC106*HDF_Limited_Col!AZ106/HDF_Limited_Col!$AH106," ")</f>
        <v xml:space="preserve"> </v>
      </c>
      <c r="BA106" s="26" t="str">
        <f>IFERROR($AC106*HDF_Limited_Col!BA106/HDF_Limited_Col!$AH106," ")</f>
        <v xml:space="preserve"> </v>
      </c>
      <c r="BB106" s="26" t="str">
        <f>IFERROR($AC106*HDF_Limited_Col!BB106/HDF_Limited_Col!$AH106," ")</f>
        <v xml:space="preserve"> </v>
      </c>
      <c r="BC106" s="26" t="str">
        <f>IFERROR($AC106*HDF_Limited_Col!BC106/HDF_Limited_Col!$AH106," ")</f>
        <v xml:space="preserve"> </v>
      </c>
      <c r="BD106" s="26" t="str">
        <f>IFERROR($AC106*HDF_Limited_Col!BD106/HDF_Limited_Col!$AH106," ")</f>
        <v xml:space="preserve"> </v>
      </c>
      <c r="BE106" s="26" t="str">
        <f>IFERROR($AC106*HDF_Limited_Col!BE106/HDF_Limited_Col!$AH106," ")</f>
        <v xml:space="preserve"> </v>
      </c>
      <c r="BF106" s="26" t="str">
        <f>IFERROR($AC106*HDF_Limited_Col!BF106/HDF_Limited_Col!$AH106," ")</f>
        <v xml:space="preserve"> </v>
      </c>
      <c r="BG106" s="26" t="str">
        <f>IFERROR($AC106*HDF_Limited_Col!BG106/HDF_Limited_Col!$AH106," ")</f>
        <v xml:space="preserve"> </v>
      </c>
      <c r="BH106" s="26" t="str">
        <f>IFERROR($AC106*HDF_Limited_Col!BH106/HDF_Limited_Col!$AH106," ")</f>
        <v xml:space="preserve"> </v>
      </c>
      <c r="BI106" s="26" t="str">
        <f>IFERROR($AC106*HDF_Limited_Col!BI106/HDF_Limited_Col!$AH106," ")</f>
        <v xml:space="preserve"> </v>
      </c>
      <c r="BJ106" s="26" t="str">
        <f>IFERROR($AC106*HDF_Limited_Col!BJ106/HDF_Limited_Col!$AH106," ")</f>
        <v xml:space="preserve"> </v>
      </c>
      <c r="BK106" s="26" t="str">
        <f>IFERROR($AC106*HDF_Limited_Col!BK106/HDF_Limited_Col!$AH106," ")</f>
        <v xml:space="preserve"> </v>
      </c>
      <c r="BL106" s="26" t="str">
        <f>IFERROR($AC106*HDF_Limited_Col!BL106/HDF_Limited_Col!$AH106," ")</f>
        <v xml:space="preserve"> </v>
      </c>
      <c r="BM106" s="26" t="str">
        <f>IFERROR($AC106*HDF_Limited_Col!BM106/HDF_Limited_Col!$AH106," ")</f>
        <v xml:space="preserve"> </v>
      </c>
      <c r="BN106" s="26" t="str">
        <f>IFERROR($AC106*HDF_Limited_Col!BN106/HDF_Limited_Col!$AH106," ")</f>
        <v xml:space="preserve"> </v>
      </c>
      <c r="BO106" s="26" t="str">
        <f>IFERROR($AC106*HDF_Limited_Col!BO106/HDF_Limited_Col!$AH106," ")</f>
        <v xml:space="preserve"> </v>
      </c>
      <c r="BP106" s="26" t="str">
        <f>IFERROR($AC106*HDF_Limited_Col!BP106/HDF_Limited_Col!$AH106," ")</f>
        <v xml:space="preserve"> </v>
      </c>
      <c r="BQ106" s="26" t="str">
        <f>IFERROR($AC106*HDF_Limited_Col!BQ106/HDF_Limited_Col!$AH106," ")</f>
        <v xml:space="preserve"> </v>
      </c>
      <c r="BR106" s="26" t="str">
        <f>IFERROR($AC106*HDF_Limited_Col!BR106/HDF_Limited_Col!$AH106," ")</f>
        <v xml:space="preserve"> </v>
      </c>
      <c r="BS106" s="26" t="str">
        <f>IFERROR($AC106*HDF_Limited_Col!BS106/HDF_Limited_Col!$AH106," ")</f>
        <v xml:space="preserve"> </v>
      </c>
      <c r="BT106" s="26" t="str">
        <f>IFERROR($AC106*HDF_Limited_Col!BT106/HDF_Limited_Col!$AH106," ")</f>
        <v xml:space="preserve"> </v>
      </c>
      <c r="BU106" s="26" t="str">
        <f>IFERROR($AC106*HDF_Limited_Col!BU106/HDF_Limited_Col!$AH106," ")</f>
        <v xml:space="preserve"> </v>
      </c>
      <c r="BV106" s="26" t="str">
        <f>IFERROR($AC106*HDF_Limited_Col!BV106/HDF_Limited_Col!$AH106," ")</f>
        <v xml:space="preserve"> </v>
      </c>
      <c r="BW106" s="26" t="str">
        <f>IFERROR($AC106*HDF_Limited_Col!BW106/HDF_Limited_Col!$AH106," ")</f>
        <v xml:space="preserve"> </v>
      </c>
      <c r="BX106" s="26" t="str">
        <f>IFERROR($AC106*HDF_Limited_Col!BX106/HDF_Limited_Col!$AH106," ")</f>
        <v xml:space="preserve"> </v>
      </c>
      <c r="BY106" s="26" t="str">
        <f>IFERROR($AC106*HDF_Limited_Col!BY106/HDF_Limited_Col!$AH106," ")</f>
        <v xml:space="preserve"> </v>
      </c>
      <c r="BZ106" s="26" t="str">
        <f>IFERROR($AC106*HDF_Limited_Col!BZ106/HDF_Limited_Col!$AH106," ")</f>
        <v xml:space="preserve"> </v>
      </c>
      <c r="CA106" s="26" t="str">
        <f>IFERROR($AC106*HDF_Limited_Col!CA106/HDF_Limited_Col!$AH106," ")</f>
        <v xml:space="preserve"> </v>
      </c>
      <c r="CB106" s="26" t="str">
        <f>IFERROR($AC106*HDF_Limited_Col!CB106/HDF_Limited_Col!$AH106," ")</f>
        <v xml:space="preserve"> </v>
      </c>
      <c r="CC106" s="26" t="str">
        <f>IFERROR($AC106*HDF_Limited_Col!CC106/HDF_Limited_Col!$AH106," ")</f>
        <v xml:space="preserve"> </v>
      </c>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row>
    <row r="107" spans="1:109">
      <c r="A107" s="26" t="s">
        <v>847</v>
      </c>
      <c r="B107" s="26" t="s">
        <v>24</v>
      </c>
      <c r="C107" s="155" t="s">
        <v>546</v>
      </c>
      <c r="D107" s="26" t="s">
        <v>546</v>
      </c>
      <c r="E107" s="26" t="s">
        <v>1394</v>
      </c>
      <c r="F107" s="26" t="s">
        <v>1728</v>
      </c>
      <c r="G107" s="26" t="s">
        <v>595</v>
      </c>
      <c r="H107" s="30">
        <v>84</v>
      </c>
      <c r="I107" s="26" t="s">
        <v>1148</v>
      </c>
      <c r="J107" s="26"/>
      <c r="K107" s="26"/>
      <c r="L107" s="26" t="s">
        <v>571</v>
      </c>
      <c r="M107" s="26" t="s">
        <v>545</v>
      </c>
      <c r="N107" s="26">
        <v>19</v>
      </c>
      <c r="O107" s="95">
        <v>2.3334825665509151</v>
      </c>
      <c r="P107" s="95">
        <v>0</v>
      </c>
      <c r="Q107" s="95">
        <v>0</v>
      </c>
      <c r="R107" s="95">
        <v>7.2294343066507309</v>
      </c>
      <c r="S107" s="95">
        <v>6.0190765268042279</v>
      </c>
      <c r="T107" s="95">
        <v>5.7682816715207199</v>
      </c>
      <c r="U107" s="95">
        <v>0</v>
      </c>
      <c r="V107" s="95">
        <v>23.422058658651242</v>
      </c>
      <c r="W107" s="95">
        <v>26.475213418624399</v>
      </c>
      <c r="X107" s="95">
        <v>0.61063095199463191</v>
      </c>
      <c r="Y107" s="95">
        <v>36.343445767823354</v>
      </c>
      <c r="Z107" s="95">
        <v>108.20162386862022</v>
      </c>
      <c r="AA107" s="26"/>
      <c r="AB107" s="26"/>
      <c r="AC107" s="26">
        <f t="shared" si="2"/>
        <v>219780.62308964154</v>
      </c>
      <c r="AD107" s="26" t="str">
        <f>IFERROR($AC107*HDF_Limited_Col!AD107/HDF_Limited_Col!$AH107," ")</f>
        <v xml:space="preserve"> </v>
      </c>
      <c r="AE107" s="26" t="str">
        <f>IFERROR($AC107*HDF_Limited_Col!AE107/HDF_Limited_Col!$AH107," ")</f>
        <v xml:space="preserve"> </v>
      </c>
      <c r="AF107" s="26" t="str">
        <f>IFERROR($AC107*HDF_Limited_Col!AF107/HDF_Limited_Col!$AH107," ")</f>
        <v xml:space="preserve"> </v>
      </c>
      <c r="AG107" s="26" t="str">
        <f>IFERROR($AC107*HDF_Limited_Col!AG107/HDF_Limited_Col!$AH107," ")</f>
        <v xml:space="preserve"> </v>
      </c>
      <c r="AH107" s="26" t="str">
        <f>IFERROR($AC107*HDF_Limited_Col!AH107/HDF_Limited_Col!$AH107," ")</f>
        <v xml:space="preserve"> </v>
      </c>
      <c r="AI107" s="26" t="str">
        <f>IFERROR($AC107*HDF_Limited_Col!AI107/HDF_Limited_Col!$AH107," ")</f>
        <v xml:space="preserve"> </v>
      </c>
      <c r="AJ107" s="26" t="str">
        <f>IFERROR($AC107*HDF_Limited_Col!AJ107/HDF_Limited_Col!$AH107," ")</f>
        <v xml:space="preserve"> </v>
      </c>
      <c r="AK107" s="26" t="str">
        <f>IFERROR($AC107*HDF_Limited_Col!AK107/HDF_Limited_Col!$AH107," ")</f>
        <v xml:space="preserve"> </v>
      </c>
      <c r="AL107" s="26" t="str">
        <f>IFERROR($AC107*HDF_Limited_Col!AL107/HDF_Limited_Col!$AH107," ")</f>
        <v xml:space="preserve"> </v>
      </c>
      <c r="AM107" s="26" t="str">
        <f>IFERROR($AC107*HDF_Limited_Col!AM107/HDF_Limited_Col!$AH107," ")</f>
        <v xml:space="preserve"> </v>
      </c>
      <c r="AN107" s="26" t="str">
        <f>IFERROR($AC107*HDF_Limited_Col!AN107/HDF_Limited_Col!$AH107," ")</f>
        <v xml:space="preserve"> </v>
      </c>
      <c r="AO107" s="26" t="str">
        <f>IFERROR($AC107*HDF_Limited_Col!AO107/HDF_Limited_Col!$AH107," ")</f>
        <v xml:space="preserve"> </v>
      </c>
      <c r="AP107" s="26" t="str">
        <f>IFERROR($AC107*HDF_Limited_Col!AP107/HDF_Limited_Col!$AH107," ")</f>
        <v xml:space="preserve"> </v>
      </c>
      <c r="AQ107" s="26" t="str">
        <f>IFERROR($AC107*HDF_Limited_Col!AQ107/HDF_Limited_Col!$AH107," ")</f>
        <v xml:space="preserve"> </v>
      </c>
      <c r="AR107" s="26" t="str">
        <f>IFERROR($AC107*HDF_Limited_Col!AR107/HDF_Limited_Col!$AH107," ")</f>
        <v xml:space="preserve"> </v>
      </c>
      <c r="AS107" s="26" t="str">
        <f>IFERROR($AC107*HDF_Limited_Col!AS107/HDF_Limited_Col!$AH107," ")</f>
        <v xml:space="preserve"> </v>
      </c>
      <c r="AT107" s="26" t="str">
        <f>IFERROR($AC107*HDF_Limited_Col!AT107/HDF_Limited_Col!$AH107," ")</f>
        <v xml:space="preserve"> </v>
      </c>
      <c r="AU107" s="26" t="str">
        <f>IFERROR($AC107*HDF_Limited_Col!AU107/HDF_Limited_Col!$AH107," ")</f>
        <v xml:space="preserve"> </v>
      </c>
      <c r="AV107" s="26" t="str">
        <f>IFERROR($AC107*HDF_Limited_Col!AV107/HDF_Limited_Col!$AH107," ")</f>
        <v xml:space="preserve"> </v>
      </c>
      <c r="AW107" s="26" t="str">
        <f>IFERROR($AC107*HDF_Limited_Col!AW107/HDF_Limited_Col!$AH107," ")</f>
        <v xml:space="preserve"> </v>
      </c>
      <c r="AX107" s="26" t="str">
        <f>IFERROR($AC107*HDF_Limited_Col!AX107/HDF_Limited_Col!$AH107," ")</f>
        <v xml:space="preserve"> </v>
      </c>
      <c r="AY107" s="26" t="str">
        <f>IFERROR($AC107*HDF_Limited_Col!AY107/HDF_Limited_Col!$AH107," ")</f>
        <v xml:space="preserve"> </v>
      </c>
      <c r="AZ107" s="26" t="str">
        <f>IFERROR($AC107*HDF_Limited_Col!AZ107/HDF_Limited_Col!$AH107," ")</f>
        <v xml:space="preserve"> </v>
      </c>
      <c r="BA107" s="26" t="str">
        <f>IFERROR($AC107*HDF_Limited_Col!BA107/HDF_Limited_Col!$AH107," ")</f>
        <v xml:space="preserve"> </v>
      </c>
      <c r="BB107" s="26" t="str">
        <f>IFERROR($AC107*HDF_Limited_Col!BB107/HDF_Limited_Col!$AH107," ")</f>
        <v xml:space="preserve"> </v>
      </c>
      <c r="BC107" s="26" t="str">
        <f>IFERROR($AC107*HDF_Limited_Col!BC107/HDF_Limited_Col!$AH107," ")</f>
        <v xml:space="preserve"> </v>
      </c>
      <c r="BD107" s="26" t="str">
        <f>IFERROR($AC107*HDF_Limited_Col!BD107/HDF_Limited_Col!$AH107," ")</f>
        <v xml:space="preserve"> </v>
      </c>
      <c r="BE107" s="26" t="str">
        <f>IFERROR($AC107*HDF_Limited_Col!BE107/HDF_Limited_Col!$AH107," ")</f>
        <v xml:space="preserve"> </v>
      </c>
      <c r="BF107" s="26" t="str">
        <f>IFERROR($AC107*HDF_Limited_Col!BF107/HDF_Limited_Col!$AH107," ")</f>
        <v xml:space="preserve"> </v>
      </c>
      <c r="BG107" s="26" t="str">
        <f>IFERROR($AC107*HDF_Limited_Col!BG107/HDF_Limited_Col!$AH107," ")</f>
        <v xml:space="preserve"> </v>
      </c>
      <c r="BH107" s="26" t="str">
        <f>IFERROR($AC107*HDF_Limited_Col!BH107/HDF_Limited_Col!$AH107," ")</f>
        <v xml:space="preserve"> </v>
      </c>
      <c r="BI107" s="26" t="str">
        <f>IFERROR($AC107*HDF_Limited_Col!BI107/HDF_Limited_Col!$AH107," ")</f>
        <v xml:space="preserve"> </v>
      </c>
      <c r="BJ107" s="26" t="str">
        <f>IFERROR($AC107*HDF_Limited_Col!BJ107/HDF_Limited_Col!$AH107," ")</f>
        <v xml:space="preserve"> </v>
      </c>
      <c r="BK107" s="26" t="str">
        <f>IFERROR($AC107*HDF_Limited_Col!BK107/HDF_Limited_Col!$AH107," ")</f>
        <v xml:space="preserve"> </v>
      </c>
      <c r="BL107" s="26" t="str">
        <f>IFERROR($AC107*HDF_Limited_Col!BL107/HDF_Limited_Col!$AH107," ")</f>
        <v xml:space="preserve"> </v>
      </c>
      <c r="BM107" s="26" t="str">
        <f>IFERROR($AC107*HDF_Limited_Col!BM107/HDF_Limited_Col!$AH107," ")</f>
        <v xml:space="preserve"> </v>
      </c>
      <c r="BN107" s="26" t="str">
        <f>IFERROR($AC107*HDF_Limited_Col!BN107/HDF_Limited_Col!$AH107," ")</f>
        <v xml:space="preserve"> </v>
      </c>
      <c r="BO107" s="26" t="str">
        <f>IFERROR($AC107*HDF_Limited_Col!BO107/HDF_Limited_Col!$AH107," ")</f>
        <v xml:space="preserve"> </v>
      </c>
      <c r="BP107" s="26" t="str">
        <f>IFERROR($AC107*HDF_Limited_Col!BP107/HDF_Limited_Col!$AH107," ")</f>
        <v xml:space="preserve"> </v>
      </c>
      <c r="BQ107" s="26" t="str">
        <f>IFERROR($AC107*HDF_Limited_Col!BQ107/HDF_Limited_Col!$AH107," ")</f>
        <v xml:space="preserve"> </v>
      </c>
      <c r="BR107" s="26" t="str">
        <f>IFERROR($AC107*HDF_Limited_Col!BR107/HDF_Limited_Col!$AH107," ")</f>
        <v xml:space="preserve"> </v>
      </c>
      <c r="BS107" s="26" t="str">
        <f>IFERROR($AC107*HDF_Limited_Col!BS107/HDF_Limited_Col!$AH107," ")</f>
        <v xml:space="preserve"> </v>
      </c>
      <c r="BT107" s="26" t="str">
        <f>IFERROR($AC107*HDF_Limited_Col!BT107/HDF_Limited_Col!$AH107," ")</f>
        <v xml:space="preserve"> </v>
      </c>
      <c r="BU107" s="26" t="str">
        <f>IFERROR($AC107*HDF_Limited_Col!BU107/HDF_Limited_Col!$AH107," ")</f>
        <v xml:space="preserve"> </v>
      </c>
      <c r="BV107" s="26" t="str">
        <f>IFERROR($AC107*HDF_Limited_Col!BV107/HDF_Limited_Col!$AH107," ")</f>
        <v xml:space="preserve"> </v>
      </c>
      <c r="BW107" s="26" t="str">
        <f>IFERROR($AC107*HDF_Limited_Col!BW107/HDF_Limited_Col!$AH107," ")</f>
        <v xml:space="preserve"> </v>
      </c>
      <c r="BX107" s="26" t="str">
        <f>IFERROR($AC107*HDF_Limited_Col!BX107/HDF_Limited_Col!$AH107," ")</f>
        <v xml:space="preserve"> </v>
      </c>
      <c r="BY107" s="26" t="str">
        <f>IFERROR($AC107*HDF_Limited_Col!BY107/HDF_Limited_Col!$AH107," ")</f>
        <v xml:space="preserve"> </v>
      </c>
      <c r="BZ107" s="26" t="str">
        <f>IFERROR($AC107*HDF_Limited_Col!BZ107/HDF_Limited_Col!$AH107," ")</f>
        <v xml:space="preserve"> </v>
      </c>
      <c r="CA107" s="26" t="str">
        <f>IFERROR($AC107*HDF_Limited_Col!CA107/HDF_Limited_Col!$AH107," ")</f>
        <v xml:space="preserve"> </v>
      </c>
      <c r="CB107" s="26" t="str">
        <f>IFERROR($AC107*HDF_Limited_Col!CB107/HDF_Limited_Col!$AH107," ")</f>
        <v xml:space="preserve"> </v>
      </c>
      <c r="CC107" s="26" t="str">
        <f>IFERROR($AC107*HDF_Limited_Col!CC107/HDF_Limited_Col!$AH107," ")</f>
        <v xml:space="preserve"> </v>
      </c>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row>
    <row r="108" spans="1:109">
      <c r="A108" s="26" t="s">
        <v>847</v>
      </c>
      <c r="B108" s="26" t="s">
        <v>24</v>
      </c>
      <c r="C108" s="155" t="s">
        <v>546</v>
      </c>
      <c r="D108" s="26" t="s">
        <v>546</v>
      </c>
      <c r="E108" s="26" t="s">
        <v>1394</v>
      </c>
      <c r="F108" s="26" t="s">
        <v>1728</v>
      </c>
      <c r="G108" s="26" t="s">
        <v>595</v>
      </c>
      <c r="H108" s="30">
        <v>84</v>
      </c>
      <c r="I108" s="26" t="s">
        <v>1148</v>
      </c>
      <c r="J108" s="26"/>
      <c r="K108" s="26"/>
      <c r="L108" s="26" t="s">
        <v>161</v>
      </c>
      <c r="M108" s="26" t="s">
        <v>547</v>
      </c>
      <c r="N108" s="26">
        <v>17</v>
      </c>
      <c r="O108" s="95">
        <v>4.4142805603890611</v>
      </c>
      <c r="P108" s="95">
        <v>0</v>
      </c>
      <c r="Q108" s="95">
        <v>0</v>
      </c>
      <c r="R108" s="95">
        <v>11.745919807965942</v>
      </c>
      <c r="S108" s="95">
        <v>0.43705748122663979</v>
      </c>
      <c r="T108" s="95">
        <v>3.758694338549101</v>
      </c>
      <c r="U108" s="95">
        <v>0</v>
      </c>
      <c r="V108" s="95">
        <v>4.5126184936650553</v>
      </c>
      <c r="W108" s="95">
        <v>43.793159618909293</v>
      </c>
      <c r="X108" s="95">
        <v>0.26223448873598382</v>
      </c>
      <c r="Y108" s="95">
        <v>40.132803213636187</v>
      </c>
      <c r="Z108" s="95">
        <v>109.05676800307725</v>
      </c>
      <c r="AA108" s="26"/>
      <c r="AB108" s="26"/>
      <c r="AC108" s="26">
        <f t="shared" si="2"/>
        <v>363543.35490784887</v>
      </c>
      <c r="AD108" s="26" t="str">
        <f>IFERROR($AC108*HDF_Limited_Col!AD108/HDF_Limited_Col!$AH108," ")</f>
        <v xml:space="preserve"> </v>
      </c>
      <c r="AE108" s="26" t="str">
        <f>IFERROR($AC108*HDF_Limited_Col!AE108/HDF_Limited_Col!$AH108," ")</f>
        <v xml:space="preserve"> </v>
      </c>
      <c r="AF108" s="26" t="str">
        <f>IFERROR($AC108*HDF_Limited_Col!AF108/HDF_Limited_Col!$AH108," ")</f>
        <v xml:space="preserve"> </v>
      </c>
      <c r="AG108" s="26" t="str">
        <f>IFERROR($AC108*HDF_Limited_Col!AG108/HDF_Limited_Col!$AH108," ")</f>
        <v xml:space="preserve"> </v>
      </c>
      <c r="AH108" s="26" t="str">
        <f>IFERROR($AC108*HDF_Limited_Col!AH108/HDF_Limited_Col!$AH108," ")</f>
        <v xml:space="preserve"> </v>
      </c>
      <c r="AI108" s="26" t="str">
        <f>IFERROR($AC108*HDF_Limited_Col!AI108/HDF_Limited_Col!$AH108," ")</f>
        <v xml:space="preserve"> </v>
      </c>
      <c r="AJ108" s="26" t="str">
        <f>IFERROR($AC108*HDF_Limited_Col!AJ108/HDF_Limited_Col!$AH108," ")</f>
        <v xml:space="preserve"> </v>
      </c>
      <c r="AK108" s="26" t="str">
        <f>IFERROR($AC108*HDF_Limited_Col!AK108/HDF_Limited_Col!$AH108," ")</f>
        <v xml:space="preserve"> </v>
      </c>
      <c r="AL108" s="26" t="str">
        <f>IFERROR($AC108*HDF_Limited_Col!AL108/HDF_Limited_Col!$AH108," ")</f>
        <v xml:space="preserve"> </v>
      </c>
      <c r="AM108" s="26" t="str">
        <f>IFERROR($AC108*HDF_Limited_Col!AM108/HDF_Limited_Col!$AH108," ")</f>
        <v xml:space="preserve"> </v>
      </c>
      <c r="AN108" s="26" t="str">
        <f>IFERROR($AC108*HDF_Limited_Col!AN108/HDF_Limited_Col!$AH108," ")</f>
        <v xml:space="preserve"> </v>
      </c>
      <c r="AO108" s="26" t="str">
        <f>IFERROR($AC108*HDF_Limited_Col!AO108/HDF_Limited_Col!$AH108," ")</f>
        <v xml:space="preserve"> </v>
      </c>
      <c r="AP108" s="26" t="str">
        <f>IFERROR($AC108*HDF_Limited_Col!AP108/HDF_Limited_Col!$AH108," ")</f>
        <v xml:space="preserve"> </v>
      </c>
      <c r="AQ108" s="26" t="str">
        <f>IFERROR($AC108*HDF_Limited_Col!AQ108/HDF_Limited_Col!$AH108," ")</f>
        <v xml:space="preserve"> </v>
      </c>
      <c r="AR108" s="26" t="str">
        <f>IFERROR($AC108*HDF_Limited_Col!AR108/HDF_Limited_Col!$AH108," ")</f>
        <v xml:space="preserve"> </v>
      </c>
      <c r="AS108" s="26" t="str">
        <f>IFERROR($AC108*HDF_Limited_Col!AS108/HDF_Limited_Col!$AH108," ")</f>
        <v xml:space="preserve"> </v>
      </c>
      <c r="AT108" s="26" t="str">
        <f>IFERROR($AC108*HDF_Limited_Col!AT108/HDF_Limited_Col!$AH108," ")</f>
        <v xml:space="preserve"> </v>
      </c>
      <c r="AU108" s="26" t="str">
        <f>IFERROR($AC108*HDF_Limited_Col!AU108/HDF_Limited_Col!$AH108," ")</f>
        <v xml:space="preserve"> </v>
      </c>
      <c r="AV108" s="26" t="str">
        <f>IFERROR($AC108*HDF_Limited_Col!AV108/HDF_Limited_Col!$AH108," ")</f>
        <v xml:space="preserve"> </v>
      </c>
      <c r="AW108" s="26" t="str">
        <f>IFERROR($AC108*HDF_Limited_Col!AW108/HDF_Limited_Col!$AH108," ")</f>
        <v xml:space="preserve"> </v>
      </c>
      <c r="AX108" s="26" t="str">
        <f>IFERROR($AC108*HDF_Limited_Col!AX108/HDF_Limited_Col!$AH108," ")</f>
        <v xml:space="preserve"> </v>
      </c>
      <c r="AY108" s="26" t="str">
        <f>IFERROR($AC108*HDF_Limited_Col!AY108/HDF_Limited_Col!$AH108," ")</f>
        <v xml:space="preserve"> </v>
      </c>
      <c r="AZ108" s="26" t="str">
        <f>IFERROR($AC108*HDF_Limited_Col!AZ108/HDF_Limited_Col!$AH108," ")</f>
        <v xml:space="preserve"> </v>
      </c>
      <c r="BA108" s="26" t="str">
        <f>IFERROR($AC108*HDF_Limited_Col!BA108/HDF_Limited_Col!$AH108," ")</f>
        <v xml:space="preserve"> </v>
      </c>
      <c r="BB108" s="26" t="str">
        <f>IFERROR($AC108*HDF_Limited_Col!BB108/HDF_Limited_Col!$AH108," ")</f>
        <v xml:space="preserve"> </v>
      </c>
      <c r="BC108" s="26" t="str">
        <f>IFERROR($AC108*HDF_Limited_Col!BC108/HDF_Limited_Col!$AH108," ")</f>
        <v xml:space="preserve"> </v>
      </c>
      <c r="BD108" s="26" t="str">
        <f>IFERROR($AC108*HDF_Limited_Col!BD108/HDF_Limited_Col!$AH108," ")</f>
        <v xml:space="preserve"> </v>
      </c>
      <c r="BE108" s="26" t="str">
        <f>IFERROR($AC108*HDF_Limited_Col!BE108/HDF_Limited_Col!$AH108," ")</f>
        <v xml:space="preserve"> </v>
      </c>
      <c r="BF108" s="26" t="str">
        <f>IFERROR($AC108*HDF_Limited_Col!BF108/HDF_Limited_Col!$AH108," ")</f>
        <v xml:space="preserve"> </v>
      </c>
      <c r="BG108" s="26" t="str">
        <f>IFERROR($AC108*HDF_Limited_Col!BG108/HDF_Limited_Col!$AH108," ")</f>
        <v xml:space="preserve"> </v>
      </c>
      <c r="BH108" s="26" t="str">
        <f>IFERROR($AC108*HDF_Limited_Col!BH108/HDF_Limited_Col!$AH108," ")</f>
        <v xml:space="preserve"> </v>
      </c>
      <c r="BI108" s="26" t="str">
        <f>IFERROR($AC108*HDF_Limited_Col!BI108/HDF_Limited_Col!$AH108," ")</f>
        <v xml:space="preserve"> </v>
      </c>
      <c r="BJ108" s="26" t="str">
        <f>IFERROR($AC108*HDF_Limited_Col!BJ108/HDF_Limited_Col!$AH108," ")</f>
        <v xml:space="preserve"> </v>
      </c>
      <c r="BK108" s="26" t="str">
        <f>IFERROR($AC108*HDF_Limited_Col!BK108/HDF_Limited_Col!$AH108," ")</f>
        <v xml:space="preserve"> </v>
      </c>
      <c r="BL108" s="26" t="str">
        <f>IFERROR($AC108*HDF_Limited_Col!BL108/HDF_Limited_Col!$AH108," ")</f>
        <v xml:space="preserve"> </v>
      </c>
      <c r="BM108" s="26" t="str">
        <f>IFERROR($AC108*HDF_Limited_Col!BM108/HDF_Limited_Col!$AH108," ")</f>
        <v xml:space="preserve"> </v>
      </c>
      <c r="BN108" s="26" t="str">
        <f>IFERROR($AC108*HDF_Limited_Col!BN108/HDF_Limited_Col!$AH108," ")</f>
        <v xml:space="preserve"> </v>
      </c>
      <c r="BO108" s="26" t="str">
        <f>IFERROR($AC108*HDF_Limited_Col!BO108/HDF_Limited_Col!$AH108," ")</f>
        <v xml:space="preserve"> </v>
      </c>
      <c r="BP108" s="26" t="str">
        <f>IFERROR($AC108*HDF_Limited_Col!BP108/HDF_Limited_Col!$AH108," ")</f>
        <v xml:space="preserve"> </v>
      </c>
      <c r="BQ108" s="26" t="str">
        <f>IFERROR($AC108*HDF_Limited_Col!BQ108/HDF_Limited_Col!$AH108," ")</f>
        <v xml:space="preserve"> </v>
      </c>
      <c r="BR108" s="26" t="str">
        <f>IFERROR($AC108*HDF_Limited_Col!BR108/HDF_Limited_Col!$AH108," ")</f>
        <v xml:space="preserve"> </v>
      </c>
      <c r="BS108" s="26" t="str">
        <f>IFERROR($AC108*HDF_Limited_Col!BS108/HDF_Limited_Col!$AH108," ")</f>
        <v xml:space="preserve"> </v>
      </c>
      <c r="BT108" s="26" t="str">
        <f>IFERROR($AC108*HDF_Limited_Col!BT108/HDF_Limited_Col!$AH108," ")</f>
        <v xml:space="preserve"> </v>
      </c>
      <c r="BU108" s="26" t="str">
        <f>IFERROR($AC108*HDF_Limited_Col!BU108/HDF_Limited_Col!$AH108," ")</f>
        <v xml:space="preserve"> </v>
      </c>
      <c r="BV108" s="26" t="str">
        <f>IFERROR($AC108*HDF_Limited_Col!BV108/HDF_Limited_Col!$AH108," ")</f>
        <v xml:space="preserve"> </v>
      </c>
      <c r="BW108" s="26" t="str">
        <f>IFERROR($AC108*HDF_Limited_Col!BW108/HDF_Limited_Col!$AH108," ")</f>
        <v xml:space="preserve"> </v>
      </c>
      <c r="BX108" s="26" t="str">
        <f>IFERROR($AC108*HDF_Limited_Col!BX108/HDF_Limited_Col!$AH108," ")</f>
        <v xml:space="preserve"> </v>
      </c>
      <c r="BY108" s="26" t="str">
        <f>IFERROR($AC108*HDF_Limited_Col!BY108/HDF_Limited_Col!$AH108," ")</f>
        <v xml:space="preserve"> </v>
      </c>
      <c r="BZ108" s="26" t="str">
        <f>IFERROR($AC108*HDF_Limited_Col!BZ108/HDF_Limited_Col!$AH108," ")</f>
        <v xml:space="preserve"> </v>
      </c>
      <c r="CA108" s="26" t="str">
        <f>IFERROR($AC108*HDF_Limited_Col!CA108/HDF_Limited_Col!$AH108," ")</f>
        <v xml:space="preserve"> </v>
      </c>
      <c r="CB108" s="26" t="str">
        <f>IFERROR($AC108*HDF_Limited_Col!CB108/HDF_Limited_Col!$AH108," ")</f>
        <v xml:space="preserve"> </v>
      </c>
      <c r="CC108" s="26" t="str">
        <f>IFERROR($AC108*HDF_Limited_Col!CC108/HDF_Limited_Col!$AH108," ")</f>
        <v xml:space="preserve"> </v>
      </c>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row>
    <row r="109" spans="1:109">
      <c r="A109" s="26" t="s">
        <v>847</v>
      </c>
      <c r="B109" s="26" t="s">
        <v>24</v>
      </c>
      <c r="C109" s="155" t="s">
        <v>546</v>
      </c>
      <c r="D109" s="26" t="s">
        <v>546</v>
      </c>
      <c r="E109" s="26" t="s">
        <v>1394</v>
      </c>
      <c r="F109" s="26" t="s">
        <v>1728</v>
      </c>
      <c r="G109" s="26" t="s">
        <v>595</v>
      </c>
      <c r="H109" s="30">
        <v>84</v>
      </c>
      <c r="I109" s="26" t="s">
        <v>1148</v>
      </c>
      <c r="J109" s="26"/>
      <c r="K109" s="26"/>
      <c r="L109" s="26" t="s">
        <v>535</v>
      </c>
      <c r="M109" s="26" t="s">
        <v>548</v>
      </c>
      <c r="N109" s="26">
        <v>23</v>
      </c>
      <c r="O109" s="95">
        <v>1.6341278384303424</v>
      </c>
      <c r="P109" s="95">
        <v>6.595548430582529E-2</v>
      </c>
      <c r="Q109" s="95">
        <v>0</v>
      </c>
      <c r="R109" s="95">
        <v>8.1950842317895365</v>
      </c>
      <c r="S109" s="95">
        <v>5.0001636738423203</v>
      </c>
      <c r="T109" s="95">
        <v>6.7154674929567557</v>
      </c>
      <c r="U109" s="95">
        <v>0</v>
      </c>
      <c r="V109" s="95">
        <v>23.379604891344641</v>
      </c>
      <c r="W109" s="95">
        <v>34.127581470216292</v>
      </c>
      <c r="X109" s="95">
        <v>0.37313277484903945</v>
      </c>
      <c r="Y109" s="95">
        <v>26.485969834000116</v>
      </c>
      <c r="Z109" s="95">
        <v>105.97708769173488</v>
      </c>
      <c r="AA109" s="26"/>
      <c r="AB109" s="26"/>
      <c r="AC109" s="26">
        <f t="shared" si="2"/>
        <v>283305.78497963084</v>
      </c>
      <c r="AD109" s="26" t="str">
        <f>IFERROR($AC109*HDF_Limited_Col!AD109/HDF_Limited_Col!$AH109," ")</f>
        <v xml:space="preserve"> </v>
      </c>
      <c r="AE109" s="26" t="str">
        <f>IFERROR($AC109*HDF_Limited_Col!AE109/HDF_Limited_Col!$AH109," ")</f>
        <v xml:space="preserve"> </v>
      </c>
      <c r="AF109" s="26" t="str">
        <f>IFERROR($AC109*HDF_Limited_Col!AF109/HDF_Limited_Col!$AH109," ")</f>
        <v xml:space="preserve"> </v>
      </c>
      <c r="AG109" s="26" t="str">
        <f>IFERROR($AC109*HDF_Limited_Col!AG109/HDF_Limited_Col!$AH109," ")</f>
        <v xml:space="preserve"> </v>
      </c>
      <c r="AH109" s="26" t="str">
        <f>IFERROR($AC109*HDF_Limited_Col!AH109/HDF_Limited_Col!$AH109," ")</f>
        <v xml:space="preserve"> </v>
      </c>
      <c r="AI109" s="26" t="str">
        <f>IFERROR($AC109*HDF_Limited_Col!AI109/HDF_Limited_Col!$AH109," ")</f>
        <v xml:space="preserve"> </v>
      </c>
      <c r="AJ109" s="26" t="str">
        <f>IFERROR($AC109*HDF_Limited_Col!AJ109/HDF_Limited_Col!$AH109," ")</f>
        <v xml:space="preserve"> </v>
      </c>
      <c r="AK109" s="26" t="str">
        <f>IFERROR($AC109*HDF_Limited_Col!AK109/HDF_Limited_Col!$AH109," ")</f>
        <v xml:space="preserve"> </v>
      </c>
      <c r="AL109" s="26" t="str">
        <f>IFERROR($AC109*HDF_Limited_Col!AL109/HDF_Limited_Col!$AH109," ")</f>
        <v xml:space="preserve"> </v>
      </c>
      <c r="AM109" s="26" t="str">
        <f>IFERROR($AC109*HDF_Limited_Col!AM109/HDF_Limited_Col!$AH109," ")</f>
        <v xml:space="preserve"> </v>
      </c>
      <c r="AN109" s="26" t="str">
        <f>IFERROR($AC109*HDF_Limited_Col!AN109/HDF_Limited_Col!$AH109," ")</f>
        <v xml:space="preserve"> </v>
      </c>
      <c r="AO109" s="26" t="str">
        <f>IFERROR($AC109*HDF_Limited_Col!AO109/HDF_Limited_Col!$AH109," ")</f>
        <v xml:space="preserve"> </v>
      </c>
      <c r="AP109" s="26" t="str">
        <f>IFERROR($AC109*HDF_Limited_Col!AP109/HDF_Limited_Col!$AH109," ")</f>
        <v xml:space="preserve"> </v>
      </c>
      <c r="AQ109" s="26" t="str">
        <f>IFERROR($AC109*HDF_Limited_Col!AQ109/HDF_Limited_Col!$AH109," ")</f>
        <v xml:space="preserve"> </v>
      </c>
      <c r="AR109" s="26" t="str">
        <f>IFERROR($AC109*HDF_Limited_Col!AR109/HDF_Limited_Col!$AH109," ")</f>
        <v xml:space="preserve"> </v>
      </c>
      <c r="AS109" s="26" t="str">
        <f>IFERROR($AC109*HDF_Limited_Col!AS109/HDF_Limited_Col!$AH109," ")</f>
        <v xml:space="preserve"> </v>
      </c>
      <c r="AT109" s="26" t="str">
        <f>IFERROR($AC109*HDF_Limited_Col!AT109/HDF_Limited_Col!$AH109," ")</f>
        <v xml:space="preserve"> </v>
      </c>
      <c r="AU109" s="26" t="str">
        <f>IFERROR($AC109*HDF_Limited_Col!AU109/HDF_Limited_Col!$AH109," ")</f>
        <v xml:space="preserve"> </v>
      </c>
      <c r="AV109" s="26" t="str">
        <f>IFERROR($AC109*HDF_Limited_Col!AV109/HDF_Limited_Col!$AH109," ")</f>
        <v xml:space="preserve"> </v>
      </c>
      <c r="AW109" s="26" t="str">
        <f>IFERROR($AC109*HDF_Limited_Col!AW109/HDF_Limited_Col!$AH109," ")</f>
        <v xml:space="preserve"> </v>
      </c>
      <c r="AX109" s="26" t="str">
        <f>IFERROR($AC109*HDF_Limited_Col!AX109/HDF_Limited_Col!$AH109," ")</f>
        <v xml:space="preserve"> </v>
      </c>
      <c r="AY109" s="26" t="str">
        <f>IFERROR($AC109*HDF_Limited_Col!AY109/HDF_Limited_Col!$AH109," ")</f>
        <v xml:space="preserve"> </v>
      </c>
      <c r="AZ109" s="26" t="str">
        <f>IFERROR($AC109*HDF_Limited_Col!AZ109/HDF_Limited_Col!$AH109," ")</f>
        <v xml:space="preserve"> </v>
      </c>
      <c r="BA109" s="26" t="str">
        <f>IFERROR($AC109*HDF_Limited_Col!BA109/HDF_Limited_Col!$AH109," ")</f>
        <v xml:space="preserve"> </v>
      </c>
      <c r="BB109" s="26" t="str">
        <f>IFERROR($AC109*HDF_Limited_Col!BB109/HDF_Limited_Col!$AH109," ")</f>
        <v xml:space="preserve"> </v>
      </c>
      <c r="BC109" s="26" t="str">
        <f>IFERROR($AC109*HDF_Limited_Col!BC109/HDF_Limited_Col!$AH109," ")</f>
        <v xml:space="preserve"> </v>
      </c>
      <c r="BD109" s="26" t="str">
        <f>IFERROR($AC109*HDF_Limited_Col!BD109/HDF_Limited_Col!$AH109," ")</f>
        <v xml:space="preserve"> </v>
      </c>
      <c r="BE109" s="26" t="str">
        <f>IFERROR($AC109*HDF_Limited_Col!BE109/HDF_Limited_Col!$AH109," ")</f>
        <v xml:space="preserve"> </v>
      </c>
      <c r="BF109" s="26" t="str">
        <f>IFERROR($AC109*HDF_Limited_Col!BF109/HDF_Limited_Col!$AH109," ")</f>
        <v xml:space="preserve"> </v>
      </c>
      <c r="BG109" s="26" t="str">
        <f>IFERROR($AC109*HDF_Limited_Col!BG109/HDF_Limited_Col!$AH109," ")</f>
        <v xml:space="preserve"> </v>
      </c>
      <c r="BH109" s="26" t="str">
        <f>IFERROR($AC109*HDF_Limited_Col!BH109/HDF_Limited_Col!$AH109," ")</f>
        <v xml:space="preserve"> </v>
      </c>
      <c r="BI109" s="26" t="str">
        <f>IFERROR($AC109*HDF_Limited_Col!BI109/HDF_Limited_Col!$AH109," ")</f>
        <v xml:space="preserve"> </v>
      </c>
      <c r="BJ109" s="26" t="str">
        <f>IFERROR($AC109*HDF_Limited_Col!BJ109/HDF_Limited_Col!$AH109," ")</f>
        <v xml:space="preserve"> </v>
      </c>
      <c r="BK109" s="26" t="str">
        <f>IFERROR($AC109*HDF_Limited_Col!BK109/HDF_Limited_Col!$AH109," ")</f>
        <v xml:space="preserve"> </v>
      </c>
      <c r="BL109" s="26" t="str">
        <f>IFERROR($AC109*HDF_Limited_Col!BL109/HDF_Limited_Col!$AH109," ")</f>
        <v xml:space="preserve"> </v>
      </c>
      <c r="BM109" s="26" t="str">
        <f>IFERROR($AC109*HDF_Limited_Col!BM109/HDF_Limited_Col!$AH109," ")</f>
        <v xml:space="preserve"> </v>
      </c>
      <c r="BN109" s="26" t="str">
        <f>IFERROR($AC109*HDF_Limited_Col!BN109/HDF_Limited_Col!$AH109," ")</f>
        <v xml:space="preserve"> </v>
      </c>
      <c r="BO109" s="26" t="str">
        <f>IFERROR($AC109*HDF_Limited_Col!BO109/HDF_Limited_Col!$AH109," ")</f>
        <v xml:space="preserve"> </v>
      </c>
      <c r="BP109" s="26" t="str">
        <f>IFERROR($AC109*HDF_Limited_Col!BP109/HDF_Limited_Col!$AH109," ")</f>
        <v xml:space="preserve"> </v>
      </c>
      <c r="BQ109" s="26" t="str">
        <f>IFERROR($AC109*HDF_Limited_Col!BQ109/HDF_Limited_Col!$AH109," ")</f>
        <v xml:space="preserve"> </v>
      </c>
      <c r="BR109" s="26" t="str">
        <f>IFERROR($AC109*HDF_Limited_Col!BR109/HDF_Limited_Col!$AH109," ")</f>
        <v xml:space="preserve"> </v>
      </c>
      <c r="BS109" s="26" t="str">
        <f>IFERROR($AC109*HDF_Limited_Col!BS109/HDF_Limited_Col!$AH109," ")</f>
        <v xml:space="preserve"> </v>
      </c>
      <c r="BT109" s="26" t="str">
        <f>IFERROR($AC109*HDF_Limited_Col!BT109/HDF_Limited_Col!$AH109," ")</f>
        <v xml:space="preserve"> </v>
      </c>
      <c r="BU109" s="26" t="str">
        <f>IFERROR($AC109*HDF_Limited_Col!BU109/HDF_Limited_Col!$AH109," ")</f>
        <v xml:space="preserve"> </v>
      </c>
      <c r="BV109" s="26" t="str">
        <f>IFERROR($AC109*HDF_Limited_Col!BV109/HDF_Limited_Col!$AH109," ")</f>
        <v xml:space="preserve"> </v>
      </c>
      <c r="BW109" s="26" t="str">
        <f>IFERROR($AC109*HDF_Limited_Col!BW109/HDF_Limited_Col!$AH109," ")</f>
        <v xml:space="preserve"> </v>
      </c>
      <c r="BX109" s="26" t="str">
        <f>IFERROR($AC109*HDF_Limited_Col!BX109/HDF_Limited_Col!$AH109," ")</f>
        <v xml:space="preserve"> </v>
      </c>
      <c r="BY109" s="26" t="str">
        <f>IFERROR($AC109*HDF_Limited_Col!BY109/HDF_Limited_Col!$AH109," ")</f>
        <v xml:space="preserve"> </v>
      </c>
      <c r="BZ109" s="26" t="str">
        <f>IFERROR($AC109*HDF_Limited_Col!BZ109/HDF_Limited_Col!$AH109," ")</f>
        <v xml:space="preserve"> </v>
      </c>
      <c r="CA109" s="26" t="str">
        <f>IFERROR($AC109*HDF_Limited_Col!CA109/HDF_Limited_Col!$AH109," ")</f>
        <v xml:space="preserve"> </v>
      </c>
      <c r="CB109" s="26" t="str">
        <f>IFERROR($AC109*HDF_Limited_Col!CB109/HDF_Limited_Col!$AH109," ")</f>
        <v xml:space="preserve"> </v>
      </c>
      <c r="CC109" s="26" t="str">
        <f>IFERROR($AC109*HDF_Limited_Col!CC109/HDF_Limited_Col!$AH109," ")</f>
        <v xml:space="preserve"> </v>
      </c>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row>
    <row r="110" spans="1:109">
      <c r="A110" s="26" t="s">
        <v>847</v>
      </c>
      <c r="B110" s="26" t="s">
        <v>24</v>
      </c>
      <c r="C110" s="155" t="s">
        <v>546</v>
      </c>
      <c r="D110" s="26" t="s">
        <v>546</v>
      </c>
      <c r="E110" s="26" t="s">
        <v>1394</v>
      </c>
      <c r="F110" s="26" t="s">
        <v>1728</v>
      </c>
      <c r="G110" s="26" t="s">
        <v>595</v>
      </c>
      <c r="H110" s="30">
        <v>84</v>
      </c>
      <c r="I110" s="26" t="s">
        <v>1148</v>
      </c>
      <c r="J110" s="26"/>
      <c r="K110" s="26"/>
      <c r="L110" s="26" t="s">
        <v>161</v>
      </c>
      <c r="M110" s="26" t="s">
        <v>551</v>
      </c>
      <c r="N110" s="26">
        <v>40</v>
      </c>
      <c r="O110" s="95">
        <v>1.5351738581330496</v>
      </c>
      <c r="P110" s="95">
        <v>0</v>
      </c>
      <c r="Q110" s="95">
        <v>0</v>
      </c>
      <c r="R110" s="95">
        <v>7.0133149890729261</v>
      </c>
      <c r="S110" s="95">
        <v>5.0479317325480642</v>
      </c>
      <c r="T110" s="95">
        <v>7.2907496565931691</v>
      </c>
      <c r="U110" s="95">
        <v>0</v>
      </c>
      <c r="V110" s="95">
        <v>19.959912494807273</v>
      </c>
      <c r="W110" s="95">
        <v>38.504006389974919</v>
      </c>
      <c r="X110" s="95">
        <v>3.341947237815554E-2</v>
      </c>
      <c r="Y110" s="95">
        <v>26.623649193448383</v>
      </c>
      <c r="Z110" s="95">
        <v>106.00815778695595</v>
      </c>
      <c r="AA110" s="26"/>
      <c r="AB110" s="26"/>
      <c r="AC110" s="26">
        <f t="shared" si="2"/>
        <v>319636.12085118063</v>
      </c>
      <c r="AD110" s="26" t="str">
        <f>IFERROR($AC110*HDF_Limited_Col!AD110/HDF_Limited_Col!$AH110," ")</f>
        <v xml:space="preserve"> </v>
      </c>
      <c r="AE110" s="26" t="str">
        <f>IFERROR($AC110*HDF_Limited_Col!AE110/HDF_Limited_Col!$AH110," ")</f>
        <v xml:space="preserve"> </v>
      </c>
      <c r="AF110" s="26" t="str">
        <f>IFERROR($AC110*HDF_Limited_Col!AF110/HDF_Limited_Col!$AH110," ")</f>
        <v xml:space="preserve"> </v>
      </c>
      <c r="AG110" s="26" t="str">
        <f>IFERROR($AC110*HDF_Limited_Col!AG110/HDF_Limited_Col!$AH110," ")</f>
        <v xml:space="preserve"> </v>
      </c>
      <c r="AH110" s="26" t="str">
        <f>IFERROR($AC110*HDF_Limited_Col!AH110/HDF_Limited_Col!$AH110," ")</f>
        <v xml:space="preserve"> </v>
      </c>
      <c r="AI110" s="26" t="str">
        <f>IFERROR($AC110*HDF_Limited_Col!AI110/HDF_Limited_Col!$AH110," ")</f>
        <v xml:space="preserve"> </v>
      </c>
      <c r="AJ110" s="26" t="str">
        <f>IFERROR($AC110*HDF_Limited_Col!AJ110/HDF_Limited_Col!$AH110," ")</f>
        <v xml:space="preserve"> </v>
      </c>
      <c r="AK110" s="26" t="str">
        <f>IFERROR($AC110*HDF_Limited_Col!AK110/HDF_Limited_Col!$AH110," ")</f>
        <v xml:space="preserve"> </v>
      </c>
      <c r="AL110" s="26" t="str">
        <f>IFERROR($AC110*HDF_Limited_Col!AL110/HDF_Limited_Col!$AH110," ")</f>
        <v xml:space="preserve"> </v>
      </c>
      <c r="AM110" s="26" t="str">
        <f>IFERROR($AC110*HDF_Limited_Col!AM110/HDF_Limited_Col!$AH110," ")</f>
        <v xml:space="preserve"> </v>
      </c>
      <c r="AN110" s="26" t="str">
        <f>IFERROR($AC110*HDF_Limited_Col!AN110/HDF_Limited_Col!$AH110," ")</f>
        <v xml:space="preserve"> </v>
      </c>
      <c r="AO110" s="26" t="str">
        <f>IFERROR($AC110*HDF_Limited_Col!AO110/HDF_Limited_Col!$AH110," ")</f>
        <v xml:space="preserve"> </v>
      </c>
      <c r="AP110" s="26" t="str">
        <f>IFERROR($AC110*HDF_Limited_Col!AP110/HDF_Limited_Col!$AH110," ")</f>
        <v xml:space="preserve"> </v>
      </c>
      <c r="AQ110" s="26" t="str">
        <f>IFERROR($AC110*HDF_Limited_Col!AQ110/HDF_Limited_Col!$AH110," ")</f>
        <v xml:space="preserve"> </v>
      </c>
      <c r="AR110" s="26" t="str">
        <f>IFERROR($AC110*HDF_Limited_Col!AR110/HDF_Limited_Col!$AH110," ")</f>
        <v xml:space="preserve"> </v>
      </c>
      <c r="AS110" s="26" t="str">
        <f>IFERROR($AC110*HDF_Limited_Col!AS110/HDF_Limited_Col!$AH110," ")</f>
        <v xml:space="preserve"> </v>
      </c>
      <c r="AT110" s="26" t="str">
        <f>IFERROR($AC110*HDF_Limited_Col!AT110/HDF_Limited_Col!$AH110," ")</f>
        <v xml:space="preserve"> </v>
      </c>
      <c r="AU110" s="26" t="str">
        <f>IFERROR($AC110*HDF_Limited_Col!AU110/HDF_Limited_Col!$AH110," ")</f>
        <v xml:space="preserve"> </v>
      </c>
      <c r="AV110" s="26" t="str">
        <f>IFERROR($AC110*HDF_Limited_Col!AV110/HDF_Limited_Col!$AH110," ")</f>
        <v xml:space="preserve"> </v>
      </c>
      <c r="AW110" s="26" t="str">
        <f>IFERROR($AC110*HDF_Limited_Col!AW110/HDF_Limited_Col!$AH110," ")</f>
        <v xml:space="preserve"> </v>
      </c>
      <c r="AX110" s="26" t="str">
        <f>IFERROR($AC110*HDF_Limited_Col!AX110/HDF_Limited_Col!$AH110," ")</f>
        <v xml:space="preserve"> </v>
      </c>
      <c r="AY110" s="26" t="str">
        <f>IFERROR($AC110*HDF_Limited_Col!AY110/HDF_Limited_Col!$AH110," ")</f>
        <v xml:space="preserve"> </v>
      </c>
      <c r="AZ110" s="26" t="str">
        <f>IFERROR($AC110*HDF_Limited_Col!AZ110/HDF_Limited_Col!$AH110," ")</f>
        <v xml:space="preserve"> </v>
      </c>
      <c r="BA110" s="26" t="str">
        <f>IFERROR($AC110*HDF_Limited_Col!BA110/HDF_Limited_Col!$AH110," ")</f>
        <v xml:space="preserve"> </v>
      </c>
      <c r="BB110" s="26" t="str">
        <f>IFERROR($AC110*HDF_Limited_Col!BB110/HDF_Limited_Col!$AH110," ")</f>
        <v xml:space="preserve"> </v>
      </c>
      <c r="BC110" s="26" t="str">
        <f>IFERROR($AC110*HDF_Limited_Col!BC110/HDF_Limited_Col!$AH110," ")</f>
        <v xml:space="preserve"> </v>
      </c>
      <c r="BD110" s="26" t="str">
        <f>IFERROR($AC110*HDF_Limited_Col!BD110/HDF_Limited_Col!$AH110," ")</f>
        <v xml:space="preserve"> </v>
      </c>
      <c r="BE110" s="26" t="str">
        <f>IFERROR($AC110*HDF_Limited_Col!BE110/HDF_Limited_Col!$AH110," ")</f>
        <v xml:space="preserve"> </v>
      </c>
      <c r="BF110" s="26" t="str">
        <f>IFERROR($AC110*HDF_Limited_Col!BF110/HDF_Limited_Col!$AH110," ")</f>
        <v xml:space="preserve"> </v>
      </c>
      <c r="BG110" s="26" t="str">
        <f>IFERROR($AC110*HDF_Limited_Col!BG110/HDF_Limited_Col!$AH110," ")</f>
        <v xml:space="preserve"> </v>
      </c>
      <c r="BH110" s="26" t="str">
        <f>IFERROR($AC110*HDF_Limited_Col!BH110/HDF_Limited_Col!$AH110," ")</f>
        <v xml:space="preserve"> </v>
      </c>
      <c r="BI110" s="26" t="str">
        <f>IFERROR($AC110*HDF_Limited_Col!BI110/HDF_Limited_Col!$AH110," ")</f>
        <v xml:space="preserve"> </v>
      </c>
      <c r="BJ110" s="26" t="str">
        <f>IFERROR($AC110*HDF_Limited_Col!BJ110/HDF_Limited_Col!$AH110," ")</f>
        <v xml:space="preserve"> </v>
      </c>
      <c r="BK110" s="26" t="str">
        <f>IFERROR($AC110*HDF_Limited_Col!BK110/HDF_Limited_Col!$AH110," ")</f>
        <v xml:space="preserve"> </v>
      </c>
      <c r="BL110" s="26" t="str">
        <f>IFERROR($AC110*HDF_Limited_Col!BL110/HDF_Limited_Col!$AH110," ")</f>
        <v xml:space="preserve"> </v>
      </c>
      <c r="BM110" s="26" t="str">
        <f>IFERROR($AC110*HDF_Limited_Col!BM110/HDF_Limited_Col!$AH110," ")</f>
        <v xml:space="preserve"> </v>
      </c>
      <c r="BN110" s="26" t="str">
        <f>IFERROR($AC110*HDF_Limited_Col!BN110/HDF_Limited_Col!$AH110," ")</f>
        <v xml:space="preserve"> </v>
      </c>
      <c r="BO110" s="26" t="str">
        <f>IFERROR($AC110*HDF_Limited_Col!BO110/HDF_Limited_Col!$AH110," ")</f>
        <v xml:space="preserve"> </v>
      </c>
      <c r="BP110" s="26" t="str">
        <f>IFERROR($AC110*HDF_Limited_Col!BP110/HDF_Limited_Col!$AH110," ")</f>
        <v xml:space="preserve"> </v>
      </c>
      <c r="BQ110" s="26" t="str">
        <f>IFERROR($AC110*HDF_Limited_Col!BQ110/HDF_Limited_Col!$AH110," ")</f>
        <v xml:space="preserve"> </v>
      </c>
      <c r="BR110" s="26" t="str">
        <f>IFERROR($AC110*HDF_Limited_Col!BR110/HDF_Limited_Col!$AH110," ")</f>
        <v xml:space="preserve"> </v>
      </c>
      <c r="BS110" s="26" t="str">
        <f>IFERROR($AC110*HDF_Limited_Col!BS110/HDF_Limited_Col!$AH110," ")</f>
        <v xml:space="preserve"> </v>
      </c>
      <c r="BT110" s="26" t="str">
        <f>IFERROR($AC110*HDF_Limited_Col!BT110/HDF_Limited_Col!$AH110," ")</f>
        <v xml:space="preserve"> </v>
      </c>
      <c r="BU110" s="26" t="str">
        <f>IFERROR($AC110*HDF_Limited_Col!BU110/HDF_Limited_Col!$AH110," ")</f>
        <v xml:space="preserve"> </v>
      </c>
      <c r="BV110" s="26" t="str">
        <f>IFERROR($AC110*HDF_Limited_Col!BV110/HDF_Limited_Col!$AH110," ")</f>
        <v xml:space="preserve"> </v>
      </c>
      <c r="BW110" s="26" t="str">
        <f>IFERROR($AC110*HDF_Limited_Col!BW110/HDF_Limited_Col!$AH110," ")</f>
        <v xml:space="preserve"> </v>
      </c>
      <c r="BX110" s="26" t="str">
        <f>IFERROR($AC110*HDF_Limited_Col!BX110/HDF_Limited_Col!$AH110," ")</f>
        <v xml:space="preserve"> </v>
      </c>
      <c r="BY110" s="26" t="str">
        <f>IFERROR($AC110*HDF_Limited_Col!BY110/HDF_Limited_Col!$AH110," ")</f>
        <v xml:space="preserve"> </v>
      </c>
      <c r="BZ110" s="26" t="str">
        <f>IFERROR($AC110*HDF_Limited_Col!BZ110/HDF_Limited_Col!$AH110," ")</f>
        <v xml:space="preserve"> </v>
      </c>
      <c r="CA110" s="26" t="str">
        <f>IFERROR($AC110*HDF_Limited_Col!CA110/HDF_Limited_Col!$AH110," ")</f>
        <v xml:space="preserve"> </v>
      </c>
      <c r="CB110" s="26" t="str">
        <f>IFERROR($AC110*HDF_Limited_Col!CB110/HDF_Limited_Col!$AH110," ")</f>
        <v xml:space="preserve"> </v>
      </c>
      <c r="CC110" s="26" t="str">
        <f>IFERROR($AC110*HDF_Limited_Col!CC110/HDF_Limited_Col!$AH110," ")</f>
        <v xml:space="preserve"> </v>
      </c>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row>
    <row r="111" spans="1:109">
      <c r="A111" s="26" t="s">
        <v>847</v>
      </c>
      <c r="B111" s="26" t="s">
        <v>24</v>
      </c>
      <c r="C111" s="155" t="s">
        <v>546</v>
      </c>
      <c r="D111" s="26" t="s">
        <v>546</v>
      </c>
      <c r="E111" s="26" t="s">
        <v>1394</v>
      </c>
      <c r="F111" s="26" t="s">
        <v>1728</v>
      </c>
      <c r="G111" s="26" t="s">
        <v>595</v>
      </c>
      <c r="H111" s="30">
        <v>84</v>
      </c>
      <c r="I111" s="26" t="s">
        <v>1148</v>
      </c>
      <c r="J111" s="26"/>
      <c r="K111" s="26"/>
      <c r="L111" s="26" t="s">
        <v>161</v>
      </c>
      <c r="M111" s="26" t="s">
        <v>554</v>
      </c>
      <c r="N111" s="26">
        <v>20</v>
      </c>
      <c r="O111" s="95">
        <v>2.085797607956569</v>
      </c>
      <c r="P111" s="95">
        <v>0</v>
      </c>
      <c r="Q111" s="95">
        <v>0</v>
      </c>
      <c r="R111" s="95">
        <v>6.9706707623419</v>
      </c>
      <c r="S111" s="95">
        <v>6.0412479940296464</v>
      </c>
      <c r="T111" s="95">
        <v>7.5218400784340487</v>
      </c>
      <c r="U111" s="95">
        <v>0</v>
      </c>
      <c r="V111" s="95">
        <v>16.62153741470053</v>
      </c>
      <c r="W111" s="95">
        <v>32.96208655060898</v>
      </c>
      <c r="X111" s="95">
        <v>0.69166345548818853</v>
      </c>
      <c r="Y111" s="95">
        <v>35.004655192597539</v>
      </c>
      <c r="Z111" s="95">
        <v>107.8994990561574</v>
      </c>
      <c r="AA111" s="26"/>
      <c r="AB111" s="26"/>
      <c r="AC111" s="26">
        <f t="shared" si="2"/>
        <v>273630.57686746842</v>
      </c>
      <c r="AD111" s="26" t="str">
        <f>IFERROR($AC111*HDF_Limited_Col!AD111/HDF_Limited_Col!$AH111," ")</f>
        <v xml:space="preserve"> </v>
      </c>
      <c r="AE111" s="26" t="str">
        <f>IFERROR($AC111*HDF_Limited_Col!AE111/HDF_Limited_Col!$AH111," ")</f>
        <v xml:space="preserve"> </v>
      </c>
      <c r="AF111" s="26" t="str">
        <f>IFERROR($AC111*HDF_Limited_Col!AF111/HDF_Limited_Col!$AH111," ")</f>
        <v xml:space="preserve"> </v>
      </c>
      <c r="AG111" s="26" t="str">
        <f>IFERROR($AC111*HDF_Limited_Col!AG111/HDF_Limited_Col!$AH111," ")</f>
        <v xml:space="preserve"> </v>
      </c>
      <c r="AH111" s="26" t="str">
        <f>IFERROR($AC111*HDF_Limited_Col!AH111/HDF_Limited_Col!$AH111," ")</f>
        <v xml:space="preserve"> </v>
      </c>
      <c r="AI111" s="26" t="str">
        <f>IFERROR($AC111*HDF_Limited_Col!AI111/HDF_Limited_Col!$AH111," ")</f>
        <v xml:space="preserve"> </v>
      </c>
      <c r="AJ111" s="26" t="str">
        <f>IFERROR($AC111*HDF_Limited_Col!AJ111/HDF_Limited_Col!$AH111," ")</f>
        <v xml:space="preserve"> </v>
      </c>
      <c r="AK111" s="26" t="str">
        <f>IFERROR($AC111*HDF_Limited_Col!AK111/HDF_Limited_Col!$AH111," ")</f>
        <v xml:space="preserve"> </v>
      </c>
      <c r="AL111" s="26" t="str">
        <f>IFERROR($AC111*HDF_Limited_Col!AL111/HDF_Limited_Col!$AH111," ")</f>
        <v xml:space="preserve"> </v>
      </c>
      <c r="AM111" s="26" t="str">
        <f>IFERROR($AC111*HDF_Limited_Col!AM111/HDF_Limited_Col!$AH111," ")</f>
        <v xml:space="preserve"> </v>
      </c>
      <c r="AN111" s="26" t="str">
        <f>IFERROR($AC111*HDF_Limited_Col!AN111/HDF_Limited_Col!$AH111," ")</f>
        <v xml:space="preserve"> </v>
      </c>
      <c r="AO111" s="26" t="str">
        <f>IFERROR($AC111*HDF_Limited_Col!AO111/HDF_Limited_Col!$AH111," ")</f>
        <v xml:space="preserve"> </v>
      </c>
      <c r="AP111" s="26" t="str">
        <f>IFERROR($AC111*HDF_Limited_Col!AP111/HDF_Limited_Col!$AH111," ")</f>
        <v xml:space="preserve"> </v>
      </c>
      <c r="AQ111" s="26" t="str">
        <f>IFERROR($AC111*HDF_Limited_Col!AQ111/HDF_Limited_Col!$AH111," ")</f>
        <v xml:space="preserve"> </v>
      </c>
      <c r="AR111" s="26" t="str">
        <f>IFERROR($AC111*HDF_Limited_Col!AR111/HDF_Limited_Col!$AH111," ")</f>
        <v xml:space="preserve"> </v>
      </c>
      <c r="AS111" s="26" t="str">
        <f>IFERROR($AC111*HDF_Limited_Col!AS111/HDF_Limited_Col!$AH111," ")</f>
        <v xml:space="preserve"> </v>
      </c>
      <c r="AT111" s="26" t="str">
        <f>IFERROR($AC111*HDF_Limited_Col!AT111/HDF_Limited_Col!$AH111," ")</f>
        <v xml:space="preserve"> </v>
      </c>
      <c r="AU111" s="26" t="str">
        <f>IFERROR($AC111*HDF_Limited_Col!AU111/HDF_Limited_Col!$AH111," ")</f>
        <v xml:space="preserve"> </v>
      </c>
      <c r="AV111" s="26" t="str">
        <f>IFERROR($AC111*HDF_Limited_Col!AV111/HDF_Limited_Col!$AH111," ")</f>
        <v xml:space="preserve"> </v>
      </c>
      <c r="AW111" s="26" t="str">
        <f>IFERROR($AC111*HDF_Limited_Col!AW111/HDF_Limited_Col!$AH111," ")</f>
        <v xml:space="preserve"> </v>
      </c>
      <c r="AX111" s="26" t="str">
        <f>IFERROR($AC111*HDF_Limited_Col!AX111/HDF_Limited_Col!$AH111," ")</f>
        <v xml:space="preserve"> </v>
      </c>
      <c r="AY111" s="26" t="str">
        <f>IFERROR($AC111*HDF_Limited_Col!AY111/HDF_Limited_Col!$AH111," ")</f>
        <v xml:space="preserve"> </v>
      </c>
      <c r="AZ111" s="26" t="str">
        <f>IFERROR($AC111*HDF_Limited_Col!AZ111/HDF_Limited_Col!$AH111," ")</f>
        <v xml:space="preserve"> </v>
      </c>
      <c r="BA111" s="26" t="str">
        <f>IFERROR($AC111*HDF_Limited_Col!BA111/HDF_Limited_Col!$AH111," ")</f>
        <v xml:space="preserve"> </v>
      </c>
      <c r="BB111" s="26" t="str">
        <f>IFERROR($AC111*HDF_Limited_Col!BB111/HDF_Limited_Col!$AH111," ")</f>
        <v xml:space="preserve"> </v>
      </c>
      <c r="BC111" s="26" t="str">
        <f>IFERROR($AC111*HDF_Limited_Col!BC111/HDF_Limited_Col!$AH111," ")</f>
        <v xml:space="preserve"> </v>
      </c>
      <c r="BD111" s="26" t="str">
        <f>IFERROR($AC111*HDF_Limited_Col!BD111/HDF_Limited_Col!$AH111," ")</f>
        <v xml:space="preserve"> </v>
      </c>
      <c r="BE111" s="26" t="str">
        <f>IFERROR($AC111*HDF_Limited_Col!BE111/HDF_Limited_Col!$AH111," ")</f>
        <v xml:space="preserve"> </v>
      </c>
      <c r="BF111" s="26" t="str">
        <f>IFERROR($AC111*HDF_Limited_Col!BF111/HDF_Limited_Col!$AH111," ")</f>
        <v xml:space="preserve"> </v>
      </c>
      <c r="BG111" s="26" t="str">
        <f>IFERROR($AC111*HDF_Limited_Col!BG111/HDF_Limited_Col!$AH111," ")</f>
        <v xml:space="preserve"> </v>
      </c>
      <c r="BH111" s="26" t="str">
        <f>IFERROR($AC111*HDF_Limited_Col!BH111/HDF_Limited_Col!$AH111," ")</f>
        <v xml:space="preserve"> </v>
      </c>
      <c r="BI111" s="26" t="str">
        <f>IFERROR($AC111*HDF_Limited_Col!BI111/HDF_Limited_Col!$AH111," ")</f>
        <v xml:space="preserve"> </v>
      </c>
      <c r="BJ111" s="26" t="str">
        <f>IFERROR($AC111*HDF_Limited_Col!BJ111/HDF_Limited_Col!$AH111," ")</f>
        <v xml:space="preserve"> </v>
      </c>
      <c r="BK111" s="26" t="str">
        <f>IFERROR($AC111*HDF_Limited_Col!BK111/HDF_Limited_Col!$AH111," ")</f>
        <v xml:space="preserve"> </v>
      </c>
      <c r="BL111" s="26" t="str">
        <f>IFERROR($AC111*HDF_Limited_Col!BL111/HDF_Limited_Col!$AH111," ")</f>
        <v xml:space="preserve"> </v>
      </c>
      <c r="BM111" s="26" t="str">
        <f>IFERROR($AC111*HDF_Limited_Col!BM111/HDF_Limited_Col!$AH111," ")</f>
        <v xml:space="preserve"> </v>
      </c>
      <c r="BN111" s="26" t="str">
        <f>IFERROR($AC111*HDF_Limited_Col!BN111/HDF_Limited_Col!$AH111," ")</f>
        <v xml:space="preserve"> </v>
      </c>
      <c r="BO111" s="26" t="str">
        <f>IFERROR($AC111*HDF_Limited_Col!BO111/HDF_Limited_Col!$AH111," ")</f>
        <v xml:space="preserve"> </v>
      </c>
      <c r="BP111" s="26" t="str">
        <f>IFERROR($AC111*HDF_Limited_Col!BP111/HDF_Limited_Col!$AH111," ")</f>
        <v xml:space="preserve"> </v>
      </c>
      <c r="BQ111" s="26" t="str">
        <f>IFERROR($AC111*HDF_Limited_Col!BQ111/HDF_Limited_Col!$AH111," ")</f>
        <v xml:space="preserve"> </v>
      </c>
      <c r="BR111" s="26" t="str">
        <f>IFERROR($AC111*HDF_Limited_Col!BR111/HDF_Limited_Col!$AH111," ")</f>
        <v xml:space="preserve"> </v>
      </c>
      <c r="BS111" s="26" t="str">
        <f>IFERROR($AC111*HDF_Limited_Col!BS111/HDF_Limited_Col!$AH111," ")</f>
        <v xml:space="preserve"> </v>
      </c>
      <c r="BT111" s="26" t="str">
        <f>IFERROR($AC111*HDF_Limited_Col!BT111/HDF_Limited_Col!$AH111," ")</f>
        <v xml:space="preserve"> </v>
      </c>
      <c r="BU111" s="26" t="str">
        <f>IFERROR($AC111*HDF_Limited_Col!BU111/HDF_Limited_Col!$AH111," ")</f>
        <v xml:space="preserve"> </v>
      </c>
      <c r="BV111" s="26" t="str">
        <f>IFERROR($AC111*HDF_Limited_Col!BV111/HDF_Limited_Col!$AH111," ")</f>
        <v xml:space="preserve"> </v>
      </c>
      <c r="BW111" s="26" t="str">
        <f>IFERROR($AC111*HDF_Limited_Col!BW111/HDF_Limited_Col!$AH111," ")</f>
        <v xml:space="preserve"> </v>
      </c>
      <c r="BX111" s="26" t="str">
        <f>IFERROR($AC111*HDF_Limited_Col!BX111/HDF_Limited_Col!$AH111," ")</f>
        <v xml:space="preserve"> </v>
      </c>
      <c r="BY111" s="26" t="str">
        <f>IFERROR($AC111*HDF_Limited_Col!BY111/HDF_Limited_Col!$AH111," ")</f>
        <v xml:space="preserve"> </v>
      </c>
      <c r="BZ111" s="26" t="str">
        <f>IFERROR($AC111*HDF_Limited_Col!BZ111/HDF_Limited_Col!$AH111," ")</f>
        <v xml:space="preserve"> </v>
      </c>
      <c r="CA111" s="26" t="str">
        <f>IFERROR($AC111*HDF_Limited_Col!CA111/HDF_Limited_Col!$AH111," ")</f>
        <v xml:space="preserve"> </v>
      </c>
      <c r="CB111" s="26" t="str">
        <f>IFERROR($AC111*HDF_Limited_Col!CB111/HDF_Limited_Col!$AH111," ")</f>
        <v xml:space="preserve"> </v>
      </c>
      <c r="CC111" s="26" t="str">
        <f>IFERROR($AC111*HDF_Limited_Col!CC111/HDF_Limited_Col!$AH111," ")</f>
        <v xml:space="preserve"> </v>
      </c>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row>
    <row r="112" spans="1:109">
      <c r="A112" s="26" t="s">
        <v>847</v>
      </c>
      <c r="B112" s="26" t="s">
        <v>24</v>
      </c>
      <c r="C112" s="155" t="s">
        <v>546</v>
      </c>
      <c r="D112" s="26" t="s">
        <v>546</v>
      </c>
      <c r="E112" s="26" t="s">
        <v>1394</v>
      </c>
      <c r="F112" s="26" t="s">
        <v>1728</v>
      </c>
      <c r="G112" s="26" t="s">
        <v>595</v>
      </c>
      <c r="H112" s="30">
        <v>84</v>
      </c>
      <c r="I112" s="26" t="s">
        <v>1148</v>
      </c>
      <c r="J112" s="26"/>
      <c r="K112" s="26"/>
      <c r="L112" s="26" t="s">
        <v>571</v>
      </c>
      <c r="M112" s="26" t="s">
        <v>557</v>
      </c>
      <c r="N112" s="26">
        <v>13</v>
      </c>
      <c r="O112" s="95">
        <v>2.7559488717712832</v>
      </c>
      <c r="P112" s="95">
        <v>0.79046595546928278</v>
      </c>
      <c r="Q112" s="95">
        <v>0</v>
      </c>
      <c r="R112" s="95">
        <v>7.3705609361325015</v>
      </c>
      <c r="S112" s="95">
        <v>6.3130456713830565</v>
      </c>
      <c r="T112" s="95">
        <v>5.1807566000351644</v>
      </c>
      <c r="U112" s="95">
        <v>0</v>
      </c>
      <c r="V112" s="95">
        <v>22.795329040154723</v>
      </c>
      <c r="W112" s="95">
        <v>31.362270881862354</v>
      </c>
      <c r="X112" s="95">
        <v>0.80114792784048927</v>
      </c>
      <c r="Y112" s="95">
        <v>29.225876407621048</v>
      </c>
      <c r="Z112" s="95">
        <v>106.5954022922699</v>
      </c>
      <c r="AA112" s="26"/>
      <c r="AB112" s="26"/>
      <c r="AC112" s="26">
        <f t="shared" si="2"/>
        <v>260349.91019460373</v>
      </c>
      <c r="AD112" s="26" t="str">
        <f>IFERROR($AC112*HDF_Limited_Col!AD112/HDF_Limited_Col!$AH112," ")</f>
        <v xml:space="preserve"> </v>
      </c>
      <c r="AE112" s="26" t="str">
        <f>IFERROR($AC112*HDF_Limited_Col!AE112/HDF_Limited_Col!$AH112," ")</f>
        <v xml:space="preserve"> </v>
      </c>
      <c r="AF112" s="26" t="str">
        <f>IFERROR($AC112*HDF_Limited_Col!AF112/HDF_Limited_Col!$AH112," ")</f>
        <v xml:space="preserve"> </v>
      </c>
      <c r="AG112" s="26" t="str">
        <f>IFERROR($AC112*HDF_Limited_Col!AG112/HDF_Limited_Col!$AH112," ")</f>
        <v xml:space="preserve"> </v>
      </c>
      <c r="AH112" s="26" t="str">
        <f>IFERROR($AC112*HDF_Limited_Col!AH112/HDF_Limited_Col!$AH112," ")</f>
        <v xml:space="preserve"> </v>
      </c>
      <c r="AI112" s="26" t="str">
        <f>IFERROR($AC112*HDF_Limited_Col!AI112/HDF_Limited_Col!$AH112," ")</f>
        <v xml:space="preserve"> </v>
      </c>
      <c r="AJ112" s="26" t="str">
        <f>IFERROR($AC112*HDF_Limited_Col!AJ112/HDF_Limited_Col!$AH112," ")</f>
        <v xml:space="preserve"> </v>
      </c>
      <c r="AK112" s="26" t="str">
        <f>IFERROR($AC112*HDF_Limited_Col!AK112/HDF_Limited_Col!$AH112," ")</f>
        <v xml:space="preserve"> </v>
      </c>
      <c r="AL112" s="26" t="str">
        <f>IFERROR($AC112*HDF_Limited_Col!AL112/HDF_Limited_Col!$AH112," ")</f>
        <v xml:space="preserve"> </v>
      </c>
      <c r="AM112" s="26" t="str">
        <f>IFERROR($AC112*HDF_Limited_Col!AM112/HDF_Limited_Col!$AH112," ")</f>
        <v xml:space="preserve"> </v>
      </c>
      <c r="AN112" s="26" t="str">
        <f>IFERROR($AC112*HDF_Limited_Col!AN112/HDF_Limited_Col!$AH112," ")</f>
        <v xml:space="preserve"> </v>
      </c>
      <c r="AO112" s="26" t="str">
        <f>IFERROR($AC112*HDF_Limited_Col!AO112/HDF_Limited_Col!$AH112," ")</f>
        <v xml:space="preserve"> </v>
      </c>
      <c r="AP112" s="26" t="str">
        <f>IFERROR($AC112*HDF_Limited_Col!AP112/HDF_Limited_Col!$AH112," ")</f>
        <v xml:space="preserve"> </v>
      </c>
      <c r="AQ112" s="26" t="str">
        <f>IFERROR($AC112*HDF_Limited_Col!AQ112/HDF_Limited_Col!$AH112," ")</f>
        <v xml:space="preserve"> </v>
      </c>
      <c r="AR112" s="26" t="str">
        <f>IFERROR($AC112*HDF_Limited_Col!AR112/HDF_Limited_Col!$AH112," ")</f>
        <v xml:space="preserve"> </v>
      </c>
      <c r="AS112" s="26" t="str">
        <f>IFERROR($AC112*HDF_Limited_Col!AS112/HDF_Limited_Col!$AH112," ")</f>
        <v xml:space="preserve"> </v>
      </c>
      <c r="AT112" s="26" t="str">
        <f>IFERROR($AC112*HDF_Limited_Col!AT112/HDF_Limited_Col!$AH112," ")</f>
        <v xml:space="preserve"> </v>
      </c>
      <c r="AU112" s="26" t="str">
        <f>IFERROR($AC112*HDF_Limited_Col!AU112/HDF_Limited_Col!$AH112," ")</f>
        <v xml:space="preserve"> </v>
      </c>
      <c r="AV112" s="26" t="str">
        <f>IFERROR($AC112*HDF_Limited_Col!AV112/HDF_Limited_Col!$AH112," ")</f>
        <v xml:space="preserve"> </v>
      </c>
      <c r="AW112" s="26" t="str">
        <f>IFERROR($AC112*HDF_Limited_Col!AW112/HDF_Limited_Col!$AH112," ")</f>
        <v xml:space="preserve"> </v>
      </c>
      <c r="AX112" s="26" t="str">
        <f>IFERROR($AC112*HDF_Limited_Col!AX112/HDF_Limited_Col!$AH112," ")</f>
        <v xml:space="preserve"> </v>
      </c>
      <c r="AY112" s="26" t="str">
        <f>IFERROR($AC112*HDF_Limited_Col!AY112/HDF_Limited_Col!$AH112," ")</f>
        <v xml:space="preserve"> </v>
      </c>
      <c r="AZ112" s="26" t="str">
        <f>IFERROR($AC112*HDF_Limited_Col!AZ112/HDF_Limited_Col!$AH112," ")</f>
        <v xml:space="preserve"> </v>
      </c>
      <c r="BA112" s="26" t="str">
        <f>IFERROR($AC112*HDF_Limited_Col!BA112/HDF_Limited_Col!$AH112," ")</f>
        <v xml:space="preserve"> </v>
      </c>
      <c r="BB112" s="26" t="str">
        <f>IFERROR($AC112*HDF_Limited_Col!BB112/HDF_Limited_Col!$AH112," ")</f>
        <v xml:space="preserve"> </v>
      </c>
      <c r="BC112" s="26" t="str">
        <f>IFERROR($AC112*HDF_Limited_Col!BC112/HDF_Limited_Col!$AH112," ")</f>
        <v xml:space="preserve"> </v>
      </c>
      <c r="BD112" s="26" t="str">
        <f>IFERROR($AC112*HDF_Limited_Col!BD112/HDF_Limited_Col!$AH112," ")</f>
        <v xml:space="preserve"> </v>
      </c>
      <c r="BE112" s="26" t="str">
        <f>IFERROR($AC112*HDF_Limited_Col!BE112/HDF_Limited_Col!$AH112," ")</f>
        <v xml:space="preserve"> </v>
      </c>
      <c r="BF112" s="26" t="str">
        <f>IFERROR($AC112*HDF_Limited_Col!BF112/HDF_Limited_Col!$AH112," ")</f>
        <v xml:space="preserve"> </v>
      </c>
      <c r="BG112" s="26" t="str">
        <f>IFERROR($AC112*HDF_Limited_Col!BG112/HDF_Limited_Col!$AH112," ")</f>
        <v xml:space="preserve"> </v>
      </c>
      <c r="BH112" s="26" t="str">
        <f>IFERROR($AC112*HDF_Limited_Col!BH112/HDF_Limited_Col!$AH112," ")</f>
        <v xml:space="preserve"> </v>
      </c>
      <c r="BI112" s="26" t="str">
        <f>IFERROR($AC112*HDF_Limited_Col!BI112/HDF_Limited_Col!$AH112," ")</f>
        <v xml:space="preserve"> </v>
      </c>
      <c r="BJ112" s="26" t="str">
        <f>IFERROR($AC112*HDF_Limited_Col!BJ112/HDF_Limited_Col!$AH112," ")</f>
        <v xml:space="preserve"> </v>
      </c>
      <c r="BK112" s="26" t="str">
        <f>IFERROR($AC112*HDF_Limited_Col!BK112/HDF_Limited_Col!$AH112," ")</f>
        <v xml:space="preserve"> </v>
      </c>
      <c r="BL112" s="26" t="str">
        <f>IFERROR($AC112*HDF_Limited_Col!BL112/HDF_Limited_Col!$AH112," ")</f>
        <v xml:space="preserve"> </v>
      </c>
      <c r="BM112" s="26" t="str">
        <f>IFERROR($AC112*HDF_Limited_Col!BM112/HDF_Limited_Col!$AH112," ")</f>
        <v xml:space="preserve"> </v>
      </c>
      <c r="BN112" s="26" t="str">
        <f>IFERROR($AC112*HDF_Limited_Col!BN112/HDF_Limited_Col!$AH112," ")</f>
        <v xml:space="preserve"> </v>
      </c>
      <c r="BO112" s="26" t="str">
        <f>IFERROR($AC112*HDF_Limited_Col!BO112/HDF_Limited_Col!$AH112," ")</f>
        <v xml:space="preserve"> </v>
      </c>
      <c r="BP112" s="26" t="str">
        <f>IFERROR($AC112*HDF_Limited_Col!BP112/HDF_Limited_Col!$AH112," ")</f>
        <v xml:space="preserve"> </v>
      </c>
      <c r="BQ112" s="26" t="str">
        <f>IFERROR($AC112*HDF_Limited_Col!BQ112/HDF_Limited_Col!$AH112," ")</f>
        <v xml:space="preserve"> </v>
      </c>
      <c r="BR112" s="26" t="str">
        <f>IFERROR($AC112*HDF_Limited_Col!BR112/HDF_Limited_Col!$AH112," ")</f>
        <v xml:space="preserve"> </v>
      </c>
      <c r="BS112" s="26" t="str">
        <f>IFERROR($AC112*HDF_Limited_Col!BS112/HDF_Limited_Col!$AH112," ")</f>
        <v xml:space="preserve"> </v>
      </c>
      <c r="BT112" s="26" t="str">
        <f>IFERROR($AC112*HDF_Limited_Col!BT112/HDF_Limited_Col!$AH112," ")</f>
        <v xml:space="preserve"> </v>
      </c>
      <c r="BU112" s="26" t="str">
        <f>IFERROR($AC112*HDF_Limited_Col!BU112/HDF_Limited_Col!$AH112," ")</f>
        <v xml:space="preserve"> </v>
      </c>
      <c r="BV112" s="26" t="str">
        <f>IFERROR($AC112*HDF_Limited_Col!BV112/HDF_Limited_Col!$AH112," ")</f>
        <v xml:space="preserve"> </v>
      </c>
      <c r="BW112" s="26" t="str">
        <f>IFERROR($AC112*HDF_Limited_Col!BW112/HDF_Limited_Col!$AH112," ")</f>
        <v xml:space="preserve"> </v>
      </c>
      <c r="BX112" s="26" t="str">
        <f>IFERROR($AC112*HDF_Limited_Col!BX112/HDF_Limited_Col!$AH112," ")</f>
        <v xml:space="preserve"> </v>
      </c>
      <c r="BY112" s="26" t="str">
        <f>IFERROR($AC112*HDF_Limited_Col!BY112/HDF_Limited_Col!$AH112," ")</f>
        <v xml:space="preserve"> </v>
      </c>
      <c r="BZ112" s="26" t="str">
        <f>IFERROR($AC112*HDF_Limited_Col!BZ112/HDF_Limited_Col!$AH112," ")</f>
        <v xml:space="preserve"> </v>
      </c>
      <c r="CA112" s="26" t="str">
        <f>IFERROR($AC112*HDF_Limited_Col!CA112/HDF_Limited_Col!$AH112," ")</f>
        <v xml:space="preserve"> </v>
      </c>
      <c r="CB112" s="26" t="str">
        <f>IFERROR($AC112*HDF_Limited_Col!CB112/HDF_Limited_Col!$AH112," ")</f>
        <v xml:space="preserve"> </v>
      </c>
      <c r="CC112" s="26" t="str">
        <f>IFERROR($AC112*HDF_Limited_Col!CC112/HDF_Limited_Col!$AH112," ")</f>
        <v xml:space="preserve"> </v>
      </c>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row>
    <row r="113" spans="1:109">
      <c r="A113" s="26" t="s">
        <v>847</v>
      </c>
      <c r="B113" s="26" t="s">
        <v>24</v>
      </c>
      <c r="C113" s="155" t="s">
        <v>546</v>
      </c>
      <c r="D113" s="26" t="s">
        <v>546</v>
      </c>
      <c r="E113" s="26" t="s">
        <v>1394</v>
      </c>
      <c r="F113" s="26" t="s">
        <v>1728</v>
      </c>
      <c r="G113" s="26" t="s">
        <v>595</v>
      </c>
      <c r="H113" s="30">
        <v>84</v>
      </c>
      <c r="I113" s="26" t="s">
        <v>1148</v>
      </c>
      <c r="J113" s="26"/>
      <c r="K113" s="26"/>
      <c r="L113" s="26" t="s">
        <v>561</v>
      </c>
      <c r="M113" s="26" t="s">
        <v>560</v>
      </c>
      <c r="N113" s="26">
        <v>55</v>
      </c>
      <c r="O113" s="95">
        <v>2.3447825337292323</v>
      </c>
      <c r="P113" s="95">
        <v>0.10165807216434888</v>
      </c>
      <c r="Q113" s="95">
        <v>0</v>
      </c>
      <c r="R113" s="95">
        <v>20.408835468456157</v>
      </c>
      <c r="S113" s="95">
        <v>3.2106356137598118</v>
      </c>
      <c r="T113" s="95">
        <v>6.4992742482764969</v>
      </c>
      <c r="U113" s="95">
        <v>0</v>
      </c>
      <c r="V113" s="95">
        <v>11.456278244044249</v>
      </c>
      <c r="W113" s="95">
        <v>30.516384789689166</v>
      </c>
      <c r="X113" s="95">
        <v>0.16147993770721575</v>
      </c>
      <c r="Y113" s="95">
        <v>32.674272867670098</v>
      </c>
      <c r="Z113" s="95">
        <v>107.37360177549678</v>
      </c>
      <c r="AA113" s="26"/>
      <c r="AB113" s="26"/>
      <c r="AC113" s="26">
        <f t="shared" si="2"/>
        <v>253327.89418811878</v>
      </c>
      <c r="AD113" s="26" t="str">
        <f>IFERROR($AC113*HDF_Limited_Col!AD113/HDF_Limited_Col!$AH113," ")</f>
        <v xml:space="preserve"> </v>
      </c>
      <c r="AE113" s="26" t="str">
        <f>IFERROR($AC113*HDF_Limited_Col!AE113/HDF_Limited_Col!$AH113," ")</f>
        <v xml:space="preserve"> </v>
      </c>
      <c r="AF113" s="26" t="str">
        <f>IFERROR($AC113*HDF_Limited_Col!AF113/HDF_Limited_Col!$AH113," ")</f>
        <v xml:space="preserve"> </v>
      </c>
      <c r="AG113" s="26" t="str">
        <f>IFERROR($AC113*HDF_Limited_Col!AG113/HDF_Limited_Col!$AH113," ")</f>
        <v xml:space="preserve"> </v>
      </c>
      <c r="AH113" s="26" t="str">
        <f>IFERROR($AC113*HDF_Limited_Col!AH113/HDF_Limited_Col!$AH113," ")</f>
        <v xml:space="preserve"> </v>
      </c>
      <c r="AI113" s="26" t="str">
        <f>IFERROR($AC113*HDF_Limited_Col!AI113/HDF_Limited_Col!$AH113," ")</f>
        <v xml:space="preserve"> </v>
      </c>
      <c r="AJ113" s="26" t="str">
        <f>IFERROR($AC113*HDF_Limited_Col!AJ113/HDF_Limited_Col!$AH113," ")</f>
        <v xml:space="preserve"> </v>
      </c>
      <c r="AK113" s="26" t="str">
        <f>IFERROR($AC113*HDF_Limited_Col!AK113/HDF_Limited_Col!$AH113," ")</f>
        <v xml:space="preserve"> </v>
      </c>
      <c r="AL113" s="26" t="str">
        <f>IFERROR($AC113*HDF_Limited_Col!AL113/HDF_Limited_Col!$AH113," ")</f>
        <v xml:space="preserve"> </v>
      </c>
      <c r="AM113" s="26" t="str">
        <f>IFERROR($AC113*HDF_Limited_Col!AM113/HDF_Limited_Col!$AH113," ")</f>
        <v xml:space="preserve"> </v>
      </c>
      <c r="AN113" s="26" t="str">
        <f>IFERROR($AC113*HDF_Limited_Col!AN113/HDF_Limited_Col!$AH113," ")</f>
        <v xml:space="preserve"> </v>
      </c>
      <c r="AO113" s="26" t="str">
        <f>IFERROR($AC113*HDF_Limited_Col!AO113/HDF_Limited_Col!$AH113," ")</f>
        <v xml:space="preserve"> </v>
      </c>
      <c r="AP113" s="26" t="str">
        <f>IFERROR($AC113*HDF_Limited_Col!AP113/HDF_Limited_Col!$AH113," ")</f>
        <v xml:space="preserve"> </v>
      </c>
      <c r="AQ113" s="26" t="str">
        <f>IFERROR($AC113*HDF_Limited_Col!AQ113/HDF_Limited_Col!$AH113," ")</f>
        <v xml:space="preserve"> </v>
      </c>
      <c r="AR113" s="26" t="str">
        <f>IFERROR($AC113*HDF_Limited_Col!AR113/HDF_Limited_Col!$AH113," ")</f>
        <v xml:space="preserve"> </v>
      </c>
      <c r="AS113" s="26" t="str">
        <f>IFERROR($AC113*HDF_Limited_Col!AS113/HDF_Limited_Col!$AH113," ")</f>
        <v xml:space="preserve"> </v>
      </c>
      <c r="AT113" s="26" t="str">
        <f>IFERROR($AC113*HDF_Limited_Col!AT113/HDF_Limited_Col!$AH113," ")</f>
        <v xml:space="preserve"> </v>
      </c>
      <c r="AU113" s="26" t="str">
        <f>IFERROR($AC113*HDF_Limited_Col!AU113/HDF_Limited_Col!$AH113," ")</f>
        <v xml:space="preserve"> </v>
      </c>
      <c r="AV113" s="26" t="str">
        <f>IFERROR($AC113*HDF_Limited_Col!AV113/HDF_Limited_Col!$AH113," ")</f>
        <v xml:space="preserve"> </v>
      </c>
      <c r="AW113" s="26" t="str">
        <f>IFERROR($AC113*HDF_Limited_Col!AW113/HDF_Limited_Col!$AH113," ")</f>
        <v xml:space="preserve"> </v>
      </c>
      <c r="AX113" s="26" t="str">
        <f>IFERROR($AC113*HDF_Limited_Col!AX113/HDF_Limited_Col!$AH113," ")</f>
        <v xml:space="preserve"> </v>
      </c>
      <c r="AY113" s="26" t="str">
        <f>IFERROR($AC113*HDF_Limited_Col!AY113/HDF_Limited_Col!$AH113," ")</f>
        <v xml:space="preserve"> </v>
      </c>
      <c r="AZ113" s="26" t="str">
        <f>IFERROR($AC113*HDF_Limited_Col!AZ113/HDF_Limited_Col!$AH113," ")</f>
        <v xml:space="preserve"> </v>
      </c>
      <c r="BA113" s="26" t="str">
        <f>IFERROR($AC113*HDF_Limited_Col!BA113/HDF_Limited_Col!$AH113," ")</f>
        <v xml:space="preserve"> </v>
      </c>
      <c r="BB113" s="26" t="str">
        <f>IFERROR($AC113*HDF_Limited_Col!BB113/HDF_Limited_Col!$AH113," ")</f>
        <v xml:space="preserve"> </v>
      </c>
      <c r="BC113" s="26" t="str">
        <f>IFERROR($AC113*HDF_Limited_Col!BC113/HDF_Limited_Col!$AH113," ")</f>
        <v xml:space="preserve"> </v>
      </c>
      <c r="BD113" s="26" t="str">
        <f>IFERROR($AC113*HDF_Limited_Col!BD113/HDF_Limited_Col!$AH113," ")</f>
        <v xml:space="preserve"> </v>
      </c>
      <c r="BE113" s="26" t="str">
        <f>IFERROR($AC113*HDF_Limited_Col!BE113/HDF_Limited_Col!$AH113," ")</f>
        <v xml:space="preserve"> </v>
      </c>
      <c r="BF113" s="26" t="str">
        <f>IFERROR($AC113*HDF_Limited_Col!BF113/HDF_Limited_Col!$AH113," ")</f>
        <v xml:space="preserve"> </v>
      </c>
      <c r="BG113" s="26" t="str">
        <f>IFERROR($AC113*HDF_Limited_Col!BG113/HDF_Limited_Col!$AH113," ")</f>
        <v xml:space="preserve"> </v>
      </c>
      <c r="BH113" s="26" t="str">
        <f>IFERROR($AC113*HDF_Limited_Col!BH113/HDF_Limited_Col!$AH113," ")</f>
        <v xml:space="preserve"> </v>
      </c>
      <c r="BI113" s="26" t="str">
        <f>IFERROR($AC113*HDF_Limited_Col!BI113/HDF_Limited_Col!$AH113," ")</f>
        <v xml:space="preserve"> </v>
      </c>
      <c r="BJ113" s="26" t="str">
        <f>IFERROR($AC113*HDF_Limited_Col!BJ113/HDF_Limited_Col!$AH113," ")</f>
        <v xml:space="preserve"> </v>
      </c>
      <c r="BK113" s="26" t="str">
        <f>IFERROR($AC113*HDF_Limited_Col!BK113/HDF_Limited_Col!$AH113," ")</f>
        <v xml:space="preserve"> </v>
      </c>
      <c r="BL113" s="26" t="str">
        <f>IFERROR($AC113*HDF_Limited_Col!BL113/HDF_Limited_Col!$AH113," ")</f>
        <v xml:space="preserve"> </v>
      </c>
      <c r="BM113" s="26" t="str">
        <f>IFERROR($AC113*HDF_Limited_Col!BM113/HDF_Limited_Col!$AH113," ")</f>
        <v xml:space="preserve"> </v>
      </c>
      <c r="BN113" s="26" t="str">
        <f>IFERROR($AC113*HDF_Limited_Col!BN113/HDF_Limited_Col!$AH113," ")</f>
        <v xml:space="preserve"> </v>
      </c>
      <c r="BO113" s="26" t="str">
        <f>IFERROR($AC113*HDF_Limited_Col!BO113/HDF_Limited_Col!$AH113," ")</f>
        <v xml:space="preserve"> </v>
      </c>
      <c r="BP113" s="26" t="str">
        <f>IFERROR($AC113*HDF_Limited_Col!BP113/HDF_Limited_Col!$AH113," ")</f>
        <v xml:space="preserve"> </v>
      </c>
      <c r="BQ113" s="26" t="str">
        <f>IFERROR($AC113*HDF_Limited_Col!BQ113/HDF_Limited_Col!$AH113," ")</f>
        <v xml:space="preserve"> </v>
      </c>
      <c r="BR113" s="26" t="str">
        <f>IFERROR($AC113*HDF_Limited_Col!BR113/HDF_Limited_Col!$AH113," ")</f>
        <v xml:space="preserve"> </v>
      </c>
      <c r="BS113" s="26" t="str">
        <f>IFERROR($AC113*HDF_Limited_Col!BS113/HDF_Limited_Col!$AH113," ")</f>
        <v xml:space="preserve"> </v>
      </c>
      <c r="BT113" s="26" t="str">
        <f>IFERROR($AC113*HDF_Limited_Col!BT113/HDF_Limited_Col!$AH113," ")</f>
        <v xml:space="preserve"> </v>
      </c>
      <c r="BU113" s="26" t="str">
        <f>IFERROR($AC113*HDF_Limited_Col!BU113/HDF_Limited_Col!$AH113," ")</f>
        <v xml:space="preserve"> </v>
      </c>
      <c r="BV113" s="26" t="str">
        <f>IFERROR($AC113*HDF_Limited_Col!BV113/HDF_Limited_Col!$AH113," ")</f>
        <v xml:space="preserve"> </v>
      </c>
      <c r="BW113" s="26" t="str">
        <f>IFERROR($AC113*HDF_Limited_Col!BW113/HDF_Limited_Col!$AH113," ")</f>
        <v xml:space="preserve"> </v>
      </c>
      <c r="BX113" s="26" t="str">
        <f>IFERROR($AC113*HDF_Limited_Col!BX113/HDF_Limited_Col!$AH113," ")</f>
        <v xml:space="preserve"> </v>
      </c>
      <c r="BY113" s="26" t="str">
        <f>IFERROR($AC113*HDF_Limited_Col!BY113/HDF_Limited_Col!$AH113," ")</f>
        <v xml:space="preserve"> </v>
      </c>
      <c r="BZ113" s="26" t="str">
        <f>IFERROR($AC113*HDF_Limited_Col!BZ113/HDF_Limited_Col!$AH113," ")</f>
        <v xml:space="preserve"> </v>
      </c>
      <c r="CA113" s="26" t="str">
        <f>IFERROR($AC113*HDF_Limited_Col!CA113/HDF_Limited_Col!$AH113," ")</f>
        <v xml:space="preserve"> </v>
      </c>
      <c r="CB113" s="26" t="str">
        <f>IFERROR($AC113*HDF_Limited_Col!CB113/HDF_Limited_Col!$AH113," ")</f>
        <v xml:space="preserve"> </v>
      </c>
      <c r="CC113" s="26" t="str">
        <f>IFERROR($AC113*HDF_Limited_Col!CC113/HDF_Limited_Col!$AH113," ")</f>
        <v xml:space="preserve"> </v>
      </c>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row>
    <row r="114" spans="1:109">
      <c r="A114" s="26" t="s">
        <v>772</v>
      </c>
      <c r="B114" s="26" t="s">
        <v>24</v>
      </c>
      <c r="C114" s="155" t="s">
        <v>546</v>
      </c>
      <c r="D114" s="26" t="s">
        <v>119</v>
      </c>
      <c r="E114" s="26" t="s">
        <v>1394</v>
      </c>
      <c r="F114" s="26" t="s">
        <v>1728</v>
      </c>
      <c r="G114" s="26" t="s">
        <v>595</v>
      </c>
      <c r="H114" s="30">
        <v>84</v>
      </c>
      <c r="I114" s="26"/>
      <c r="J114" s="26" t="s">
        <v>635</v>
      </c>
      <c r="K114" s="26" t="s">
        <v>585</v>
      </c>
      <c r="L114" s="26" t="s">
        <v>1172</v>
      </c>
      <c r="M114" s="26" t="s">
        <v>577</v>
      </c>
      <c r="N114" s="26">
        <v>26</v>
      </c>
      <c r="O114" s="95">
        <v>1.9501966700450044</v>
      </c>
      <c r="P114" s="95">
        <v>0.35003529975166747</v>
      </c>
      <c r="Q114" s="95">
        <v>0.75007564232500179</v>
      </c>
      <c r="R114" s="95">
        <v>4.6804720081080111</v>
      </c>
      <c r="S114" s="95">
        <v>3.0103035778643399</v>
      </c>
      <c r="T114" s="95">
        <v>10.421050924035358</v>
      </c>
      <c r="U114" s="95">
        <v>1.1701180020270028</v>
      </c>
      <c r="V114" s="95">
        <v>22.42226120123539</v>
      </c>
      <c r="W114" s="95">
        <v>27.252748337808399</v>
      </c>
      <c r="X114" s="95">
        <v>1.0201028735620024</v>
      </c>
      <c r="Y114" s="95">
        <v>34.833512829573074</v>
      </c>
      <c r="Z114" s="95">
        <v>107.86087736633525</v>
      </c>
      <c r="AA114" s="26"/>
      <c r="AB114" s="26"/>
      <c r="AC114" s="26">
        <f t="shared" si="2"/>
        <v>226235.23051093621</v>
      </c>
      <c r="AD114" s="26">
        <f>IFERROR($AC114*HDF_Limited_Col!AD114/HDF_Limited_Col!$AH114," ")</f>
        <v>0</v>
      </c>
      <c r="AE114" s="26">
        <f>IFERROR($AC114*HDF_Limited_Col!AE114/HDF_Limited_Col!$AH114," ")</f>
        <v>0</v>
      </c>
      <c r="AF114" s="26">
        <f>IFERROR($AC114*HDF_Limited_Col!AF114/HDF_Limited_Col!$AH114," ")</f>
        <v>0</v>
      </c>
      <c r="AG114" s="26">
        <f>IFERROR($AC114*HDF_Limited_Col!AG114/HDF_Limited_Col!$AH114," ")</f>
        <v>0</v>
      </c>
      <c r="AH114" s="26">
        <f>IFERROR($AC114*HDF_Limited_Col!AH114/HDF_Limited_Col!$AH114," ")</f>
        <v>226235.23051093621</v>
      </c>
      <c r="AI114" s="26">
        <f>IFERROR($AC114*HDF_Limited_Col!AI114/HDF_Limited_Col!$AH114," ")</f>
        <v>0</v>
      </c>
      <c r="AJ114" s="26">
        <f>IFERROR($AC114*HDF_Limited_Col!AJ114/HDF_Limited_Col!$AH114," ")</f>
        <v>1221.545597249132</v>
      </c>
      <c r="AK114" s="26">
        <f>IFERROR($AC114*HDF_Limited_Col!AK114/HDF_Limited_Col!$AH114," ")</f>
        <v>0</v>
      </c>
      <c r="AL114" s="26">
        <f>IFERROR($AC114*HDF_Limited_Col!AL114/HDF_Limited_Col!$AH114," ")</f>
        <v>0</v>
      </c>
      <c r="AM114" s="26">
        <f>IFERROR($AC114*HDF_Limited_Col!AM114/HDF_Limited_Col!$AH114," ")</f>
        <v>0</v>
      </c>
      <c r="AN114" s="26">
        <f>IFERROR($AC114*HDF_Limited_Col!AN114/HDF_Limited_Col!$AH114," ")</f>
        <v>0</v>
      </c>
      <c r="AO114" s="26">
        <f>IFERROR($AC114*HDF_Limited_Col!AO114/HDF_Limited_Col!$AH114," ")</f>
        <v>0</v>
      </c>
      <c r="AP114" s="26">
        <f>IFERROR($AC114*HDF_Limited_Col!AP114/HDF_Limited_Col!$AH114," ")</f>
        <v>0</v>
      </c>
      <c r="AQ114" s="26">
        <f>IFERROR($AC114*HDF_Limited_Col!AQ114/HDF_Limited_Col!$AH114," ")</f>
        <v>0</v>
      </c>
      <c r="AR114" s="26">
        <f>IFERROR($AC114*HDF_Limited_Col!AR114/HDF_Limited_Col!$AH114," ")</f>
        <v>0</v>
      </c>
      <c r="AS114" s="26">
        <f>IFERROR($AC114*HDF_Limited_Col!AS114/HDF_Limited_Col!$AH114," ")</f>
        <v>0</v>
      </c>
      <c r="AT114" s="26">
        <f>IFERROR($AC114*HDF_Limited_Col!AT114/HDF_Limited_Col!$AH114," ")</f>
        <v>0</v>
      </c>
      <c r="AU114" s="26">
        <f>IFERROR($AC114*HDF_Limited_Col!AU114/HDF_Limited_Col!$AH114," ")</f>
        <v>0</v>
      </c>
      <c r="AV114" s="26">
        <f>IFERROR($AC114*HDF_Limited_Col!AV114/HDF_Limited_Col!$AH114," ")</f>
        <v>0</v>
      </c>
      <c r="AW114" s="26">
        <f>IFERROR($AC114*HDF_Limited_Col!AW114/HDF_Limited_Col!$AH114," ")</f>
        <v>0</v>
      </c>
      <c r="AX114" s="26">
        <f>IFERROR($AC114*HDF_Limited_Col!AX114/HDF_Limited_Col!$AH114," ")</f>
        <v>1057.0913018986071</v>
      </c>
      <c r="AY114" s="26">
        <f>IFERROR($AC114*HDF_Limited_Col!AY114/HDF_Limited_Col!$AH114," ")</f>
        <v>20521.805198288748</v>
      </c>
      <c r="AZ114" s="26">
        <f>IFERROR($AC114*HDF_Limited_Col!AZ114/HDF_Limited_Col!$AH114," ")</f>
        <v>57.458481187261683</v>
      </c>
      <c r="BA114" s="26">
        <f>IFERROR($AC114*HDF_Limited_Col!BA114/HDF_Limited_Col!$AH114," ")</f>
        <v>433.85375228170295</v>
      </c>
      <c r="BB114" s="26">
        <f>IFERROR($AC114*HDF_Limited_Col!BB114/HDF_Limited_Col!$AH114," ")</f>
        <v>0</v>
      </c>
      <c r="BC114" s="26">
        <f>IFERROR($AC114*HDF_Limited_Col!BC114/HDF_Limited_Col!$AH114," ")</f>
        <v>366.70493241975265</v>
      </c>
      <c r="BD114" s="26">
        <f>IFERROR($AC114*HDF_Limited_Col!BD114/HDF_Limited_Col!$AH114," ")</f>
        <v>0</v>
      </c>
      <c r="BE114" s="26">
        <f>IFERROR($AC114*HDF_Limited_Col!BE114/HDF_Limited_Col!$AH114," ")</f>
        <v>0</v>
      </c>
      <c r="BF114" s="26">
        <f>IFERROR($AC114*HDF_Limited_Col!BF114/HDF_Limited_Col!$AH114," ")</f>
        <v>0</v>
      </c>
      <c r="BG114" s="26">
        <f>IFERROR($AC114*HDF_Limited_Col!BG114/HDF_Limited_Col!$AH114," ")</f>
        <v>0</v>
      </c>
      <c r="BH114" s="26">
        <f>IFERROR($AC114*HDF_Limited_Col!BH114/HDF_Limited_Col!$AH114," ")</f>
        <v>44.752476949910601</v>
      </c>
      <c r="BI114" s="26">
        <f>IFERROR($AC114*HDF_Limited_Col!BI114/HDF_Limited_Col!$AH114," ")</f>
        <v>8781.6181184730231</v>
      </c>
      <c r="BJ114" s="26">
        <f>IFERROR($AC114*HDF_Limited_Col!BJ114/HDF_Limited_Col!$AH114," ")</f>
        <v>0</v>
      </c>
      <c r="BK114" s="26">
        <f>IFERROR($AC114*HDF_Limited_Col!BK114/HDF_Limited_Col!$AH114," ")</f>
        <v>578.60569928950008</v>
      </c>
      <c r="BL114" s="26">
        <f>IFERROR($AC114*HDF_Limited_Col!BL114/HDF_Limited_Col!$AH114," ")</f>
        <v>723.35764629729715</v>
      </c>
      <c r="BM114" s="26">
        <f>IFERROR($AC114*HDF_Limited_Col!BM114/HDF_Limited_Col!$AH114," ")</f>
        <v>96.260044760185082</v>
      </c>
      <c r="BN114" s="26">
        <f>IFERROR($AC114*HDF_Limited_Col!BN114/HDF_Limited_Col!$AH114," ")</f>
        <v>430.23495360650804</v>
      </c>
      <c r="BO114" s="26">
        <f>IFERROR($AC114*HDF_Limited_Col!BO114/HDF_Limited_Col!$AH114," ")</f>
        <v>56.935765823066859</v>
      </c>
      <c r="BP114" s="26">
        <f>IFERROR($AC114*HDF_Limited_Col!BP114/HDF_Limited_Col!$AH114," ")</f>
        <v>15.038118939143367</v>
      </c>
      <c r="BQ114" s="26">
        <f>IFERROR($AC114*HDF_Limited_Col!BQ114/HDF_Limited_Col!$AH114," ")</f>
        <v>16.968144899247328</v>
      </c>
      <c r="BR114" s="26">
        <f>IFERROR($AC114*HDF_Limited_Col!BR114/HDF_Limited_Col!$AH114," ")</f>
        <v>15.038118939143367</v>
      </c>
      <c r="BS114" s="26">
        <f>IFERROR($AC114*HDF_Limited_Col!BS114/HDF_Limited_Col!$AH114," ")</f>
        <v>1.8335246620987633</v>
      </c>
      <c r="BT114" s="26">
        <f>IFERROR($AC114*HDF_Limited_Col!BT114/HDF_Limited_Col!$AH114," ")</f>
        <v>5.9107045028183807</v>
      </c>
      <c r="BU114" s="26">
        <f>IFERROR($AC114*HDF_Limited_Col!BU114/HDF_Limited_Col!$AH114," ")</f>
        <v>0</v>
      </c>
      <c r="BV114" s="26">
        <f>IFERROR($AC114*HDF_Limited_Col!BV114/HDF_Limited_Col!$AH114," ")</f>
        <v>13.108092979039403</v>
      </c>
      <c r="BW114" s="26">
        <f>IFERROR($AC114*HDF_Limited_Col!BW114/HDF_Limited_Col!$AH114," ")</f>
        <v>1.576187867418235</v>
      </c>
      <c r="BX114" s="26">
        <f>IFERROR($AC114*HDF_Limited_Col!BX114/HDF_Limited_Col!$AH114," ")</f>
        <v>10.775978277247118</v>
      </c>
      <c r="BY114" s="26">
        <f>IFERROR($AC114*HDF_Limited_Col!BY114/HDF_Limited_Col!$AH114," ")</f>
        <v>21.47153880615657</v>
      </c>
      <c r="BZ114" s="26">
        <f>IFERROR($AC114*HDF_Limited_Col!BZ114/HDF_Limited_Col!$AH114," ")</f>
        <v>0</v>
      </c>
      <c r="CA114" s="26">
        <f>IFERROR($AC114*HDF_Limited_Col!CA114/HDF_Limited_Col!$AH114," ")</f>
        <v>0</v>
      </c>
      <c r="CB114" s="26">
        <f>IFERROR($AC114*HDF_Limited_Col!CB114/HDF_Limited_Col!$AH114," ")</f>
        <v>81.262134695210548</v>
      </c>
      <c r="CC114" s="26">
        <f>IFERROR($AC114*HDF_Limited_Col!CC114/HDF_Limited_Col!$AH114," ")</f>
        <v>248.49084236338501</v>
      </c>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row>
    <row r="115" spans="1:109">
      <c r="A115" s="26" t="s">
        <v>772</v>
      </c>
      <c r="B115" s="26" t="s">
        <v>24</v>
      </c>
      <c r="C115" s="155" t="s">
        <v>546</v>
      </c>
      <c r="D115" s="26" t="s">
        <v>119</v>
      </c>
      <c r="E115" s="26" t="s">
        <v>1394</v>
      </c>
      <c r="F115" s="26" t="s">
        <v>1728</v>
      </c>
      <c r="G115" s="26" t="s">
        <v>595</v>
      </c>
      <c r="H115" s="30">
        <v>84</v>
      </c>
      <c r="I115" s="26" t="s">
        <v>735</v>
      </c>
      <c r="J115" s="26" t="s">
        <v>635</v>
      </c>
      <c r="K115" s="26" t="s">
        <v>585</v>
      </c>
      <c r="L115" s="26" t="s">
        <v>790</v>
      </c>
      <c r="M115" s="26" t="s">
        <v>580</v>
      </c>
      <c r="N115" s="26">
        <v>38</v>
      </c>
      <c r="O115" s="95">
        <v>1.340724255839191</v>
      </c>
      <c r="P115" s="95">
        <v>0.22011890767509104</v>
      </c>
      <c r="Q115" s="95">
        <v>0.80043239154578583</v>
      </c>
      <c r="R115" s="95">
        <v>5.2428321646248968</v>
      </c>
      <c r="S115" s="95">
        <v>2.6014052725238037</v>
      </c>
      <c r="T115" s="95">
        <v>10.335583255834957</v>
      </c>
      <c r="U115" s="95">
        <v>0.56030267408205003</v>
      </c>
      <c r="V115" s="95">
        <v>19.900750334807096</v>
      </c>
      <c r="W115" s="95">
        <v>31.517025417115313</v>
      </c>
      <c r="X115" s="95">
        <v>0.8604648209117195</v>
      </c>
      <c r="Y115" s="95">
        <v>34.378571216891494</v>
      </c>
      <c r="Z115" s="95">
        <v>107.75821071185138</v>
      </c>
      <c r="AA115" s="26"/>
      <c r="AB115" s="26"/>
      <c r="AC115" s="26">
        <f t="shared" si="2"/>
        <v>261634.58532246941</v>
      </c>
      <c r="AD115" s="26">
        <f>IFERROR($AC115*HDF_Limited_Col!AD115/HDF_Limited_Col!$AH115," ")</f>
        <v>0</v>
      </c>
      <c r="AE115" s="26">
        <f>IFERROR($AC115*HDF_Limited_Col!AE115/HDF_Limited_Col!$AH115," ")</f>
        <v>0</v>
      </c>
      <c r="AF115" s="26">
        <f>IFERROR($AC115*HDF_Limited_Col!AF115/HDF_Limited_Col!$AH115," ")</f>
        <v>0</v>
      </c>
      <c r="AG115" s="26">
        <f>IFERROR($AC115*HDF_Limited_Col!AG115/HDF_Limited_Col!$AH115," ")</f>
        <v>0</v>
      </c>
      <c r="AH115" s="26">
        <f>IFERROR($AC115*HDF_Limited_Col!AH115/HDF_Limited_Col!$AH115," ")</f>
        <v>261634.58532246941</v>
      </c>
      <c r="AI115" s="26">
        <f>IFERROR($AC115*HDF_Limited_Col!AI115/HDF_Limited_Col!$AH115," ")</f>
        <v>0</v>
      </c>
      <c r="AJ115" s="26">
        <f>IFERROR($AC115*HDF_Limited_Col!AJ115/HDF_Limited_Col!$AH115," ")</f>
        <v>4761.9746477361514</v>
      </c>
      <c r="AK115" s="26">
        <f>IFERROR($AC115*HDF_Limited_Col!AK115/HDF_Limited_Col!$AH115," ")</f>
        <v>0</v>
      </c>
      <c r="AL115" s="26">
        <f>IFERROR($AC115*HDF_Limited_Col!AL115/HDF_Limited_Col!$AH115," ")</f>
        <v>0</v>
      </c>
      <c r="AM115" s="26">
        <f>IFERROR($AC115*HDF_Limited_Col!AM115/HDF_Limited_Col!$AH115," ")</f>
        <v>0</v>
      </c>
      <c r="AN115" s="26">
        <f>IFERROR($AC115*HDF_Limited_Col!AN115/HDF_Limited_Col!$AH115," ")</f>
        <v>0</v>
      </c>
      <c r="AO115" s="26">
        <f>IFERROR($AC115*HDF_Limited_Col!AO115/HDF_Limited_Col!$AH115," ")</f>
        <v>0</v>
      </c>
      <c r="AP115" s="26">
        <f>IFERROR($AC115*HDF_Limited_Col!AP115/HDF_Limited_Col!$AH115," ")</f>
        <v>0</v>
      </c>
      <c r="AQ115" s="26">
        <f>IFERROR($AC115*HDF_Limited_Col!AQ115/HDF_Limited_Col!$AH115," ")</f>
        <v>0</v>
      </c>
      <c r="AR115" s="26">
        <f>IFERROR($AC115*HDF_Limited_Col!AR115/HDF_Limited_Col!$AH115," ")</f>
        <v>0</v>
      </c>
      <c r="AS115" s="26">
        <f>IFERROR($AC115*HDF_Limited_Col!AS115/HDF_Limited_Col!$AH115," ")</f>
        <v>0</v>
      </c>
      <c r="AT115" s="26">
        <f>IFERROR($AC115*HDF_Limited_Col!AT115/HDF_Limited_Col!$AH115," ")</f>
        <v>0</v>
      </c>
      <c r="AU115" s="26">
        <f>IFERROR($AC115*HDF_Limited_Col!AU115/HDF_Limited_Col!$AH115," ")</f>
        <v>0</v>
      </c>
      <c r="AV115" s="26">
        <f>IFERROR($AC115*HDF_Limited_Col!AV115/HDF_Limited_Col!$AH115," ")</f>
        <v>0</v>
      </c>
      <c r="AW115" s="26">
        <f>IFERROR($AC115*HDF_Limited_Col!AW115/HDF_Limited_Col!$AH115," ")</f>
        <v>0</v>
      </c>
      <c r="AX115" s="26">
        <f>IFERROR($AC115*HDF_Limited_Col!AX115/HDF_Limited_Col!$AH115," ")</f>
        <v>1502.6276980092314</v>
      </c>
      <c r="AY115" s="26">
        <f>IFERROR($AC115*HDF_Limited_Col!AY115/HDF_Limited_Col!$AH115," ")</f>
        <v>8398.9713968964261</v>
      </c>
      <c r="AZ115" s="26">
        <f>IFERROR($AC115*HDF_Limited_Col!AZ115/HDF_Limited_Col!$AH115," ")</f>
        <v>71.843141264234475</v>
      </c>
      <c r="BA115" s="26">
        <f>IFERROR($AC115*HDF_Limited_Col!BA115/HDF_Limited_Col!$AH115," ")</f>
        <v>551.02991843441976</v>
      </c>
      <c r="BB115" s="26">
        <f>IFERROR($AC115*HDF_Limited_Col!BB115/HDF_Limited_Col!$AH115," ")</f>
        <v>0</v>
      </c>
      <c r="BC115" s="26">
        <f>IFERROR($AC115*HDF_Limited_Col!BC115/HDF_Limited_Col!$AH115," ")</f>
        <v>659.64160217646634</v>
      </c>
      <c r="BD115" s="26">
        <f>IFERROR($AC115*HDF_Limited_Col!BD115/HDF_Limited_Col!$AH115," ")</f>
        <v>0</v>
      </c>
      <c r="BE115" s="26">
        <f>IFERROR($AC115*HDF_Limited_Col!BE115/HDF_Limited_Col!$AH115," ")</f>
        <v>0</v>
      </c>
      <c r="BF115" s="26">
        <f>IFERROR($AC115*HDF_Limited_Col!BF115/HDF_Limited_Col!$AH115," ")</f>
        <v>0</v>
      </c>
      <c r="BG115" s="26">
        <f>IFERROR($AC115*HDF_Limited_Col!BG115/HDF_Limited_Col!$AH115," ")</f>
        <v>0</v>
      </c>
      <c r="BH115" s="26">
        <f>IFERROR($AC115*HDF_Limited_Col!BH115/HDF_Limited_Col!$AH115," ")</f>
        <v>30.789917684671916</v>
      </c>
      <c r="BI115" s="26">
        <f>IFERROR($AC115*HDF_Limited_Col!BI115/HDF_Limited_Col!$AH115," ")</f>
        <v>8140.8940933258755</v>
      </c>
      <c r="BJ115" s="26">
        <f>IFERROR($AC115*HDF_Limited_Col!BJ115/HDF_Limited_Col!$AH115," ")</f>
        <v>0</v>
      </c>
      <c r="BK115" s="26">
        <f>IFERROR($AC115*HDF_Limited_Col!BK115/HDF_Limited_Col!$AH115," ")</f>
        <v>934.65834266091451</v>
      </c>
      <c r="BL115" s="26">
        <f>IFERROR($AC115*HDF_Limited_Col!BL115/HDF_Limited_Col!$AH115," ")</f>
        <v>890.81509417788652</v>
      </c>
      <c r="BM115" s="26">
        <f>IFERROR($AC115*HDF_Limited_Col!BM115/HDF_Limited_Col!$AH115," ")</f>
        <v>89.878659390207346</v>
      </c>
      <c r="BN115" s="26">
        <f>IFERROR($AC115*HDF_Limited_Col!BN115/HDF_Limited_Col!$AH115," ")</f>
        <v>377.64979943335459</v>
      </c>
      <c r="BO115" s="26">
        <f>IFERROR($AC115*HDF_Limited_Col!BO115/HDF_Limited_Col!$AH115," ")</f>
        <v>49.722229529615809</v>
      </c>
      <c r="BP115" s="26">
        <f>IFERROR($AC115*HDF_Limited_Col!BP115/HDF_Limited_Col!$AH115," ")</f>
        <v>14.946561982850445</v>
      </c>
      <c r="BQ115" s="26">
        <f>IFERROR($AC115*HDF_Limited_Col!BQ115/HDF_Limited_Col!$AH115," ")</f>
        <v>29.195617739834535</v>
      </c>
      <c r="BR115" s="26">
        <f>IFERROR($AC115*HDF_Limited_Col!BR115/HDF_Limited_Col!$AH115," ")</f>
        <v>17.338011900106515</v>
      </c>
      <c r="BS115" s="26">
        <f>IFERROR($AC115*HDF_Limited_Col!BS115/HDF_Limited_Col!$AH115," ")</f>
        <v>4.9024723303749465</v>
      </c>
      <c r="BT115" s="26">
        <f>IFERROR($AC115*HDF_Limited_Col!BT115/HDF_Limited_Col!$AH115," ")</f>
        <v>10.960812120756993</v>
      </c>
      <c r="BU115" s="26">
        <f>IFERROR($AC115*HDF_Limited_Col!BU115/HDF_Limited_Col!$AH115," ")</f>
        <v>0</v>
      </c>
      <c r="BV115" s="26">
        <f>IFERROR($AC115*HDF_Limited_Col!BV115/HDF_Limited_Col!$AH115," ")</f>
        <v>5.1814748207214869</v>
      </c>
      <c r="BW115" s="26">
        <f>IFERROR($AC115*HDF_Limited_Col!BW115/HDF_Limited_Col!$AH115," ")</f>
        <v>0</v>
      </c>
      <c r="BX115" s="26">
        <f>IFERROR($AC115*HDF_Limited_Col!BX115/HDF_Limited_Col!$AH115," ")</f>
        <v>4.8825435810644784</v>
      </c>
      <c r="BY115" s="26">
        <f>IFERROR($AC115*HDF_Limited_Col!BY115/HDF_Limited_Col!$AH115," ")</f>
        <v>31.188492670881264</v>
      </c>
      <c r="BZ115" s="26">
        <f>IFERROR($AC115*HDF_Limited_Col!BZ115/HDF_Limited_Col!$AH115," ")</f>
        <v>0</v>
      </c>
      <c r="CA115" s="26">
        <f>IFERROR($AC115*HDF_Limited_Col!CA115/HDF_Limited_Col!$AH115," ")</f>
        <v>0</v>
      </c>
      <c r="CB115" s="26">
        <f>IFERROR($AC115*HDF_Limited_Col!CB115/HDF_Limited_Col!$AH115," ")</f>
        <v>114.1917335489774</v>
      </c>
      <c r="CC115" s="26">
        <f>IFERROR($AC115*HDF_Limited_Col!CC115/HDF_Limited_Col!$AH115," ")</f>
        <v>36.868186224364429</v>
      </c>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row>
    <row r="116" spans="1:109">
      <c r="A116" s="26" t="s">
        <v>772</v>
      </c>
      <c r="B116" s="26" t="s">
        <v>24</v>
      </c>
      <c r="C116" s="155" t="s">
        <v>546</v>
      </c>
      <c r="D116" s="26" t="s">
        <v>119</v>
      </c>
      <c r="E116" s="26" t="s">
        <v>1394</v>
      </c>
      <c r="F116" s="26" t="s">
        <v>1728</v>
      </c>
      <c r="G116" s="26" t="s">
        <v>595</v>
      </c>
      <c r="H116" s="30">
        <v>84</v>
      </c>
      <c r="I116" s="26"/>
      <c r="J116" s="26" t="s">
        <v>635</v>
      </c>
      <c r="K116" s="26" t="s">
        <v>585</v>
      </c>
      <c r="L116" s="26" t="s">
        <v>791</v>
      </c>
      <c r="M116" s="26" t="s">
        <v>582</v>
      </c>
      <c r="N116" s="26">
        <v>68</v>
      </c>
      <c r="O116" s="95">
        <v>1.5205715547522445</v>
      </c>
      <c r="P116" s="95">
        <v>0.320120327316262</v>
      </c>
      <c r="Q116" s="95">
        <v>0.79029705806202188</v>
      </c>
      <c r="R116" s="95">
        <v>5.5420831666627857</v>
      </c>
      <c r="S116" s="95">
        <v>1.1404286660641834</v>
      </c>
      <c r="T116" s="95">
        <v>7.4528013703317253</v>
      </c>
      <c r="U116" s="95">
        <v>1.2304625081218823</v>
      </c>
      <c r="V116" s="95">
        <v>24.279126074892748</v>
      </c>
      <c r="W116" s="95">
        <v>26.98014133662371</v>
      </c>
      <c r="X116" s="95">
        <v>0.58021809326072493</v>
      </c>
      <c r="Y116" s="95">
        <v>38.954642330297631</v>
      </c>
      <c r="Z116" s="95">
        <v>108.79089248638591</v>
      </c>
      <c r="AA116" s="26"/>
      <c r="AB116" s="26"/>
      <c r="AC116" s="26">
        <f t="shared" si="2"/>
        <v>223972.21809885031</v>
      </c>
      <c r="AD116" s="26">
        <f>IFERROR($AC116*HDF_Limited_Col!AD116/HDF_Limited_Col!$AH116," ")</f>
        <v>0</v>
      </c>
      <c r="AE116" s="26">
        <f>IFERROR($AC116*HDF_Limited_Col!AE116/HDF_Limited_Col!$AH116," ")</f>
        <v>0</v>
      </c>
      <c r="AF116" s="26">
        <f>IFERROR($AC116*HDF_Limited_Col!AF116/HDF_Limited_Col!$AH116," ")</f>
        <v>0</v>
      </c>
      <c r="AG116" s="26">
        <f>IFERROR($AC116*HDF_Limited_Col!AG116/HDF_Limited_Col!$AH116," ")</f>
        <v>0</v>
      </c>
      <c r="AH116" s="26">
        <f>IFERROR($AC116*HDF_Limited_Col!AH116/HDF_Limited_Col!$AH116," ")</f>
        <v>223972.21809885031</v>
      </c>
      <c r="AI116" s="26">
        <f>IFERROR($AC116*HDF_Limited_Col!AI116/HDF_Limited_Col!$AH116," ")</f>
        <v>0</v>
      </c>
      <c r="AJ116" s="26">
        <f>IFERROR($AC116*HDF_Limited_Col!AJ116/HDF_Limited_Col!$AH116," ")</f>
        <v>303.43591217547493</v>
      </c>
      <c r="AK116" s="26">
        <f>IFERROR($AC116*HDF_Limited_Col!AK116/HDF_Limited_Col!$AH116," ")</f>
        <v>0</v>
      </c>
      <c r="AL116" s="26">
        <f>IFERROR($AC116*HDF_Limited_Col!AL116/HDF_Limited_Col!$AH116," ")</f>
        <v>0</v>
      </c>
      <c r="AM116" s="26">
        <f>IFERROR($AC116*HDF_Limited_Col!AM116/HDF_Limited_Col!$AH116," ")</f>
        <v>0</v>
      </c>
      <c r="AN116" s="26">
        <f>IFERROR($AC116*HDF_Limited_Col!AN116/HDF_Limited_Col!$AH116," ")</f>
        <v>0</v>
      </c>
      <c r="AO116" s="26">
        <f>IFERROR($AC116*HDF_Limited_Col!AO116/HDF_Limited_Col!$AH116," ")</f>
        <v>0</v>
      </c>
      <c r="AP116" s="26">
        <f>IFERROR($AC116*HDF_Limited_Col!AP116/HDF_Limited_Col!$AH116," ")</f>
        <v>0</v>
      </c>
      <c r="AQ116" s="26">
        <f>IFERROR($AC116*HDF_Limited_Col!AQ116/HDF_Limited_Col!$AH116," ")</f>
        <v>0</v>
      </c>
      <c r="AR116" s="26">
        <f>IFERROR($AC116*HDF_Limited_Col!AR116/HDF_Limited_Col!$AH116," ")</f>
        <v>0</v>
      </c>
      <c r="AS116" s="26">
        <f>IFERROR($AC116*HDF_Limited_Col!AS116/HDF_Limited_Col!$AH116," ")</f>
        <v>0</v>
      </c>
      <c r="AT116" s="26">
        <f>IFERROR($AC116*HDF_Limited_Col!AT116/HDF_Limited_Col!$AH116," ")</f>
        <v>0</v>
      </c>
      <c r="AU116" s="26">
        <f>IFERROR($AC116*HDF_Limited_Col!AU116/HDF_Limited_Col!$AH116," ")</f>
        <v>0</v>
      </c>
      <c r="AV116" s="26">
        <f>IFERROR($AC116*HDF_Limited_Col!AV116/HDF_Limited_Col!$AH116," ")</f>
        <v>0</v>
      </c>
      <c r="AW116" s="26">
        <f>IFERROR($AC116*HDF_Limited_Col!AW116/HDF_Limited_Col!$AH116," ")</f>
        <v>0</v>
      </c>
      <c r="AX116" s="26">
        <f>IFERROR($AC116*HDF_Limited_Col!AX116/HDF_Limited_Col!$AH116," ")</f>
        <v>1598.2064553767432</v>
      </c>
      <c r="AY116" s="26">
        <f>IFERROR($AC116*HDF_Limited_Col!AY116/HDF_Limited_Col!$AH116," ")</f>
        <v>2949.9372456422789</v>
      </c>
      <c r="AZ116" s="26">
        <f>IFERROR($AC116*HDF_Limited_Col!AZ116/HDF_Limited_Col!$AH116," ")</f>
        <v>1.5194428819527761</v>
      </c>
      <c r="BA116" s="26">
        <f>IFERROR($AC116*HDF_Limited_Col!BA116/HDF_Limited_Col!$AH116," ")</f>
        <v>23.712060466621523</v>
      </c>
      <c r="BB116" s="26">
        <f>IFERROR($AC116*HDF_Limited_Col!BB116/HDF_Limited_Col!$AH116," ")</f>
        <v>0</v>
      </c>
      <c r="BC116" s="26">
        <f>IFERROR($AC116*HDF_Limited_Col!BC116/HDF_Limited_Col!$AH116," ")</f>
        <v>193.15936497833624</v>
      </c>
      <c r="BD116" s="26">
        <f>IFERROR($AC116*HDF_Limited_Col!BD116/HDF_Limited_Col!$AH116," ")</f>
        <v>0</v>
      </c>
      <c r="BE116" s="26">
        <f>IFERROR($AC116*HDF_Limited_Col!BE116/HDF_Limited_Col!$AH116," ")</f>
        <v>0</v>
      </c>
      <c r="BF116" s="26">
        <f>IFERROR($AC116*HDF_Limited_Col!BF116/HDF_Limited_Col!$AH116," ")</f>
        <v>0</v>
      </c>
      <c r="BG116" s="26">
        <f>IFERROR($AC116*HDF_Limited_Col!BG116/HDF_Limited_Col!$AH116," ")</f>
        <v>0</v>
      </c>
      <c r="BH116" s="26">
        <f>IFERROR($AC116*HDF_Limited_Col!BH116/HDF_Limited_Col!$AH116," ")</f>
        <v>39.45723074783028</v>
      </c>
      <c r="BI116" s="26">
        <f>IFERROR($AC116*HDF_Limited_Col!BI116/HDF_Limited_Col!$AH116," ")</f>
        <v>11894.506691592585</v>
      </c>
      <c r="BJ116" s="26">
        <f>IFERROR($AC116*HDF_Limited_Col!BJ116/HDF_Limited_Col!$AH116," ")</f>
        <v>0</v>
      </c>
      <c r="BK116" s="26">
        <f>IFERROR($AC116*HDF_Limited_Col!BK116/HDF_Limited_Col!$AH116," ")</f>
        <v>308.27941927683378</v>
      </c>
      <c r="BL116" s="26">
        <f>IFERROR($AC116*HDF_Limited_Col!BL116/HDF_Limited_Col!$AH116," ")</f>
        <v>366.60520338992677</v>
      </c>
      <c r="BM116" s="26">
        <f>IFERROR($AC116*HDF_Limited_Col!BM116/HDF_Limited_Col!$AH116," ")</f>
        <v>36.115059959820947</v>
      </c>
      <c r="BN116" s="26">
        <f>IFERROR($AC116*HDF_Limited_Col!BN116/HDF_Limited_Col!$AH116," ")</f>
        <v>125.68976372062188</v>
      </c>
      <c r="BO116" s="26">
        <f>IFERROR($AC116*HDF_Limited_Col!BO116/HDF_Limited_Col!$AH116," ")</f>
        <v>14.779486622370843</v>
      </c>
      <c r="BP116" s="26">
        <f>IFERROR($AC116*HDF_Limited_Col!BP116/HDF_Limited_Col!$AH116," ")</f>
        <v>6.8125964369580769</v>
      </c>
      <c r="BQ116" s="26">
        <f>IFERROR($AC116*HDF_Limited_Col!BQ116/HDF_Limited_Col!$AH116," ")</f>
        <v>11.271338955498745</v>
      </c>
      <c r="BR116" s="26">
        <f>IFERROR($AC116*HDF_Limited_Col!BR116/HDF_Limited_Col!$AH116," ")</f>
        <v>2.9875838195297879</v>
      </c>
      <c r="BS116" s="26">
        <f>IFERROR($AC116*HDF_Limited_Col!BS116/HDF_Limited_Col!$AH116," ")</f>
        <v>0</v>
      </c>
      <c r="BT116" s="26">
        <f>IFERROR($AC116*HDF_Limited_Col!BT116/HDF_Limited_Col!$AH116," ")</f>
        <v>4.5719085723107353</v>
      </c>
      <c r="BU116" s="26">
        <f>IFERROR($AC116*HDF_Limited_Col!BU116/HDF_Limited_Col!$AH116," ")</f>
        <v>0</v>
      </c>
      <c r="BV116" s="26">
        <f>IFERROR($AC116*HDF_Limited_Col!BV116/HDF_Limited_Col!$AH116," ")</f>
        <v>3.2139159270699236</v>
      </c>
      <c r="BW116" s="26">
        <f>IFERROR($AC116*HDF_Limited_Col!BW116/HDF_Limited_Col!$AH116," ")</f>
        <v>1.5005818729910978</v>
      </c>
      <c r="BX116" s="26">
        <f>IFERROR($AC116*HDF_Limited_Col!BX116/HDF_Limited_Col!$AH116," ")</f>
        <v>3.666580142150194</v>
      </c>
      <c r="BY116" s="26">
        <f>IFERROR($AC116*HDF_Limited_Col!BY116/HDF_Limited_Col!$AH116," ")</f>
        <v>5.7216756786146252</v>
      </c>
      <c r="BZ116" s="26">
        <f>IFERROR($AC116*HDF_Limited_Col!BZ116/HDF_Limited_Col!$AH116," ")</f>
        <v>0</v>
      </c>
      <c r="CA116" s="26">
        <f>IFERROR($AC116*HDF_Limited_Col!CA116/HDF_Limited_Col!$AH116," ")</f>
        <v>0</v>
      </c>
      <c r="CB116" s="26">
        <f>IFERROR($AC116*HDF_Limited_Col!CB116/HDF_Limited_Col!$AH116," ")</f>
        <v>35.647306937571337</v>
      </c>
      <c r="CC116" s="26">
        <f>IFERROR($AC116*HDF_Limited_Col!CC116/HDF_Limited_Col!$AH116," ")</f>
        <v>9.9284351174272736</v>
      </c>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row>
    <row r="117" spans="1:109">
      <c r="A117" s="26" t="s">
        <v>772</v>
      </c>
      <c r="B117" s="26" t="s">
        <v>24</v>
      </c>
      <c r="C117" s="155" t="s">
        <v>546</v>
      </c>
      <c r="D117" s="26" t="s">
        <v>119</v>
      </c>
      <c r="E117" s="26" t="s">
        <v>1394</v>
      </c>
      <c r="F117" s="26" t="s">
        <v>1728</v>
      </c>
      <c r="G117" s="26" t="s">
        <v>595</v>
      </c>
      <c r="H117" s="30">
        <v>84</v>
      </c>
      <c r="I117" s="26" t="s">
        <v>735</v>
      </c>
      <c r="J117" s="26" t="s">
        <v>635</v>
      </c>
      <c r="K117" s="26" t="s">
        <v>674</v>
      </c>
      <c r="L117" s="26"/>
      <c r="M117" s="26" t="s">
        <v>583</v>
      </c>
      <c r="N117" s="26">
        <v>49</v>
      </c>
      <c r="O117" s="95">
        <v>1.5508106211794206</v>
      </c>
      <c r="P117" s="95">
        <v>0.48025103107491734</v>
      </c>
      <c r="Q117" s="95">
        <v>0.72037654661237593</v>
      </c>
      <c r="R117" s="95">
        <v>8.7245603978609996</v>
      </c>
      <c r="S117" s="95">
        <v>1.4207426335966304</v>
      </c>
      <c r="T117" s="95">
        <v>8.7645813171172406</v>
      </c>
      <c r="U117" s="95">
        <v>4.3822906585586203</v>
      </c>
      <c r="V117" s="95">
        <v>13.006798758279011</v>
      </c>
      <c r="W117" s="95">
        <v>31.216317019869628</v>
      </c>
      <c r="X117" s="95">
        <v>0.51026672051709965</v>
      </c>
      <c r="Y117" s="95">
        <v>37.739726858637255</v>
      </c>
      <c r="Z117" s="95">
        <v>108.51672256330319</v>
      </c>
      <c r="AA117" s="26"/>
      <c r="AB117" s="26"/>
      <c r="AC117" s="26">
        <f t="shared" si="2"/>
        <v>259138.29273853684</v>
      </c>
      <c r="AD117" s="26">
        <f>IFERROR($AC117*HDF_Limited_Col!AD117/HDF_Limited_Col!$AH117," ")</f>
        <v>0</v>
      </c>
      <c r="AE117" s="26">
        <f>IFERROR($AC117*HDF_Limited_Col!AE117/HDF_Limited_Col!$AH117," ")</f>
        <v>0</v>
      </c>
      <c r="AF117" s="26">
        <f>IFERROR($AC117*HDF_Limited_Col!AF117/HDF_Limited_Col!$AH117," ")</f>
        <v>0</v>
      </c>
      <c r="AG117" s="26">
        <f>IFERROR($AC117*HDF_Limited_Col!AG117/HDF_Limited_Col!$AH117," ")</f>
        <v>0</v>
      </c>
      <c r="AH117" s="26">
        <f>IFERROR($AC117*HDF_Limited_Col!AH117/HDF_Limited_Col!$AH117," ")</f>
        <v>259138.29273853684</v>
      </c>
      <c r="AI117" s="26">
        <f>IFERROR($AC117*HDF_Limited_Col!AI117/HDF_Limited_Col!$AH117," ")</f>
        <v>0</v>
      </c>
      <c r="AJ117" s="26">
        <f>IFERROR($AC117*HDF_Limited_Col!AJ117/HDF_Limited_Col!$AH117," ")</f>
        <v>144.43470338330209</v>
      </c>
      <c r="AK117" s="26">
        <f>IFERROR($AC117*HDF_Limited_Col!AK117/HDF_Limited_Col!$AH117," ")</f>
        <v>0</v>
      </c>
      <c r="AL117" s="26">
        <f>IFERROR($AC117*HDF_Limited_Col!AL117/HDF_Limited_Col!$AH117," ")</f>
        <v>0</v>
      </c>
      <c r="AM117" s="26">
        <f>IFERROR($AC117*HDF_Limited_Col!AM117/HDF_Limited_Col!$AH117," ")</f>
        <v>0</v>
      </c>
      <c r="AN117" s="26">
        <f>IFERROR($AC117*HDF_Limited_Col!AN117/HDF_Limited_Col!$AH117," ")</f>
        <v>0</v>
      </c>
      <c r="AO117" s="26">
        <f>IFERROR($AC117*HDF_Limited_Col!AO117/HDF_Limited_Col!$AH117," ")</f>
        <v>0</v>
      </c>
      <c r="AP117" s="26">
        <f>IFERROR($AC117*HDF_Limited_Col!AP117/HDF_Limited_Col!$AH117," ")</f>
        <v>0</v>
      </c>
      <c r="AQ117" s="26">
        <f>IFERROR($AC117*HDF_Limited_Col!AQ117/HDF_Limited_Col!$AH117," ")</f>
        <v>0</v>
      </c>
      <c r="AR117" s="26">
        <f>IFERROR($AC117*HDF_Limited_Col!AR117/HDF_Limited_Col!$AH117," ")</f>
        <v>0</v>
      </c>
      <c r="AS117" s="26">
        <f>IFERROR($AC117*HDF_Limited_Col!AS117/HDF_Limited_Col!$AH117," ")</f>
        <v>0</v>
      </c>
      <c r="AT117" s="26">
        <f>IFERROR($AC117*HDF_Limited_Col!AT117/HDF_Limited_Col!$AH117," ")</f>
        <v>0</v>
      </c>
      <c r="AU117" s="26">
        <f>IFERROR($AC117*HDF_Limited_Col!AU117/HDF_Limited_Col!$AH117," ")</f>
        <v>0</v>
      </c>
      <c r="AV117" s="26">
        <f>IFERROR($AC117*HDF_Limited_Col!AV117/HDF_Limited_Col!$AH117," ")</f>
        <v>0</v>
      </c>
      <c r="AW117" s="26">
        <f>IFERROR($AC117*HDF_Limited_Col!AW117/HDF_Limited_Col!$AH117," ")</f>
        <v>0</v>
      </c>
      <c r="AX117" s="26">
        <f>IFERROR($AC117*HDF_Limited_Col!AX117/HDF_Limited_Col!$AH117," ")</f>
        <v>2589.9172917898122</v>
      </c>
      <c r="AY117" s="26">
        <f>IFERROR($AC117*HDF_Limited_Col!AY117/HDF_Limited_Col!$AH117," ")</f>
        <v>3156.6024290436862</v>
      </c>
      <c r="AZ117" s="26">
        <f>IFERROR($AC117*HDF_Limited_Col!AZ117/HDF_Limited_Col!$AH117," ")</f>
        <v>1.061152922816097</v>
      </c>
      <c r="BA117" s="26">
        <f>IFERROR($AC117*HDF_Limited_Col!BA117/HDF_Limited_Col!$AH117," ")</f>
        <v>7.6202133757781461</v>
      </c>
      <c r="BB117" s="26">
        <f>IFERROR($AC117*HDF_Limited_Col!BB117/HDF_Limited_Col!$AH117," ")</f>
        <v>0</v>
      </c>
      <c r="BC117" s="26">
        <f>IFERROR($AC117*HDF_Limited_Col!BC117/HDF_Limited_Col!$AH117," ")</f>
        <v>253.49764267273432</v>
      </c>
      <c r="BD117" s="26">
        <f>IFERROR($AC117*HDF_Limited_Col!BD117/HDF_Limited_Col!$AH117," ")</f>
        <v>0</v>
      </c>
      <c r="BE117" s="26">
        <f>IFERROR($AC117*HDF_Limited_Col!BE117/HDF_Limited_Col!$AH117," ")</f>
        <v>0</v>
      </c>
      <c r="BF117" s="26">
        <f>IFERROR($AC117*HDF_Limited_Col!BF117/HDF_Limited_Col!$AH117," ")</f>
        <v>0</v>
      </c>
      <c r="BG117" s="26">
        <f>IFERROR($AC117*HDF_Limited_Col!BG117/HDF_Limited_Col!$AH117," ")</f>
        <v>0</v>
      </c>
      <c r="BH117" s="26">
        <f>IFERROR($AC117*HDF_Limited_Col!BH117/HDF_Limited_Col!$AH117," ")</f>
        <v>60.148374776288961</v>
      </c>
      <c r="BI117" s="26">
        <f>IFERROR($AC117*HDF_Limited_Col!BI117/HDF_Limited_Col!$AH117," ")</f>
        <v>43293.565427392852</v>
      </c>
      <c r="BJ117" s="26">
        <f>IFERROR($AC117*HDF_Limited_Col!BJ117/HDF_Limited_Col!$AH117," ")</f>
        <v>0</v>
      </c>
      <c r="BK117" s="26">
        <f>IFERROR($AC117*HDF_Limited_Col!BK117/HDF_Limited_Col!$AH117," ")</f>
        <v>605.67595684068158</v>
      </c>
      <c r="BL117" s="26">
        <f>IFERROR($AC117*HDF_Limited_Col!BL117/HDF_Limited_Col!$AH117," ")</f>
        <v>871.9303607306033</v>
      </c>
      <c r="BM117" s="26">
        <f>IFERROR($AC117*HDF_Limited_Col!BM117/HDF_Limited_Col!$AH117," ")</f>
        <v>84.638408666280839</v>
      </c>
      <c r="BN117" s="26">
        <f>IFERROR($AC117*HDF_Limited_Col!BN117/HDF_Limited_Col!$AH117," ")</f>
        <v>196.4197335295938</v>
      </c>
      <c r="BO117" s="26">
        <f>IFERROR($AC117*HDF_Limited_Col!BO117/HDF_Limited_Col!$AH117," ")</f>
        <v>8.7938135733371023</v>
      </c>
      <c r="BP117" s="26">
        <f>IFERROR($AC117*HDF_Limited_Col!BP117/HDF_Limited_Col!$AH117," ")</f>
        <v>3.4389215091262404</v>
      </c>
      <c r="BQ117" s="26">
        <f>IFERROR($AC117*HDF_Limited_Col!BQ117/HDF_Limited_Col!$AH117," ")</f>
        <v>3.7991894767489898</v>
      </c>
      <c r="BR117" s="26">
        <f>IFERROR($AC117*HDF_Limited_Col!BR117/HDF_Limited_Col!$AH117," ")</f>
        <v>0</v>
      </c>
      <c r="BS117" s="26">
        <f>IFERROR($AC117*HDF_Limited_Col!BS117/HDF_Limited_Col!$AH117," ")</f>
        <v>0</v>
      </c>
      <c r="BT117" s="26">
        <f>IFERROR($AC117*HDF_Limited_Col!BT117/HDF_Limited_Col!$AH117," ")</f>
        <v>0</v>
      </c>
      <c r="BU117" s="26">
        <f>IFERROR($AC117*HDF_Limited_Col!BU117/HDF_Limited_Col!$AH117," ")</f>
        <v>0</v>
      </c>
      <c r="BV117" s="26">
        <f>IFERROR($AC117*HDF_Limited_Col!BV117/HDF_Limited_Col!$AH117," ")</f>
        <v>0</v>
      </c>
      <c r="BW117" s="26">
        <f>IFERROR($AC117*HDF_Limited_Col!BW117/HDF_Limited_Col!$AH117," ")</f>
        <v>0</v>
      </c>
      <c r="BX117" s="26">
        <f>IFERROR($AC117*HDF_Limited_Col!BX117/HDF_Limited_Col!$AH117," ")</f>
        <v>1.9650980052149947</v>
      </c>
      <c r="BY117" s="26">
        <f>IFERROR($AC117*HDF_Limited_Col!BY117/HDF_Limited_Col!$AH117," ")</f>
        <v>5.6521131374996285</v>
      </c>
      <c r="BZ117" s="26">
        <f>IFERROR($AC117*HDF_Limited_Col!BZ117/HDF_Limited_Col!$AH117," ")</f>
        <v>0</v>
      </c>
      <c r="CA117" s="26">
        <f>IFERROR($AC117*HDF_Limited_Col!CA117/HDF_Limited_Col!$AH117," ")</f>
        <v>0</v>
      </c>
      <c r="CB117" s="26">
        <f>IFERROR($AC117*HDF_Limited_Col!CB117/HDF_Limited_Col!$AH117," ")</f>
        <v>62.752129633198834</v>
      </c>
      <c r="CC117" s="26">
        <f>IFERROR($AC117*HDF_Limited_Col!CC117/HDF_Limited_Col!$AH117," ")</f>
        <v>12.443164327188448</v>
      </c>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row>
    <row r="118" spans="1:109">
      <c r="A118" s="26" t="s">
        <v>771</v>
      </c>
      <c r="B118" s="26" t="s">
        <v>24</v>
      </c>
      <c r="C118" s="155" t="s">
        <v>546</v>
      </c>
      <c r="D118" s="26" t="s">
        <v>119</v>
      </c>
      <c r="E118" s="26" t="s">
        <v>1394</v>
      </c>
      <c r="F118" s="26" t="s">
        <v>97</v>
      </c>
      <c r="G118" s="26" t="s">
        <v>595</v>
      </c>
      <c r="H118" s="30">
        <v>118</v>
      </c>
      <c r="I118" s="26" t="s">
        <v>735</v>
      </c>
      <c r="J118" s="26" t="s">
        <v>635</v>
      </c>
      <c r="K118" s="26" t="s">
        <v>762</v>
      </c>
      <c r="L118" s="26" t="s">
        <v>478</v>
      </c>
      <c r="M118" s="26" t="s">
        <v>755</v>
      </c>
      <c r="N118" s="26">
        <v>42</v>
      </c>
      <c r="O118" s="95">
        <v>4.8951807670304834</v>
      </c>
      <c r="P118" s="95">
        <v>0.69931153814721181</v>
      </c>
      <c r="Q118" s="95">
        <v>1.09891813137419</v>
      </c>
      <c r="R118" s="95">
        <v>13.686525818024004</v>
      </c>
      <c r="S118" s="95">
        <v>1.2987214279876793</v>
      </c>
      <c r="T118" s="95">
        <v>3.1968527458158258</v>
      </c>
      <c r="U118" s="95">
        <v>0.89911483476070098</v>
      </c>
      <c r="V118" s="95">
        <v>11.588591203582368</v>
      </c>
      <c r="W118" s="95">
        <v>33.966560424293149</v>
      </c>
      <c r="X118" s="95">
        <v>0.89911483476070098</v>
      </c>
      <c r="Y118" s="95">
        <v>35.864691742121288</v>
      </c>
      <c r="Z118" s="95">
        <v>108.09358346789759</v>
      </c>
      <c r="AA118" s="26"/>
      <c r="AB118" s="26"/>
      <c r="AC118" s="26">
        <f t="shared" si="2"/>
        <v>281969.0892089883</v>
      </c>
      <c r="AD118" s="26">
        <f>IFERROR($AC118*HDF_Limited_Col!AD118/HDF_Limited_Col!$AH118," ")</f>
        <v>0</v>
      </c>
      <c r="AE118" s="26">
        <f>IFERROR($AC118*HDF_Limited_Col!AE118/HDF_Limited_Col!$AH118," ")</f>
        <v>0</v>
      </c>
      <c r="AF118" s="26">
        <f>IFERROR($AC118*HDF_Limited_Col!AF118/HDF_Limited_Col!$AH118," ")</f>
        <v>0</v>
      </c>
      <c r="AG118" s="26">
        <f>IFERROR($AC118*HDF_Limited_Col!AG118/HDF_Limited_Col!$AH118," ")</f>
        <v>0</v>
      </c>
      <c r="AH118" s="26">
        <f>IFERROR($AC118*HDF_Limited_Col!AH118/HDF_Limited_Col!$AH118," ")</f>
        <v>281969.0892089883</v>
      </c>
      <c r="AI118" s="26">
        <f>IFERROR($AC118*HDF_Limited_Col!AI118/HDF_Limited_Col!$AH118," ")</f>
        <v>0</v>
      </c>
      <c r="AJ118" s="26">
        <f>IFERROR($AC118*HDF_Limited_Col!AJ118/HDF_Limited_Col!$AH118," ")</f>
        <v>634.82721773130572</v>
      </c>
      <c r="AK118" s="26">
        <f>IFERROR($AC118*HDF_Limited_Col!AK118/HDF_Limited_Col!$AH118," ")</f>
        <v>0</v>
      </c>
      <c r="AL118" s="26">
        <f>IFERROR($AC118*HDF_Limited_Col!AL118/HDF_Limited_Col!$AH118," ")</f>
        <v>0</v>
      </c>
      <c r="AM118" s="26">
        <f>IFERROR($AC118*HDF_Limited_Col!AM118/HDF_Limited_Col!$AH118," ")</f>
        <v>0</v>
      </c>
      <c r="AN118" s="26">
        <f>IFERROR($AC118*HDF_Limited_Col!AN118/HDF_Limited_Col!$AH118," ")</f>
        <v>0</v>
      </c>
      <c r="AO118" s="26">
        <f>IFERROR($AC118*HDF_Limited_Col!AO118/HDF_Limited_Col!$AH118," ")</f>
        <v>0</v>
      </c>
      <c r="AP118" s="26">
        <f>IFERROR($AC118*HDF_Limited_Col!AP118/HDF_Limited_Col!$AH118," ")</f>
        <v>0</v>
      </c>
      <c r="AQ118" s="26">
        <f>IFERROR($AC118*HDF_Limited_Col!AQ118/HDF_Limited_Col!$AH118," ")</f>
        <v>0</v>
      </c>
      <c r="AR118" s="26">
        <f>IFERROR($AC118*HDF_Limited_Col!AR118/HDF_Limited_Col!$AH118," ")</f>
        <v>0</v>
      </c>
      <c r="AS118" s="26">
        <f>IFERROR($AC118*HDF_Limited_Col!AS118/HDF_Limited_Col!$AH118," ")</f>
        <v>0</v>
      </c>
      <c r="AT118" s="26">
        <f>IFERROR($AC118*HDF_Limited_Col!AT118/HDF_Limited_Col!$AH118," ")</f>
        <v>0</v>
      </c>
      <c r="AU118" s="26">
        <f>IFERROR($AC118*HDF_Limited_Col!AU118/HDF_Limited_Col!$AH118," ")</f>
        <v>0</v>
      </c>
      <c r="AV118" s="26">
        <f>IFERROR($AC118*HDF_Limited_Col!AV118/HDF_Limited_Col!$AH118," ")</f>
        <v>0</v>
      </c>
      <c r="AW118" s="26">
        <f>IFERROR($AC118*HDF_Limited_Col!AW118/HDF_Limited_Col!$AH118," ")</f>
        <v>0</v>
      </c>
      <c r="AX118" s="26">
        <f>IFERROR($AC118*HDF_Limited_Col!AX118/HDF_Limited_Col!$AH118," ")</f>
        <v>952.24082659695864</v>
      </c>
      <c r="AY118" s="26">
        <f>IFERROR($AC118*HDF_Limited_Col!AY118/HDF_Limited_Col!$AH118," ")</f>
        <v>4126.3769152534878</v>
      </c>
      <c r="AZ118" s="26">
        <f>IFERROR($AC118*HDF_Limited_Col!AZ118/HDF_Limited_Col!$AH118," ")</f>
        <v>3.1741360886565286</v>
      </c>
      <c r="BA118" s="26">
        <f>IFERROR($AC118*HDF_Limited_Col!BA118/HDF_Limited_Col!$AH118," ")</f>
        <v>13.22556703606887</v>
      </c>
      <c r="BB118" s="26">
        <f>IFERROR($AC118*HDF_Limited_Col!BB118/HDF_Limited_Col!$AH118," ")</f>
        <v>0</v>
      </c>
      <c r="BC118" s="26">
        <f>IFERROR($AC118*HDF_Limited_Col!BC118/HDF_Limited_Col!$AH118," ")</f>
        <v>158.70680443282643</v>
      </c>
      <c r="BD118" s="26">
        <f>IFERROR($AC118*HDF_Limited_Col!BD118/HDF_Limited_Col!$AH118," ")</f>
        <v>0</v>
      </c>
      <c r="BE118" s="26">
        <f>IFERROR($AC118*HDF_Limited_Col!BE118/HDF_Limited_Col!$AH118," ")</f>
        <v>0</v>
      </c>
      <c r="BF118" s="26">
        <f>IFERROR($AC118*HDF_Limited_Col!BF118/HDF_Limited_Col!$AH118," ")</f>
        <v>0</v>
      </c>
      <c r="BG118" s="26">
        <f>IFERROR($AC118*HDF_Limited_Col!BG118/HDF_Limited_Col!$AH118," ")</f>
        <v>0</v>
      </c>
      <c r="BH118" s="26">
        <f>IFERROR($AC118*HDF_Limited_Col!BH118/HDF_Limited_Col!$AH118," ")</f>
        <v>29.625270160794269</v>
      </c>
      <c r="BI118" s="26">
        <f>IFERROR($AC118*HDF_Limited_Col!BI118/HDF_Limited_Col!$AH118," ")</f>
        <v>14283.612398954379</v>
      </c>
      <c r="BJ118" s="26">
        <f>IFERROR($AC118*HDF_Limited_Col!BJ118/HDF_Limited_Col!$AH118," ")</f>
        <v>0</v>
      </c>
      <c r="BK118" s="26">
        <f>IFERROR($AC118*HDF_Limited_Col!BK118/HDF_Limited_Col!$AH118," ")</f>
        <v>444.37905241191396</v>
      </c>
      <c r="BL118" s="26">
        <f>IFERROR($AC118*HDF_Limited_Col!BL118/HDF_Limited_Col!$AH118," ")</f>
        <v>317.41360886565286</v>
      </c>
      <c r="BM118" s="26">
        <f>IFERROR($AC118*HDF_Limited_Col!BM118/HDF_Limited_Col!$AH118," ")</f>
        <v>26.451134072137741</v>
      </c>
      <c r="BN118" s="26">
        <f>IFERROR($AC118*HDF_Limited_Col!BN118/HDF_Limited_Col!$AH118," ")</f>
        <v>79.353402216413215</v>
      </c>
      <c r="BO118" s="26">
        <f>IFERROR($AC118*HDF_Limited_Col!BO118/HDF_Limited_Col!$AH118," ")</f>
        <v>0</v>
      </c>
      <c r="BP118" s="26">
        <f>IFERROR($AC118*HDF_Limited_Col!BP118/HDF_Limited_Col!$AH118," ")</f>
        <v>0</v>
      </c>
      <c r="BQ118" s="26">
        <f>IFERROR($AC118*HDF_Limited_Col!BQ118/HDF_Limited_Col!$AH118," ")</f>
        <v>6.3482721773130573</v>
      </c>
      <c r="BR118" s="26">
        <f>IFERROR($AC118*HDF_Limited_Col!BR118/HDF_Limited_Col!$AH118," ")</f>
        <v>7.9353402216413214</v>
      </c>
      <c r="BS118" s="26">
        <f>IFERROR($AC118*HDF_Limited_Col!BS118/HDF_Limited_Col!$AH118," ")</f>
        <v>1.0580453628855095</v>
      </c>
      <c r="BT118" s="26">
        <f>IFERROR($AC118*HDF_Limited_Col!BT118/HDF_Limited_Col!$AH118," ")</f>
        <v>4.7612041329847923</v>
      </c>
      <c r="BU118" s="26">
        <f>IFERROR($AC118*HDF_Limited_Col!BU118/HDF_Limited_Col!$AH118," ")</f>
        <v>0</v>
      </c>
      <c r="BV118" s="26">
        <f>IFERROR($AC118*HDF_Limited_Col!BV118/HDF_Limited_Col!$AH118," ")</f>
        <v>8.4643629030840764</v>
      </c>
      <c r="BW118" s="26">
        <f>IFERROR($AC118*HDF_Limited_Col!BW118/HDF_Limited_Col!$AH118," ")</f>
        <v>0</v>
      </c>
      <c r="BX118" s="26">
        <f>IFERROR($AC118*HDF_Limited_Col!BX118/HDF_Limited_Col!$AH118," ")</f>
        <v>4.7612041329847923</v>
      </c>
      <c r="BY118" s="26">
        <f>IFERROR($AC118*HDF_Limited_Col!BY118/HDF_Limited_Col!$AH118," ")</f>
        <v>3.7031587700992836</v>
      </c>
      <c r="BZ118" s="26">
        <f>IFERROR($AC118*HDF_Limited_Col!BZ118/HDF_Limited_Col!$AH118," ")</f>
        <v>0</v>
      </c>
      <c r="CA118" s="26">
        <f>IFERROR($AC118*HDF_Limited_Col!CA118/HDF_Limited_Col!$AH118," ")</f>
        <v>0</v>
      </c>
      <c r="CB118" s="26">
        <f>IFERROR($AC118*HDF_Limited_Col!CB118/HDF_Limited_Col!$AH118," ")</f>
        <v>158.70680443282643</v>
      </c>
      <c r="CC118" s="26">
        <f>IFERROR($AC118*HDF_Limited_Col!CC118/HDF_Limited_Col!$AH118," ")</f>
        <v>31.741360886565285</v>
      </c>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row>
    <row r="119" spans="1:109">
      <c r="A119" s="26" t="s">
        <v>771</v>
      </c>
      <c r="B119" s="26" t="s">
        <v>24</v>
      </c>
      <c r="C119" s="155" t="s">
        <v>546</v>
      </c>
      <c r="D119" s="26" t="s">
        <v>119</v>
      </c>
      <c r="E119" s="26" t="s">
        <v>1394</v>
      </c>
      <c r="F119" s="26" t="s">
        <v>97</v>
      </c>
      <c r="G119" s="26" t="s">
        <v>595</v>
      </c>
      <c r="H119" s="30">
        <v>118</v>
      </c>
      <c r="I119" s="26" t="s">
        <v>735</v>
      </c>
      <c r="J119" s="26" t="s">
        <v>635</v>
      </c>
      <c r="K119" s="26" t="s">
        <v>761</v>
      </c>
      <c r="L119" s="26" t="s">
        <v>763</v>
      </c>
      <c r="M119" s="26" t="s">
        <v>758</v>
      </c>
      <c r="N119" s="26">
        <v>28</v>
      </c>
      <c r="O119" s="95">
        <v>5.2051905073182985</v>
      </c>
      <c r="P119" s="95">
        <v>1.2011978093811457</v>
      </c>
      <c r="Q119" s="95">
        <v>1.4013974442780033</v>
      </c>
      <c r="R119" s="95">
        <v>9.2091832052554494</v>
      </c>
      <c r="S119" s="95">
        <v>2.102096166417005</v>
      </c>
      <c r="T119" s="95">
        <v>6.0059890469057287</v>
      </c>
      <c r="U119" s="95">
        <v>1.9018965315201475</v>
      </c>
      <c r="V119" s="95">
        <v>8.0079853958743055</v>
      </c>
      <c r="W119" s="95">
        <v>43.143021320272815</v>
      </c>
      <c r="X119" s="95">
        <v>1.9018965315201475</v>
      </c>
      <c r="Y119" s="95">
        <v>25.725653084246204</v>
      </c>
      <c r="Z119" s="95">
        <v>105.80550704298926</v>
      </c>
      <c r="AA119" s="26"/>
      <c r="AB119" s="26"/>
      <c r="AC119" s="26">
        <f t="shared" si="2"/>
        <v>358146.31435865926</v>
      </c>
      <c r="AD119" s="26">
        <f>IFERROR($AC119*HDF_Limited_Col!AD119/HDF_Limited_Col!$AH119," ")</f>
        <v>0</v>
      </c>
      <c r="AE119" s="26">
        <f>IFERROR($AC119*HDF_Limited_Col!AE119/HDF_Limited_Col!$AH119," ")</f>
        <v>0</v>
      </c>
      <c r="AF119" s="26">
        <f>IFERROR($AC119*HDF_Limited_Col!AF119/HDF_Limited_Col!$AH119," ")</f>
        <v>0</v>
      </c>
      <c r="AG119" s="26">
        <f>IFERROR($AC119*HDF_Limited_Col!AG119/HDF_Limited_Col!$AH119," ")</f>
        <v>0</v>
      </c>
      <c r="AH119" s="26">
        <f>IFERROR($AC119*HDF_Limited_Col!AH119/HDF_Limited_Col!$AH119," ")</f>
        <v>358146.31435865926</v>
      </c>
      <c r="AI119" s="26">
        <f>IFERROR($AC119*HDF_Limited_Col!AI119/HDF_Limited_Col!$AH119," ")</f>
        <v>0</v>
      </c>
      <c r="AJ119" s="26">
        <f>IFERROR($AC119*HDF_Limited_Col!AJ119/HDF_Limited_Col!$AH119," ")</f>
        <v>2984.5526196554938</v>
      </c>
      <c r="AK119" s="26">
        <f>IFERROR($AC119*HDF_Limited_Col!AK119/HDF_Limited_Col!$AH119," ")</f>
        <v>0</v>
      </c>
      <c r="AL119" s="26">
        <f>IFERROR($AC119*HDF_Limited_Col!AL119/HDF_Limited_Col!$AH119," ")</f>
        <v>0</v>
      </c>
      <c r="AM119" s="26">
        <f>IFERROR($AC119*HDF_Limited_Col!AM119/HDF_Limited_Col!$AH119," ")</f>
        <v>0</v>
      </c>
      <c r="AN119" s="26">
        <f>IFERROR($AC119*HDF_Limited_Col!AN119/HDF_Limited_Col!$AH119," ")</f>
        <v>0</v>
      </c>
      <c r="AO119" s="26">
        <f>IFERROR($AC119*HDF_Limited_Col!AO119/HDF_Limited_Col!$AH119," ")</f>
        <v>0</v>
      </c>
      <c r="AP119" s="26">
        <f>IFERROR($AC119*HDF_Limited_Col!AP119/HDF_Limited_Col!$AH119," ")</f>
        <v>0</v>
      </c>
      <c r="AQ119" s="26">
        <f>IFERROR($AC119*HDF_Limited_Col!AQ119/HDF_Limited_Col!$AH119," ")</f>
        <v>0</v>
      </c>
      <c r="AR119" s="26">
        <f>IFERROR($AC119*HDF_Limited_Col!AR119/HDF_Limited_Col!$AH119," ")</f>
        <v>0</v>
      </c>
      <c r="AS119" s="26">
        <f>IFERROR($AC119*HDF_Limited_Col!AS119/HDF_Limited_Col!$AH119," ")</f>
        <v>0</v>
      </c>
      <c r="AT119" s="26">
        <f>IFERROR($AC119*HDF_Limited_Col!AT119/HDF_Limited_Col!$AH119," ")</f>
        <v>0</v>
      </c>
      <c r="AU119" s="26">
        <f>IFERROR($AC119*HDF_Limited_Col!AU119/HDF_Limited_Col!$AH119," ")</f>
        <v>0</v>
      </c>
      <c r="AV119" s="26">
        <f>IFERROR($AC119*HDF_Limited_Col!AV119/HDF_Limited_Col!$AH119," ")</f>
        <v>0</v>
      </c>
      <c r="AW119" s="26">
        <f>IFERROR($AC119*HDF_Limited_Col!AW119/HDF_Limited_Col!$AH119," ")</f>
        <v>0</v>
      </c>
      <c r="AX119" s="26">
        <f>IFERROR($AC119*HDF_Limited_Col!AX119/HDF_Limited_Col!$AH119," ")</f>
        <v>936.06423071013205</v>
      </c>
      <c r="AY119" s="26">
        <f>IFERROR($AC119*HDF_Limited_Col!AY119/HDF_Limited_Col!$AH119," ")</f>
        <v>5426.4593084645339</v>
      </c>
      <c r="AZ119" s="26">
        <f>IFERROR($AC119*HDF_Limited_Col!AZ119/HDF_Limited_Col!$AH119," ")</f>
        <v>10.852918616929069</v>
      </c>
      <c r="BA119" s="26">
        <f>IFERROR($AC119*HDF_Limited_Col!BA119/HDF_Limited_Col!$AH119," ")</f>
        <v>123.45194926756815</v>
      </c>
      <c r="BB119" s="26">
        <f>IFERROR($AC119*HDF_Limited_Col!BB119/HDF_Limited_Col!$AH119," ")</f>
        <v>0</v>
      </c>
      <c r="BC119" s="26">
        <f>IFERROR($AC119*HDF_Limited_Col!BC119/HDF_Limited_Col!$AH119," ")</f>
        <v>379.85215159251743</v>
      </c>
      <c r="BD119" s="26">
        <f>IFERROR($AC119*HDF_Limited_Col!BD119/HDF_Limited_Col!$AH119," ")</f>
        <v>0</v>
      </c>
      <c r="BE119" s="26">
        <f>IFERROR($AC119*HDF_Limited_Col!BE119/HDF_Limited_Col!$AH119," ")</f>
        <v>0</v>
      </c>
      <c r="BF119" s="26">
        <f>IFERROR($AC119*HDF_Limited_Col!BF119/HDF_Limited_Col!$AH119," ")</f>
        <v>0</v>
      </c>
      <c r="BG119" s="26">
        <f>IFERROR($AC119*HDF_Limited_Col!BG119/HDF_Limited_Col!$AH119," ")</f>
        <v>0</v>
      </c>
      <c r="BH119" s="26">
        <f>IFERROR($AC119*HDF_Limited_Col!BH119/HDF_Limited_Col!$AH119," ")</f>
        <v>31.202141023671071</v>
      </c>
      <c r="BI119" s="26">
        <f>IFERROR($AC119*HDF_Limited_Col!BI119/HDF_Limited_Col!$AH119," ")</f>
        <v>23876.42095724395</v>
      </c>
      <c r="BJ119" s="26">
        <f>IFERROR($AC119*HDF_Limited_Col!BJ119/HDF_Limited_Col!$AH119," ")</f>
        <v>0</v>
      </c>
      <c r="BK119" s="26">
        <f>IFERROR($AC119*HDF_Limited_Col!BK119/HDF_Limited_Col!$AH119," ")</f>
        <v>1085.2918616929069</v>
      </c>
      <c r="BL119" s="26">
        <f>IFERROR($AC119*HDF_Limited_Col!BL119/HDF_Limited_Col!$AH119," ")</f>
        <v>1153.1226030487135</v>
      </c>
      <c r="BM119" s="26">
        <f>IFERROR($AC119*HDF_Limited_Col!BM119/HDF_Limited_Col!$AH119," ")</f>
        <v>104.45934168794228</v>
      </c>
      <c r="BN119" s="26">
        <f>IFERROR($AC119*HDF_Limited_Col!BN119/HDF_Limited_Col!$AH119," ")</f>
        <v>271.32296542322672</v>
      </c>
      <c r="BO119" s="26">
        <f>IFERROR($AC119*HDF_Limited_Col!BO119/HDF_Limited_Col!$AH119," ")</f>
        <v>40.698444813484009</v>
      </c>
      <c r="BP119" s="26">
        <f>IFERROR($AC119*HDF_Limited_Col!BP119/HDF_Limited_Col!$AH119," ")</f>
        <v>18.992607579625869</v>
      </c>
      <c r="BQ119" s="26">
        <f>IFERROR($AC119*HDF_Limited_Col!BQ119/HDF_Limited_Col!$AH119," ")</f>
        <v>0</v>
      </c>
      <c r="BR119" s="26">
        <f>IFERROR($AC119*HDF_Limited_Col!BR119/HDF_Limited_Col!$AH119," ")</f>
        <v>12.209533444045203</v>
      </c>
      <c r="BS119" s="26">
        <f>IFERROR($AC119*HDF_Limited_Col!BS119/HDF_Limited_Col!$AH119," ")</f>
        <v>4.0698444813484</v>
      </c>
      <c r="BT119" s="26">
        <f>IFERROR($AC119*HDF_Limited_Col!BT119/HDF_Limited_Col!$AH119," ")</f>
        <v>25.775681715206535</v>
      </c>
      <c r="BU119" s="26">
        <f>IFERROR($AC119*HDF_Limited_Col!BU119/HDF_Limited_Col!$AH119," ")</f>
        <v>0</v>
      </c>
      <c r="BV119" s="26">
        <f>IFERROR($AC119*HDF_Limited_Col!BV119/HDF_Limited_Col!$AH119," ")</f>
        <v>28.488911369438807</v>
      </c>
      <c r="BW119" s="26">
        <f>IFERROR($AC119*HDF_Limited_Col!BW119/HDF_Limited_Col!$AH119," ")</f>
        <v>8.1396889626968001</v>
      </c>
      <c r="BX119" s="26">
        <f>IFERROR($AC119*HDF_Limited_Col!BX119/HDF_Limited_Col!$AH119," ")</f>
        <v>0</v>
      </c>
      <c r="BY119" s="26">
        <f>IFERROR($AC119*HDF_Limited_Col!BY119/HDF_Limited_Col!$AH119," ")</f>
        <v>12.209533444045203</v>
      </c>
      <c r="BZ119" s="26">
        <f>IFERROR($AC119*HDF_Limited_Col!BZ119/HDF_Limited_Col!$AH119," ")</f>
        <v>0</v>
      </c>
      <c r="CA119" s="26">
        <f>IFERROR($AC119*HDF_Limited_Col!CA119/HDF_Limited_Col!$AH119," ")</f>
        <v>0</v>
      </c>
      <c r="CB119" s="26">
        <f>IFERROR($AC119*HDF_Limited_Col!CB119/HDF_Limited_Col!$AH119," ")</f>
        <v>203.49222406742001</v>
      </c>
      <c r="CC119" s="26">
        <f>IFERROR($AC119*HDF_Limited_Col!CC119/HDF_Limited_Col!$AH119," ")</f>
        <v>35.271985505019472</v>
      </c>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row>
    <row r="120" spans="1:109">
      <c r="A120" s="26" t="s">
        <v>750</v>
      </c>
      <c r="B120" s="26" t="s">
        <v>24</v>
      </c>
      <c r="C120" s="155" t="s">
        <v>546</v>
      </c>
      <c r="D120" s="26" t="s">
        <v>1716</v>
      </c>
      <c r="E120" s="26" t="s">
        <v>1394</v>
      </c>
      <c r="F120" s="26" t="s">
        <v>142</v>
      </c>
      <c r="G120" s="26" t="s">
        <v>595</v>
      </c>
      <c r="H120" s="30">
        <v>90</v>
      </c>
      <c r="I120" s="26" t="s">
        <v>736</v>
      </c>
      <c r="J120" s="26"/>
      <c r="K120" s="26" t="s">
        <v>751</v>
      </c>
      <c r="L120" s="26" t="s">
        <v>145</v>
      </c>
      <c r="M120" s="26" t="s">
        <v>146</v>
      </c>
      <c r="N120" s="26">
        <v>15</v>
      </c>
      <c r="O120" s="95">
        <v>5.1665604558586926</v>
      </c>
      <c r="P120" s="95">
        <v>1.2156612837314571</v>
      </c>
      <c r="Q120" s="95">
        <v>0.50652553488810714</v>
      </c>
      <c r="R120" s="95">
        <v>14.689240511755106</v>
      </c>
      <c r="S120" s="95">
        <v>1.1143561767538357</v>
      </c>
      <c r="T120" s="95">
        <v>11.244866874515976</v>
      </c>
      <c r="U120" s="95">
        <v>1.6208817116419429</v>
      </c>
      <c r="V120" s="95">
        <v>4.6600349209705847</v>
      </c>
      <c r="W120" s="95">
        <v>29.175870809554972</v>
      </c>
      <c r="X120" s="95">
        <v>0.40522042791048574</v>
      </c>
      <c r="Y120" s="95">
        <v>39.002466186384247</v>
      </c>
      <c r="Z120" s="95">
        <v>108.80168489396542</v>
      </c>
      <c r="AA120" s="26"/>
      <c r="AB120" s="26"/>
      <c r="AC120" s="26">
        <f t="shared" si="2"/>
        <v>242199.78756416938</v>
      </c>
      <c r="AD120" s="26" t="str">
        <f>IFERROR($AC120*HDF_Limited_Col!AD120/HDF_Limited_Col!$AH120," ")</f>
        <v xml:space="preserve"> </v>
      </c>
      <c r="AE120" s="26" t="str">
        <f>IFERROR($AC120*HDF_Limited_Col!AE120/HDF_Limited_Col!$AH120," ")</f>
        <v xml:space="preserve"> </v>
      </c>
      <c r="AF120" s="26" t="str">
        <f>IFERROR($AC120*HDF_Limited_Col!AF120/HDF_Limited_Col!$AH120," ")</f>
        <v xml:space="preserve"> </v>
      </c>
      <c r="AG120" s="26" t="str">
        <f>IFERROR($AC120*HDF_Limited_Col!AG120/HDF_Limited_Col!$AH120," ")</f>
        <v xml:space="preserve"> </v>
      </c>
      <c r="AH120" s="26" t="str">
        <f>IFERROR($AC120*HDF_Limited_Col!AH120/HDF_Limited_Col!$AH120," ")</f>
        <v xml:space="preserve"> </v>
      </c>
      <c r="AI120" s="26" t="str">
        <f>IFERROR($AC120*HDF_Limited_Col!AI120/HDF_Limited_Col!$AH120," ")</f>
        <v xml:space="preserve"> </v>
      </c>
      <c r="AJ120" s="26" t="str">
        <f>IFERROR($AC120*HDF_Limited_Col!AJ120/HDF_Limited_Col!$AH120," ")</f>
        <v xml:space="preserve"> </v>
      </c>
      <c r="AK120" s="26" t="str">
        <f>IFERROR($AC120*HDF_Limited_Col!AK120/HDF_Limited_Col!$AH120," ")</f>
        <v xml:space="preserve"> </v>
      </c>
      <c r="AL120" s="26" t="str">
        <f>IFERROR($AC120*HDF_Limited_Col!AL120/HDF_Limited_Col!$AH120," ")</f>
        <v xml:space="preserve"> </v>
      </c>
      <c r="AM120" s="26" t="str">
        <f>IFERROR($AC120*HDF_Limited_Col!AM120/HDF_Limited_Col!$AH120," ")</f>
        <v xml:space="preserve"> </v>
      </c>
      <c r="AN120" s="26" t="str">
        <f>IFERROR($AC120*HDF_Limited_Col!AN120/HDF_Limited_Col!$AH120," ")</f>
        <v xml:space="preserve"> </v>
      </c>
      <c r="AO120" s="26" t="str">
        <f>IFERROR($AC120*HDF_Limited_Col!AO120/HDF_Limited_Col!$AH120," ")</f>
        <v xml:space="preserve"> </v>
      </c>
      <c r="AP120" s="26" t="str">
        <f>IFERROR($AC120*HDF_Limited_Col!AP120/HDF_Limited_Col!$AH120," ")</f>
        <v xml:space="preserve"> </v>
      </c>
      <c r="AQ120" s="26" t="str">
        <f>IFERROR($AC120*HDF_Limited_Col!AQ120/HDF_Limited_Col!$AH120," ")</f>
        <v xml:space="preserve"> </v>
      </c>
      <c r="AR120" s="26" t="str">
        <f>IFERROR($AC120*HDF_Limited_Col!AR120/HDF_Limited_Col!$AH120," ")</f>
        <v xml:space="preserve"> </v>
      </c>
      <c r="AS120" s="26" t="str">
        <f>IFERROR($AC120*HDF_Limited_Col!AS120/HDF_Limited_Col!$AH120," ")</f>
        <v xml:space="preserve"> </v>
      </c>
      <c r="AT120" s="26" t="str">
        <f>IFERROR($AC120*HDF_Limited_Col!AT120/HDF_Limited_Col!$AH120," ")</f>
        <v xml:space="preserve"> </v>
      </c>
      <c r="AU120" s="26" t="str">
        <f>IFERROR($AC120*HDF_Limited_Col!AU120/HDF_Limited_Col!$AH120," ")</f>
        <v xml:space="preserve"> </v>
      </c>
      <c r="AV120" s="26" t="str">
        <f>IFERROR($AC120*HDF_Limited_Col!AV120/HDF_Limited_Col!$AH120," ")</f>
        <v xml:space="preserve"> </v>
      </c>
      <c r="AW120" s="26" t="str">
        <f>IFERROR($AC120*HDF_Limited_Col!AW120/HDF_Limited_Col!$AH120," ")</f>
        <v xml:space="preserve"> </v>
      </c>
      <c r="AX120" s="26" t="str">
        <f>IFERROR($AC120*HDF_Limited_Col!AX120/HDF_Limited_Col!$AH120," ")</f>
        <v xml:space="preserve"> </v>
      </c>
      <c r="AY120" s="26" t="str">
        <f>IFERROR($AC120*HDF_Limited_Col!AY120/HDF_Limited_Col!$AH120," ")</f>
        <v xml:space="preserve"> </v>
      </c>
      <c r="AZ120" s="26" t="str">
        <f>IFERROR($AC120*HDF_Limited_Col!AZ120/HDF_Limited_Col!$AH120," ")</f>
        <v xml:space="preserve"> </v>
      </c>
      <c r="BA120" s="26" t="str">
        <f>IFERROR($AC120*HDF_Limited_Col!BA120/HDF_Limited_Col!$AH120," ")</f>
        <v xml:space="preserve"> </v>
      </c>
      <c r="BB120" s="26" t="str">
        <f>IFERROR($AC120*HDF_Limited_Col!BB120/HDF_Limited_Col!$AH120," ")</f>
        <v xml:space="preserve"> </v>
      </c>
      <c r="BC120" s="26" t="str">
        <f>IFERROR($AC120*HDF_Limited_Col!BC120/HDF_Limited_Col!$AH120," ")</f>
        <v xml:space="preserve"> </v>
      </c>
      <c r="BD120" s="26" t="str">
        <f>IFERROR($AC120*HDF_Limited_Col!BD120/HDF_Limited_Col!$AH120," ")</f>
        <v xml:space="preserve"> </v>
      </c>
      <c r="BE120" s="26" t="str">
        <f>IFERROR($AC120*HDF_Limited_Col!BE120/HDF_Limited_Col!$AH120," ")</f>
        <v xml:space="preserve"> </v>
      </c>
      <c r="BF120" s="26" t="str">
        <f>IFERROR($AC120*HDF_Limited_Col!BF120/HDF_Limited_Col!$AH120," ")</f>
        <v xml:space="preserve"> </v>
      </c>
      <c r="BG120" s="26" t="str">
        <f>IFERROR($AC120*HDF_Limited_Col!BG120/HDF_Limited_Col!$AH120," ")</f>
        <v xml:space="preserve"> </v>
      </c>
      <c r="BH120" s="26" t="str">
        <f>IFERROR($AC120*HDF_Limited_Col!BH120/HDF_Limited_Col!$AH120," ")</f>
        <v xml:space="preserve"> </v>
      </c>
      <c r="BI120" s="26" t="str">
        <f>IFERROR($AC120*HDF_Limited_Col!BI120/HDF_Limited_Col!$AH120," ")</f>
        <v xml:space="preserve"> </v>
      </c>
      <c r="BJ120" s="26" t="str">
        <f>IFERROR($AC120*HDF_Limited_Col!BJ120/HDF_Limited_Col!$AH120," ")</f>
        <v xml:space="preserve"> </v>
      </c>
      <c r="BK120" s="26" t="str">
        <f>IFERROR($AC120*HDF_Limited_Col!BK120/HDF_Limited_Col!$AH120," ")</f>
        <v xml:space="preserve"> </v>
      </c>
      <c r="BL120" s="26" t="str">
        <f>IFERROR($AC120*HDF_Limited_Col!BL120/HDF_Limited_Col!$AH120," ")</f>
        <v xml:space="preserve"> </v>
      </c>
      <c r="BM120" s="26" t="str">
        <f>IFERROR($AC120*HDF_Limited_Col!BM120/HDF_Limited_Col!$AH120," ")</f>
        <v xml:space="preserve"> </v>
      </c>
      <c r="BN120" s="26" t="str">
        <f>IFERROR($AC120*HDF_Limited_Col!BN120/HDF_Limited_Col!$AH120," ")</f>
        <v xml:space="preserve"> </v>
      </c>
      <c r="BO120" s="26" t="str">
        <f>IFERROR($AC120*HDF_Limited_Col!BO120/HDF_Limited_Col!$AH120," ")</f>
        <v xml:space="preserve"> </v>
      </c>
      <c r="BP120" s="26" t="str">
        <f>IFERROR($AC120*HDF_Limited_Col!BP120/HDF_Limited_Col!$AH120," ")</f>
        <v xml:space="preserve"> </v>
      </c>
      <c r="BQ120" s="26" t="str">
        <f>IFERROR($AC120*HDF_Limited_Col!BQ120/HDF_Limited_Col!$AH120," ")</f>
        <v xml:space="preserve"> </v>
      </c>
      <c r="BR120" s="26" t="str">
        <f>IFERROR($AC120*HDF_Limited_Col!BR120/HDF_Limited_Col!$AH120," ")</f>
        <v xml:space="preserve"> </v>
      </c>
      <c r="BS120" s="26" t="str">
        <f>IFERROR($AC120*HDF_Limited_Col!BS120/HDF_Limited_Col!$AH120," ")</f>
        <v xml:space="preserve"> </v>
      </c>
      <c r="BT120" s="26" t="str">
        <f>IFERROR($AC120*HDF_Limited_Col!BT120/HDF_Limited_Col!$AH120," ")</f>
        <v xml:space="preserve"> </v>
      </c>
      <c r="BU120" s="26" t="str">
        <f>IFERROR($AC120*HDF_Limited_Col!BU120/HDF_Limited_Col!$AH120," ")</f>
        <v xml:space="preserve"> </v>
      </c>
      <c r="BV120" s="26" t="str">
        <f>IFERROR($AC120*HDF_Limited_Col!BV120/HDF_Limited_Col!$AH120," ")</f>
        <v xml:space="preserve"> </v>
      </c>
      <c r="BW120" s="26" t="str">
        <f>IFERROR($AC120*HDF_Limited_Col!BW120/HDF_Limited_Col!$AH120," ")</f>
        <v xml:space="preserve"> </v>
      </c>
      <c r="BX120" s="26" t="str">
        <f>IFERROR($AC120*HDF_Limited_Col!BX120/HDF_Limited_Col!$AH120," ")</f>
        <v xml:space="preserve"> </v>
      </c>
      <c r="BY120" s="26" t="str">
        <f>IFERROR($AC120*HDF_Limited_Col!BY120/HDF_Limited_Col!$AH120," ")</f>
        <v xml:space="preserve"> </v>
      </c>
      <c r="BZ120" s="26" t="str">
        <f>IFERROR($AC120*HDF_Limited_Col!BZ120/HDF_Limited_Col!$AH120," ")</f>
        <v xml:space="preserve"> </v>
      </c>
      <c r="CA120" s="26" t="str">
        <f>IFERROR($AC120*HDF_Limited_Col!CA120/HDF_Limited_Col!$AH120," ")</f>
        <v xml:space="preserve"> </v>
      </c>
      <c r="CB120" s="26" t="str">
        <f>IFERROR($AC120*HDF_Limited_Col!CB120/HDF_Limited_Col!$AH120," ")</f>
        <v xml:space="preserve"> </v>
      </c>
      <c r="CC120" s="26" t="str">
        <f>IFERROR($AC120*HDF_Limited_Col!CC120/HDF_Limited_Col!$AH120," ")</f>
        <v xml:space="preserve"> </v>
      </c>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row>
    <row r="121" spans="1:109">
      <c r="A121" s="26" t="s">
        <v>750</v>
      </c>
      <c r="B121" s="26" t="s">
        <v>24</v>
      </c>
      <c r="C121" s="155" t="s">
        <v>546</v>
      </c>
      <c r="D121" s="26" t="s">
        <v>1716</v>
      </c>
      <c r="E121" s="26" t="s">
        <v>1394</v>
      </c>
      <c r="F121" s="26" t="s">
        <v>142</v>
      </c>
      <c r="G121" s="26" t="s">
        <v>595</v>
      </c>
      <c r="H121" s="30">
        <v>90</v>
      </c>
      <c r="I121" s="26" t="s">
        <v>736</v>
      </c>
      <c r="J121" s="26"/>
      <c r="K121" s="26" t="s">
        <v>751</v>
      </c>
      <c r="L121" s="26" t="s">
        <v>145</v>
      </c>
      <c r="M121" s="26" t="s">
        <v>147</v>
      </c>
      <c r="N121" s="26">
        <v>17</v>
      </c>
      <c r="O121" s="95">
        <v>6.4232650842543926</v>
      </c>
      <c r="P121" s="95">
        <v>0.6021811016488493</v>
      </c>
      <c r="Q121" s="95">
        <v>0.70254461859032413</v>
      </c>
      <c r="R121" s="95">
        <v>19.771612837470549</v>
      </c>
      <c r="S121" s="95">
        <v>0.50181758470737448</v>
      </c>
      <c r="T121" s="95">
        <v>5.118539364015219</v>
      </c>
      <c r="U121" s="95">
        <v>0.20072703388294977</v>
      </c>
      <c r="V121" s="95">
        <v>1.9069068218880227</v>
      </c>
      <c r="W121" s="95">
        <v>32.015961904330489</v>
      </c>
      <c r="X121" s="95">
        <v>1.2043622032976986</v>
      </c>
      <c r="Y121" s="95">
        <v>40.747587878238804</v>
      </c>
      <c r="Z121" s="95">
        <v>109.19550643232468</v>
      </c>
      <c r="AA121" s="26"/>
      <c r="AB121" s="26"/>
      <c r="AC121" s="26">
        <f t="shared" si="2"/>
        <v>265776.44322965323</v>
      </c>
      <c r="AD121" s="26" t="str">
        <f>IFERROR($AC121*HDF_Limited_Col!AD121/HDF_Limited_Col!$AH121," ")</f>
        <v xml:space="preserve"> </v>
      </c>
      <c r="AE121" s="26" t="str">
        <f>IFERROR($AC121*HDF_Limited_Col!AE121/HDF_Limited_Col!$AH121," ")</f>
        <v xml:space="preserve"> </v>
      </c>
      <c r="AF121" s="26" t="str">
        <f>IFERROR($AC121*HDF_Limited_Col!AF121/HDF_Limited_Col!$AH121," ")</f>
        <v xml:space="preserve"> </v>
      </c>
      <c r="AG121" s="26" t="str">
        <f>IFERROR($AC121*HDF_Limited_Col!AG121/HDF_Limited_Col!$AH121," ")</f>
        <v xml:space="preserve"> </v>
      </c>
      <c r="AH121" s="26" t="str">
        <f>IFERROR($AC121*HDF_Limited_Col!AH121/HDF_Limited_Col!$AH121," ")</f>
        <v xml:space="preserve"> </v>
      </c>
      <c r="AI121" s="26" t="str">
        <f>IFERROR($AC121*HDF_Limited_Col!AI121/HDF_Limited_Col!$AH121," ")</f>
        <v xml:space="preserve"> </v>
      </c>
      <c r="AJ121" s="26" t="str">
        <f>IFERROR($AC121*HDF_Limited_Col!AJ121/HDF_Limited_Col!$AH121," ")</f>
        <v xml:space="preserve"> </v>
      </c>
      <c r="AK121" s="26" t="str">
        <f>IFERROR($AC121*HDF_Limited_Col!AK121/HDF_Limited_Col!$AH121," ")</f>
        <v xml:space="preserve"> </v>
      </c>
      <c r="AL121" s="26" t="str">
        <f>IFERROR($AC121*HDF_Limited_Col!AL121/HDF_Limited_Col!$AH121," ")</f>
        <v xml:space="preserve"> </v>
      </c>
      <c r="AM121" s="26" t="str">
        <f>IFERROR($AC121*HDF_Limited_Col!AM121/HDF_Limited_Col!$AH121," ")</f>
        <v xml:space="preserve"> </v>
      </c>
      <c r="AN121" s="26" t="str">
        <f>IFERROR($AC121*HDF_Limited_Col!AN121/HDF_Limited_Col!$AH121," ")</f>
        <v xml:space="preserve"> </v>
      </c>
      <c r="AO121" s="26" t="str">
        <f>IFERROR($AC121*HDF_Limited_Col!AO121/HDF_Limited_Col!$AH121," ")</f>
        <v xml:space="preserve"> </v>
      </c>
      <c r="AP121" s="26" t="str">
        <f>IFERROR($AC121*HDF_Limited_Col!AP121/HDF_Limited_Col!$AH121," ")</f>
        <v xml:space="preserve"> </v>
      </c>
      <c r="AQ121" s="26" t="str">
        <f>IFERROR($AC121*HDF_Limited_Col!AQ121/HDF_Limited_Col!$AH121," ")</f>
        <v xml:space="preserve"> </v>
      </c>
      <c r="AR121" s="26" t="str">
        <f>IFERROR($AC121*HDF_Limited_Col!AR121/HDF_Limited_Col!$AH121," ")</f>
        <v xml:space="preserve"> </v>
      </c>
      <c r="AS121" s="26" t="str">
        <f>IFERROR($AC121*HDF_Limited_Col!AS121/HDF_Limited_Col!$AH121," ")</f>
        <v xml:space="preserve"> </v>
      </c>
      <c r="AT121" s="26" t="str">
        <f>IFERROR($AC121*HDF_Limited_Col!AT121/HDF_Limited_Col!$AH121," ")</f>
        <v xml:space="preserve"> </v>
      </c>
      <c r="AU121" s="26" t="str">
        <f>IFERROR($AC121*HDF_Limited_Col!AU121/HDF_Limited_Col!$AH121," ")</f>
        <v xml:space="preserve"> </v>
      </c>
      <c r="AV121" s="26" t="str">
        <f>IFERROR($AC121*HDF_Limited_Col!AV121/HDF_Limited_Col!$AH121," ")</f>
        <v xml:space="preserve"> </v>
      </c>
      <c r="AW121" s="26" t="str">
        <f>IFERROR($AC121*HDF_Limited_Col!AW121/HDF_Limited_Col!$AH121," ")</f>
        <v xml:space="preserve"> </v>
      </c>
      <c r="AX121" s="26" t="str">
        <f>IFERROR($AC121*HDF_Limited_Col!AX121/HDF_Limited_Col!$AH121," ")</f>
        <v xml:space="preserve"> </v>
      </c>
      <c r="AY121" s="26" t="str">
        <f>IFERROR($AC121*HDF_Limited_Col!AY121/HDF_Limited_Col!$AH121," ")</f>
        <v xml:space="preserve"> </v>
      </c>
      <c r="AZ121" s="26" t="str">
        <f>IFERROR($AC121*HDF_Limited_Col!AZ121/HDF_Limited_Col!$AH121," ")</f>
        <v xml:space="preserve"> </v>
      </c>
      <c r="BA121" s="26" t="str">
        <f>IFERROR($AC121*HDF_Limited_Col!BA121/HDF_Limited_Col!$AH121," ")</f>
        <v xml:space="preserve"> </v>
      </c>
      <c r="BB121" s="26" t="str">
        <f>IFERROR($AC121*HDF_Limited_Col!BB121/HDF_Limited_Col!$AH121," ")</f>
        <v xml:space="preserve"> </v>
      </c>
      <c r="BC121" s="26" t="str">
        <f>IFERROR($AC121*HDF_Limited_Col!BC121/HDF_Limited_Col!$AH121," ")</f>
        <v xml:space="preserve"> </v>
      </c>
      <c r="BD121" s="26" t="str">
        <f>IFERROR($AC121*HDF_Limited_Col!BD121/HDF_Limited_Col!$AH121," ")</f>
        <v xml:space="preserve"> </v>
      </c>
      <c r="BE121" s="26" t="str">
        <f>IFERROR($AC121*HDF_Limited_Col!BE121/HDF_Limited_Col!$AH121," ")</f>
        <v xml:space="preserve"> </v>
      </c>
      <c r="BF121" s="26" t="str">
        <f>IFERROR($AC121*HDF_Limited_Col!BF121/HDF_Limited_Col!$AH121," ")</f>
        <v xml:space="preserve"> </v>
      </c>
      <c r="BG121" s="26" t="str">
        <f>IFERROR($AC121*HDF_Limited_Col!BG121/HDF_Limited_Col!$AH121," ")</f>
        <v xml:space="preserve"> </v>
      </c>
      <c r="BH121" s="26" t="str">
        <f>IFERROR($AC121*HDF_Limited_Col!BH121/HDF_Limited_Col!$AH121," ")</f>
        <v xml:space="preserve"> </v>
      </c>
      <c r="BI121" s="26" t="str">
        <f>IFERROR($AC121*HDF_Limited_Col!BI121/HDF_Limited_Col!$AH121," ")</f>
        <v xml:space="preserve"> </v>
      </c>
      <c r="BJ121" s="26" t="str">
        <f>IFERROR($AC121*HDF_Limited_Col!BJ121/HDF_Limited_Col!$AH121," ")</f>
        <v xml:space="preserve"> </v>
      </c>
      <c r="BK121" s="26" t="str">
        <f>IFERROR($AC121*HDF_Limited_Col!BK121/HDF_Limited_Col!$AH121," ")</f>
        <v xml:space="preserve"> </v>
      </c>
      <c r="BL121" s="26" t="str">
        <f>IFERROR($AC121*HDF_Limited_Col!BL121/HDF_Limited_Col!$AH121," ")</f>
        <v xml:space="preserve"> </v>
      </c>
      <c r="BM121" s="26" t="str">
        <f>IFERROR($AC121*HDF_Limited_Col!BM121/HDF_Limited_Col!$AH121," ")</f>
        <v xml:space="preserve"> </v>
      </c>
      <c r="BN121" s="26" t="str">
        <f>IFERROR($AC121*HDF_Limited_Col!BN121/HDF_Limited_Col!$AH121," ")</f>
        <v xml:space="preserve"> </v>
      </c>
      <c r="BO121" s="26" t="str">
        <f>IFERROR($AC121*HDF_Limited_Col!BO121/HDF_Limited_Col!$AH121," ")</f>
        <v xml:space="preserve"> </v>
      </c>
      <c r="BP121" s="26" t="str">
        <f>IFERROR($AC121*HDF_Limited_Col!BP121/HDF_Limited_Col!$AH121," ")</f>
        <v xml:space="preserve"> </v>
      </c>
      <c r="BQ121" s="26" t="str">
        <f>IFERROR($AC121*HDF_Limited_Col!BQ121/HDF_Limited_Col!$AH121," ")</f>
        <v xml:space="preserve"> </v>
      </c>
      <c r="BR121" s="26" t="str">
        <f>IFERROR($AC121*HDF_Limited_Col!BR121/HDF_Limited_Col!$AH121," ")</f>
        <v xml:space="preserve"> </v>
      </c>
      <c r="BS121" s="26" t="str">
        <f>IFERROR($AC121*HDF_Limited_Col!BS121/HDF_Limited_Col!$AH121," ")</f>
        <v xml:space="preserve"> </v>
      </c>
      <c r="BT121" s="26" t="str">
        <f>IFERROR($AC121*HDF_Limited_Col!BT121/HDF_Limited_Col!$AH121," ")</f>
        <v xml:space="preserve"> </v>
      </c>
      <c r="BU121" s="26" t="str">
        <f>IFERROR($AC121*HDF_Limited_Col!BU121/HDF_Limited_Col!$AH121," ")</f>
        <v xml:space="preserve"> </v>
      </c>
      <c r="BV121" s="26" t="str">
        <f>IFERROR($AC121*HDF_Limited_Col!BV121/HDF_Limited_Col!$AH121," ")</f>
        <v xml:space="preserve"> </v>
      </c>
      <c r="BW121" s="26" t="str">
        <f>IFERROR($AC121*HDF_Limited_Col!BW121/HDF_Limited_Col!$AH121," ")</f>
        <v xml:space="preserve"> </v>
      </c>
      <c r="BX121" s="26" t="str">
        <f>IFERROR($AC121*HDF_Limited_Col!BX121/HDF_Limited_Col!$AH121," ")</f>
        <v xml:space="preserve"> </v>
      </c>
      <c r="BY121" s="26" t="str">
        <f>IFERROR($AC121*HDF_Limited_Col!BY121/HDF_Limited_Col!$AH121," ")</f>
        <v xml:space="preserve"> </v>
      </c>
      <c r="BZ121" s="26" t="str">
        <f>IFERROR($AC121*HDF_Limited_Col!BZ121/HDF_Limited_Col!$AH121," ")</f>
        <v xml:space="preserve"> </v>
      </c>
      <c r="CA121" s="26" t="str">
        <f>IFERROR($AC121*HDF_Limited_Col!CA121/HDF_Limited_Col!$AH121," ")</f>
        <v xml:space="preserve"> </v>
      </c>
      <c r="CB121" s="26" t="str">
        <f>IFERROR($AC121*HDF_Limited_Col!CB121/HDF_Limited_Col!$AH121," ")</f>
        <v xml:space="preserve"> </v>
      </c>
      <c r="CC121" s="26" t="str">
        <f>IFERROR($AC121*HDF_Limited_Col!CC121/HDF_Limited_Col!$AH121," ")</f>
        <v xml:space="preserve"> </v>
      </c>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row>
    <row r="122" spans="1:109">
      <c r="A122" s="26" t="s">
        <v>750</v>
      </c>
      <c r="B122" s="26" t="s">
        <v>24</v>
      </c>
      <c r="C122" s="155" t="s">
        <v>546</v>
      </c>
      <c r="D122" s="26" t="s">
        <v>1716</v>
      </c>
      <c r="E122" s="26" t="s">
        <v>1394</v>
      </c>
      <c r="F122" s="26" t="s">
        <v>142</v>
      </c>
      <c r="G122" s="26" t="s">
        <v>595</v>
      </c>
      <c r="H122" s="30">
        <v>90</v>
      </c>
      <c r="I122" s="26" t="s">
        <v>736</v>
      </c>
      <c r="J122" s="26"/>
      <c r="K122" s="26" t="s">
        <v>751</v>
      </c>
      <c r="L122" s="26"/>
      <c r="M122" s="26" t="s">
        <v>151</v>
      </c>
      <c r="N122" s="26">
        <v>13</v>
      </c>
      <c r="O122" s="95">
        <v>6.0167798411769189</v>
      </c>
      <c r="P122" s="95">
        <v>0.20395863868396336</v>
      </c>
      <c r="Q122" s="95">
        <v>0.30593795802594498</v>
      </c>
      <c r="R122" s="95">
        <v>20.70180182642228</v>
      </c>
      <c r="S122" s="95">
        <v>1.8356277481556702</v>
      </c>
      <c r="T122" s="95">
        <v>9.7900146568302393</v>
      </c>
      <c r="U122" s="95">
        <v>2.3455243448655785</v>
      </c>
      <c r="V122" s="95">
        <v>4.4870900510471943</v>
      </c>
      <c r="W122" s="95">
        <v>27.228478264309107</v>
      </c>
      <c r="X122" s="95">
        <v>2.4475036642075598</v>
      </c>
      <c r="Y122" s="95">
        <v>31.817547634698279</v>
      </c>
      <c r="Z122" s="95">
        <v>107.18026462842275</v>
      </c>
      <c r="AA122" s="26"/>
      <c r="AB122" s="26"/>
      <c r="AC122" s="26">
        <f t="shared" si="2"/>
        <v>226033.75557693798</v>
      </c>
      <c r="AD122" s="26" t="str">
        <f>IFERROR($AC122*HDF_Limited_Col!AD122/HDF_Limited_Col!$AH122," ")</f>
        <v xml:space="preserve"> </v>
      </c>
      <c r="AE122" s="26" t="str">
        <f>IFERROR($AC122*HDF_Limited_Col!AE122/HDF_Limited_Col!$AH122," ")</f>
        <v xml:space="preserve"> </v>
      </c>
      <c r="AF122" s="26" t="str">
        <f>IFERROR($AC122*HDF_Limited_Col!AF122/HDF_Limited_Col!$AH122," ")</f>
        <v xml:space="preserve"> </v>
      </c>
      <c r="AG122" s="26" t="str">
        <f>IFERROR($AC122*HDF_Limited_Col!AG122/HDF_Limited_Col!$AH122," ")</f>
        <v xml:space="preserve"> </v>
      </c>
      <c r="AH122" s="26" t="str">
        <f>IFERROR($AC122*HDF_Limited_Col!AH122/HDF_Limited_Col!$AH122," ")</f>
        <v xml:space="preserve"> </v>
      </c>
      <c r="AI122" s="26" t="str">
        <f>IFERROR($AC122*HDF_Limited_Col!AI122/HDF_Limited_Col!$AH122," ")</f>
        <v xml:space="preserve"> </v>
      </c>
      <c r="AJ122" s="26" t="str">
        <f>IFERROR($AC122*HDF_Limited_Col!AJ122/HDF_Limited_Col!$AH122," ")</f>
        <v xml:space="preserve"> </v>
      </c>
      <c r="AK122" s="26" t="str">
        <f>IFERROR($AC122*HDF_Limited_Col!AK122/HDF_Limited_Col!$AH122," ")</f>
        <v xml:space="preserve"> </v>
      </c>
      <c r="AL122" s="26" t="str">
        <f>IFERROR($AC122*HDF_Limited_Col!AL122/HDF_Limited_Col!$AH122," ")</f>
        <v xml:space="preserve"> </v>
      </c>
      <c r="AM122" s="26" t="str">
        <f>IFERROR($AC122*HDF_Limited_Col!AM122/HDF_Limited_Col!$AH122," ")</f>
        <v xml:space="preserve"> </v>
      </c>
      <c r="AN122" s="26" t="str">
        <f>IFERROR($AC122*HDF_Limited_Col!AN122/HDF_Limited_Col!$AH122," ")</f>
        <v xml:space="preserve"> </v>
      </c>
      <c r="AO122" s="26" t="str">
        <f>IFERROR($AC122*HDF_Limited_Col!AO122/HDF_Limited_Col!$AH122," ")</f>
        <v xml:space="preserve"> </v>
      </c>
      <c r="AP122" s="26" t="str">
        <f>IFERROR($AC122*HDF_Limited_Col!AP122/HDF_Limited_Col!$AH122," ")</f>
        <v xml:space="preserve"> </v>
      </c>
      <c r="AQ122" s="26" t="str">
        <f>IFERROR($AC122*HDF_Limited_Col!AQ122/HDF_Limited_Col!$AH122," ")</f>
        <v xml:space="preserve"> </v>
      </c>
      <c r="AR122" s="26" t="str">
        <f>IFERROR($AC122*HDF_Limited_Col!AR122/HDF_Limited_Col!$AH122," ")</f>
        <v xml:space="preserve"> </v>
      </c>
      <c r="AS122" s="26" t="str">
        <f>IFERROR($AC122*HDF_Limited_Col!AS122/HDF_Limited_Col!$AH122," ")</f>
        <v xml:space="preserve"> </v>
      </c>
      <c r="AT122" s="26" t="str">
        <f>IFERROR($AC122*HDF_Limited_Col!AT122/HDF_Limited_Col!$AH122," ")</f>
        <v xml:space="preserve"> </v>
      </c>
      <c r="AU122" s="26" t="str">
        <f>IFERROR($AC122*HDF_Limited_Col!AU122/HDF_Limited_Col!$AH122," ")</f>
        <v xml:space="preserve"> </v>
      </c>
      <c r="AV122" s="26" t="str">
        <f>IFERROR($AC122*HDF_Limited_Col!AV122/HDF_Limited_Col!$AH122," ")</f>
        <v xml:space="preserve"> </v>
      </c>
      <c r="AW122" s="26" t="str">
        <f>IFERROR($AC122*HDF_Limited_Col!AW122/HDF_Limited_Col!$AH122," ")</f>
        <v xml:space="preserve"> </v>
      </c>
      <c r="AX122" s="26" t="str">
        <f>IFERROR($AC122*HDF_Limited_Col!AX122/HDF_Limited_Col!$AH122," ")</f>
        <v xml:space="preserve"> </v>
      </c>
      <c r="AY122" s="26" t="str">
        <f>IFERROR($AC122*HDF_Limited_Col!AY122/HDF_Limited_Col!$AH122," ")</f>
        <v xml:space="preserve"> </v>
      </c>
      <c r="AZ122" s="26" t="str">
        <f>IFERROR($AC122*HDF_Limited_Col!AZ122/HDF_Limited_Col!$AH122," ")</f>
        <v xml:space="preserve"> </v>
      </c>
      <c r="BA122" s="26" t="str">
        <f>IFERROR($AC122*HDF_Limited_Col!BA122/HDF_Limited_Col!$AH122," ")</f>
        <v xml:space="preserve"> </v>
      </c>
      <c r="BB122" s="26" t="str">
        <f>IFERROR($AC122*HDF_Limited_Col!BB122/HDF_Limited_Col!$AH122," ")</f>
        <v xml:space="preserve"> </v>
      </c>
      <c r="BC122" s="26" t="str">
        <f>IFERROR($AC122*HDF_Limited_Col!BC122/HDF_Limited_Col!$AH122," ")</f>
        <v xml:space="preserve"> </v>
      </c>
      <c r="BD122" s="26" t="str">
        <f>IFERROR($AC122*HDF_Limited_Col!BD122/HDF_Limited_Col!$AH122," ")</f>
        <v xml:space="preserve"> </v>
      </c>
      <c r="BE122" s="26" t="str">
        <f>IFERROR($AC122*HDF_Limited_Col!BE122/HDF_Limited_Col!$AH122," ")</f>
        <v xml:space="preserve"> </v>
      </c>
      <c r="BF122" s="26" t="str">
        <f>IFERROR($AC122*HDF_Limited_Col!BF122/HDF_Limited_Col!$AH122," ")</f>
        <v xml:space="preserve"> </v>
      </c>
      <c r="BG122" s="26" t="str">
        <f>IFERROR($AC122*HDF_Limited_Col!BG122/HDF_Limited_Col!$AH122," ")</f>
        <v xml:space="preserve"> </v>
      </c>
      <c r="BH122" s="26" t="str">
        <f>IFERROR($AC122*HDF_Limited_Col!BH122/HDF_Limited_Col!$AH122," ")</f>
        <v xml:space="preserve"> </v>
      </c>
      <c r="BI122" s="26" t="str">
        <f>IFERROR($AC122*HDF_Limited_Col!BI122/HDF_Limited_Col!$AH122," ")</f>
        <v xml:space="preserve"> </v>
      </c>
      <c r="BJ122" s="26" t="str">
        <f>IFERROR($AC122*HDF_Limited_Col!BJ122/HDF_Limited_Col!$AH122," ")</f>
        <v xml:space="preserve"> </v>
      </c>
      <c r="BK122" s="26" t="str">
        <f>IFERROR($AC122*HDF_Limited_Col!BK122/HDF_Limited_Col!$AH122," ")</f>
        <v xml:space="preserve"> </v>
      </c>
      <c r="BL122" s="26" t="str">
        <f>IFERROR($AC122*HDF_Limited_Col!BL122/HDF_Limited_Col!$AH122," ")</f>
        <v xml:space="preserve"> </v>
      </c>
      <c r="BM122" s="26" t="str">
        <f>IFERROR($AC122*HDF_Limited_Col!BM122/HDF_Limited_Col!$AH122," ")</f>
        <v xml:space="preserve"> </v>
      </c>
      <c r="BN122" s="26" t="str">
        <f>IFERROR($AC122*HDF_Limited_Col!BN122/HDF_Limited_Col!$AH122," ")</f>
        <v xml:space="preserve"> </v>
      </c>
      <c r="BO122" s="26" t="str">
        <f>IFERROR($AC122*HDF_Limited_Col!BO122/HDF_Limited_Col!$AH122," ")</f>
        <v xml:space="preserve"> </v>
      </c>
      <c r="BP122" s="26" t="str">
        <f>IFERROR($AC122*HDF_Limited_Col!BP122/HDF_Limited_Col!$AH122," ")</f>
        <v xml:space="preserve"> </v>
      </c>
      <c r="BQ122" s="26" t="str">
        <f>IFERROR($AC122*HDF_Limited_Col!BQ122/HDF_Limited_Col!$AH122," ")</f>
        <v xml:space="preserve"> </v>
      </c>
      <c r="BR122" s="26" t="str">
        <f>IFERROR($AC122*HDF_Limited_Col!BR122/HDF_Limited_Col!$AH122," ")</f>
        <v xml:space="preserve"> </v>
      </c>
      <c r="BS122" s="26" t="str">
        <f>IFERROR($AC122*HDF_Limited_Col!BS122/HDF_Limited_Col!$AH122," ")</f>
        <v xml:space="preserve"> </v>
      </c>
      <c r="BT122" s="26" t="str">
        <f>IFERROR($AC122*HDF_Limited_Col!BT122/HDF_Limited_Col!$AH122," ")</f>
        <v xml:space="preserve"> </v>
      </c>
      <c r="BU122" s="26" t="str">
        <f>IFERROR($AC122*HDF_Limited_Col!BU122/HDF_Limited_Col!$AH122," ")</f>
        <v xml:space="preserve"> </v>
      </c>
      <c r="BV122" s="26" t="str">
        <f>IFERROR($AC122*HDF_Limited_Col!BV122/HDF_Limited_Col!$AH122," ")</f>
        <v xml:space="preserve"> </v>
      </c>
      <c r="BW122" s="26" t="str">
        <f>IFERROR($AC122*HDF_Limited_Col!BW122/HDF_Limited_Col!$AH122," ")</f>
        <v xml:space="preserve"> </v>
      </c>
      <c r="BX122" s="26" t="str">
        <f>IFERROR($AC122*HDF_Limited_Col!BX122/HDF_Limited_Col!$AH122," ")</f>
        <v xml:space="preserve"> </v>
      </c>
      <c r="BY122" s="26" t="str">
        <f>IFERROR($AC122*HDF_Limited_Col!BY122/HDF_Limited_Col!$AH122," ")</f>
        <v xml:space="preserve"> </v>
      </c>
      <c r="BZ122" s="26" t="str">
        <f>IFERROR($AC122*HDF_Limited_Col!BZ122/HDF_Limited_Col!$AH122," ")</f>
        <v xml:space="preserve"> </v>
      </c>
      <c r="CA122" s="26" t="str">
        <f>IFERROR($AC122*HDF_Limited_Col!CA122/HDF_Limited_Col!$AH122," ")</f>
        <v xml:space="preserve"> </v>
      </c>
      <c r="CB122" s="26" t="str">
        <f>IFERROR($AC122*HDF_Limited_Col!CB122/HDF_Limited_Col!$AH122," ")</f>
        <v xml:space="preserve"> </v>
      </c>
      <c r="CC122" s="26" t="str">
        <f>IFERROR($AC122*HDF_Limited_Col!CC122/HDF_Limited_Col!$AH122," ")</f>
        <v xml:space="preserve"> </v>
      </c>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row>
    <row r="123" spans="1:109">
      <c r="A123" s="26" t="s">
        <v>750</v>
      </c>
      <c r="B123" s="26" t="s">
        <v>24</v>
      </c>
      <c r="C123" s="155" t="s">
        <v>546</v>
      </c>
      <c r="D123" s="26" t="s">
        <v>1716</v>
      </c>
      <c r="E123" s="26" t="s">
        <v>1394</v>
      </c>
      <c r="F123" s="26" t="s">
        <v>142</v>
      </c>
      <c r="G123" s="26" t="s">
        <v>595</v>
      </c>
      <c r="H123" s="30">
        <v>90</v>
      </c>
      <c r="I123" s="26" t="s">
        <v>736</v>
      </c>
      <c r="J123" s="26"/>
      <c r="K123" s="26" t="s">
        <v>751</v>
      </c>
      <c r="L123" s="26" t="s">
        <v>145</v>
      </c>
      <c r="M123" s="26" t="s">
        <v>152</v>
      </c>
      <c r="N123" s="26">
        <v>31</v>
      </c>
      <c r="O123" s="95">
        <v>7.1301800710765875</v>
      </c>
      <c r="P123" s="95">
        <v>1.7072262142014363</v>
      </c>
      <c r="Q123" s="95">
        <v>0.50212535711806949</v>
      </c>
      <c r="R123" s="95">
        <v>10.142932213785006</v>
      </c>
      <c r="S123" s="95">
        <v>1.1046757856597531</v>
      </c>
      <c r="T123" s="95">
        <v>3.7157276426737149</v>
      </c>
      <c r="U123" s="95">
        <v>0.3012752142708417</v>
      </c>
      <c r="V123" s="95">
        <v>2.8119019998611892</v>
      </c>
      <c r="W123" s="95">
        <v>39.165777855209427</v>
      </c>
      <c r="X123" s="95">
        <v>0.60255042854168339</v>
      </c>
      <c r="Y123" s="95">
        <v>42.379380140765072</v>
      </c>
      <c r="Z123" s="95">
        <v>109.56375292316278</v>
      </c>
      <c r="AA123" s="26"/>
      <c r="AB123" s="26"/>
      <c r="AC123" s="26">
        <f t="shared" si="2"/>
        <v>325129.73265601957</v>
      </c>
      <c r="AD123" s="26" t="str">
        <f>IFERROR($AC123*HDF_Limited_Col!AD123/HDF_Limited_Col!$AH123," ")</f>
        <v xml:space="preserve"> </v>
      </c>
      <c r="AE123" s="26" t="str">
        <f>IFERROR($AC123*HDF_Limited_Col!AE123/HDF_Limited_Col!$AH123," ")</f>
        <v xml:space="preserve"> </v>
      </c>
      <c r="AF123" s="26" t="str">
        <f>IFERROR($AC123*HDF_Limited_Col!AF123/HDF_Limited_Col!$AH123," ")</f>
        <v xml:space="preserve"> </v>
      </c>
      <c r="AG123" s="26" t="str">
        <f>IFERROR($AC123*HDF_Limited_Col!AG123/HDF_Limited_Col!$AH123," ")</f>
        <v xml:space="preserve"> </v>
      </c>
      <c r="AH123" s="26" t="str">
        <f>IFERROR($AC123*HDF_Limited_Col!AH123/HDF_Limited_Col!$AH123," ")</f>
        <v xml:space="preserve"> </v>
      </c>
      <c r="AI123" s="26" t="str">
        <f>IFERROR($AC123*HDF_Limited_Col!AI123/HDF_Limited_Col!$AH123," ")</f>
        <v xml:space="preserve"> </v>
      </c>
      <c r="AJ123" s="26" t="str">
        <f>IFERROR($AC123*HDF_Limited_Col!AJ123/HDF_Limited_Col!$AH123," ")</f>
        <v xml:space="preserve"> </v>
      </c>
      <c r="AK123" s="26" t="str">
        <f>IFERROR($AC123*HDF_Limited_Col!AK123/HDF_Limited_Col!$AH123," ")</f>
        <v xml:space="preserve"> </v>
      </c>
      <c r="AL123" s="26" t="str">
        <f>IFERROR($AC123*HDF_Limited_Col!AL123/HDF_Limited_Col!$AH123," ")</f>
        <v xml:space="preserve"> </v>
      </c>
      <c r="AM123" s="26" t="str">
        <f>IFERROR($AC123*HDF_Limited_Col!AM123/HDF_Limited_Col!$AH123," ")</f>
        <v xml:space="preserve"> </v>
      </c>
      <c r="AN123" s="26" t="str">
        <f>IFERROR($AC123*HDF_Limited_Col!AN123/HDF_Limited_Col!$AH123," ")</f>
        <v xml:space="preserve"> </v>
      </c>
      <c r="AO123" s="26" t="str">
        <f>IFERROR($AC123*HDF_Limited_Col!AO123/HDF_Limited_Col!$AH123," ")</f>
        <v xml:space="preserve"> </v>
      </c>
      <c r="AP123" s="26" t="str">
        <f>IFERROR($AC123*HDF_Limited_Col!AP123/HDF_Limited_Col!$AH123," ")</f>
        <v xml:space="preserve"> </v>
      </c>
      <c r="AQ123" s="26" t="str">
        <f>IFERROR($AC123*HDF_Limited_Col!AQ123/HDF_Limited_Col!$AH123," ")</f>
        <v xml:space="preserve"> </v>
      </c>
      <c r="AR123" s="26" t="str">
        <f>IFERROR($AC123*HDF_Limited_Col!AR123/HDF_Limited_Col!$AH123," ")</f>
        <v xml:space="preserve"> </v>
      </c>
      <c r="AS123" s="26" t="str">
        <f>IFERROR($AC123*HDF_Limited_Col!AS123/HDF_Limited_Col!$AH123," ")</f>
        <v xml:space="preserve"> </v>
      </c>
      <c r="AT123" s="26" t="str">
        <f>IFERROR($AC123*HDF_Limited_Col!AT123/HDF_Limited_Col!$AH123," ")</f>
        <v xml:space="preserve"> </v>
      </c>
      <c r="AU123" s="26" t="str">
        <f>IFERROR($AC123*HDF_Limited_Col!AU123/HDF_Limited_Col!$AH123," ")</f>
        <v xml:space="preserve"> </v>
      </c>
      <c r="AV123" s="26" t="str">
        <f>IFERROR($AC123*HDF_Limited_Col!AV123/HDF_Limited_Col!$AH123," ")</f>
        <v xml:space="preserve"> </v>
      </c>
      <c r="AW123" s="26" t="str">
        <f>IFERROR($AC123*HDF_Limited_Col!AW123/HDF_Limited_Col!$AH123," ")</f>
        <v xml:space="preserve"> </v>
      </c>
      <c r="AX123" s="26" t="str">
        <f>IFERROR($AC123*HDF_Limited_Col!AX123/HDF_Limited_Col!$AH123," ")</f>
        <v xml:space="preserve"> </v>
      </c>
      <c r="AY123" s="26" t="str">
        <f>IFERROR($AC123*HDF_Limited_Col!AY123/HDF_Limited_Col!$AH123," ")</f>
        <v xml:space="preserve"> </v>
      </c>
      <c r="AZ123" s="26" t="str">
        <f>IFERROR($AC123*HDF_Limited_Col!AZ123/HDF_Limited_Col!$AH123," ")</f>
        <v xml:space="preserve"> </v>
      </c>
      <c r="BA123" s="26" t="str">
        <f>IFERROR($AC123*HDF_Limited_Col!BA123/HDF_Limited_Col!$AH123," ")</f>
        <v xml:space="preserve"> </v>
      </c>
      <c r="BB123" s="26" t="str">
        <f>IFERROR($AC123*HDF_Limited_Col!BB123/HDF_Limited_Col!$AH123," ")</f>
        <v xml:space="preserve"> </v>
      </c>
      <c r="BC123" s="26" t="str">
        <f>IFERROR($AC123*HDF_Limited_Col!BC123/HDF_Limited_Col!$AH123," ")</f>
        <v xml:space="preserve"> </v>
      </c>
      <c r="BD123" s="26" t="str">
        <f>IFERROR($AC123*HDF_Limited_Col!BD123/HDF_Limited_Col!$AH123," ")</f>
        <v xml:space="preserve"> </v>
      </c>
      <c r="BE123" s="26" t="str">
        <f>IFERROR($AC123*HDF_Limited_Col!BE123/HDF_Limited_Col!$AH123," ")</f>
        <v xml:space="preserve"> </v>
      </c>
      <c r="BF123" s="26" t="str">
        <f>IFERROR($AC123*HDF_Limited_Col!BF123/HDF_Limited_Col!$AH123," ")</f>
        <v xml:space="preserve"> </v>
      </c>
      <c r="BG123" s="26" t="str">
        <f>IFERROR($AC123*HDF_Limited_Col!BG123/HDF_Limited_Col!$AH123," ")</f>
        <v xml:space="preserve"> </v>
      </c>
      <c r="BH123" s="26" t="str">
        <f>IFERROR($AC123*HDF_Limited_Col!BH123/HDF_Limited_Col!$AH123," ")</f>
        <v xml:space="preserve"> </v>
      </c>
      <c r="BI123" s="26" t="str">
        <f>IFERROR($AC123*HDF_Limited_Col!BI123/HDF_Limited_Col!$AH123," ")</f>
        <v xml:space="preserve"> </v>
      </c>
      <c r="BJ123" s="26" t="str">
        <f>IFERROR($AC123*HDF_Limited_Col!BJ123/HDF_Limited_Col!$AH123," ")</f>
        <v xml:space="preserve"> </v>
      </c>
      <c r="BK123" s="26" t="str">
        <f>IFERROR($AC123*HDF_Limited_Col!BK123/HDF_Limited_Col!$AH123," ")</f>
        <v xml:space="preserve"> </v>
      </c>
      <c r="BL123" s="26" t="str">
        <f>IFERROR($AC123*HDF_Limited_Col!BL123/HDF_Limited_Col!$AH123," ")</f>
        <v xml:space="preserve"> </v>
      </c>
      <c r="BM123" s="26" t="str">
        <f>IFERROR($AC123*HDF_Limited_Col!BM123/HDF_Limited_Col!$AH123," ")</f>
        <v xml:space="preserve"> </v>
      </c>
      <c r="BN123" s="26" t="str">
        <f>IFERROR($AC123*HDF_Limited_Col!BN123/HDF_Limited_Col!$AH123," ")</f>
        <v xml:space="preserve"> </v>
      </c>
      <c r="BO123" s="26" t="str">
        <f>IFERROR($AC123*HDF_Limited_Col!BO123/HDF_Limited_Col!$AH123," ")</f>
        <v xml:space="preserve"> </v>
      </c>
      <c r="BP123" s="26" t="str">
        <f>IFERROR($AC123*HDF_Limited_Col!BP123/HDF_Limited_Col!$AH123," ")</f>
        <v xml:space="preserve"> </v>
      </c>
      <c r="BQ123" s="26" t="str">
        <f>IFERROR($AC123*HDF_Limited_Col!BQ123/HDF_Limited_Col!$AH123," ")</f>
        <v xml:space="preserve"> </v>
      </c>
      <c r="BR123" s="26" t="str">
        <f>IFERROR($AC123*HDF_Limited_Col!BR123/HDF_Limited_Col!$AH123," ")</f>
        <v xml:space="preserve"> </v>
      </c>
      <c r="BS123" s="26" t="str">
        <f>IFERROR($AC123*HDF_Limited_Col!BS123/HDF_Limited_Col!$AH123," ")</f>
        <v xml:space="preserve"> </v>
      </c>
      <c r="BT123" s="26" t="str">
        <f>IFERROR($AC123*HDF_Limited_Col!BT123/HDF_Limited_Col!$AH123," ")</f>
        <v xml:space="preserve"> </v>
      </c>
      <c r="BU123" s="26" t="str">
        <f>IFERROR($AC123*HDF_Limited_Col!BU123/HDF_Limited_Col!$AH123," ")</f>
        <v xml:space="preserve"> </v>
      </c>
      <c r="BV123" s="26" t="str">
        <f>IFERROR($AC123*HDF_Limited_Col!BV123/HDF_Limited_Col!$AH123," ")</f>
        <v xml:space="preserve"> </v>
      </c>
      <c r="BW123" s="26" t="str">
        <f>IFERROR($AC123*HDF_Limited_Col!BW123/HDF_Limited_Col!$AH123," ")</f>
        <v xml:space="preserve"> </v>
      </c>
      <c r="BX123" s="26" t="str">
        <f>IFERROR($AC123*HDF_Limited_Col!BX123/HDF_Limited_Col!$AH123," ")</f>
        <v xml:space="preserve"> </v>
      </c>
      <c r="BY123" s="26" t="str">
        <f>IFERROR($AC123*HDF_Limited_Col!BY123/HDF_Limited_Col!$AH123," ")</f>
        <v xml:space="preserve"> </v>
      </c>
      <c r="BZ123" s="26" t="str">
        <f>IFERROR($AC123*HDF_Limited_Col!BZ123/HDF_Limited_Col!$AH123," ")</f>
        <v xml:space="preserve"> </v>
      </c>
      <c r="CA123" s="26" t="str">
        <f>IFERROR($AC123*HDF_Limited_Col!CA123/HDF_Limited_Col!$AH123," ")</f>
        <v xml:space="preserve"> </v>
      </c>
      <c r="CB123" s="26" t="str">
        <f>IFERROR($AC123*HDF_Limited_Col!CB123/HDF_Limited_Col!$AH123," ")</f>
        <v xml:space="preserve"> </v>
      </c>
      <c r="CC123" s="26" t="str">
        <f>IFERROR($AC123*HDF_Limited_Col!CC123/HDF_Limited_Col!$AH123," ")</f>
        <v xml:space="preserve"> </v>
      </c>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row>
    <row r="124" spans="1:109">
      <c r="A124" s="26" t="s">
        <v>750</v>
      </c>
      <c r="B124" s="26" t="s">
        <v>24</v>
      </c>
      <c r="C124" s="155" t="s">
        <v>546</v>
      </c>
      <c r="D124" s="26" t="s">
        <v>1716</v>
      </c>
      <c r="E124" s="26" t="s">
        <v>1394</v>
      </c>
      <c r="F124" s="26" t="s">
        <v>142</v>
      </c>
      <c r="G124" s="26" t="s">
        <v>595</v>
      </c>
      <c r="H124" s="30">
        <v>90</v>
      </c>
      <c r="I124" s="26" t="s">
        <v>736</v>
      </c>
      <c r="J124" s="26"/>
      <c r="K124" s="26" t="s">
        <v>751</v>
      </c>
      <c r="L124" s="26" t="s">
        <v>145</v>
      </c>
      <c r="M124" s="26" t="s">
        <v>154</v>
      </c>
      <c r="N124" s="26">
        <v>13</v>
      </c>
      <c r="O124" s="95">
        <v>3.7169648777778406</v>
      </c>
      <c r="P124" s="95">
        <v>1.2055021225225429</v>
      </c>
      <c r="Q124" s="95">
        <v>0.40183404084084762</v>
      </c>
      <c r="R124" s="95">
        <v>20.091702042042382</v>
      </c>
      <c r="S124" s="95">
        <v>2.2100872246246621</v>
      </c>
      <c r="T124" s="95">
        <v>7.7353052861863167</v>
      </c>
      <c r="U124" s="95">
        <v>1.8082531837838141</v>
      </c>
      <c r="V124" s="95">
        <v>2.0091702042042381</v>
      </c>
      <c r="W124" s="95">
        <v>30.74030412432484</v>
      </c>
      <c r="X124" s="95">
        <v>2.3105457348348732</v>
      </c>
      <c r="Y124" s="95">
        <v>35.86368814504565</v>
      </c>
      <c r="Z124" s="95">
        <v>108.09335698618801</v>
      </c>
      <c r="AA124" s="26"/>
      <c r="AB124" s="26"/>
      <c r="AC124" s="26">
        <f t="shared" si="2"/>
        <v>255186.73211738837</v>
      </c>
      <c r="AD124" s="26" t="str">
        <f>IFERROR($AC124*HDF_Limited_Col!AD124/HDF_Limited_Col!$AH124," ")</f>
        <v xml:space="preserve"> </v>
      </c>
      <c r="AE124" s="26" t="str">
        <f>IFERROR($AC124*HDF_Limited_Col!AE124/HDF_Limited_Col!$AH124," ")</f>
        <v xml:space="preserve"> </v>
      </c>
      <c r="AF124" s="26" t="str">
        <f>IFERROR($AC124*HDF_Limited_Col!AF124/HDF_Limited_Col!$AH124," ")</f>
        <v xml:space="preserve"> </v>
      </c>
      <c r="AG124" s="26" t="str">
        <f>IFERROR($AC124*HDF_Limited_Col!AG124/HDF_Limited_Col!$AH124," ")</f>
        <v xml:space="preserve"> </v>
      </c>
      <c r="AH124" s="26" t="str">
        <f>IFERROR($AC124*HDF_Limited_Col!AH124/HDF_Limited_Col!$AH124," ")</f>
        <v xml:space="preserve"> </v>
      </c>
      <c r="AI124" s="26" t="str">
        <f>IFERROR($AC124*HDF_Limited_Col!AI124/HDF_Limited_Col!$AH124," ")</f>
        <v xml:space="preserve"> </v>
      </c>
      <c r="AJ124" s="26" t="str">
        <f>IFERROR($AC124*HDF_Limited_Col!AJ124/HDF_Limited_Col!$AH124," ")</f>
        <v xml:space="preserve"> </v>
      </c>
      <c r="AK124" s="26" t="str">
        <f>IFERROR($AC124*HDF_Limited_Col!AK124/HDF_Limited_Col!$AH124," ")</f>
        <v xml:space="preserve"> </v>
      </c>
      <c r="AL124" s="26" t="str">
        <f>IFERROR($AC124*HDF_Limited_Col!AL124/HDF_Limited_Col!$AH124," ")</f>
        <v xml:space="preserve"> </v>
      </c>
      <c r="AM124" s="26" t="str">
        <f>IFERROR($AC124*HDF_Limited_Col!AM124/HDF_Limited_Col!$AH124," ")</f>
        <v xml:space="preserve"> </v>
      </c>
      <c r="AN124" s="26" t="str">
        <f>IFERROR($AC124*HDF_Limited_Col!AN124/HDF_Limited_Col!$AH124," ")</f>
        <v xml:space="preserve"> </v>
      </c>
      <c r="AO124" s="26" t="str">
        <f>IFERROR($AC124*HDF_Limited_Col!AO124/HDF_Limited_Col!$AH124," ")</f>
        <v xml:space="preserve"> </v>
      </c>
      <c r="AP124" s="26" t="str">
        <f>IFERROR($AC124*HDF_Limited_Col!AP124/HDF_Limited_Col!$AH124," ")</f>
        <v xml:space="preserve"> </v>
      </c>
      <c r="AQ124" s="26" t="str">
        <f>IFERROR($AC124*HDF_Limited_Col!AQ124/HDF_Limited_Col!$AH124," ")</f>
        <v xml:space="preserve"> </v>
      </c>
      <c r="AR124" s="26" t="str">
        <f>IFERROR($AC124*HDF_Limited_Col!AR124/HDF_Limited_Col!$AH124," ")</f>
        <v xml:space="preserve"> </v>
      </c>
      <c r="AS124" s="26" t="str">
        <f>IFERROR($AC124*HDF_Limited_Col!AS124/HDF_Limited_Col!$AH124," ")</f>
        <v xml:space="preserve"> </v>
      </c>
      <c r="AT124" s="26" t="str">
        <f>IFERROR($AC124*HDF_Limited_Col!AT124/HDF_Limited_Col!$AH124," ")</f>
        <v xml:space="preserve"> </v>
      </c>
      <c r="AU124" s="26" t="str">
        <f>IFERROR($AC124*HDF_Limited_Col!AU124/HDF_Limited_Col!$AH124," ")</f>
        <v xml:space="preserve"> </v>
      </c>
      <c r="AV124" s="26" t="str">
        <f>IFERROR($AC124*HDF_Limited_Col!AV124/HDF_Limited_Col!$AH124," ")</f>
        <v xml:space="preserve"> </v>
      </c>
      <c r="AW124" s="26" t="str">
        <f>IFERROR($AC124*HDF_Limited_Col!AW124/HDF_Limited_Col!$AH124," ")</f>
        <v xml:space="preserve"> </v>
      </c>
      <c r="AX124" s="26" t="str">
        <f>IFERROR($AC124*HDF_Limited_Col!AX124/HDF_Limited_Col!$AH124," ")</f>
        <v xml:space="preserve"> </v>
      </c>
      <c r="AY124" s="26" t="str">
        <f>IFERROR($AC124*HDF_Limited_Col!AY124/HDF_Limited_Col!$AH124," ")</f>
        <v xml:space="preserve"> </v>
      </c>
      <c r="AZ124" s="26" t="str">
        <f>IFERROR($AC124*HDF_Limited_Col!AZ124/HDF_Limited_Col!$AH124," ")</f>
        <v xml:space="preserve"> </v>
      </c>
      <c r="BA124" s="26" t="str">
        <f>IFERROR($AC124*HDF_Limited_Col!BA124/HDF_Limited_Col!$AH124," ")</f>
        <v xml:space="preserve"> </v>
      </c>
      <c r="BB124" s="26" t="str">
        <f>IFERROR($AC124*HDF_Limited_Col!BB124/HDF_Limited_Col!$AH124," ")</f>
        <v xml:space="preserve"> </v>
      </c>
      <c r="BC124" s="26" t="str">
        <f>IFERROR($AC124*HDF_Limited_Col!BC124/HDF_Limited_Col!$AH124," ")</f>
        <v xml:space="preserve"> </v>
      </c>
      <c r="BD124" s="26" t="str">
        <f>IFERROR($AC124*HDF_Limited_Col!BD124/HDF_Limited_Col!$AH124," ")</f>
        <v xml:space="preserve"> </v>
      </c>
      <c r="BE124" s="26" t="str">
        <f>IFERROR($AC124*HDF_Limited_Col!BE124/HDF_Limited_Col!$AH124," ")</f>
        <v xml:space="preserve"> </v>
      </c>
      <c r="BF124" s="26" t="str">
        <f>IFERROR($AC124*HDF_Limited_Col!BF124/HDF_Limited_Col!$AH124," ")</f>
        <v xml:space="preserve"> </v>
      </c>
      <c r="BG124" s="26" t="str">
        <f>IFERROR($AC124*HDF_Limited_Col!BG124/HDF_Limited_Col!$AH124," ")</f>
        <v xml:space="preserve"> </v>
      </c>
      <c r="BH124" s="26" t="str">
        <f>IFERROR($AC124*HDF_Limited_Col!BH124/HDF_Limited_Col!$AH124," ")</f>
        <v xml:space="preserve"> </v>
      </c>
      <c r="BI124" s="26" t="str">
        <f>IFERROR($AC124*HDF_Limited_Col!BI124/HDF_Limited_Col!$AH124," ")</f>
        <v xml:space="preserve"> </v>
      </c>
      <c r="BJ124" s="26" t="str">
        <f>IFERROR($AC124*HDF_Limited_Col!BJ124/HDF_Limited_Col!$AH124," ")</f>
        <v xml:space="preserve"> </v>
      </c>
      <c r="BK124" s="26" t="str">
        <f>IFERROR($AC124*HDF_Limited_Col!BK124/HDF_Limited_Col!$AH124," ")</f>
        <v xml:space="preserve"> </v>
      </c>
      <c r="BL124" s="26" t="str">
        <f>IFERROR($AC124*HDF_Limited_Col!BL124/HDF_Limited_Col!$AH124," ")</f>
        <v xml:space="preserve"> </v>
      </c>
      <c r="BM124" s="26" t="str">
        <f>IFERROR($AC124*HDF_Limited_Col!BM124/HDF_Limited_Col!$AH124," ")</f>
        <v xml:space="preserve"> </v>
      </c>
      <c r="BN124" s="26" t="str">
        <f>IFERROR($AC124*HDF_Limited_Col!BN124/HDF_Limited_Col!$AH124," ")</f>
        <v xml:space="preserve"> </v>
      </c>
      <c r="BO124" s="26" t="str">
        <f>IFERROR($AC124*HDF_Limited_Col!BO124/HDF_Limited_Col!$AH124," ")</f>
        <v xml:space="preserve"> </v>
      </c>
      <c r="BP124" s="26" t="str">
        <f>IFERROR($AC124*HDF_Limited_Col!BP124/HDF_Limited_Col!$AH124," ")</f>
        <v xml:space="preserve"> </v>
      </c>
      <c r="BQ124" s="26" t="str">
        <f>IFERROR($AC124*HDF_Limited_Col!BQ124/HDF_Limited_Col!$AH124," ")</f>
        <v xml:space="preserve"> </v>
      </c>
      <c r="BR124" s="26" t="str">
        <f>IFERROR($AC124*HDF_Limited_Col!BR124/HDF_Limited_Col!$AH124," ")</f>
        <v xml:space="preserve"> </v>
      </c>
      <c r="BS124" s="26" t="str">
        <f>IFERROR($AC124*HDF_Limited_Col!BS124/HDF_Limited_Col!$AH124," ")</f>
        <v xml:space="preserve"> </v>
      </c>
      <c r="BT124" s="26" t="str">
        <f>IFERROR($AC124*HDF_Limited_Col!BT124/HDF_Limited_Col!$AH124," ")</f>
        <v xml:space="preserve"> </v>
      </c>
      <c r="BU124" s="26" t="str">
        <f>IFERROR($AC124*HDF_Limited_Col!BU124/HDF_Limited_Col!$AH124," ")</f>
        <v xml:space="preserve"> </v>
      </c>
      <c r="BV124" s="26" t="str">
        <f>IFERROR($AC124*HDF_Limited_Col!BV124/HDF_Limited_Col!$AH124," ")</f>
        <v xml:space="preserve"> </v>
      </c>
      <c r="BW124" s="26" t="str">
        <f>IFERROR($AC124*HDF_Limited_Col!BW124/HDF_Limited_Col!$AH124," ")</f>
        <v xml:space="preserve"> </v>
      </c>
      <c r="BX124" s="26" t="str">
        <f>IFERROR($AC124*HDF_Limited_Col!BX124/HDF_Limited_Col!$AH124," ")</f>
        <v xml:space="preserve"> </v>
      </c>
      <c r="BY124" s="26" t="str">
        <f>IFERROR($AC124*HDF_Limited_Col!BY124/HDF_Limited_Col!$AH124," ")</f>
        <v xml:space="preserve"> </v>
      </c>
      <c r="BZ124" s="26" t="str">
        <f>IFERROR($AC124*HDF_Limited_Col!BZ124/HDF_Limited_Col!$AH124," ")</f>
        <v xml:space="preserve"> </v>
      </c>
      <c r="CA124" s="26" t="str">
        <f>IFERROR($AC124*HDF_Limited_Col!CA124/HDF_Limited_Col!$AH124," ")</f>
        <v xml:space="preserve"> </v>
      </c>
      <c r="CB124" s="26" t="str">
        <f>IFERROR($AC124*HDF_Limited_Col!CB124/HDF_Limited_Col!$AH124," ")</f>
        <v xml:space="preserve"> </v>
      </c>
      <c r="CC124" s="26" t="str">
        <f>IFERROR($AC124*HDF_Limited_Col!CC124/HDF_Limited_Col!$AH124," ")</f>
        <v xml:space="preserve"> </v>
      </c>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row>
    <row r="125" spans="1:109">
      <c r="A125" s="26" t="s">
        <v>750</v>
      </c>
      <c r="B125" s="26" t="s">
        <v>24</v>
      </c>
      <c r="C125" s="155" t="s">
        <v>546</v>
      </c>
      <c r="D125" s="26" t="s">
        <v>1716</v>
      </c>
      <c r="E125" s="26" t="s">
        <v>1394</v>
      </c>
      <c r="F125" s="26" t="s">
        <v>142</v>
      </c>
      <c r="G125" s="26" t="s">
        <v>595</v>
      </c>
      <c r="H125" s="30">
        <v>90</v>
      </c>
      <c r="I125" s="26" t="s">
        <v>736</v>
      </c>
      <c r="J125" s="26"/>
      <c r="K125" s="26" t="s">
        <v>751</v>
      </c>
      <c r="L125" s="26"/>
      <c r="M125" s="26" t="s">
        <v>155</v>
      </c>
      <c r="N125" s="26">
        <v>11</v>
      </c>
      <c r="O125" s="95">
        <v>8.9368313415798255</v>
      </c>
      <c r="P125" s="95">
        <v>2.209104376570294</v>
      </c>
      <c r="Q125" s="95">
        <v>0.60248301179189834</v>
      </c>
      <c r="R125" s="95">
        <v>22.091043765702938</v>
      </c>
      <c r="S125" s="95">
        <v>2.0082767059729942</v>
      </c>
      <c r="T125" s="95">
        <v>7.5310376473987288</v>
      </c>
      <c r="U125" s="95">
        <v>2.0082767059729942</v>
      </c>
      <c r="V125" s="95">
        <v>4.1169672472446388</v>
      </c>
      <c r="W125" s="95">
        <v>25.60552800115568</v>
      </c>
      <c r="X125" s="95">
        <v>2.1086905412716446</v>
      </c>
      <c r="Y125" s="95">
        <v>29.421253742504373</v>
      </c>
      <c r="Z125" s="95">
        <v>106.63949308716602</v>
      </c>
      <c r="AA125" s="26"/>
      <c r="AB125" s="26"/>
      <c r="AC125" s="26">
        <f t="shared" si="2"/>
        <v>212561.04000560907</v>
      </c>
      <c r="AD125" s="26" t="str">
        <f>IFERROR($AC125*HDF_Limited_Col!AD125/HDF_Limited_Col!$AH125," ")</f>
        <v xml:space="preserve"> </v>
      </c>
      <c r="AE125" s="26" t="str">
        <f>IFERROR($AC125*HDF_Limited_Col!AE125/HDF_Limited_Col!$AH125," ")</f>
        <v xml:space="preserve"> </v>
      </c>
      <c r="AF125" s="26" t="str">
        <f>IFERROR($AC125*HDF_Limited_Col!AF125/HDF_Limited_Col!$AH125," ")</f>
        <v xml:space="preserve"> </v>
      </c>
      <c r="AG125" s="26" t="str">
        <f>IFERROR($AC125*HDF_Limited_Col!AG125/HDF_Limited_Col!$AH125," ")</f>
        <v xml:space="preserve"> </v>
      </c>
      <c r="AH125" s="26" t="str">
        <f>IFERROR($AC125*HDF_Limited_Col!AH125/HDF_Limited_Col!$AH125," ")</f>
        <v xml:space="preserve"> </v>
      </c>
      <c r="AI125" s="26" t="str">
        <f>IFERROR($AC125*HDF_Limited_Col!AI125/HDF_Limited_Col!$AH125," ")</f>
        <v xml:space="preserve"> </v>
      </c>
      <c r="AJ125" s="26" t="str">
        <f>IFERROR($AC125*HDF_Limited_Col!AJ125/HDF_Limited_Col!$AH125," ")</f>
        <v xml:space="preserve"> </v>
      </c>
      <c r="AK125" s="26" t="str">
        <f>IFERROR($AC125*HDF_Limited_Col!AK125/HDF_Limited_Col!$AH125," ")</f>
        <v xml:space="preserve"> </v>
      </c>
      <c r="AL125" s="26" t="str">
        <f>IFERROR($AC125*HDF_Limited_Col!AL125/HDF_Limited_Col!$AH125," ")</f>
        <v xml:space="preserve"> </v>
      </c>
      <c r="AM125" s="26" t="str">
        <f>IFERROR($AC125*HDF_Limited_Col!AM125/HDF_Limited_Col!$AH125," ")</f>
        <v xml:space="preserve"> </v>
      </c>
      <c r="AN125" s="26" t="str">
        <f>IFERROR($AC125*HDF_Limited_Col!AN125/HDF_Limited_Col!$AH125," ")</f>
        <v xml:space="preserve"> </v>
      </c>
      <c r="AO125" s="26" t="str">
        <f>IFERROR($AC125*HDF_Limited_Col!AO125/HDF_Limited_Col!$AH125," ")</f>
        <v xml:space="preserve"> </v>
      </c>
      <c r="AP125" s="26" t="str">
        <f>IFERROR($AC125*HDF_Limited_Col!AP125/HDF_Limited_Col!$AH125," ")</f>
        <v xml:space="preserve"> </v>
      </c>
      <c r="AQ125" s="26" t="str">
        <f>IFERROR($AC125*HDF_Limited_Col!AQ125/HDF_Limited_Col!$AH125," ")</f>
        <v xml:space="preserve"> </v>
      </c>
      <c r="AR125" s="26" t="str">
        <f>IFERROR($AC125*HDF_Limited_Col!AR125/HDF_Limited_Col!$AH125," ")</f>
        <v xml:space="preserve"> </v>
      </c>
      <c r="AS125" s="26" t="str">
        <f>IFERROR($AC125*HDF_Limited_Col!AS125/HDF_Limited_Col!$AH125," ")</f>
        <v xml:space="preserve"> </v>
      </c>
      <c r="AT125" s="26" t="str">
        <f>IFERROR($AC125*HDF_Limited_Col!AT125/HDF_Limited_Col!$AH125," ")</f>
        <v xml:space="preserve"> </v>
      </c>
      <c r="AU125" s="26" t="str">
        <f>IFERROR($AC125*HDF_Limited_Col!AU125/HDF_Limited_Col!$AH125," ")</f>
        <v xml:space="preserve"> </v>
      </c>
      <c r="AV125" s="26" t="str">
        <f>IFERROR($AC125*HDF_Limited_Col!AV125/HDF_Limited_Col!$AH125," ")</f>
        <v xml:space="preserve"> </v>
      </c>
      <c r="AW125" s="26" t="str">
        <f>IFERROR($AC125*HDF_Limited_Col!AW125/HDF_Limited_Col!$AH125," ")</f>
        <v xml:space="preserve"> </v>
      </c>
      <c r="AX125" s="26" t="str">
        <f>IFERROR($AC125*HDF_Limited_Col!AX125/HDF_Limited_Col!$AH125," ")</f>
        <v xml:space="preserve"> </v>
      </c>
      <c r="AY125" s="26" t="str">
        <f>IFERROR($AC125*HDF_Limited_Col!AY125/HDF_Limited_Col!$AH125," ")</f>
        <v xml:space="preserve"> </v>
      </c>
      <c r="AZ125" s="26" t="str">
        <f>IFERROR($AC125*HDF_Limited_Col!AZ125/HDF_Limited_Col!$AH125," ")</f>
        <v xml:space="preserve"> </v>
      </c>
      <c r="BA125" s="26" t="str">
        <f>IFERROR($AC125*HDF_Limited_Col!BA125/HDF_Limited_Col!$AH125," ")</f>
        <v xml:space="preserve"> </v>
      </c>
      <c r="BB125" s="26" t="str">
        <f>IFERROR($AC125*HDF_Limited_Col!BB125/HDF_Limited_Col!$AH125," ")</f>
        <v xml:space="preserve"> </v>
      </c>
      <c r="BC125" s="26" t="str">
        <f>IFERROR($AC125*HDF_Limited_Col!BC125/HDF_Limited_Col!$AH125," ")</f>
        <v xml:space="preserve"> </v>
      </c>
      <c r="BD125" s="26" t="str">
        <f>IFERROR($AC125*HDF_Limited_Col!BD125/HDF_Limited_Col!$AH125," ")</f>
        <v xml:space="preserve"> </v>
      </c>
      <c r="BE125" s="26" t="str">
        <f>IFERROR($AC125*HDF_Limited_Col!BE125/HDF_Limited_Col!$AH125," ")</f>
        <v xml:space="preserve"> </v>
      </c>
      <c r="BF125" s="26" t="str">
        <f>IFERROR($AC125*HDF_Limited_Col!BF125/HDF_Limited_Col!$AH125," ")</f>
        <v xml:space="preserve"> </v>
      </c>
      <c r="BG125" s="26" t="str">
        <f>IFERROR($AC125*HDF_Limited_Col!BG125/HDF_Limited_Col!$AH125," ")</f>
        <v xml:space="preserve"> </v>
      </c>
      <c r="BH125" s="26" t="str">
        <f>IFERROR($AC125*HDF_Limited_Col!BH125/HDF_Limited_Col!$AH125," ")</f>
        <v xml:space="preserve"> </v>
      </c>
      <c r="BI125" s="26" t="str">
        <f>IFERROR($AC125*HDF_Limited_Col!BI125/HDF_Limited_Col!$AH125," ")</f>
        <v xml:space="preserve"> </v>
      </c>
      <c r="BJ125" s="26" t="str">
        <f>IFERROR($AC125*HDF_Limited_Col!BJ125/HDF_Limited_Col!$AH125," ")</f>
        <v xml:space="preserve"> </v>
      </c>
      <c r="BK125" s="26" t="str">
        <f>IFERROR($AC125*HDF_Limited_Col!BK125/HDF_Limited_Col!$AH125," ")</f>
        <v xml:space="preserve"> </v>
      </c>
      <c r="BL125" s="26" t="str">
        <f>IFERROR($AC125*HDF_Limited_Col!BL125/HDF_Limited_Col!$AH125," ")</f>
        <v xml:space="preserve"> </v>
      </c>
      <c r="BM125" s="26" t="str">
        <f>IFERROR($AC125*HDF_Limited_Col!BM125/HDF_Limited_Col!$AH125," ")</f>
        <v xml:space="preserve"> </v>
      </c>
      <c r="BN125" s="26" t="str">
        <f>IFERROR($AC125*HDF_Limited_Col!BN125/HDF_Limited_Col!$AH125," ")</f>
        <v xml:space="preserve"> </v>
      </c>
      <c r="BO125" s="26" t="str">
        <f>IFERROR($AC125*HDF_Limited_Col!BO125/HDF_Limited_Col!$AH125," ")</f>
        <v xml:space="preserve"> </v>
      </c>
      <c r="BP125" s="26" t="str">
        <f>IFERROR($AC125*HDF_Limited_Col!BP125/HDF_Limited_Col!$AH125," ")</f>
        <v xml:space="preserve"> </v>
      </c>
      <c r="BQ125" s="26" t="str">
        <f>IFERROR($AC125*HDF_Limited_Col!BQ125/HDF_Limited_Col!$AH125," ")</f>
        <v xml:space="preserve"> </v>
      </c>
      <c r="BR125" s="26" t="str">
        <f>IFERROR($AC125*HDF_Limited_Col!BR125/HDF_Limited_Col!$AH125," ")</f>
        <v xml:space="preserve"> </v>
      </c>
      <c r="BS125" s="26" t="str">
        <f>IFERROR($AC125*HDF_Limited_Col!BS125/HDF_Limited_Col!$AH125," ")</f>
        <v xml:space="preserve"> </v>
      </c>
      <c r="BT125" s="26" t="str">
        <f>IFERROR($AC125*HDF_Limited_Col!BT125/HDF_Limited_Col!$AH125," ")</f>
        <v xml:space="preserve"> </v>
      </c>
      <c r="BU125" s="26" t="str">
        <f>IFERROR($AC125*HDF_Limited_Col!BU125/HDF_Limited_Col!$AH125," ")</f>
        <v xml:space="preserve"> </v>
      </c>
      <c r="BV125" s="26" t="str">
        <f>IFERROR($AC125*HDF_Limited_Col!BV125/HDF_Limited_Col!$AH125," ")</f>
        <v xml:space="preserve"> </v>
      </c>
      <c r="BW125" s="26" t="str">
        <f>IFERROR($AC125*HDF_Limited_Col!BW125/HDF_Limited_Col!$AH125," ")</f>
        <v xml:space="preserve"> </v>
      </c>
      <c r="BX125" s="26" t="str">
        <f>IFERROR($AC125*HDF_Limited_Col!BX125/HDF_Limited_Col!$AH125," ")</f>
        <v xml:space="preserve"> </v>
      </c>
      <c r="BY125" s="26" t="str">
        <f>IFERROR($AC125*HDF_Limited_Col!BY125/HDF_Limited_Col!$AH125," ")</f>
        <v xml:space="preserve"> </v>
      </c>
      <c r="BZ125" s="26" t="str">
        <f>IFERROR($AC125*HDF_Limited_Col!BZ125/HDF_Limited_Col!$AH125," ")</f>
        <v xml:space="preserve"> </v>
      </c>
      <c r="CA125" s="26" t="str">
        <f>IFERROR($AC125*HDF_Limited_Col!CA125/HDF_Limited_Col!$AH125," ")</f>
        <v xml:space="preserve"> </v>
      </c>
      <c r="CB125" s="26" t="str">
        <f>IFERROR($AC125*HDF_Limited_Col!CB125/HDF_Limited_Col!$AH125," ")</f>
        <v xml:space="preserve"> </v>
      </c>
      <c r="CC125" s="26" t="str">
        <f>IFERROR($AC125*HDF_Limited_Col!CC125/HDF_Limited_Col!$AH125," ")</f>
        <v xml:space="preserve"> </v>
      </c>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row>
    <row r="126" spans="1:109">
      <c r="A126" s="26" t="s">
        <v>845</v>
      </c>
      <c r="B126" s="26" t="s">
        <v>24</v>
      </c>
      <c r="C126" s="155" t="s">
        <v>546</v>
      </c>
      <c r="D126" s="26" t="s">
        <v>1707</v>
      </c>
      <c r="E126" s="26" t="s">
        <v>1394</v>
      </c>
      <c r="F126" s="26" t="s">
        <v>142</v>
      </c>
      <c r="G126" s="26" t="s">
        <v>595</v>
      </c>
      <c r="H126" s="30">
        <v>90</v>
      </c>
      <c r="I126" s="26" t="s">
        <v>1148</v>
      </c>
      <c r="J126" s="26"/>
      <c r="K126" s="26"/>
      <c r="L126" s="26"/>
      <c r="M126" s="26">
        <v>21</v>
      </c>
      <c r="N126" s="26">
        <v>27</v>
      </c>
      <c r="O126" s="95">
        <v>4.6089144133592779</v>
      </c>
      <c r="P126" s="95">
        <v>0</v>
      </c>
      <c r="Q126" s="95">
        <v>2.349185068075109</v>
      </c>
      <c r="R126" s="95">
        <v>11.123624660090744</v>
      </c>
      <c r="S126" s="95">
        <v>11.800376649900462</v>
      </c>
      <c r="T126" s="95">
        <v>16.615428163604076</v>
      </c>
      <c r="U126" s="95">
        <v>0</v>
      </c>
      <c r="V126" s="95">
        <v>8.0937982229541401</v>
      </c>
      <c r="W126" s="95">
        <v>27.680712134918128</v>
      </c>
      <c r="X126" s="95">
        <v>0.39282730442977803</v>
      </c>
      <c r="Y126" s="95">
        <v>22.38726697324557</v>
      </c>
      <c r="Z126" s="95">
        <v>105.05213359057728</v>
      </c>
      <c r="AA126" s="26"/>
      <c r="AB126" s="26"/>
      <c r="AC126" s="26">
        <f t="shared" si="2"/>
        <v>229787.91764139835</v>
      </c>
      <c r="AD126" s="26" t="str">
        <f>IFERROR($AC126*HDF_Limited_Col!AD126/HDF_Limited_Col!$AH126," ")</f>
        <v xml:space="preserve"> </v>
      </c>
      <c r="AE126" s="26" t="str">
        <f>IFERROR($AC126*HDF_Limited_Col!AE126/HDF_Limited_Col!$AH126," ")</f>
        <v xml:space="preserve"> </v>
      </c>
      <c r="AF126" s="26" t="str">
        <f>IFERROR($AC126*HDF_Limited_Col!AF126/HDF_Limited_Col!$AH126," ")</f>
        <v xml:space="preserve"> </v>
      </c>
      <c r="AG126" s="26" t="str">
        <f>IFERROR($AC126*HDF_Limited_Col!AG126/HDF_Limited_Col!$AH126," ")</f>
        <v xml:space="preserve"> </v>
      </c>
      <c r="AH126" s="26" t="str">
        <f>IFERROR($AC126*HDF_Limited_Col!AH126/HDF_Limited_Col!$AH126," ")</f>
        <v xml:space="preserve"> </v>
      </c>
      <c r="AI126" s="26" t="str">
        <f>IFERROR($AC126*HDF_Limited_Col!AI126/HDF_Limited_Col!$AH126," ")</f>
        <v xml:space="preserve"> </v>
      </c>
      <c r="AJ126" s="26" t="str">
        <f>IFERROR($AC126*HDF_Limited_Col!AJ126/HDF_Limited_Col!$AH126," ")</f>
        <v xml:space="preserve"> </v>
      </c>
      <c r="AK126" s="26" t="str">
        <f>IFERROR($AC126*HDF_Limited_Col!AK126/HDF_Limited_Col!$AH126," ")</f>
        <v xml:space="preserve"> </v>
      </c>
      <c r="AL126" s="26" t="str">
        <f>IFERROR($AC126*HDF_Limited_Col!AL126/HDF_Limited_Col!$AH126," ")</f>
        <v xml:space="preserve"> </v>
      </c>
      <c r="AM126" s="26" t="str">
        <f>IFERROR($AC126*HDF_Limited_Col!AM126/HDF_Limited_Col!$AH126," ")</f>
        <v xml:space="preserve"> </v>
      </c>
      <c r="AN126" s="26" t="str">
        <f>IFERROR($AC126*HDF_Limited_Col!AN126/HDF_Limited_Col!$AH126," ")</f>
        <v xml:space="preserve"> </v>
      </c>
      <c r="AO126" s="26" t="str">
        <f>IFERROR($AC126*HDF_Limited_Col!AO126/HDF_Limited_Col!$AH126," ")</f>
        <v xml:space="preserve"> </v>
      </c>
      <c r="AP126" s="26" t="str">
        <f>IFERROR($AC126*HDF_Limited_Col!AP126/HDF_Limited_Col!$AH126," ")</f>
        <v xml:space="preserve"> </v>
      </c>
      <c r="AQ126" s="26" t="str">
        <f>IFERROR($AC126*HDF_Limited_Col!AQ126/HDF_Limited_Col!$AH126," ")</f>
        <v xml:space="preserve"> </v>
      </c>
      <c r="AR126" s="26" t="str">
        <f>IFERROR($AC126*HDF_Limited_Col!AR126/HDF_Limited_Col!$AH126," ")</f>
        <v xml:space="preserve"> </v>
      </c>
      <c r="AS126" s="26" t="str">
        <f>IFERROR($AC126*HDF_Limited_Col!AS126/HDF_Limited_Col!$AH126," ")</f>
        <v xml:space="preserve"> </v>
      </c>
      <c r="AT126" s="26" t="str">
        <f>IFERROR($AC126*HDF_Limited_Col!AT126/HDF_Limited_Col!$AH126," ")</f>
        <v xml:space="preserve"> </v>
      </c>
      <c r="AU126" s="26" t="str">
        <f>IFERROR($AC126*HDF_Limited_Col!AU126/HDF_Limited_Col!$AH126," ")</f>
        <v xml:space="preserve"> </v>
      </c>
      <c r="AV126" s="26" t="str">
        <f>IFERROR($AC126*HDF_Limited_Col!AV126/HDF_Limited_Col!$AH126," ")</f>
        <v xml:space="preserve"> </v>
      </c>
      <c r="AW126" s="26" t="str">
        <f>IFERROR($AC126*HDF_Limited_Col!AW126/HDF_Limited_Col!$AH126," ")</f>
        <v xml:space="preserve"> </v>
      </c>
      <c r="AX126" s="26" t="str">
        <f>IFERROR($AC126*HDF_Limited_Col!AX126/HDF_Limited_Col!$AH126," ")</f>
        <v xml:space="preserve"> </v>
      </c>
      <c r="AY126" s="26" t="str">
        <f>IFERROR($AC126*HDF_Limited_Col!AY126/HDF_Limited_Col!$AH126," ")</f>
        <v xml:space="preserve"> </v>
      </c>
      <c r="AZ126" s="26" t="str">
        <f>IFERROR($AC126*HDF_Limited_Col!AZ126/HDF_Limited_Col!$AH126," ")</f>
        <v xml:space="preserve"> </v>
      </c>
      <c r="BA126" s="26" t="str">
        <f>IFERROR($AC126*HDF_Limited_Col!BA126/HDF_Limited_Col!$AH126," ")</f>
        <v xml:space="preserve"> </v>
      </c>
      <c r="BB126" s="26" t="str">
        <f>IFERROR($AC126*HDF_Limited_Col!BB126/HDF_Limited_Col!$AH126," ")</f>
        <v xml:space="preserve"> </v>
      </c>
      <c r="BC126" s="26" t="str">
        <f>IFERROR($AC126*HDF_Limited_Col!BC126/HDF_Limited_Col!$AH126," ")</f>
        <v xml:space="preserve"> </v>
      </c>
      <c r="BD126" s="26" t="str">
        <f>IFERROR($AC126*HDF_Limited_Col!BD126/HDF_Limited_Col!$AH126," ")</f>
        <v xml:space="preserve"> </v>
      </c>
      <c r="BE126" s="26" t="str">
        <f>IFERROR($AC126*HDF_Limited_Col!BE126/HDF_Limited_Col!$AH126," ")</f>
        <v xml:space="preserve"> </v>
      </c>
      <c r="BF126" s="26" t="str">
        <f>IFERROR($AC126*HDF_Limited_Col!BF126/HDF_Limited_Col!$AH126," ")</f>
        <v xml:space="preserve"> </v>
      </c>
      <c r="BG126" s="26" t="str">
        <f>IFERROR($AC126*HDF_Limited_Col!BG126/HDF_Limited_Col!$AH126," ")</f>
        <v xml:space="preserve"> </v>
      </c>
      <c r="BH126" s="26" t="str">
        <f>IFERROR($AC126*HDF_Limited_Col!BH126/HDF_Limited_Col!$AH126," ")</f>
        <v xml:space="preserve"> </v>
      </c>
      <c r="BI126" s="26" t="str">
        <f>IFERROR($AC126*HDF_Limited_Col!BI126/HDF_Limited_Col!$AH126," ")</f>
        <v xml:space="preserve"> </v>
      </c>
      <c r="BJ126" s="26" t="str">
        <f>IFERROR($AC126*HDF_Limited_Col!BJ126/HDF_Limited_Col!$AH126," ")</f>
        <v xml:space="preserve"> </v>
      </c>
      <c r="BK126" s="26" t="str">
        <f>IFERROR($AC126*HDF_Limited_Col!BK126/HDF_Limited_Col!$AH126," ")</f>
        <v xml:space="preserve"> </v>
      </c>
      <c r="BL126" s="26" t="str">
        <f>IFERROR($AC126*HDF_Limited_Col!BL126/HDF_Limited_Col!$AH126," ")</f>
        <v xml:space="preserve"> </v>
      </c>
      <c r="BM126" s="26" t="str">
        <f>IFERROR($AC126*HDF_Limited_Col!BM126/HDF_Limited_Col!$AH126," ")</f>
        <v xml:space="preserve"> </v>
      </c>
      <c r="BN126" s="26" t="str">
        <f>IFERROR($AC126*HDF_Limited_Col!BN126/HDF_Limited_Col!$AH126," ")</f>
        <v xml:space="preserve"> </v>
      </c>
      <c r="BO126" s="26" t="str">
        <f>IFERROR($AC126*HDF_Limited_Col!BO126/HDF_Limited_Col!$AH126," ")</f>
        <v xml:space="preserve"> </v>
      </c>
      <c r="BP126" s="26" t="str">
        <f>IFERROR($AC126*HDF_Limited_Col!BP126/HDF_Limited_Col!$AH126," ")</f>
        <v xml:space="preserve"> </v>
      </c>
      <c r="BQ126" s="26" t="str">
        <f>IFERROR($AC126*HDF_Limited_Col!BQ126/HDF_Limited_Col!$AH126," ")</f>
        <v xml:space="preserve"> </v>
      </c>
      <c r="BR126" s="26" t="str">
        <f>IFERROR($AC126*HDF_Limited_Col!BR126/HDF_Limited_Col!$AH126," ")</f>
        <v xml:space="preserve"> </v>
      </c>
      <c r="BS126" s="26" t="str">
        <f>IFERROR($AC126*HDF_Limited_Col!BS126/HDF_Limited_Col!$AH126," ")</f>
        <v xml:space="preserve"> </v>
      </c>
      <c r="BT126" s="26" t="str">
        <f>IFERROR($AC126*HDF_Limited_Col!BT126/HDF_Limited_Col!$AH126," ")</f>
        <v xml:space="preserve"> </v>
      </c>
      <c r="BU126" s="26" t="str">
        <f>IFERROR($AC126*HDF_Limited_Col!BU126/HDF_Limited_Col!$AH126," ")</f>
        <v xml:space="preserve"> </v>
      </c>
      <c r="BV126" s="26" t="str">
        <f>IFERROR($AC126*HDF_Limited_Col!BV126/HDF_Limited_Col!$AH126," ")</f>
        <v xml:space="preserve"> </v>
      </c>
      <c r="BW126" s="26" t="str">
        <f>IFERROR($AC126*HDF_Limited_Col!BW126/HDF_Limited_Col!$AH126," ")</f>
        <v xml:space="preserve"> </v>
      </c>
      <c r="BX126" s="26" t="str">
        <f>IFERROR($AC126*HDF_Limited_Col!BX126/HDF_Limited_Col!$AH126," ")</f>
        <v xml:space="preserve"> </v>
      </c>
      <c r="BY126" s="26" t="str">
        <f>IFERROR($AC126*HDF_Limited_Col!BY126/HDF_Limited_Col!$AH126," ")</f>
        <v xml:space="preserve"> </v>
      </c>
      <c r="BZ126" s="26" t="str">
        <f>IFERROR($AC126*HDF_Limited_Col!BZ126/HDF_Limited_Col!$AH126," ")</f>
        <v xml:space="preserve"> </v>
      </c>
      <c r="CA126" s="26" t="str">
        <f>IFERROR($AC126*HDF_Limited_Col!CA126/HDF_Limited_Col!$AH126," ")</f>
        <v xml:space="preserve"> </v>
      </c>
      <c r="CB126" s="26" t="str">
        <f>IFERROR($AC126*HDF_Limited_Col!CB126/HDF_Limited_Col!$AH126," ")</f>
        <v xml:space="preserve"> </v>
      </c>
      <c r="CC126" s="26" t="str">
        <f>IFERROR($AC126*HDF_Limited_Col!CC126/HDF_Limited_Col!$AH126," ")</f>
        <v xml:space="preserve"> </v>
      </c>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row>
    <row r="127" spans="1:109">
      <c r="A127" s="26" t="s">
        <v>845</v>
      </c>
      <c r="B127" s="26" t="s">
        <v>24</v>
      </c>
      <c r="C127" s="155" t="s">
        <v>546</v>
      </c>
      <c r="D127" s="26" t="s">
        <v>119</v>
      </c>
      <c r="E127" s="26" t="s">
        <v>1394</v>
      </c>
      <c r="F127" s="26" t="s">
        <v>142</v>
      </c>
      <c r="G127" s="26" t="s">
        <v>595</v>
      </c>
      <c r="H127" s="30">
        <v>90</v>
      </c>
      <c r="I127" s="26" t="s">
        <v>1148</v>
      </c>
      <c r="J127" s="26"/>
      <c r="K127" s="26"/>
      <c r="L127" s="26"/>
      <c r="M127" s="26">
        <v>23</v>
      </c>
      <c r="N127" s="26">
        <v>39</v>
      </c>
      <c r="O127" s="95">
        <v>1.810885747611169</v>
      </c>
      <c r="P127" s="95">
        <v>0.10473920610232031</v>
      </c>
      <c r="Q127" s="95">
        <v>0.61189746722934479</v>
      </c>
      <c r="R127" s="95">
        <v>17.207549044652247</v>
      </c>
      <c r="S127" s="95">
        <v>4.8124908909118735</v>
      </c>
      <c r="T127" s="95">
        <v>7.9408855994943348</v>
      </c>
      <c r="U127" s="95">
        <v>0</v>
      </c>
      <c r="V127" s="95">
        <v>17.626505869061532</v>
      </c>
      <c r="W127" s="95">
        <v>23.621447270970652</v>
      </c>
      <c r="X127" s="95">
        <v>0.42171311930671057</v>
      </c>
      <c r="Y127" s="95">
        <v>33.373218618076159</v>
      </c>
      <c r="Z127" s="95">
        <v>107.53133283341634</v>
      </c>
      <c r="AA127" s="26"/>
      <c r="AB127" s="26"/>
      <c r="AC127" s="26">
        <f t="shared" si="2"/>
        <v>196090.44570877665</v>
      </c>
      <c r="AD127" s="26" t="str">
        <f>IFERROR($AC127*HDF_Limited_Col!AD127/HDF_Limited_Col!$AH127," ")</f>
        <v xml:space="preserve"> </v>
      </c>
      <c r="AE127" s="26" t="str">
        <f>IFERROR($AC127*HDF_Limited_Col!AE127/HDF_Limited_Col!$AH127," ")</f>
        <v xml:space="preserve"> </v>
      </c>
      <c r="AF127" s="26" t="str">
        <f>IFERROR($AC127*HDF_Limited_Col!AF127/HDF_Limited_Col!$AH127," ")</f>
        <v xml:space="preserve"> </v>
      </c>
      <c r="AG127" s="26" t="str">
        <f>IFERROR($AC127*HDF_Limited_Col!AG127/HDF_Limited_Col!$AH127," ")</f>
        <v xml:space="preserve"> </v>
      </c>
      <c r="AH127" s="26" t="str">
        <f>IFERROR($AC127*HDF_Limited_Col!AH127/HDF_Limited_Col!$AH127," ")</f>
        <v xml:space="preserve"> </v>
      </c>
      <c r="AI127" s="26" t="str">
        <f>IFERROR($AC127*HDF_Limited_Col!AI127/HDF_Limited_Col!$AH127," ")</f>
        <v xml:space="preserve"> </v>
      </c>
      <c r="AJ127" s="26" t="str">
        <f>IFERROR($AC127*HDF_Limited_Col!AJ127/HDF_Limited_Col!$AH127," ")</f>
        <v xml:space="preserve"> </v>
      </c>
      <c r="AK127" s="26" t="str">
        <f>IFERROR($AC127*HDF_Limited_Col!AK127/HDF_Limited_Col!$AH127," ")</f>
        <v xml:space="preserve"> </v>
      </c>
      <c r="AL127" s="26" t="str">
        <f>IFERROR($AC127*HDF_Limited_Col!AL127/HDF_Limited_Col!$AH127," ")</f>
        <v xml:space="preserve"> </v>
      </c>
      <c r="AM127" s="26" t="str">
        <f>IFERROR($AC127*HDF_Limited_Col!AM127/HDF_Limited_Col!$AH127," ")</f>
        <v xml:space="preserve"> </v>
      </c>
      <c r="AN127" s="26" t="str">
        <f>IFERROR($AC127*HDF_Limited_Col!AN127/HDF_Limited_Col!$AH127," ")</f>
        <v xml:space="preserve"> </v>
      </c>
      <c r="AO127" s="26" t="str">
        <f>IFERROR($AC127*HDF_Limited_Col!AO127/HDF_Limited_Col!$AH127," ")</f>
        <v xml:space="preserve"> </v>
      </c>
      <c r="AP127" s="26" t="str">
        <f>IFERROR($AC127*HDF_Limited_Col!AP127/HDF_Limited_Col!$AH127," ")</f>
        <v xml:space="preserve"> </v>
      </c>
      <c r="AQ127" s="26" t="str">
        <f>IFERROR($AC127*HDF_Limited_Col!AQ127/HDF_Limited_Col!$AH127," ")</f>
        <v xml:space="preserve"> </v>
      </c>
      <c r="AR127" s="26" t="str">
        <f>IFERROR($AC127*HDF_Limited_Col!AR127/HDF_Limited_Col!$AH127," ")</f>
        <v xml:space="preserve"> </v>
      </c>
      <c r="AS127" s="26" t="str">
        <f>IFERROR($AC127*HDF_Limited_Col!AS127/HDF_Limited_Col!$AH127," ")</f>
        <v xml:space="preserve"> </v>
      </c>
      <c r="AT127" s="26" t="str">
        <f>IFERROR($AC127*HDF_Limited_Col!AT127/HDF_Limited_Col!$AH127," ")</f>
        <v xml:space="preserve"> </v>
      </c>
      <c r="AU127" s="26" t="str">
        <f>IFERROR($AC127*HDF_Limited_Col!AU127/HDF_Limited_Col!$AH127," ")</f>
        <v xml:space="preserve"> </v>
      </c>
      <c r="AV127" s="26" t="str">
        <f>IFERROR($AC127*HDF_Limited_Col!AV127/HDF_Limited_Col!$AH127," ")</f>
        <v xml:space="preserve"> </v>
      </c>
      <c r="AW127" s="26" t="str">
        <f>IFERROR($AC127*HDF_Limited_Col!AW127/HDF_Limited_Col!$AH127," ")</f>
        <v xml:space="preserve"> </v>
      </c>
      <c r="AX127" s="26" t="str">
        <f>IFERROR($AC127*HDF_Limited_Col!AX127/HDF_Limited_Col!$AH127," ")</f>
        <v xml:space="preserve"> </v>
      </c>
      <c r="AY127" s="26" t="str">
        <f>IFERROR($AC127*HDF_Limited_Col!AY127/HDF_Limited_Col!$AH127," ")</f>
        <v xml:space="preserve"> </v>
      </c>
      <c r="AZ127" s="26" t="str">
        <f>IFERROR($AC127*HDF_Limited_Col!AZ127/HDF_Limited_Col!$AH127," ")</f>
        <v xml:space="preserve"> </v>
      </c>
      <c r="BA127" s="26" t="str">
        <f>IFERROR($AC127*HDF_Limited_Col!BA127/HDF_Limited_Col!$AH127," ")</f>
        <v xml:space="preserve"> </v>
      </c>
      <c r="BB127" s="26" t="str">
        <f>IFERROR($AC127*HDF_Limited_Col!BB127/HDF_Limited_Col!$AH127," ")</f>
        <v xml:space="preserve"> </v>
      </c>
      <c r="BC127" s="26" t="str">
        <f>IFERROR($AC127*HDF_Limited_Col!BC127/HDF_Limited_Col!$AH127," ")</f>
        <v xml:space="preserve"> </v>
      </c>
      <c r="BD127" s="26" t="str">
        <f>IFERROR($AC127*HDF_Limited_Col!BD127/HDF_Limited_Col!$AH127," ")</f>
        <v xml:space="preserve"> </v>
      </c>
      <c r="BE127" s="26" t="str">
        <f>IFERROR($AC127*HDF_Limited_Col!BE127/HDF_Limited_Col!$AH127," ")</f>
        <v xml:space="preserve"> </v>
      </c>
      <c r="BF127" s="26" t="str">
        <f>IFERROR($AC127*HDF_Limited_Col!BF127/HDF_Limited_Col!$AH127," ")</f>
        <v xml:space="preserve"> </v>
      </c>
      <c r="BG127" s="26" t="str">
        <f>IFERROR($AC127*HDF_Limited_Col!BG127/HDF_Limited_Col!$AH127," ")</f>
        <v xml:space="preserve"> </v>
      </c>
      <c r="BH127" s="26" t="str">
        <f>IFERROR($AC127*HDF_Limited_Col!BH127/HDF_Limited_Col!$AH127," ")</f>
        <v xml:space="preserve"> </v>
      </c>
      <c r="BI127" s="26" t="str">
        <f>IFERROR($AC127*HDF_Limited_Col!BI127/HDF_Limited_Col!$AH127," ")</f>
        <v xml:space="preserve"> </v>
      </c>
      <c r="BJ127" s="26" t="str">
        <f>IFERROR($AC127*HDF_Limited_Col!BJ127/HDF_Limited_Col!$AH127," ")</f>
        <v xml:space="preserve"> </v>
      </c>
      <c r="BK127" s="26" t="str">
        <f>IFERROR($AC127*HDF_Limited_Col!BK127/HDF_Limited_Col!$AH127," ")</f>
        <v xml:space="preserve"> </v>
      </c>
      <c r="BL127" s="26" t="str">
        <f>IFERROR($AC127*HDF_Limited_Col!BL127/HDF_Limited_Col!$AH127," ")</f>
        <v xml:space="preserve"> </v>
      </c>
      <c r="BM127" s="26" t="str">
        <f>IFERROR($AC127*HDF_Limited_Col!BM127/HDF_Limited_Col!$AH127," ")</f>
        <v xml:space="preserve"> </v>
      </c>
      <c r="BN127" s="26" t="str">
        <f>IFERROR($AC127*HDF_Limited_Col!BN127/HDF_Limited_Col!$AH127," ")</f>
        <v xml:space="preserve"> </v>
      </c>
      <c r="BO127" s="26" t="str">
        <f>IFERROR($AC127*HDF_Limited_Col!BO127/HDF_Limited_Col!$AH127," ")</f>
        <v xml:space="preserve"> </v>
      </c>
      <c r="BP127" s="26" t="str">
        <f>IFERROR($AC127*HDF_Limited_Col!BP127/HDF_Limited_Col!$AH127," ")</f>
        <v xml:space="preserve"> </v>
      </c>
      <c r="BQ127" s="26" t="str">
        <f>IFERROR($AC127*HDF_Limited_Col!BQ127/HDF_Limited_Col!$AH127," ")</f>
        <v xml:space="preserve"> </v>
      </c>
      <c r="BR127" s="26" t="str">
        <f>IFERROR($AC127*HDF_Limited_Col!BR127/HDF_Limited_Col!$AH127," ")</f>
        <v xml:space="preserve"> </v>
      </c>
      <c r="BS127" s="26" t="str">
        <f>IFERROR($AC127*HDF_Limited_Col!BS127/HDF_Limited_Col!$AH127," ")</f>
        <v xml:space="preserve"> </v>
      </c>
      <c r="BT127" s="26" t="str">
        <f>IFERROR($AC127*HDF_Limited_Col!BT127/HDF_Limited_Col!$AH127," ")</f>
        <v xml:space="preserve"> </v>
      </c>
      <c r="BU127" s="26" t="str">
        <f>IFERROR($AC127*HDF_Limited_Col!BU127/HDF_Limited_Col!$AH127," ")</f>
        <v xml:space="preserve"> </v>
      </c>
      <c r="BV127" s="26" t="str">
        <f>IFERROR($AC127*HDF_Limited_Col!BV127/HDF_Limited_Col!$AH127," ")</f>
        <v xml:space="preserve"> </v>
      </c>
      <c r="BW127" s="26" t="str">
        <f>IFERROR($AC127*HDF_Limited_Col!BW127/HDF_Limited_Col!$AH127," ")</f>
        <v xml:space="preserve"> </v>
      </c>
      <c r="BX127" s="26" t="str">
        <f>IFERROR($AC127*HDF_Limited_Col!BX127/HDF_Limited_Col!$AH127," ")</f>
        <v xml:space="preserve"> </v>
      </c>
      <c r="BY127" s="26" t="str">
        <f>IFERROR($AC127*HDF_Limited_Col!BY127/HDF_Limited_Col!$AH127," ")</f>
        <v xml:space="preserve"> </v>
      </c>
      <c r="BZ127" s="26" t="str">
        <f>IFERROR($AC127*HDF_Limited_Col!BZ127/HDF_Limited_Col!$AH127," ")</f>
        <v xml:space="preserve"> </v>
      </c>
      <c r="CA127" s="26" t="str">
        <f>IFERROR($AC127*HDF_Limited_Col!CA127/HDF_Limited_Col!$AH127," ")</f>
        <v xml:space="preserve"> </v>
      </c>
      <c r="CB127" s="26" t="str">
        <f>IFERROR($AC127*HDF_Limited_Col!CB127/HDF_Limited_Col!$AH127," ")</f>
        <v xml:space="preserve"> </v>
      </c>
      <c r="CC127" s="26" t="str">
        <f>IFERROR($AC127*HDF_Limited_Col!CC127/HDF_Limited_Col!$AH127," ")</f>
        <v xml:space="preserve"> </v>
      </c>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row>
    <row r="128" spans="1:109">
      <c r="A128" s="26" t="s">
        <v>845</v>
      </c>
      <c r="B128" s="26" t="s">
        <v>24</v>
      </c>
      <c r="C128" s="155" t="s">
        <v>546</v>
      </c>
      <c r="D128" s="26" t="s">
        <v>119</v>
      </c>
      <c r="E128" s="26" t="s">
        <v>1394</v>
      </c>
      <c r="F128" s="26" t="s">
        <v>142</v>
      </c>
      <c r="G128" s="26" t="s">
        <v>595</v>
      </c>
      <c r="H128" s="30">
        <v>90</v>
      </c>
      <c r="I128" s="26" t="s">
        <v>1148</v>
      </c>
      <c r="J128" s="26"/>
      <c r="K128" s="26"/>
      <c r="L128" s="26"/>
      <c r="M128" s="26" t="s">
        <v>506</v>
      </c>
      <c r="N128" s="26">
        <v>19</v>
      </c>
      <c r="O128" s="95">
        <v>4.8765166035417229</v>
      </c>
      <c r="P128" s="95">
        <v>0.32510110690278149</v>
      </c>
      <c r="Q128" s="95">
        <v>0.75856924943982351</v>
      </c>
      <c r="R128" s="95">
        <v>18.855864200361328</v>
      </c>
      <c r="S128" s="95">
        <v>0.86693628507408405</v>
      </c>
      <c r="T128" s="95">
        <v>5.0932506748102444</v>
      </c>
      <c r="U128" s="95">
        <v>0</v>
      </c>
      <c r="V128" s="95">
        <v>5.2016177104445038</v>
      </c>
      <c r="W128" s="95">
        <v>34.460717331694845</v>
      </c>
      <c r="X128" s="95">
        <v>0.10836703563426051</v>
      </c>
      <c r="Y128" s="95">
        <v>38.036829507625441</v>
      </c>
      <c r="Z128" s="95">
        <v>108.58376970552904</v>
      </c>
      <c r="AA128" s="26"/>
      <c r="AB128" s="26"/>
      <c r="AC128" s="26">
        <f t="shared" si="2"/>
        <v>286071.270041132</v>
      </c>
      <c r="AD128" s="26" t="str">
        <f>IFERROR($AC128*HDF_Limited_Col!AD128/HDF_Limited_Col!$AH128," ")</f>
        <v xml:space="preserve"> </v>
      </c>
      <c r="AE128" s="26" t="str">
        <f>IFERROR($AC128*HDF_Limited_Col!AE128/HDF_Limited_Col!$AH128," ")</f>
        <v xml:space="preserve"> </v>
      </c>
      <c r="AF128" s="26" t="str">
        <f>IFERROR($AC128*HDF_Limited_Col!AF128/HDF_Limited_Col!$AH128," ")</f>
        <v xml:space="preserve"> </v>
      </c>
      <c r="AG128" s="26" t="str">
        <f>IFERROR($AC128*HDF_Limited_Col!AG128/HDF_Limited_Col!$AH128," ")</f>
        <v xml:space="preserve"> </v>
      </c>
      <c r="AH128" s="26" t="str">
        <f>IFERROR($AC128*HDF_Limited_Col!AH128/HDF_Limited_Col!$AH128," ")</f>
        <v xml:space="preserve"> </v>
      </c>
      <c r="AI128" s="26" t="str">
        <f>IFERROR($AC128*HDF_Limited_Col!AI128/HDF_Limited_Col!$AH128," ")</f>
        <v xml:space="preserve"> </v>
      </c>
      <c r="AJ128" s="26" t="str">
        <f>IFERROR($AC128*HDF_Limited_Col!AJ128/HDF_Limited_Col!$AH128," ")</f>
        <v xml:space="preserve"> </v>
      </c>
      <c r="AK128" s="26" t="str">
        <f>IFERROR($AC128*HDF_Limited_Col!AK128/HDF_Limited_Col!$AH128," ")</f>
        <v xml:space="preserve"> </v>
      </c>
      <c r="AL128" s="26" t="str">
        <f>IFERROR($AC128*HDF_Limited_Col!AL128/HDF_Limited_Col!$AH128," ")</f>
        <v xml:space="preserve"> </v>
      </c>
      <c r="AM128" s="26" t="str">
        <f>IFERROR($AC128*HDF_Limited_Col!AM128/HDF_Limited_Col!$AH128," ")</f>
        <v xml:space="preserve"> </v>
      </c>
      <c r="AN128" s="26" t="str">
        <f>IFERROR($AC128*HDF_Limited_Col!AN128/HDF_Limited_Col!$AH128," ")</f>
        <v xml:space="preserve"> </v>
      </c>
      <c r="AO128" s="26" t="str">
        <f>IFERROR($AC128*HDF_Limited_Col!AO128/HDF_Limited_Col!$AH128," ")</f>
        <v xml:space="preserve"> </v>
      </c>
      <c r="AP128" s="26" t="str">
        <f>IFERROR($AC128*HDF_Limited_Col!AP128/HDF_Limited_Col!$AH128," ")</f>
        <v xml:space="preserve"> </v>
      </c>
      <c r="AQ128" s="26" t="str">
        <f>IFERROR($AC128*HDF_Limited_Col!AQ128/HDF_Limited_Col!$AH128," ")</f>
        <v xml:space="preserve"> </v>
      </c>
      <c r="AR128" s="26" t="str">
        <f>IFERROR($AC128*HDF_Limited_Col!AR128/HDF_Limited_Col!$AH128," ")</f>
        <v xml:space="preserve"> </v>
      </c>
      <c r="AS128" s="26" t="str">
        <f>IFERROR($AC128*HDF_Limited_Col!AS128/HDF_Limited_Col!$AH128," ")</f>
        <v xml:space="preserve"> </v>
      </c>
      <c r="AT128" s="26" t="str">
        <f>IFERROR($AC128*HDF_Limited_Col!AT128/HDF_Limited_Col!$AH128," ")</f>
        <v xml:space="preserve"> </v>
      </c>
      <c r="AU128" s="26" t="str">
        <f>IFERROR($AC128*HDF_Limited_Col!AU128/HDF_Limited_Col!$AH128," ")</f>
        <v xml:space="preserve"> </v>
      </c>
      <c r="AV128" s="26" t="str">
        <f>IFERROR($AC128*HDF_Limited_Col!AV128/HDF_Limited_Col!$AH128," ")</f>
        <v xml:space="preserve"> </v>
      </c>
      <c r="AW128" s="26" t="str">
        <f>IFERROR($AC128*HDF_Limited_Col!AW128/HDF_Limited_Col!$AH128," ")</f>
        <v xml:space="preserve"> </v>
      </c>
      <c r="AX128" s="26" t="str">
        <f>IFERROR($AC128*HDF_Limited_Col!AX128/HDF_Limited_Col!$AH128," ")</f>
        <v xml:space="preserve"> </v>
      </c>
      <c r="AY128" s="26" t="str">
        <f>IFERROR($AC128*HDF_Limited_Col!AY128/HDF_Limited_Col!$AH128," ")</f>
        <v xml:space="preserve"> </v>
      </c>
      <c r="AZ128" s="26" t="str">
        <f>IFERROR($AC128*HDF_Limited_Col!AZ128/HDF_Limited_Col!$AH128," ")</f>
        <v xml:space="preserve"> </v>
      </c>
      <c r="BA128" s="26" t="str">
        <f>IFERROR($AC128*HDF_Limited_Col!BA128/HDF_Limited_Col!$AH128," ")</f>
        <v xml:space="preserve"> </v>
      </c>
      <c r="BB128" s="26" t="str">
        <f>IFERROR($AC128*HDF_Limited_Col!BB128/HDF_Limited_Col!$AH128," ")</f>
        <v xml:space="preserve"> </v>
      </c>
      <c r="BC128" s="26" t="str">
        <f>IFERROR($AC128*HDF_Limited_Col!BC128/HDF_Limited_Col!$AH128," ")</f>
        <v xml:space="preserve"> </v>
      </c>
      <c r="BD128" s="26" t="str">
        <f>IFERROR($AC128*HDF_Limited_Col!BD128/HDF_Limited_Col!$AH128," ")</f>
        <v xml:space="preserve"> </v>
      </c>
      <c r="BE128" s="26" t="str">
        <f>IFERROR($AC128*HDF_Limited_Col!BE128/HDF_Limited_Col!$AH128," ")</f>
        <v xml:space="preserve"> </v>
      </c>
      <c r="BF128" s="26" t="str">
        <f>IFERROR($AC128*HDF_Limited_Col!BF128/HDF_Limited_Col!$AH128," ")</f>
        <v xml:space="preserve"> </v>
      </c>
      <c r="BG128" s="26" t="str">
        <f>IFERROR($AC128*HDF_Limited_Col!BG128/HDF_Limited_Col!$AH128," ")</f>
        <v xml:space="preserve"> </v>
      </c>
      <c r="BH128" s="26" t="str">
        <f>IFERROR($AC128*HDF_Limited_Col!BH128/HDF_Limited_Col!$AH128," ")</f>
        <v xml:space="preserve"> </v>
      </c>
      <c r="BI128" s="26" t="str">
        <f>IFERROR($AC128*HDF_Limited_Col!BI128/HDF_Limited_Col!$AH128," ")</f>
        <v xml:space="preserve"> </v>
      </c>
      <c r="BJ128" s="26" t="str">
        <f>IFERROR($AC128*HDF_Limited_Col!BJ128/HDF_Limited_Col!$AH128," ")</f>
        <v xml:space="preserve"> </v>
      </c>
      <c r="BK128" s="26" t="str">
        <f>IFERROR($AC128*HDF_Limited_Col!BK128/HDF_Limited_Col!$AH128," ")</f>
        <v xml:space="preserve"> </v>
      </c>
      <c r="BL128" s="26" t="str">
        <f>IFERROR($AC128*HDF_Limited_Col!BL128/HDF_Limited_Col!$AH128," ")</f>
        <v xml:space="preserve"> </v>
      </c>
      <c r="BM128" s="26" t="str">
        <f>IFERROR($AC128*HDF_Limited_Col!BM128/HDF_Limited_Col!$AH128," ")</f>
        <v xml:space="preserve"> </v>
      </c>
      <c r="BN128" s="26" t="str">
        <f>IFERROR($AC128*HDF_Limited_Col!BN128/HDF_Limited_Col!$AH128," ")</f>
        <v xml:space="preserve"> </v>
      </c>
      <c r="BO128" s="26" t="str">
        <f>IFERROR($AC128*HDF_Limited_Col!BO128/HDF_Limited_Col!$AH128," ")</f>
        <v xml:space="preserve"> </v>
      </c>
      <c r="BP128" s="26" t="str">
        <f>IFERROR($AC128*HDF_Limited_Col!BP128/HDF_Limited_Col!$AH128," ")</f>
        <v xml:space="preserve"> </v>
      </c>
      <c r="BQ128" s="26" t="str">
        <f>IFERROR($AC128*HDF_Limited_Col!BQ128/HDF_Limited_Col!$AH128," ")</f>
        <v xml:space="preserve"> </v>
      </c>
      <c r="BR128" s="26" t="str">
        <f>IFERROR($AC128*HDF_Limited_Col!BR128/HDF_Limited_Col!$AH128," ")</f>
        <v xml:space="preserve"> </v>
      </c>
      <c r="BS128" s="26" t="str">
        <f>IFERROR($AC128*HDF_Limited_Col!BS128/HDF_Limited_Col!$AH128," ")</f>
        <v xml:space="preserve"> </v>
      </c>
      <c r="BT128" s="26" t="str">
        <f>IFERROR($AC128*HDF_Limited_Col!BT128/HDF_Limited_Col!$AH128," ")</f>
        <v xml:space="preserve"> </v>
      </c>
      <c r="BU128" s="26" t="str">
        <f>IFERROR($AC128*HDF_Limited_Col!BU128/HDF_Limited_Col!$AH128," ")</f>
        <v xml:space="preserve"> </v>
      </c>
      <c r="BV128" s="26" t="str">
        <f>IFERROR($AC128*HDF_Limited_Col!BV128/HDF_Limited_Col!$AH128," ")</f>
        <v xml:space="preserve"> </v>
      </c>
      <c r="BW128" s="26" t="str">
        <f>IFERROR($AC128*HDF_Limited_Col!BW128/HDF_Limited_Col!$AH128," ")</f>
        <v xml:space="preserve"> </v>
      </c>
      <c r="BX128" s="26" t="str">
        <f>IFERROR($AC128*HDF_Limited_Col!BX128/HDF_Limited_Col!$AH128," ")</f>
        <v xml:space="preserve"> </v>
      </c>
      <c r="BY128" s="26" t="str">
        <f>IFERROR($AC128*HDF_Limited_Col!BY128/HDF_Limited_Col!$AH128," ")</f>
        <v xml:space="preserve"> </v>
      </c>
      <c r="BZ128" s="26" t="str">
        <f>IFERROR($AC128*HDF_Limited_Col!BZ128/HDF_Limited_Col!$AH128," ")</f>
        <v xml:space="preserve"> </v>
      </c>
      <c r="CA128" s="26" t="str">
        <f>IFERROR($AC128*HDF_Limited_Col!CA128/HDF_Limited_Col!$AH128," ")</f>
        <v xml:space="preserve"> </v>
      </c>
      <c r="CB128" s="26" t="str">
        <f>IFERROR($AC128*HDF_Limited_Col!CB128/HDF_Limited_Col!$AH128," ")</f>
        <v xml:space="preserve"> </v>
      </c>
      <c r="CC128" s="26" t="str">
        <f>IFERROR($AC128*HDF_Limited_Col!CC128/HDF_Limited_Col!$AH128," ")</f>
        <v xml:space="preserve"> </v>
      </c>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row>
    <row r="129" spans="1:109">
      <c r="A129" s="26" t="s">
        <v>845</v>
      </c>
      <c r="B129" s="26" t="s">
        <v>24</v>
      </c>
      <c r="C129" s="155" t="s">
        <v>546</v>
      </c>
      <c r="D129" s="26" t="s">
        <v>119</v>
      </c>
      <c r="E129" s="26" t="s">
        <v>1394</v>
      </c>
      <c r="F129" s="26" t="s">
        <v>142</v>
      </c>
      <c r="G129" s="26" t="s">
        <v>595</v>
      </c>
      <c r="H129" s="30">
        <v>90</v>
      </c>
      <c r="I129" s="26" t="s">
        <v>1148</v>
      </c>
      <c r="J129" s="26"/>
      <c r="K129" s="26"/>
      <c r="L129" s="26"/>
      <c r="M129" s="26" t="s">
        <v>507</v>
      </c>
      <c r="N129" s="26">
        <v>25</v>
      </c>
      <c r="O129" s="95">
        <v>6.994147395614168</v>
      </c>
      <c r="P129" s="95">
        <v>0.10928355305647137</v>
      </c>
      <c r="Q129" s="95">
        <v>1.5299697427905994</v>
      </c>
      <c r="R129" s="95">
        <v>14.753279662623637</v>
      </c>
      <c r="S129" s="95">
        <v>0.54641776528235697</v>
      </c>
      <c r="T129" s="95">
        <v>7.2127145017271106</v>
      </c>
      <c r="U129" s="95">
        <v>0</v>
      </c>
      <c r="V129" s="95">
        <v>2.0763875080729561</v>
      </c>
      <c r="W129" s="95">
        <v>34.970736978070846</v>
      </c>
      <c r="X129" s="95">
        <v>0.32785065916941414</v>
      </c>
      <c r="Y129" s="95">
        <v>40.653481737007354</v>
      </c>
      <c r="Z129" s="95">
        <v>109.17426950341492</v>
      </c>
      <c r="AA129" s="26"/>
      <c r="AB129" s="26"/>
      <c r="AC129" s="26">
        <f t="shared" si="2"/>
        <v>290305.13338705024</v>
      </c>
      <c r="AD129" s="26" t="str">
        <f>IFERROR($AC129*HDF_Limited_Col!AD129/HDF_Limited_Col!$AH129," ")</f>
        <v xml:space="preserve"> </v>
      </c>
      <c r="AE129" s="26" t="str">
        <f>IFERROR($AC129*HDF_Limited_Col!AE129/HDF_Limited_Col!$AH129," ")</f>
        <v xml:space="preserve"> </v>
      </c>
      <c r="AF129" s="26" t="str">
        <f>IFERROR($AC129*HDF_Limited_Col!AF129/HDF_Limited_Col!$AH129," ")</f>
        <v xml:space="preserve"> </v>
      </c>
      <c r="AG129" s="26" t="str">
        <f>IFERROR($AC129*HDF_Limited_Col!AG129/HDF_Limited_Col!$AH129," ")</f>
        <v xml:space="preserve"> </v>
      </c>
      <c r="AH129" s="26" t="str">
        <f>IFERROR($AC129*HDF_Limited_Col!AH129/HDF_Limited_Col!$AH129," ")</f>
        <v xml:space="preserve"> </v>
      </c>
      <c r="AI129" s="26" t="str">
        <f>IFERROR($AC129*HDF_Limited_Col!AI129/HDF_Limited_Col!$AH129," ")</f>
        <v xml:space="preserve"> </v>
      </c>
      <c r="AJ129" s="26" t="str">
        <f>IFERROR($AC129*HDF_Limited_Col!AJ129/HDF_Limited_Col!$AH129," ")</f>
        <v xml:space="preserve"> </v>
      </c>
      <c r="AK129" s="26" t="str">
        <f>IFERROR($AC129*HDF_Limited_Col!AK129/HDF_Limited_Col!$AH129," ")</f>
        <v xml:space="preserve"> </v>
      </c>
      <c r="AL129" s="26" t="str">
        <f>IFERROR($AC129*HDF_Limited_Col!AL129/HDF_Limited_Col!$AH129," ")</f>
        <v xml:space="preserve"> </v>
      </c>
      <c r="AM129" s="26" t="str">
        <f>IFERROR($AC129*HDF_Limited_Col!AM129/HDF_Limited_Col!$AH129," ")</f>
        <v xml:space="preserve"> </v>
      </c>
      <c r="AN129" s="26" t="str">
        <f>IFERROR($AC129*HDF_Limited_Col!AN129/HDF_Limited_Col!$AH129," ")</f>
        <v xml:space="preserve"> </v>
      </c>
      <c r="AO129" s="26" t="str">
        <f>IFERROR($AC129*HDF_Limited_Col!AO129/HDF_Limited_Col!$AH129," ")</f>
        <v xml:space="preserve"> </v>
      </c>
      <c r="AP129" s="26" t="str">
        <f>IFERROR($AC129*HDF_Limited_Col!AP129/HDF_Limited_Col!$AH129," ")</f>
        <v xml:space="preserve"> </v>
      </c>
      <c r="AQ129" s="26" t="str">
        <f>IFERROR($AC129*HDF_Limited_Col!AQ129/HDF_Limited_Col!$AH129," ")</f>
        <v xml:space="preserve"> </v>
      </c>
      <c r="AR129" s="26" t="str">
        <f>IFERROR($AC129*HDF_Limited_Col!AR129/HDF_Limited_Col!$AH129," ")</f>
        <v xml:space="preserve"> </v>
      </c>
      <c r="AS129" s="26" t="str">
        <f>IFERROR($AC129*HDF_Limited_Col!AS129/HDF_Limited_Col!$AH129," ")</f>
        <v xml:space="preserve"> </v>
      </c>
      <c r="AT129" s="26" t="str">
        <f>IFERROR($AC129*HDF_Limited_Col!AT129/HDF_Limited_Col!$AH129," ")</f>
        <v xml:space="preserve"> </v>
      </c>
      <c r="AU129" s="26" t="str">
        <f>IFERROR($AC129*HDF_Limited_Col!AU129/HDF_Limited_Col!$AH129," ")</f>
        <v xml:space="preserve"> </v>
      </c>
      <c r="AV129" s="26" t="str">
        <f>IFERROR($AC129*HDF_Limited_Col!AV129/HDF_Limited_Col!$AH129," ")</f>
        <v xml:space="preserve"> </v>
      </c>
      <c r="AW129" s="26" t="str">
        <f>IFERROR($AC129*HDF_Limited_Col!AW129/HDF_Limited_Col!$AH129," ")</f>
        <v xml:space="preserve"> </v>
      </c>
      <c r="AX129" s="26" t="str">
        <f>IFERROR($AC129*HDF_Limited_Col!AX129/HDF_Limited_Col!$AH129," ")</f>
        <v xml:space="preserve"> </v>
      </c>
      <c r="AY129" s="26" t="str">
        <f>IFERROR($AC129*HDF_Limited_Col!AY129/HDF_Limited_Col!$AH129," ")</f>
        <v xml:space="preserve"> </v>
      </c>
      <c r="AZ129" s="26" t="str">
        <f>IFERROR($AC129*HDF_Limited_Col!AZ129/HDF_Limited_Col!$AH129," ")</f>
        <v xml:space="preserve"> </v>
      </c>
      <c r="BA129" s="26" t="str">
        <f>IFERROR($AC129*HDF_Limited_Col!BA129/HDF_Limited_Col!$AH129," ")</f>
        <v xml:space="preserve"> </v>
      </c>
      <c r="BB129" s="26" t="str">
        <f>IFERROR($AC129*HDF_Limited_Col!BB129/HDF_Limited_Col!$AH129," ")</f>
        <v xml:space="preserve"> </v>
      </c>
      <c r="BC129" s="26" t="str">
        <f>IFERROR($AC129*HDF_Limited_Col!BC129/HDF_Limited_Col!$AH129," ")</f>
        <v xml:space="preserve"> </v>
      </c>
      <c r="BD129" s="26" t="str">
        <f>IFERROR($AC129*HDF_Limited_Col!BD129/HDF_Limited_Col!$AH129," ")</f>
        <v xml:space="preserve"> </v>
      </c>
      <c r="BE129" s="26" t="str">
        <f>IFERROR($AC129*HDF_Limited_Col!BE129/HDF_Limited_Col!$AH129," ")</f>
        <v xml:space="preserve"> </v>
      </c>
      <c r="BF129" s="26" t="str">
        <f>IFERROR($AC129*HDF_Limited_Col!BF129/HDF_Limited_Col!$AH129," ")</f>
        <v xml:space="preserve"> </v>
      </c>
      <c r="BG129" s="26" t="str">
        <f>IFERROR($AC129*HDF_Limited_Col!BG129/HDF_Limited_Col!$AH129," ")</f>
        <v xml:space="preserve"> </v>
      </c>
      <c r="BH129" s="26" t="str">
        <f>IFERROR($AC129*HDF_Limited_Col!BH129/HDF_Limited_Col!$AH129," ")</f>
        <v xml:space="preserve"> </v>
      </c>
      <c r="BI129" s="26" t="str">
        <f>IFERROR($AC129*HDF_Limited_Col!BI129/HDF_Limited_Col!$AH129," ")</f>
        <v xml:space="preserve"> </v>
      </c>
      <c r="BJ129" s="26" t="str">
        <f>IFERROR($AC129*HDF_Limited_Col!BJ129/HDF_Limited_Col!$AH129," ")</f>
        <v xml:space="preserve"> </v>
      </c>
      <c r="BK129" s="26" t="str">
        <f>IFERROR($AC129*HDF_Limited_Col!BK129/HDF_Limited_Col!$AH129," ")</f>
        <v xml:space="preserve"> </v>
      </c>
      <c r="BL129" s="26" t="str">
        <f>IFERROR($AC129*HDF_Limited_Col!BL129/HDF_Limited_Col!$AH129," ")</f>
        <v xml:space="preserve"> </v>
      </c>
      <c r="BM129" s="26" t="str">
        <f>IFERROR($AC129*HDF_Limited_Col!BM129/HDF_Limited_Col!$AH129," ")</f>
        <v xml:space="preserve"> </v>
      </c>
      <c r="BN129" s="26" t="str">
        <f>IFERROR($AC129*HDF_Limited_Col!BN129/HDF_Limited_Col!$AH129," ")</f>
        <v xml:space="preserve"> </v>
      </c>
      <c r="BO129" s="26" t="str">
        <f>IFERROR($AC129*HDF_Limited_Col!BO129/HDF_Limited_Col!$AH129," ")</f>
        <v xml:space="preserve"> </v>
      </c>
      <c r="BP129" s="26" t="str">
        <f>IFERROR($AC129*HDF_Limited_Col!BP129/HDF_Limited_Col!$AH129," ")</f>
        <v xml:space="preserve"> </v>
      </c>
      <c r="BQ129" s="26" t="str">
        <f>IFERROR($AC129*HDF_Limited_Col!BQ129/HDF_Limited_Col!$AH129," ")</f>
        <v xml:space="preserve"> </v>
      </c>
      <c r="BR129" s="26" t="str">
        <f>IFERROR($AC129*HDF_Limited_Col!BR129/HDF_Limited_Col!$AH129," ")</f>
        <v xml:space="preserve"> </v>
      </c>
      <c r="BS129" s="26" t="str">
        <f>IFERROR($AC129*HDF_Limited_Col!BS129/HDF_Limited_Col!$AH129," ")</f>
        <v xml:space="preserve"> </v>
      </c>
      <c r="BT129" s="26" t="str">
        <f>IFERROR($AC129*HDF_Limited_Col!BT129/HDF_Limited_Col!$AH129," ")</f>
        <v xml:space="preserve"> </v>
      </c>
      <c r="BU129" s="26" t="str">
        <f>IFERROR($AC129*HDF_Limited_Col!BU129/HDF_Limited_Col!$AH129," ")</f>
        <v xml:space="preserve"> </v>
      </c>
      <c r="BV129" s="26" t="str">
        <f>IFERROR($AC129*HDF_Limited_Col!BV129/HDF_Limited_Col!$AH129," ")</f>
        <v xml:space="preserve"> </v>
      </c>
      <c r="BW129" s="26" t="str">
        <f>IFERROR($AC129*HDF_Limited_Col!BW129/HDF_Limited_Col!$AH129," ")</f>
        <v xml:space="preserve"> </v>
      </c>
      <c r="BX129" s="26" t="str">
        <f>IFERROR($AC129*HDF_Limited_Col!BX129/HDF_Limited_Col!$AH129," ")</f>
        <v xml:space="preserve"> </v>
      </c>
      <c r="BY129" s="26" t="str">
        <f>IFERROR($AC129*HDF_Limited_Col!BY129/HDF_Limited_Col!$AH129," ")</f>
        <v xml:space="preserve"> </v>
      </c>
      <c r="BZ129" s="26" t="str">
        <f>IFERROR($AC129*HDF_Limited_Col!BZ129/HDF_Limited_Col!$AH129," ")</f>
        <v xml:space="preserve"> </v>
      </c>
      <c r="CA129" s="26" t="str">
        <f>IFERROR($AC129*HDF_Limited_Col!CA129/HDF_Limited_Col!$AH129," ")</f>
        <v xml:space="preserve"> </v>
      </c>
      <c r="CB129" s="26" t="str">
        <f>IFERROR($AC129*HDF_Limited_Col!CB129/HDF_Limited_Col!$AH129," ")</f>
        <v xml:space="preserve"> </v>
      </c>
      <c r="CC129" s="26" t="str">
        <f>IFERROR($AC129*HDF_Limited_Col!CC129/HDF_Limited_Col!$AH129," ")</f>
        <v xml:space="preserve"> </v>
      </c>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row>
    <row r="130" spans="1:109">
      <c r="A130" s="26" t="s">
        <v>847</v>
      </c>
      <c r="B130" s="26" t="s">
        <v>24</v>
      </c>
      <c r="C130" s="155" t="s">
        <v>546</v>
      </c>
      <c r="D130" s="26" t="s">
        <v>119</v>
      </c>
      <c r="E130" s="26" t="s">
        <v>1394</v>
      </c>
      <c r="F130" s="26" t="s">
        <v>142</v>
      </c>
      <c r="G130" s="26" t="s">
        <v>595</v>
      </c>
      <c r="H130" s="30">
        <v>90</v>
      </c>
      <c r="I130" s="26" t="s">
        <v>1148</v>
      </c>
      <c r="J130" s="26"/>
      <c r="K130" s="26"/>
      <c r="L130" s="26" t="s">
        <v>572</v>
      </c>
      <c r="M130" s="26" t="s">
        <v>565</v>
      </c>
      <c r="N130" s="26">
        <v>30</v>
      </c>
      <c r="O130" s="95">
        <v>1.5911602382512016</v>
      </c>
      <c r="P130" s="95">
        <v>0</v>
      </c>
      <c r="Q130" s="95">
        <v>0</v>
      </c>
      <c r="R130" s="95">
        <v>12.330233585978242</v>
      </c>
      <c r="S130" s="95">
        <v>7.4524970038290563</v>
      </c>
      <c r="T130" s="95">
        <v>11.581029352694125</v>
      </c>
      <c r="U130" s="95">
        <v>0</v>
      </c>
      <c r="V130" s="95">
        <v>12.348927741511243</v>
      </c>
      <c r="W130" s="95">
        <v>29.410220689302825</v>
      </c>
      <c r="X130" s="95">
        <v>0.68880773079288327</v>
      </c>
      <c r="Y130" s="95">
        <v>31.765684286460949</v>
      </c>
      <c r="Z130" s="95">
        <v>107.16856062882053</v>
      </c>
      <c r="AA130" s="26"/>
      <c r="AB130" s="26"/>
      <c r="AC130" s="26">
        <f t="shared" ref="AC130:AC193" si="3">W130*10000/1.20462</f>
        <v>244145.21333949978</v>
      </c>
      <c r="AD130" s="26" t="str">
        <f>IFERROR($AC130*HDF_Limited_Col!AD130/HDF_Limited_Col!$AH130," ")</f>
        <v xml:space="preserve"> </v>
      </c>
      <c r="AE130" s="26" t="str">
        <f>IFERROR($AC130*HDF_Limited_Col!AE130/HDF_Limited_Col!$AH130," ")</f>
        <v xml:space="preserve"> </v>
      </c>
      <c r="AF130" s="26" t="str">
        <f>IFERROR($AC130*HDF_Limited_Col!AF130/HDF_Limited_Col!$AH130," ")</f>
        <v xml:space="preserve"> </v>
      </c>
      <c r="AG130" s="26" t="str">
        <f>IFERROR($AC130*HDF_Limited_Col!AG130/HDF_Limited_Col!$AH130," ")</f>
        <v xml:space="preserve"> </v>
      </c>
      <c r="AH130" s="26" t="str">
        <f>IFERROR($AC130*HDF_Limited_Col!AH130/HDF_Limited_Col!$AH130," ")</f>
        <v xml:space="preserve"> </v>
      </c>
      <c r="AI130" s="26" t="str">
        <f>IFERROR($AC130*HDF_Limited_Col!AI130/HDF_Limited_Col!$AH130," ")</f>
        <v xml:space="preserve"> </v>
      </c>
      <c r="AJ130" s="26" t="str">
        <f>IFERROR($AC130*HDF_Limited_Col!AJ130/HDF_Limited_Col!$AH130," ")</f>
        <v xml:space="preserve"> </v>
      </c>
      <c r="AK130" s="26" t="str">
        <f>IFERROR($AC130*HDF_Limited_Col!AK130/HDF_Limited_Col!$AH130," ")</f>
        <v xml:space="preserve"> </v>
      </c>
      <c r="AL130" s="26" t="str">
        <f>IFERROR($AC130*HDF_Limited_Col!AL130/HDF_Limited_Col!$AH130," ")</f>
        <v xml:space="preserve"> </v>
      </c>
      <c r="AM130" s="26" t="str">
        <f>IFERROR($AC130*HDF_Limited_Col!AM130/HDF_Limited_Col!$AH130," ")</f>
        <v xml:space="preserve"> </v>
      </c>
      <c r="AN130" s="26" t="str">
        <f>IFERROR($AC130*HDF_Limited_Col!AN130/HDF_Limited_Col!$AH130," ")</f>
        <v xml:space="preserve"> </v>
      </c>
      <c r="AO130" s="26" t="str">
        <f>IFERROR($AC130*HDF_Limited_Col!AO130/HDF_Limited_Col!$AH130," ")</f>
        <v xml:space="preserve"> </v>
      </c>
      <c r="AP130" s="26" t="str">
        <f>IFERROR($AC130*HDF_Limited_Col!AP130/HDF_Limited_Col!$AH130," ")</f>
        <v xml:space="preserve"> </v>
      </c>
      <c r="AQ130" s="26" t="str">
        <f>IFERROR($AC130*HDF_Limited_Col!AQ130/HDF_Limited_Col!$AH130," ")</f>
        <v xml:space="preserve"> </v>
      </c>
      <c r="AR130" s="26" t="str">
        <f>IFERROR($AC130*HDF_Limited_Col!AR130/HDF_Limited_Col!$AH130," ")</f>
        <v xml:space="preserve"> </v>
      </c>
      <c r="AS130" s="26" t="str">
        <f>IFERROR($AC130*HDF_Limited_Col!AS130/HDF_Limited_Col!$AH130," ")</f>
        <v xml:space="preserve"> </v>
      </c>
      <c r="AT130" s="26" t="str">
        <f>IFERROR($AC130*HDF_Limited_Col!AT130/HDF_Limited_Col!$AH130," ")</f>
        <v xml:space="preserve"> </v>
      </c>
      <c r="AU130" s="26" t="str">
        <f>IFERROR($AC130*HDF_Limited_Col!AU130/HDF_Limited_Col!$AH130," ")</f>
        <v xml:space="preserve"> </v>
      </c>
      <c r="AV130" s="26" t="str">
        <f>IFERROR($AC130*HDF_Limited_Col!AV130/HDF_Limited_Col!$AH130," ")</f>
        <v xml:space="preserve"> </v>
      </c>
      <c r="AW130" s="26" t="str">
        <f>IFERROR($AC130*HDF_Limited_Col!AW130/HDF_Limited_Col!$AH130," ")</f>
        <v xml:space="preserve"> </v>
      </c>
      <c r="AX130" s="26" t="str">
        <f>IFERROR($AC130*HDF_Limited_Col!AX130/HDF_Limited_Col!$AH130," ")</f>
        <v xml:space="preserve"> </v>
      </c>
      <c r="AY130" s="26" t="str">
        <f>IFERROR($AC130*HDF_Limited_Col!AY130/HDF_Limited_Col!$AH130," ")</f>
        <v xml:space="preserve"> </v>
      </c>
      <c r="AZ130" s="26" t="str">
        <f>IFERROR($AC130*HDF_Limited_Col!AZ130/HDF_Limited_Col!$AH130," ")</f>
        <v xml:space="preserve"> </v>
      </c>
      <c r="BA130" s="26" t="str">
        <f>IFERROR($AC130*HDF_Limited_Col!BA130/HDF_Limited_Col!$AH130," ")</f>
        <v xml:space="preserve"> </v>
      </c>
      <c r="BB130" s="26" t="str">
        <f>IFERROR($AC130*HDF_Limited_Col!BB130/HDF_Limited_Col!$AH130," ")</f>
        <v xml:space="preserve"> </v>
      </c>
      <c r="BC130" s="26" t="str">
        <f>IFERROR($AC130*HDF_Limited_Col!BC130/HDF_Limited_Col!$AH130," ")</f>
        <v xml:space="preserve"> </v>
      </c>
      <c r="BD130" s="26" t="str">
        <f>IFERROR($AC130*HDF_Limited_Col!BD130/HDF_Limited_Col!$AH130," ")</f>
        <v xml:space="preserve"> </v>
      </c>
      <c r="BE130" s="26" t="str">
        <f>IFERROR($AC130*HDF_Limited_Col!BE130/HDF_Limited_Col!$AH130," ")</f>
        <v xml:space="preserve"> </v>
      </c>
      <c r="BF130" s="26" t="str">
        <f>IFERROR($AC130*HDF_Limited_Col!BF130/HDF_Limited_Col!$AH130," ")</f>
        <v xml:space="preserve"> </v>
      </c>
      <c r="BG130" s="26" t="str">
        <f>IFERROR($AC130*HDF_Limited_Col!BG130/HDF_Limited_Col!$AH130," ")</f>
        <v xml:space="preserve"> </v>
      </c>
      <c r="BH130" s="26" t="str">
        <f>IFERROR($AC130*HDF_Limited_Col!BH130/HDF_Limited_Col!$AH130," ")</f>
        <v xml:space="preserve"> </v>
      </c>
      <c r="BI130" s="26" t="str">
        <f>IFERROR($AC130*HDF_Limited_Col!BI130/HDF_Limited_Col!$AH130," ")</f>
        <v xml:space="preserve"> </v>
      </c>
      <c r="BJ130" s="26" t="str">
        <f>IFERROR($AC130*HDF_Limited_Col!BJ130/HDF_Limited_Col!$AH130," ")</f>
        <v xml:space="preserve"> </v>
      </c>
      <c r="BK130" s="26" t="str">
        <f>IFERROR($AC130*HDF_Limited_Col!BK130/HDF_Limited_Col!$AH130," ")</f>
        <v xml:space="preserve"> </v>
      </c>
      <c r="BL130" s="26" t="str">
        <f>IFERROR($AC130*HDF_Limited_Col!BL130/HDF_Limited_Col!$AH130," ")</f>
        <v xml:space="preserve"> </v>
      </c>
      <c r="BM130" s="26" t="str">
        <f>IFERROR($AC130*HDF_Limited_Col!BM130/HDF_Limited_Col!$AH130," ")</f>
        <v xml:space="preserve"> </v>
      </c>
      <c r="BN130" s="26" t="str">
        <f>IFERROR($AC130*HDF_Limited_Col!BN130/HDF_Limited_Col!$AH130," ")</f>
        <v xml:space="preserve"> </v>
      </c>
      <c r="BO130" s="26" t="str">
        <f>IFERROR($AC130*HDF_Limited_Col!BO130/HDF_Limited_Col!$AH130," ")</f>
        <v xml:space="preserve"> </v>
      </c>
      <c r="BP130" s="26" t="str">
        <f>IFERROR($AC130*HDF_Limited_Col!BP130/HDF_Limited_Col!$AH130," ")</f>
        <v xml:space="preserve"> </v>
      </c>
      <c r="BQ130" s="26" t="str">
        <f>IFERROR($AC130*HDF_Limited_Col!BQ130/HDF_Limited_Col!$AH130," ")</f>
        <v xml:space="preserve"> </v>
      </c>
      <c r="BR130" s="26" t="str">
        <f>IFERROR($AC130*HDF_Limited_Col!BR130/HDF_Limited_Col!$AH130," ")</f>
        <v xml:space="preserve"> </v>
      </c>
      <c r="BS130" s="26" t="str">
        <f>IFERROR($AC130*HDF_Limited_Col!BS130/HDF_Limited_Col!$AH130," ")</f>
        <v xml:space="preserve"> </v>
      </c>
      <c r="BT130" s="26" t="str">
        <f>IFERROR($AC130*HDF_Limited_Col!BT130/HDF_Limited_Col!$AH130," ")</f>
        <v xml:space="preserve"> </v>
      </c>
      <c r="BU130" s="26" t="str">
        <f>IFERROR($AC130*HDF_Limited_Col!BU130/HDF_Limited_Col!$AH130," ")</f>
        <v xml:space="preserve"> </v>
      </c>
      <c r="BV130" s="26" t="str">
        <f>IFERROR($AC130*HDF_Limited_Col!BV130/HDF_Limited_Col!$AH130," ")</f>
        <v xml:space="preserve"> </v>
      </c>
      <c r="BW130" s="26" t="str">
        <f>IFERROR($AC130*HDF_Limited_Col!BW130/HDF_Limited_Col!$AH130," ")</f>
        <v xml:space="preserve"> </v>
      </c>
      <c r="BX130" s="26" t="str">
        <f>IFERROR($AC130*HDF_Limited_Col!BX130/HDF_Limited_Col!$AH130," ")</f>
        <v xml:space="preserve"> </v>
      </c>
      <c r="BY130" s="26" t="str">
        <f>IFERROR($AC130*HDF_Limited_Col!BY130/HDF_Limited_Col!$AH130," ")</f>
        <v xml:space="preserve"> </v>
      </c>
      <c r="BZ130" s="26" t="str">
        <f>IFERROR($AC130*HDF_Limited_Col!BZ130/HDF_Limited_Col!$AH130," ")</f>
        <v xml:space="preserve"> </v>
      </c>
      <c r="CA130" s="26" t="str">
        <f>IFERROR($AC130*HDF_Limited_Col!CA130/HDF_Limited_Col!$AH130," ")</f>
        <v xml:space="preserve"> </v>
      </c>
      <c r="CB130" s="26" t="str">
        <f>IFERROR($AC130*HDF_Limited_Col!CB130/HDF_Limited_Col!$AH130," ")</f>
        <v xml:space="preserve"> </v>
      </c>
      <c r="CC130" s="26" t="str">
        <f>IFERROR($AC130*HDF_Limited_Col!CC130/HDF_Limited_Col!$AH130," ")</f>
        <v xml:space="preserve"> </v>
      </c>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row>
    <row r="131" spans="1:109">
      <c r="A131" s="26" t="s">
        <v>1277</v>
      </c>
      <c r="B131" s="26" t="s">
        <v>24</v>
      </c>
      <c r="C131" s="155" t="s">
        <v>546</v>
      </c>
      <c r="D131" s="26"/>
      <c r="E131" s="26" t="s">
        <v>1394</v>
      </c>
      <c r="F131" s="26" t="s">
        <v>1650</v>
      </c>
      <c r="G131" s="26" t="s">
        <v>1799</v>
      </c>
      <c r="H131" s="30"/>
      <c r="I131" s="26" t="s">
        <v>735</v>
      </c>
      <c r="J131" s="26" t="s">
        <v>635</v>
      </c>
      <c r="K131" s="26" t="s">
        <v>115</v>
      </c>
      <c r="L131" s="26"/>
      <c r="M131" s="26" t="s">
        <v>785</v>
      </c>
      <c r="N131" s="26">
        <v>21</v>
      </c>
      <c r="O131" s="95">
        <v>2.0436152899784563</v>
      </c>
      <c r="P131" s="95">
        <v>0.38475195896291886</v>
      </c>
      <c r="Q131" s="95">
        <v>0.89664641988858651</v>
      </c>
      <c r="R131" s="95">
        <v>9.5314286185115495</v>
      </c>
      <c r="S131" s="95">
        <v>6.2272310007555047</v>
      </c>
      <c r="T131" s="95">
        <v>16.026743348779551</v>
      </c>
      <c r="U131" s="95">
        <v>0.82408466600090458</v>
      </c>
      <c r="V131" s="95">
        <v>18.101120706015514</v>
      </c>
      <c r="W131" s="95">
        <v>21.097185522564285</v>
      </c>
      <c r="X131" s="95">
        <v>1.039971978848842</v>
      </c>
      <c r="Y131" s="95">
        <v>30.771401324577347</v>
      </c>
      <c r="Z131" s="95">
        <v>106.94418083488347</v>
      </c>
      <c r="AA131" s="26"/>
      <c r="AB131" s="26"/>
      <c r="AC131" s="26">
        <f t="shared" si="3"/>
        <v>175135.60726672548</v>
      </c>
      <c r="AD131" s="26">
        <f>IFERROR($AC131*HDF_Limited_Col!AD131/HDF_Limited_Col!$AH131," ")</f>
        <v>0</v>
      </c>
      <c r="AE131" s="26">
        <f>IFERROR($AC131*HDF_Limited_Col!AE131/HDF_Limited_Col!$AH131," ")</f>
        <v>0</v>
      </c>
      <c r="AF131" s="26">
        <f>IFERROR($AC131*HDF_Limited_Col!AF131/HDF_Limited_Col!$AH131," ")</f>
        <v>0</v>
      </c>
      <c r="AG131" s="26">
        <f>IFERROR($AC131*HDF_Limited_Col!AG131/HDF_Limited_Col!$AH131," ")</f>
        <v>0</v>
      </c>
      <c r="AH131" s="26">
        <f>IFERROR($AC131*HDF_Limited_Col!AH131/HDF_Limited_Col!$AH131," ")</f>
        <v>175135.60726672548</v>
      </c>
      <c r="AI131" s="26">
        <f>IFERROR($AC131*HDF_Limited_Col!AI131/HDF_Limited_Col!$AH131," ")</f>
        <v>0</v>
      </c>
      <c r="AJ131" s="26">
        <f>IFERROR($AC131*HDF_Limited_Col!AJ131/HDF_Limited_Col!$AH131," ")</f>
        <v>14842.000615824194</v>
      </c>
      <c r="AK131" s="26">
        <f>IFERROR($AC131*HDF_Limited_Col!AK131/HDF_Limited_Col!$AH131," ")</f>
        <v>0</v>
      </c>
      <c r="AL131" s="26">
        <f>IFERROR($AC131*HDF_Limited_Col!AL131/HDF_Limited_Col!$AH131," ")</f>
        <v>0</v>
      </c>
      <c r="AM131" s="26">
        <f>IFERROR($AC131*HDF_Limited_Col!AM131/HDF_Limited_Col!$AH131," ")</f>
        <v>0</v>
      </c>
      <c r="AN131" s="26">
        <f>IFERROR($AC131*HDF_Limited_Col!AN131/HDF_Limited_Col!$AH131," ")</f>
        <v>0</v>
      </c>
      <c r="AO131" s="26">
        <f>IFERROR($AC131*HDF_Limited_Col!AO131/HDF_Limited_Col!$AH131," ")</f>
        <v>0</v>
      </c>
      <c r="AP131" s="26">
        <f>IFERROR($AC131*HDF_Limited_Col!AP131/HDF_Limited_Col!$AH131," ")</f>
        <v>0</v>
      </c>
      <c r="AQ131" s="26">
        <f>IFERROR($AC131*HDF_Limited_Col!AQ131/HDF_Limited_Col!$AH131," ")</f>
        <v>0</v>
      </c>
      <c r="AR131" s="26">
        <f>IFERROR($AC131*HDF_Limited_Col!AR131/HDF_Limited_Col!$AH131," ")</f>
        <v>0</v>
      </c>
      <c r="AS131" s="26">
        <f>IFERROR($AC131*HDF_Limited_Col!AS131/HDF_Limited_Col!$AH131," ")</f>
        <v>0</v>
      </c>
      <c r="AT131" s="26">
        <f>IFERROR($AC131*HDF_Limited_Col!AT131/HDF_Limited_Col!$AH131," ")</f>
        <v>0</v>
      </c>
      <c r="AU131" s="26">
        <f>IFERROR($AC131*HDF_Limited_Col!AU131/HDF_Limited_Col!$AH131," ")</f>
        <v>0</v>
      </c>
      <c r="AV131" s="26">
        <f>IFERROR($AC131*HDF_Limited_Col!AV131/HDF_Limited_Col!$AH131," ")</f>
        <v>0</v>
      </c>
      <c r="AW131" s="26">
        <f>IFERROR($AC131*HDF_Limited_Col!AW131/HDF_Limited_Col!$AH131," ")</f>
        <v>0</v>
      </c>
      <c r="AX131" s="26">
        <f>IFERROR($AC131*HDF_Limited_Col!AX131/HDF_Limited_Col!$AH131," ")</f>
        <v>795.53123300817674</v>
      </c>
      <c r="AY131" s="26">
        <f>IFERROR($AC131*HDF_Limited_Col!AY131/HDF_Limited_Col!$AH131," ")</f>
        <v>12942.224536998696</v>
      </c>
      <c r="AZ131" s="26">
        <f>IFERROR($AC131*HDF_Limited_Col!AZ131/HDF_Limited_Col!$AH131," ")</f>
        <v>1246.7280517292324</v>
      </c>
      <c r="BA131" s="26">
        <f>IFERROR($AC131*HDF_Limited_Col!BA131/HDF_Limited_Col!$AH131," ")</f>
        <v>302.77681256281357</v>
      </c>
      <c r="BB131" s="26">
        <f>IFERROR($AC131*HDF_Limited_Col!BB131/HDF_Limited_Col!$AH131," ")</f>
        <v>0</v>
      </c>
      <c r="BC131" s="26">
        <f>IFERROR($AC131*HDF_Limited_Col!BC131/HDF_Limited_Col!$AH131," ")</f>
        <v>5936.8002463296771</v>
      </c>
      <c r="BD131" s="26">
        <f>IFERROR($AC131*HDF_Limited_Col!BD131/HDF_Limited_Col!$AH131," ")</f>
        <v>0</v>
      </c>
      <c r="BE131" s="26">
        <f>IFERROR($AC131*HDF_Limited_Col!BE131/HDF_Limited_Col!$AH131," ")</f>
        <v>0</v>
      </c>
      <c r="BF131" s="26">
        <f>IFERROR($AC131*HDF_Limited_Col!BF131/HDF_Limited_Col!$AH131," ")</f>
        <v>0</v>
      </c>
      <c r="BG131" s="26">
        <f>IFERROR($AC131*HDF_Limited_Col!BG131/HDF_Limited_Col!$AH131," ")</f>
        <v>0</v>
      </c>
      <c r="BH131" s="26">
        <f>IFERROR($AC131*HDF_Limited_Col!BH131/HDF_Limited_Col!$AH131," ")</f>
        <v>10.092560418760451</v>
      </c>
      <c r="BI131" s="26">
        <f>IFERROR($AC131*HDF_Limited_Col!BI131/HDF_Limited_Col!$AH131," ")</f>
        <v>59961.682487929742</v>
      </c>
      <c r="BJ131" s="26">
        <f>IFERROR($AC131*HDF_Limited_Col!BJ131/HDF_Limited_Col!$AH131," ")</f>
        <v>0</v>
      </c>
      <c r="BK131" s="26">
        <f>IFERROR($AC131*HDF_Limited_Col!BK131/HDF_Limited_Col!$AH131," ")</f>
        <v>5996.1682487929738</v>
      </c>
      <c r="BL131" s="26">
        <f>IFERROR($AC131*HDF_Limited_Col!BL131/HDF_Limited_Col!$AH131," ")</f>
        <v>10864.34445078331</v>
      </c>
      <c r="BM131" s="26">
        <f>IFERROR($AC131*HDF_Limited_Col!BM131/HDF_Limited_Col!$AH131," ")</f>
        <v>1341.7168556705069</v>
      </c>
      <c r="BN131" s="26">
        <f>IFERROR($AC131*HDF_Limited_Col!BN131/HDF_Limited_Col!$AH131," ")</f>
        <v>5936.8002463296771</v>
      </c>
      <c r="BO131" s="26">
        <f>IFERROR($AC131*HDF_Limited_Col!BO131/HDF_Limited_Col!$AH131," ")</f>
        <v>949.88803941274841</v>
      </c>
      <c r="BP131" s="26">
        <f>IFERROR($AC131*HDF_Limited_Col!BP131/HDF_Limited_Col!$AH131," ")</f>
        <v>189.97760788254968</v>
      </c>
      <c r="BQ131" s="26">
        <f>IFERROR($AC131*HDF_Limited_Col!BQ131/HDF_Limited_Col!$AH131," ")</f>
        <v>676.79522808158322</v>
      </c>
      <c r="BR131" s="26">
        <f>IFERROR($AC131*HDF_Limited_Col!BR131/HDF_Limited_Col!$AH131," ")</f>
        <v>391.82881625775872</v>
      </c>
      <c r="BS131" s="26">
        <f>IFERROR($AC131*HDF_Limited_Col!BS131/HDF_Limited_Col!$AH131," ")</f>
        <v>59.368002463296776</v>
      </c>
      <c r="BT131" s="26">
        <f>IFERROR($AC131*HDF_Limited_Col!BT131/HDF_Limited_Col!$AH131," ")</f>
        <v>142.48320591191225</v>
      </c>
      <c r="BU131" s="26">
        <f>IFERROR($AC131*HDF_Limited_Col!BU131/HDF_Limited_Col!$AH131," ")</f>
        <v>0</v>
      </c>
      <c r="BV131" s="26">
        <f>IFERROR($AC131*HDF_Limited_Col!BV131/HDF_Limited_Col!$AH131," ")</f>
        <v>89.052003694945157</v>
      </c>
      <c r="BW131" s="26">
        <f>IFERROR($AC131*HDF_Limited_Col!BW131/HDF_Limited_Col!$AH131," ")</f>
        <v>13.654640566558259</v>
      </c>
      <c r="BX131" s="26">
        <f>IFERROR($AC131*HDF_Limited_Col!BX131/HDF_Limited_Col!$AH131," ")</f>
        <v>8.3115203448615471</v>
      </c>
      <c r="BY131" s="26">
        <f>IFERROR($AC131*HDF_Limited_Col!BY131/HDF_Limited_Col!$AH131," ")</f>
        <v>5.9368002463296774</v>
      </c>
      <c r="BZ131" s="26">
        <f>IFERROR($AC131*HDF_Limited_Col!BZ131/HDF_Limited_Col!$AH131," ")</f>
        <v>0</v>
      </c>
      <c r="CA131" s="26">
        <f>IFERROR($AC131*HDF_Limited_Col!CA131/HDF_Limited_Col!$AH131," ")</f>
        <v>0</v>
      </c>
      <c r="CB131" s="26">
        <f>IFERROR($AC131*HDF_Limited_Col!CB131/HDF_Limited_Col!$AH131," ")</f>
        <v>326.52401354813225</v>
      </c>
      <c r="CC131" s="26">
        <f>IFERROR($AC131*HDF_Limited_Col!CC131/HDF_Limited_Col!$AH131," ")</f>
        <v>19.591440812887939</v>
      </c>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row>
    <row r="132" spans="1:109">
      <c r="A132" s="26" t="s">
        <v>842</v>
      </c>
      <c r="B132" s="26" t="s">
        <v>24</v>
      </c>
      <c r="C132" s="155" t="s">
        <v>546</v>
      </c>
      <c r="D132" s="26" t="s">
        <v>1709</v>
      </c>
      <c r="E132" s="26" t="s">
        <v>237</v>
      </c>
      <c r="F132" s="26" t="s">
        <v>29</v>
      </c>
      <c r="G132" s="26" t="s">
        <v>595</v>
      </c>
      <c r="H132" s="30">
        <v>360</v>
      </c>
      <c r="I132" s="26" t="s">
        <v>712</v>
      </c>
      <c r="J132" s="26"/>
      <c r="K132" s="26" t="s">
        <v>913</v>
      </c>
      <c r="L132" s="26"/>
      <c r="M132" s="26" t="s">
        <v>964</v>
      </c>
      <c r="N132" s="26" t="s">
        <v>1084</v>
      </c>
      <c r="O132" s="95">
        <v>25.092495877381264</v>
      </c>
      <c r="P132" s="95">
        <v>0</v>
      </c>
      <c r="Q132" s="95">
        <v>0.40690533855212863</v>
      </c>
      <c r="R132" s="95">
        <v>9.901363238101796</v>
      </c>
      <c r="S132" s="95">
        <v>8.9519174481468298</v>
      </c>
      <c r="T132" s="95">
        <v>6.510485416834058</v>
      </c>
      <c r="U132" s="95">
        <v>0</v>
      </c>
      <c r="V132" s="95">
        <v>2.712702257014191</v>
      </c>
      <c r="W132" s="95">
        <v>10.715173915206053</v>
      </c>
      <c r="X132" s="95">
        <v>0</v>
      </c>
      <c r="Y132" s="95">
        <v>46.115938369241242</v>
      </c>
      <c r="Z132" s="95">
        <v>110.40698186047757</v>
      </c>
      <c r="AA132" s="26"/>
      <c r="AB132" s="26"/>
      <c r="AC132" s="26">
        <f t="shared" si="3"/>
        <v>88950.655934701834</v>
      </c>
      <c r="AD132" s="26" t="str">
        <f>IFERROR($AC132*HDF_Limited_Col!AD132/HDF_Limited_Col!$AH132," ")</f>
        <v xml:space="preserve"> </v>
      </c>
      <c r="AE132" s="26" t="str">
        <f>IFERROR($AC132*HDF_Limited_Col!AE132/HDF_Limited_Col!$AH132," ")</f>
        <v xml:space="preserve"> </v>
      </c>
      <c r="AF132" s="26" t="str">
        <f>IFERROR($AC132*HDF_Limited_Col!AF132/HDF_Limited_Col!$AH132," ")</f>
        <v xml:space="preserve"> </v>
      </c>
      <c r="AG132" s="26" t="str">
        <f>IFERROR($AC132*HDF_Limited_Col!AG132/HDF_Limited_Col!$AH132," ")</f>
        <v xml:space="preserve"> </v>
      </c>
      <c r="AH132" s="26" t="str">
        <f>IFERROR($AC132*HDF_Limited_Col!AH132/HDF_Limited_Col!$AH132," ")</f>
        <v xml:space="preserve"> </v>
      </c>
      <c r="AI132" s="26" t="str">
        <f>IFERROR($AC132*HDF_Limited_Col!AI132/HDF_Limited_Col!$AH132," ")</f>
        <v xml:space="preserve"> </v>
      </c>
      <c r="AJ132" s="26" t="str">
        <f>IFERROR($AC132*HDF_Limited_Col!AJ132/HDF_Limited_Col!$AH132," ")</f>
        <v xml:space="preserve"> </v>
      </c>
      <c r="AK132" s="26" t="str">
        <f>IFERROR($AC132*HDF_Limited_Col!AK132/HDF_Limited_Col!$AH132," ")</f>
        <v xml:space="preserve"> </v>
      </c>
      <c r="AL132" s="26" t="str">
        <f>IFERROR($AC132*HDF_Limited_Col!AL132/HDF_Limited_Col!$AH132," ")</f>
        <v xml:space="preserve"> </v>
      </c>
      <c r="AM132" s="26" t="str">
        <f>IFERROR($AC132*HDF_Limited_Col!AM132/HDF_Limited_Col!$AH132," ")</f>
        <v xml:space="preserve"> </v>
      </c>
      <c r="AN132" s="26" t="str">
        <f>IFERROR($AC132*HDF_Limited_Col!AN132/HDF_Limited_Col!$AH132," ")</f>
        <v xml:space="preserve"> </v>
      </c>
      <c r="AO132" s="26" t="str">
        <f>IFERROR($AC132*HDF_Limited_Col!AO132/HDF_Limited_Col!$AH132," ")</f>
        <v xml:space="preserve"> </v>
      </c>
      <c r="AP132" s="26" t="str">
        <f>IFERROR($AC132*HDF_Limited_Col!AP132/HDF_Limited_Col!$AH132," ")</f>
        <v xml:space="preserve"> </v>
      </c>
      <c r="AQ132" s="26" t="str">
        <f>IFERROR($AC132*HDF_Limited_Col!AQ132/HDF_Limited_Col!$AH132," ")</f>
        <v xml:space="preserve"> </v>
      </c>
      <c r="AR132" s="26" t="str">
        <f>IFERROR($AC132*HDF_Limited_Col!AR132/HDF_Limited_Col!$AH132," ")</f>
        <v xml:space="preserve"> </v>
      </c>
      <c r="AS132" s="26" t="str">
        <f>IFERROR($AC132*HDF_Limited_Col!AS132/HDF_Limited_Col!$AH132," ")</f>
        <v xml:space="preserve"> </v>
      </c>
      <c r="AT132" s="26" t="str">
        <f>IFERROR($AC132*HDF_Limited_Col!AT132/HDF_Limited_Col!$AH132," ")</f>
        <v xml:space="preserve"> </v>
      </c>
      <c r="AU132" s="26" t="str">
        <f>IFERROR($AC132*HDF_Limited_Col!AU132/HDF_Limited_Col!$AH132," ")</f>
        <v xml:space="preserve"> </v>
      </c>
      <c r="AV132" s="26" t="str">
        <f>IFERROR($AC132*HDF_Limited_Col!AV132/HDF_Limited_Col!$AH132," ")</f>
        <v xml:space="preserve"> </v>
      </c>
      <c r="AW132" s="26" t="str">
        <f>IFERROR($AC132*HDF_Limited_Col!AW132/HDF_Limited_Col!$AH132," ")</f>
        <v xml:space="preserve"> </v>
      </c>
      <c r="AX132" s="26" t="str">
        <f>IFERROR($AC132*HDF_Limited_Col!AX132/HDF_Limited_Col!$AH132," ")</f>
        <v xml:space="preserve"> </v>
      </c>
      <c r="AY132" s="26" t="str">
        <f>IFERROR($AC132*HDF_Limited_Col!AY132/HDF_Limited_Col!$AH132," ")</f>
        <v xml:space="preserve"> </v>
      </c>
      <c r="AZ132" s="26" t="str">
        <f>IFERROR($AC132*HDF_Limited_Col!AZ132/HDF_Limited_Col!$AH132," ")</f>
        <v xml:space="preserve"> </v>
      </c>
      <c r="BA132" s="26" t="str">
        <f>IFERROR($AC132*HDF_Limited_Col!BA132/HDF_Limited_Col!$AH132," ")</f>
        <v xml:space="preserve"> </v>
      </c>
      <c r="BB132" s="26" t="str">
        <f>IFERROR($AC132*HDF_Limited_Col!BB132/HDF_Limited_Col!$AH132," ")</f>
        <v xml:space="preserve"> </v>
      </c>
      <c r="BC132" s="26" t="str">
        <f>IFERROR($AC132*HDF_Limited_Col!BC132/HDF_Limited_Col!$AH132," ")</f>
        <v xml:space="preserve"> </v>
      </c>
      <c r="BD132" s="26" t="str">
        <f>IFERROR($AC132*HDF_Limited_Col!BD132/HDF_Limited_Col!$AH132," ")</f>
        <v xml:space="preserve"> </v>
      </c>
      <c r="BE132" s="26" t="str">
        <f>IFERROR($AC132*HDF_Limited_Col!BE132/HDF_Limited_Col!$AH132," ")</f>
        <v xml:space="preserve"> </v>
      </c>
      <c r="BF132" s="26" t="str">
        <f>IFERROR($AC132*HDF_Limited_Col!BF132/HDF_Limited_Col!$AH132," ")</f>
        <v xml:space="preserve"> </v>
      </c>
      <c r="BG132" s="26" t="str">
        <f>IFERROR($AC132*HDF_Limited_Col!BG132/HDF_Limited_Col!$AH132," ")</f>
        <v xml:space="preserve"> </v>
      </c>
      <c r="BH132" s="26" t="str">
        <f>IFERROR($AC132*HDF_Limited_Col!BH132/HDF_Limited_Col!$AH132," ")</f>
        <v xml:space="preserve"> </v>
      </c>
      <c r="BI132" s="26" t="str">
        <f>IFERROR($AC132*HDF_Limited_Col!BI132/HDF_Limited_Col!$AH132," ")</f>
        <v xml:space="preserve"> </v>
      </c>
      <c r="BJ132" s="26" t="str">
        <f>IFERROR($AC132*HDF_Limited_Col!BJ132/HDF_Limited_Col!$AH132," ")</f>
        <v xml:space="preserve"> </v>
      </c>
      <c r="BK132" s="26" t="str">
        <f>IFERROR($AC132*HDF_Limited_Col!BK132/HDF_Limited_Col!$AH132," ")</f>
        <v xml:space="preserve"> </v>
      </c>
      <c r="BL132" s="26" t="str">
        <f>IFERROR($AC132*HDF_Limited_Col!BL132/HDF_Limited_Col!$AH132," ")</f>
        <v xml:space="preserve"> </v>
      </c>
      <c r="BM132" s="26" t="str">
        <f>IFERROR($AC132*HDF_Limited_Col!BM132/HDF_Limited_Col!$AH132," ")</f>
        <v xml:space="preserve"> </v>
      </c>
      <c r="BN132" s="26" t="str">
        <f>IFERROR($AC132*HDF_Limited_Col!BN132/HDF_Limited_Col!$AH132," ")</f>
        <v xml:space="preserve"> </v>
      </c>
      <c r="BO132" s="26" t="str">
        <f>IFERROR($AC132*HDF_Limited_Col!BO132/HDF_Limited_Col!$AH132," ")</f>
        <v xml:space="preserve"> </v>
      </c>
      <c r="BP132" s="26" t="str">
        <f>IFERROR($AC132*HDF_Limited_Col!BP132/HDF_Limited_Col!$AH132," ")</f>
        <v xml:space="preserve"> </v>
      </c>
      <c r="BQ132" s="26" t="str">
        <f>IFERROR($AC132*HDF_Limited_Col!BQ132/HDF_Limited_Col!$AH132," ")</f>
        <v xml:space="preserve"> </v>
      </c>
      <c r="BR132" s="26" t="str">
        <f>IFERROR($AC132*HDF_Limited_Col!BR132/HDF_Limited_Col!$AH132," ")</f>
        <v xml:space="preserve"> </v>
      </c>
      <c r="BS132" s="26" t="str">
        <f>IFERROR($AC132*HDF_Limited_Col!BS132/HDF_Limited_Col!$AH132," ")</f>
        <v xml:space="preserve"> </v>
      </c>
      <c r="BT132" s="26" t="str">
        <f>IFERROR($AC132*HDF_Limited_Col!BT132/HDF_Limited_Col!$AH132," ")</f>
        <v xml:space="preserve"> </v>
      </c>
      <c r="BU132" s="26" t="str">
        <f>IFERROR($AC132*HDF_Limited_Col!BU132/HDF_Limited_Col!$AH132," ")</f>
        <v xml:space="preserve"> </v>
      </c>
      <c r="BV132" s="26" t="str">
        <f>IFERROR($AC132*HDF_Limited_Col!BV132/HDF_Limited_Col!$AH132," ")</f>
        <v xml:space="preserve"> </v>
      </c>
      <c r="BW132" s="26" t="str">
        <f>IFERROR($AC132*HDF_Limited_Col!BW132/HDF_Limited_Col!$AH132," ")</f>
        <v xml:space="preserve"> </v>
      </c>
      <c r="BX132" s="26" t="str">
        <f>IFERROR($AC132*HDF_Limited_Col!BX132/HDF_Limited_Col!$AH132," ")</f>
        <v xml:space="preserve"> </v>
      </c>
      <c r="BY132" s="26" t="str">
        <f>IFERROR($AC132*HDF_Limited_Col!BY132/HDF_Limited_Col!$AH132," ")</f>
        <v xml:space="preserve"> </v>
      </c>
      <c r="BZ132" s="26" t="str">
        <f>IFERROR($AC132*HDF_Limited_Col!BZ132/HDF_Limited_Col!$AH132," ")</f>
        <v xml:space="preserve"> </v>
      </c>
      <c r="CA132" s="26" t="str">
        <f>IFERROR($AC132*HDF_Limited_Col!CA132/HDF_Limited_Col!$AH132," ")</f>
        <v xml:space="preserve"> </v>
      </c>
      <c r="CB132" s="26" t="str">
        <f>IFERROR($AC132*HDF_Limited_Col!CB132/HDF_Limited_Col!$AH132," ")</f>
        <v xml:space="preserve"> </v>
      </c>
      <c r="CC132" s="26" t="str">
        <f>IFERROR($AC132*HDF_Limited_Col!CC132/HDF_Limited_Col!$AH132," ")</f>
        <v xml:space="preserve"> </v>
      </c>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row>
    <row r="133" spans="1:109">
      <c r="A133" s="26" t="s">
        <v>1655</v>
      </c>
      <c r="B133" s="26" t="s">
        <v>24</v>
      </c>
      <c r="C133" s="155" t="s">
        <v>546</v>
      </c>
      <c r="D133" s="26" t="s">
        <v>119</v>
      </c>
      <c r="E133" s="26" t="s">
        <v>237</v>
      </c>
      <c r="F133" s="26" t="s">
        <v>163</v>
      </c>
      <c r="G133" s="26" t="s">
        <v>595</v>
      </c>
      <c r="H133" s="30">
        <v>355</v>
      </c>
      <c r="I133" s="26" t="s">
        <v>712</v>
      </c>
      <c r="J133" s="26"/>
      <c r="K133" s="26" t="s">
        <v>654</v>
      </c>
      <c r="L133" s="26"/>
      <c r="M133" s="26" t="s">
        <v>644</v>
      </c>
      <c r="N133" s="26" t="s">
        <v>1467</v>
      </c>
      <c r="O133" s="95">
        <v>4.5544553491783173</v>
      </c>
      <c r="P133" s="95">
        <v>5.4745473389113108</v>
      </c>
      <c r="Q133" s="95">
        <v>1.3916391344711523</v>
      </c>
      <c r="R133" s="95">
        <v>15.181517830594391</v>
      </c>
      <c r="S133" s="95">
        <v>3.0248024162472156</v>
      </c>
      <c r="T133" s="95">
        <v>9.2584256466882469</v>
      </c>
      <c r="U133" s="95">
        <v>14.031402843428149</v>
      </c>
      <c r="V133" s="95">
        <v>5.210020891863075</v>
      </c>
      <c r="W133" s="95">
        <v>21.047104265142224</v>
      </c>
      <c r="X133" s="95">
        <v>1.3226322352411779</v>
      </c>
      <c r="Y133" s="95">
        <v>25.187518218940692</v>
      </c>
      <c r="Z133" s="95">
        <v>105.68406617070595</v>
      </c>
      <c r="AA133" s="26"/>
      <c r="AB133" s="26"/>
      <c r="AC133" s="26">
        <f t="shared" si="3"/>
        <v>174719.86406619701</v>
      </c>
      <c r="AD133" s="26" t="str">
        <f>IFERROR($AC133*HDF_Limited_Col!AD133/HDF_Limited_Col!$AH133," ")</f>
        <v xml:space="preserve"> </v>
      </c>
      <c r="AE133" s="26" t="str">
        <f>IFERROR($AC133*HDF_Limited_Col!AE133/HDF_Limited_Col!$AH133," ")</f>
        <v xml:space="preserve"> </v>
      </c>
      <c r="AF133" s="26" t="str">
        <f>IFERROR($AC133*HDF_Limited_Col!AF133/HDF_Limited_Col!$AH133," ")</f>
        <v xml:space="preserve"> </v>
      </c>
      <c r="AG133" s="26" t="str">
        <f>IFERROR($AC133*HDF_Limited_Col!AG133/HDF_Limited_Col!$AH133," ")</f>
        <v xml:space="preserve"> </v>
      </c>
      <c r="AH133" s="26" t="str">
        <f>IFERROR($AC133*HDF_Limited_Col!AH133/HDF_Limited_Col!$AH133," ")</f>
        <v xml:space="preserve"> </v>
      </c>
      <c r="AI133" s="26" t="str">
        <f>IFERROR($AC133*HDF_Limited_Col!AI133/HDF_Limited_Col!$AH133," ")</f>
        <v xml:space="preserve"> </v>
      </c>
      <c r="AJ133" s="26" t="str">
        <f>IFERROR($AC133*HDF_Limited_Col!AJ133/HDF_Limited_Col!$AH133," ")</f>
        <v xml:space="preserve"> </v>
      </c>
      <c r="AK133" s="26" t="str">
        <f>IFERROR($AC133*HDF_Limited_Col!AK133/HDF_Limited_Col!$AH133," ")</f>
        <v xml:space="preserve"> </v>
      </c>
      <c r="AL133" s="26" t="str">
        <f>IFERROR($AC133*HDF_Limited_Col!AL133/HDF_Limited_Col!$AH133," ")</f>
        <v xml:space="preserve"> </v>
      </c>
      <c r="AM133" s="26" t="str">
        <f>IFERROR($AC133*HDF_Limited_Col!AM133/HDF_Limited_Col!$AH133," ")</f>
        <v xml:space="preserve"> </v>
      </c>
      <c r="AN133" s="26" t="str">
        <f>IFERROR($AC133*HDF_Limited_Col!AN133/HDF_Limited_Col!$AH133," ")</f>
        <v xml:space="preserve"> </v>
      </c>
      <c r="AO133" s="26" t="str">
        <f>IFERROR($AC133*HDF_Limited_Col!AO133/HDF_Limited_Col!$AH133," ")</f>
        <v xml:space="preserve"> </v>
      </c>
      <c r="AP133" s="26" t="str">
        <f>IFERROR($AC133*HDF_Limited_Col!AP133/HDF_Limited_Col!$AH133," ")</f>
        <v xml:space="preserve"> </v>
      </c>
      <c r="AQ133" s="26" t="str">
        <f>IFERROR($AC133*HDF_Limited_Col!AQ133/HDF_Limited_Col!$AH133," ")</f>
        <v xml:space="preserve"> </v>
      </c>
      <c r="AR133" s="26" t="str">
        <f>IFERROR($AC133*HDF_Limited_Col!AR133/HDF_Limited_Col!$AH133," ")</f>
        <v xml:space="preserve"> </v>
      </c>
      <c r="AS133" s="26" t="str">
        <f>IFERROR($AC133*HDF_Limited_Col!AS133/HDF_Limited_Col!$AH133," ")</f>
        <v xml:space="preserve"> </v>
      </c>
      <c r="AT133" s="26" t="str">
        <f>IFERROR($AC133*HDF_Limited_Col!AT133/HDF_Limited_Col!$AH133," ")</f>
        <v xml:space="preserve"> </v>
      </c>
      <c r="AU133" s="26" t="str">
        <f>IFERROR($AC133*HDF_Limited_Col!AU133/HDF_Limited_Col!$AH133," ")</f>
        <v xml:space="preserve"> </v>
      </c>
      <c r="AV133" s="26" t="str">
        <f>IFERROR($AC133*HDF_Limited_Col!AV133/HDF_Limited_Col!$AH133," ")</f>
        <v xml:space="preserve"> </v>
      </c>
      <c r="AW133" s="26" t="str">
        <f>IFERROR($AC133*HDF_Limited_Col!AW133/HDF_Limited_Col!$AH133," ")</f>
        <v xml:space="preserve"> </v>
      </c>
      <c r="AX133" s="26" t="str">
        <f>IFERROR($AC133*HDF_Limited_Col!AX133/HDF_Limited_Col!$AH133," ")</f>
        <v xml:space="preserve"> </v>
      </c>
      <c r="AY133" s="26" t="str">
        <f>IFERROR($AC133*HDF_Limited_Col!AY133/HDF_Limited_Col!$AH133," ")</f>
        <v xml:space="preserve"> </v>
      </c>
      <c r="AZ133" s="26" t="str">
        <f>IFERROR($AC133*HDF_Limited_Col!AZ133/HDF_Limited_Col!$AH133," ")</f>
        <v xml:space="preserve"> </v>
      </c>
      <c r="BA133" s="26" t="str">
        <f>IFERROR($AC133*HDF_Limited_Col!BA133/HDF_Limited_Col!$AH133," ")</f>
        <v xml:space="preserve"> </v>
      </c>
      <c r="BB133" s="26" t="str">
        <f>IFERROR($AC133*HDF_Limited_Col!BB133/HDF_Limited_Col!$AH133," ")</f>
        <v xml:space="preserve"> </v>
      </c>
      <c r="BC133" s="26" t="str">
        <f>IFERROR($AC133*HDF_Limited_Col!BC133/HDF_Limited_Col!$AH133," ")</f>
        <v xml:space="preserve"> </v>
      </c>
      <c r="BD133" s="26" t="str">
        <f>IFERROR($AC133*HDF_Limited_Col!BD133/HDF_Limited_Col!$AH133," ")</f>
        <v xml:space="preserve"> </v>
      </c>
      <c r="BE133" s="26" t="str">
        <f>IFERROR($AC133*HDF_Limited_Col!BE133/HDF_Limited_Col!$AH133," ")</f>
        <v xml:space="preserve"> </v>
      </c>
      <c r="BF133" s="26" t="str">
        <f>IFERROR($AC133*HDF_Limited_Col!BF133/HDF_Limited_Col!$AH133," ")</f>
        <v xml:space="preserve"> </v>
      </c>
      <c r="BG133" s="26" t="str">
        <f>IFERROR($AC133*HDF_Limited_Col!BG133/HDF_Limited_Col!$AH133," ")</f>
        <v xml:space="preserve"> </v>
      </c>
      <c r="BH133" s="26" t="str">
        <f>IFERROR($AC133*HDF_Limited_Col!BH133/HDF_Limited_Col!$AH133," ")</f>
        <v xml:space="preserve"> </v>
      </c>
      <c r="BI133" s="26" t="str">
        <f>IFERROR($AC133*HDF_Limited_Col!BI133/HDF_Limited_Col!$AH133," ")</f>
        <v xml:space="preserve"> </v>
      </c>
      <c r="BJ133" s="26" t="str">
        <f>IFERROR($AC133*HDF_Limited_Col!BJ133/HDF_Limited_Col!$AH133," ")</f>
        <v xml:space="preserve"> </v>
      </c>
      <c r="BK133" s="26" t="str">
        <f>IFERROR($AC133*HDF_Limited_Col!BK133/HDF_Limited_Col!$AH133," ")</f>
        <v xml:space="preserve"> </v>
      </c>
      <c r="BL133" s="26" t="str">
        <f>IFERROR($AC133*HDF_Limited_Col!BL133/HDF_Limited_Col!$AH133," ")</f>
        <v xml:space="preserve"> </v>
      </c>
      <c r="BM133" s="26" t="str">
        <f>IFERROR($AC133*HDF_Limited_Col!BM133/HDF_Limited_Col!$AH133," ")</f>
        <v xml:space="preserve"> </v>
      </c>
      <c r="BN133" s="26" t="str">
        <f>IFERROR($AC133*HDF_Limited_Col!BN133/HDF_Limited_Col!$AH133," ")</f>
        <v xml:space="preserve"> </v>
      </c>
      <c r="BO133" s="26" t="str">
        <f>IFERROR($AC133*HDF_Limited_Col!BO133/HDF_Limited_Col!$AH133," ")</f>
        <v xml:space="preserve"> </v>
      </c>
      <c r="BP133" s="26" t="str">
        <f>IFERROR($AC133*HDF_Limited_Col!BP133/HDF_Limited_Col!$AH133," ")</f>
        <v xml:space="preserve"> </v>
      </c>
      <c r="BQ133" s="26" t="str">
        <f>IFERROR($AC133*HDF_Limited_Col!BQ133/HDF_Limited_Col!$AH133," ")</f>
        <v xml:space="preserve"> </v>
      </c>
      <c r="BR133" s="26" t="str">
        <f>IFERROR($AC133*HDF_Limited_Col!BR133/HDF_Limited_Col!$AH133," ")</f>
        <v xml:space="preserve"> </v>
      </c>
      <c r="BS133" s="26" t="str">
        <f>IFERROR($AC133*HDF_Limited_Col!BS133/HDF_Limited_Col!$AH133," ")</f>
        <v xml:space="preserve"> </v>
      </c>
      <c r="BT133" s="26" t="str">
        <f>IFERROR($AC133*HDF_Limited_Col!BT133/HDF_Limited_Col!$AH133," ")</f>
        <v xml:space="preserve"> </v>
      </c>
      <c r="BU133" s="26" t="str">
        <f>IFERROR($AC133*HDF_Limited_Col!BU133/HDF_Limited_Col!$AH133," ")</f>
        <v xml:space="preserve"> </v>
      </c>
      <c r="BV133" s="26" t="str">
        <f>IFERROR($AC133*HDF_Limited_Col!BV133/HDF_Limited_Col!$AH133," ")</f>
        <v xml:space="preserve"> </v>
      </c>
      <c r="BW133" s="26" t="str">
        <f>IFERROR($AC133*HDF_Limited_Col!BW133/HDF_Limited_Col!$AH133," ")</f>
        <v xml:space="preserve"> </v>
      </c>
      <c r="BX133" s="26" t="str">
        <f>IFERROR($AC133*HDF_Limited_Col!BX133/HDF_Limited_Col!$AH133," ")</f>
        <v xml:space="preserve"> </v>
      </c>
      <c r="BY133" s="26" t="str">
        <f>IFERROR($AC133*HDF_Limited_Col!BY133/HDF_Limited_Col!$AH133," ")</f>
        <v xml:space="preserve"> </v>
      </c>
      <c r="BZ133" s="26" t="str">
        <f>IFERROR($AC133*HDF_Limited_Col!BZ133/HDF_Limited_Col!$AH133," ")</f>
        <v xml:space="preserve"> </v>
      </c>
      <c r="CA133" s="26" t="str">
        <f>IFERROR($AC133*HDF_Limited_Col!CA133/HDF_Limited_Col!$AH133," ")</f>
        <v xml:space="preserve"> </v>
      </c>
      <c r="CB133" s="26" t="str">
        <f>IFERROR($AC133*HDF_Limited_Col!CB133/HDF_Limited_Col!$AH133," ")</f>
        <v xml:space="preserve"> </v>
      </c>
      <c r="CC133" s="26" t="str">
        <f>IFERROR($AC133*HDF_Limited_Col!CC133/HDF_Limited_Col!$AH133," ")</f>
        <v xml:space="preserve"> </v>
      </c>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row>
    <row r="134" spans="1:109">
      <c r="A134" s="26" t="s">
        <v>1655</v>
      </c>
      <c r="B134" s="26" t="s">
        <v>24</v>
      </c>
      <c r="C134" s="155" t="s">
        <v>546</v>
      </c>
      <c r="D134" s="26" t="s">
        <v>119</v>
      </c>
      <c r="E134" s="26" t="s">
        <v>237</v>
      </c>
      <c r="F134" s="26" t="s">
        <v>163</v>
      </c>
      <c r="G134" s="26" t="s">
        <v>595</v>
      </c>
      <c r="H134" s="30">
        <v>355</v>
      </c>
      <c r="I134" s="26" t="s">
        <v>712</v>
      </c>
      <c r="J134" s="26"/>
      <c r="K134" s="26" t="s">
        <v>654</v>
      </c>
      <c r="L134" s="26"/>
      <c r="M134" s="26" t="s">
        <v>645</v>
      </c>
      <c r="N134" s="26" t="s">
        <v>1467</v>
      </c>
      <c r="O134" s="95">
        <v>4.7279059685393605</v>
      </c>
      <c r="P134" s="95">
        <v>4.7739196519314708</v>
      </c>
      <c r="Q134" s="95">
        <v>1.7370165480521738</v>
      </c>
      <c r="R134" s="95">
        <v>15.069481310916208</v>
      </c>
      <c r="S134" s="95">
        <v>2.9103654745509924</v>
      </c>
      <c r="T134" s="95">
        <v>9.3637845702944986</v>
      </c>
      <c r="U134" s="95">
        <v>14.609344476995101</v>
      </c>
      <c r="V134" s="95">
        <v>5.222553065004548</v>
      </c>
      <c r="W134" s="95">
        <v>20.476089109489198</v>
      </c>
      <c r="X134" s="95">
        <v>2.0476089109489197</v>
      </c>
      <c r="Y134" s="95">
        <v>24.617320614779146</v>
      </c>
      <c r="Z134" s="95">
        <v>105.55538970150162</v>
      </c>
      <c r="AA134" s="26"/>
      <c r="AB134" s="26"/>
      <c r="AC134" s="26">
        <f t="shared" si="3"/>
        <v>169979.65424357224</v>
      </c>
      <c r="AD134" s="26" t="str">
        <f>IFERROR($AC134*HDF_Limited_Col!AD134/HDF_Limited_Col!$AH134," ")</f>
        <v xml:space="preserve"> </v>
      </c>
      <c r="AE134" s="26" t="str">
        <f>IFERROR($AC134*HDF_Limited_Col!AE134/HDF_Limited_Col!$AH134," ")</f>
        <v xml:space="preserve"> </v>
      </c>
      <c r="AF134" s="26" t="str">
        <f>IFERROR($AC134*HDF_Limited_Col!AF134/HDF_Limited_Col!$AH134," ")</f>
        <v xml:space="preserve"> </v>
      </c>
      <c r="AG134" s="26" t="str">
        <f>IFERROR($AC134*HDF_Limited_Col!AG134/HDF_Limited_Col!$AH134," ")</f>
        <v xml:space="preserve"> </v>
      </c>
      <c r="AH134" s="26" t="str">
        <f>IFERROR($AC134*HDF_Limited_Col!AH134/HDF_Limited_Col!$AH134," ")</f>
        <v xml:space="preserve"> </v>
      </c>
      <c r="AI134" s="26" t="str">
        <f>IFERROR($AC134*HDF_Limited_Col!AI134/HDF_Limited_Col!$AH134," ")</f>
        <v xml:space="preserve"> </v>
      </c>
      <c r="AJ134" s="26" t="str">
        <f>IFERROR($AC134*HDF_Limited_Col!AJ134/HDF_Limited_Col!$AH134," ")</f>
        <v xml:space="preserve"> </v>
      </c>
      <c r="AK134" s="26" t="str">
        <f>IFERROR($AC134*HDF_Limited_Col!AK134/HDF_Limited_Col!$AH134," ")</f>
        <v xml:space="preserve"> </v>
      </c>
      <c r="AL134" s="26" t="str">
        <f>IFERROR($AC134*HDF_Limited_Col!AL134/HDF_Limited_Col!$AH134," ")</f>
        <v xml:space="preserve"> </v>
      </c>
      <c r="AM134" s="26" t="str">
        <f>IFERROR($AC134*HDF_Limited_Col!AM134/HDF_Limited_Col!$AH134," ")</f>
        <v xml:space="preserve"> </v>
      </c>
      <c r="AN134" s="26" t="str">
        <f>IFERROR($AC134*HDF_Limited_Col!AN134/HDF_Limited_Col!$AH134," ")</f>
        <v xml:space="preserve"> </v>
      </c>
      <c r="AO134" s="26" t="str">
        <f>IFERROR($AC134*HDF_Limited_Col!AO134/HDF_Limited_Col!$AH134," ")</f>
        <v xml:space="preserve"> </v>
      </c>
      <c r="AP134" s="26" t="str">
        <f>IFERROR($AC134*HDF_Limited_Col!AP134/HDF_Limited_Col!$AH134," ")</f>
        <v xml:space="preserve"> </v>
      </c>
      <c r="AQ134" s="26" t="str">
        <f>IFERROR($AC134*HDF_Limited_Col!AQ134/HDF_Limited_Col!$AH134," ")</f>
        <v xml:space="preserve"> </v>
      </c>
      <c r="AR134" s="26" t="str">
        <f>IFERROR($AC134*HDF_Limited_Col!AR134/HDF_Limited_Col!$AH134," ")</f>
        <v xml:space="preserve"> </v>
      </c>
      <c r="AS134" s="26" t="str">
        <f>IFERROR($AC134*HDF_Limited_Col!AS134/HDF_Limited_Col!$AH134," ")</f>
        <v xml:space="preserve"> </v>
      </c>
      <c r="AT134" s="26" t="str">
        <f>IFERROR($AC134*HDF_Limited_Col!AT134/HDF_Limited_Col!$AH134," ")</f>
        <v xml:space="preserve"> </v>
      </c>
      <c r="AU134" s="26" t="str">
        <f>IFERROR($AC134*HDF_Limited_Col!AU134/HDF_Limited_Col!$AH134," ")</f>
        <v xml:space="preserve"> </v>
      </c>
      <c r="AV134" s="26" t="str">
        <f>IFERROR($AC134*HDF_Limited_Col!AV134/HDF_Limited_Col!$AH134," ")</f>
        <v xml:space="preserve"> </v>
      </c>
      <c r="AW134" s="26" t="str">
        <f>IFERROR($AC134*HDF_Limited_Col!AW134/HDF_Limited_Col!$AH134," ")</f>
        <v xml:space="preserve"> </v>
      </c>
      <c r="AX134" s="26" t="str">
        <f>IFERROR($AC134*HDF_Limited_Col!AX134/HDF_Limited_Col!$AH134," ")</f>
        <v xml:space="preserve"> </v>
      </c>
      <c r="AY134" s="26" t="str">
        <f>IFERROR($AC134*HDF_Limited_Col!AY134/HDF_Limited_Col!$AH134," ")</f>
        <v xml:space="preserve"> </v>
      </c>
      <c r="AZ134" s="26" t="str">
        <f>IFERROR($AC134*HDF_Limited_Col!AZ134/HDF_Limited_Col!$AH134," ")</f>
        <v xml:space="preserve"> </v>
      </c>
      <c r="BA134" s="26" t="str">
        <f>IFERROR($AC134*HDF_Limited_Col!BA134/HDF_Limited_Col!$AH134," ")</f>
        <v xml:space="preserve"> </v>
      </c>
      <c r="BB134" s="26" t="str">
        <f>IFERROR($AC134*HDF_Limited_Col!BB134/HDF_Limited_Col!$AH134," ")</f>
        <v xml:space="preserve"> </v>
      </c>
      <c r="BC134" s="26" t="str">
        <f>IFERROR($AC134*HDF_Limited_Col!BC134/HDF_Limited_Col!$AH134," ")</f>
        <v xml:space="preserve"> </v>
      </c>
      <c r="BD134" s="26" t="str">
        <f>IFERROR($AC134*HDF_Limited_Col!BD134/HDF_Limited_Col!$AH134," ")</f>
        <v xml:space="preserve"> </v>
      </c>
      <c r="BE134" s="26" t="str">
        <f>IFERROR($AC134*HDF_Limited_Col!BE134/HDF_Limited_Col!$AH134," ")</f>
        <v xml:space="preserve"> </v>
      </c>
      <c r="BF134" s="26" t="str">
        <f>IFERROR($AC134*HDF_Limited_Col!BF134/HDF_Limited_Col!$AH134," ")</f>
        <v xml:space="preserve"> </v>
      </c>
      <c r="BG134" s="26" t="str">
        <f>IFERROR($AC134*HDF_Limited_Col!BG134/HDF_Limited_Col!$AH134," ")</f>
        <v xml:space="preserve"> </v>
      </c>
      <c r="BH134" s="26" t="str">
        <f>IFERROR($AC134*HDF_Limited_Col!BH134/HDF_Limited_Col!$AH134," ")</f>
        <v xml:space="preserve"> </v>
      </c>
      <c r="BI134" s="26" t="str">
        <f>IFERROR($AC134*HDF_Limited_Col!BI134/HDF_Limited_Col!$AH134," ")</f>
        <v xml:space="preserve"> </v>
      </c>
      <c r="BJ134" s="26" t="str">
        <f>IFERROR($AC134*HDF_Limited_Col!BJ134/HDF_Limited_Col!$AH134," ")</f>
        <v xml:space="preserve"> </v>
      </c>
      <c r="BK134" s="26" t="str">
        <f>IFERROR($AC134*HDF_Limited_Col!BK134/HDF_Limited_Col!$AH134," ")</f>
        <v xml:space="preserve"> </v>
      </c>
      <c r="BL134" s="26" t="str">
        <f>IFERROR($AC134*HDF_Limited_Col!BL134/HDF_Limited_Col!$AH134," ")</f>
        <v xml:space="preserve"> </v>
      </c>
      <c r="BM134" s="26" t="str">
        <f>IFERROR($AC134*HDF_Limited_Col!BM134/HDF_Limited_Col!$AH134," ")</f>
        <v xml:space="preserve"> </v>
      </c>
      <c r="BN134" s="26" t="str">
        <f>IFERROR($AC134*HDF_Limited_Col!BN134/HDF_Limited_Col!$AH134," ")</f>
        <v xml:space="preserve"> </v>
      </c>
      <c r="BO134" s="26" t="str">
        <f>IFERROR($AC134*HDF_Limited_Col!BO134/HDF_Limited_Col!$AH134," ")</f>
        <v xml:space="preserve"> </v>
      </c>
      <c r="BP134" s="26" t="str">
        <f>IFERROR($AC134*HDF_Limited_Col!BP134/HDF_Limited_Col!$AH134," ")</f>
        <v xml:space="preserve"> </v>
      </c>
      <c r="BQ134" s="26" t="str">
        <f>IFERROR($AC134*HDF_Limited_Col!BQ134/HDF_Limited_Col!$AH134," ")</f>
        <v xml:space="preserve"> </v>
      </c>
      <c r="BR134" s="26" t="str">
        <f>IFERROR($AC134*HDF_Limited_Col!BR134/HDF_Limited_Col!$AH134," ")</f>
        <v xml:space="preserve"> </v>
      </c>
      <c r="BS134" s="26" t="str">
        <f>IFERROR($AC134*HDF_Limited_Col!BS134/HDF_Limited_Col!$AH134," ")</f>
        <v xml:space="preserve"> </v>
      </c>
      <c r="BT134" s="26" t="str">
        <f>IFERROR($AC134*HDF_Limited_Col!BT134/HDF_Limited_Col!$AH134," ")</f>
        <v xml:space="preserve"> </v>
      </c>
      <c r="BU134" s="26" t="str">
        <f>IFERROR($AC134*HDF_Limited_Col!BU134/HDF_Limited_Col!$AH134," ")</f>
        <v xml:space="preserve"> </v>
      </c>
      <c r="BV134" s="26" t="str">
        <f>IFERROR($AC134*HDF_Limited_Col!BV134/HDF_Limited_Col!$AH134," ")</f>
        <v xml:space="preserve"> </v>
      </c>
      <c r="BW134" s="26" t="str">
        <f>IFERROR($AC134*HDF_Limited_Col!BW134/HDF_Limited_Col!$AH134," ")</f>
        <v xml:space="preserve"> </v>
      </c>
      <c r="BX134" s="26" t="str">
        <f>IFERROR($AC134*HDF_Limited_Col!BX134/HDF_Limited_Col!$AH134," ")</f>
        <v xml:space="preserve"> </v>
      </c>
      <c r="BY134" s="26" t="str">
        <f>IFERROR($AC134*HDF_Limited_Col!BY134/HDF_Limited_Col!$AH134," ")</f>
        <v xml:space="preserve"> </v>
      </c>
      <c r="BZ134" s="26" t="str">
        <f>IFERROR($AC134*HDF_Limited_Col!BZ134/HDF_Limited_Col!$AH134," ")</f>
        <v xml:space="preserve"> </v>
      </c>
      <c r="CA134" s="26" t="str">
        <f>IFERROR($AC134*HDF_Limited_Col!CA134/HDF_Limited_Col!$AH134," ")</f>
        <v xml:space="preserve"> </v>
      </c>
      <c r="CB134" s="26" t="str">
        <f>IFERROR($AC134*HDF_Limited_Col!CB134/HDF_Limited_Col!$AH134," ")</f>
        <v xml:space="preserve"> </v>
      </c>
      <c r="CC134" s="26" t="str">
        <f>IFERROR($AC134*HDF_Limited_Col!CC134/HDF_Limited_Col!$AH134," ")</f>
        <v xml:space="preserve"> </v>
      </c>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row>
    <row r="135" spans="1:109">
      <c r="A135" s="26" t="s">
        <v>1655</v>
      </c>
      <c r="B135" s="26" t="s">
        <v>24</v>
      </c>
      <c r="C135" s="155" t="s">
        <v>546</v>
      </c>
      <c r="D135" s="26" t="s">
        <v>119</v>
      </c>
      <c r="E135" s="26" t="s">
        <v>237</v>
      </c>
      <c r="F135" s="26" t="s">
        <v>163</v>
      </c>
      <c r="G135" s="26" t="s">
        <v>595</v>
      </c>
      <c r="H135" s="30">
        <v>355</v>
      </c>
      <c r="I135" s="26" t="s">
        <v>712</v>
      </c>
      <c r="J135" s="26" t="s">
        <v>712</v>
      </c>
      <c r="K135" s="26" t="s">
        <v>654</v>
      </c>
      <c r="L135" s="26" t="s">
        <v>653</v>
      </c>
      <c r="M135" s="26" t="s">
        <v>646</v>
      </c>
      <c r="N135" s="26" t="s">
        <v>1467</v>
      </c>
      <c r="O135" s="95">
        <v>4.2334500217001425</v>
      </c>
      <c r="P135" s="95">
        <v>4.8713671482576979</v>
      </c>
      <c r="Q135" s="95">
        <v>1.4498116512671719</v>
      </c>
      <c r="R135" s="95">
        <v>13.918191852164853</v>
      </c>
      <c r="S135" s="95">
        <v>3.0736007006864048</v>
      </c>
      <c r="T135" s="95">
        <v>8.9888322378564656</v>
      </c>
      <c r="U135" s="95">
        <v>15.541980901584084</v>
      </c>
      <c r="V135" s="95">
        <v>5.7876481118585508</v>
      </c>
      <c r="W135" s="95">
        <v>20.413348049841783</v>
      </c>
      <c r="X135" s="95">
        <v>2.4124865877085742</v>
      </c>
      <c r="Y135" s="95">
        <v>24.936760401795357</v>
      </c>
      <c r="Z135" s="95">
        <v>105.62747766472108</v>
      </c>
      <c r="AA135" s="26"/>
      <c r="AB135" s="26"/>
      <c r="AC135" s="26">
        <f t="shared" si="3"/>
        <v>169458.81730206855</v>
      </c>
      <c r="AD135" s="26" t="str">
        <f>IFERROR($AC135*HDF_Limited_Col!AD135/HDF_Limited_Col!$AH135," ")</f>
        <v xml:space="preserve"> </v>
      </c>
      <c r="AE135" s="26" t="str">
        <f>IFERROR($AC135*HDF_Limited_Col!AE135/HDF_Limited_Col!$AH135," ")</f>
        <v xml:space="preserve"> </v>
      </c>
      <c r="AF135" s="26" t="str">
        <f>IFERROR($AC135*HDF_Limited_Col!AF135/HDF_Limited_Col!$AH135," ")</f>
        <v xml:space="preserve"> </v>
      </c>
      <c r="AG135" s="26" t="str">
        <f>IFERROR($AC135*HDF_Limited_Col!AG135/HDF_Limited_Col!$AH135," ")</f>
        <v xml:space="preserve"> </v>
      </c>
      <c r="AH135" s="26" t="str">
        <f>IFERROR($AC135*HDF_Limited_Col!AH135/HDF_Limited_Col!$AH135," ")</f>
        <v xml:space="preserve"> </v>
      </c>
      <c r="AI135" s="26" t="str">
        <f>IFERROR($AC135*HDF_Limited_Col!AI135/HDF_Limited_Col!$AH135," ")</f>
        <v xml:space="preserve"> </v>
      </c>
      <c r="AJ135" s="26" t="str">
        <f>IFERROR($AC135*HDF_Limited_Col!AJ135/HDF_Limited_Col!$AH135," ")</f>
        <v xml:space="preserve"> </v>
      </c>
      <c r="AK135" s="26" t="str">
        <f>IFERROR($AC135*HDF_Limited_Col!AK135/HDF_Limited_Col!$AH135," ")</f>
        <v xml:space="preserve"> </v>
      </c>
      <c r="AL135" s="26" t="str">
        <f>IFERROR($AC135*HDF_Limited_Col!AL135/HDF_Limited_Col!$AH135," ")</f>
        <v xml:space="preserve"> </v>
      </c>
      <c r="AM135" s="26" t="str">
        <f>IFERROR($AC135*HDF_Limited_Col!AM135/HDF_Limited_Col!$AH135," ")</f>
        <v xml:space="preserve"> </v>
      </c>
      <c r="AN135" s="26" t="str">
        <f>IFERROR($AC135*HDF_Limited_Col!AN135/HDF_Limited_Col!$AH135," ")</f>
        <v xml:space="preserve"> </v>
      </c>
      <c r="AO135" s="26" t="str">
        <f>IFERROR($AC135*HDF_Limited_Col!AO135/HDF_Limited_Col!$AH135," ")</f>
        <v xml:space="preserve"> </v>
      </c>
      <c r="AP135" s="26" t="str">
        <f>IFERROR($AC135*HDF_Limited_Col!AP135/HDF_Limited_Col!$AH135," ")</f>
        <v xml:space="preserve"> </v>
      </c>
      <c r="AQ135" s="26" t="str">
        <f>IFERROR($AC135*HDF_Limited_Col!AQ135/HDF_Limited_Col!$AH135," ")</f>
        <v xml:space="preserve"> </v>
      </c>
      <c r="AR135" s="26" t="str">
        <f>IFERROR($AC135*HDF_Limited_Col!AR135/HDF_Limited_Col!$AH135," ")</f>
        <v xml:space="preserve"> </v>
      </c>
      <c r="AS135" s="26" t="str">
        <f>IFERROR($AC135*HDF_Limited_Col!AS135/HDF_Limited_Col!$AH135," ")</f>
        <v xml:space="preserve"> </v>
      </c>
      <c r="AT135" s="26" t="str">
        <f>IFERROR($AC135*HDF_Limited_Col!AT135/HDF_Limited_Col!$AH135," ")</f>
        <v xml:space="preserve"> </v>
      </c>
      <c r="AU135" s="26" t="str">
        <f>IFERROR($AC135*HDF_Limited_Col!AU135/HDF_Limited_Col!$AH135," ")</f>
        <v xml:space="preserve"> </v>
      </c>
      <c r="AV135" s="26" t="str">
        <f>IFERROR($AC135*HDF_Limited_Col!AV135/HDF_Limited_Col!$AH135," ")</f>
        <v xml:space="preserve"> </v>
      </c>
      <c r="AW135" s="26" t="str">
        <f>IFERROR($AC135*HDF_Limited_Col!AW135/HDF_Limited_Col!$AH135," ")</f>
        <v xml:space="preserve"> </v>
      </c>
      <c r="AX135" s="26" t="str">
        <f>IFERROR($AC135*HDF_Limited_Col!AX135/HDF_Limited_Col!$AH135," ")</f>
        <v xml:space="preserve"> </v>
      </c>
      <c r="AY135" s="26" t="str">
        <f>IFERROR($AC135*HDF_Limited_Col!AY135/HDF_Limited_Col!$AH135," ")</f>
        <v xml:space="preserve"> </v>
      </c>
      <c r="AZ135" s="26" t="str">
        <f>IFERROR($AC135*HDF_Limited_Col!AZ135/HDF_Limited_Col!$AH135," ")</f>
        <v xml:space="preserve"> </v>
      </c>
      <c r="BA135" s="26" t="str">
        <f>IFERROR($AC135*HDF_Limited_Col!BA135/HDF_Limited_Col!$AH135," ")</f>
        <v xml:space="preserve"> </v>
      </c>
      <c r="BB135" s="26" t="str">
        <f>IFERROR($AC135*HDF_Limited_Col!BB135/HDF_Limited_Col!$AH135," ")</f>
        <v xml:space="preserve"> </v>
      </c>
      <c r="BC135" s="26" t="str">
        <f>IFERROR($AC135*HDF_Limited_Col!BC135/HDF_Limited_Col!$AH135," ")</f>
        <v xml:space="preserve"> </v>
      </c>
      <c r="BD135" s="26" t="str">
        <f>IFERROR($AC135*HDF_Limited_Col!BD135/HDF_Limited_Col!$AH135," ")</f>
        <v xml:space="preserve"> </v>
      </c>
      <c r="BE135" s="26" t="str">
        <f>IFERROR($AC135*HDF_Limited_Col!BE135/HDF_Limited_Col!$AH135," ")</f>
        <v xml:space="preserve"> </v>
      </c>
      <c r="BF135" s="26" t="str">
        <f>IFERROR($AC135*HDF_Limited_Col!BF135/HDF_Limited_Col!$AH135," ")</f>
        <v xml:space="preserve"> </v>
      </c>
      <c r="BG135" s="26" t="str">
        <f>IFERROR($AC135*HDF_Limited_Col!BG135/HDF_Limited_Col!$AH135," ")</f>
        <v xml:space="preserve"> </v>
      </c>
      <c r="BH135" s="26" t="str">
        <f>IFERROR($AC135*HDF_Limited_Col!BH135/HDF_Limited_Col!$AH135," ")</f>
        <v xml:space="preserve"> </v>
      </c>
      <c r="BI135" s="26" t="str">
        <f>IFERROR($AC135*HDF_Limited_Col!BI135/HDF_Limited_Col!$AH135," ")</f>
        <v xml:space="preserve"> </v>
      </c>
      <c r="BJ135" s="26" t="str">
        <f>IFERROR($AC135*HDF_Limited_Col!BJ135/HDF_Limited_Col!$AH135," ")</f>
        <v xml:space="preserve"> </v>
      </c>
      <c r="BK135" s="26" t="str">
        <f>IFERROR($AC135*HDF_Limited_Col!BK135/HDF_Limited_Col!$AH135," ")</f>
        <v xml:space="preserve"> </v>
      </c>
      <c r="BL135" s="26" t="str">
        <f>IFERROR($AC135*HDF_Limited_Col!BL135/HDF_Limited_Col!$AH135," ")</f>
        <v xml:space="preserve"> </v>
      </c>
      <c r="BM135" s="26" t="str">
        <f>IFERROR($AC135*HDF_Limited_Col!BM135/HDF_Limited_Col!$AH135," ")</f>
        <v xml:space="preserve"> </v>
      </c>
      <c r="BN135" s="26" t="str">
        <f>IFERROR($AC135*HDF_Limited_Col!BN135/HDF_Limited_Col!$AH135," ")</f>
        <v xml:space="preserve"> </v>
      </c>
      <c r="BO135" s="26" t="str">
        <f>IFERROR($AC135*HDF_Limited_Col!BO135/HDF_Limited_Col!$AH135," ")</f>
        <v xml:space="preserve"> </v>
      </c>
      <c r="BP135" s="26" t="str">
        <f>IFERROR($AC135*HDF_Limited_Col!BP135/HDF_Limited_Col!$AH135," ")</f>
        <v xml:space="preserve"> </v>
      </c>
      <c r="BQ135" s="26" t="str">
        <f>IFERROR($AC135*HDF_Limited_Col!BQ135/HDF_Limited_Col!$AH135," ")</f>
        <v xml:space="preserve"> </v>
      </c>
      <c r="BR135" s="26" t="str">
        <f>IFERROR($AC135*HDF_Limited_Col!BR135/HDF_Limited_Col!$AH135," ")</f>
        <v xml:space="preserve"> </v>
      </c>
      <c r="BS135" s="26" t="str">
        <f>IFERROR($AC135*HDF_Limited_Col!BS135/HDF_Limited_Col!$AH135," ")</f>
        <v xml:space="preserve"> </v>
      </c>
      <c r="BT135" s="26" t="str">
        <f>IFERROR($AC135*HDF_Limited_Col!BT135/HDF_Limited_Col!$AH135," ")</f>
        <v xml:space="preserve"> </v>
      </c>
      <c r="BU135" s="26" t="str">
        <f>IFERROR($AC135*HDF_Limited_Col!BU135/HDF_Limited_Col!$AH135," ")</f>
        <v xml:space="preserve"> </v>
      </c>
      <c r="BV135" s="26" t="str">
        <f>IFERROR($AC135*HDF_Limited_Col!BV135/HDF_Limited_Col!$AH135," ")</f>
        <v xml:space="preserve"> </v>
      </c>
      <c r="BW135" s="26" t="str">
        <f>IFERROR($AC135*HDF_Limited_Col!BW135/HDF_Limited_Col!$AH135," ")</f>
        <v xml:space="preserve"> </v>
      </c>
      <c r="BX135" s="26" t="str">
        <f>IFERROR($AC135*HDF_Limited_Col!BX135/HDF_Limited_Col!$AH135," ")</f>
        <v xml:space="preserve"> </v>
      </c>
      <c r="BY135" s="26" t="str">
        <f>IFERROR($AC135*HDF_Limited_Col!BY135/HDF_Limited_Col!$AH135," ")</f>
        <v xml:space="preserve"> </v>
      </c>
      <c r="BZ135" s="26" t="str">
        <f>IFERROR($AC135*HDF_Limited_Col!BZ135/HDF_Limited_Col!$AH135," ")</f>
        <v xml:space="preserve"> </v>
      </c>
      <c r="CA135" s="26" t="str">
        <f>IFERROR($AC135*HDF_Limited_Col!CA135/HDF_Limited_Col!$AH135," ")</f>
        <v xml:space="preserve"> </v>
      </c>
      <c r="CB135" s="26" t="str">
        <f>IFERROR($AC135*HDF_Limited_Col!CB135/HDF_Limited_Col!$AH135," ")</f>
        <v xml:space="preserve"> </v>
      </c>
      <c r="CC135" s="26" t="str">
        <f>IFERROR($AC135*HDF_Limited_Col!CC135/HDF_Limited_Col!$AH135," ")</f>
        <v xml:space="preserve"> </v>
      </c>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row>
    <row r="136" spans="1:109">
      <c r="A136" s="26" t="s">
        <v>1655</v>
      </c>
      <c r="B136" s="26" t="s">
        <v>24</v>
      </c>
      <c r="C136" s="155" t="s">
        <v>546</v>
      </c>
      <c r="D136" s="26" t="s">
        <v>119</v>
      </c>
      <c r="E136" s="26" t="s">
        <v>237</v>
      </c>
      <c r="F136" s="26" t="s">
        <v>163</v>
      </c>
      <c r="G136" s="26" t="s">
        <v>595</v>
      </c>
      <c r="H136" s="30">
        <v>355</v>
      </c>
      <c r="I136" s="26" t="s">
        <v>712</v>
      </c>
      <c r="J136" s="26"/>
      <c r="K136" s="26" t="s">
        <v>654</v>
      </c>
      <c r="L136" s="26"/>
      <c r="M136" s="26" t="s">
        <v>647</v>
      </c>
      <c r="N136" s="26" t="s">
        <v>1467</v>
      </c>
      <c r="O136" s="95">
        <v>4.5883930475624712</v>
      </c>
      <c r="P136" s="95">
        <v>4.4609376851301805</v>
      </c>
      <c r="Q136" s="95">
        <v>1.5178774980572824</v>
      </c>
      <c r="R136" s="95">
        <v>14.715300935364493</v>
      </c>
      <c r="S136" s="95">
        <v>2.6649757599479003</v>
      </c>
      <c r="T136" s="95">
        <v>8.7017251987864039</v>
      </c>
      <c r="U136" s="95">
        <v>13.672484333645748</v>
      </c>
      <c r="V136" s="95">
        <v>5.4458200311978828</v>
      </c>
      <c r="W136" s="95">
        <v>21.088069056979037</v>
      </c>
      <c r="X136" s="95">
        <v>2.6881494622083166</v>
      </c>
      <c r="Y136" s="95">
        <v>26.418020576874834</v>
      </c>
      <c r="Z136" s="95">
        <v>105.96175358575455</v>
      </c>
      <c r="AA136" s="26"/>
      <c r="AB136" s="26"/>
      <c r="AC136" s="26">
        <f t="shared" si="3"/>
        <v>175059.92808503128</v>
      </c>
      <c r="AD136" s="26" t="str">
        <f>IFERROR($AC136*HDF_Limited_Col!AD136/HDF_Limited_Col!$AH136," ")</f>
        <v xml:space="preserve"> </v>
      </c>
      <c r="AE136" s="26" t="str">
        <f>IFERROR($AC136*HDF_Limited_Col!AE136/HDF_Limited_Col!$AH136," ")</f>
        <v xml:space="preserve"> </v>
      </c>
      <c r="AF136" s="26" t="str">
        <f>IFERROR($AC136*HDF_Limited_Col!AF136/HDF_Limited_Col!$AH136," ")</f>
        <v xml:space="preserve"> </v>
      </c>
      <c r="AG136" s="26" t="str">
        <f>IFERROR($AC136*HDF_Limited_Col!AG136/HDF_Limited_Col!$AH136," ")</f>
        <v xml:space="preserve"> </v>
      </c>
      <c r="AH136" s="26" t="str">
        <f>IFERROR($AC136*HDF_Limited_Col!AH136/HDF_Limited_Col!$AH136," ")</f>
        <v xml:space="preserve"> </v>
      </c>
      <c r="AI136" s="26" t="str">
        <f>IFERROR($AC136*HDF_Limited_Col!AI136/HDF_Limited_Col!$AH136," ")</f>
        <v xml:space="preserve"> </v>
      </c>
      <c r="AJ136" s="26" t="str">
        <f>IFERROR($AC136*HDF_Limited_Col!AJ136/HDF_Limited_Col!$AH136," ")</f>
        <v xml:space="preserve"> </v>
      </c>
      <c r="AK136" s="26" t="str">
        <f>IFERROR($AC136*HDF_Limited_Col!AK136/HDF_Limited_Col!$AH136," ")</f>
        <v xml:space="preserve"> </v>
      </c>
      <c r="AL136" s="26" t="str">
        <f>IFERROR($AC136*HDF_Limited_Col!AL136/HDF_Limited_Col!$AH136," ")</f>
        <v xml:space="preserve"> </v>
      </c>
      <c r="AM136" s="26" t="str">
        <f>IFERROR($AC136*HDF_Limited_Col!AM136/HDF_Limited_Col!$AH136," ")</f>
        <v xml:space="preserve"> </v>
      </c>
      <c r="AN136" s="26" t="str">
        <f>IFERROR($AC136*HDF_Limited_Col!AN136/HDF_Limited_Col!$AH136," ")</f>
        <v xml:space="preserve"> </v>
      </c>
      <c r="AO136" s="26" t="str">
        <f>IFERROR($AC136*HDF_Limited_Col!AO136/HDF_Limited_Col!$AH136," ")</f>
        <v xml:space="preserve"> </v>
      </c>
      <c r="AP136" s="26" t="str">
        <f>IFERROR($AC136*HDF_Limited_Col!AP136/HDF_Limited_Col!$AH136," ")</f>
        <v xml:space="preserve"> </v>
      </c>
      <c r="AQ136" s="26" t="str">
        <f>IFERROR($AC136*HDF_Limited_Col!AQ136/HDF_Limited_Col!$AH136," ")</f>
        <v xml:space="preserve"> </v>
      </c>
      <c r="AR136" s="26" t="str">
        <f>IFERROR($AC136*HDF_Limited_Col!AR136/HDF_Limited_Col!$AH136," ")</f>
        <v xml:space="preserve"> </v>
      </c>
      <c r="AS136" s="26" t="str">
        <f>IFERROR($AC136*HDF_Limited_Col!AS136/HDF_Limited_Col!$AH136," ")</f>
        <v xml:space="preserve"> </v>
      </c>
      <c r="AT136" s="26" t="str">
        <f>IFERROR($AC136*HDF_Limited_Col!AT136/HDF_Limited_Col!$AH136," ")</f>
        <v xml:space="preserve"> </v>
      </c>
      <c r="AU136" s="26" t="str">
        <f>IFERROR($AC136*HDF_Limited_Col!AU136/HDF_Limited_Col!$AH136," ")</f>
        <v xml:space="preserve"> </v>
      </c>
      <c r="AV136" s="26" t="str">
        <f>IFERROR($AC136*HDF_Limited_Col!AV136/HDF_Limited_Col!$AH136," ")</f>
        <v xml:space="preserve"> </v>
      </c>
      <c r="AW136" s="26" t="str">
        <f>IFERROR($AC136*HDF_Limited_Col!AW136/HDF_Limited_Col!$AH136," ")</f>
        <v xml:space="preserve"> </v>
      </c>
      <c r="AX136" s="26" t="str">
        <f>IFERROR($AC136*HDF_Limited_Col!AX136/HDF_Limited_Col!$AH136," ")</f>
        <v xml:space="preserve"> </v>
      </c>
      <c r="AY136" s="26" t="str">
        <f>IFERROR($AC136*HDF_Limited_Col!AY136/HDF_Limited_Col!$AH136," ")</f>
        <v xml:space="preserve"> </v>
      </c>
      <c r="AZ136" s="26" t="str">
        <f>IFERROR($AC136*HDF_Limited_Col!AZ136/HDF_Limited_Col!$AH136," ")</f>
        <v xml:space="preserve"> </v>
      </c>
      <c r="BA136" s="26" t="str">
        <f>IFERROR($AC136*HDF_Limited_Col!BA136/HDF_Limited_Col!$AH136," ")</f>
        <v xml:space="preserve"> </v>
      </c>
      <c r="BB136" s="26" t="str">
        <f>IFERROR($AC136*HDF_Limited_Col!BB136/HDF_Limited_Col!$AH136," ")</f>
        <v xml:space="preserve"> </v>
      </c>
      <c r="BC136" s="26" t="str">
        <f>IFERROR($AC136*HDF_Limited_Col!BC136/HDF_Limited_Col!$AH136," ")</f>
        <v xml:space="preserve"> </v>
      </c>
      <c r="BD136" s="26" t="str">
        <f>IFERROR($AC136*HDF_Limited_Col!BD136/HDF_Limited_Col!$AH136," ")</f>
        <v xml:space="preserve"> </v>
      </c>
      <c r="BE136" s="26" t="str">
        <f>IFERROR($AC136*HDF_Limited_Col!BE136/HDF_Limited_Col!$AH136," ")</f>
        <v xml:space="preserve"> </v>
      </c>
      <c r="BF136" s="26" t="str">
        <f>IFERROR($AC136*HDF_Limited_Col!BF136/HDF_Limited_Col!$AH136," ")</f>
        <v xml:space="preserve"> </v>
      </c>
      <c r="BG136" s="26" t="str">
        <f>IFERROR($AC136*HDF_Limited_Col!BG136/HDF_Limited_Col!$AH136," ")</f>
        <v xml:space="preserve"> </v>
      </c>
      <c r="BH136" s="26" t="str">
        <f>IFERROR($AC136*HDF_Limited_Col!BH136/HDF_Limited_Col!$AH136," ")</f>
        <v xml:space="preserve"> </v>
      </c>
      <c r="BI136" s="26" t="str">
        <f>IFERROR($AC136*HDF_Limited_Col!BI136/HDF_Limited_Col!$AH136," ")</f>
        <v xml:space="preserve"> </v>
      </c>
      <c r="BJ136" s="26" t="str">
        <f>IFERROR($AC136*HDF_Limited_Col!BJ136/HDF_Limited_Col!$AH136," ")</f>
        <v xml:space="preserve"> </v>
      </c>
      <c r="BK136" s="26" t="str">
        <f>IFERROR($AC136*HDF_Limited_Col!BK136/HDF_Limited_Col!$AH136," ")</f>
        <v xml:space="preserve"> </v>
      </c>
      <c r="BL136" s="26" t="str">
        <f>IFERROR($AC136*HDF_Limited_Col!BL136/HDF_Limited_Col!$AH136," ")</f>
        <v xml:space="preserve"> </v>
      </c>
      <c r="BM136" s="26" t="str">
        <f>IFERROR($AC136*HDF_Limited_Col!BM136/HDF_Limited_Col!$AH136," ")</f>
        <v xml:space="preserve"> </v>
      </c>
      <c r="BN136" s="26" t="str">
        <f>IFERROR($AC136*HDF_Limited_Col!BN136/HDF_Limited_Col!$AH136," ")</f>
        <v xml:space="preserve"> </v>
      </c>
      <c r="BO136" s="26" t="str">
        <f>IFERROR($AC136*HDF_Limited_Col!BO136/HDF_Limited_Col!$AH136," ")</f>
        <v xml:space="preserve"> </v>
      </c>
      <c r="BP136" s="26" t="str">
        <f>IFERROR($AC136*HDF_Limited_Col!BP136/HDF_Limited_Col!$AH136," ")</f>
        <v xml:space="preserve"> </v>
      </c>
      <c r="BQ136" s="26" t="str">
        <f>IFERROR($AC136*HDF_Limited_Col!BQ136/HDF_Limited_Col!$AH136," ")</f>
        <v xml:space="preserve"> </v>
      </c>
      <c r="BR136" s="26" t="str">
        <f>IFERROR($AC136*HDF_Limited_Col!BR136/HDF_Limited_Col!$AH136," ")</f>
        <v xml:space="preserve"> </v>
      </c>
      <c r="BS136" s="26" t="str">
        <f>IFERROR($AC136*HDF_Limited_Col!BS136/HDF_Limited_Col!$AH136," ")</f>
        <v xml:space="preserve"> </v>
      </c>
      <c r="BT136" s="26" t="str">
        <f>IFERROR($AC136*HDF_Limited_Col!BT136/HDF_Limited_Col!$AH136," ")</f>
        <v xml:space="preserve"> </v>
      </c>
      <c r="BU136" s="26" t="str">
        <f>IFERROR($AC136*HDF_Limited_Col!BU136/HDF_Limited_Col!$AH136," ")</f>
        <v xml:space="preserve"> </v>
      </c>
      <c r="BV136" s="26" t="str">
        <f>IFERROR($AC136*HDF_Limited_Col!BV136/HDF_Limited_Col!$AH136," ")</f>
        <v xml:space="preserve"> </v>
      </c>
      <c r="BW136" s="26" t="str">
        <f>IFERROR($AC136*HDF_Limited_Col!BW136/HDF_Limited_Col!$AH136," ")</f>
        <v xml:space="preserve"> </v>
      </c>
      <c r="BX136" s="26" t="str">
        <f>IFERROR($AC136*HDF_Limited_Col!BX136/HDF_Limited_Col!$AH136," ")</f>
        <v xml:space="preserve"> </v>
      </c>
      <c r="BY136" s="26" t="str">
        <f>IFERROR($AC136*HDF_Limited_Col!BY136/HDF_Limited_Col!$AH136," ")</f>
        <v xml:space="preserve"> </v>
      </c>
      <c r="BZ136" s="26" t="str">
        <f>IFERROR($AC136*HDF_Limited_Col!BZ136/HDF_Limited_Col!$AH136," ")</f>
        <v xml:space="preserve"> </v>
      </c>
      <c r="CA136" s="26" t="str">
        <f>IFERROR($AC136*HDF_Limited_Col!CA136/HDF_Limited_Col!$AH136," ")</f>
        <v xml:space="preserve"> </v>
      </c>
      <c r="CB136" s="26" t="str">
        <f>IFERROR($AC136*HDF_Limited_Col!CB136/HDF_Limited_Col!$AH136," ")</f>
        <v xml:space="preserve"> </v>
      </c>
      <c r="CC136" s="26" t="str">
        <f>IFERROR($AC136*HDF_Limited_Col!CC136/HDF_Limited_Col!$AH136," ")</f>
        <v xml:space="preserve"> </v>
      </c>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row>
    <row r="137" spans="1:109">
      <c r="A137" s="26" t="s">
        <v>1655</v>
      </c>
      <c r="B137" s="26" t="s">
        <v>24</v>
      </c>
      <c r="C137" s="155" t="s">
        <v>546</v>
      </c>
      <c r="D137" s="26" t="s">
        <v>119</v>
      </c>
      <c r="E137" s="26" t="s">
        <v>237</v>
      </c>
      <c r="F137" s="26" t="s">
        <v>163</v>
      </c>
      <c r="G137" s="26" t="s">
        <v>595</v>
      </c>
      <c r="H137" s="30">
        <v>355</v>
      </c>
      <c r="I137" s="26" t="s">
        <v>712</v>
      </c>
      <c r="J137" s="26"/>
      <c r="K137" s="26" t="s">
        <v>654</v>
      </c>
      <c r="L137" s="26" t="s">
        <v>649</v>
      </c>
      <c r="M137" s="26" t="s">
        <v>648</v>
      </c>
      <c r="N137" s="26" t="s">
        <v>1467</v>
      </c>
      <c r="O137" s="95">
        <v>4.5758250757272867</v>
      </c>
      <c r="P137" s="95">
        <v>5.4446526217514553</v>
      </c>
      <c r="Q137" s="95">
        <v>1.5638895828435033</v>
      </c>
      <c r="R137" s="95">
        <v>14.248771754796364</v>
      </c>
      <c r="S137" s="95">
        <v>3.0003511256034612</v>
      </c>
      <c r="T137" s="95">
        <v>9.1979876205758639</v>
      </c>
      <c r="U137" s="95">
        <v>14.364615427599587</v>
      </c>
      <c r="V137" s="95">
        <v>5.085537236061465</v>
      </c>
      <c r="W137" s="95">
        <v>21.083548450186488</v>
      </c>
      <c r="X137" s="95">
        <v>2.3284578233447712</v>
      </c>
      <c r="Y137" s="95">
        <v>24.674702307086385</v>
      </c>
      <c r="Z137" s="95">
        <v>105.56833902557665</v>
      </c>
      <c r="AA137" s="26"/>
      <c r="AB137" s="26"/>
      <c r="AC137" s="26">
        <f t="shared" si="3"/>
        <v>175022.40084164706</v>
      </c>
      <c r="AD137" s="26" t="str">
        <f>IFERROR($AC137*HDF_Limited_Col!AD137/HDF_Limited_Col!$AH137," ")</f>
        <v xml:space="preserve"> </v>
      </c>
      <c r="AE137" s="26" t="str">
        <f>IFERROR($AC137*HDF_Limited_Col!AE137/HDF_Limited_Col!$AH137," ")</f>
        <v xml:space="preserve"> </v>
      </c>
      <c r="AF137" s="26" t="str">
        <f>IFERROR($AC137*HDF_Limited_Col!AF137/HDF_Limited_Col!$AH137," ")</f>
        <v xml:space="preserve"> </v>
      </c>
      <c r="AG137" s="26" t="str">
        <f>IFERROR($AC137*HDF_Limited_Col!AG137/HDF_Limited_Col!$AH137," ")</f>
        <v xml:space="preserve"> </v>
      </c>
      <c r="AH137" s="26" t="str">
        <f>IFERROR($AC137*HDF_Limited_Col!AH137/HDF_Limited_Col!$AH137," ")</f>
        <v xml:space="preserve"> </v>
      </c>
      <c r="AI137" s="26" t="str">
        <f>IFERROR($AC137*HDF_Limited_Col!AI137/HDF_Limited_Col!$AH137," ")</f>
        <v xml:space="preserve"> </v>
      </c>
      <c r="AJ137" s="26" t="str">
        <f>IFERROR($AC137*HDF_Limited_Col!AJ137/HDF_Limited_Col!$AH137," ")</f>
        <v xml:space="preserve"> </v>
      </c>
      <c r="AK137" s="26" t="str">
        <f>IFERROR($AC137*HDF_Limited_Col!AK137/HDF_Limited_Col!$AH137," ")</f>
        <v xml:space="preserve"> </v>
      </c>
      <c r="AL137" s="26" t="str">
        <f>IFERROR($AC137*HDF_Limited_Col!AL137/HDF_Limited_Col!$AH137," ")</f>
        <v xml:space="preserve"> </v>
      </c>
      <c r="AM137" s="26" t="str">
        <f>IFERROR($AC137*HDF_Limited_Col!AM137/HDF_Limited_Col!$AH137," ")</f>
        <v xml:space="preserve"> </v>
      </c>
      <c r="AN137" s="26" t="str">
        <f>IFERROR($AC137*HDF_Limited_Col!AN137/HDF_Limited_Col!$AH137," ")</f>
        <v xml:space="preserve"> </v>
      </c>
      <c r="AO137" s="26" t="str">
        <f>IFERROR($AC137*HDF_Limited_Col!AO137/HDF_Limited_Col!$AH137," ")</f>
        <v xml:space="preserve"> </v>
      </c>
      <c r="AP137" s="26" t="str">
        <f>IFERROR($AC137*HDF_Limited_Col!AP137/HDF_Limited_Col!$AH137," ")</f>
        <v xml:space="preserve"> </v>
      </c>
      <c r="AQ137" s="26" t="str">
        <f>IFERROR($AC137*HDF_Limited_Col!AQ137/HDF_Limited_Col!$AH137," ")</f>
        <v xml:space="preserve"> </v>
      </c>
      <c r="AR137" s="26" t="str">
        <f>IFERROR($AC137*HDF_Limited_Col!AR137/HDF_Limited_Col!$AH137," ")</f>
        <v xml:space="preserve"> </v>
      </c>
      <c r="AS137" s="26" t="str">
        <f>IFERROR($AC137*HDF_Limited_Col!AS137/HDF_Limited_Col!$AH137," ")</f>
        <v xml:space="preserve"> </v>
      </c>
      <c r="AT137" s="26" t="str">
        <f>IFERROR($AC137*HDF_Limited_Col!AT137/HDF_Limited_Col!$AH137," ")</f>
        <v xml:space="preserve"> </v>
      </c>
      <c r="AU137" s="26" t="str">
        <f>IFERROR($AC137*HDF_Limited_Col!AU137/HDF_Limited_Col!$AH137," ")</f>
        <v xml:space="preserve"> </v>
      </c>
      <c r="AV137" s="26" t="str">
        <f>IFERROR($AC137*HDF_Limited_Col!AV137/HDF_Limited_Col!$AH137," ")</f>
        <v xml:space="preserve"> </v>
      </c>
      <c r="AW137" s="26" t="str">
        <f>IFERROR($AC137*HDF_Limited_Col!AW137/HDF_Limited_Col!$AH137," ")</f>
        <v xml:space="preserve"> </v>
      </c>
      <c r="AX137" s="26" t="str">
        <f>IFERROR($AC137*HDF_Limited_Col!AX137/HDF_Limited_Col!$AH137," ")</f>
        <v xml:space="preserve"> </v>
      </c>
      <c r="AY137" s="26" t="str">
        <f>IFERROR($AC137*HDF_Limited_Col!AY137/HDF_Limited_Col!$AH137," ")</f>
        <v xml:space="preserve"> </v>
      </c>
      <c r="AZ137" s="26" t="str">
        <f>IFERROR($AC137*HDF_Limited_Col!AZ137/HDF_Limited_Col!$AH137," ")</f>
        <v xml:space="preserve"> </v>
      </c>
      <c r="BA137" s="26" t="str">
        <f>IFERROR($AC137*HDF_Limited_Col!BA137/HDF_Limited_Col!$AH137," ")</f>
        <v xml:space="preserve"> </v>
      </c>
      <c r="BB137" s="26" t="str">
        <f>IFERROR($AC137*HDF_Limited_Col!BB137/HDF_Limited_Col!$AH137," ")</f>
        <v xml:space="preserve"> </v>
      </c>
      <c r="BC137" s="26" t="str">
        <f>IFERROR($AC137*HDF_Limited_Col!BC137/HDF_Limited_Col!$AH137," ")</f>
        <v xml:space="preserve"> </v>
      </c>
      <c r="BD137" s="26" t="str">
        <f>IFERROR($AC137*HDF_Limited_Col!BD137/HDF_Limited_Col!$AH137," ")</f>
        <v xml:space="preserve"> </v>
      </c>
      <c r="BE137" s="26" t="str">
        <f>IFERROR($AC137*HDF_Limited_Col!BE137/HDF_Limited_Col!$AH137," ")</f>
        <v xml:space="preserve"> </v>
      </c>
      <c r="BF137" s="26" t="str">
        <f>IFERROR($AC137*HDF_Limited_Col!BF137/HDF_Limited_Col!$AH137," ")</f>
        <v xml:space="preserve"> </v>
      </c>
      <c r="BG137" s="26" t="str">
        <f>IFERROR($AC137*HDF_Limited_Col!BG137/HDF_Limited_Col!$AH137," ")</f>
        <v xml:space="preserve"> </v>
      </c>
      <c r="BH137" s="26" t="str">
        <f>IFERROR($AC137*HDF_Limited_Col!BH137/HDF_Limited_Col!$AH137," ")</f>
        <v xml:space="preserve"> </v>
      </c>
      <c r="BI137" s="26" t="str">
        <f>IFERROR($AC137*HDF_Limited_Col!BI137/HDF_Limited_Col!$AH137," ")</f>
        <v xml:space="preserve"> </v>
      </c>
      <c r="BJ137" s="26" t="str">
        <f>IFERROR($AC137*HDF_Limited_Col!BJ137/HDF_Limited_Col!$AH137," ")</f>
        <v xml:space="preserve"> </v>
      </c>
      <c r="BK137" s="26" t="str">
        <f>IFERROR($AC137*HDF_Limited_Col!BK137/HDF_Limited_Col!$AH137," ")</f>
        <v xml:space="preserve"> </v>
      </c>
      <c r="BL137" s="26" t="str">
        <f>IFERROR($AC137*HDF_Limited_Col!BL137/HDF_Limited_Col!$AH137," ")</f>
        <v xml:space="preserve"> </v>
      </c>
      <c r="BM137" s="26" t="str">
        <f>IFERROR($AC137*HDF_Limited_Col!BM137/HDF_Limited_Col!$AH137," ")</f>
        <v xml:space="preserve"> </v>
      </c>
      <c r="BN137" s="26" t="str">
        <f>IFERROR($AC137*HDF_Limited_Col!BN137/HDF_Limited_Col!$AH137," ")</f>
        <v xml:space="preserve"> </v>
      </c>
      <c r="BO137" s="26" t="str">
        <f>IFERROR($AC137*HDF_Limited_Col!BO137/HDF_Limited_Col!$AH137," ")</f>
        <v xml:space="preserve"> </v>
      </c>
      <c r="BP137" s="26" t="str">
        <f>IFERROR($AC137*HDF_Limited_Col!BP137/HDF_Limited_Col!$AH137," ")</f>
        <v xml:space="preserve"> </v>
      </c>
      <c r="BQ137" s="26" t="str">
        <f>IFERROR($AC137*HDF_Limited_Col!BQ137/HDF_Limited_Col!$AH137," ")</f>
        <v xml:space="preserve"> </v>
      </c>
      <c r="BR137" s="26" t="str">
        <f>IFERROR($AC137*HDF_Limited_Col!BR137/HDF_Limited_Col!$AH137," ")</f>
        <v xml:space="preserve"> </v>
      </c>
      <c r="BS137" s="26" t="str">
        <f>IFERROR($AC137*HDF_Limited_Col!BS137/HDF_Limited_Col!$AH137," ")</f>
        <v xml:space="preserve"> </v>
      </c>
      <c r="BT137" s="26" t="str">
        <f>IFERROR($AC137*HDF_Limited_Col!BT137/HDF_Limited_Col!$AH137," ")</f>
        <v xml:space="preserve"> </v>
      </c>
      <c r="BU137" s="26" t="str">
        <f>IFERROR($AC137*HDF_Limited_Col!BU137/HDF_Limited_Col!$AH137," ")</f>
        <v xml:space="preserve"> </v>
      </c>
      <c r="BV137" s="26" t="str">
        <f>IFERROR($AC137*HDF_Limited_Col!BV137/HDF_Limited_Col!$AH137," ")</f>
        <v xml:space="preserve"> </v>
      </c>
      <c r="BW137" s="26" t="str">
        <f>IFERROR($AC137*HDF_Limited_Col!BW137/HDF_Limited_Col!$AH137," ")</f>
        <v xml:space="preserve"> </v>
      </c>
      <c r="BX137" s="26" t="str">
        <f>IFERROR($AC137*HDF_Limited_Col!BX137/HDF_Limited_Col!$AH137," ")</f>
        <v xml:space="preserve"> </v>
      </c>
      <c r="BY137" s="26" t="str">
        <f>IFERROR($AC137*HDF_Limited_Col!BY137/HDF_Limited_Col!$AH137," ")</f>
        <v xml:space="preserve"> </v>
      </c>
      <c r="BZ137" s="26" t="str">
        <f>IFERROR($AC137*HDF_Limited_Col!BZ137/HDF_Limited_Col!$AH137," ")</f>
        <v xml:space="preserve"> </v>
      </c>
      <c r="CA137" s="26" t="str">
        <f>IFERROR($AC137*HDF_Limited_Col!CA137/HDF_Limited_Col!$AH137," ")</f>
        <v xml:space="preserve"> </v>
      </c>
      <c r="CB137" s="26" t="str">
        <f>IFERROR($AC137*HDF_Limited_Col!CB137/HDF_Limited_Col!$AH137," ")</f>
        <v xml:space="preserve"> </v>
      </c>
      <c r="CC137" s="26" t="str">
        <f>IFERROR($AC137*HDF_Limited_Col!CC137/HDF_Limited_Col!$AH137," ")</f>
        <v xml:space="preserve"> </v>
      </c>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row>
    <row r="138" spans="1:109">
      <c r="A138" s="26" t="s">
        <v>1655</v>
      </c>
      <c r="B138" s="26" t="s">
        <v>24</v>
      </c>
      <c r="C138" s="155" t="s">
        <v>546</v>
      </c>
      <c r="D138" s="26" t="s">
        <v>119</v>
      </c>
      <c r="E138" s="26" t="s">
        <v>237</v>
      </c>
      <c r="F138" s="26" t="s">
        <v>163</v>
      </c>
      <c r="G138" s="26" t="s">
        <v>595</v>
      </c>
      <c r="H138" s="30">
        <v>355</v>
      </c>
      <c r="I138" s="26" t="s">
        <v>712</v>
      </c>
      <c r="J138" s="26"/>
      <c r="K138" s="26" t="s">
        <v>654</v>
      </c>
      <c r="L138" s="26" t="s">
        <v>650</v>
      </c>
      <c r="M138" s="26" t="s">
        <v>648</v>
      </c>
      <c r="N138" s="26" t="s">
        <v>1467</v>
      </c>
      <c r="O138" s="95">
        <v>4.7149891328258757</v>
      </c>
      <c r="P138" s="95">
        <v>5.2608129979559655</v>
      </c>
      <c r="Q138" s="95">
        <v>1.5677919530332347</v>
      </c>
      <c r="R138" s="95">
        <v>14.168193945929971</v>
      </c>
      <c r="S138" s="95">
        <v>2.996224621352404</v>
      </c>
      <c r="T138" s="95">
        <v>9.4648180868302685</v>
      </c>
      <c r="U138" s="95">
        <v>14.284326683191695</v>
      </c>
      <c r="V138" s="95">
        <v>5.2840395454083087</v>
      </c>
      <c r="W138" s="95">
        <v>20.903892707109794</v>
      </c>
      <c r="X138" s="95">
        <v>2.380721113865282</v>
      </c>
      <c r="Y138" s="95">
        <v>24.504007562223151</v>
      </c>
      <c r="Z138" s="95">
        <v>105.52981834972594</v>
      </c>
      <c r="AA138" s="26"/>
      <c r="AB138" s="26"/>
      <c r="AC138" s="26">
        <f t="shared" si="3"/>
        <v>173531.01149831311</v>
      </c>
      <c r="AD138" s="26" t="str">
        <f>IFERROR($AC138*HDF_Limited_Col!AD138/HDF_Limited_Col!$AH138," ")</f>
        <v xml:space="preserve"> </v>
      </c>
      <c r="AE138" s="26" t="str">
        <f>IFERROR($AC138*HDF_Limited_Col!AE138/HDF_Limited_Col!$AH138," ")</f>
        <v xml:space="preserve"> </v>
      </c>
      <c r="AF138" s="26" t="str">
        <f>IFERROR($AC138*HDF_Limited_Col!AF138/HDF_Limited_Col!$AH138," ")</f>
        <v xml:space="preserve"> </v>
      </c>
      <c r="AG138" s="26" t="str">
        <f>IFERROR($AC138*HDF_Limited_Col!AG138/HDF_Limited_Col!$AH138," ")</f>
        <v xml:space="preserve"> </v>
      </c>
      <c r="AH138" s="26" t="str">
        <f>IFERROR($AC138*HDF_Limited_Col!AH138/HDF_Limited_Col!$AH138," ")</f>
        <v xml:space="preserve"> </v>
      </c>
      <c r="AI138" s="26" t="str">
        <f>IFERROR($AC138*HDF_Limited_Col!AI138/HDF_Limited_Col!$AH138," ")</f>
        <v xml:space="preserve"> </v>
      </c>
      <c r="AJ138" s="26" t="str">
        <f>IFERROR($AC138*HDF_Limited_Col!AJ138/HDF_Limited_Col!$AH138," ")</f>
        <v xml:space="preserve"> </v>
      </c>
      <c r="AK138" s="26" t="str">
        <f>IFERROR($AC138*HDF_Limited_Col!AK138/HDF_Limited_Col!$AH138," ")</f>
        <v xml:space="preserve"> </v>
      </c>
      <c r="AL138" s="26" t="str">
        <f>IFERROR($AC138*HDF_Limited_Col!AL138/HDF_Limited_Col!$AH138," ")</f>
        <v xml:space="preserve"> </v>
      </c>
      <c r="AM138" s="26" t="str">
        <f>IFERROR($AC138*HDF_Limited_Col!AM138/HDF_Limited_Col!$AH138," ")</f>
        <v xml:space="preserve"> </v>
      </c>
      <c r="AN138" s="26" t="str">
        <f>IFERROR($AC138*HDF_Limited_Col!AN138/HDF_Limited_Col!$AH138," ")</f>
        <v xml:space="preserve"> </v>
      </c>
      <c r="AO138" s="26" t="str">
        <f>IFERROR($AC138*HDF_Limited_Col!AO138/HDF_Limited_Col!$AH138," ")</f>
        <v xml:space="preserve"> </v>
      </c>
      <c r="AP138" s="26" t="str">
        <f>IFERROR($AC138*HDF_Limited_Col!AP138/HDF_Limited_Col!$AH138," ")</f>
        <v xml:space="preserve"> </v>
      </c>
      <c r="AQ138" s="26" t="str">
        <f>IFERROR($AC138*HDF_Limited_Col!AQ138/HDF_Limited_Col!$AH138," ")</f>
        <v xml:space="preserve"> </v>
      </c>
      <c r="AR138" s="26" t="str">
        <f>IFERROR($AC138*HDF_Limited_Col!AR138/HDF_Limited_Col!$AH138," ")</f>
        <v xml:space="preserve"> </v>
      </c>
      <c r="AS138" s="26" t="str">
        <f>IFERROR($AC138*HDF_Limited_Col!AS138/HDF_Limited_Col!$AH138," ")</f>
        <v xml:space="preserve"> </v>
      </c>
      <c r="AT138" s="26" t="str">
        <f>IFERROR($AC138*HDF_Limited_Col!AT138/HDF_Limited_Col!$AH138," ")</f>
        <v xml:space="preserve"> </v>
      </c>
      <c r="AU138" s="26" t="str">
        <f>IFERROR($AC138*HDF_Limited_Col!AU138/HDF_Limited_Col!$AH138," ")</f>
        <v xml:space="preserve"> </v>
      </c>
      <c r="AV138" s="26" t="str">
        <f>IFERROR($AC138*HDF_Limited_Col!AV138/HDF_Limited_Col!$AH138," ")</f>
        <v xml:space="preserve"> </v>
      </c>
      <c r="AW138" s="26" t="str">
        <f>IFERROR($AC138*HDF_Limited_Col!AW138/HDF_Limited_Col!$AH138," ")</f>
        <v xml:space="preserve"> </v>
      </c>
      <c r="AX138" s="26" t="str">
        <f>IFERROR($AC138*HDF_Limited_Col!AX138/HDF_Limited_Col!$AH138," ")</f>
        <v xml:space="preserve"> </v>
      </c>
      <c r="AY138" s="26" t="str">
        <f>IFERROR($AC138*HDF_Limited_Col!AY138/HDF_Limited_Col!$AH138," ")</f>
        <v xml:space="preserve"> </v>
      </c>
      <c r="AZ138" s="26" t="str">
        <f>IFERROR($AC138*HDF_Limited_Col!AZ138/HDF_Limited_Col!$AH138," ")</f>
        <v xml:space="preserve"> </v>
      </c>
      <c r="BA138" s="26" t="str">
        <f>IFERROR($AC138*HDF_Limited_Col!BA138/HDF_Limited_Col!$AH138," ")</f>
        <v xml:space="preserve"> </v>
      </c>
      <c r="BB138" s="26" t="str">
        <f>IFERROR($AC138*HDF_Limited_Col!BB138/HDF_Limited_Col!$AH138," ")</f>
        <v xml:space="preserve"> </v>
      </c>
      <c r="BC138" s="26" t="str">
        <f>IFERROR($AC138*HDF_Limited_Col!BC138/HDF_Limited_Col!$AH138," ")</f>
        <v xml:space="preserve"> </v>
      </c>
      <c r="BD138" s="26" t="str">
        <f>IFERROR($AC138*HDF_Limited_Col!BD138/HDF_Limited_Col!$AH138," ")</f>
        <v xml:space="preserve"> </v>
      </c>
      <c r="BE138" s="26" t="str">
        <f>IFERROR($AC138*HDF_Limited_Col!BE138/HDF_Limited_Col!$AH138," ")</f>
        <v xml:space="preserve"> </v>
      </c>
      <c r="BF138" s="26" t="str">
        <f>IFERROR($AC138*HDF_Limited_Col!BF138/HDF_Limited_Col!$AH138," ")</f>
        <v xml:space="preserve"> </v>
      </c>
      <c r="BG138" s="26" t="str">
        <f>IFERROR($AC138*HDF_Limited_Col!BG138/HDF_Limited_Col!$AH138," ")</f>
        <v xml:space="preserve"> </v>
      </c>
      <c r="BH138" s="26" t="str">
        <f>IFERROR($AC138*HDF_Limited_Col!BH138/HDF_Limited_Col!$AH138," ")</f>
        <v xml:space="preserve"> </v>
      </c>
      <c r="BI138" s="26" t="str">
        <f>IFERROR($AC138*HDF_Limited_Col!BI138/HDF_Limited_Col!$AH138," ")</f>
        <v xml:space="preserve"> </v>
      </c>
      <c r="BJ138" s="26" t="str">
        <f>IFERROR($AC138*HDF_Limited_Col!BJ138/HDF_Limited_Col!$AH138," ")</f>
        <v xml:space="preserve"> </v>
      </c>
      <c r="BK138" s="26" t="str">
        <f>IFERROR($AC138*HDF_Limited_Col!BK138/HDF_Limited_Col!$AH138," ")</f>
        <v xml:space="preserve"> </v>
      </c>
      <c r="BL138" s="26" t="str">
        <f>IFERROR($AC138*HDF_Limited_Col!BL138/HDF_Limited_Col!$AH138," ")</f>
        <v xml:space="preserve"> </v>
      </c>
      <c r="BM138" s="26" t="str">
        <f>IFERROR($AC138*HDF_Limited_Col!BM138/HDF_Limited_Col!$AH138," ")</f>
        <v xml:space="preserve"> </v>
      </c>
      <c r="BN138" s="26" t="str">
        <f>IFERROR($AC138*HDF_Limited_Col!BN138/HDF_Limited_Col!$AH138," ")</f>
        <v xml:space="preserve"> </v>
      </c>
      <c r="BO138" s="26" t="str">
        <f>IFERROR($AC138*HDF_Limited_Col!BO138/HDF_Limited_Col!$AH138," ")</f>
        <v xml:space="preserve"> </v>
      </c>
      <c r="BP138" s="26" t="str">
        <f>IFERROR($AC138*HDF_Limited_Col!BP138/HDF_Limited_Col!$AH138," ")</f>
        <v xml:space="preserve"> </v>
      </c>
      <c r="BQ138" s="26" t="str">
        <f>IFERROR($AC138*HDF_Limited_Col!BQ138/HDF_Limited_Col!$AH138," ")</f>
        <v xml:space="preserve"> </v>
      </c>
      <c r="BR138" s="26" t="str">
        <f>IFERROR($AC138*HDF_Limited_Col!BR138/HDF_Limited_Col!$AH138," ")</f>
        <v xml:space="preserve"> </v>
      </c>
      <c r="BS138" s="26" t="str">
        <f>IFERROR($AC138*HDF_Limited_Col!BS138/HDF_Limited_Col!$AH138," ")</f>
        <v xml:space="preserve"> </v>
      </c>
      <c r="BT138" s="26" t="str">
        <f>IFERROR($AC138*HDF_Limited_Col!BT138/HDF_Limited_Col!$AH138," ")</f>
        <v xml:space="preserve"> </v>
      </c>
      <c r="BU138" s="26" t="str">
        <f>IFERROR($AC138*HDF_Limited_Col!BU138/HDF_Limited_Col!$AH138," ")</f>
        <v xml:space="preserve"> </v>
      </c>
      <c r="BV138" s="26" t="str">
        <f>IFERROR($AC138*HDF_Limited_Col!BV138/HDF_Limited_Col!$AH138," ")</f>
        <v xml:space="preserve"> </v>
      </c>
      <c r="BW138" s="26" t="str">
        <f>IFERROR($AC138*HDF_Limited_Col!BW138/HDF_Limited_Col!$AH138," ")</f>
        <v xml:space="preserve"> </v>
      </c>
      <c r="BX138" s="26" t="str">
        <f>IFERROR($AC138*HDF_Limited_Col!BX138/HDF_Limited_Col!$AH138," ")</f>
        <v xml:space="preserve"> </v>
      </c>
      <c r="BY138" s="26" t="str">
        <f>IFERROR($AC138*HDF_Limited_Col!BY138/HDF_Limited_Col!$AH138," ")</f>
        <v xml:space="preserve"> </v>
      </c>
      <c r="BZ138" s="26" t="str">
        <f>IFERROR($AC138*HDF_Limited_Col!BZ138/HDF_Limited_Col!$AH138," ")</f>
        <v xml:space="preserve"> </v>
      </c>
      <c r="CA138" s="26" t="str">
        <f>IFERROR($AC138*HDF_Limited_Col!CA138/HDF_Limited_Col!$AH138," ")</f>
        <v xml:space="preserve"> </v>
      </c>
      <c r="CB138" s="26" t="str">
        <f>IFERROR($AC138*HDF_Limited_Col!CB138/HDF_Limited_Col!$AH138," ")</f>
        <v xml:space="preserve"> </v>
      </c>
      <c r="CC138" s="26" t="str">
        <f>IFERROR($AC138*HDF_Limited_Col!CC138/HDF_Limited_Col!$AH138," ")</f>
        <v xml:space="preserve"> </v>
      </c>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row>
    <row r="139" spans="1:109">
      <c r="A139" s="26" t="s">
        <v>752</v>
      </c>
      <c r="B139" s="26" t="s">
        <v>24</v>
      </c>
      <c r="C139" s="155" t="s">
        <v>546</v>
      </c>
      <c r="D139" s="26" t="s">
        <v>119</v>
      </c>
      <c r="E139" s="26" t="s">
        <v>171</v>
      </c>
      <c r="F139" s="26" t="s">
        <v>45</v>
      </c>
      <c r="G139" s="26" t="s">
        <v>595</v>
      </c>
      <c r="H139" s="30">
        <v>55</v>
      </c>
      <c r="I139" s="26" t="s">
        <v>712</v>
      </c>
      <c r="J139" s="26"/>
      <c r="K139" s="26"/>
      <c r="L139" s="26"/>
      <c r="M139" s="26" t="s">
        <v>126</v>
      </c>
      <c r="N139" s="26">
        <v>20</v>
      </c>
      <c r="O139" s="95">
        <v>3.5942358971684985</v>
      </c>
      <c r="P139" s="95">
        <v>1.3350019046625849</v>
      </c>
      <c r="Q139" s="95">
        <v>0.51346227102407105</v>
      </c>
      <c r="R139" s="95">
        <v>5.4427000728551542</v>
      </c>
      <c r="S139" s="95">
        <v>6.0588547980840399</v>
      </c>
      <c r="T139" s="95">
        <v>7.4965491569514393</v>
      </c>
      <c r="U139" s="95">
        <v>12.220402050372893</v>
      </c>
      <c r="V139" s="95">
        <v>14.274251134469178</v>
      </c>
      <c r="W139" s="95">
        <v>26.083883368022814</v>
      </c>
      <c r="X139" s="95">
        <v>0</v>
      </c>
      <c r="Y139" s="95">
        <v>29.678119265191309</v>
      </c>
      <c r="Z139" s="95">
        <v>106.69745991880198</v>
      </c>
      <c r="AA139" s="26"/>
      <c r="AB139" s="26"/>
      <c r="AC139" s="26">
        <f t="shared" si="3"/>
        <v>216532.04635505649</v>
      </c>
      <c r="AD139" s="26" t="str">
        <f>IFERROR($AC139*HDF_Limited_Col!AD139/HDF_Limited_Col!$AH139," ")</f>
        <v xml:space="preserve"> </v>
      </c>
      <c r="AE139" s="26" t="str">
        <f>IFERROR($AC139*HDF_Limited_Col!AE139/HDF_Limited_Col!$AH139," ")</f>
        <v xml:space="preserve"> </v>
      </c>
      <c r="AF139" s="26" t="str">
        <f>IFERROR($AC139*HDF_Limited_Col!AF139/HDF_Limited_Col!$AH139," ")</f>
        <v xml:space="preserve"> </v>
      </c>
      <c r="AG139" s="26" t="str">
        <f>IFERROR($AC139*HDF_Limited_Col!AG139/HDF_Limited_Col!$AH139," ")</f>
        <v xml:space="preserve"> </v>
      </c>
      <c r="AH139" s="26" t="str">
        <f>IFERROR($AC139*HDF_Limited_Col!AH139/HDF_Limited_Col!$AH139," ")</f>
        <v xml:space="preserve"> </v>
      </c>
      <c r="AI139" s="26" t="str">
        <f>IFERROR($AC139*HDF_Limited_Col!AI139/HDF_Limited_Col!$AH139," ")</f>
        <v xml:space="preserve"> </v>
      </c>
      <c r="AJ139" s="26" t="str">
        <f>IFERROR($AC139*HDF_Limited_Col!AJ139/HDF_Limited_Col!$AH139," ")</f>
        <v xml:space="preserve"> </v>
      </c>
      <c r="AK139" s="26" t="str">
        <f>IFERROR($AC139*HDF_Limited_Col!AK139/HDF_Limited_Col!$AH139," ")</f>
        <v xml:space="preserve"> </v>
      </c>
      <c r="AL139" s="26" t="str">
        <f>IFERROR($AC139*HDF_Limited_Col!AL139/HDF_Limited_Col!$AH139," ")</f>
        <v xml:space="preserve"> </v>
      </c>
      <c r="AM139" s="26" t="str">
        <f>IFERROR($AC139*HDF_Limited_Col!AM139/HDF_Limited_Col!$AH139," ")</f>
        <v xml:space="preserve"> </v>
      </c>
      <c r="AN139" s="26" t="str">
        <f>IFERROR($AC139*HDF_Limited_Col!AN139/HDF_Limited_Col!$AH139," ")</f>
        <v xml:space="preserve"> </v>
      </c>
      <c r="AO139" s="26" t="str">
        <f>IFERROR($AC139*HDF_Limited_Col!AO139/HDF_Limited_Col!$AH139," ")</f>
        <v xml:space="preserve"> </v>
      </c>
      <c r="AP139" s="26" t="str">
        <f>IFERROR($AC139*HDF_Limited_Col!AP139/HDF_Limited_Col!$AH139," ")</f>
        <v xml:space="preserve"> </v>
      </c>
      <c r="AQ139" s="26" t="str">
        <f>IFERROR($AC139*HDF_Limited_Col!AQ139/HDF_Limited_Col!$AH139," ")</f>
        <v xml:space="preserve"> </v>
      </c>
      <c r="AR139" s="26" t="str">
        <f>IFERROR($AC139*HDF_Limited_Col!AR139/HDF_Limited_Col!$AH139," ")</f>
        <v xml:space="preserve"> </v>
      </c>
      <c r="AS139" s="26" t="str">
        <f>IFERROR($AC139*HDF_Limited_Col!AS139/HDF_Limited_Col!$AH139," ")</f>
        <v xml:space="preserve"> </v>
      </c>
      <c r="AT139" s="26" t="str">
        <f>IFERROR($AC139*HDF_Limited_Col!AT139/HDF_Limited_Col!$AH139," ")</f>
        <v xml:space="preserve"> </v>
      </c>
      <c r="AU139" s="26" t="str">
        <f>IFERROR($AC139*HDF_Limited_Col!AU139/HDF_Limited_Col!$AH139," ")</f>
        <v xml:space="preserve"> </v>
      </c>
      <c r="AV139" s="26" t="str">
        <f>IFERROR($AC139*HDF_Limited_Col!AV139/HDF_Limited_Col!$AH139," ")</f>
        <v xml:space="preserve"> </v>
      </c>
      <c r="AW139" s="26" t="str">
        <f>IFERROR($AC139*HDF_Limited_Col!AW139/HDF_Limited_Col!$AH139," ")</f>
        <v xml:space="preserve"> </v>
      </c>
      <c r="AX139" s="26" t="str">
        <f>IFERROR($AC139*HDF_Limited_Col!AX139/HDF_Limited_Col!$AH139," ")</f>
        <v xml:space="preserve"> </v>
      </c>
      <c r="AY139" s="26" t="str">
        <f>IFERROR($AC139*HDF_Limited_Col!AY139/HDF_Limited_Col!$AH139," ")</f>
        <v xml:space="preserve"> </v>
      </c>
      <c r="AZ139" s="26" t="str">
        <f>IFERROR($AC139*HDF_Limited_Col!AZ139/HDF_Limited_Col!$AH139," ")</f>
        <v xml:space="preserve"> </v>
      </c>
      <c r="BA139" s="26" t="str">
        <f>IFERROR($AC139*HDF_Limited_Col!BA139/HDF_Limited_Col!$AH139," ")</f>
        <v xml:space="preserve"> </v>
      </c>
      <c r="BB139" s="26" t="str">
        <f>IFERROR($AC139*HDF_Limited_Col!BB139/HDF_Limited_Col!$AH139," ")</f>
        <v xml:space="preserve"> </v>
      </c>
      <c r="BC139" s="26" t="str">
        <f>IFERROR($AC139*HDF_Limited_Col!BC139/HDF_Limited_Col!$AH139," ")</f>
        <v xml:space="preserve"> </v>
      </c>
      <c r="BD139" s="26" t="str">
        <f>IFERROR($AC139*HDF_Limited_Col!BD139/HDF_Limited_Col!$AH139," ")</f>
        <v xml:space="preserve"> </v>
      </c>
      <c r="BE139" s="26" t="str">
        <f>IFERROR($AC139*HDF_Limited_Col!BE139/HDF_Limited_Col!$AH139," ")</f>
        <v xml:space="preserve"> </v>
      </c>
      <c r="BF139" s="26" t="str">
        <f>IFERROR($AC139*HDF_Limited_Col!BF139/HDF_Limited_Col!$AH139," ")</f>
        <v xml:space="preserve"> </v>
      </c>
      <c r="BG139" s="26" t="str">
        <f>IFERROR($AC139*HDF_Limited_Col!BG139/HDF_Limited_Col!$AH139," ")</f>
        <v xml:space="preserve"> </v>
      </c>
      <c r="BH139" s="26" t="str">
        <f>IFERROR($AC139*HDF_Limited_Col!BH139/HDF_Limited_Col!$AH139," ")</f>
        <v xml:space="preserve"> </v>
      </c>
      <c r="BI139" s="26" t="str">
        <f>IFERROR($AC139*HDF_Limited_Col!BI139/HDF_Limited_Col!$AH139," ")</f>
        <v xml:space="preserve"> </v>
      </c>
      <c r="BJ139" s="26" t="str">
        <f>IFERROR($AC139*HDF_Limited_Col!BJ139/HDF_Limited_Col!$AH139," ")</f>
        <v xml:space="preserve"> </v>
      </c>
      <c r="BK139" s="26" t="str">
        <f>IFERROR($AC139*HDF_Limited_Col!BK139/HDF_Limited_Col!$AH139," ")</f>
        <v xml:space="preserve"> </v>
      </c>
      <c r="BL139" s="26" t="str">
        <f>IFERROR($AC139*HDF_Limited_Col!BL139/HDF_Limited_Col!$AH139," ")</f>
        <v xml:space="preserve"> </v>
      </c>
      <c r="BM139" s="26" t="str">
        <f>IFERROR($AC139*HDF_Limited_Col!BM139/HDF_Limited_Col!$AH139," ")</f>
        <v xml:space="preserve"> </v>
      </c>
      <c r="BN139" s="26" t="str">
        <f>IFERROR($AC139*HDF_Limited_Col!BN139/HDF_Limited_Col!$AH139," ")</f>
        <v xml:space="preserve"> </v>
      </c>
      <c r="BO139" s="26" t="str">
        <f>IFERROR($AC139*HDF_Limited_Col!BO139/HDF_Limited_Col!$AH139," ")</f>
        <v xml:space="preserve"> </v>
      </c>
      <c r="BP139" s="26" t="str">
        <f>IFERROR($AC139*HDF_Limited_Col!BP139/HDF_Limited_Col!$AH139," ")</f>
        <v xml:space="preserve"> </v>
      </c>
      <c r="BQ139" s="26" t="str">
        <f>IFERROR($AC139*HDF_Limited_Col!BQ139/HDF_Limited_Col!$AH139," ")</f>
        <v xml:space="preserve"> </v>
      </c>
      <c r="BR139" s="26" t="str">
        <f>IFERROR($AC139*HDF_Limited_Col!BR139/HDF_Limited_Col!$AH139," ")</f>
        <v xml:space="preserve"> </v>
      </c>
      <c r="BS139" s="26" t="str">
        <f>IFERROR($AC139*HDF_Limited_Col!BS139/HDF_Limited_Col!$AH139," ")</f>
        <v xml:space="preserve"> </v>
      </c>
      <c r="BT139" s="26" t="str">
        <f>IFERROR($AC139*HDF_Limited_Col!BT139/HDF_Limited_Col!$AH139," ")</f>
        <v xml:space="preserve"> </v>
      </c>
      <c r="BU139" s="26" t="str">
        <f>IFERROR($AC139*HDF_Limited_Col!BU139/HDF_Limited_Col!$AH139," ")</f>
        <v xml:space="preserve"> </v>
      </c>
      <c r="BV139" s="26" t="str">
        <f>IFERROR($AC139*HDF_Limited_Col!BV139/HDF_Limited_Col!$AH139," ")</f>
        <v xml:space="preserve"> </v>
      </c>
      <c r="BW139" s="26" t="str">
        <f>IFERROR($AC139*HDF_Limited_Col!BW139/HDF_Limited_Col!$AH139," ")</f>
        <v xml:space="preserve"> </v>
      </c>
      <c r="BX139" s="26" t="str">
        <f>IFERROR($AC139*HDF_Limited_Col!BX139/HDF_Limited_Col!$AH139," ")</f>
        <v xml:space="preserve"> </v>
      </c>
      <c r="BY139" s="26" t="str">
        <f>IFERROR($AC139*HDF_Limited_Col!BY139/HDF_Limited_Col!$AH139," ")</f>
        <v xml:space="preserve"> </v>
      </c>
      <c r="BZ139" s="26" t="str">
        <f>IFERROR($AC139*HDF_Limited_Col!BZ139/HDF_Limited_Col!$AH139," ")</f>
        <v xml:space="preserve"> </v>
      </c>
      <c r="CA139" s="26" t="str">
        <f>IFERROR($AC139*HDF_Limited_Col!CA139/HDF_Limited_Col!$AH139," ")</f>
        <v xml:space="preserve"> </v>
      </c>
      <c r="CB139" s="26" t="str">
        <f>IFERROR($AC139*HDF_Limited_Col!CB139/HDF_Limited_Col!$AH139," ")</f>
        <v xml:space="preserve"> </v>
      </c>
      <c r="CC139" s="26" t="str">
        <f>IFERROR($AC139*HDF_Limited_Col!CC139/HDF_Limited_Col!$AH139," ")</f>
        <v xml:space="preserve"> </v>
      </c>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row>
    <row r="140" spans="1:109">
      <c r="A140" s="26" t="s">
        <v>1424</v>
      </c>
      <c r="B140" s="26" t="s">
        <v>24</v>
      </c>
      <c r="C140" s="155" t="s">
        <v>546</v>
      </c>
      <c r="D140" s="26" t="s">
        <v>119</v>
      </c>
      <c r="E140" s="26" t="s">
        <v>171</v>
      </c>
      <c r="F140" s="26" t="s">
        <v>45</v>
      </c>
      <c r="G140" s="26" t="s">
        <v>595</v>
      </c>
      <c r="H140" s="30">
        <v>55</v>
      </c>
      <c r="I140" s="26" t="s">
        <v>712</v>
      </c>
      <c r="J140" s="26" t="s">
        <v>1311</v>
      </c>
      <c r="K140" s="26" t="s">
        <v>1276</v>
      </c>
      <c r="L140" s="26" t="s">
        <v>1725</v>
      </c>
      <c r="M140" s="26" t="s">
        <v>1403</v>
      </c>
      <c r="N140" s="26">
        <v>11</v>
      </c>
      <c r="O140" s="95">
        <v>2.8050970472863455</v>
      </c>
      <c r="P140" s="95">
        <v>0.80145629922467021</v>
      </c>
      <c r="Q140" s="95">
        <v>0.5009101870154189</v>
      </c>
      <c r="R140" s="95">
        <v>7.112924655618948</v>
      </c>
      <c r="S140" s="95">
        <v>3.8369720325381085</v>
      </c>
      <c r="T140" s="95">
        <v>2.5045509350770945</v>
      </c>
      <c r="U140" s="95">
        <v>19.034587106585917</v>
      </c>
      <c r="V140" s="95">
        <v>11.120206151742298</v>
      </c>
      <c r="W140" s="95">
        <v>27.149332136235703</v>
      </c>
      <c r="X140" s="95">
        <v>0</v>
      </c>
      <c r="Y140" s="95">
        <v>32.458980118599143</v>
      </c>
      <c r="Z140" s="95">
        <v>107.32501666992364</v>
      </c>
      <c r="AA140" s="26"/>
      <c r="AB140" s="26"/>
      <c r="AC140" s="26">
        <f t="shared" si="3"/>
        <v>225376.73404256694</v>
      </c>
      <c r="AD140" s="26" t="str">
        <f>IFERROR($AC140*HDF_Limited_Col!AD140/HDF_Limited_Col!$AH140," ")</f>
        <v xml:space="preserve"> </v>
      </c>
      <c r="AE140" s="26" t="str">
        <f>IFERROR($AC140*HDF_Limited_Col!AE140/HDF_Limited_Col!$AH140," ")</f>
        <v xml:space="preserve"> </v>
      </c>
      <c r="AF140" s="26" t="str">
        <f>IFERROR($AC140*HDF_Limited_Col!AF140/HDF_Limited_Col!$AH140," ")</f>
        <v xml:space="preserve"> </v>
      </c>
      <c r="AG140" s="26" t="str">
        <f>IFERROR($AC140*HDF_Limited_Col!AG140/HDF_Limited_Col!$AH140," ")</f>
        <v xml:space="preserve"> </v>
      </c>
      <c r="AH140" s="26" t="str">
        <f>IFERROR($AC140*HDF_Limited_Col!AH140/HDF_Limited_Col!$AH140," ")</f>
        <v xml:space="preserve"> </v>
      </c>
      <c r="AI140" s="26" t="str">
        <f>IFERROR($AC140*HDF_Limited_Col!AI140/HDF_Limited_Col!$AH140," ")</f>
        <v xml:space="preserve"> </v>
      </c>
      <c r="AJ140" s="26" t="str">
        <f>IFERROR($AC140*HDF_Limited_Col!AJ140/HDF_Limited_Col!$AH140," ")</f>
        <v xml:space="preserve"> </v>
      </c>
      <c r="AK140" s="26" t="str">
        <f>IFERROR($AC140*HDF_Limited_Col!AK140/HDF_Limited_Col!$AH140," ")</f>
        <v xml:space="preserve"> </v>
      </c>
      <c r="AL140" s="26" t="str">
        <f>IFERROR($AC140*HDF_Limited_Col!AL140/HDF_Limited_Col!$AH140," ")</f>
        <v xml:space="preserve"> </v>
      </c>
      <c r="AM140" s="26" t="str">
        <f>IFERROR($AC140*HDF_Limited_Col!AM140/HDF_Limited_Col!$AH140," ")</f>
        <v xml:space="preserve"> </v>
      </c>
      <c r="AN140" s="26" t="str">
        <f>IFERROR($AC140*HDF_Limited_Col!AN140/HDF_Limited_Col!$AH140," ")</f>
        <v xml:space="preserve"> </v>
      </c>
      <c r="AO140" s="26" t="str">
        <f>IFERROR($AC140*HDF_Limited_Col!AO140/HDF_Limited_Col!$AH140," ")</f>
        <v xml:space="preserve"> </v>
      </c>
      <c r="AP140" s="26" t="str">
        <f>IFERROR($AC140*HDF_Limited_Col!AP140/HDF_Limited_Col!$AH140," ")</f>
        <v xml:space="preserve"> </v>
      </c>
      <c r="AQ140" s="26" t="str">
        <f>IFERROR($AC140*HDF_Limited_Col!AQ140/HDF_Limited_Col!$AH140," ")</f>
        <v xml:space="preserve"> </v>
      </c>
      <c r="AR140" s="26" t="str">
        <f>IFERROR($AC140*HDF_Limited_Col!AR140/HDF_Limited_Col!$AH140," ")</f>
        <v xml:space="preserve"> </v>
      </c>
      <c r="AS140" s="26" t="str">
        <f>IFERROR($AC140*HDF_Limited_Col!AS140/HDF_Limited_Col!$AH140," ")</f>
        <v xml:space="preserve"> </v>
      </c>
      <c r="AT140" s="26" t="str">
        <f>IFERROR($AC140*HDF_Limited_Col!AT140/HDF_Limited_Col!$AH140," ")</f>
        <v xml:space="preserve"> </v>
      </c>
      <c r="AU140" s="26" t="str">
        <f>IFERROR($AC140*HDF_Limited_Col!AU140/HDF_Limited_Col!$AH140," ")</f>
        <v xml:space="preserve"> </v>
      </c>
      <c r="AV140" s="26" t="str">
        <f>IFERROR($AC140*HDF_Limited_Col!AV140/HDF_Limited_Col!$AH140," ")</f>
        <v xml:space="preserve"> </v>
      </c>
      <c r="AW140" s="26" t="str">
        <f>IFERROR($AC140*HDF_Limited_Col!AW140/HDF_Limited_Col!$AH140," ")</f>
        <v xml:space="preserve"> </v>
      </c>
      <c r="AX140" s="26" t="str">
        <f>IFERROR($AC140*HDF_Limited_Col!AX140/HDF_Limited_Col!$AH140," ")</f>
        <v xml:space="preserve"> </v>
      </c>
      <c r="AY140" s="26" t="str">
        <f>IFERROR($AC140*HDF_Limited_Col!AY140/HDF_Limited_Col!$AH140," ")</f>
        <v xml:space="preserve"> </v>
      </c>
      <c r="AZ140" s="26" t="str">
        <f>IFERROR($AC140*HDF_Limited_Col!AZ140/HDF_Limited_Col!$AH140," ")</f>
        <v xml:space="preserve"> </v>
      </c>
      <c r="BA140" s="26" t="str">
        <f>IFERROR($AC140*HDF_Limited_Col!BA140/HDF_Limited_Col!$AH140," ")</f>
        <v xml:space="preserve"> </v>
      </c>
      <c r="BB140" s="26" t="str">
        <f>IFERROR($AC140*HDF_Limited_Col!BB140/HDF_Limited_Col!$AH140," ")</f>
        <v xml:space="preserve"> </v>
      </c>
      <c r="BC140" s="26" t="str">
        <f>IFERROR($AC140*HDF_Limited_Col!BC140/HDF_Limited_Col!$AH140," ")</f>
        <v xml:space="preserve"> </v>
      </c>
      <c r="BD140" s="26" t="str">
        <f>IFERROR($AC140*HDF_Limited_Col!BD140/HDF_Limited_Col!$AH140," ")</f>
        <v xml:space="preserve"> </v>
      </c>
      <c r="BE140" s="26" t="str">
        <f>IFERROR($AC140*HDF_Limited_Col!BE140/HDF_Limited_Col!$AH140," ")</f>
        <v xml:space="preserve"> </v>
      </c>
      <c r="BF140" s="26" t="str">
        <f>IFERROR($AC140*HDF_Limited_Col!BF140/HDF_Limited_Col!$AH140," ")</f>
        <v xml:space="preserve"> </v>
      </c>
      <c r="BG140" s="26" t="str">
        <f>IFERROR($AC140*HDF_Limited_Col!BG140/HDF_Limited_Col!$AH140," ")</f>
        <v xml:space="preserve"> </v>
      </c>
      <c r="BH140" s="26" t="str">
        <f>IFERROR($AC140*HDF_Limited_Col!BH140/HDF_Limited_Col!$AH140," ")</f>
        <v xml:space="preserve"> </v>
      </c>
      <c r="BI140" s="26" t="str">
        <f>IFERROR($AC140*HDF_Limited_Col!BI140/HDF_Limited_Col!$AH140," ")</f>
        <v xml:space="preserve"> </v>
      </c>
      <c r="BJ140" s="26" t="str">
        <f>IFERROR($AC140*HDF_Limited_Col!BJ140/HDF_Limited_Col!$AH140," ")</f>
        <v xml:space="preserve"> </v>
      </c>
      <c r="BK140" s="26" t="str">
        <f>IFERROR($AC140*HDF_Limited_Col!BK140/HDF_Limited_Col!$AH140," ")</f>
        <v xml:space="preserve"> </v>
      </c>
      <c r="BL140" s="26" t="str">
        <f>IFERROR($AC140*HDF_Limited_Col!BL140/HDF_Limited_Col!$AH140," ")</f>
        <v xml:space="preserve"> </v>
      </c>
      <c r="BM140" s="26" t="str">
        <f>IFERROR($AC140*HDF_Limited_Col!BM140/HDF_Limited_Col!$AH140," ")</f>
        <v xml:space="preserve"> </v>
      </c>
      <c r="BN140" s="26" t="str">
        <f>IFERROR($AC140*HDF_Limited_Col!BN140/HDF_Limited_Col!$AH140," ")</f>
        <v xml:space="preserve"> </v>
      </c>
      <c r="BO140" s="26" t="str">
        <f>IFERROR($AC140*HDF_Limited_Col!BO140/HDF_Limited_Col!$AH140," ")</f>
        <v xml:space="preserve"> </v>
      </c>
      <c r="BP140" s="26" t="str">
        <f>IFERROR($AC140*HDF_Limited_Col!BP140/HDF_Limited_Col!$AH140," ")</f>
        <v xml:space="preserve"> </v>
      </c>
      <c r="BQ140" s="26" t="str">
        <f>IFERROR($AC140*HDF_Limited_Col!BQ140/HDF_Limited_Col!$AH140," ")</f>
        <v xml:space="preserve"> </v>
      </c>
      <c r="BR140" s="26" t="str">
        <f>IFERROR($AC140*HDF_Limited_Col!BR140/HDF_Limited_Col!$AH140," ")</f>
        <v xml:space="preserve"> </v>
      </c>
      <c r="BS140" s="26" t="str">
        <f>IFERROR($AC140*HDF_Limited_Col!BS140/HDF_Limited_Col!$AH140," ")</f>
        <v xml:space="preserve"> </v>
      </c>
      <c r="BT140" s="26" t="str">
        <f>IFERROR($AC140*HDF_Limited_Col!BT140/HDF_Limited_Col!$AH140," ")</f>
        <v xml:space="preserve"> </v>
      </c>
      <c r="BU140" s="26" t="str">
        <f>IFERROR($AC140*HDF_Limited_Col!BU140/HDF_Limited_Col!$AH140," ")</f>
        <v xml:space="preserve"> </v>
      </c>
      <c r="BV140" s="26" t="str">
        <f>IFERROR($AC140*HDF_Limited_Col!BV140/HDF_Limited_Col!$AH140," ")</f>
        <v xml:space="preserve"> </v>
      </c>
      <c r="BW140" s="26" t="str">
        <f>IFERROR($AC140*HDF_Limited_Col!BW140/HDF_Limited_Col!$AH140," ")</f>
        <v xml:space="preserve"> </v>
      </c>
      <c r="BX140" s="26" t="str">
        <f>IFERROR($AC140*HDF_Limited_Col!BX140/HDF_Limited_Col!$AH140," ")</f>
        <v xml:space="preserve"> </v>
      </c>
      <c r="BY140" s="26" t="str">
        <f>IFERROR($AC140*HDF_Limited_Col!BY140/HDF_Limited_Col!$AH140," ")</f>
        <v xml:space="preserve"> </v>
      </c>
      <c r="BZ140" s="26" t="str">
        <f>IFERROR($AC140*HDF_Limited_Col!BZ140/HDF_Limited_Col!$AH140," ")</f>
        <v xml:space="preserve"> </v>
      </c>
      <c r="CA140" s="26" t="str">
        <f>IFERROR($AC140*HDF_Limited_Col!CA140/HDF_Limited_Col!$AH140," ")</f>
        <v xml:space="preserve"> </v>
      </c>
      <c r="CB140" s="26" t="str">
        <f>IFERROR($AC140*HDF_Limited_Col!CB140/HDF_Limited_Col!$AH140," ")</f>
        <v xml:space="preserve"> </v>
      </c>
      <c r="CC140" s="26" t="str">
        <f>IFERROR($AC140*HDF_Limited_Col!CC140/HDF_Limited_Col!$AH140," ")</f>
        <v xml:space="preserve"> </v>
      </c>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row>
    <row r="141" spans="1:109">
      <c r="A141" s="26" t="s">
        <v>1424</v>
      </c>
      <c r="B141" s="26" t="s">
        <v>24</v>
      </c>
      <c r="C141" s="155" t="s">
        <v>546</v>
      </c>
      <c r="D141" s="26" t="s">
        <v>119</v>
      </c>
      <c r="E141" s="26" t="s">
        <v>171</v>
      </c>
      <c r="F141" s="26" t="s">
        <v>45</v>
      </c>
      <c r="G141" s="26" t="s">
        <v>595</v>
      </c>
      <c r="H141" s="30">
        <v>55</v>
      </c>
      <c r="I141" s="26" t="s">
        <v>712</v>
      </c>
      <c r="J141" s="26" t="s">
        <v>1311</v>
      </c>
      <c r="K141" s="26" t="s">
        <v>1276</v>
      </c>
      <c r="L141" s="26" t="s">
        <v>1725</v>
      </c>
      <c r="M141" s="26" t="s">
        <v>1407</v>
      </c>
      <c r="N141" s="26">
        <v>13</v>
      </c>
      <c r="O141" s="95">
        <v>3.0114843874724828</v>
      </c>
      <c r="P141" s="95">
        <v>2.0768857844637818</v>
      </c>
      <c r="Q141" s="95">
        <v>0.72691002456232334</v>
      </c>
      <c r="R141" s="95">
        <v>6.8537230887304776</v>
      </c>
      <c r="S141" s="95">
        <v>3.1153286766956723</v>
      </c>
      <c r="T141" s="95">
        <v>4.9845258827130756</v>
      </c>
      <c r="U141" s="95">
        <v>12.669003285229063</v>
      </c>
      <c r="V141" s="95">
        <v>9.1382974516406392</v>
      </c>
      <c r="W141" s="95">
        <v>31.049442477733528</v>
      </c>
      <c r="X141" s="95">
        <v>0</v>
      </c>
      <c r="Y141" s="95">
        <v>34.060926865206014</v>
      </c>
      <c r="Z141" s="95">
        <v>107.68652792444705</v>
      </c>
      <c r="AA141" s="26"/>
      <c r="AB141" s="26"/>
      <c r="AC141" s="26">
        <f t="shared" si="3"/>
        <v>257753.00491220073</v>
      </c>
      <c r="AD141" s="26" t="str">
        <f>IFERROR($AC141*HDF_Limited_Col!AD141/HDF_Limited_Col!$AH141," ")</f>
        <v xml:space="preserve"> </v>
      </c>
      <c r="AE141" s="26" t="str">
        <f>IFERROR($AC141*HDF_Limited_Col!AE141/HDF_Limited_Col!$AH141," ")</f>
        <v xml:space="preserve"> </v>
      </c>
      <c r="AF141" s="26" t="str">
        <f>IFERROR($AC141*HDF_Limited_Col!AF141/HDF_Limited_Col!$AH141," ")</f>
        <v xml:space="preserve"> </v>
      </c>
      <c r="AG141" s="26" t="str">
        <f>IFERROR($AC141*HDF_Limited_Col!AG141/HDF_Limited_Col!$AH141," ")</f>
        <v xml:space="preserve"> </v>
      </c>
      <c r="AH141" s="26" t="str">
        <f>IFERROR($AC141*HDF_Limited_Col!AH141/HDF_Limited_Col!$AH141," ")</f>
        <v xml:space="preserve"> </v>
      </c>
      <c r="AI141" s="26" t="str">
        <f>IFERROR($AC141*HDF_Limited_Col!AI141/HDF_Limited_Col!$AH141," ")</f>
        <v xml:space="preserve"> </v>
      </c>
      <c r="AJ141" s="26" t="str">
        <f>IFERROR($AC141*HDF_Limited_Col!AJ141/HDF_Limited_Col!$AH141," ")</f>
        <v xml:space="preserve"> </v>
      </c>
      <c r="AK141" s="26" t="str">
        <f>IFERROR($AC141*HDF_Limited_Col!AK141/HDF_Limited_Col!$AH141," ")</f>
        <v xml:space="preserve"> </v>
      </c>
      <c r="AL141" s="26" t="str">
        <f>IFERROR($AC141*HDF_Limited_Col!AL141/HDF_Limited_Col!$AH141," ")</f>
        <v xml:space="preserve"> </v>
      </c>
      <c r="AM141" s="26" t="str">
        <f>IFERROR($AC141*HDF_Limited_Col!AM141/HDF_Limited_Col!$AH141," ")</f>
        <v xml:space="preserve"> </v>
      </c>
      <c r="AN141" s="26" t="str">
        <f>IFERROR($AC141*HDF_Limited_Col!AN141/HDF_Limited_Col!$AH141," ")</f>
        <v xml:space="preserve"> </v>
      </c>
      <c r="AO141" s="26" t="str">
        <f>IFERROR($AC141*HDF_Limited_Col!AO141/HDF_Limited_Col!$AH141," ")</f>
        <v xml:space="preserve"> </v>
      </c>
      <c r="AP141" s="26" t="str">
        <f>IFERROR($AC141*HDF_Limited_Col!AP141/HDF_Limited_Col!$AH141," ")</f>
        <v xml:space="preserve"> </v>
      </c>
      <c r="AQ141" s="26" t="str">
        <f>IFERROR($AC141*HDF_Limited_Col!AQ141/HDF_Limited_Col!$AH141," ")</f>
        <v xml:space="preserve"> </v>
      </c>
      <c r="AR141" s="26" t="str">
        <f>IFERROR($AC141*HDF_Limited_Col!AR141/HDF_Limited_Col!$AH141," ")</f>
        <v xml:space="preserve"> </v>
      </c>
      <c r="AS141" s="26" t="str">
        <f>IFERROR($AC141*HDF_Limited_Col!AS141/HDF_Limited_Col!$AH141," ")</f>
        <v xml:space="preserve"> </v>
      </c>
      <c r="AT141" s="26" t="str">
        <f>IFERROR($AC141*HDF_Limited_Col!AT141/HDF_Limited_Col!$AH141," ")</f>
        <v xml:space="preserve"> </v>
      </c>
      <c r="AU141" s="26" t="str">
        <f>IFERROR($AC141*HDF_Limited_Col!AU141/HDF_Limited_Col!$AH141," ")</f>
        <v xml:space="preserve"> </v>
      </c>
      <c r="AV141" s="26" t="str">
        <f>IFERROR($AC141*HDF_Limited_Col!AV141/HDF_Limited_Col!$AH141," ")</f>
        <v xml:space="preserve"> </v>
      </c>
      <c r="AW141" s="26" t="str">
        <f>IFERROR($AC141*HDF_Limited_Col!AW141/HDF_Limited_Col!$AH141," ")</f>
        <v xml:space="preserve"> </v>
      </c>
      <c r="AX141" s="26" t="str">
        <f>IFERROR($AC141*HDF_Limited_Col!AX141/HDF_Limited_Col!$AH141," ")</f>
        <v xml:space="preserve"> </v>
      </c>
      <c r="AY141" s="26" t="str">
        <f>IFERROR($AC141*HDF_Limited_Col!AY141/HDF_Limited_Col!$AH141," ")</f>
        <v xml:space="preserve"> </v>
      </c>
      <c r="AZ141" s="26" t="str">
        <f>IFERROR($AC141*HDF_Limited_Col!AZ141/HDF_Limited_Col!$AH141," ")</f>
        <v xml:space="preserve"> </v>
      </c>
      <c r="BA141" s="26" t="str">
        <f>IFERROR($AC141*HDF_Limited_Col!BA141/HDF_Limited_Col!$AH141," ")</f>
        <v xml:space="preserve"> </v>
      </c>
      <c r="BB141" s="26" t="str">
        <f>IFERROR($AC141*HDF_Limited_Col!BB141/HDF_Limited_Col!$AH141," ")</f>
        <v xml:space="preserve"> </v>
      </c>
      <c r="BC141" s="26" t="str">
        <f>IFERROR($AC141*HDF_Limited_Col!BC141/HDF_Limited_Col!$AH141," ")</f>
        <v xml:space="preserve"> </v>
      </c>
      <c r="BD141" s="26" t="str">
        <f>IFERROR($AC141*HDF_Limited_Col!BD141/HDF_Limited_Col!$AH141," ")</f>
        <v xml:space="preserve"> </v>
      </c>
      <c r="BE141" s="26" t="str">
        <f>IFERROR($AC141*HDF_Limited_Col!BE141/HDF_Limited_Col!$AH141," ")</f>
        <v xml:space="preserve"> </v>
      </c>
      <c r="BF141" s="26" t="str">
        <f>IFERROR($AC141*HDF_Limited_Col!BF141/HDF_Limited_Col!$AH141," ")</f>
        <v xml:space="preserve"> </v>
      </c>
      <c r="BG141" s="26" t="str">
        <f>IFERROR($AC141*HDF_Limited_Col!BG141/HDF_Limited_Col!$AH141," ")</f>
        <v xml:space="preserve"> </v>
      </c>
      <c r="BH141" s="26" t="str">
        <f>IFERROR($AC141*HDF_Limited_Col!BH141/HDF_Limited_Col!$AH141," ")</f>
        <v xml:space="preserve"> </v>
      </c>
      <c r="BI141" s="26" t="str">
        <f>IFERROR($AC141*HDF_Limited_Col!BI141/HDF_Limited_Col!$AH141," ")</f>
        <v xml:space="preserve"> </v>
      </c>
      <c r="BJ141" s="26" t="str">
        <f>IFERROR($AC141*HDF_Limited_Col!BJ141/HDF_Limited_Col!$AH141," ")</f>
        <v xml:space="preserve"> </v>
      </c>
      <c r="BK141" s="26" t="str">
        <f>IFERROR($AC141*HDF_Limited_Col!BK141/HDF_Limited_Col!$AH141," ")</f>
        <v xml:space="preserve"> </v>
      </c>
      <c r="BL141" s="26" t="str">
        <f>IFERROR($AC141*HDF_Limited_Col!BL141/HDF_Limited_Col!$AH141," ")</f>
        <v xml:space="preserve"> </v>
      </c>
      <c r="BM141" s="26" t="str">
        <f>IFERROR($AC141*HDF_Limited_Col!BM141/HDF_Limited_Col!$AH141," ")</f>
        <v xml:space="preserve"> </v>
      </c>
      <c r="BN141" s="26" t="str">
        <f>IFERROR($AC141*HDF_Limited_Col!BN141/HDF_Limited_Col!$AH141," ")</f>
        <v xml:space="preserve"> </v>
      </c>
      <c r="BO141" s="26" t="str">
        <f>IFERROR($AC141*HDF_Limited_Col!BO141/HDF_Limited_Col!$AH141," ")</f>
        <v xml:space="preserve"> </v>
      </c>
      <c r="BP141" s="26" t="str">
        <f>IFERROR($AC141*HDF_Limited_Col!BP141/HDF_Limited_Col!$AH141," ")</f>
        <v xml:space="preserve"> </v>
      </c>
      <c r="BQ141" s="26" t="str">
        <f>IFERROR($AC141*HDF_Limited_Col!BQ141/HDF_Limited_Col!$AH141," ")</f>
        <v xml:space="preserve"> </v>
      </c>
      <c r="BR141" s="26" t="str">
        <f>IFERROR($AC141*HDF_Limited_Col!BR141/HDF_Limited_Col!$AH141," ")</f>
        <v xml:space="preserve"> </v>
      </c>
      <c r="BS141" s="26" t="str">
        <f>IFERROR($AC141*HDF_Limited_Col!BS141/HDF_Limited_Col!$AH141," ")</f>
        <v xml:space="preserve"> </v>
      </c>
      <c r="BT141" s="26" t="str">
        <f>IFERROR($AC141*HDF_Limited_Col!BT141/HDF_Limited_Col!$AH141," ")</f>
        <v xml:space="preserve"> </v>
      </c>
      <c r="BU141" s="26" t="str">
        <f>IFERROR($AC141*HDF_Limited_Col!BU141/HDF_Limited_Col!$AH141," ")</f>
        <v xml:space="preserve"> </v>
      </c>
      <c r="BV141" s="26" t="str">
        <f>IFERROR($AC141*HDF_Limited_Col!BV141/HDF_Limited_Col!$AH141," ")</f>
        <v xml:space="preserve"> </v>
      </c>
      <c r="BW141" s="26" t="str">
        <f>IFERROR($AC141*HDF_Limited_Col!BW141/HDF_Limited_Col!$AH141," ")</f>
        <v xml:space="preserve"> </v>
      </c>
      <c r="BX141" s="26" t="str">
        <f>IFERROR($AC141*HDF_Limited_Col!BX141/HDF_Limited_Col!$AH141," ")</f>
        <v xml:space="preserve"> </v>
      </c>
      <c r="BY141" s="26" t="str">
        <f>IFERROR($AC141*HDF_Limited_Col!BY141/HDF_Limited_Col!$AH141," ")</f>
        <v xml:space="preserve"> </v>
      </c>
      <c r="BZ141" s="26" t="str">
        <f>IFERROR($AC141*HDF_Limited_Col!BZ141/HDF_Limited_Col!$AH141," ")</f>
        <v xml:space="preserve"> </v>
      </c>
      <c r="CA141" s="26" t="str">
        <f>IFERROR($AC141*HDF_Limited_Col!CA141/HDF_Limited_Col!$AH141," ")</f>
        <v xml:space="preserve"> </v>
      </c>
      <c r="CB141" s="26" t="str">
        <f>IFERROR($AC141*HDF_Limited_Col!CB141/HDF_Limited_Col!$AH141," ")</f>
        <v xml:space="preserve"> </v>
      </c>
      <c r="CC141" s="26" t="str">
        <f>IFERROR($AC141*HDF_Limited_Col!CC141/HDF_Limited_Col!$AH141," ")</f>
        <v xml:space="preserve"> </v>
      </c>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row>
    <row r="142" spans="1:109">
      <c r="A142" s="26" t="s">
        <v>1424</v>
      </c>
      <c r="B142" s="26" t="s">
        <v>24</v>
      </c>
      <c r="C142" s="155" t="s">
        <v>546</v>
      </c>
      <c r="D142" s="26" t="s">
        <v>119</v>
      </c>
      <c r="E142" s="26" t="s">
        <v>171</v>
      </c>
      <c r="F142" s="26" t="s">
        <v>45</v>
      </c>
      <c r="G142" s="26" t="s">
        <v>595</v>
      </c>
      <c r="H142" s="30">
        <v>55</v>
      </c>
      <c r="I142" s="26" t="s">
        <v>712</v>
      </c>
      <c r="J142" s="26" t="s">
        <v>1311</v>
      </c>
      <c r="K142" s="26" t="s">
        <v>1276</v>
      </c>
      <c r="L142" s="26" t="s">
        <v>1725</v>
      </c>
      <c r="M142" s="26" t="s">
        <v>1410</v>
      </c>
      <c r="N142" s="26">
        <v>20</v>
      </c>
      <c r="O142" s="95">
        <v>4.3152206518478593</v>
      </c>
      <c r="P142" s="95">
        <v>0.30823004656056135</v>
      </c>
      <c r="Q142" s="95">
        <v>0.51371674426760228</v>
      </c>
      <c r="R142" s="95">
        <v>6.0618575823577077</v>
      </c>
      <c r="S142" s="95">
        <v>4.1097339541408182</v>
      </c>
      <c r="T142" s="95">
        <v>5.7536275357971451</v>
      </c>
      <c r="U142" s="95">
        <v>15.000528932613985</v>
      </c>
      <c r="V142" s="95">
        <v>11.815485118154852</v>
      </c>
      <c r="W142" s="95">
        <v>28.254420934718127</v>
      </c>
      <c r="X142" s="95">
        <v>0</v>
      </c>
      <c r="Y142" s="95">
        <v>30.823004656056135</v>
      </c>
      <c r="Z142" s="95">
        <v>106.9558261565148</v>
      </c>
      <c r="AA142" s="26"/>
      <c r="AB142" s="26"/>
      <c r="AC142" s="26">
        <f t="shared" si="3"/>
        <v>234550.48840894329</v>
      </c>
      <c r="AD142" s="26" t="str">
        <f>IFERROR($AC142*HDF_Limited_Col!AD142/HDF_Limited_Col!$AH142," ")</f>
        <v xml:space="preserve"> </v>
      </c>
      <c r="AE142" s="26" t="str">
        <f>IFERROR($AC142*HDF_Limited_Col!AE142/HDF_Limited_Col!$AH142," ")</f>
        <v xml:space="preserve"> </v>
      </c>
      <c r="AF142" s="26" t="str">
        <f>IFERROR($AC142*HDF_Limited_Col!AF142/HDF_Limited_Col!$AH142," ")</f>
        <v xml:space="preserve"> </v>
      </c>
      <c r="AG142" s="26" t="str">
        <f>IFERROR($AC142*HDF_Limited_Col!AG142/HDF_Limited_Col!$AH142," ")</f>
        <v xml:space="preserve"> </v>
      </c>
      <c r="AH142" s="26" t="str">
        <f>IFERROR($AC142*HDF_Limited_Col!AH142/HDF_Limited_Col!$AH142," ")</f>
        <v xml:space="preserve"> </v>
      </c>
      <c r="AI142" s="26" t="str">
        <f>IFERROR($AC142*HDF_Limited_Col!AI142/HDF_Limited_Col!$AH142," ")</f>
        <v xml:space="preserve"> </v>
      </c>
      <c r="AJ142" s="26" t="str">
        <f>IFERROR($AC142*HDF_Limited_Col!AJ142/HDF_Limited_Col!$AH142," ")</f>
        <v xml:space="preserve"> </v>
      </c>
      <c r="AK142" s="26" t="str">
        <f>IFERROR($AC142*HDF_Limited_Col!AK142/HDF_Limited_Col!$AH142," ")</f>
        <v xml:space="preserve"> </v>
      </c>
      <c r="AL142" s="26" t="str">
        <f>IFERROR($AC142*HDF_Limited_Col!AL142/HDF_Limited_Col!$AH142," ")</f>
        <v xml:space="preserve"> </v>
      </c>
      <c r="AM142" s="26" t="str">
        <f>IFERROR($AC142*HDF_Limited_Col!AM142/HDF_Limited_Col!$AH142," ")</f>
        <v xml:space="preserve"> </v>
      </c>
      <c r="AN142" s="26" t="str">
        <f>IFERROR($AC142*HDF_Limited_Col!AN142/HDF_Limited_Col!$AH142," ")</f>
        <v xml:space="preserve"> </v>
      </c>
      <c r="AO142" s="26" t="str">
        <f>IFERROR($AC142*HDF_Limited_Col!AO142/HDF_Limited_Col!$AH142," ")</f>
        <v xml:space="preserve"> </v>
      </c>
      <c r="AP142" s="26" t="str">
        <f>IFERROR($AC142*HDF_Limited_Col!AP142/HDF_Limited_Col!$AH142," ")</f>
        <v xml:space="preserve"> </v>
      </c>
      <c r="AQ142" s="26" t="str">
        <f>IFERROR($AC142*HDF_Limited_Col!AQ142/HDF_Limited_Col!$AH142," ")</f>
        <v xml:space="preserve"> </v>
      </c>
      <c r="AR142" s="26" t="str">
        <f>IFERROR($AC142*HDF_Limited_Col!AR142/HDF_Limited_Col!$AH142," ")</f>
        <v xml:space="preserve"> </v>
      </c>
      <c r="AS142" s="26" t="str">
        <f>IFERROR($AC142*HDF_Limited_Col!AS142/HDF_Limited_Col!$AH142," ")</f>
        <v xml:space="preserve"> </v>
      </c>
      <c r="AT142" s="26" t="str">
        <f>IFERROR($AC142*HDF_Limited_Col!AT142/HDF_Limited_Col!$AH142," ")</f>
        <v xml:space="preserve"> </v>
      </c>
      <c r="AU142" s="26" t="str">
        <f>IFERROR($AC142*HDF_Limited_Col!AU142/HDF_Limited_Col!$AH142," ")</f>
        <v xml:space="preserve"> </v>
      </c>
      <c r="AV142" s="26" t="str">
        <f>IFERROR($AC142*HDF_Limited_Col!AV142/HDF_Limited_Col!$AH142," ")</f>
        <v xml:space="preserve"> </v>
      </c>
      <c r="AW142" s="26" t="str">
        <f>IFERROR($AC142*HDF_Limited_Col!AW142/HDF_Limited_Col!$AH142," ")</f>
        <v xml:space="preserve"> </v>
      </c>
      <c r="AX142" s="26" t="str">
        <f>IFERROR($AC142*HDF_Limited_Col!AX142/HDF_Limited_Col!$AH142," ")</f>
        <v xml:space="preserve"> </v>
      </c>
      <c r="AY142" s="26" t="str">
        <f>IFERROR($AC142*HDF_Limited_Col!AY142/HDF_Limited_Col!$AH142," ")</f>
        <v xml:space="preserve"> </v>
      </c>
      <c r="AZ142" s="26" t="str">
        <f>IFERROR($AC142*HDF_Limited_Col!AZ142/HDF_Limited_Col!$AH142," ")</f>
        <v xml:space="preserve"> </v>
      </c>
      <c r="BA142" s="26" t="str">
        <f>IFERROR($AC142*HDF_Limited_Col!BA142/HDF_Limited_Col!$AH142," ")</f>
        <v xml:space="preserve"> </v>
      </c>
      <c r="BB142" s="26" t="str">
        <f>IFERROR($AC142*HDF_Limited_Col!BB142/HDF_Limited_Col!$AH142," ")</f>
        <v xml:space="preserve"> </v>
      </c>
      <c r="BC142" s="26" t="str">
        <f>IFERROR($AC142*HDF_Limited_Col!BC142/HDF_Limited_Col!$AH142," ")</f>
        <v xml:space="preserve"> </v>
      </c>
      <c r="BD142" s="26" t="str">
        <f>IFERROR($AC142*HDF_Limited_Col!BD142/HDF_Limited_Col!$AH142," ")</f>
        <v xml:space="preserve"> </v>
      </c>
      <c r="BE142" s="26" t="str">
        <f>IFERROR($AC142*HDF_Limited_Col!BE142/HDF_Limited_Col!$AH142," ")</f>
        <v xml:space="preserve"> </v>
      </c>
      <c r="BF142" s="26" t="str">
        <f>IFERROR($AC142*HDF_Limited_Col!BF142/HDF_Limited_Col!$AH142," ")</f>
        <v xml:space="preserve"> </v>
      </c>
      <c r="BG142" s="26" t="str">
        <f>IFERROR($AC142*HDF_Limited_Col!BG142/HDF_Limited_Col!$AH142," ")</f>
        <v xml:space="preserve"> </v>
      </c>
      <c r="BH142" s="26" t="str">
        <f>IFERROR($AC142*HDF_Limited_Col!BH142/HDF_Limited_Col!$AH142," ")</f>
        <v xml:space="preserve"> </v>
      </c>
      <c r="BI142" s="26" t="str">
        <f>IFERROR($AC142*HDF_Limited_Col!BI142/HDF_Limited_Col!$AH142," ")</f>
        <v xml:space="preserve"> </v>
      </c>
      <c r="BJ142" s="26" t="str">
        <f>IFERROR($AC142*HDF_Limited_Col!BJ142/HDF_Limited_Col!$AH142," ")</f>
        <v xml:space="preserve"> </v>
      </c>
      <c r="BK142" s="26" t="str">
        <f>IFERROR($AC142*HDF_Limited_Col!BK142/HDF_Limited_Col!$AH142," ")</f>
        <v xml:space="preserve"> </v>
      </c>
      <c r="BL142" s="26" t="str">
        <f>IFERROR($AC142*HDF_Limited_Col!BL142/HDF_Limited_Col!$AH142," ")</f>
        <v xml:space="preserve"> </v>
      </c>
      <c r="BM142" s="26" t="str">
        <f>IFERROR($AC142*HDF_Limited_Col!BM142/HDF_Limited_Col!$AH142," ")</f>
        <v xml:space="preserve"> </v>
      </c>
      <c r="BN142" s="26" t="str">
        <f>IFERROR($AC142*HDF_Limited_Col!BN142/HDF_Limited_Col!$AH142," ")</f>
        <v xml:space="preserve"> </v>
      </c>
      <c r="BO142" s="26" t="str">
        <f>IFERROR($AC142*HDF_Limited_Col!BO142/HDF_Limited_Col!$AH142," ")</f>
        <v xml:space="preserve"> </v>
      </c>
      <c r="BP142" s="26" t="str">
        <f>IFERROR($AC142*HDF_Limited_Col!BP142/HDF_Limited_Col!$AH142," ")</f>
        <v xml:space="preserve"> </v>
      </c>
      <c r="BQ142" s="26" t="str">
        <f>IFERROR($AC142*HDF_Limited_Col!BQ142/HDF_Limited_Col!$AH142," ")</f>
        <v xml:space="preserve"> </v>
      </c>
      <c r="BR142" s="26" t="str">
        <f>IFERROR($AC142*HDF_Limited_Col!BR142/HDF_Limited_Col!$AH142," ")</f>
        <v xml:space="preserve"> </v>
      </c>
      <c r="BS142" s="26" t="str">
        <f>IFERROR($AC142*HDF_Limited_Col!BS142/HDF_Limited_Col!$AH142," ")</f>
        <v xml:space="preserve"> </v>
      </c>
      <c r="BT142" s="26" t="str">
        <f>IFERROR($AC142*HDF_Limited_Col!BT142/HDF_Limited_Col!$AH142," ")</f>
        <v xml:space="preserve"> </v>
      </c>
      <c r="BU142" s="26" t="str">
        <f>IFERROR($AC142*HDF_Limited_Col!BU142/HDF_Limited_Col!$AH142," ")</f>
        <v xml:space="preserve"> </v>
      </c>
      <c r="BV142" s="26" t="str">
        <f>IFERROR($AC142*HDF_Limited_Col!BV142/HDF_Limited_Col!$AH142," ")</f>
        <v xml:space="preserve"> </v>
      </c>
      <c r="BW142" s="26" t="str">
        <f>IFERROR($AC142*HDF_Limited_Col!BW142/HDF_Limited_Col!$AH142," ")</f>
        <v xml:space="preserve"> </v>
      </c>
      <c r="BX142" s="26" t="str">
        <f>IFERROR($AC142*HDF_Limited_Col!BX142/HDF_Limited_Col!$AH142," ")</f>
        <v xml:space="preserve"> </v>
      </c>
      <c r="BY142" s="26" t="str">
        <f>IFERROR($AC142*HDF_Limited_Col!BY142/HDF_Limited_Col!$AH142," ")</f>
        <v xml:space="preserve"> </v>
      </c>
      <c r="BZ142" s="26" t="str">
        <f>IFERROR($AC142*HDF_Limited_Col!BZ142/HDF_Limited_Col!$AH142," ")</f>
        <v xml:space="preserve"> </v>
      </c>
      <c r="CA142" s="26" t="str">
        <f>IFERROR($AC142*HDF_Limited_Col!CA142/HDF_Limited_Col!$AH142," ")</f>
        <v xml:space="preserve"> </v>
      </c>
      <c r="CB142" s="26" t="str">
        <f>IFERROR($AC142*HDF_Limited_Col!CB142/HDF_Limited_Col!$AH142," ")</f>
        <v xml:space="preserve"> </v>
      </c>
      <c r="CC142" s="26" t="str">
        <f>IFERROR($AC142*HDF_Limited_Col!CC142/HDF_Limited_Col!$AH142," ")</f>
        <v xml:space="preserve"> </v>
      </c>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row>
    <row r="143" spans="1:109">
      <c r="A143" s="26" t="s">
        <v>1424</v>
      </c>
      <c r="B143" s="26" t="s">
        <v>24</v>
      </c>
      <c r="C143" s="155" t="s">
        <v>546</v>
      </c>
      <c r="D143" s="26" t="s">
        <v>119</v>
      </c>
      <c r="E143" s="26" t="s">
        <v>171</v>
      </c>
      <c r="F143" s="26" t="s">
        <v>45</v>
      </c>
      <c r="G143" s="26" t="s">
        <v>595</v>
      </c>
      <c r="H143" s="30">
        <v>55</v>
      </c>
      <c r="I143" s="26" t="s">
        <v>712</v>
      </c>
      <c r="J143" s="26" t="s">
        <v>1311</v>
      </c>
      <c r="K143" s="26" t="s">
        <v>1276</v>
      </c>
      <c r="L143" s="26" t="s">
        <v>1725</v>
      </c>
      <c r="M143" s="26" t="s">
        <v>1412</v>
      </c>
      <c r="N143" s="26">
        <v>23</v>
      </c>
      <c r="O143" s="95">
        <v>3.4791971261190913</v>
      </c>
      <c r="P143" s="95">
        <v>1.125622599626765</v>
      </c>
      <c r="Q143" s="95">
        <v>0.81863461791037462</v>
      </c>
      <c r="R143" s="95">
        <v>6.9583942522381825</v>
      </c>
      <c r="S143" s="95">
        <v>3.8885144350742777</v>
      </c>
      <c r="T143" s="95">
        <v>5.9351009798502146</v>
      </c>
      <c r="U143" s="95">
        <v>14.223776486192758</v>
      </c>
      <c r="V143" s="95">
        <v>13.098153886565994</v>
      </c>
      <c r="W143" s="95">
        <v>25.275343827982809</v>
      </c>
      <c r="X143" s="95">
        <v>0</v>
      </c>
      <c r="Y143" s="95">
        <v>32.540726061937384</v>
      </c>
      <c r="Z143" s="95">
        <v>107.34346427349786</v>
      </c>
      <c r="AA143" s="26"/>
      <c r="AB143" s="26"/>
      <c r="AC143" s="26">
        <f t="shared" si="3"/>
        <v>209820.05800985213</v>
      </c>
      <c r="AD143" s="26" t="str">
        <f>IFERROR($AC143*HDF_Limited_Col!AD143/HDF_Limited_Col!$AH143," ")</f>
        <v xml:space="preserve"> </v>
      </c>
      <c r="AE143" s="26" t="str">
        <f>IFERROR($AC143*HDF_Limited_Col!AE143/HDF_Limited_Col!$AH143," ")</f>
        <v xml:space="preserve"> </v>
      </c>
      <c r="AF143" s="26" t="str">
        <f>IFERROR($AC143*HDF_Limited_Col!AF143/HDF_Limited_Col!$AH143," ")</f>
        <v xml:space="preserve"> </v>
      </c>
      <c r="AG143" s="26" t="str">
        <f>IFERROR($AC143*HDF_Limited_Col!AG143/HDF_Limited_Col!$AH143," ")</f>
        <v xml:space="preserve"> </v>
      </c>
      <c r="AH143" s="26" t="str">
        <f>IFERROR($AC143*HDF_Limited_Col!AH143/HDF_Limited_Col!$AH143," ")</f>
        <v xml:space="preserve"> </v>
      </c>
      <c r="AI143" s="26" t="str">
        <f>IFERROR($AC143*HDF_Limited_Col!AI143/HDF_Limited_Col!$AH143," ")</f>
        <v xml:space="preserve"> </v>
      </c>
      <c r="AJ143" s="26" t="str">
        <f>IFERROR($AC143*HDF_Limited_Col!AJ143/HDF_Limited_Col!$AH143," ")</f>
        <v xml:space="preserve"> </v>
      </c>
      <c r="AK143" s="26" t="str">
        <f>IFERROR($AC143*HDF_Limited_Col!AK143/HDF_Limited_Col!$AH143," ")</f>
        <v xml:space="preserve"> </v>
      </c>
      <c r="AL143" s="26" t="str">
        <f>IFERROR($AC143*HDF_Limited_Col!AL143/HDF_Limited_Col!$AH143," ")</f>
        <v xml:space="preserve"> </v>
      </c>
      <c r="AM143" s="26" t="str">
        <f>IFERROR($AC143*HDF_Limited_Col!AM143/HDF_Limited_Col!$AH143," ")</f>
        <v xml:space="preserve"> </v>
      </c>
      <c r="AN143" s="26" t="str">
        <f>IFERROR($AC143*HDF_Limited_Col!AN143/HDF_Limited_Col!$AH143," ")</f>
        <v xml:space="preserve"> </v>
      </c>
      <c r="AO143" s="26" t="str">
        <f>IFERROR($AC143*HDF_Limited_Col!AO143/HDF_Limited_Col!$AH143," ")</f>
        <v xml:space="preserve"> </v>
      </c>
      <c r="AP143" s="26" t="str">
        <f>IFERROR($AC143*HDF_Limited_Col!AP143/HDF_Limited_Col!$AH143," ")</f>
        <v xml:space="preserve"> </v>
      </c>
      <c r="AQ143" s="26" t="str">
        <f>IFERROR($AC143*HDF_Limited_Col!AQ143/HDF_Limited_Col!$AH143," ")</f>
        <v xml:space="preserve"> </v>
      </c>
      <c r="AR143" s="26" t="str">
        <f>IFERROR($AC143*HDF_Limited_Col!AR143/HDF_Limited_Col!$AH143," ")</f>
        <v xml:space="preserve"> </v>
      </c>
      <c r="AS143" s="26" t="str">
        <f>IFERROR($AC143*HDF_Limited_Col!AS143/HDF_Limited_Col!$AH143," ")</f>
        <v xml:space="preserve"> </v>
      </c>
      <c r="AT143" s="26" t="str">
        <f>IFERROR($AC143*HDF_Limited_Col!AT143/HDF_Limited_Col!$AH143," ")</f>
        <v xml:space="preserve"> </v>
      </c>
      <c r="AU143" s="26" t="str">
        <f>IFERROR($AC143*HDF_Limited_Col!AU143/HDF_Limited_Col!$AH143," ")</f>
        <v xml:space="preserve"> </v>
      </c>
      <c r="AV143" s="26" t="str">
        <f>IFERROR($AC143*HDF_Limited_Col!AV143/HDF_Limited_Col!$AH143," ")</f>
        <v xml:space="preserve"> </v>
      </c>
      <c r="AW143" s="26" t="str">
        <f>IFERROR($AC143*HDF_Limited_Col!AW143/HDF_Limited_Col!$AH143," ")</f>
        <v xml:space="preserve"> </v>
      </c>
      <c r="AX143" s="26" t="str">
        <f>IFERROR($AC143*HDF_Limited_Col!AX143/HDF_Limited_Col!$AH143," ")</f>
        <v xml:space="preserve"> </v>
      </c>
      <c r="AY143" s="26" t="str">
        <f>IFERROR($AC143*HDF_Limited_Col!AY143/HDF_Limited_Col!$AH143," ")</f>
        <v xml:space="preserve"> </v>
      </c>
      <c r="AZ143" s="26" t="str">
        <f>IFERROR($AC143*HDF_Limited_Col!AZ143/HDF_Limited_Col!$AH143," ")</f>
        <v xml:space="preserve"> </v>
      </c>
      <c r="BA143" s="26" t="str">
        <f>IFERROR($AC143*HDF_Limited_Col!BA143/HDF_Limited_Col!$AH143," ")</f>
        <v xml:space="preserve"> </v>
      </c>
      <c r="BB143" s="26" t="str">
        <f>IFERROR($AC143*HDF_Limited_Col!BB143/HDF_Limited_Col!$AH143," ")</f>
        <v xml:space="preserve"> </v>
      </c>
      <c r="BC143" s="26" t="str">
        <f>IFERROR($AC143*HDF_Limited_Col!BC143/HDF_Limited_Col!$AH143," ")</f>
        <v xml:space="preserve"> </v>
      </c>
      <c r="BD143" s="26" t="str">
        <f>IFERROR($AC143*HDF_Limited_Col!BD143/HDF_Limited_Col!$AH143," ")</f>
        <v xml:space="preserve"> </v>
      </c>
      <c r="BE143" s="26" t="str">
        <f>IFERROR($AC143*HDF_Limited_Col!BE143/HDF_Limited_Col!$AH143," ")</f>
        <v xml:space="preserve"> </v>
      </c>
      <c r="BF143" s="26" t="str">
        <f>IFERROR($AC143*HDF_Limited_Col!BF143/HDF_Limited_Col!$AH143," ")</f>
        <v xml:space="preserve"> </v>
      </c>
      <c r="BG143" s="26" t="str">
        <f>IFERROR($AC143*HDF_Limited_Col!BG143/HDF_Limited_Col!$AH143," ")</f>
        <v xml:space="preserve"> </v>
      </c>
      <c r="BH143" s="26" t="str">
        <f>IFERROR($AC143*HDF_Limited_Col!BH143/HDF_Limited_Col!$AH143," ")</f>
        <v xml:space="preserve"> </v>
      </c>
      <c r="BI143" s="26" t="str">
        <f>IFERROR($AC143*HDF_Limited_Col!BI143/HDF_Limited_Col!$AH143," ")</f>
        <v xml:space="preserve"> </v>
      </c>
      <c r="BJ143" s="26" t="str">
        <f>IFERROR($AC143*HDF_Limited_Col!BJ143/HDF_Limited_Col!$AH143," ")</f>
        <v xml:space="preserve"> </v>
      </c>
      <c r="BK143" s="26" t="str">
        <f>IFERROR($AC143*HDF_Limited_Col!BK143/HDF_Limited_Col!$AH143," ")</f>
        <v xml:space="preserve"> </v>
      </c>
      <c r="BL143" s="26" t="str">
        <f>IFERROR($AC143*HDF_Limited_Col!BL143/HDF_Limited_Col!$AH143," ")</f>
        <v xml:space="preserve"> </v>
      </c>
      <c r="BM143" s="26" t="str">
        <f>IFERROR($AC143*HDF_Limited_Col!BM143/HDF_Limited_Col!$AH143," ")</f>
        <v xml:space="preserve"> </v>
      </c>
      <c r="BN143" s="26" t="str">
        <f>IFERROR($AC143*HDF_Limited_Col!BN143/HDF_Limited_Col!$AH143," ")</f>
        <v xml:space="preserve"> </v>
      </c>
      <c r="BO143" s="26" t="str">
        <f>IFERROR($AC143*HDF_Limited_Col!BO143/HDF_Limited_Col!$AH143," ")</f>
        <v xml:space="preserve"> </v>
      </c>
      <c r="BP143" s="26" t="str">
        <f>IFERROR($AC143*HDF_Limited_Col!BP143/HDF_Limited_Col!$AH143," ")</f>
        <v xml:space="preserve"> </v>
      </c>
      <c r="BQ143" s="26" t="str">
        <f>IFERROR($AC143*HDF_Limited_Col!BQ143/HDF_Limited_Col!$AH143," ")</f>
        <v xml:space="preserve"> </v>
      </c>
      <c r="BR143" s="26" t="str">
        <f>IFERROR($AC143*HDF_Limited_Col!BR143/HDF_Limited_Col!$AH143," ")</f>
        <v xml:space="preserve"> </v>
      </c>
      <c r="BS143" s="26" t="str">
        <f>IFERROR($AC143*HDF_Limited_Col!BS143/HDF_Limited_Col!$AH143," ")</f>
        <v xml:space="preserve"> </v>
      </c>
      <c r="BT143" s="26" t="str">
        <f>IFERROR($AC143*HDF_Limited_Col!BT143/HDF_Limited_Col!$AH143," ")</f>
        <v xml:space="preserve"> </v>
      </c>
      <c r="BU143" s="26" t="str">
        <f>IFERROR($AC143*HDF_Limited_Col!BU143/HDF_Limited_Col!$AH143," ")</f>
        <v xml:space="preserve"> </v>
      </c>
      <c r="BV143" s="26" t="str">
        <f>IFERROR($AC143*HDF_Limited_Col!BV143/HDF_Limited_Col!$AH143," ")</f>
        <v xml:space="preserve"> </v>
      </c>
      <c r="BW143" s="26" t="str">
        <f>IFERROR($AC143*HDF_Limited_Col!BW143/HDF_Limited_Col!$AH143," ")</f>
        <v xml:space="preserve"> </v>
      </c>
      <c r="BX143" s="26" t="str">
        <f>IFERROR($AC143*HDF_Limited_Col!BX143/HDF_Limited_Col!$AH143," ")</f>
        <v xml:space="preserve"> </v>
      </c>
      <c r="BY143" s="26" t="str">
        <f>IFERROR($AC143*HDF_Limited_Col!BY143/HDF_Limited_Col!$AH143," ")</f>
        <v xml:space="preserve"> </v>
      </c>
      <c r="BZ143" s="26" t="str">
        <f>IFERROR($AC143*HDF_Limited_Col!BZ143/HDF_Limited_Col!$AH143," ")</f>
        <v xml:space="preserve"> </v>
      </c>
      <c r="CA143" s="26" t="str">
        <f>IFERROR($AC143*HDF_Limited_Col!CA143/HDF_Limited_Col!$AH143," ")</f>
        <v xml:space="preserve"> </v>
      </c>
      <c r="CB143" s="26" t="str">
        <f>IFERROR($AC143*HDF_Limited_Col!CB143/HDF_Limited_Col!$AH143," ")</f>
        <v xml:space="preserve"> </v>
      </c>
      <c r="CC143" s="26" t="str">
        <f>IFERROR($AC143*HDF_Limited_Col!CC143/HDF_Limited_Col!$AH143," ")</f>
        <v xml:space="preserve"> </v>
      </c>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row>
    <row r="144" spans="1:109">
      <c r="A144" s="26" t="s">
        <v>1424</v>
      </c>
      <c r="B144" s="26" t="s">
        <v>24</v>
      </c>
      <c r="C144" s="155" t="s">
        <v>546</v>
      </c>
      <c r="D144" s="26" t="s">
        <v>119</v>
      </c>
      <c r="E144" s="26" t="s">
        <v>171</v>
      </c>
      <c r="F144" s="26" t="s">
        <v>45</v>
      </c>
      <c r="G144" s="26" t="s">
        <v>595</v>
      </c>
      <c r="H144" s="30">
        <v>55</v>
      </c>
      <c r="I144" s="26" t="s">
        <v>712</v>
      </c>
      <c r="J144" s="26" t="s">
        <v>1311</v>
      </c>
      <c r="K144" s="26" t="s">
        <v>1276</v>
      </c>
      <c r="L144" s="26" t="s">
        <v>1725</v>
      </c>
      <c r="M144" s="26" t="s">
        <v>1415</v>
      </c>
      <c r="N144" s="26">
        <v>20</v>
      </c>
      <c r="O144" s="95">
        <v>5.1566486583985744</v>
      </c>
      <c r="P144" s="95">
        <v>0.72193081217580035</v>
      </c>
      <c r="Q144" s="95">
        <v>0.61879783900782892</v>
      </c>
      <c r="R144" s="95">
        <v>5.3629146047345175</v>
      </c>
      <c r="S144" s="95">
        <v>5.3629146047345175</v>
      </c>
      <c r="T144" s="95">
        <v>6.9099092022540898</v>
      </c>
      <c r="U144" s="95">
        <v>13.510419485004267</v>
      </c>
      <c r="V144" s="95">
        <v>10.519563263133092</v>
      </c>
      <c r="W144" s="95">
        <v>27.639636809016359</v>
      </c>
      <c r="X144" s="95">
        <v>0</v>
      </c>
      <c r="Y144" s="95">
        <v>31.249290869895361</v>
      </c>
      <c r="Z144" s="95">
        <v>107.0520261483544</v>
      </c>
      <c r="AA144" s="26"/>
      <c r="AB144" s="26"/>
      <c r="AC144" s="26">
        <f t="shared" si="3"/>
        <v>229446.93603805645</v>
      </c>
      <c r="AD144" s="26" t="str">
        <f>IFERROR($AC144*HDF_Limited_Col!AD144/HDF_Limited_Col!$AH144," ")</f>
        <v xml:space="preserve"> </v>
      </c>
      <c r="AE144" s="26" t="str">
        <f>IFERROR($AC144*HDF_Limited_Col!AE144/HDF_Limited_Col!$AH144," ")</f>
        <v xml:space="preserve"> </v>
      </c>
      <c r="AF144" s="26" t="str">
        <f>IFERROR($AC144*HDF_Limited_Col!AF144/HDF_Limited_Col!$AH144," ")</f>
        <v xml:space="preserve"> </v>
      </c>
      <c r="AG144" s="26" t="str">
        <f>IFERROR($AC144*HDF_Limited_Col!AG144/HDF_Limited_Col!$AH144," ")</f>
        <v xml:space="preserve"> </v>
      </c>
      <c r="AH144" s="26" t="str">
        <f>IFERROR($AC144*HDF_Limited_Col!AH144/HDF_Limited_Col!$AH144," ")</f>
        <v xml:space="preserve"> </v>
      </c>
      <c r="AI144" s="26" t="str">
        <f>IFERROR($AC144*HDF_Limited_Col!AI144/HDF_Limited_Col!$AH144," ")</f>
        <v xml:space="preserve"> </v>
      </c>
      <c r="AJ144" s="26" t="str">
        <f>IFERROR($AC144*HDF_Limited_Col!AJ144/HDF_Limited_Col!$AH144," ")</f>
        <v xml:space="preserve"> </v>
      </c>
      <c r="AK144" s="26" t="str">
        <f>IFERROR($AC144*HDF_Limited_Col!AK144/HDF_Limited_Col!$AH144," ")</f>
        <v xml:space="preserve"> </v>
      </c>
      <c r="AL144" s="26" t="str">
        <f>IFERROR($AC144*HDF_Limited_Col!AL144/HDF_Limited_Col!$AH144," ")</f>
        <v xml:space="preserve"> </v>
      </c>
      <c r="AM144" s="26" t="str">
        <f>IFERROR($AC144*HDF_Limited_Col!AM144/HDF_Limited_Col!$AH144," ")</f>
        <v xml:space="preserve"> </v>
      </c>
      <c r="AN144" s="26" t="str">
        <f>IFERROR($AC144*HDF_Limited_Col!AN144/HDF_Limited_Col!$AH144," ")</f>
        <v xml:space="preserve"> </v>
      </c>
      <c r="AO144" s="26" t="str">
        <f>IFERROR($AC144*HDF_Limited_Col!AO144/HDF_Limited_Col!$AH144," ")</f>
        <v xml:space="preserve"> </v>
      </c>
      <c r="AP144" s="26" t="str">
        <f>IFERROR($AC144*HDF_Limited_Col!AP144/HDF_Limited_Col!$AH144," ")</f>
        <v xml:space="preserve"> </v>
      </c>
      <c r="AQ144" s="26" t="str">
        <f>IFERROR($AC144*HDF_Limited_Col!AQ144/HDF_Limited_Col!$AH144," ")</f>
        <v xml:space="preserve"> </v>
      </c>
      <c r="AR144" s="26" t="str">
        <f>IFERROR($AC144*HDF_Limited_Col!AR144/HDF_Limited_Col!$AH144," ")</f>
        <v xml:space="preserve"> </v>
      </c>
      <c r="AS144" s="26" t="str">
        <f>IFERROR($AC144*HDF_Limited_Col!AS144/HDF_Limited_Col!$AH144," ")</f>
        <v xml:space="preserve"> </v>
      </c>
      <c r="AT144" s="26" t="str">
        <f>IFERROR($AC144*HDF_Limited_Col!AT144/HDF_Limited_Col!$AH144," ")</f>
        <v xml:space="preserve"> </v>
      </c>
      <c r="AU144" s="26" t="str">
        <f>IFERROR($AC144*HDF_Limited_Col!AU144/HDF_Limited_Col!$AH144," ")</f>
        <v xml:space="preserve"> </v>
      </c>
      <c r="AV144" s="26" t="str">
        <f>IFERROR($AC144*HDF_Limited_Col!AV144/HDF_Limited_Col!$AH144," ")</f>
        <v xml:space="preserve"> </v>
      </c>
      <c r="AW144" s="26" t="str">
        <f>IFERROR($AC144*HDF_Limited_Col!AW144/HDF_Limited_Col!$AH144," ")</f>
        <v xml:space="preserve"> </v>
      </c>
      <c r="AX144" s="26" t="str">
        <f>IFERROR($AC144*HDF_Limited_Col!AX144/HDF_Limited_Col!$AH144," ")</f>
        <v xml:space="preserve"> </v>
      </c>
      <c r="AY144" s="26" t="str">
        <f>IFERROR($AC144*HDF_Limited_Col!AY144/HDF_Limited_Col!$AH144," ")</f>
        <v xml:space="preserve"> </v>
      </c>
      <c r="AZ144" s="26" t="str">
        <f>IFERROR($AC144*HDF_Limited_Col!AZ144/HDF_Limited_Col!$AH144," ")</f>
        <v xml:space="preserve"> </v>
      </c>
      <c r="BA144" s="26" t="str">
        <f>IFERROR($AC144*HDF_Limited_Col!BA144/HDF_Limited_Col!$AH144," ")</f>
        <v xml:space="preserve"> </v>
      </c>
      <c r="BB144" s="26" t="str">
        <f>IFERROR($AC144*HDF_Limited_Col!BB144/HDF_Limited_Col!$AH144," ")</f>
        <v xml:space="preserve"> </v>
      </c>
      <c r="BC144" s="26" t="str">
        <f>IFERROR($AC144*HDF_Limited_Col!BC144/HDF_Limited_Col!$AH144," ")</f>
        <v xml:space="preserve"> </v>
      </c>
      <c r="BD144" s="26" t="str">
        <f>IFERROR($AC144*HDF_Limited_Col!BD144/HDF_Limited_Col!$AH144," ")</f>
        <v xml:space="preserve"> </v>
      </c>
      <c r="BE144" s="26" t="str">
        <f>IFERROR($AC144*HDF_Limited_Col!BE144/HDF_Limited_Col!$AH144," ")</f>
        <v xml:space="preserve"> </v>
      </c>
      <c r="BF144" s="26" t="str">
        <f>IFERROR($AC144*HDF_Limited_Col!BF144/HDF_Limited_Col!$AH144," ")</f>
        <v xml:space="preserve"> </v>
      </c>
      <c r="BG144" s="26" t="str">
        <f>IFERROR($AC144*HDF_Limited_Col!BG144/HDF_Limited_Col!$AH144," ")</f>
        <v xml:space="preserve"> </v>
      </c>
      <c r="BH144" s="26" t="str">
        <f>IFERROR($AC144*HDF_Limited_Col!BH144/HDF_Limited_Col!$AH144," ")</f>
        <v xml:space="preserve"> </v>
      </c>
      <c r="BI144" s="26" t="str">
        <f>IFERROR($AC144*HDF_Limited_Col!BI144/HDF_Limited_Col!$AH144," ")</f>
        <v xml:space="preserve"> </v>
      </c>
      <c r="BJ144" s="26" t="str">
        <f>IFERROR($AC144*HDF_Limited_Col!BJ144/HDF_Limited_Col!$AH144," ")</f>
        <v xml:space="preserve"> </v>
      </c>
      <c r="BK144" s="26" t="str">
        <f>IFERROR($AC144*HDF_Limited_Col!BK144/HDF_Limited_Col!$AH144," ")</f>
        <v xml:space="preserve"> </v>
      </c>
      <c r="BL144" s="26" t="str">
        <f>IFERROR($AC144*HDF_Limited_Col!BL144/HDF_Limited_Col!$AH144," ")</f>
        <v xml:space="preserve"> </v>
      </c>
      <c r="BM144" s="26" t="str">
        <f>IFERROR($AC144*HDF_Limited_Col!BM144/HDF_Limited_Col!$AH144," ")</f>
        <v xml:space="preserve"> </v>
      </c>
      <c r="BN144" s="26" t="str">
        <f>IFERROR($AC144*HDF_Limited_Col!BN144/HDF_Limited_Col!$AH144," ")</f>
        <v xml:space="preserve"> </v>
      </c>
      <c r="BO144" s="26" t="str">
        <f>IFERROR($AC144*HDF_Limited_Col!BO144/HDF_Limited_Col!$AH144," ")</f>
        <v xml:space="preserve"> </v>
      </c>
      <c r="BP144" s="26" t="str">
        <f>IFERROR($AC144*HDF_Limited_Col!BP144/HDF_Limited_Col!$AH144," ")</f>
        <v xml:space="preserve"> </v>
      </c>
      <c r="BQ144" s="26" t="str">
        <f>IFERROR($AC144*HDF_Limited_Col!BQ144/HDF_Limited_Col!$AH144," ")</f>
        <v xml:space="preserve"> </v>
      </c>
      <c r="BR144" s="26" t="str">
        <f>IFERROR($AC144*HDF_Limited_Col!BR144/HDF_Limited_Col!$AH144," ")</f>
        <v xml:space="preserve"> </v>
      </c>
      <c r="BS144" s="26" t="str">
        <f>IFERROR($AC144*HDF_Limited_Col!BS144/HDF_Limited_Col!$AH144," ")</f>
        <v xml:space="preserve"> </v>
      </c>
      <c r="BT144" s="26" t="str">
        <f>IFERROR($AC144*HDF_Limited_Col!BT144/HDF_Limited_Col!$AH144," ")</f>
        <v xml:space="preserve"> </v>
      </c>
      <c r="BU144" s="26" t="str">
        <f>IFERROR($AC144*HDF_Limited_Col!BU144/HDF_Limited_Col!$AH144," ")</f>
        <v xml:space="preserve"> </v>
      </c>
      <c r="BV144" s="26" t="str">
        <f>IFERROR($AC144*HDF_Limited_Col!BV144/HDF_Limited_Col!$AH144," ")</f>
        <v xml:space="preserve"> </v>
      </c>
      <c r="BW144" s="26" t="str">
        <f>IFERROR($AC144*HDF_Limited_Col!BW144/HDF_Limited_Col!$AH144," ")</f>
        <v xml:space="preserve"> </v>
      </c>
      <c r="BX144" s="26" t="str">
        <f>IFERROR($AC144*HDF_Limited_Col!BX144/HDF_Limited_Col!$AH144," ")</f>
        <v xml:space="preserve"> </v>
      </c>
      <c r="BY144" s="26" t="str">
        <f>IFERROR($AC144*HDF_Limited_Col!BY144/HDF_Limited_Col!$AH144," ")</f>
        <v xml:space="preserve"> </v>
      </c>
      <c r="BZ144" s="26" t="str">
        <f>IFERROR($AC144*HDF_Limited_Col!BZ144/HDF_Limited_Col!$AH144," ")</f>
        <v xml:space="preserve"> </v>
      </c>
      <c r="CA144" s="26" t="str">
        <f>IFERROR($AC144*HDF_Limited_Col!CA144/HDF_Limited_Col!$AH144," ")</f>
        <v xml:space="preserve"> </v>
      </c>
      <c r="CB144" s="26" t="str">
        <f>IFERROR($AC144*HDF_Limited_Col!CB144/HDF_Limited_Col!$AH144," ")</f>
        <v xml:space="preserve"> </v>
      </c>
      <c r="CC144" s="26" t="str">
        <f>IFERROR($AC144*HDF_Limited_Col!CC144/HDF_Limited_Col!$AH144," ")</f>
        <v xml:space="preserve"> </v>
      </c>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row>
    <row r="145" spans="1:109">
      <c r="A145" s="26" t="s">
        <v>1176</v>
      </c>
      <c r="B145" s="26" t="s">
        <v>24</v>
      </c>
      <c r="C145" s="155" t="s">
        <v>546</v>
      </c>
      <c r="D145" s="26" t="s">
        <v>119</v>
      </c>
      <c r="E145" s="26" t="s">
        <v>171</v>
      </c>
      <c r="F145" s="26" t="s">
        <v>45</v>
      </c>
      <c r="G145" s="26" t="s">
        <v>595</v>
      </c>
      <c r="H145" s="30">
        <v>55</v>
      </c>
      <c r="I145" s="26" t="s">
        <v>712</v>
      </c>
      <c r="J145" s="26" t="s">
        <v>635</v>
      </c>
      <c r="K145" s="26" t="s">
        <v>802</v>
      </c>
      <c r="L145" s="26" t="s">
        <v>1725</v>
      </c>
      <c r="M145" s="26" t="s">
        <v>124</v>
      </c>
      <c r="N145" s="26">
        <v>19</v>
      </c>
      <c r="O145" s="95">
        <v>5.3076425849492024</v>
      </c>
      <c r="P145" s="95">
        <v>0.61242029826336941</v>
      </c>
      <c r="Q145" s="95">
        <v>0.71449034797393096</v>
      </c>
      <c r="R145" s="95">
        <v>6.0221329329231335</v>
      </c>
      <c r="S145" s="95">
        <v>4.5931522369752713</v>
      </c>
      <c r="T145" s="95">
        <v>6.532483181475941</v>
      </c>
      <c r="U145" s="95">
        <v>13.677386661215252</v>
      </c>
      <c r="V145" s="95">
        <v>12.044265865846267</v>
      </c>
      <c r="W145" s="95">
        <v>25.211302278508708</v>
      </c>
      <c r="X145" s="95">
        <v>1.0207004971056157</v>
      </c>
      <c r="Y145" s="95">
        <v>31.335505261142405</v>
      </c>
      <c r="Z145" s="95">
        <v>107.0714821463791</v>
      </c>
      <c r="AA145" s="26"/>
      <c r="AB145" s="26"/>
      <c r="AC145" s="26">
        <f t="shared" si="3"/>
        <v>209288.42521715318</v>
      </c>
      <c r="AD145" s="26">
        <f>IFERROR($AC145*HDF_Limited_Col!AD145/HDF_Limited_Col!$AH145," ")</f>
        <v>0</v>
      </c>
      <c r="AE145" s="26">
        <f>IFERROR($AC145*HDF_Limited_Col!AE145/HDF_Limited_Col!$AH145," ")</f>
        <v>0</v>
      </c>
      <c r="AF145" s="26">
        <f>IFERROR($AC145*HDF_Limited_Col!AF145/HDF_Limited_Col!$AH145," ")</f>
        <v>0</v>
      </c>
      <c r="AG145" s="26">
        <f>IFERROR($AC145*HDF_Limited_Col!AG145/HDF_Limited_Col!$AH145," ")</f>
        <v>0</v>
      </c>
      <c r="AH145" s="26">
        <f>IFERROR($AC145*HDF_Limited_Col!AH145/HDF_Limited_Col!$AH145," ")</f>
        <v>209288.42521715318</v>
      </c>
      <c r="AI145" s="26">
        <f>IFERROR($AC145*HDF_Limited_Col!AI145/HDF_Limited_Col!$AH145," ")</f>
        <v>0</v>
      </c>
      <c r="AJ145" s="26">
        <f>IFERROR($AC145*HDF_Limited_Col!AJ145/HDF_Limited_Col!$AH145," ")</f>
        <v>0</v>
      </c>
      <c r="AK145" s="26">
        <f>IFERROR($AC145*HDF_Limited_Col!AK145/HDF_Limited_Col!$AH145," ")</f>
        <v>0</v>
      </c>
      <c r="AL145" s="26">
        <f>IFERROR($AC145*HDF_Limited_Col!AL145/HDF_Limited_Col!$AH145," ")</f>
        <v>0</v>
      </c>
      <c r="AM145" s="26">
        <f>IFERROR($AC145*HDF_Limited_Col!AM145/HDF_Limited_Col!$AH145," ")</f>
        <v>0</v>
      </c>
      <c r="AN145" s="26">
        <f>IFERROR($AC145*HDF_Limited_Col!AN145/HDF_Limited_Col!$AH145," ")</f>
        <v>0</v>
      </c>
      <c r="AO145" s="26">
        <f>IFERROR($AC145*HDF_Limited_Col!AO145/HDF_Limited_Col!$AH145," ")</f>
        <v>0</v>
      </c>
      <c r="AP145" s="26">
        <f>IFERROR($AC145*HDF_Limited_Col!AP145/HDF_Limited_Col!$AH145," ")</f>
        <v>0</v>
      </c>
      <c r="AQ145" s="26">
        <f>IFERROR($AC145*HDF_Limited_Col!AQ145/HDF_Limited_Col!$AH145," ")</f>
        <v>0</v>
      </c>
      <c r="AR145" s="26">
        <f>IFERROR($AC145*HDF_Limited_Col!AR145/HDF_Limited_Col!$AH145," ")</f>
        <v>0</v>
      </c>
      <c r="AS145" s="26">
        <f>IFERROR($AC145*HDF_Limited_Col!AS145/HDF_Limited_Col!$AH145," ")</f>
        <v>0</v>
      </c>
      <c r="AT145" s="26">
        <f>IFERROR($AC145*HDF_Limited_Col!AT145/HDF_Limited_Col!$AH145," ")</f>
        <v>0</v>
      </c>
      <c r="AU145" s="26">
        <f>IFERROR($AC145*HDF_Limited_Col!AU145/HDF_Limited_Col!$AH145," ")</f>
        <v>0</v>
      </c>
      <c r="AV145" s="26">
        <f>IFERROR($AC145*HDF_Limited_Col!AV145/HDF_Limited_Col!$AH145," ")</f>
        <v>0</v>
      </c>
      <c r="AW145" s="26">
        <f>IFERROR($AC145*HDF_Limited_Col!AW145/HDF_Limited_Col!$AH145," ")</f>
        <v>0</v>
      </c>
      <c r="AX145" s="26">
        <f>IFERROR($AC145*HDF_Limited_Col!AX145/HDF_Limited_Col!$AH145," ")</f>
        <v>287.66735737019059</v>
      </c>
      <c r="AY145" s="26">
        <f>IFERROR($AC145*HDF_Limited_Col!AY145/HDF_Limited_Col!$AH145," ")</f>
        <v>3210.2009445658955</v>
      </c>
      <c r="AZ145" s="26">
        <f>IFERROR($AC145*HDF_Limited_Col!AZ145/HDF_Limited_Col!$AH145," ")</f>
        <v>1.2507276407399592</v>
      </c>
      <c r="BA145" s="26">
        <f>IFERROR($AC145*HDF_Limited_Col!BA145/HDF_Limited_Col!$AH145," ")</f>
        <v>18.760914611099388</v>
      </c>
      <c r="BB145" s="26">
        <f>IFERROR($AC145*HDF_Limited_Col!BB145/HDF_Limited_Col!$AH145," ")</f>
        <v>0</v>
      </c>
      <c r="BC145" s="26">
        <f>IFERROR($AC145*HDF_Limited_Col!BC145/HDF_Limited_Col!$AH145," ")</f>
        <v>137.58004048139551</v>
      </c>
      <c r="BD145" s="26">
        <f>IFERROR($AC145*HDF_Limited_Col!BD145/HDF_Limited_Col!$AH145," ")</f>
        <v>0</v>
      </c>
      <c r="BE145" s="26">
        <f>IFERROR($AC145*HDF_Limited_Col!BE145/HDF_Limited_Col!$AH145," ")</f>
        <v>0</v>
      </c>
      <c r="BF145" s="26">
        <f>IFERROR($AC145*HDF_Limited_Col!BF145/HDF_Limited_Col!$AH145," ")</f>
        <v>0</v>
      </c>
      <c r="BG145" s="26">
        <f>IFERROR($AC145*HDF_Limited_Col!BG145/HDF_Limited_Col!$AH145," ")</f>
        <v>0</v>
      </c>
      <c r="BH145" s="26">
        <f>IFERROR($AC145*HDF_Limited_Col!BH145/HDF_Limited_Col!$AH145," ")</f>
        <v>22.513097533319268</v>
      </c>
      <c r="BI145" s="26">
        <f>IFERROR($AC145*HDF_Limited_Col!BI145/HDF_Limited_Col!$AH145," ")</f>
        <v>124655.85486041594</v>
      </c>
      <c r="BJ145" s="26">
        <f>IFERROR($AC145*HDF_Limited_Col!BJ145/HDF_Limited_Col!$AH145," ")</f>
        <v>0</v>
      </c>
      <c r="BK145" s="26">
        <f>IFERROR($AC145*HDF_Limited_Col!BK145/HDF_Limited_Col!$AH145," ")</f>
        <v>1292.4185620979579</v>
      </c>
      <c r="BL145" s="26">
        <f>IFERROR($AC145*HDF_Limited_Col!BL145/HDF_Limited_Col!$AH145," ")</f>
        <v>875.50934851797149</v>
      </c>
      <c r="BM145" s="26">
        <f>IFERROR($AC145*HDF_Limited_Col!BM145/HDF_Limited_Col!$AH145," ")</f>
        <v>54.198197765398234</v>
      </c>
      <c r="BN145" s="26">
        <f>IFERROR($AC145*HDF_Limited_Col!BN145/HDF_Limited_Col!$AH145," ")</f>
        <v>137.58004048139551</v>
      </c>
      <c r="BO145" s="26">
        <f>IFERROR($AC145*HDF_Limited_Col!BO145/HDF_Limited_Col!$AH145," ")</f>
        <v>0</v>
      </c>
      <c r="BP145" s="26">
        <f>IFERROR($AC145*HDF_Limited_Col!BP145/HDF_Limited_Col!$AH145," ")</f>
        <v>0</v>
      </c>
      <c r="BQ145" s="26">
        <f>IFERROR($AC145*HDF_Limited_Col!BQ145/HDF_Limited_Col!$AH145," ")</f>
        <v>0</v>
      </c>
      <c r="BR145" s="26">
        <f>IFERROR($AC145*HDF_Limited_Col!BR145/HDF_Limited_Col!$AH145," ")</f>
        <v>0</v>
      </c>
      <c r="BS145" s="26">
        <f>IFERROR($AC145*HDF_Limited_Col!BS145/HDF_Limited_Col!$AH145," ")</f>
        <v>0</v>
      </c>
      <c r="BT145" s="26">
        <f>IFERROR($AC145*HDF_Limited_Col!BT145/HDF_Limited_Col!$AH145," ")</f>
        <v>0</v>
      </c>
      <c r="BU145" s="26">
        <f>IFERROR($AC145*HDF_Limited_Col!BU145/HDF_Limited_Col!$AH145," ")</f>
        <v>0</v>
      </c>
      <c r="BV145" s="26">
        <f>IFERROR($AC145*HDF_Limited_Col!BV145/HDF_Limited_Col!$AH145," ")</f>
        <v>0</v>
      </c>
      <c r="BW145" s="26">
        <f>IFERROR($AC145*HDF_Limited_Col!BW145/HDF_Limited_Col!$AH145," ")</f>
        <v>0</v>
      </c>
      <c r="BX145" s="26">
        <f>IFERROR($AC145*HDF_Limited_Col!BX145/HDF_Limited_Col!$AH145," ")</f>
        <v>0</v>
      </c>
      <c r="BY145" s="26">
        <f>IFERROR($AC145*HDF_Limited_Col!BY145/HDF_Limited_Col!$AH145," ")</f>
        <v>13.341094834559566</v>
      </c>
      <c r="BZ145" s="26">
        <f>IFERROR($AC145*HDF_Limited_Col!BZ145/HDF_Limited_Col!$AH145," ")</f>
        <v>0</v>
      </c>
      <c r="CA145" s="26">
        <f>IFERROR($AC145*HDF_Limited_Col!CA145/HDF_Limited_Col!$AH145," ")</f>
        <v>0</v>
      </c>
      <c r="CB145" s="26">
        <f>IFERROR($AC145*HDF_Limited_Col!CB145/HDF_Limited_Col!$AH145," ")</f>
        <v>566.99653046878154</v>
      </c>
      <c r="CC145" s="26">
        <f>IFERROR($AC145*HDF_Limited_Col!CC145/HDF_Limited_Col!$AH145," ")</f>
        <v>43.358558212318584</v>
      </c>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row>
    <row r="146" spans="1:109">
      <c r="A146" s="26" t="s">
        <v>1176</v>
      </c>
      <c r="B146" s="26" t="s">
        <v>24</v>
      </c>
      <c r="C146" s="155" t="s">
        <v>546</v>
      </c>
      <c r="D146" s="26" t="s">
        <v>119</v>
      </c>
      <c r="E146" s="26" t="s">
        <v>171</v>
      </c>
      <c r="F146" s="26" t="s">
        <v>45</v>
      </c>
      <c r="G146" s="26" t="s">
        <v>595</v>
      </c>
      <c r="H146" s="30">
        <v>55</v>
      </c>
      <c r="I146" s="26" t="s">
        <v>712</v>
      </c>
      <c r="J146" s="26" t="s">
        <v>635</v>
      </c>
      <c r="K146" s="26" t="s">
        <v>802</v>
      </c>
      <c r="L146" s="26" t="s">
        <v>1725</v>
      </c>
      <c r="M146" s="26" t="s">
        <v>125</v>
      </c>
      <c r="N146" s="26">
        <v>33</v>
      </c>
      <c r="O146" s="95">
        <v>3.9601486341882151</v>
      </c>
      <c r="P146" s="95">
        <v>1.6674310038687226</v>
      </c>
      <c r="Q146" s="95">
        <v>3.1264331322538546</v>
      </c>
      <c r="R146" s="95">
        <v>5.7317940757987333</v>
      </c>
      <c r="S146" s="95">
        <v>2.2927176303194936</v>
      </c>
      <c r="T146" s="95">
        <v>4.1685775096718061</v>
      </c>
      <c r="U146" s="95">
        <v>13.860520219658756</v>
      </c>
      <c r="V146" s="95">
        <v>13.547876906433368</v>
      </c>
      <c r="W146" s="95">
        <v>24.69882174480545</v>
      </c>
      <c r="X146" s="95">
        <v>1.0421443774179515</v>
      </c>
      <c r="Y146" s="95">
        <v>33.452834515116244</v>
      </c>
      <c r="Z146" s="95">
        <v>107.54929974953259</v>
      </c>
      <c r="AA146" s="26"/>
      <c r="AB146" s="26"/>
      <c r="AC146" s="26">
        <f t="shared" si="3"/>
        <v>205034.13312750452</v>
      </c>
      <c r="AD146" s="26">
        <f>IFERROR($AC146*HDF_Limited_Col!AD146/HDF_Limited_Col!$AH146," ")</f>
        <v>0</v>
      </c>
      <c r="AE146" s="26">
        <f>IFERROR($AC146*HDF_Limited_Col!AE146/HDF_Limited_Col!$AH146," ")</f>
        <v>0</v>
      </c>
      <c r="AF146" s="26">
        <f>IFERROR($AC146*HDF_Limited_Col!AF146/HDF_Limited_Col!$AH146," ")</f>
        <v>0</v>
      </c>
      <c r="AG146" s="26">
        <f>IFERROR($AC146*HDF_Limited_Col!AG146/HDF_Limited_Col!$AH146," ")</f>
        <v>0</v>
      </c>
      <c r="AH146" s="26">
        <f>IFERROR($AC146*HDF_Limited_Col!AH146/HDF_Limited_Col!$AH146," ")</f>
        <v>205034.13312750452</v>
      </c>
      <c r="AI146" s="26">
        <f>IFERROR($AC146*HDF_Limited_Col!AI146/HDF_Limited_Col!$AH146," ")</f>
        <v>0</v>
      </c>
      <c r="AJ146" s="26">
        <f>IFERROR($AC146*HDF_Limited_Col!AJ146/HDF_Limited_Col!$AH146," ")</f>
        <v>147.83025272515999</v>
      </c>
      <c r="AK146" s="26">
        <f>IFERROR($AC146*HDF_Limited_Col!AK146/HDF_Limited_Col!$AH146," ")</f>
        <v>0</v>
      </c>
      <c r="AL146" s="26">
        <f>IFERROR($AC146*HDF_Limited_Col!AL146/HDF_Limited_Col!$AH146," ")</f>
        <v>0</v>
      </c>
      <c r="AM146" s="26">
        <f>IFERROR($AC146*HDF_Limited_Col!AM146/HDF_Limited_Col!$AH146," ")</f>
        <v>0</v>
      </c>
      <c r="AN146" s="26">
        <f>IFERROR($AC146*HDF_Limited_Col!AN146/HDF_Limited_Col!$AH146," ")</f>
        <v>0</v>
      </c>
      <c r="AO146" s="26">
        <f>IFERROR($AC146*HDF_Limited_Col!AO146/HDF_Limited_Col!$AH146," ")</f>
        <v>0</v>
      </c>
      <c r="AP146" s="26">
        <f>IFERROR($AC146*HDF_Limited_Col!AP146/HDF_Limited_Col!$AH146," ")</f>
        <v>0</v>
      </c>
      <c r="AQ146" s="26">
        <f>IFERROR($AC146*HDF_Limited_Col!AQ146/HDF_Limited_Col!$AH146," ")</f>
        <v>0</v>
      </c>
      <c r="AR146" s="26">
        <f>IFERROR($AC146*HDF_Limited_Col!AR146/HDF_Limited_Col!$AH146," ")</f>
        <v>0</v>
      </c>
      <c r="AS146" s="26">
        <f>IFERROR($AC146*HDF_Limited_Col!AS146/HDF_Limited_Col!$AH146," ")</f>
        <v>0</v>
      </c>
      <c r="AT146" s="26">
        <f>IFERROR($AC146*HDF_Limited_Col!AT146/HDF_Limited_Col!$AH146," ")</f>
        <v>0</v>
      </c>
      <c r="AU146" s="26">
        <f>IFERROR($AC146*HDF_Limited_Col!AU146/HDF_Limited_Col!$AH146," ")</f>
        <v>0</v>
      </c>
      <c r="AV146" s="26">
        <f>IFERROR($AC146*HDF_Limited_Col!AV146/HDF_Limited_Col!$AH146," ")</f>
        <v>0</v>
      </c>
      <c r="AW146" s="26">
        <f>IFERROR($AC146*HDF_Limited_Col!AW146/HDF_Limited_Col!$AH146," ")</f>
        <v>0</v>
      </c>
      <c r="AX146" s="26">
        <f>IFERROR($AC146*HDF_Limited_Col!AX146/HDF_Limited_Col!$AH146," ")</f>
        <v>340.65232149710789</v>
      </c>
      <c r="AY146" s="26">
        <f>IFERROR($AC146*HDF_Limited_Col!AY146/HDF_Limited_Col!$AH146," ")</f>
        <v>3920.7153983629391</v>
      </c>
      <c r="AZ146" s="26">
        <f>IFERROR($AC146*HDF_Limited_Col!AZ146/HDF_Limited_Col!$AH146," ")</f>
        <v>2.5709609169593044</v>
      </c>
      <c r="BA146" s="26">
        <f>IFERROR($AC146*HDF_Limited_Col!BA146/HDF_Limited_Col!$AH146," ")</f>
        <v>10.926583897077045</v>
      </c>
      <c r="BB146" s="26">
        <f>IFERROR($AC146*HDF_Limited_Col!BB146/HDF_Limited_Col!$AH146," ")</f>
        <v>0</v>
      </c>
      <c r="BC146" s="26">
        <f>IFERROR($AC146*HDF_Limited_Col!BC146/HDF_Limited_Col!$AH146," ")</f>
        <v>160.68505730995653</v>
      </c>
      <c r="BD146" s="26">
        <f>IFERROR($AC146*HDF_Limited_Col!BD146/HDF_Limited_Col!$AH146," ")</f>
        <v>0</v>
      </c>
      <c r="BE146" s="26">
        <f>IFERROR($AC146*HDF_Limited_Col!BE146/HDF_Limited_Col!$AH146," ")</f>
        <v>0</v>
      </c>
      <c r="BF146" s="26">
        <f>IFERROR($AC146*HDF_Limited_Col!BF146/HDF_Limited_Col!$AH146," ")</f>
        <v>0</v>
      </c>
      <c r="BG146" s="26">
        <f>IFERROR($AC146*HDF_Limited_Col!BG146/HDF_Limited_Col!$AH146," ")</f>
        <v>0</v>
      </c>
      <c r="BH146" s="26">
        <f>IFERROR($AC146*HDF_Limited_Col!BH146/HDF_Limited_Col!$AH146," ")</f>
        <v>28.280570086552348</v>
      </c>
      <c r="BI146" s="26">
        <f>IFERROR($AC146*HDF_Limited_Col!BI146/HDF_Limited_Col!$AH146," ")</f>
        <v>117621.46195088817</v>
      </c>
      <c r="BJ146" s="26">
        <f>IFERROR($AC146*HDF_Limited_Col!BJ146/HDF_Limited_Col!$AH146," ")</f>
        <v>0</v>
      </c>
      <c r="BK146" s="26">
        <f>IFERROR($AC146*HDF_Limited_Col!BK146/HDF_Limited_Col!$AH146," ")</f>
        <v>1863.9466647954955</v>
      </c>
      <c r="BL146" s="26">
        <f>IFERROR($AC146*HDF_Limited_Col!BL146/HDF_Limited_Col!$AH146," ")</f>
        <v>1028.3843667837218</v>
      </c>
      <c r="BM146" s="26">
        <f>IFERROR($AC146*HDF_Limited_Col!BM146/HDF_Limited_Col!$AH146," ")</f>
        <v>55.91839994386487</v>
      </c>
      <c r="BN146" s="26">
        <f>IFERROR($AC146*HDF_Limited_Col!BN146/HDF_Limited_Col!$AH146," ")</f>
        <v>160.68505730995653</v>
      </c>
      <c r="BO146" s="26">
        <f>IFERROR($AC146*HDF_Limited_Col!BO146/HDF_Limited_Col!$AH146," ")</f>
        <v>0</v>
      </c>
      <c r="BP146" s="26">
        <f>IFERROR($AC146*HDF_Limited_Col!BP146/HDF_Limited_Col!$AH146," ")</f>
        <v>0</v>
      </c>
      <c r="BQ146" s="26">
        <f>IFERROR($AC146*HDF_Limited_Col!BQ146/HDF_Limited_Col!$AH146," ")</f>
        <v>0</v>
      </c>
      <c r="BR146" s="26">
        <f>IFERROR($AC146*HDF_Limited_Col!BR146/HDF_Limited_Col!$AH146," ")</f>
        <v>0</v>
      </c>
      <c r="BS146" s="26">
        <f>IFERROR($AC146*HDF_Limited_Col!BS146/HDF_Limited_Col!$AH146," ")</f>
        <v>0</v>
      </c>
      <c r="BT146" s="26">
        <f>IFERROR($AC146*HDF_Limited_Col!BT146/HDF_Limited_Col!$AH146," ")</f>
        <v>0</v>
      </c>
      <c r="BU146" s="26">
        <f>IFERROR($AC146*HDF_Limited_Col!BU146/HDF_Limited_Col!$AH146," ")</f>
        <v>0</v>
      </c>
      <c r="BV146" s="26">
        <f>IFERROR($AC146*HDF_Limited_Col!BV146/HDF_Limited_Col!$AH146," ")</f>
        <v>0</v>
      </c>
      <c r="BW146" s="26">
        <f>IFERROR($AC146*HDF_Limited_Col!BW146/HDF_Limited_Col!$AH146," ")</f>
        <v>0</v>
      </c>
      <c r="BX146" s="26">
        <f>IFERROR($AC146*HDF_Limited_Col!BX146/HDF_Limited_Col!$AH146," ")</f>
        <v>0</v>
      </c>
      <c r="BY146" s="26">
        <f>IFERROR($AC146*HDF_Limited_Col!BY146/HDF_Limited_Col!$AH146," ")</f>
        <v>7.0701425216380871</v>
      </c>
      <c r="BZ146" s="26">
        <f>IFERROR($AC146*HDF_Limited_Col!BZ146/HDF_Limited_Col!$AH146," ")</f>
        <v>0</v>
      </c>
      <c r="CA146" s="26">
        <f>IFERROR($AC146*HDF_Limited_Col!CA146/HDF_Limited_Col!$AH146," ")</f>
        <v>0</v>
      </c>
      <c r="CB146" s="26">
        <f>IFERROR($AC146*HDF_Limited_Col!CB146/HDF_Limited_Col!$AH146," ")</f>
        <v>1156.9324126316869</v>
      </c>
      <c r="CC146" s="26">
        <f>IFERROR($AC146*HDF_Limited_Col!CC146/HDF_Limited_Col!$AH146," ")</f>
        <v>36.636193066670089</v>
      </c>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row>
    <row r="147" spans="1:109">
      <c r="A147" s="26" t="s">
        <v>1319</v>
      </c>
      <c r="B147" s="26" t="s">
        <v>24</v>
      </c>
      <c r="C147" s="155" t="s">
        <v>546</v>
      </c>
      <c r="D147" s="26" t="s">
        <v>119</v>
      </c>
      <c r="E147" s="26" t="s">
        <v>171</v>
      </c>
      <c r="F147" s="26" t="s">
        <v>45</v>
      </c>
      <c r="G147" s="26" t="s">
        <v>595</v>
      </c>
      <c r="H147" s="30">
        <v>55</v>
      </c>
      <c r="I147" s="26" t="s">
        <v>712</v>
      </c>
      <c r="J147" s="26" t="s">
        <v>1426</v>
      </c>
      <c r="K147" s="26"/>
      <c r="L147" s="26" t="s">
        <v>1725</v>
      </c>
      <c r="M147" s="26" t="s">
        <v>122</v>
      </c>
      <c r="N147" s="26">
        <v>12</v>
      </c>
      <c r="O147" s="95">
        <v>4.1844383058415726</v>
      </c>
      <c r="P147" s="95">
        <v>0.30617841262255407</v>
      </c>
      <c r="Q147" s="95">
        <v>0.71441629611929292</v>
      </c>
      <c r="R147" s="95">
        <v>6.2256277233252666</v>
      </c>
      <c r="S147" s="95">
        <v>2.3473678301062479</v>
      </c>
      <c r="T147" s="95">
        <v>4.8988546019608652</v>
      </c>
      <c r="U147" s="95">
        <v>12.043017563153796</v>
      </c>
      <c r="V147" s="95">
        <v>9.6956497330475475</v>
      </c>
      <c r="W147" s="95">
        <v>32.556971208864923</v>
      </c>
      <c r="X147" s="95">
        <v>0</v>
      </c>
      <c r="Y147" s="95">
        <v>34.904339038971173</v>
      </c>
      <c r="Z147" s="95">
        <v>107.87686071401323</v>
      </c>
      <c r="AA147" s="26"/>
      <c r="AB147" s="26"/>
      <c r="AC147" s="26">
        <f t="shared" si="3"/>
        <v>270267.56328854675</v>
      </c>
      <c r="AD147" s="26">
        <f>IFERROR($AC147*HDF_Limited_Col!AD147/HDF_Limited_Col!$AH147," ")</f>
        <v>0</v>
      </c>
      <c r="AE147" s="26">
        <f>IFERROR($AC147*HDF_Limited_Col!AE147/HDF_Limited_Col!$AH147," ")</f>
        <v>0</v>
      </c>
      <c r="AF147" s="26">
        <f>IFERROR($AC147*HDF_Limited_Col!AF147/HDF_Limited_Col!$AH147," ")</f>
        <v>0</v>
      </c>
      <c r="AG147" s="26">
        <f>IFERROR($AC147*HDF_Limited_Col!AG147/HDF_Limited_Col!$AH147," ")</f>
        <v>0</v>
      </c>
      <c r="AH147" s="26">
        <f>IFERROR($AC147*HDF_Limited_Col!AH147/HDF_Limited_Col!$AH147," ")</f>
        <v>270267.56328854675</v>
      </c>
      <c r="AI147" s="26">
        <f>IFERROR($AC147*HDF_Limited_Col!AI147/HDF_Limited_Col!$AH147," ")</f>
        <v>0</v>
      </c>
      <c r="AJ147" s="26">
        <f>IFERROR($AC147*HDF_Limited_Col!AJ147/HDF_Limited_Col!$AH147," ")</f>
        <v>1199.5437055546458</v>
      </c>
      <c r="AK147" s="26">
        <f>IFERROR($AC147*HDF_Limited_Col!AK147/HDF_Limited_Col!$AH147," ")</f>
        <v>0</v>
      </c>
      <c r="AL147" s="26">
        <f>IFERROR($AC147*HDF_Limited_Col!AL147/HDF_Limited_Col!$AH147," ")</f>
        <v>0</v>
      </c>
      <c r="AM147" s="26">
        <f>IFERROR($AC147*HDF_Limited_Col!AM147/HDF_Limited_Col!$AH147," ")</f>
        <v>0</v>
      </c>
      <c r="AN147" s="26">
        <f>IFERROR($AC147*HDF_Limited_Col!AN147/HDF_Limited_Col!$AH147," ")</f>
        <v>0</v>
      </c>
      <c r="AO147" s="26">
        <f>IFERROR($AC147*HDF_Limited_Col!AO147/HDF_Limited_Col!$AH147," ")</f>
        <v>0</v>
      </c>
      <c r="AP147" s="26">
        <f>IFERROR($AC147*HDF_Limited_Col!AP147/HDF_Limited_Col!$AH147," ")</f>
        <v>0</v>
      </c>
      <c r="AQ147" s="26">
        <f>IFERROR($AC147*HDF_Limited_Col!AQ147/HDF_Limited_Col!$AH147," ")</f>
        <v>0</v>
      </c>
      <c r="AR147" s="26">
        <f>IFERROR($AC147*HDF_Limited_Col!AR147/HDF_Limited_Col!$AH147," ")</f>
        <v>0</v>
      </c>
      <c r="AS147" s="26">
        <f>IFERROR($AC147*HDF_Limited_Col!AS147/HDF_Limited_Col!$AH147," ")</f>
        <v>0</v>
      </c>
      <c r="AT147" s="26">
        <f>IFERROR($AC147*HDF_Limited_Col!AT147/HDF_Limited_Col!$AH147," ")</f>
        <v>0</v>
      </c>
      <c r="AU147" s="26">
        <f>IFERROR($AC147*HDF_Limited_Col!AU147/HDF_Limited_Col!$AH147," ")</f>
        <v>0</v>
      </c>
      <c r="AV147" s="26">
        <f>IFERROR($AC147*HDF_Limited_Col!AV147/HDF_Limited_Col!$AH147," ")</f>
        <v>0</v>
      </c>
      <c r="AW147" s="26">
        <f>IFERROR($AC147*HDF_Limited_Col!AW147/HDF_Limited_Col!$AH147," ")</f>
        <v>0</v>
      </c>
      <c r="AX147" s="26">
        <f>IFERROR($AC147*HDF_Limited_Col!AX147/HDF_Limited_Col!$AH147," ")</f>
        <v>518.32135425200738</v>
      </c>
      <c r="AY147" s="26">
        <f>IFERROR($AC147*HDF_Limited_Col!AY147/HDF_Limited_Col!$AH147," ")</f>
        <v>8589.3252990332658</v>
      </c>
      <c r="AZ147" s="26">
        <f>IFERROR($AC147*HDF_Limited_Col!AZ147/HDF_Limited_Col!$AH147," ")</f>
        <v>0</v>
      </c>
      <c r="BA147" s="26">
        <f>IFERROR($AC147*HDF_Limited_Col!BA147/HDF_Limited_Col!$AH147," ")</f>
        <v>27.396985867606109</v>
      </c>
      <c r="BB147" s="26">
        <f>IFERROR($AC147*HDF_Limited_Col!BB147/HDF_Limited_Col!$AH147," ")</f>
        <v>0</v>
      </c>
      <c r="BC147" s="26">
        <f>IFERROR($AC147*HDF_Limited_Col!BC147/HDF_Limited_Col!$AH147," ")</f>
        <v>370.22953875143389</v>
      </c>
      <c r="BD147" s="26">
        <f>IFERROR($AC147*HDF_Limited_Col!BD147/HDF_Limited_Col!$AH147," ")</f>
        <v>0</v>
      </c>
      <c r="BE147" s="26">
        <f>IFERROR($AC147*HDF_Limited_Col!BE147/HDF_Limited_Col!$AH147," ")</f>
        <v>0</v>
      </c>
      <c r="BF147" s="26">
        <f>IFERROR($AC147*HDF_Limited_Col!BF147/HDF_Limited_Col!$AH147," ")</f>
        <v>0</v>
      </c>
      <c r="BG147" s="26">
        <f>IFERROR($AC147*HDF_Limited_Col!BG147/HDF_Limited_Col!$AH147," ")</f>
        <v>0</v>
      </c>
      <c r="BH147" s="26">
        <f>IFERROR($AC147*HDF_Limited_Col!BH147/HDF_Limited_Col!$AH147," ")</f>
        <v>27.396985867606109</v>
      </c>
      <c r="BI147" s="26">
        <f>IFERROR($AC147*HDF_Limited_Col!BI147/HDF_Limited_Col!$AH147," ")</f>
        <v>159939.16074061944</v>
      </c>
      <c r="BJ147" s="26">
        <f>IFERROR($AC147*HDF_Limited_Col!BJ147/HDF_Limited_Col!$AH147," ")</f>
        <v>0</v>
      </c>
      <c r="BK147" s="26">
        <f>IFERROR($AC147*HDF_Limited_Col!BK147/HDF_Limited_Col!$AH147," ")</f>
        <v>2665.6526790103239</v>
      </c>
      <c r="BL147" s="26">
        <f>IFERROR($AC147*HDF_Limited_Col!BL147/HDF_Limited_Col!$AH147," ")</f>
        <v>2073.2854170080295</v>
      </c>
      <c r="BM147" s="26">
        <f>IFERROR($AC147*HDF_Limited_Col!BM147/HDF_Limited_Col!$AH147," ")</f>
        <v>148.09181550057357</v>
      </c>
      <c r="BN147" s="26">
        <f>IFERROR($AC147*HDF_Limited_Col!BN147/HDF_Limited_Col!$AH147," ")</f>
        <v>377.63412952646263</v>
      </c>
      <c r="BO147" s="26">
        <f>IFERROR($AC147*HDF_Limited_Col!BO147/HDF_Limited_Col!$AH147," ")</f>
        <v>0</v>
      </c>
      <c r="BP147" s="26">
        <f>IFERROR($AC147*HDF_Limited_Col!BP147/HDF_Limited_Col!$AH147," ")</f>
        <v>0</v>
      </c>
      <c r="BQ147" s="26">
        <f>IFERROR($AC147*HDF_Limited_Col!BQ147/HDF_Limited_Col!$AH147," ")</f>
        <v>0</v>
      </c>
      <c r="BR147" s="26">
        <f>IFERROR($AC147*HDF_Limited_Col!BR147/HDF_Limited_Col!$AH147," ")</f>
        <v>0</v>
      </c>
      <c r="BS147" s="26">
        <f>IFERROR($AC147*HDF_Limited_Col!BS147/HDF_Limited_Col!$AH147," ")</f>
        <v>0</v>
      </c>
      <c r="BT147" s="26">
        <f>IFERROR($AC147*HDF_Limited_Col!BT147/HDF_Limited_Col!$AH147," ")</f>
        <v>0</v>
      </c>
      <c r="BU147" s="26">
        <f>IFERROR($AC147*HDF_Limited_Col!BU147/HDF_Limited_Col!$AH147," ")</f>
        <v>0</v>
      </c>
      <c r="BV147" s="26">
        <f>IFERROR($AC147*HDF_Limited_Col!BV147/HDF_Limited_Col!$AH147," ")</f>
        <v>0</v>
      </c>
      <c r="BW147" s="26">
        <f>IFERROR($AC147*HDF_Limited_Col!BW147/HDF_Limited_Col!$AH147," ")</f>
        <v>0</v>
      </c>
      <c r="BX147" s="26">
        <f>IFERROR($AC147*HDF_Limited_Col!BX147/HDF_Limited_Col!$AH147," ")</f>
        <v>0</v>
      </c>
      <c r="BY147" s="26">
        <f>IFERROR($AC147*HDF_Limited_Col!BY147/HDF_Limited_Col!$AH147," ")</f>
        <v>13.32826339505162</v>
      </c>
      <c r="BZ147" s="26">
        <f>IFERROR($AC147*HDF_Limited_Col!BZ147/HDF_Limited_Col!$AH147," ")</f>
        <v>0</v>
      </c>
      <c r="CA147" s="26">
        <f>IFERROR($AC147*HDF_Limited_Col!CA147/HDF_Limited_Col!$AH147," ")</f>
        <v>0</v>
      </c>
      <c r="CB147" s="26">
        <f>IFERROR($AC147*HDF_Limited_Col!CB147/HDF_Limited_Col!$AH147," ")</f>
        <v>1036.6427085040148</v>
      </c>
      <c r="CC147" s="26">
        <f>IFERROR($AC147*HDF_Limited_Col!CC147/HDF_Limited_Col!$AH147," ")</f>
        <v>60.717644355235166</v>
      </c>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row>
    <row r="148" spans="1:109">
      <c r="A148" s="26" t="s">
        <v>1319</v>
      </c>
      <c r="B148" s="26" t="s">
        <v>24</v>
      </c>
      <c r="C148" s="155" t="s">
        <v>546</v>
      </c>
      <c r="D148" s="26" t="s">
        <v>119</v>
      </c>
      <c r="E148" s="26" t="s">
        <v>171</v>
      </c>
      <c r="F148" s="26" t="s">
        <v>45</v>
      </c>
      <c r="G148" s="26" t="s">
        <v>595</v>
      </c>
      <c r="H148" s="30">
        <v>55</v>
      </c>
      <c r="I148" s="26" t="s">
        <v>712</v>
      </c>
      <c r="J148" s="26" t="s">
        <v>1426</v>
      </c>
      <c r="K148" s="26" t="s">
        <v>802</v>
      </c>
      <c r="L148" s="26" t="s">
        <v>1725</v>
      </c>
      <c r="M148" s="26" t="s">
        <v>123</v>
      </c>
      <c r="N148" s="26">
        <v>18</v>
      </c>
      <c r="O148" s="95">
        <v>3.8931151886402304</v>
      </c>
      <c r="P148" s="95">
        <v>0.30735119910317604</v>
      </c>
      <c r="Q148" s="95">
        <v>0.92205359730952818</v>
      </c>
      <c r="R148" s="95">
        <v>7.6837799775794009</v>
      </c>
      <c r="S148" s="95">
        <v>3.9955655883412886</v>
      </c>
      <c r="T148" s="95">
        <v>7.6837799775794009</v>
      </c>
      <c r="U148" s="95">
        <v>11.986696765023867</v>
      </c>
      <c r="V148" s="95">
        <v>8.5033831751878708</v>
      </c>
      <c r="W148" s="95">
        <v>29.813066313008079</v>
      </c>
      <c r="X148" s="95">
        <v>0</v>
      </c>
      <c r="Y148" s="95">
        <v>32.558737024996454</v>
      </c>
      <c r="Z148" s="95">
        <v>107.3475288067693</v>
      </c>
      <c r="AA148" s="26"/>
      <c r="AB148" s="26"/>
      <c r="AC148" s="26">
        <f t="shared" si="3"/>
        <v>247489.38514226957</v>
      </c>
      <c r="AD148" s="26">
        <f>IFERROR($AC148*HDF_Limited_Col!AD148/HDF_Limited_Col!$AH148," ")</f>
        <v>0</v>
      </c>
      <c r="AE148" s="26">
        <f>IFERROR($AC148*HDF_Limited_Col!AE148/HDF_Limited_Col!$AH148," ")</f>
        <v>0</v>
      </c>
      <c r="AF148" s="26">
        <f>IFERROR($AC148*HDF_Limited_Col!AF148/HDF_Limited_Col!$AH148," ")</f>
        <v>0</v>
      </c>
      <c r="AG148" s="26">
        <f>IFERROR($AC148*HDF_Limited_Col!AG148/HDF_Limited_Col!$AH148," ")</f>
        <v>0</v>
      </c>
      <c r="AH148" s="26">
        <f>IFERROR($AC148*HDF_Limited_Col!AH148/HDF_Limited_Col!$AH148," ")</f>
        <v>247489.38514226957</v>
      </c>
      <c r="AI148" s="26">
        <f>IFERROR($AC148*HDF_Limited_Col!AI148/HDF_Limited_Col!$AH148," ")</f>
        <v>0</v>
      </c>
      <c r="AJ148" s="26">
        <f>IFERROR($AC148*HDF_Limited_Col!AJ148/HDF_Limited_Col!$AH148," ")</f>
        <v>119.83696543730949</v>
      </c>
      <c r="AK148" s="26">
        <f>IFERROR($AC148*HDF_Limited_Col!AK148/HDF_Limited_Col!$AH148," ")</f>
        <v>0</v>
      </c>
      <c r="AL148" s="26">
        <f>IFERROR($AC148*HDF_Limited_Col!AL148/HDF_Limited_Col!$AH148," ")</f>
        <v>0</v>
      </c>
      <c r="AM148" s="26">
        <f>IFERROR($AC148*HDF_Limited_Col!AM148/HDF_Limited_Col!$AH148," ")</f>
        <v>0</v>
      </c>
      <c r="AN148" s="26">
        <f>IFERROR($AC148*HDF_Limited_Col!AN148/HDF_Limited_Col!$AH148," ")</f>
        <v>0</v>
      </c>
      <c r="AO148" s="26">
        <f>IFERROR($AC148*HDF_Limited_Col!AO148/HDF_Limited_Col!$AH148," ")</f>
        <v>0</v>
      </c>
      <c r="AP148" s="26">
        <f>IFERROR($AC148*HDF_Limited_Col!AP148/HDF_Limited_Col!$AH148," ")</f>
        <v>0</v>
      </c>
      <c r="AQ148" s="26">
        <f>IFERROR($AC148*HDF_Limited_Col!AQ148/HDF_Limited_Col!$AH148," ")</f>
        <v>0</v>
      </c>
      <c r="AR148" s="26">
        <f>IFERROR($AC148*HDF_Limited_Col!AR148/HDF_Limited_Col!$AH148," ")</f>
        <v>0</v>
      </c>
      <c r="AS148" s="26">
        <f>IFERROR($AC148*HDF_Limited_Col!AS148/HDF_Limited_Col!$AH148," ")</f>
        <v>0</v>
      </c>
      <c r="AT148" s="26">
        <f>IFERROR($AC148*HDF_Limited_Col!AT148/HDF_Limited_Col!$AH148," ")</f>
        <v>0</v>
      </c>
      <c r="AU148" s="26">
        <f>IFERROR($AC148*HDF_Limited_Col!AU148/HDF_Limited_Col!$AH148," ")</f>
        <v>0</v>
      </c>
      <c r="AV148" s="26">
        <f>IFERROR($AC148*HDF_Limited_Col!AV148/HDF_Limited_Col!$AH148," ")</f>
        <v>0</v>
      </c>
      <c r="AW148" s="26">
        <f>IFERROR($AC148*HDF_Limited_Col!AW148/HDF_Limited_Col!$AH148," ")</f>
        <v>0</v>
      </c>
      <c r="AX148" s="26">
        <f>IFERROR($AC148*HDF_Limited_Col!AX148/HDF_Limited_Col!$AH148," ")</f>
        <v>515.81998166494077</v>
      </c>
      <c r="AY148" s="26">
        <f>IFERROR($AC148*HDF_Limited_Col!AY148/HDF_Limited_Col!$AH148," ")</f>
        <v>4689.2725605903715</v>
      </c>
      <c r="AZ148" s="26">
        <f>IFERROR($AC148*HDF_Limited_Col!AZ148/HDF_Limited_Col!$AH148," ")</f>
        <v>2.0841211380401647</v>
      </c>
      <c r="BA148" s="26">
        <f>IFERROR($AC148*HDF_Limited_Col!BA148/HDF_Limited_Col!$AH148," ")</f>
        <v>10.941635974710866</v>
      </c>
      <c r="BB148" s="26">
        <f>IFERROR($AC148*HDF_Limited_Col!BB148/HDF_Limited_Col!$AH148," ")</f>
        <v>0</v>
      </c>
      <c r="BC148" s="26">
        <f>IFERROR($AC148*HDF_Limited_Col!BC148/HDF_Limited_Col!$AH148," ")</f>
        <v>229.25332518441814</v>
      </c>
      <c r="BD148" s="26">
        <f>IFERROR($AC148*HDF_Limited_Col!BD148/HDF_Limited_Col!$AH148," ")</f>
        <v>0</v>
      </c>
      <c r="BE148" s="26">
        <f>IFERROR($AC148*HDF_Limited_Col!BE148/HDF_Limited_Col!$AH148," ")</f>
        <v>0</v>
      </c>
      <c r="BF148" s="26">
        <f>IFERROR($AC148*HDF_Limited_Col!BF148/HDF_Limited_Col!$AH148," ")</f>
        <v>0</v>
      </c>
      <c r="BG148" s="26">
        <f>IFERROR($AC148*HDF_Limited_Col!BG148/HDF_Limited_Col!$AH148," ")</f>
        <v>0</v>
      </c>
      <c r="BH148" s="26">
        <f>IFERROR($AC148*HDF_Limited_Col!BH148/HDF_Limited_Col!$AH148," ")</f>
        <v>29.177695932562308</v>
      </c>
      <c r="BI148" s="26">
        <f>IFERROR($AC148*HDF_Limited_Col!BI148/HDF_Limited_Col!$AH148," ")</f>
        <v>130778.60141202035</v>
      </c>
      <c r="BJ148" s="26">
        <f>IFERROR($AC148*HDF_Limited_Col!BJ148/HDF_Limited_Col!$AH148," ")</f>
        <v>0</v>
      </c>
      <c r="BK148" s="26">
        <f>IFERROR($AC148*HDF_Limited_Col!BK148/HDF_Limited_Col!$AH148," ")</f>
        <v>1510.9878250791194</v>
      </c>
      <c r="BL148" s="26">
        <f>IFERROR($AC148*HDF_Limited_Col!BL148/HDF_Limited_Col!$AH148," ")</f>
        <v>1177.528442992693</v>
      </c>
      <c r="BM148" s="26">
        <f>IFERROR($AC148*HDF_Limited_Col!BM148/HDF_Limited_Col!$AH148," ")</f>
        <v>68.254967270815399</v>
      </c>
      <c r="BN148" s="26">
        <f>IFERROR($AC148*HDF_Limited_Col!BN148/HDF_Limited_Col!$AH148," ")</f>
        <v>229.25332518441814</v>
      </c>
      <c r="BO148" s="26">
        <f>IFERROR($AC148*HDF_Limited_Col!BO148/HDF_Limited_Col!$AH148," ")</f>
        <v>0</v>
      </c>
      <c r="BP148" s="26">
        <f>IFERROR($AC148*HDF_Limited_Col!BP148/HDF_Limited_Col!$AH148," ")</f>
        <v>0</v>
      </c>
      <c r="BQ148" s="26">
        <f>IFERROR($AC148*HDF_Limited_Col!BQ148/HDF_Limited_Col!$AH148," ")</f>
        <v>0</v>
      </c>
      <c r="BR148" s="26">
        <f>IFERROR($AC148*HDF_Limited_Col!BR148/HDF_Limited_Col!$AH148," ")</f>
        <v>0</v>
      </c>
      <c r="BS148" s="26">
        <f>IFERROR($AC148*HDF_Limited_Col!BS148/HDF_Limited_Col!$AH148," ")</f>
        <v>0</v>
      </c>
      <c r="BT148" s="26">
        <f>IFERROR($AC148*HDF_Limited_Col!BT148/HDF_Limited_Col!$AH148," ")</f>
        <v>0</v>
      </c>
      <c r="BU148" s="26">
        <f>IFERROR($AC148*HDF_Limited_Col!BU148/HDF_Limited_Col!$AH148," ")</f>
        <v>0</v>
      </c>
      <c r="BV148" s="26">
        <f>IFERROR($AC148*HDF_Limited_Col!BV148/HDF_Limited_Col!$AH148," ")</f>
        <v>0</v>
      </c>
      <c r="BW148" s="26">
        <f>IFERROR($AC148*HDF_Limited_Col!BW148/HDF_Limited_Col!$AH148," ")</f>
        <v>0</v>
      </c>
      <c r="BX148" s="26">
        <f>IFERROR($AC148*HDF_Limited_Col!BX148/HDF_Limited_Col!$AH148," ")</f>
        <v>0</v>
      </c>
      <c r="BY148" s="26">
        <f>IFERROR($AC148*HDF_Limited_Col!BY148/HDF_Limited_Col!$AH148," ")</f>
        <v>9.3785451211807409</v>
      </c>
      <c r="BZ148" s="26">
        <f>IFERROR($AC148*HDF_Limited_Col!BZ148/HDF_Limited_Col!$AH148," ")</f>
        <v>0</v>
      </c>
      <c r="CA148" s="26">
        <f>IFERROR($AC148*HDF_Limited_Col!CA148/HDF_Limited_Col!$AH148," ")</f>
        <v>0</v>
      </c>
      <c r="CB148" s="26">
        <f>IFERROR($AC148*HDF_Limited_Col!CB148/HDF_Limited_Col!$AH148," ")</f>
        <v>969.11632918867679</v>
      </c>
      <c r="CC148" s="26">
        <f>IFERROR($AC148*HDF_Limited_Col!CC148/HDF_Limited_Col!$AH148," ")</f>
        <v>48.976846743943874</v>
      </c>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row>
    <row r="149" spans="1:109">
      <c r="A149" s="26" t="s">
        <v>1175</v>
      </c>
      <c r="B149" s="26" t="s">
        <v>24</v>
      </c>
      <c r="C149" s="155" t="s">
        <v>546</v>
      </c>
      <c r="D149" s="26" t="s">
        <v>119</v>
      </c>
      <c r="E149" s="26" t="s">
        <v>171</v>
      </c>
      <c r="F149" s="26" t="s">
        <v>45</v>
      </c>
      <c r="G149" s="26" t="s">
        <v>595</v>
      </c>
      <c r="H149" s="30">
        <v>55</v>
      </c>
      <c r="I149" s="26" t="s">
        <v>712</v>
      </c>
      <c r="J149" s="26"/>
      <c r="K149" s="26"/>
      <c r="L149" s="26" t="s">
        <v>99</v>
      </c>
      <c r="M149" s="26" t="s">
        <v>46</v>
      </c>
      <c r="N149" s="26">
        <v>71</v>
      </c>
      <c r="O149" s="95">
        <v>6.522257837317273</v>
      </c>
      <c r="P149" s="95">
        <v>0.81528222966465913</v>
      </c>
      <c r="Q149" s="95">
        <v>0.91719250837274147</v>
      </c>
      <c r="R149" s="95">
        <v>6.4203475586091896</v>
      </c>
      <c r="S149" s="95">
        <v>9.2738353624354968</v>
      </c>
      <c r="T149" s="95">
        <v>8.254732575354673</v>
      </c>
      <c r="U149" s="95">
        <v>10.394848428224403</v>
      </c>
      <c r="V149" s="95">
        <v>17.936209052622502</v>
      </c>
      <c r="W149" s="95">
        <v>20.382055741616476</v>
      </c>
      <c r="X149" s="95">
        <v>2.0382055741616476</v>
      </c>
      <c r="Y149" s="95">
        <v>22.012620200945797</v>
      </c>
      <c r="Z149" s="95">
        <v>104.96758706932488</v>
      </c>
      <c r="AA149" s="26"/>
      <c r="AB149" s="26"/>
      <c r="AC149" s="26">
        <f t="shared" si="3"/>
        <v>169199.04817798539</v>
      </c>
      <c r="AD149" s="26">
        <f>IFERROR($AC149*HDF_Limited_Col!AD149/HDF_Limited_Col!$AH149," ")</f>
        <v>0</v>
      </c>
      <c r="AE149" s="26">
        <f>IFERROR($AC149*HDF_Limited_Col!AE149/HDF_Limited_Col!$AH149," ")</f>
        <v>0</v>
      </c>
      <c r="AF149" s="26">
        <f>IFERROR($AC149*HDF_Limited_Col!AF149/HDF_Limited_Col!$AH149," ")</f>
        <v>0</v>
      </c>
      <c r="AG149" s="26">
        <f>IFERROR($AC149*HDF_Limited_Col!AG149/HDF_Limited_Col!$AH149," ")</f>
        <v>0</v>
      </c>
      <c r="AH149" s="26">
        <f>IFERROR($AC149*HDF_Limited_Col!AH149/HDF_Limited_Col!$AH149," ")</f>
        <v>169199.04817798539</v>
      </c>
      <c r="AI149" s="26">
        <f>IFERROR($AC149*HDF_Limited_Col!AI149/HDF_Limited_Col!$AH149," ")</f>
        <v>0</v>
      </c>
      <c r="AJ149" s="26">
        <f>IFERROR($AC149*HDF_Limited_Col!AJ149/HDF_Limited_Col!$AH149," ")</f>
        <v>263.96107360060125</v>
      </c>
      <c r="AK149" s="26">
        <f>IFERROR($AC149*HDF_Limited_Col!AK149/HDF_Limited_Col!$AH149," ")</f>
        <v>0</v>
      </c>
      <c r="AL149" s="26">
        <f>IFERROR($AC149*HDF_Limited_Col!AL149/HDF_Limited_Col!$AH149," ")</f>
        <v>0</v>
      </c>
      <c r="AM149" s="26">
        <f>IFERROR($AC149*HDF_Limited_Col!AM149/HDF_Limited_Col!$AH149," ")</f>
        <v>0</v>
      </c>
      <c r="AN149" s="26">
        <f>IFERROR($AC149*HDF_Limited_Col!AN149/HDF_Limited_Col!$AH149," ")</f>
        <v>0</v>
      </c>
      <c r="AO149" s="26">
        <f>IFERROR($AC149*HDF_Limited_Col!AO149/HDF_Limited_Col!$AH149," ")</f>
        <v>0</v>
      </c>
      <c r="AP149" s="26">
        <f>IFERROR($AC149*HDF_Limited_Col!AP149/HDF_Limited_Col!$AH149," ")</f>
        <v>0</v>
      </c>
      <c r="AQ149" s="26">
        <f>IFERROR($AC149*HDF_Limited_Col!AQ149/HDF_Limited_Col!$AH149," ")</f>
        <v>0</v>
      </c>
      <c r="AR149" s="26">
        <f>IFERROR($AC149*HDF_Limited_Col!AR149/HDF_Limited_Col!$AH149," ")</f>
        <v>0</v>
      </c>
      <c r="AS149" s="26">
        <f>IFERROR($AC149*HDF_Limited_Col!AS149/HDF_Limited_Col!$AH149," ")</f>
        <v>0</v>
      </c>
      <c r="AT149" s="26">
        <f>IFERROR($AC149*HDF_Limited_Col!AT149/HDF_Limited_Col!$AH149," ")</f>
        <v>0</v>
      </c>
      <c r="AU149" s="26">
        <f>IFERROR($AC149*HDF_Limited_Col!AU149/HDF_Limited_Col!$AH149," ")</f>
        <v>0</v>
      </c>
      <c r="AV149" s="26">
        <f>IFERROR($AC149*HDF_Limited_Col!AV149/HDF_Limited_Col!$AH149," ")</f>
        <v>0</v>
      </c>
      <c r="AW149" s="26">
        <f>IFERROR($AC149*HDF_Limited_Col!AW149/HDF_Limited_Col!$AH149," ")</f>
        <v>0</v>
      </c>
      <c r="AX149" s="26">
        <f>IFERROR($AC149*HDF_Limited_Col!AX149/HDF_Limited_Col!$AH149," ")</f>
        <v>150.45781195234269</v>
      </c>
      <c r="AY149" s="26">
        <f>IFERROR($AC149*HDF_Limited_Col!AY149/HDF_Limited_Col!$AH149," ")</f>
        <v>6071.1046928138285</v>
      </c>
      <c r="AZ149" s="26">
        <f>IFERROR($AC149*HDF_Limited_Col!AZ149/HDF_Limited_Col!$AH149," ")</f>
        <v>1.6365586563237278</v>
      </c>
      <c r="BA149" s="26">
        <f>IFERROR($AC149*HDF_Limited_Col!BA149/HDF_Limited_Col!$AH149," ")</f>
        <v>124.06170459228257</v>
      </c>
      <c r="BB149" s="26">
        <f>IFERROR($AC149*HDF_Limited_Col!BB149/HDF_Limited_Col!$AH149," ")</f>
        <v>0</v>
      </c>
      <c r="BC149" s="26">
        <f>IFERROR($AC149*HDF_Limited_Col!BC149/HDF_Limited_Col!$AH149," ")</f>
        <v>722.9893805920467</v>
      </c>
      <c r="BD149" s="26">
        <f>IFERROR($AC149*HDF_Limited_Col!BD149/HDF_Limited_Col!$AH149," ")</f>
        <v>0</v>
      </c>
      <c r="BE149" s="26">
        <f>IFERROR($AC149*HDF_Limited_Col!BE149/HDF_Limited_Col!$AH149," ")</f>
        <v>0</v>
      </c>
      <c r="BF149" s="26">
        <f>IFERROR($AC149*HDF_Limited_Col!BF149/HDF_Limited_Col!$AH149," ")</f>
        <v>0</v>
      </c>
      <c r="BG149" s="26">
        <f>IFERROR($AC149*HDF_Limited_Col!BG149/HDF_Limited_Col!$AH149," ")</f>
        <v>0</v>
      </c>
      <c r="BH149" s="26">
        <f>IFERROR($AC149*HDF_Limited_Col!BH149/HDF_Limited_Col!$AH149," ")</f>
        <v>9.2386375760210431</v>
      </c>
      <c r="BI149" s="26">
        <f>IFERROR($AC149*HDF_Limited_Col!BI149/HDF_Limited_Col!$AH149," ")</f>
        <v>109543.84554424952</v>
      </c>
      <c r="BJ149" s="26">
        <f>IFERROR($AC149*HDF_Limited_Col!BJ149/HDF_Limited_Col!$AH149," ")</f>
        <v>0</v>
      </c>
      <c r="BK149" s="26">
        <f>IFERROR($AC149*HDF_Limited_Col!BK149/HDF_Limited_Col!$AH149," ")</f>
        <v>2309.6593940052608</v>
      </c>
      <c r="BL149" s="26">
        <f>IFERROR($AC149*HDF_Limited_Col!BL149/HDF_Limited_Col!$AH149," ")</f>
        <v>1689.3508710438477</v>
      </c>
      <c r="BM149" s="26">
        <f>IFERROR($AC149*HDF_Limited_Col!BM149/HDF_Limited_Col!$AH149," ")</f>
        <v>121.42209385627658</v>
      </c>
      <c r="BN149" s="26">
        <f>IFERROR($AC149*HDF_Limited_Col!BN149/HDF_Limited_Col!$AH149," ")</f>
        <v>369.54550304084165</v>
      </c>
      <c r="BO149" s="26">
        <f>IFERROR($AC149*HDF_Limited_Col!BO149/HDF_Limited_Col!$AH149," ")</f>
        <v>12.142209385627657</v>
      </c>
      <c r="BP149" s="26">
        <f>IFERROR($AC149*HDF_Limited_Col!BP149/HDF_Limited_Col!$AH149," ")</f>
        <v>3.4314939568078158</v>
      </c>
      <c r="BQ149" s="26">
        <f>IFERROR($AC149*HDF_Limited_Col!BQ149/HDF_Limited_Col!$AH149," ")</f>
        <v>5.2792214720120247</v>
      </c>
      <c r="BR149" s="26">
        <f>IFERROR($AC149*HDF_Limited_Col!BR149/HDF_Limited_Col!$AH149," ")</f>
        <v>0</v>
      </c>
      <c r="BS149" s="26">
        <f>IFERROR($AC149*HDF_Limited_Col!BS149/HDF_Limited_Col!$AH149," ")</f>
        <v>0</v>
      </c>
      <c r="BT149" s="26">
        <f>IFERROR($AC149*HDF_Limited_Col!BT149/HDF_Limited_Col!$AH149," ")</f>
        <v>1.3989936900831865</v>
      </c>
      <c r="BU149" s="26">
        <f>IFERROR($AC149*HDF_Limited_Col!BU149/HDF_Limited_Col!$AH149," ")</f>
        <v>0</v>
      </c>
      <c r="BV149" s="26">
        <f>IFERROR($AC149*HDF_Limited_Col!BV149/HDF_Limited_Col!$AH149," ")</f>
        <v>0</v>
      </c>
      <c r="BW149" s="26">
        <f>IFERROR($AC149*HDF_Limited_Col!BW149/HDF_Limited_Col!$AH149," ")</f>
        <v>0</v>
      </c>
      <c r="BX149" s="26">
        <f>IFERROR($AC149*HDF_Limited_Col!BX149/HDF_Limited_Col!$AH149," ")</f>
        <v>2.6396107360060124</v>
      </c>
      <c r="BY149" s="26">
        <f>IFERROR($AC149*HDF_Limited_Col!BY149/HDF_Limited_Col!$AH149," ")</f>
        <v>13.198053680030061</v>
      </c>
      <c r="BZ149" s="26">
        <f>IFERROR($AC149*HDF_Limited_Col!BZ149/HDF_Limited_Col!$AH149," ")</f>
        <v>0</v>
      </c>
      <c r="CA149" s="26">
        <f>IFERROR($AC149*HDF_Limited_Col!CA149/HDF_Limited_Col!$AH149," ")</f>
        <v>0</v>
      </c>
      <c r="CB149" s="26">
        <f>IFERROR($AC149*HDF_Limited_Col!CB149/HDF_Limited_Col!$AH149," ")</f>
        <v>976.65597232222456</v>
      </c>
      <c r="CC149" s="26">
        <f>IFERROR($AC149*HDF_Limited_Col!CC149/HDF_Limited_Col!$AH149," ")</f>
        <v>102.94481870423448</v>
      </c>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row>
    <row r="150" spans="1:109">
      <c r="A150" s="26" t="s">
        <v>1164</v>
      </c>
      <c r="B150" s="26" t="s">
        <v>24</v>
      </c>
      <c r="C150" s="155" t="s">
        <v>546</v>
      </c>
      <c r="D150" s="26" t="s">
        <v>119</v>
      </c>
      <c r="E150" s="26" t="s">
        <v>171</v>
      </c>
      <c r="F150" s="26" t="s">
        <v>113</v>
      </c>
      <c r="G150" s="26" t="s">
        <v>595</v>
      </c>
      <c r="H150" s="30" t="s">
        <v>805</v>
      </c>
      <c r="I150" s="26" t="s">
        <v>735</v>
      </c>
      <c r="J150" s="26" t="s">
        <v>1311</v>
      </c>
      <c r="K150" s="26" t="s">
        <v>128</v>
      </c>
      <c r="L150" s="26" t="s">
        <v>114</v>
      </c>
      <c r="M150" s="26" t="s">
        <v>129</v>
      </c>
      <c r="N150" s="26">
        <v>28</v>
      </c>
      <c r="O150" s="95">
        <v>7.4121793920899641</v>
      </c>
      <c r="P150" s="95">
        <v>1.3021396229347235</v>
      </c>
      <c r="Q150" s="95">
        <v>1.2019750365551294</v>
      </c>
      <c r="R150" s="95">
        <v>5.5090522508776756</v>
      </c>
      <c r="S150" s="95">
        <v>5.909710596396053</v>
      </c>
      <c r="T150" s="95">
        <v>8.3136606695063122</v>
      </c>
      <c r="U150" s="95">
        <v>12.119914951930886</v>
      </c>
      <c r="V150" s="95">
        <v>10.817775328996165</v>
      </c>
      <c r="W150" s="95">
        <v>26.844109149731221</v>
      </c>
      <c r="X150" s="95">
        <v>1.1018104501755352</v>
      </c>
      <c r="Y150" s="95">
        <v>25.141311181278127</v>
      </c>
      <c r="Z150" s="95">
        <v>105.67363863047179</v>
      </c>
      <c r="AA150" s="26"/>
      <c r="AB150" s="26"/>
      <c r="AC150" s="26">
        <f t="shared" si="3"/>
        <v>222842.96416904268</v>
      </c>
      <c r="AD150" s="26" t="str">
        <f>IFERROR($AC150*HDF_Limited_Col!AD150/HDF_Limited_Col!$AH150," ")</f>
        <v xml:space="preserve"> </v>
      </c>
      <c r="AE150" s="26" t="str">
        <f>IFERROR($AC150*HDF_Limited_Col!AE150/HDF_Limited_Col!$AH150," ")</f>
        <v xml:space="preserve"> </v>
      </c>
      <c r="AF150" s="26" t="str">
        <f>IFERROR($AC150*HDF_Limited_Col!AF150/HDF_Limited_Col!$AH150," ")</f>
        <v xml:space="preserve"> </v>
      </c>
      <c r="AG150" s="26" t="str">
        <f>IFERROR($AC150*HDF_Limited_Col!AG150/HDF_Limited_Col!$AH150," ")</f>
        <v xml:space="preserve"> </v>
      </c>
      <c r="AH150" s="26" t="str">
        <f>IFERROR($AC150*HDF_Limited_Col!AH150/HDF_Limited_Col!$AH150," ")</f>
        <v xml:space="preserve"> </v>
      </c>
      <c r="AI150" s="26" t="str">
        <f>IFERROR($AC150*HDF_Limited_Col!AI150/HDF_Limited_Col!$AH150," ")</f>
        <v xml:space="preserve"> </v>
      </c>
      <c r="AJ150" s="26" t="str">
        <f>IFERROR($AC150*HDF_Limited_Col!AJ150/HDF_Limited_Col!$AH150," ")</f>
        <v xml:space="preserve"> </v>
      </c>
      <c r="AK150" s="26" t="str">
        <f>IFERROR($AC150*HDF_Limited_Col!AK150/HDF_Limited_Col!$AH150," ")</f>
        <v xml:space="preserve"> </v>
      </c>
      <c r="AL150" s="26" t="str">
        <f>IFERROR($AC150*HDF_Limited_Col!AL150/HDF_Limited_Col!$AH150," ")</f>
        <v xml:space="preserve"> </v>
      </c>
      <c r="AM150" s="26" t="str">
        <f>IFERROR($AC150*HDF_Limited_Col!AM150/HDF_Limited_Col!$AH150," ")</f>
        <v xml:space="preserve"> </v>
      </c>
      <c r="AN150" s="26" t="str">
        <f>IFERROR($AC150*HDF_Limited_Col!AN150/HDF_Limited_Col!$AH150," ")</f>
        <v xml:space="preserve"> </v>
      </c>
      <c r="AO150" s="26" t="str">
        <f>IFERROR($AC150*HDF_Limited_Col!AO150/HDF_Limited_Col!$AH150," ")</f>
        <v xml:space="preserve"> </v>
      </c>
      <c r="AP150" s="26" t="str">
        <f>IFERROR($AC150*HDF_Limited_Col!AP150/HDF_Limited_Col!$AH150," ")</f>
        <v xml:space="preserve"> </v>
      </c>
      <c r="AQ150" s="26" t="str">
        <f>IFERROR($AC150*HDF_Limited_Col!AQ150/HDF_Limited_Col!$AH150," ")</f>
        <v xml:space="preserve"> </v>
      </c>
      <c r="AR150" s="26" t="str">
        <f>IFERROR($AC150*HDF_Limited_Col!AR150/HDF_Limited_Col!$AH150," ")</f>
        <v xml:space="preserve"> </v>
      </c>
      <c r="AS150" s="26" t="str">
        <f>IFERROR($AC150*HDF_Limited_Col!AS150/HDF_Limited_Col!$AH150," ")</f>
        <v xml:space="preserve"> </v>
      </c>
      <c r="AT150" s="26" t="str">
        <f>IFERROR($AC150*HDF_Limited_Col!AT150/HDF_Limited_Col!$AH150," ")</f>
        <v xml:space="preserve"> </v>
      </c>
      <c r="AU150" s="26" t="str">
        <f>IFERROR($AC150*HDF_Limited_Col!AU150/HDF_Limited_Col!$AH150," ")</f>
        <v xml:space="preserve"> </v>
      </c>
      <c r="AV150" s="26" t="str">
        <f>IFERROR($AC150*HDF_Limited_Col!AV150/HDF_Limited_Col!$AH150," ")</f>
        <v xml:space="preserve"> </v>
      </c>
      <c r="AW150" s="26" t="str">
        <f>IFERROR($AC150*HDF_Limited_Col!AW150/HDF_Limited_Col!$AH150," ")</f>
        <v xml:space="preserve"> </v>
      </c>
      <c r="AX150" s="26" t="str">
        <f>IFERROR($AC150*HDF_Limited_Col!AX150/HDF_Limited_Col!$AH150," ")</f>
        <v xml:space="preserve"> </v>
      </c>
      <c r="AY150" s="26" t="str">
        <f>IFERROR($AC150*HDF_Limited_Col!AY150/HDF_Limited_Col!$AH150," ")</f>
        <v xml:space="preserve"> </v>
      </c>
      <c r="AZ150" s="26" t="str">
        <f>IFERROR($AC150*HDF_Limited_Col!AZ150/HDF_Limited_Col!$AH150," ")</f>
        <v xml:space="preserve"> </v>
      </c>
      <c r="BA150" s="26" t="str">
        <f>IFERROR($AC150*HDF_Limited_Col!BA150/HDF_Limited_Col!$AH150," ")</f>
        <v xml:space="preserve"> </v>
      </c>
      <c r="BB150" s="26" t="str">
        <f>IFERROR($AC150*HDF_Limited_Col!BB150/HDF_Limited_Col!$AH150," ")</f>
        <v xml:space="preserve"> </v>
      </c>
      <c r="BC150" s="26" t="str">
        <f>IFERROR($AC150*HDF_Limited_Col!BC150/HDF_Limited_Col!$AH150," ")</f>
        <v xml:space="preserve"> </v>
      </c>
      <c r="BD150" s="26" t="str">
        <f>IFERROR($AC150*HDF_Limited_Col!BD150/HDF_Limited_Col!$AH150," ")</f>
        <v xml:space="preserve"> </v>
      </c>
      <c r="BE150" s="26" t="str">
        <f>IFERROR($AC150*HDF_Limited_Col!BE150/HDF_Limited_Col!$AH150," ")</f>
        <v xml:space="preserve"> </v>
      </c>
      <c r="BF150" s="26" t="str">
        <f>IFERROR($AC150*HDF_Limited_Col!BF150/HDF_Limited_Col!$AH150," ")</f>
        <v xml:space="preserve"> </v>
      </c>
      <c r="BG150" s="26" t="str">
        <f>IFERROR($AC150*HDF_Limited_Col!BG150/HDF_Limited_Col!$AH150," ")</f>
        <v xml:space="preserve"> </v>
      </c>
      <c r="BH150" s="26" t="str">
        <f>IFERROR($AC150*HDF_Limited_Col!BH150/HDF_Limited_Col!$AH150," ")</f>
        <v xml:space="preserve"> </v>
      </c>
      <c r="BI150" s="26" t="str">
        <f>IFERROR($AC150*HDF_Limited_Col!BI150/HDF_Limited_Col!$AH150," ")</f>
        <v xml:space="preserve"> </v>
      </c>
      <c r="BJ150" s="26" t="str">
        <f>IFERROR($AC150*HDF_Limited_Col!BJ150/HDF_Limited_Col!$AH150," ")</f>
        <v xml:space="preserve"> </v>
      </c>
      <c r="BK150" s="26" t="str">
        <f>IFERROR($AC150*HDF_Limited_Col!BK150/HDF_Limited_Col!$AH150," ")</f>
        <v xml:space="preserve"> </v>
      </c>
      <c r="BL150" s="26" t="str">
        <f>IFERROR($AC150*HDF_Limited_Col!BL150/HDF_Limited_Col!$AH150," ")</f>
        <v xml:space="preserve"> </v>
      </c>
      <c r="BM150" s="26" t="str">
        <f>IFERROR($AC150*HDF_Limited_Col!BM150/HDF_Limited_Col!$AH150," ")</f>
        <v xml:space="preserve"> </v>
      </c>
      <c r="BN150" s="26" t="str">
        <f>IFERROR($AC150*HDF_Limited_Col!BN150/HDF_Limited_Col!$AH150," ")</f>
        <v xml:space="preserve"> </v>
      </c>
      <c r="BO150" s="26" t="str">
        <f>IFERROR($AC150*HDF_Limited_Col!BO150/HDF_Limited_Col!$AH150," ")</f>
        <v xml:space="preserve"> </v>
      </c>
      <c r="BP150" s="26" t="str">
        <f>IFERROR($AC150*HDF_Limited_Col!BP150/HDF_Limited_Col!$AH150," ")</f>
        <v xml:space="preserve"> </v>
      </c>
      <c r="BQ150" s="26" t="str">
        <f>IFERROR($AC150*HDF_Limited_Col!BQ150/HDF_Limited_Col!$AH150," ")</f>
        <v xml:space="preserve"> </v>
      </c>
      <c r="BR150" s="26" t="str">
        <f>IFERROR($AC150*HDF_Limited_Col!BR150/HDF_Limited_Col!$AH150," ")</f>
        <v xml:space="preserve"> </v>
      </c>
      <c r="BS150" s="26" t="str">
        <f>IFERROR($AC150*HDF_Limited_Col!BS150/HDF_Limited_Col!$AH150," ")</f>
        <v xml:space="preserve"> </v>
      </c>
      <c r="BT150" s="26" t="str">
        <f>IFERROR($AC150*HDF_Limited_Col!BT150/HDF_Limited_Col!$AH150," ")</f>
        <v xml:space="preserve"> </v>
      </c>
      <c r="BU150" s="26" t="str">
        <f>IFERROR($AC150*HDF_Limited_Col!BU150/HDF_Limited_Col!$AH150," ")</f>
        <v xml:space="preserve"> </v>
      </c>
      <c r="BV150" s="26" t="str">
        <f>IFERROR($AC150*HDF_Limited_Col!BV150/HDF_Limited_Col!$AH150," ")</f>
        <v xml:space="preserve"> </v>
      </c>
      <c r="BW150" s="26" t="str">
        <f>IFERROR($AC150*HDF_Limited_Col!BW150/HDF_Limited_Col!$AH150," ")</f>
        <v xml:space="preserve"> </v>
      </c>
      <c r="BX150" s="26" t="str">
        <f>IFERROR($AC150*HDF_Limited_Col!BX150/HDF_Limited_Col!$AH150," ")</f>
        <v xml:space="preserve"> </v>
      </c>
      <c r="BY150" s="26" t="str">
        <f>IFERROR($AC150*HDF_Limited_Col!BY150/HDF_Limited_Col!$AH150," ")</f>
        <v xml:space="preserve"> </v>
      </c>
      <c r="BZ150" s="26" t="str">
        <f>IFERROR($AC150*HDF_Limited_Col!BZ150/HDF_Limited_Col!$AH150," ")</f>
        <v xml:space="preserve"> </v>
      </c>
      <c r="CA150" s="26" t="str">
        <f>IFERROR($AC150*HDF_Limited_Col!CA150/HDF_Limited_Col!$AH150," ")</f>
        <v xml:space="preserve"> </v>
      </c>
      <c r="CB150" s="26" t="str">
        <f>IFERROR($AC150*HDF_Limited_Col!CB150/HDF_Limited_Col!$AH150," ")</f>
        <v xml:space="preserve"> </v>
      </c>
      <c r="CC150" s="26" t="str">
        <f>IFERROR($AC150*HDF_Limited_Col!CC150/HDF_Limited_Col!$AH150," ")</f>
        <v xml:space="preserve"> </v>
      </c>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row>
    <row r="151" spans="1:109">
      <c r="A151" s="26" t="s">
        <v>1164</v>
      </c>
      <c r="B151" s="26" t="s">
        <v>24</v>
      </c>
      <c r="C151" s="155" t="s">
        <v>546</v>
      </c>
      <c r="D151" s="26" t="s">
        <v>119</v>
      </c>
      <c r="E151" s="26" t="s">
        <v>171</v>
      </c>
      <c r="F151" s="26" t="s">
        <v>113</v>
      </c>
      <c r="G151" s="26" t="s">
        <v>595</v>
      </c>
      <c r="H151" s="30" t="s">
        <v>805</v>
      </c>
      <c r="I151" s="26" t="s">
        <v>735</v>
      </c>
      <c r="J151" s="26" t="s">
        <v>1311</v>
      </c>
      <c r="K151" s="26" t="s">
        <v>115</v>
      </c>
      <c r="L151" s="26" t="s">
        <v>114</v>
      </c>
      <c r="M151" s="26" t="s">
        <v>130</v>
      </c>
      <c r="N151" s="26">
        <v>43</v>
      </c>
      <c r="O151" s="95">
        <v>7.5069563756541671</v>
      </c>
      <c r="P151" s="95">
        <v>1.2011130201046665</v>
      </c>
      <c r="Q151" s="95">
        <v>1.1010202684292778</v>
      </c>
      <c r="R151" s="95">
        <v>5.1047303354448328</v>
      </c>
      <c r="S151" s="95">
        <v>5.1047303354448328</v>
      </c>
      <c r="T151" s="95">
        <v>8.5078838924080546</v>
      </c>
      <c r="U151" s="95">
        <v>12.411501207748223</v>
      </c>
      <c r="V151" s="95">
        <v>6.7062143622510551</v>
      </c>
      <c r="W151" s="95">
        <v>27.72569221408272</v>
      </c>
      <c r="X151" s="95">
        <v>1.3012057717800556</v>
      </c>
      <c r="Y151" s="95">
        <v>30.127918254292059</v>
      </c>
      <c r="Z151" s="95">
        <v>106.79896603763994</v>
      </c>
      <c r="AA151" s="26"/>
      <c r="AB151" s="26"/>
      <c r="AC151" s="26">
        <f t="shared" si="3"/>
        <v>230161.31405823183</v>
      </c>
      <c r="AD151" s="26" t="str">
        <f>IFERROR($AC151*HDF_Limited_Col!AD151/HDF_Limited_Col!$AH151," ")</f>
        <v xml:space="preserve"> </v>
      </c>
      <c r="AE151" s="26" t="str">
        <f>IFERROR($AC151*HDF_Limited_Col!AE151/HDF_Limited_Col!$AH151," ")</f>
        <v xml:space="preserve"> </v>
      </c>
      <c r="AF151" s="26" t="str">
        <f>IFERROR($AC151*HDF_Limited_Col!AF151/HDF_Limited_Col!$AH151," ")</f>
        <v xml:space="preserve"> </v>
      </c>
      <c r="AG151" s="26" t="str">
        <f>IFERROR($AC151*HDF_Limited_Col!AG151/HDF_Limited_Col!$AH151," ")</f>
        <v xml:space="preserve"> </v>
      </c>
      <c r="AH151" s="26" t="str">
        <f>IFERROR($AC151*HDF_Limited_Col!AH151/HDF_Limited_Col!$AH151," ")</f>
        <v xml:space="preserve"> </v>
      </c>
      <c r="AI151" s="26" t="str">
        <f>IFERROR($AC151*HDF_Limited_Col!AI151/HDF_Limited_Col!$AH151," ")</f>
        <v xml:space="preserve"> </v>
      </c>
      <c r="AJ151" s="26" t="str">
        <f>IFERROR($AC151*HDF_Limited_Col!AJ151/HDF_Limited_Col!$AH151," ")</f>
        <v xml:space="preserve"> </v>
      </c>
      <c r="AK151" s="26" t="str">
        <f>IFERROR($AC151*HDF_Limited_Col!AK151/HDF_Limited_Col!$AH151," ")</f>
        <v xml:space="preserve"> </v>
      </c>
      <c r="AL151" s="26" t="str">
        <f>IFERROR($AC151*HDF_Limited_Col!AL151/HDF_Limited_Col!$AH151," ")</f>
        <v xml:space="preserve"> </v>
      </c>
      <c r="AM151" s="26" t="str">
        <f>IFERROR($AC151*HDF_Limited_Col!AM151/HDF_Limited_Col!$AH151," ")</f>
        <v xml:space="preserve"> </v>
      </c>
      <c r="AN151" s="26" t="str">
        <f>IFERROR($AC151*HDF_Limited_Col!AN151/HDF_Limited_Col!$AH151," ")</f>
        <v xml:space="preserve"> </v>
      </c>
      <c r="AO151" s="26" t="str">
        <f>IFERROR($AC151*HDF_Limited_Col!AO151/HDF_Limited_Col!$AH151," ")</f>
        <v xml:space="preserve"> </v>
      </c>
      <c r="AP151" s="26" t="str">
        <f>IFERROR($AC151*HDF_Limited_Col!AP151/HDF_Limited_Col!$AH151," ")</f>
        <v xml:space="preserve"> </v>
      </c>
      <c r="AQ151" s="26" t="str">
        <f>IFERROR($AC151*HDF_Limited_Col!AQ151/HDF_Limited_Col!$AH151," ")</f>
        <v xml:space="preserve"> </v>
      </c>
      <c r="AR151" s="26" t="str">
        <f>IFERROR($AC151*HDF_Limited_Col!AR151/HDF_Limited_Col!$AH151," ")</f>
        <v xml:space="preserve"> </v>
      </c>
      <c r="AS151" s="26" t="str">
        <f>IFERROR($AC151*HDF_Limited_Col!AS151/HDF_Limited_Col!$AH151," ")</f>
        <v xml:space="preserve"> </v>
      </c>
      <c r="AT151" s="26" t="str">
        <f>IFERROR($AC151*HDF_Limited_Col!AT151/HDF_Limited_Col!$AH151," ")</f>
        <v xml:space="preserve"> </v>
      </c>
      <c r="AU151" s="26" t="str">
        <f>IFERROR($AC151*HDF_Limited_Col!AU151/HDF_Limited_Col!$AH151," ")</f>
        <v xml:space="preserve"> </v>
      </c>
      <c r="AV151" s="26" t="str">
        <f>IFERROR($AC151*HDF_Limited_Col!AV151/HDF_Limited_Col!$AH151," ")</f>
        <v xml:space="preserve"> </v>
      </c>
      <c r="AW151" s="26" t="str">
        <f>IFERROR($AC151*HDF_Limited_Col!AW151/HDF_Limited_Col!$AH151," ")</f>
        <v xml:space="preserve"> </v>
      </c>
      <c r="AX151" s="26" t="str">
        <f>IFERROR($AC151*HDF_Limited_Col!AX151/HDF_Limited_Col!$AH151," ")</f>
        <v xml:space="preserve"> </v>
      </c>
      <c r="AY151" s="26" t="str">
        <f>IFERROR($AC151*HDF_Limited_Col!AY151/HDF_Limited_Col!$AH151," ")</f>
        <v xml:space="preserve"> </v>
      </c>
      <c r="AZ151" s="26" t="str">
        <f>IFERROR($AC151*HDF_Limited_Col!AZ151/HDF_Limited_Col!$AH151," ")</f>
        <v xml:space="preserve"> </v>
      </c>
      <c r="BA151" s="26" t="str">
        <f>IFERROR($AC151*HDF_Limited_Col!BA151/HDF_Limited_Col!$AH151," ")</f>
        <v xml:space="preserve"> </v>
      </c>
      <c r="BB151" s="26" t="str">
        <f>IFERROR($AC151*HDF_Limited_Col!BB151/HDF_Limited_Col!$AH151," ")</f>
        <v xml:space="preserve"> </v>
      </c>
      <c r="BC151" s="26" t="str">
        <f>IFERROR($AC151*HDF_Limited_Col!BC151/HDF_Limited_Col!$AH151," ")</f>
        <v xml:space="preserve"> </v>
      </c>
      <c r="BD151" s="26" t="str">
        <f>IFERROR($AC151*HDF_Limited_Col!BD151/HDF_Limited_Col!$AH151," ")</f>
        <v xml:space="preserve"> </v>
      </c>
      <c r="BE151" s="26" t="str">
        <f>IFERROR($AC151*HDF_Limited_Col!BE151/HDF_Limited_Col!$AH151," ")</f>
        <v xml:space="preserve"> </v>
      </c>
      <c r="BF151" s="26" t="str">
        <f>IFERROR($AC151*HDF_Limited_Col!BF151/HDF_Limited_Col!$AH151," ")</f>
        <v xml:space="preserve"> </v>
      </c>
      <c r="BG151" s="26" t="str">
        <f>IFERROR($AC151*HDF_Limited_Col!BG151/HDF_Limited_Col!$AH151," ")</f>
        <v xml:space="preserve"> </v>
      </c>
      <c r="BH151" s="26" t="str">
        <f>IFERROR($AC151*HDF_Limited_Col!BH151/HDF_Limited_Col!$AH151," ")</f>
        <v xml:space="preserve"> </v>
      </c>
      <c r="BI151" s="26" t="str">
        <f>IFERROR($AC151*HDF_Limited_Col!BI151/HDF_Limited_Col!$AH151," ")</f>
        <v xml:space="preserve"> </v>
      </c>
      <c r="BJ151" s="26" t="str">
        <f>IFERROR($AC151*HDF_Limited_Col!BJ151/HDF_Limited_Col!$AH151," ")</f>
        <v xml:space="preserve"> </v>
      </c>
      <c r="BK151" s="26" t="str">
        <f>IFERROR($AC151*HDF_Limited_Col!BK151/HDF_Limited_Col!$AH151," ")</f>
        <v xml:space="preserve"> </v>
      </c>
      <c r="BL151" s="26" t="str">
        <f>IFERROR($AC151*HDF_Limited_Col!BL151/HDF_Limited_Col!$AH151," ")</f>
        <v xml:space="preserve"> </v>
      </c>
      <c r="BM151" s="26" t="str">
        <f>IFERROR($AC151*HDF_Limited_Col!BM151/HDF_Limited_Col!$AH151," ")</f>
        <v xml:space="preserve"> </v>
      </c>
      <c r="BN151" s="26" t="str">
        <f>IFERROR($AC151*HDF_Limited_Col!BN151/HDF_Limited_Col!$AH151," ")</f>
        <v xml:space="preserve"> </v>
      </c>
      <c r="BO151" s="26" t="str">
        <f>IFERROR($AC151*HDF_Limited_Col!BO151/HDF_Limited_Col!$AH151," ")</f>
        <v xml:space="preserve"> </v>
      </c>
      <c r="BP151" s="26" t="str">
        <f>IFERROR($AC151*HDF_Limited_Col!BP151/HDF_Limited_Col!$AH151," ")</f>
        <v xml:space="preserve"> </v>
      </c>
      <c r="BQ151" s="26" t="str">
        <f>IFERROR($AC151*HDF_Limited_Col!BQ151/HDF_Limited_Col!$AH151," ")</f>
        <v xml:space="preserve"> </v>
      </c>
      <c r="BR151" s="26" t="str">
        <f>IFERROR($AC151*HDF_Limited_Col!BR151/HDF_Limited_Col!$AH151," ")</f>
        <v xml:space="preserve"> </v>
      </c>
      <c r="BS151" s="26" t="str">
        <f>IFERROR($AC151*HDF_Limited_Col!BS151/HDF_Limited_Col!$AH151," ")</f>
        <v xml:space="preserve"> </v>
      </c>
      <c r="BT151" s="26" t="str">
        <f>IFERROR($AC151*HDF_Limited_Col!BT151/HDF_Limited_Col!$AH151," ")</f>
        <v xml:space="preserve"> </v>
      </c>
      <c r="BU151" s="26" t="str">
        <f>IFERROR($AC151*HDF_Limited_Col!BU151/HDF_Limited_Col!$AH151," ")</f>
        <v xml:space="preserve"> </v>
      </c>
      <c r="BV151" s="26" t="str">
        <f>IFERROR($AC151*HDF_Limited_Col!BV151/HDF_Limited_Col!$AH151," ")</f>
        <v xml:space="preserve"> </v>
      </c>
      <c r="BW151" s="26" t="str">
        <f>IFERROR($AC151*HDF_Limited_Col!BW151/HDF_Limited_Col!$AH151," ")</f>
        <v xml:space="preserve"> </v>
      </c>
      <c r="BX151" s="26" t="str">
        <f>IFERROR($AC151*HDF_Limited_Col!BX151/HDF_Limited_Col!$AH151," ")</f>
        <v xml:space="preserve"> </v>
      </c>
      <c r="BY151" s="26" t="str">
        <f>IFERROR($AC151*HDF_Limited_Col!BY151/HDF_Limited_Col!$AH151," ")</f>
        <v xml:space="preserve"> </v>
      </c>
      <c r="BZ151" s="26" t="str">
        <f>IFERROR($AC151*HDF_Limited_Col!BZ151/HDF_Limited_Col!$AH151," ")</f>
        <v xml:space="preserve"> </v>
      </c>
      <c r="CA151" s="26" t="str">
        <f>IFERROR($AC151*HDF_Limited_Col!CA151/HDF_Limited_Col!$AH151," ")</f>
        <v xml:space="preserve"> </v>
      </c>
      <c r="CB151" s="26" t="str">
        <f>IFERROR($AC151*HDF_Limited_Col!CB151/HDF_Limited_Col!$AH151," ")</f>
        <v xml:space="preserve"> </v>
      </c>
      <c r="CC151" s="26" t="str">
        <f>IFERROR($AC151*HDF_Limited_Col!CC151/HDF_Limited_Col!$AH151," ")</f>
        <v xml:space="preserve"> </v>
      </c>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row>
    <row r="152" spans="1:109">
      <c r="A152" s="26" t="s">
        <v>1164</v>
      </c>
      <c r="B152" s="26" t="s">
        <v>24</v>
      </c>
      <c r="C152" s="155" t="s">
        <v>546</v>
      </c>
      <c r="D152" s="26" t="s">
        <v>119</v>
      </c>
      <c r="E152" s="26" t="s">
        <v>171</v>
      </c>
      <c r="F152" s="26" t="s">
        <v>113</v>
      </c>
      <c r="G152" s="26" t="s">
        <v>595</v>
      </c>
      <c r="H152" s="30" t="s">
        <v>805</v>
      </c>
      <c r="I152" s="26" t="s">
        <v>735</v>
      </c>
      <c r="J152" s="26" t="s">
        <v>1311</v>
      </c>
      <c r="K152" s="26" t="s">
        <v>128</v>
      </c>
      <c r="L152" s="26" t="s">
        <v>114</v>
      </c>
      <c r="M152" s="26" t="s">
        <v>131</v>
      </c>
      <c r="N152" s="26">
        <v>24</v>
      </c>
      <c r="O152" s="95">
        <v>5.2044777594263048</v>
      </c>
      <c r="P152" s="95">
        <v>1.2010333290983779</v>
      </c>
      <c r="Q152" s="95">
        <v>1.0008611075819815</v>
      </c>
      <c r="R152" s="95">
        <v>8.5073194144468438</v>
      </c>
      <c r="S152" s="95">
        <v>4.2036166518443236</v>
      </c>
      <c r="T152" s="95">
        <v>6.1052527562500876</v>
      </c>
      <c r="U152" s="95">
        <v>14.312313838422339</v>
      </c>
      <c r="V152" s="95">
        <v>6.4055110885246833</v>
      </c>
      <c r="W152" s="95">
        <v>27.823938790779088</v>
      </c>
      <c r="X152" s="95">
        <v>0.90077499682378348</v>
      </c>
      <c r="Y152" s="95">
        <v>31.427038778074223</v>
      </c>
      <c r="Z152" s="95">
        <v>107.09213851127203</v>
      </c>
      <c r="AA152" s="26"/>
      <c r="AB152" s="26"/>
      <c r="AC152" s="26">
        <f t="shared" si="3"/>
        <v>230976.89554198907</v>
      </c>
      <c r="AD152" s="26" t="str">
        <f>IFERROR($AC152*HDF_Limited_Col!AD152/HDF_Limited_Col!$AH152," ")</f>
        <v xml:space="preserve"> </v>
      </c>
      <c r="AE152" s="26" t="str">
        <f>IFERROR($AC152*HDF_Limited_Col!AE152/HDF_Limited_Col!$AH152," ")</f>
        <v xml:space="preserve"> </v>
      </c>
      <c r="AF152" s="26" t="str">
        <f>IFERROR($AC152*HDF_Limited_Col!AF152/HDF_Limited_Col!$AH152," ")</f>
        <v xml:space="preserve"> </v>
      </c>
      <c r="AG152" s="26" t="str">
        <f>IFERROR($AC152*HDF_Limited_Col!AG152/HDF_Limited_Col!$AH152," ")</f>
        <v xml:space="preserve"> </v>
      </c>
      <c r="AH152" s="26" t="str">
        <f>IFERROR($AC152*HDF_Limited_Col!AH152/HDF_Limited_Col!$AH152," ")</f>
        <v xml:space="preserve"> </v>
      </c>
      <c r="AI152" s="26" t="str">
        <f>IFERROR($AC152*HDF_Limited_Col!AI152/HDF_Limited_Col!$AH152," ")</f>
        <v xml:space="preserve"> </v>
      </c>
      <c r="AJ152" s="26" t="str">
        <f>IFERROR($AC152*HDF_Limited_Col!AJ152/HDF_Limited_Col!$AH152," ")</f>
        <v xml:space="preserve"> </v>
      </c>
      <c r="AK152" s="26" t="str">
        <f>IFERROR($AC152*HDF_Limited_Col!AK152/HDF_Limited_Col!$AH152," ")</f>
        <v xml:space="preserve"> </v>
      </c>
      <c r="AL152" s="26" t="str">
        <f>IFERROR($AC152*HDF_Limited_Col!AL152/HDF_Limited_Col!$AH152," ")</f>
        <v xml:space="preserve"> </v>
      </c>
      <c r="AM152" s="26" t="str">
        <f>IFERROR($AC152*HDF_Limited_Col!AM152/HDF_Limited_Col!$AH152," ")</f>
        <v xml:space="preserve"> </v>
      </c>
      <c r="AN152" s="26" t="str">
        <f>IFERROR($AC152*HDF_Limited_Col!AN152/HDF_Limited_Col!$AH152," ")</f>
        <v xml:space="preserve"> </v>
      </c>
      <c r="AO152" s="26" t="str">
        <f>IFERROR($AC152*HDF_Limited_Col!AO152/HDF_Limited_Col!$AH152," ")</f>
        <v xml:space="preserve"> </v>
      </c>
      <c r="AP152" s="26" t="str">
        <f>IFERROR($AC152*HDF_Limited_Col!AP152/HDF_Limited_Col!$AH152," ")</f>
        <v xml:space="preserve"> </v>
      </c>
      <c r="AQ152" s="26" t="str">
        <f>IFERROR($AC152*HDF_Limited_Col!AQ152/HDF_Limited_Col!$AH152," ")</f>
        <v xml:space="preserve"> </v>
      </c>
      <c r="AR152" s="26" t="str">
        <f>IFERROR($AC152*HDF_Limited_Col!AR152/HDF_Limited_Col!$AH152," ")</f>
        <v xml:space="preserve"> </v>
      </c>
      <c r="AS152" s="26" t="str">
        <f>IFERROR($AC152*HDF_Limited_Col!AS152/HDF_Limited_Col!$AH152," ")</f>
        <v xml:space="preserve"> </v>
      </c>
      <c r="AT152" s="26" t="str">
        <f>IFERROR($AC152*HDF_Limited_Col!AT152/HDF_Limited_Col!$AH152," ")</f>
        <v xml:space="preserve"> </v>
      </c>
      <c r="AU152" s="26" t="str">
        <f>IFERROR($AC152*HDF_Limited_Col!AU152/HDF_Limited_Col!$AH152," ")</f>
        <v xml:space="preserve"> </v>
      </c>
      <c r="AV152" s="26" t="str">
        <f>IFERROR($AC152*HDF_Limited_Col!AV152/HDF_Limited_Col!$AH152," ")</f>
        <v xml:space="preserve"> </v>
      </c>
      <c r="AW152" s="26" t="str">
        <f>IFERROR($AC152*HDF_Limited_Col!AW152/HDF_Limited_Col!$AH152," ")</f>
        <v xml:space="preserve"> </v>
      </c>
      <c r="AX152" s="26" t="str">
        <f>IFERROR($AC152*HDF_Limited_Col!AX152/HDF_Limited_Col!$AH152," ")</f>
        <v xml:space="preserve"> </v>
      </c>
      <c r="AY152" s="26" t="str">
        <f>IFERROR($AC152*HDF_Limited_Col!AY152/HDF_Limited_Col!$AH152," ")</f>
        <v xml:space="preserve"> </v>
      </c>
      <c r="AZ152" s="26" t="str">
        <f>IFERROR($AC152*HDF_Limited_Col!AZ152/HDF_Limited_Col!$AH152," ")</f>
        <v xml:space="preserve"> </v>
      </c>
      <c r="BA152" s="26" t="str">
        <f>IFERROR($AC152*HDF_Limited_Col!BA152/HDF_Limited_Col!$AH152," ")</f>
        <v xml:space="preserve"> </v>
      </c>
      <c r="BB152" s="26" t="str">
        <f>IFERROR($AC152*HDF_Limited_Col!BB152/HDF_Limited_Col!$AH152," ")</f>
        <v xml:space="preserve"> </v>
      </c>
      <c r="BC152" s="26" t="str">
        <f>IFERROR($AC152*HDF_Limited_Col!BC152/HDF_Limited_Col!$AH152," ")</f>
        <v xml:space="preserve"> </v>
      </c>
      <c r="BD152" s="26" t="str">
        <f>IFERROR($AC152*HDF_Limited_Col!BD152/HDF_Limited_Col!$AH152," ")</f>
        <v xml:space="preserve"> </v>
      </c>
      <c r="BE152" s="26" t="str">
        <f>IFERROR($AC152*HDF_Limited_Col!BE152/HDF_Limited_Col!$AH152," ")</f>
        <v xml:space="preserve"> </v>
      </c>
      <c r="BF152" s="26" t="str">
        <f>IFERROR($AC152*HDF_Limited_Col!BF152/HDF_Limited_Col!$AH152," ")</f>
        <v xml:space="preserve"> </v>
      </c>
      <c r="BG152" s="26" t="str">
        <f>IFERROR($AC152*HDF_Limited_Col!BG152/HDF_Limited_Col!$AH152," ")</f>
        <v xml:space="preserve"> </v>
      </c>
      <c r="BH152" s="26" t="str">
        <f>IFERROR($AC152*HDF_Limited_Col!BH152/HDF_Limited_Col!$AH152," ")</f>
        <v xml:space="preserve"> </v>
      </c>
      <c r="BI152" s="26" t="str">
        <f>IFERROR($AC152*HDF_Limited_Col!BI152/HDF_Limited_Col!$AH152," ")</f>
        <v xml:space="preserve"> </v>
      </c>
      <c r="BJ152" s="26" t="str">
        <f>IFERROR($AC152*HDF_Limited_Col!BJ152/HDF_Limited_Col!$AH152," ")</f>
        <v xml:space="preserve"> </v>
      </c>
      <c r="BK152" s="26" t="str">
        <f>IFERROR($AC152*HDF_Limited_Col!BK152/HDF_Limited_Col!$AH152," ")</f>
        <v xml:space="preserve"> </v>
      </c>
      <c r="BL152" s="26" t="str">
        <f>IFERROR($AC152*HDF_Limited_Col!BL152/HDF_Limited_Col!$AH152," ")</f>
        <v xml:space="preserve"> </v>
      </c>
      <c r="BM152" s="26" t="str">
        <f>IFERROR($AC152*HDF_Limited_Col!BM152/HDF_Limited_Col!$AH152," ")</f>
        <v xml:space="preserve"> </v>
      </c>
      <c r="BN152" s="26" t="str">
        <f>IFERROR($AC152*HDF_Limited_Col!BN152/HDF_Limited_Col!$AH152," ")</f>
        <v xml:space="preserve"> </v>
      </c>
      <c r="BO152" s="26" t="str">
        <f>IFERROR($AC152*HDF_Limited_Col!BO152/HDF_Limited_Col!$AH152," ")</f>
        <v xml:space="preserve"> </v>
      </c>
      <c r="BP152" s="26" t="str">
        <f>IFERROR($AC152*HDF_Limited_Col!BP152/HDF_Limited_Col!$AH152," ")</f>
        <v xml:space="preserve"> </v>
      </c>
      <c r="BQ152" s="26" t="str">
        <f>IFERROR($AC152*HDF_Limited_Col!BQ152/HDF_Limited_Col!$AH152," ")</f>
        <v xml:space="preserve"> </v>
      </c>
      <c r="BR152" s="26" t="str">
        <f>IFERROR($AC152*HDF_Limited_Col!BR152/HDF_Limited_Col!$AH152," ")</f>
        <v xml:space="preserve"> </v>
      </c>
      <c r="BS152" s="26" t="str">
        <f>IFERROR($AC152*HDF_Limited_Col!BS152/HDF_Limited_Col!$AH152," ")</f>
        <v xml:space="preserve"> </v>
      </c>
      <c r="BT152" s="26" t="str">
        <f>IFERROR($AC152*HDF_Limited_Col!BT152/HDF_Limited_Col!$AH152," ")</f>
        <v xml:space="preserve"> </v>
      </c>
      <c r="BU152" s="26" t="str">
        <f>IFERROR($AC152*HDF_Limited_Col!BU152/HDF_Limited_Col!$AH152," ")</f>
        <v xml:space="preserve"> </v>
      </c>
      <c r="BV152" s="26" t="str">
        <f>IFERROR($AC152*HDF_Limited_Col!BV152/HDF_Limited_Col!$AH152," ")</f>
        <v xml:space="preserve"> </v>
      </c>
      <c r="BW152" s="26" t="str">
        <f>IFERROR($AC152*HDF_Limited_Col!BW152/HDF_Limited_Col!$AH152," ")</f>
        <v xml:space="preserve"> </v>
      </c>
      <c r="BX152" s="26" t="str">
        <f>IFERROR($AC152*HDF_Limited_Col!BX152/HDF_Limited_Col!$AH152," ")</f>
        <v xml:space="preserve"> </v>
      </c>
      <c r="BY152" s="26" t="str">
        <f>IFERROR($AC152*HDF_Limited_Col!BY152/HDF_Limited_Col!$AH152," ")</f>
        <v xml:space="preserve"> </v>
      </c>
      <c r="BZ152" s="26" t="str">
        <f>IFERROR($AC152*HDF_Limited_Col!BZ152/HDF_Limited_Col!$AH152," ")</f>
        <v xml:space="preserve"> </v>
      </c>
      <c r="CA152" s="26" t="str">
        <f>IFERROR($AC152*HDF_Limited_Col!CA152/HDF_Limited_Col!$AH152," ")</f>
        <v xml:space="preserve"> </v>
      </c>
      <c r="CB152" s="26" t="str">
        <f>IFERROR($AC152*HDF_Limited_Col!CB152/HDF_Limited_Col!$AH152," ")</f>
        <v xml:space="preserve"> </v>
      </c>
      <c r="CC152" s="26" t="str">
        <f>IFERROR($AC152*HDF_Limited_Col!CC152/HDF_Limited_Col!$AH152," ")</f>
        <v xml:space="preserve"> </v>
      </c>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row>
    <row r="153" spans="1:109">
      <c r="A153" s="26" t="s">
        <v>1164</v>
      </c>
      <c r="B153" s="26" t="s">
        <v>24</v>
      </c>
      <c r="C153" s="155" t="s">
        <v>546</v>
      </c>
      <c r="D153" s="26" t="s">
        <v>119</v>
      </c>
      <c r="E153" s="26" t="s">
        <v>171</v>
      </c>
      <c r="F153" s="26" t="s">
        <v>113</v>
      </c>
      <c r="G153" s="26" t="s">
        <v>595</v>
      </c>
      <c r="H153" s="30" t="s">
        <v>805</v>
      </c>
      <c r="I153" s="26" t="s">
        <v>735</v>
      </c>
      <c r="J153" s="26" t="s">
        <v>1311</v>
      </c>
      <c r="K153" s="26" t="s">
        <v>128</v>
      </c>
      <c r="L153" s="26" t="s">
        <v>114</v>
      </c>
      <c r="M153" s="26" t="s">
        <v>132</v>
      </c>
      <c r="N153" s="26">
        <v>35</v>
      </c>
      <c r="O153" s="95">
        <v>7.2999485194039551</v>
      </c>
      <c r="P153" s="95">
        <v>1.5999887165816888</v>
      </c>
      <c r="Q153" s="95">
        <v>1.1999915374362666</v>
      </c>
      <c r="R153" s="95">
        <v>7.6999456985493779</v>
      </c>
      <c r="S153" s="95">
        <v>3.9999717914542217</v>
      </c>
      <c r="T153" s="95">
        <v>7.2999485194039551</v>
      </c>
      <c r="U153" s="95">
        <v>13.999901270089776</v>
      </c>
      <c r="V153" s="95">
        <v>5.7999590976086219</v>
      </c>
      <c r="W153" s="95">
        <v>28.199801129752259</v>
      </c>
      <c r="X153" s="95">
        <v>0.59999576871813332</v>
      </c>
      <c r="Y153" s="95">
        <v>28.799796898470397</v>
      </c>
      <c r="Z153" s="95">
        <v>106.49924894746866</v>
      </c>
      <c r="AA153" s="26"/>
      <c r="AB153" s="26"/>
      <c r="AC153" s="26">
        <f t="shared" si="3"/>
        <v>234097.06903216164</v>
      </c>
      <c r="AD153" s="26" t="str">
        <f>IFERROR($AC153*HDF_Limited_Col!AD153/HDF_Limited_Col!$AH153," ")</f>
        <v xml:space="preserve"> </v>
      </c>
      <c r="AE153" s="26" t="str">
        <f>IFERROR($AC153*HDF_Limited_Col!AE153/HDF_Limited_Col!$AH153," ")</f>
        <v xml:space="preserve"> </v>
      </c>
      <c r="AF153" s="26" t="str">
        <f>IFERROR($AC153*HDF_Limited_Col!AF153/HDF_Limited_Col!$AH153," ")</f>
        <v xml:space="preserve"> </v>
      </c>
      <c r="AG153" s="26" t="str">
        <f>IFERROR($AC153*HDF_Limited_Col!AG153/HDF_Limited_Col!$AH153," ")</f>
        <v xml:space="preserve"> </v>
      </c>
      <c r="AH153" s="26" t="str">
        <f>IFERROR($AC153*HDF_Limited_Col!AH153/HDF_Limited_Col!$AH153," ")</f>
        <v xml:space="preserve"> </v>
      </c>
      <c r="AI153" s="26" t="str">
        <f>IFERROR($AC153*HDF_Limited_Col!AI153/HDF_Limited_Col!$AH153," ")</f>
        <v xml:space="preserve"> </v>
      </c>
      <c r="AJ153" s="26" t="str">
        <f>IFERROR($AC153*HDF_Limited_Col!AJ153/HDF_Limited_Col!$AH153," ")</f>
        <v xml:space="preserve"> </v>
      </c>
      <c r="AK153" s="26" t="str">
        <f>IFERROR($AC153*HDF_Limited_Col!AK153/HDF_Limited_Col!$AH153," ")</f>
        <v xml:space="preserve"> </v>
      </c>
      <c r="AL153" s="26" t="str">
        <f>IFERROR($AC153*HDF_Limited_Col!AL153/HDF_Limited_Col!$AH153," ")</f>
        <v xml:space="preserve"> </v>
      </c>
      <c r="AM153" s="26" t="str">
        <f>IFERROR($AC153*HDF_Limited_Col!AM153/HDF_Limited_Col!$AH153," ")</f>
        <v xml:space="preserve"> </v>
      </c>
      <c r="AN153" s="26" t="str">
        <f>IFERROR($AC153*HDF_Limited_Col!AN153/HDF_Limited_Col!$AH153," ")</f>
        <v xml:space="preserve"> </v>
      </c>
      <c r="AO153" s="26" t="str">
        <f>IFERROR($AC153*HDF_Limited_Col!AO153/HDF_Limited_Col!$AH153," ")</f>
        <v xml:space="preserve"> </v>
      </c>
      <c r="AP153" s="26" t="str">
        <f>IFERROR($AC153*HDF_Limited_Col!AP153/HDF_Limited_Col!$AH153," ")</f>
        <v xml:space="preserve"> </v>
      </c>
      <c r="AQ153" s="26" t="str">
        <f>IFERROR($AC153*HDF_Limited_Col!AQ153/HDF_Limited_Col!$AH153," ")</f>
        <v xml:space="preserve"> </v>
      </c>
      <c r="AR153" s="26" t="str">
        <f>IFERROR($AC153*HDF_Limited_Col!AR153/HDF_Limited_Col!$AH153," ")</f>
        <v xml:space="preserve"> </v>
      </c>
      <c r="AS153" s="26" t="str">
        <f>IFERROR($AC153*HDF_Limited_Col!AS153/HDF_Limited_Col!$AH153," ")</f>
        <v xml:space="preserve"> </v>
      </c>
      <c r="AT153" s="26" t="str">
        <f>IFERROR($AC153*HDF_Limited_Col!AT153/HDF_Limited_Col!$AH153," ")</f>
        <v xml:space="preserve"> </v>
      </c>
      <c r="AU153" s="26" t="str">
        <f>IFERROR($AC153*HDF_Limited_Col!AU153/HDF_Limited_Col!$AH153," ")</f>
        <v xml:space="preserve"> </v>
      </c>
      <c r="AV153" s="26" t="str">
        <f>IFERROR($AC153*HDF_Limited_Col!AV153/HDF_Limited_Col!$AH153," ")</f>
        <v xml:space="preserve"> </v>
      </c>
      <c r="AW153" s="26" t="str">
        <f>IFERROR($AC153*HDF_Limited_Col!AW153/HDF_Limited_Col!$AH153," ")</f>
        <v xml:space="preserve"> </v>
      </c>
      <c r="AX153" s="26" t="str">
        <f>IFERROR($AC153*HDF_Limited_Col!AX153/HDF_Limited_Col!$AH153," ")</f>
        <v xml:space="preserve"> </v>
      </c>
      <c r="AY153" s="26" t="str">
        <f>IFERROR($AC153*HDF_Limited_Col!AY153/HDF_Limited_Col!$AH153," ")</f>
        <v xml:space="preserve"> </v>
      </c>
      <c r="AZ153" s="26" t="str">
        <f>IFERROR($AC153*HDF_Limited_Col!AZ153/HDF_Limited_Col!$AH153," ")</f>
        <v xml:space="preserve"> </v>
      </c>
      <c r="BA153" s="26" t="str">
        <f>IFERROR($AC153*HDF_Limited_Col!BA153/HDF_Limited_Col!$AH153," ")</f>
        <v xml:space="preserve"> </v>
      </c>
      <c r="BB153" s="26" t="str">
        <f>IFERROR($AC153*HDF_Limited_Col!BB153/HDF_Limited_Col!$AH153," ")</f>
        <v xml:space="preserve"> </v>
      </c>
      <c r="BC153" s="26" t="str">
        <f>IFERROR($AC153*HDF_Limited_Col!BC153/HDF_Limited_Col!$AH153," ")</f>
        <v xml:space="preserve"> </v>
      </c>
      <c r="BD153" s="26" t="str">
        <f>IFERROR($AC153*HDF_Limited_Col!BD153/HDF_Limited_Col!$AH153," ")</f>
        <v xml:space="preserve"> </v>
      </c>
      <c r="BE153" s="26" t="str">
        <f>IFERROR($AC153*HDF_Limited_Col!BE153/HDF_Limited_Col!$AH153," ")</f>
        <v xml:space="preserve"> </v>
      </c>
      <c r="BF153" s="26" t="str">
        <f>IFERROR($AC153*HDF_Limited_Col!BF153/HDF_Limited_Col!$AH153," ")</f>
        <v xml:space="preserve"> </v>
      </c>
      <c r="BG153" s="26" t="str">
        <f>IFERROR($AC153*HDF_Limited_Col!BG153/HDF_Limited_Col!$AH153," ")</f>
        <v xml:space="preserve"> </v>
      </c>
      <c r="BH153" s="26" t="str">
        <f>IFERROR($AC153*HDF_Limited_Col!BH153/HDF_Limited_Col!$AH153," ")</f>
        <v xml:space="preserve"> </v>
      </c>
      <c r="BI153" s="26" t="str">
        <f>IFERROR($AC153*HDF_Limited_Col!BI153/HDF_Limited_Col!$AH153," ")</f>
        <v xml:space="preserve"> </v>
      </c>
      <c r="BJ153" s="26" t="str">
        <f>IFERROR($AC153*HDF_Limited_Col!BJ153/HDF_Limited_Col!$AH153," ")</f>
        <v xml:space="preserve"> </v>
      </c>
      <c r="BK153" s="26" t="str">
        <f>IFERROR($AC153*HDF_Limited_Col!BK153/HDF_Limited_Col!$AH153," ")</f>
        <v xml:space="preserve"> </v>
      </c>
      <c r="BL153" s="26" t="str">
        <f>IFERROR($AC153*HDF_Limited_Col!BL153/HDF_Limited_Col!$AH153," ")</f>
        <v xml:space="preserve"> </v>
      </c>
      <c r="BM153" s="26" t="str">
        <f>IFERROR($AC153*HDF_Limited_Col!BM153/HDF_Limited_Col!$AH153," ")</f>
        <v xml:space="preserve"> </v>
      </c>
      <c r="BN153" s="26" t="str">
        <f>IFERROR($AC153*HDF_Limited_Col!BN153/HDF_Limited_Col!$AH153," ")</f>
        <v xml:space="preserve"> </v>
      </c>
      <c r="BO153" s="26" t="str">
        <f>IFERROR($AC153*HDF_Limited_Col!BO153/HDF_Limited_Col!$AH153," ")</f>
        <v xml:space="preserve"> </v>
      </c>
      <c r="BP153" s="26" t="str">
        <f>IFERROR($AC153*HDF_Limited_Col!BP153/HDF_Limited_Col!$AH153," ")</f>
        <v xml:space="preserve"> </v>
      </c>
      <c r="BQ153" s="26" t="str">
        <f>IFERROR($AC153*HDF_Limited_Col!BQ153/HDF_Limited_Col!$AH153," ")</f>
        <v xml:space="preserve"> </v>
      </c>
      <c r="BR153" s="26" t="str">
        <f>IFERROR($AC153*HDF_Limited_Col!BR153/HDF_Limited_Col!$AH153," ")</f>
        <v xml:space="preserve"> </v>
      </c>
      <c r="BS153" s="26" t="str">
        <f>IFERROR($AC153*HDF_Limited_Col!BS153/HDF_Limited_Col!$AH153," ")</f>
        <v xml:space="preserve"> </v>
      </c>
      <c r="BT153" s="26" t="str">
        <f>IFERROR($AC153*HDF_Limited_Col!BT153/HDF_Limited_Col!$AH153," ")</f>
        <v xml:space="preserve"> </v>
      </c>
      <c r="BU153" s="26" t="str">
        <f>IFERROR($AC153*HDF_Limited_Col!BU153/HDF_Limited_Col!$AH153," ")</f>
        <v xml:space="preserve"> </v>
      </c>
      <c r="BV153" s="26" t="str">
        <f>IFERROR($AC153*HDF_Limited_Col!BV153/HDF_Limited_Col!$AH153," ")</f>
        <v xml:space="preserve"> </v>
      </c>
      <c r="BW153" s="26" t="str">
        <f>IFERROR($AC153*HDF_Limited_Col!BW153/HDF_Limited_Col!$AH153," ")</f>
        <v xml:space="preserve"> </v>
      </c>
      <c r="BX153" s="26" t="str">
        <f>IFERROR($AC153*HDF_Limited_Col!BX153/HDF_Limited_Col!$AH153," ")</f>
        <v xml:space="preserve"> </v>
      </c>
      <c r="BY153" s="26" t="str">
        <f>IFERROR($AC153*HDF_Limited_Col!BY153/HDF_Limited_Col!$AH153," ")</f>
        <v xml:space="preserve"> </v>
      </c>
      <c r="BZ153" s="26" t="str">
        <f>IFERROR($AC153*HDF_Limited_Col!BZ153/HDF_Limited_Col!$AH153," ")</f>
        <v xml:space="preserve"> </v>
      </c>
      <c r="CA153" s="26" t="str">
        <f>IFERROR($AC153*HDF_Limited_Col!CA153/HDF_Limited_Col!$AH153," ")</f>
        <v xml:space="preserve"> </v>
      </c>
      <c r="CB153" s="26" t="str">
        <f>IFERROR($AC153*HDF_Limited_Col!CB153/HDF_Limited_Col!$AH153," ")</f>
        <v xml:space="preserve"> </v>
      </c>
      <c r="CC153" s="26" t="str">
        <f>IFERROR($AC153*HDF_Limited_Col!CC153/HDF_Limited_Col!$AH153," ")</f>
        <v xml:space="preserve"> </v>
      </c>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row>
    <row r="154" spans="1:109">
      <c r="A154" s="26" t="s">
        <v>1164</v>
      </c>
      <c r="B154" s="26" t="s">
        <v>24</v>
      </c>
      <c r="C154" s="155" t="s">
        <v>546</v>
      </c>
      <c r="D154" s="26" t="s">
        <v>119</v>
      </c>
      <c r="E154" s="26" t="s">
        <v>171</v>
      </c>
      <c r="F154" s="26" t="s">
        <v>113</v>
      </c>
      <c r="G154" s="26" t="s">
        <v>595</v>
      </c>
      <c r="H154" s="30" t="s">
        <v>805</v>
      </c>
      <c r="I154" s="26" t="s">
        <v>735</v>
      </c>
      <c r="J154" s="26" t="s">
        <v>1311</v>
      </c>
      <c r="K154" s="26" t="s">
        <v>128</v>
      </c>
      <c r="L154" s="26" t="s">
        <v>114</v>
      </c>
      <c r="M154" s="26" t="s">
        <v>133</v>
      </c>
      <c r="N154" s="26">
        <v>34</v>
      </c>
      <c r="O154" s="95">
        <v>4.0025403994072404</v>
      </c>
      <c r="P154" s="95">
        <v>1.6010161597628962</v>
      </c>
      <c r="Q154" s="95">
        <v>1.3008256298073531</v>
      </c>
      <c r="R154" s="95">
        <v>5.2033025192294122</v>
      </c>
      <c r="S154" s="95">
        <v>4.7029849693035075</v>
      </c>
      <c r="T154" s="95">
        <v>7.3046362289182127</v>
      </c>
      <c r="U154" s="95">
        <v>13.908827887940159</v>
      </c>
      <c r="V154" s="95">
        <v>6.804318678992308</v>
      </c>
      <c r="W154" s="95">
        <v>30.019052995554301</v>
      </c>
      <c r="X154" s="95">
        <v>0.900571589866629</v>
      </c>
      <c r="Y154" s="95">
        <v>31.319878625361653</v>
      </c>
      <c r="Z154" s="95">
        <v>107.06795568414367</v>
      </c>
      <c r="AA154" s="26"/>
      <c r="AB154" s="26"/>
      <c r="AC154" s="26">
        <f t="shared" si="3"/>
        <v>249199.35743682072</v>
      </c>
      <c r="AD154" s="26" t="str">
        <f>IFERROR($AC154*HDF_Limited_Col!AD154/HDF_Limited_Col!$AH154," ")</f>
        <v xml:space="preserve"> </v>
      </c>
      <c r="AE154" s="26" t="str">
        <f>IFERROR($AC154*HDF_Limited_Col!AE154/HDF_Limited_Col!$AH154," ")</f>
        <v xml:space="preserve"> </v>
      </c>
      <c r="AF154" s="26" t="str">
        <f>IFERROR($AC154*HDF_Limited_Col!AF154/HDF_Limited_Col!$AH154," ")</f>
        <v xml:space="preserve"> </v>
      </c>
      <c r="AG154" s="26" t="str">
        <f>IFERROR($AC154*HDF_Limited_Col!AG154/HDF_Limited_Col!$AH154," ")</f>
        <v xml:space="preserve"> </v>
      </c>
      <c r="AH154" s="26" t="str">
        <f>IFERROR($AC154*HDF_Limited_Col!AH154/HDF_Limited_Col!$AH154," ")</f>
        <v xml:space="preserve"> </v>
      </c>
      <c r="AI154" s="26" t="str">
        <f>IFERROR($AC154*HDF_Limited_Col!AI154/HDF_Limited_Col!$AH154," ")</f>
        <v xml:space="preserve"> </v>
      </c>
      <c r="AJ154" s="26" t="str">
        <f>IFERROR($AC154*HDF_Limited_Col!AJ154/HDF_Limited_Col!$AH154," ")</f>
        <v xml:space="preserve"> </v>
      </c>
      <c r="AK154" s="26" t="str">
        <f>IFERROR($AC154*HDF_Limited_Col!AK154/HDF_Limited_Col!$AH154," ")</f>
        <v xml:space="preserve"> </v>
      </c>
      <c r="AL154" s="26" t="str">
        <f>IFERROR($AC154*HDF_Limited_Col!AL154/HDF_Limited_Col!$AH154," ")</f>
        <v xml:space="preserve"> </v>
      </c>
      <c r="AM154" s="26" t="str">
        <f>IFERROR($AC154*HDF_Limited_Col!AM154/HDF_Limited_Col!$AH154," ")</f>
        <v xml:space="preserve"> </v>
      </c>
      <c r="AN154" s="26" t="str">
        <f>IFERROR($AC154*HDF_Limited_Col!AN154/HDF_Limited_Col!$AH154," ")</f>
        <v xml:space="preserve"> </v>
      </c>
      <c r="AO154" s="26" t="str">
        <f>IFERROR($AC154*HDF_Limited_Col!AO154/HDF_Limited_Col!$AH154," ")</f>
        <v xml:space="preserve"> </v>
      </c>
      <c r="AP154" s="26" t="str">
        <f>IFERROR($AC154*HDF_Limited_Col!AP154/HDF_Limited_Col!$AH154," ")</f>
        <v xml:space="preserve"> </v>
      </c>
      <c r="AQ154" s="26" t="str">
        <f>IFERROR($AC154*HDF_Limited_Col!AQ154/HDF_Limited_Col!$AH154," ")</f>
        <v xml:space="preserve"> </v>
      </c>
      <c r="AR154" s="26" t="str">
        <f>IFERROR($AC154*HDF_Limited_Col!AR154/HDF_Limited_Col!$AH154," ")</f>
        <v xml:space="preserve"> </v>
      </c>
      <c r="AS154" s="26" t="str">
        <f>IFERROR($AC154*HDF_Limited_Col!AS154/HDF_Limited_Col!$AH154," ")</f>
        <v xml:space="preserve"> </v>
      </c>
      <c r="AT154" s="26" t="str">
        <f>IFERROR($AC154*HDF_Limited_Col!AT154/HDF_Limited_Col!$AH154," ")</f>
        <v xml:space="preserve"> </v>
      </c>
      <c r="AU154" s="26" t="str">
        <f>IFERROR($AC154*HDF_Limited_Col!AU154/HDF_Limited_Col!$AH154," ")</f>
        <v xml:space="preserve"> </v>
      </c>
      <c r="AV154" s="26" t="str">
        <f>IFERROR($AC154*HDF_Limited_Col!AV154/HDF_Limited_Col!$AH154," ")</f>
        <v xml:space="preserve"> </v>
      </c>
      <c r="AW154" s="26" t="str">
        <f>IFERROR($AC154*HDF_Limited_Col!AW154/HDF_Limited_Col!$AH154," ")</f>
        <v xml:space="preserve"> </v>
      </c>
      <c r="AX154" s="26" t="str">
        <f>IFERROR($AC154*HDF_Limited_Col!AX154/HDF_Limited_Col!$AH154," ")</f>
        <v xml:space="preserve"> </v>
      </c>
      <c r="AY154" s="26" t="str">
        <f>IFERROR($AC154*HDF_Limited_Col!AY154/HDF_Limited_Col!$AH154," ")</f>
        <v xml:space="preserve"> </v>
      </c>
      <c r="AZ154" s="26" t="str">
        <f>IFERROR($AC154*HDF_Limited_Col!AZ154/HDF_Limited_Col!$AH154," ")</f>
        <v xml:space="preserve"> </v>
      </c>
      <c r="BA154" s="26" t="str">
        <f>IFERROR($AC154*HDF_Limited_Col!BA154/HDF_Limited_Col!$AH154," ")</f>
        <v xml:space="preserve"> </v>
      </c>
      <c r="BB154" s="26" t="str">
        <f>IFERROR($AC154*HDF_Limited_Col!BB154/HDF_Limited_Col!$AH154," ")</f>
        <v xml:space="preserve"> </v>
      </c>
      <c r="BC154" s="26" t="str">
        <f>IFERROR($AC154*HDF_Limited_Col!BC154/HDF_Limited_Col!$AH154," ")</f>
        <v xml:space="preserve"> </v>
      </c>
      <c r="BD154" s="26" t="str">
        <f>IFERROR($AC154*HDF_Limited_Col!BD154/HDF_Limited_Col!$AH154," ")</f>
        <v xml:space="preserve"> </v>
      </c>
      <c r="BE154" s="26" t="str">
        <f>IFERROR($AC154*HDF_Limited_Col!BE154/HDF_Limited_Col!$AH154," ")</f>
        <v xml:space="preserve"> </v>
      </c>
      <c r="BF154" s="26" t="str">
        <f>IFERROR($AC154*HDF_Limited_Col!BF154/HDF_Limited_Col!$AH154," ")</f>
        <v xml:space="preserve"> </v>
      </c>
      <c r="BG154" s="26" t="str">
        <f>IFERROR($AC154*HDF_Limited_Col!BG154/HDF_Limited_Col!$AH154," ")</f>
        <v xml:space="preserve"> </v>
      </c>
      <c r="BH154" s="26" t="str">
        <f>IFERROR($AC154*HDF_Limited_Col!BH154/HDF_Limited_Col!$AH154," ")</f>
        <v xml:space="preserve"> </v>
      </c>
      <c r="BI154" s="26" t="str">
        <f>IFERROR($AC154*HDF_Limited_Col!BI154/HDF_Limited_Col!$AH154," ")</f>
        <v xml:space="preserve"> </v>
      </c>
      <c r="BJ154" s="26" t="str">
        <f>IFERROR($AC154*HDF_Limited_Col!BJ154/HDF_Limited_Col!$AH154," ")</f>
        <v xml:space="preserve"> </v>
      </c>
      <c r="BK154" s="26" t="str">
        <f>IFERROR($AC154*HDF_Limited_Col!BK154/HDF_Limited_Col!$AH154," ")</f>
        <v xml:space="preserve"> </v>
      </c>
      <c r="BL154" s="26" t="str">
        <f>IFERROR($AC154*HDF_Limited_Col!BL154/HDF_Limited_Col!$AH154," ")</f>
        <v xml:space="preserve"> </v>
      </c>
      <c r="BM154" s="26" t="str">
        <f>IFERROR($AC154*HDF_Limited_Col!BM154/HDF_Limited_Col!$AH154," ")</f>
        <v xml:space="preserve"> </v>
      </c>
      <c r="BN154" s="26" t="str">
        <f>IFERROR($AC154*HDF_Limited_Col!BN154/HDF_Limited_Col!$AH154," ")</f>
        <v xml:space="preserve"> </v>
      </c>
      <c r="BO154" s="26" t="str">
        <f>IFERROR($AC154*HDF_Limited_Col!BO154/HDF_Limited_Col!$AH154," ")</f>
        <v xml:space="preserve"> </v>
      </c>
      <c r="BP154" s="26" t="str">
        <f>IFERROR($AC154*HDF_Limited_Col!BP154/HDF_Limited_Col!$AH154," ")</f>
        <v xml:space="preserve"> </v>
      </c>
      <c r="BQ154" s="26" t="str">
        <f>IFERROR($AC154*HDF_Limited_Col!BQ154/HDF_Limited_Col!$AH154," ")</f>
        <v xml:space="preserve"> </v>
      </c>
      <c r="BR154" s="26" t="str">
        <f>IFERROR($AC154*HDF_Limited_Col!BR154/HDF_Limited_Col!$AH154," ")</f>
        <v xml:space="preserve"> </v>
      </c>
      <c r="BS154" s="26" t="str">
        <f>IFERROR($AC154*HDF_Limited_Col!BS154/HDF_Limited_Col!$AH154," ")</f>
        <v xml:space="preserve"> </v>
      </c>
      <c r="BT154" s="26" t="str">
        <f>IFERROR($AC154*HDF_Limited_Col!BT154/HDF_Limited_Col!$AH154," ")</f>
        <v xml:space="preserve"> </v>
      </c>
      <c r="BU154" s="26" t="str">
        <f>IFERROR($AC154*HDF_Limited_Col!BU154/HDF_Limited_Col!$AH154," ")</f>
        <v xml:space="preserve"> </v>
      </c>
      <c r="BV154" s="26" t="str">
        <f>IFERROR($AC154*HDF_Limited_Col!BV154/HDF_Limited_Col!$AH154," ")</f>
        <v xml:space="preserve"> </v>
      </c>
      <c r="BW154" s="26" t="str">
        <f>IFERROR($AC154*HDF_Limited_Col!BW154/HDF_Limited_Col!$AH154," ")</f>
        <v xml:space="preserve"> </v>
      </c>
      <c r="BX154" s="26" t="str">
        <f>IFERROR($AC154*HDF_Limited_Col!BX154/HDF_Limited_Col!$AH154," ")</f>
        <v xml:space="preserve"> </v>
      </c>
      <c r="BY154" s="26" t="str">
        <f>IFERROR($AC154*HDF_Limited_Col!BY154/HDF_Limited_Col!$AH154," ")</f>
        <v xml:space="preserve"> </v>
      </c>
      <c r="BZ154" s="26" t="str">
        <f>IFERROR($AC154*HDF_Limited_Col!BZ154/HDF_Limited_Col!$AH154," ")</f>
        <v xml:space="preserve"> </v>
      </c>
      <c r="CA154" s="26" t="str">
        <f>IFERROR($AC154*HDF_Limited_Col!CA154/HDF_Limited_Col!$AH154," ")</f>
        <v xml:space="preserve"> </v>
      </c>
      <c r="CB154" s="26" t="str">
        <f>IFERROR($AC154*HDF_Limited_Col!CB154/HDF_Limited_Col!$AH154," ")</f>
        <v xml:space="preserve"> </v>
      </c>
      <c r="CC154" s="26" t="str">
        <f>IFERROR($AC154*HDF_Limited_Col!CC154/HDF_Limited_Col!$AH154," ")</f>
        <v xml:space="preserve"> </v>
      </c>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row>
    <row r="155" spans="1:109">
      <c r="A155" s="26" t="s">
        <v>1164</v>
      </c>
      <c r="B155" s="26" t="s">
        <v>24</v>
      </c>
      <c r="C155" s="155" t="s">
        <v>546</v>
      </c>
      <c r="D155" s="26" t="s">
        <v>119</v>
      </c>
      <c r="E155" s="26" t="s">
        <v>171</v>
      </c>
      <c r="F155" s="26" t="s">
        <v>113</v>
      </c>
      <c r="G155" s="26" t="s">
        <v>595</v>
      </c>
      <c r="H155" s="30" t="s">
        <v>805</v>
      </c>
      <c r="I155" s="26" t="s">
        <v>735</v>
      </c>
      <c r="J155" s="26" t="s">
        <v>1311</v>
      </c>
      <c r="K155" s="26" t="s">
        <v>128</v>
      </c>
      <c r="L155" s="26" t="s">
        <v>114</v>
      </c>
      <c r="M155" s="26" t="s">
        <v>134</v>
      </c>
      <c r="N155" s="26">
        <v>27</v>
      </c>
      <c r="O155" s="95">
        <v>3.2977023061505801</v>
      </c>
      <c r="P155" s="95">
        <v>2.0985378311867331</v>
      </c>
      <c r="Q155" s="95">
        <v>0.99930372913653953</v>
      </c>
      <c r="R155" s="95">
        <v>4.9965186456826984</v>
      </c>
      <c r="S155" s="95">
        <v>1.0992341020501937</v>
      </c>
      <c r="T155" s="95">
        <v>2.2983985770140407</v>
      </c>
      <c r="U155" s="95">
        <v>15.589138174530017</v>
      </c>
      <c r="V155" s="95">
        <v>10.192898037192704</v>
      </c>
      <c r="W155" s="95">
        <v>29.579390382441574</v>
      </c>
      <c r="X155" s="95">
        <v>0.59958223748192374</v>
      </c>
      <c r="Y155" s="95">
        <v>37.773680961361194</v>
      </c>
      <c r="Z155" s="95">
        <v>108.52438498422819</v>
      </c>
      <c r="AA155" s="26"/>
      <c r="AB155" s="26"/>
      <c r="AC155" s="26">
        <f t="shared" si="3"/>
        <v>245549.55407050834</v>
      </c>
      <c r="AD155" s="26" t="str">
        <f>IFERROR($AC155*HDF_Limited_Col!AD155/HDF_Limited_Col!$AH155," ")</f>
        <v xml:space="preserve"> </v>
      </c>
      <c r="AE155" s="26" t="str">
        <f>IFERROR($AC155*HDF_Limited_Col!AE155/HDF_Limited_Col!$AH155," ")</f>
        <v xml:space="preserve"> </v>
      </c>
      <c r="AF155" s="26" t="str">
        <f>IFERROR($AC155*HDF_Limited_Col!AF155/HDF_Limited_Col!$AH155," ")</f>
        <v xml:space="preserve"> </v>
      </c>
      <c r="AG155" s="26" t="str">
        <f>IFERROR($AC155*HDF_Limited_Col!AG155/HDF_Limited_Col!$AH155," ")</f>
        <v xml:space="preserve"> </v>
      </c>
      <c r="AH155" s="26" t="str">
        <f>IFERROR($AC155*HDF_Limited_Col!AH155/HDF_Limited_Col!$AH155," ")</f>
        <v xml:space="preserve"> </v>
      </c>
      <c r="AI155" s="26" t="str">
        <f>IFERROR($AC155*HDF_Limited_Col!AI155/HDF_Limited_Col!$AH155," ")</f>
        <v xml:space="preserve"> </v>
      </c>
      <c r="AJ155" s="26" t="str">
        <f>IFERROR($AC155*HDF_Limited_Col!AJ155/HDF_Limited_Col!$AH155," ")</f>
        <v xml:space="preserve"> </v>
      </c>
      <c r="AK155" s="26" t="str">
        <f>IFERROR($AC155*HDF_Limited_Col!AK155/HDF_Limited_Col!$AH155," ")</f>
        <v xml:space="preserve"> </v>
      </c>
      <c r="AL155" s="26" t="str">
        <f>IFERROR($AC155*HDF_Limited_Col!AL155/HDF_Limited_Col!$AH155," ")</f>
        <v xml:space="preserve"> </v>
      </c>
      <c r="AM155" s="26" t="str">
        <f>IFERROR($AC155*HDF_Limited_Col!AM155/HDF_Limited_Col!$AH155," ")</f>
        <v xml:space="preserve"> </v>
      </c>
      <c r="AN155" s="26" t="str">
        <f>IFERROR($AC155*HDF_Limited_Col!AN155/HDF_Limited_Col!$AH155," ")</f>
        <v xml:space="preserve"> </v>
      </c>
      <c r="AO155" s="26" t="str">
        <f>IFERROR($AC155*HDF_Limited_Col!AO155/HDF_Limited_Col!$AH155," ")</f>
        <v xml:space="preserve"> </v>
      </c>
      <c r="AP155" s="26" t="str">
        <f>IFERROR($AC155*HDF_Limited_Col!AP155/HDF_Limited_Col!$AH155," ")</f>
        <v xml:space="preserve"> </v>
      </c>
      <c r="AQ155" s="26" t="str">
        <f>IFERROR($AC155*HDF_Limited_Col!AQ155/HDF_Limited_Col!$AH155," ")</f>
        <v xml:space="preserve"> </v>
      </c>
      <c r="AR155" s="26" t="str">
        <f>IFERROR($AC155*HDF_Limited_Col!AR155/HDF_Limited_Col!$AH155," ")</f>
        <v xml:space="preserve"> </v>
      </c>
      <c r="AS155" s="26" t="str">
        <f>IFERROR($AC155*HDF_Limited_Col!AS155/HDF_Limited_Col!$AH155," ")</f>
        <v xml:space="preserve"> </v>
      </c>
      <c r="AT155" s="26" t="str">
        <f>IFERROR($AC155*HDF_Limited_Col!AT155/HDF_Limited_Col!$AH155," ")</f>
        <v xml:space="preserve"> </v>
      </c>
      <c r="AU155" s="26" t="str">
        <f>IFERROR($AC155*HDF_Limited_Col!AU155/HDF_Limited_Col!$AH155," ")</f>
        <v xml:space="preserve"> </v>
      </c>
      <c r="AV155" s="26" t="str">
        <f>IFERROR($AC155*HDF_Limited_Col!AV155/HDF_Limited_Col!$AH155," ")</f>
        <v xml:space="preserve"> </v>
      </c>
      <c r="AW155" s="26" t="str">
        <f>IFERROR($AC155*HDF_Limited_Col!AW155/HDF_Limited_Col!$AH155," ")</f>
        <v xml:space="preserve"> </v>
      </c>
      <c r="AX155" s="26" t="str">
        <f>IFERROR($AC155*HDF_Limited_Col!AX155/HDF_Limited_Col!$AH155," ")</f>
        <v xml:space="preserve"> </v>
      </c>
      <c r="AY155" s="26" t="str">
        <f>IFERROR($AC155*HDF_Limited_Col!AY155/HDF_Limited_Col!$AH155," ")</f>
        <v xml:space="preserve"> </v>
      </c>
      <c r="AZ155" s="26" t="str">
        <f>IFERROR($AC155*HDF_Limited_Col!AZ155/HDF_Limited_Col!$AH155," ")</f>
        <v xml:space="preserve"> </v>
      </c>
      <c r="BA155" s="26" t="str">
        <f>IFERROR($AC155*HDF_Limited_Col!BA155/HDF_Limited_Col!$AH155," ")</f>
        <v xml:space="preserve"> </v>
      </c>
      <c r="BB155" s="26" t="str">
        <f>IFERROR($AC155*HDF_Limited_Col!BB155/HDF_Limited_Col!$AH155," ")</f>
        <v xml:space="preserve"> </v>
      </c>
      <c r="BC155" s="26" t="str">
        <f>IFERROR($AC155*HDF_Limited_Col!BC155/HDF_Limited_Col!$AH155," ")</f>
        <v xml:space="preserve"> </v>
      </c>
      <c r="BD155" s="26" t="str">
        <f>IFERROR($AC155*HDF_Limited_Col!BD155/HDF_Limited_Col!$AH155," ")</f>
        <v xml:space="preserve"> </v>
      </c>
      <c r="BE155" s="26" t="str">
        <f>IFERROR($AC155*HDF_Limited_Col!BE155/HDF_Limited_Col!$AH155," ")</f>
        <v xml:space="preserve"> </v>
      </c>
      <c r="BF155" s="26" t="str">
        <f>IFERROR($AC155*HDF_Limited_Col!BF155/HDF_Limited_Col!$AH155," ")</f>
        <v xml:space="preserve"> </v>
      </c>
      <c r="BG155" s="26" t="str">
        <f>IFERROR($AC155*HDF_Limited_Col!BG155/HDF_Limited_Col!$AH155," ")</f>
        <v xml:space="preserve"> </v>
      </c>
      <c r="BH155" s="26" t="str">
        <f>IFERROR($AC155*HDF_Limited_Col!BH155/HDF_Limited_Col!$AH155," ")</f>
        <v xml:space="preserve"> </v>
      </c>
      <c r="BI155" s="26" t="str">
        <f>IFERROR($AC155*HDF_Limited_Col!BI155/HDF_Limited_Col!$AH155," ")</f>
        <v xml:space="preserve"> </v>
      </c>
      <c r="BJ155" s="26" t="str">
        <f>IFERROR($AC155*HDF_Limited_Col!BJ155/HDF_Limited_Col!$AH155," ")</f>
        <v xml:space="preserve"> </v>
      </c>
      <c r="BK155" s="26" t="str">
        <f>IFERROR($AC155*HDF_Limited_Col!BK155/HDF_Limited_Col!$AH155," ")</f>
        <v xml:space="preserve"> </v>
      </c>
      <c r="BL155" s="26" t="str">
        <f>IFERROR($AC155*HDF_Limited_Col!BL155/HDF_Limited_Col!$AH155," ")</f>
        <v xml:space="preserve"> </v>
      </c>
      <c r="BM155" s="26" t="str">
        <f>IFERROR($AC155*HDF_Limited_Col!BM155/HDF_Limited_Col!$AH155," ")</f>
        <v xml:space="preserve"> </v>
      </c>
      <c r="BN155" s="26" t="str">
        <f>IFERROR($AC155*HDF_Limited_Col!BN155/HDF_Limited_Col!$AH155," ")</f>
        <v xml:space="preserve"> </v>
      </c>
      <c r="BO155" s="26" t="str">
        <f>IFERROR($AC155*HDF_Limited_Col!BO155/HDF_Limited_Col!$AH155," ")</f>
        <v xml:space="preserve"> </v>
      </c>
      <c r="BP155" s="26" t="str">
        <f>IFERROR($AC155*HDF_Limited_Col!BP155/HDF_Limited_Col!$AH155," ")</f>
        <v xml:space="preserve"> </v>
      </c>
      <c r="BQ155" s="26" t="str">
        <f>IFERROR($AC155*HDF_Limited_Col!BQ155/HDF_Limited_Col!$AH155," ")</f>
        <v xml:space="preserve"> </v>
      </c>
      <c r="BR155" s="26" t="str">
        <f>IFERROR($AC155*HDF_Limited_Col!BR155/HDF_Limited_Col!$AH155," ")</f>
        <v xml:space="preserve"> </v>
      </c>
      <c r="BS155" s="26" t="str">
        <f>IFERROR($AC155*HDF_Limited_Col!BS155/HDF_Limited_Col!$AH155," ")</f>
        <v xml:space="preserve"> </v>
      </c>
      <c r="BT155" s="26" t="str">
        <f>IFERROR($AC155*HDF_Limited_Col!BT155/HDF_Limited_Col!$AH155," ")</f>
        <v xml:space="preserve"> </v>
      </c>
      <c r="BU155" s="26" t="str">
        <f>IFERROR($AC155*HDF_Limited_Col!BU155/HDF_Limited_Col!$AH155," ")</f>
        <v xml:space="preserve"> </v>
      </c>
      <c r="BV155" s="26" t="str">
        <f>IFERROR($AC155*HDF_Limited_Col!BV155/HDF_Limited_Col!$AH155," ")</f>
        <v xml:space="preserve"> </v>
      </c>
      <c r="BW155" s="26" t="str">
        <f>IFERROR($AC155*HDF_Limited_Col!BW155/HDF_Limited_Col!$AH155," ")</f>
        <v xml:space="preserve"> </v>
      </c>
      <c r="BX155" s="26" t="str">
        <f>IFERROR($AC155*HDF_Limited_Col!BX155/HDF_Limited_Col!$AH155," ")</f>
        <v xml:space="preserve"> </v>
      </c>
      <c r="BY155" s="26" t="str">
        <f>IFERROR($AC155*HDF_Limited_Col!BY155/HDF_Limited_Col!$AH155," ")</f>
        <v xml:space="preserve"> </v>
      </c>
      <c r="BZ155" s="26" t="str">
        <f>IFERROR($AC155*HDF_Limited_Col!BZ155/HDF_Limited_Col!$AH155," ")</f>
        <v xml:space="preserve"> </v>
      </c>
      <c r="CA155" s="26" t="str">
        <f>IFERROR($AC155*HDF_Limited_Col!CA155/HDF_Limited_Col!$AH155," ")</f>
        <v xml:space="preserve"> </v>
      </c>
      <c r="CB155" s="26" t="str">
        <f>IFERROR($AC155*HDF_Limited_Col!CB155/HDF_Limited_Col!$AH155," ")</f>
        <v xml:space="preserve"> </v>
      </c>
      <c r="CC155" s="26" t="str">
        <f>IFERROR($AC155*HDF_Limited_Col!CC155/HDF_Limited_Col!$AH155," ")</f>
        <v xml:space="preserve"> </v>
      </c>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row>
    <row r="156" spans="1:109">
      <c r="A156" s="26" t="s">
        <v>1164</v>
      </c>
      <c r="B156" s="26" t="s">
        <v>24</v>
      </c>
      <c r="C156" s="155" t="s">
        <v>546</v>
      </c>
      <c r="D156" s="26" t="s">
        <v>119</v>
      </c>
      <c r="E156" s="26" t="s">
        <v>171</v>
      </c>
      <c r="F156" s="26" t="s">
        <v>113</v>
      </c>
      <c r="G156" s="26" t="s">
        <v>595</v>
      </c>
      <c r="H156" s="30" t="s">
        <v>805</v>
      </c>
      <c r="I156" s="26" t="s">
        <v>735</v>
      </c>
      <c r="J156" s="26" t="s">
        <v>1311</v>
      </c>
      <c r="K156" s="26" t="s">
        <v>117</v>
      </c>
      <c r="L156" s="26" t="s">
        <v>114</v>
      </c>
      <c r="M156" s="26" t="s">
        <v>135</v>
      </c>
      <c r="N156" s="26">
        <v>37</v>
      </c>
      <c r="O156" s="95">
        <v>4.4959732820393574</v>
      </c>
      <c r="P156" s="95">
        <v>1.8982998301943954</v>
      </c>
      <c r="Q156" s="95">
        <v>1.0990156911651763</v>
      </c>
      <c r="R156" s="95">
        <v>5.3951679384472291</v>
      </c>
      <c r="S156" s="95">
        <v>1.7983893128157429</v>
      </c>
      <c r="T156" s="95">
        <v>2.6975839692236145</v>
      </c>
      <c r="U156" s="95">
        <v>14.886667089419205</v>
      </c>
      <c r="V156" s="95">
        <v>4.8956153515539675</v>
      </c>
      <c r="W156" s="95">
        <v>28.874139522430536</v>
      </c>
      <c r="X156" s="95">
        <v>1.6984787954370906</v>
      </c>
      <c r="Y156" s="95">
        <v>41.662685746898049</v>
      </c>
      <c r="Z156" s="95">
        <v>109.40201652962438</v>
      </c>
      <c r="AA156" s="26"/>
      <c r="AB156" s="26"/>
      <c r="AC156" s="26">
        <f t="shared" si="3"/>
        <v>239695.00358976718</v>
      </c>
      <c r="AD156" s="26" t="str">
        <f>IFERROR($AC156*HDF_Limited_Col!AD156/HDF_Limited_Col!$AH156," ")</f>
        <v xml:space="preserve"> </v>
      </c>
      <c r="AE156" s="26" t="str">
        <f>IFERROR($AC156*HDF_Limited_Col!AE156/HDF_Limited_Col!$AH156," ")</f>
        <v xml:space="preserve"> </v>
      </c>
      <c r="AF156" s="26" t="str">
        <f>IFERROR($AC156*HDF_Limited_Col!AF156/HDF_Limited_Col!$AH156," ")</f>
        <v xml:space="preserve"> </v>
      </c>
      <c r="AG156" s="26" t="str">
        <f>IFERROR($AC156*HDF_Limited_Col!AG156/HDF_Limited_Col!$AH156," ")</f>
        <v xml:space="preserve"> </v>
      </c>
      <c r="AH156" s="26" t="str">
        <f>IFERROR($AC156*HDF_Limited_Col!AH156/HDF_Limited_Col!$AH156," ")</f>
        <v xml:space="preserve"> </v>
      </c>
      <c r="AI156" s="26" t="str">
        <f>IFERROR($AC156*HDF_Limited_Col!AI156/HDF_Limited_Col!$AH156," ")</f>
        <v xml:space="preserve"> </v>
      </c>
      <c r="AJ156" s="26" t="str">
        <f>IFERROR($AC156*HDF_Limited_Col!AJ156/HDF_Limited_Col!$AH156," ")</f>
        <v xml:space="preserve"> </v>
      </c>
      <c r="AK156" s="26" t="str">
        <f>IFERROR($AC156*HDF_Limited_Col!AK156/HDF_Limited_Col!$AH156," ")</f>
        <v xml:space="preserve"> </v>
      </c>
      <c r="AL156" s="26" t="str">
        <f>IFERROR($AC156*HDF_Limited_Col!AL156/HDF_Limited_Col!$AH156," ")</f>
        <v xml:space="preserve"> </v>
      </c>
      <c r="AM156" s="26" t="str">
        <f>IFERROR($AC156*HDF_Limited_Col!AM156/HDF_Limited_Col!$AH156," ")</f>
        <v xml:space="preserve"> </v>
      </c>
      <c r="AN156" s="26" t="str">
        <f>IFERROR($AC156*HDF_Limited_Col!AN156/HDF_Limited_Col!$AH156," ")</f>
        <v xml:space="preserve"> </v>
      </c>
      <c r="AO156" s="26" t="str">
        <f>IFERROR($AC156*HDF_Limited_Col!AO156/HDF_Limited_Col!$AH156," ")</f>
        <v xml:space="preserve"> </v>
      </c>
      <c r="AP156" s="26" t="str">
        <f>IFERROR($AC156*HDF_Limited_Col!AP156/HDF_Limited_Col!$AH156," ")</f>
        <v xml:space="preserve"> </v>
      </c>
      <c r="AQ156" s="26" t="str">
        <f>IFERROR($AC156*HDF_Limited_Col!AQ156/HDF_Limited_Col!$AH156," ")</f>
        <v xml:space="preserve"> </v>
      </c>
      <c r="AR156" s="26" t="str">
        <f>IFERROR($AC156*HDF_Limited_Col!AR156/HDF_Limited_Col!$AH156," ")</f>
        <v xml:space="preserve"> </v>
      </c>
      <c r="AS156" s="26" t="str">
        <f>IFERROR($AC156*HDF_Limited_Col!AS156/HDF_Limited_Col!$AH156," ")</f>
        <v xml:space="preserve"> </v>
      </c>
      <c r="AT156" s="26" t="str">
        <f>IFERROR($AC156*HDF_Limited_Col!AT156/HDF_Limited_Col!$AH156," ")</f>
        <v xml:space="preserve"> </v>
      </c>
      <c r="AU156" s="26" t="str">
        <f>IFERROR($AC156*HDF_Limited_Col!AU156/HDF_Limited_Col!$AH156," ")</f>
        <v xml:space="preserve"> </v>
      </c>
      <c r="AV156" s="26" t="str">
        <f>IFERROR($AC156*HDF_Limited_Col!AV156/HDF_Limited_Col!$AH156," ")</f>
        <v xml:space="preserve"> </v>
      </c>
      <c r="AW156" s="26" t="str">
        <f>IFERROR($AC156*HDF_Limited_Col!AW156/HDF_Limited_Col!$AH156," ")</f>
        <v xml:space="preserve"> </v>
      </c>
      <c r="AX156" s="26" t="str">
        <f>IFERROR($AC156*HDF_Limited_Col!AX156/HDF_Limited_Col!$AH156," ")</f>
        <v xml:space="preserve"> </v>
      </c>
      <c r="AY156" s="26" t="str">
        <f>IFERROR($AC156*HDF_Limited_Col!AY156/HDF_Limited_Col!$AH156," ")</f>
        <v xml:space="preserve"> </v>
      </c>
      <c r="AZ156" s="26" t="str">
        <f>IFERROR($AC156*HDF_Limited_Col!AZ156/HDF_Limited_Col!$AH156," ")</f>
        <v xml:space="preserve"> </v>
      </c>
      <c r="BA156" s="26" t="str">
        <f>IFERROR($AC156*HDF_Limited_Col!BA156/HDF_Limited_Col!$AH156," ")</f>
        <v xml:space="preserve"> </v>
      </c>
      <c r="BB156" s="26" t="str">
        <f>IFERROR($AC156*HDF_Limited_Col!BB156/HDF_Limited_Col!$AH156," ")</f>
        <v xml:space="preserve"> </v>
      </c>
      <c r="BC156" s="26" t="str">
        <f>IFERROR($AC156*HDF_Limited_Col!BC156/HDF_Limited_Col!$AH156," ")</f>
        <v xml:space="preserve"> </v>
      </c>
      <c r="BD156" s="26" t="str">
        <f>IFERROR($AC156*HDF_Limited_Col!BD156/HDF_Limited_Col!$AH156," ")</f>
        <v xml:space="preserve"> </v>
      </c>
      <c r="BE156" s="26" t="str">
        <f>IFERROR($AC156*HDF_Limited_Col!BE156/HDF_Limited_Col!$AH156," ")</f>
        <v xml:space="preserve"> </v>
      </c>
      <c r="BF156" s="26" t="str">
        <f>IFERROR($AC156*HDF_Limited_Col!BF156/HDF_Limited_Col!$AH156," ")</f>
        <v xml:space="preserve"> </v>
      </c>
      <c r="BG156" s="26" t="str">
        <f>IFERROR($AC156*HDF_Limited_Col!BG156/HDF_Limited_Col!$AH156," ")</f>
        <v xml:space="preserve"> </v>
      </c>
      <c r="BH156" s="26" t="str">
        <f>IFERROR($AC156*HDF_Limited_Col!BH156/HDF_Limited_Col!$AH156," ")</f>
        <v xml:space="preserve"> </v>
      </c>
      <c r="BI156" s="26" t="str">
        <f>IFERROR($AC156*HDF_Limited_Col!BI156/HDF_Limited_Col!$AH156," ")</f>
        <v xml:space="preserve"> </v>
      </c>
      <c r="BJ156" s="26" t="str">
        <f>IFERROR($AC156*HDF_Limited_Col!BJ156/HDF_Limited_Col!$AH156," ")</f>
        <v xml:space="preserve"> </v>
      </c>
      <c r="BK156" s="26" t="str">
        <f>IFERROR($AC156*HDF_Limited_Col!BK156/HDF_Limited_Col!$AH156," ")</f>
        <v xml:space="preserve"> </v>
      </c>
      <c r="BL156" s="26" t="str">
        <f>IFERROR($AC156*HDF_Limited_Col!BL156/HDF_Limited_Col!$AH156," ")</f>
        <v xml:space="preserve"> </v>
      </c>
      <c r="BM156" s="26" t="str">
        <f>IFERROR($AC156*HDF_Limited_Col!BM156/HDF_Limited_Col!$AH156," ")</f>
        <v xml:space="preserve"> </v>
      </c>
      <c r="BN156" s="26" t="str">
        <f>IFERROR($AC156*HDF_Limited_Col!BN156/HDF_Limited_Col!$AH156," ")</f>
        <v xml:space="preserve"> </v>
      </c>
      <c r="BO156" s="26" t="str">
        <f>IFERROR($AC156*HDF_Limited_Col!BO156/HDF_Limited_Col!$AH156," ")</f>
        <v xml:space="preserve"> </v>
      </c>
      <c r="BP156" s="26" t="str">
        <f>IFERROR($AC156*HDF_Limited_Col!BP156/HDF_Limited_Col!$AH156," ")</f>
        <v xml:space="preserve"> </v>
      </c>
      <c r="BQ156" s="26" t="str">
        <f>IFERROR($AC156*HDF_Limited_Col!BQ156/HDF_Limited_Col!$AH156," ")</f>
        <v xml:space="preserve"> </v>
      </c>
      <c r="BR156" s="26" t="str">
        <f>IFERROR($AC156*HDF_Limited_Col!BR156/HDF_Limited_Col!$AH156," ")</f>
        <v xml:space="preserve"> </v>
      </c>
      <c r="BS156" s="26" t="str">
        <f>IFERROR($AC156*HDF_Limited_Col!BS156/HDF_Limited_Col!$AH156," ")</f>
        <v xml:space="preserve"> </v>
      </c>
      <c r="BT156" s="26" t="str">
        <f>IFERROR($AC156*HDF_Limited_Col!BT156/HDF_Limited_Col!$AH156," ")</f>
        <v xml:space="preserve"> </v>
      </c>
      <c r="BU156" s="26" t="str">
        <f>IFERROR($AC156*HDF_Limited_Col!BU156/HDF_Limited_Col!$AH156," ")</f>
        <v xml:space="preserve"> </v>
      </c>
      <c r="BV156" s="26" t="str">
        <f>IFERROR($AC156*HDF_Limited_Col!BV156/HDF_Limited_Col!$AH156," ")</f>
        <v xml:space="preserve"> </v>
      </c>
      <c r="BW156" s="26" t="str">
        <f>IFERROR($AC156*HDF_Limited_Col!BW156/HDF_Limited_Col!$AH156," ")</f>
        <v xml:space="preserve"> </v>
      </c>
      <c r="BX156" s="26" t="str">
        <f>IFERROR($AC156*HDF_Limited_Col!BX156/HDF_Limited_Col!$AH156," ")</f>
        <v xml:space="preserve"> </v>
      </c>
      <c r="BY156" s="26" t="str">
        <f>IFERROR($AC156*HDF_Limited_Col!BY156/HDF_Limited_Col!$AH156," ")</f>
        <v xml:space="preserve"> </v>
      </c>
      <c r="BZ156" s="26" t="str">
        <f>IFERROR($AC156*HDF_Limited_Col!BZ156/HDF_Limited_Col!$AH156," ")</f>
        <v xml:space="preserve"> </v>
      </c>
      <c r="CA156" s="26" t="str">
        <f>IFERROR($AC156*HDF_Limited_Col!CA156/HDF_Limited_Col!$AH156," ")</f>
        <v xml:space="preserve"> </v>
      </c>
      <c r="CB156" s="26" t="str">
        <f>IFERROR($AC156*HDF_Limited_Col!CB156/HDF_Limited_Col!$AH156," ")</f>
        <v xml:space="preserve"> </v>
      </c>
      <c r="CC156" s="26" t="str">
        <f>IFERROR($AC156*HDF_Limited_Col!CC156/HDF_Limited_Col!$AH156," ")</f>
        <v xml:space="preserve"> </v>
      </c>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row>
    <row r="157" spans="1:109">
      <c r="A157" s="26" t="s">
        <v>1164</v>
      </c>
      <c r="B157" s="26" t="s">
        <v>24</v>
      </c>
      <c r="C157" s="155" t="s">
        <v>546</v>
      </c>
      <c r="D157" s="26" t="s">
        <v>119</v>
      </c>
      <c r="E157" s="26" t="s">
        <v>171</v>
      </c>
      <c r="F157" s="26" t="s">
        <v>113</v>
      </c>
      <c r="G157" s="26" t="s">
        <v>595</v>
      </c>
      <c r="H157" s="30" t="s">
        <v>805</v>
      </c>
      <c r="I157" s="26" t="s">
        <v>735</v>
      </c>
      <c r="J157" s="26" t="s">
        <v>1311</v>
      </c>
      <c r="K157" s="26" t="s">
        <v>136</v>
      </c>
      <c r="L157" s="26" t="s">
        <v>114</v>
      </c>
      <c r="M157" s="26" t="s">
        <v>137</v>
      </c>
      <c r="N157" s="26">
        <v>26</v>
      </c>
      <c r="O157" s="95">
        <v>4.7029650569541035</v>
      </c>
      <c r="P157" s="95">
        <v>1.000630863181724</v>
      </c>
      <c r="Q157" s="95">
        <v>0.8005046905453792</v>
      </c>
      <c r="R157" s="95">
        <v>5.7035959201358271</v>
      </c>
      <c r="S157" s="95">
        <v>3.2020187621815168</v>
      </c>
      <c r="T157" s="95">
        <v>5.6035328338176544</v>
      </c>
      <c r="U157" s="95">
        <v>16.110156897225757</v>
      </c>
      <c r="V157" s="95">
        <v>6.9043529559538968</v>
      </c>
      <c r="W157" s="95">
        <v>28.417916514360957</v>
      </c>
      <c r="X157" s="95">
        <v>0.90056777686355161</v>
      </c>
      <c r="Y157" s="95">
        <v>34.421701693451304</v>
      </c>
      <c r="Z157" s="95">
        <v>107.76794396467167</v>
      </c>
      <c r="AA157" s="26"/>
      <c r="AB157" s="26"/>
      <c r="AC157" s="26">
        <f t="shared" si="3"/>
        <v>235907.72620711059</v>
      </c>
      <c r="AD157" s="26" t="str">
        <f>IFERROR($AC157*HDF_Limited_Col!AD157/HDF_Limited_Col!$AH157," ")</f>
        <v xml:space="preserve"> </v>
      </c>
      <c r="AE157" s="26" t="str">
        <f>IFERROR($AC157*HDF_Limited_Col!AE157/HDF_Limited_Col!$AH157," ")</f>
        <v xml:space="preserve"> </v>
      </c>
      <c r="AF157" s="26" t="str">
        <f>IFERROR($AC157*HDF_Limited_Col!AF157/HDF_Limited_Col!$AH157," ")</f>
        <v xml:space="preserve"> </v>
      </c>
      <c r="AG157" s="26" t="str">
        <f>IFERROR($AC157*HDF_Limited_Col!AG157/HDF_Limited_Col!$AH157," ")</f>
        <v xml:space="preserve"> </v>
      </c>
      <c r="AH157" s="26" t="str">
        <f>IFERROR($AC157*HDF_Limited_Col!AH157/HDF_Limited_Col!$AH157," ")</f>
        <v xml:space="preserve"> </v>
      </c>
      <c r="AI157" s="26" t="str">
        <f>IFERROR($AC157*HDF_Limited_Col!AI157/HDF_Limited_Col!$AH157," ")</f>
        <v xml:space="preserve"> </v>
      </c>
      <c r="AJ157" s="26" t="str">
        <f>IFERROR($AC157*HDF_Limited_Col!AJ157/HDF_Limited_Col!$AH157," ")</f>
        <v xml:space="preserve"> </v>
      </c>
      <c r="AK157" s="26" t="str">
        <f>IFERROR($AC157*HDF_Limited_Col!AK157/HDF_Limited_Col!$AH157," ")</f>
        <v xml:space="preserve"> </v>
      </c>
      <c r="AL157" s="26" t="str">
        <f>IFERROR($AC157*HDF_Limited_Col!AL157/HDF_Limited_Col!$AH157," ")</f>
        <v xml:space="preserve"> </v>
      </c>
      <c r="AM157" s="26" t="str">
        <f>IFERROR($AC157*HDF_Limited_Col!AM157/HDF_Limited_Col!$AH157," ")</f>
        <v xml:space="preserve"> </v>
      </c>
      <c r="AN157" s="26" t="str">
        <f>IFERROR($AC157*HDF_Limited_Col!AN157/HDF_Limited_Col!$AH157," ")</f>
        <v xml:space="preserve"> </v>
      </c>
      <c r="AO157" s="26" t="str">
        <f>IFERROR($AC157*HDF_Limited_Col!AO157/HDF_Limited_Col!$AH157," ")</f>
        <v xml:space="preserve"> </v>
      </c>
      <c r="AP157" s="26" t="str">
        <f>IFERROR($AC157*HDF_Limited_Col!AP157/HDF_Limited_Col!$AH157," ")</f>
        <v xml:space="preserve"> </v>
      </c>
      <c r="AQ157" s="26" t="str">
        <f>IFERROR($AC157*HDF_Limited_Col!AQ157/HDF_Limited_Col!$AH157," ")</f>
        <v xml:space="preserve"> </v>
      </c>
      <c r="AR157" s="26" t="str">
        <f>IFERROR($AC157*HDF_Limited_Col!AR157/HDF_Limited_Col!$AH157," ")</f>
        <v xml:space="preserve"> </v>
      </c>
      <c r="AS157" s="26" t="str">
        <f>IFERROR($AC157*HDF_Limited_Col!AS157/HDF_Limited_Col!$AH157," ")</f>
        <v xml:space="preserve"> </v>
      </c>
      <c r="AT157" s="26" t="str">
        <f>IFERROR($AC157*HDF_Limited_Col!AT157/HDF_Limited_Col!$AH157," ")</f>
        <v xml:space="preserve"> </v>
      </c>
      <c r="AU157" s="26" t="str">
        <f>IFERROR($AC157*HDF_Limited_Col!AU157/HDF_Limited_Col!$AH157," ")</f>
        <v xml:space="preserve"> </v>
      </c>
      <c r="AV157" s="26" t="str">
        <f>IFERROR($AC157*HDF_Limited_Col!AV157/HDF_Limited_Col!$AH157," ")</f>
        <v xml:space="preserve"> </v>
      </c>
      <c r="AW157" s="26" t="str">
        <f>IFERROR($AC157*HDF_Limited_Col!AW157/HDF_Limited_Col!$AH157," ")</f>
        <v xml:space="preserve"> </v>
      </c>
      <c r="AX157" s="26" t="str">
        <f>IFERROR($AC157*HDF_Limited_Col!AX157/HDF_Limited_Col!$AH157," ")</f>
        <v xml:space="preserve"> </v>
      </c>
      <c r="AY157" s="26" t="str">
        <f>IFERROR($AC157*HDF_Limited_Col!AY157/HDF_Limited_Col!$AH157," ")</f>
        <v xml:space="preserve"> </v>
      </c>
      <c r="AZ157" s="26" t="str">
        <f>IFERROR($AC157*HDF_Limited_Col!AZ157/HDF_Limited_Col!$AH157," ")</f>
        <v xml:space="preserve"> </v>
      </c>
      <c r="BA157" s="26" t="str">
        <f>IFERROR($AC157*HDF_Limited_Col!BA157/HDF_Limited_Col!$AH157," ")</f>
        <v xml:space="preserve"> </v>
      </c>
      <c r="BB157" s="26" t="str">
        <f>IFERROR($AC157*HDF_Limited_Col!BB157/HDF_Limited_Col!$AH157," ")</f>
        <v xml:space="preserve"> </v>
      </c>
      <c r="BC157" s="26" t="str">
        <f>IFERROR($AC157*HDF_Limited_Col!BC157/HDF_Limited_Col!$AH157," ")</f>
        <v xml:space="preserve"> </v>
      </c>
      <c r="BD157" s="26" t="str">
        <f>IFERROR($AC157*HDF_Limited_Col!BD157/HDF_Limited_Col!$AH157," ")</f>
        <v xml:space="preserve"> </v>
      </c>
      <c r="BE157" s="26" t="str">
        <f>IFERROR($AC157*HDF_Limited_Col!BE157/HDF_Limited_Col!$AH157," ")</f>
        <v xml:space="preserve"> </v>
      </c>
      <c r="BF157" s="26" t="str">
        <f>IFERROR($AC157*HDF_Limited_Col!BF157/HDF_Limited_Col!$AH157," ")</f>
        <v xml:space="preserve"> </v>
      </c>
      <c r="BG157" s="26" t="str">
        <f>IFERROR($AC157*HDF_Limited_Col!BG157/HDF_Limited_Col!$AH157," ")</f>
        <v xml:space="preserve"> </v>
      </c>
      <c r="BH157" s="26" t="str">
        <f>IFERROR($AC157*HDF_Limited_Col!BH157/HDF_Limited_Col!$AH157," ")</f>
        <v xml:space="preserve"> </v>
      </c>
      <c r="BI157" s="26" t="str">
        <f>IFERROR($AC157*HDF_Limited_Col!BI157/HDF_Limited_Col!$AH157," ")</f>
        <v xml:space="preserve"> </v>
      </c>
      <c r="BJ157" s="26" t="str">
        <f>IFERROR($AC157*HDF_Limited_Col!BJ157/HDF_Limited_Col!$AH157," ")</f>
        <v xml:space="preserve"> </v>
      </c>
      <c r="BK157" s="26" t="str">
        <f>IFERROR($AC157*HDF_Limited_Col!BK157/HDF_Limited_Col!$AH157," ")</f>
        <v xml:space="preserve"> </v>
      </c>
      <c r="BL157" s="26" t="str">
        <f>IFERROR($AC157*HDF_Limited_Col!BL157/HDF_Limited_Col!$AH157," ")</f>
        <v xml:space="preserve"> </v>
      </c>
      <c r="BM157" s="26" t="str">
        <f>IFERROR($AC157*HDF_Limited_Col!BM157/HDF_Limited_Col!$AH157," ")</f>
        <v xml:space="preserve"> </v>
      </c>
      <c r="BN157" s="26" t="str">
        <f>IFERROR($AC157*HDF_Limited_Col!BN157/HDF_Limited_Col!$AH157," ")</f>
        <v xml:space="preserve"> </v>
      </c>
      <c r="BO157" s="26" t="str">
        <f>IFERROR($AC157*HDF_Limited_Col!BO157/HDF_Limited_Col!$AH157," ")</f>
        <v xml:space="preserve"> </v>
      </c>
      <c r="BP157" s="26" t="str">
        <f>IFERROR($AC157*HDF_Limited_Col!BP157/HDF_Limited_Col!$AH157," ")</f>
        <v xml:space="preserve"> </v>
      </c>
      <c r="BQ157" s="26" t="str">
        <f>IFERROR($AC157*HDF_Limited_Col!BQ157/HDF_Limited_Col!$AH157," ")</f>
        <v xml:space="preserve"> </v>
      </c>
      <c r="BR157" s="26" t="str">
        <f>IFERROR($AC157*HDF_Limited_Col!BR157/HDF_Limited_Col!$AH157," ")</f>
        <v xml:space="preserve"> </v>
      </c>
      <c r="BS157" s="26" t="str">
        <f>IFERROR($AC157*HDF_Limited_Col!BS157/HDF_Limited_Col!$AH157," ")</f>
        <v xml:space="preserve"> </v>
      </c>
      <c r="BT157" s="26" t="str">
        <f>IFERROR($AC157*HDF_Limited_Col!BT157/HDF_Limited_Col!$AH157," ")</f>
        <v xml:space="preserve"> </v>
      </c>
      <c r="BU157" s="26" t="str">
        <f>IFERROR($AC157*HDF_Limited_Col!BU157/HDF_Limited_Col!$AH157," ")</f>
        <v xml:space="preserve"> </v>
      </c>
      <c r="BV157" s="26" t="str">
        <f>IFERROR($AC157*HDF_Limited_Col!BV157/HDF_Limited_Col!$AH157," ")</f>
        <v xml:space="preserve"> </v>
      </c>
      <c r="BW157" s="26" t="str">
        <f>IFERROR($AC157*HDF_Limited_Col!BW157/HDF_Limited_Col!$AH157," ")</f>
        <v xml:space="preserve"> </v>
      </c>
      <c r="BX157" s="26" t="str">
        <f>IFERROR($AC157*HDF_Limited_Col!BX157/HDF_Limited_Col!$AH157," ")</f>
        <v xml:space="preserve"> </v>
      </c>
      <c r="BY157" s="26" t="str">
        <f>IFERROR($AC157*HDF_Limited_Col!BY157/HDF_Limited_Col!$AH157," ")</f>
        <v xml:space="preserve"> </v>
      </c>
      <c r="BZ157" s="26" t="str">
        <f>IFERROR($AC157*HDF_Limited_Col!BZ157/HDF_Limited_Col!$AH157," ")</f>
        <v xml:space="preserve"> </v>
      </c>
      <c r="CA157" s="26" t="str">
        <f>IFERROR($AC157*HDF_Limited_Col!CA157/HDF_Limited_Col!$AH157," ")</f>
        <v xml:space="preserve"> </v>
      </c>
      <c r="CB157" s="26" t="str">
        <f>IFERROR($AC157*HDF_Limited_Col!CB157/HDF_Limited_Col!$AH157," ")</f>
        <v xml:space="preserve"> </v>
      </c>
      <c r="CC157" s="26" t="str">
        <f>IFERROR($AC157*HDF_Limited_Col!CC157/HDF_Limited_Col!$AH157," ")</f>
        <v xml:space="preserve"> </v>
      </c>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row>
    <row r="158" spans="1:109">
      <c r="A158" s="26" t="s">
        <v>1164</v>
      </c>
      <c r="B158" s="26" t="s">
        <v>24</v>
      </c>
      <c r="C158" s="155" t="s">
        <v>546</v>
      </c>
      <c r="D158" s="26" t="s">
        <v>119</v>
      </c>
      <c r="E158" s="26" t="s">
        <v>171</v>
      </c>
      <c r="F158" s="26" t="s">
        <v>113</v>
      </c>
      <c r="G158" s="26" t="s">
        <v>595</v>
      </c>
      <c r="H158" s="30" t="s">
        <v>805</v>
      </c>
      <c r="I158" s="26" t="s">
        <v>735</v>
      </c>
      <c r="J158" s="26" t="s">
        <v>1311</v>
      </c>
      <c r="K158" s="26" t="s">
        <v>128</v>
      </c>
      <c r="L158" s="26" t="s">
        <v>114</v>
      </c>
      <c r="M158" s="26" t="s">
        <v>138</v>
      </c>
      <c r="N158" s="26">
        <v>33</v>
      </c>
      <c r="O158" s="95">
        <v>5.1070158440509239</v>
      </c>
      <c r="P158" s="95">
        <v>2.2030264425317712</v>
      </c>
      <c r="Q158" s="95">
        <v>1.0013756556962596</v>
      </c>
      <c r="R158" s="95">
        <v>6.609079327595313</v>
      </c>
      <c r="S158" s="95">
        <v>2.3031640081013971</v>
      </c>
      <c r="T158" s="95">
        <v>5.6077036718990536</v>
      </c>
      <c r="U158" s="95">
        <v>13.91912161417801</v>
      </c>
      <c r="V158" s="95">
        <v>10.113894122532221</v>
      </c>
      <c r="W158" s="95">
        <v>26.436317310381252</v>
      </c>
      <c r="X158" s="95">
        <v>0.80110052455700775</v>
      </c>
      <c r="Y158" s="95">
        <v>33.445946900255066</v>
      </c>
      <c r="Z158" s="95">
        <v>107.54774542177829</v>
      </c>
      <c r="AA158" s="26"/>
      <c r="AB158" s="26"/>
      <c r="AC158" s="26">
        <f t="shared" si="3"/>
        <v>219457.73198503468</v>
      </c>
      <c r="AD158" s="26" t="str">
        <f>IFERROR($AC158*HDF_Limited_Col!AD158/HDF_Limited_Col!$AH158," ")</f>
        <v xml:space="preserve"> </v>
      </c>
      <c r="AE158" s="26" t="str">
        <f>IFERROR($AC158*HDF_Limited_Col!AE158/HDF_Limited_Col!$AH158," ")</f>
        <v xml:space="preserve"> </v>
      </c>
      <c r="AF158" s="26" t="str">
        <f>IFERROR($AC158*HDF_Limited_Col!AF158/HDF_Limited_Col!$AH158," ")</f>
        <v xml:space="preserve"> </v>
      </c>
      <c r="AG158" s="26" t="str">
        <f>IFERROR($AC158*HDF_Limited_Col!AG158/HDF_Limited_Col!$AH158," ")</f>
        <v xml:space="preserve"> </v>
      </c>
      <c r="AH158" s="26" t="str">
        <f>IFERROR($AC158*HDF_Limited_Col!AH158/HDF_Limited_Col!$AH158," ")</f>
        <v xml:space="preserve"> </v>
      </c>
      <c r="AI158" s="26" t="str">
        <f>IFERROR($AC158*HDF_Limited_Col!AI158/HDF_Limited_Col!$AH158," ")</f>
        <v xml:space="preserve"> </v>
      </c>
      <c r="AJ158" s="26" t="str">
        <f>IFERROR($AC158*HDF_Limited_Col!AJ158/HDF_Limited_Col!$AH158," ")</f>
        <v xml:space="preserve"> </v>
      </c>
      <c r="AK158" s="26" t="str">
        <f>IFERROR($AC158*HDF_Limited_Col!AK158/HDF_Limited_Col!$AH158," ")</f>
        <v xml:space="preserve"> </v>
      </c>
      <c r="AL158" s="26" t="str">
        <f>IFERROR($AC158*HDF_Limited_Col!AL158/HDF_Limited_Col!$AH158," ")</f>
        <v xml:space="preserve"> </v>
      </c>
      <c r="AM158" s="26" t="str">
        <f>IFERROR($AC158*HDF_Limited_Col!AM158/HDF_Limited_Col!$AH158," ")</f>
        <v xml:space="preserve"> </v>
      </c>
      <c r="AN158" s="26" t="str">
        <f>IFERROR($AC158*HDF_Limited_Col!AN158/HDF_Limited_Col!$AH158," ")</f>
        <v xml:space="preserve"> </v>
      </c>
      <c r="AO158" s="26" t="str">
        <f>IFERROR($AC158*HDF_Limited_Col!AO158/HDF_Limited_Col!$AH158," ")</f>
        <v xml:space="preserve"> </v>
      </c>
      <c r="AP158" s="26" t="str">
        <f>IFERROR($AC158*HDF_Limited_Col!AP158/HDF_Limited_Col!$AH158," ")</f>
        <v xml:space="preserve"> </v>
      </c>
      <c r="AQ158" s="26" t="str">
        <f>IFERROR($AC158*HDF_Limited_Col!AQ158/HDF_Limited_Col!$AH158," ")</f>
        <v xml:space="preserve"> </v>
      </c>
      <c r="AR158" s="26" t="str">
        <f>IFERROR($AC158*HDF_Limited_Col!AR158/HDF_Limited_Col!$AH158," ")</f>
        <v xml:space="preserve"> </v>
      </c>
      <c r="AS158" s="26" t="str">
        <f>IFERROR($AC158*HDF_Limited_Col!AS158/HDF_Limited_Col!$AH158," ")</f>
        <v xml:space="preserve"> </v>
      </c>
      <c r="AT158" s="26" t="str">
        <f>IFERROR($AC158*HDF_Limited_Col!AT158/HDF_Limited_Col!$AH158," ")</f>
        <v xml:space="preserve"> </v>
      </c>
      <c r="AU158" s="26" t="str">
        <f>IFERROR($AC158*HDF_Limited_Col!AU158/HDF_Limited_Col!$AH158," ")</f>
        <v xml:space="preserve"> </v>
      </c>
      <c r="AV158" s="26" t="str">
        <f>IFERROR($AC158*HDF_Limited_Col!AV158/HDF_Limited_Col!$AH158," ")</f>
        <v xml:space="preserve"> </v>
      </c>
      <c r="AW158" s="26" t="str">
        <f>IFERROR($AC158*HDF_Limited_Col!AW158/HDF_Limited_Col!$AH158," ")</f>
        <v xml:space="preserve"> </v>
      </c>
      <c r="AX158" s="26" t="str">
        <f>IFERROR($AC158*HDF_Limited_Col!AX158/HDF_Limited_Col!$AH158," ")</f>
        <v xml:space="preserve"> </v>
      </c>
      <c r="AY158" s="26" t="str">
        <f>IFERROR($AC158*HDF_Limited_Col!AY158/HDF_Limited_Col!$AH158," ")</f>
        <v xml:space="preserve"> </v>
      </c>
      <c r="AZ158" s="26" t="str">
        <f>IFERROR($AC158*HDF_Limited_Col!AZ158/HDF_Limited_Col!$AH158," ")</f>
        <v xml:space="preserve"> </v>
      </c>
      <c r="BA158" s="26" t="str">
        <f>IFERROR($AC158*HDF_Limited_Col!BA158/HDF_Limited_Col!$AH158," ")</f>
        <v xml:space="preserve"> </v>
      </c>
      <c r="BB158" s="26" t="str">
        <f>IFERROR($AC158*HDF_Limited_Col!BB158/HDF_Limited_Col!$AH158," ")</f>
        <v xml:space="preserve"> </v>
      </c>
      <c r="BC158" s="26" t="str">
        <f>IFERROR($AC158*HDF_Limited_Col!BC158/HDF_Limited_Col!$AH158," ")</f>
        <v xml:space="preserve"> </v>
      </c>
      <c r="BD158" s="26" t="str">
        <f>IFERROR($AC158*HDF_Limited_Col!BD158/HDF_Limited_Col!$AH158," ")</f>
        <v xml:space="preserve"> </v>
      </c>
      <c r="BE158" s="26" t="str">
        <f>IFERROR($AC158*HDF_Limited_Col!BE158/HDF_Limited_Col!$AH158," ")</f>
        <v xml:space="preserve"> </v>
      </c>
      <c r="BF158" s="26" t="str">
        <f>IFERROR($AC158*HDF_Limited_Col!BF158/HDF_Limited_Col!$AH158," ")</f>
        <v xml:space="preserve"> </v>
      </c>
      <c r="BG158" s="26" t="str">
        <f>IFERROR($AC158*HDF_Limited_Col!BG158/HDF_Limited_Col!$AH158," ")</f>
        <v xml:space="preserve"> </v>
      </c>
      <c r="BH158" s="26" t="str">
        <f>IFERROR($AC158*HDF_Limited_Col!BH158/HDF_Limited_Col!$AH158," ")</f>
        <v xml:space="preserve"> </v>
      </c>
      <c r="BI158" s="26" t="str">
        <f>IFERROR($AC158*HDF_Limited_Col!BI158/HDF_Limited_Col!$AH158," ")</f>
        <v xml:space="preserve"> </v>
      </c>
      <c r="BJ158" s="26" t="str">
        <f>IFERROR($AC158*HDF_Limited_Col!BJ158/HDF_Limited_Col!$AH158," ")</f>
        <v xml:space="preserve"> </v>
      </c>
      <c r="BK158" s="26" t="str">
        <f>IFERROR($AC158*HDF_Limited_Col!BK158/HDF_Limited_Col!$AH158," ")</f>
        <v xml:space="preserve"> </v>
      </c>
      <c r="BL158" s="26" t="str">
        <f>IFERROR($AC158*HDF_Limited_Col!BL158/HDF_Limited_Col!$AH158," ")</f>
        <v xml:space="preserve"> </v>
      </c>
      <c r="BM158" s="26" t="str">
        <f>IFERROR($AC158*HDF_Limited_Col!BM158/HDF_Limited_Col!$AH158," ")</f>
        <v xml:space="preserve"> </v>
      </c>
      <c r="BN158" s="26" t="str">
        <f>IFERROR($AC158*HDF_Limited_Col!BN158/HDF_Limited_Col!$AH158," ")</f>
        <v xml:space="preserve"> </v>
      </c>
      <c r="BO158" s="26" t="str">
        <f>IFERROR($AC158*HDF_Limited_Col!BO158/HDF_Limited_Col!$AH158," ")</f>
        <v xml:space="preserve"> </v>
      </c>
      <c r="BP158" s="26" t="str">
        <f>IFERROR($AC158*HDF_Limited_Col!BP158/HDF_Limited_Col!$AH158," ")</f>
        <v xml:space="preserve"> </v>
      </c>
      <c r="BQ158" s="26" t="str">
        <f>IFERROR($AC158*HDF_Limited_Col!BQ158/HDF_Limited_Col!$AH158," ")</f>
        <v xml:space="preserve"> </v>
      </c>
      <c r="BR158" s="26" t="str">
        <f>IFERROR($AC158*HDF_Limited_Col!BR158/HDF_Limited_Col!$AH158," ")</f>
        <v xml:space="preserve"> </v>
      </c>
      <c r="BS158" s="26" t="str">
        <f>IFERROR($AC158*HDF_Limited_Col!BS158/HDF_Limited_Col!$AH158," ")</f>
        <v xml:space="preserve"> </v>
      </c>
      <c r="BT158" s="26" t="str">
        <f>IFERROR($AC158*HDF_Limited_Col!BT158/HDF_Limited_Col!$AH158," ")</f>
        <v xml:space="preserve"> </v>
      </c>
      <c r="BU158" s="26" t="str">
        <f>IFERROR($AC158*HDF_Limited_Col!BU158/HDF_Limited_Col!$AH158," ")</f>
        <v xml:space="preserve"> </v>
      </c>
      <c r="BV158" s="26" t="str">
        <f>IFERROR($AC158*HDF_Limited_Col!BV158/HDF_Limited_Col!$AH158," ")</f>
        <v xml:space="preserve"> </v>
      </c>
      <c r="BW158" s="26" t="str">
        <f>IFERROR($AC158*HDF_Limited_Col!BW158/HDF_Limited_Col!$AH158," ")</f>
        <v xml:space="preserve"> </v>
      </c>
      <c r="BX158" s="26" t="str">
        <f>IFERROR($AC158*HDF_Limited_Col!BX158/HDF_Limited_Col!$AH158," ")</f>
        <v xml:space="preserve"> </v>
      </c>
      <c r="BY158" s="26" t="str">
        <f>IFERROR($AC158*HDF_Limited_Col!BY158/HDF_Limited_Col!$AH158," ")</f>
        <v xml:space="preserve"> </v>
      </c>
      <c r="BZ158" s="26" t="str">
        <f>IFERROR($AC158*HDF_Limited_Col!BZ158/HDF_Limited_Col!$AH158," ")</f>
        <v xml:space="preserve"> </v>
      </c>
      <c r="CA158" s="26" t="str">
        <f>IFERROR($AC158*HDF_Limited_Col!CA158/HDF_Limited_Col!$AH158," ")</f>
        <v xml:space="preserve"> </v>
      </c>
      <c r="CB158" s="26" t="str">
        <f>IFERROR($AC158*HDF_Limited_Col!CB158/HDF_Limited_Col!$AH158," ")</f>
        <v xml:space="preserve"> </v>
      </c>
      <c r="CC158" s="26" t="str">
        <f>IFERROR($AC158*HDF_Limited_Col!CC158/HDF_Limited_Col!$AH158," ")</f>
        <v xml:space="preserve"> </v>
      </c>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row>
    <row r="159" spans="1:109">
      <c r="A159" s="26" t="s">
        <v>966</v>
      </c>
      <c r="B159" s="26" t="s">
        <v>24</v>
      </c>
      <c r="C159" s="155" t="s">
        <v>546</v>
      </c>
      <c r="D159" s="26" t="s">
        <v>119</v>
      </c>
      <c r="E159" s="26" t="s">
        <v>171</v>
      </c>
      <c r="F159" s="26" t="s">
        <v>120</v>
      </c>
      <c r="G159" s="26" t="s">
        <v>595</v>
      </c>
      <c r="H159" s="30">
        <v>53</v>
      </c>
      <c r="I159" s="26" t="s">
        <v>712</v>
      </c>
      <c r="J159" s="26"/>
      <c r="K159" s="26" t="s">
        <v>968</v>
      </c>
      <c r="L159" s="26" t="s">
        <v>969</v>
      </c>
      <c r="M159" s="26" t="s">
        <v>967</v>
      </c>
      <c r="N159" s="26">
        <v>20</v>
      </c>
      <c r="O159" s="95">
        <v>4.3353779340745344</v>
      </c>
      <c r="P159" s="95">
        <v>5.8768456439677017</v>
      </c>
      <c r="Q159" s="95">
        <v>0</v>
      </c>
      <c r="R159" s="95">
        <v>13.102475534091926</v>
      </c>
      <c r="S159" s="95">
        <v>5.2987952527577642</v>
      </c>
      <c r="T159" s="95">
        <v>7.1292881582559016</v>
      </c>
      <c r="U159" s="95">
        <v>11.464666092330436</v>
      </c>
      <c r="V159" s="95">
        <v>11.368324360462113</v>
      </c>
      <c r="W159" s="95">
        <v>21.580547938504349</v>
      </c>
      <c r="X159" s="95">
        <v>0</v>
      </c>
      <c r="Y159" s="95">
        <v>25.626900676973918</v>
      </c>
      <c r="Z159" s="95">
        <v>105.78322159141865</v>
      </c>
      <c r="AA159" s="26"/>
      <c r="AB159" s="26"/>
      <c r="AC159" s="26">
        <f t="shared" si="3"/>
        <v>179148.17899839242</v>
      </c>
      <c r="AD159" s="26" t="str">
        <f>IFERROR($AC159*HDF_Limited_Col!AD159/HDF_Limited_Col!$AH159," ")</f>
        <v xml:space="preserve"> </v>
      </c>
      <c r="AE159" s="26" t="str">
        <f>IFERROR($AC159*HDF_Limited_Col!AE159/HDF_Limited_Col!$AH159," ")</f>
        <v xml:space="preserve"> </v>
      </c>
      <c r="AF159" s="26" t="str">
        <f>IFERROR($AC159*HDF_Limited_Col!AF159/HDF_Limited_Col!$AH159," ")</f>
        <v xml:space="preserve"> </v>
      </c>
      <c r="AG159" s="26" t="str">
        <f>IFERROR($AC159*HDF_Limited_Col!AG159/HDF_Limited_Col!$AH159," ")</f>
        <v xml:space="preserve"> </v>
      </c>
      <c r="AH159" s="26" t="str">
        <f>IFERROR($AC159*HDF_Limited_Col!AH159/HDF_Limited_Col!$AH159," ")</f>
        <v xml:space="preserve"> </v>
      </c>
      <c r="AI159" s="26" t="str">
        <f>IFERROR($AC159*HDF_Limited_Col!AI159/HDF_Limited_Col!$AH159," ")</f>
        <v xml:space="preserve"> </v>
      </c>
      <c r="AJ159" s="26" t="str">
        <f>IFERROR($AC159*HDF_Limited_Col!AJ159/HDF_Limited_Col!$AH159," ")</f>
        <v xml:space="preserve"> </v>
      </c>
      <c r="AK159" s="26" t="str">
        <f>IFERROR($AC159*HDF_Limited_Col!AK159/HDF_Limited_Col!$AH159," ")</f>
        <v xml:space="preserve"> </v>
      </c>
      <c r="AL159" s="26" t="str">
        <f>IFERROR($AC159*HDF_Limited_Col!AL159/HDF_Limited_Col!$AH159," ")</f>
        <v xml:space="preserve"> </v>
      </c>
      <c r="AM159" s="26" t="str">
        <f>IFERROR($AC159*HDF_Limited_Col!AM159/HDF_Limited_Col!$AH159," ")</f>
        <v xml:space="preserve"> </v>
      </c>
      <c r="AN159" s="26" t="str">
        <f>IFERROR($AC159*HDF_Limited_Col!AN159/HDF_Limited_Col!$AH159," ")</f>
        <v xml:space="preserve"> </v>
      </c>
      <c r="AO159" s="26" t="str">
        <f>IFERROR($AC159*HDF_Limited_Col!AO159/HDF_Limited_Col!$AH159," ")</f>
        <v xml:space="preserve"> </v>
      </c>
      <c r="AP159" s="26" t="str">
        <f>IFERROR($AC159*HDF_Limited_Col!AP159/HDF_Limited_Col!$AH159," ")</f>
        <v xml:space="preserve"> </v>
      </c>
      <c r="AQ159" s="26" t="str">
        <f>IFERROR($AC159*HDF_Limited_Col!AQ159/HDF_Limited_Col!$AH159," ")</f>
        <v xml:space="preserve"> </v>
      </c>
      <c r="AR159" s="26" t="str">
        <f>IFERROR($AC159*HDF_Limited_Col!AR159/HDF_Limited_Col!$AH159," ")</f>
        <v xml:space="preserve"> </v>
      </c>
      <c r="AS159" s="26" t="str">
        <f>IFERROR($AC159*HDF_Limited_Col!AS159/HDF_Limited_Col!$AH159," ")</f>
        <v xml:space="preserve"> </v>
      </c>
      <c r="AT159" s="26" t="str">
        <f>IFERROR($AC159*HDF_Limited_Col!AT159/HDF_Limited_Col!$AH159," ")</f>
        <v xml:space="preserve"> </v>
      </c>
      <c r="AU159" s="26" t="str">
        <f>IFERROR($AC159*HDF_Limited_Col!AU159/HDF_Limited_Col!$AH159," ")</f>
        <v xml:space="preserve"> </v>
      </c>
      <c r="AV159" s="26" t="str">
        <f>IFERROR($AC159*HDF_Limited_Col!AV159/HDF_Limited_Col!$AH159," ")</f>
        <v xml:space="preserve"> </v>
      </c>
      <c r="AW159" s="26" t="str">
        <f>IFERROR($AC159*HDF_Limited_Col!AW159/HDF_Limited_Col!$AH159," ")</f>
        <v xml:space="preserve"> </v>
      </c>
      <c r="AX159" s="26" t="str">
        <f>IFERROR($AC159*HDF_Limited_Col!AX159/HDF_Limited_Col!$AH159," ")</f>
        <v xml:space="preserve"> </v>
      </c>
      <c r="AY159" s="26" t="str">
        <f>IFERROR($AC159*HDF_Limited_Col!AY159/HDF_Limited_Col!$AH159," ")</f>
        <v xml:space="preserve"> </v>
      </c>
      <c r="AZ159" s="26" t="str">
        <f>IFERROR($AC159*HDF_Limited_Col!AZ159/HDF_Limited_Col!$AH159," ")</f>
        <v xml:space="preserve"> </v>
      </c>
      <c r="BA159" s="26" t="str">
        <f>IFERROR($AC159*HDF_Limited_Col!BA159/HDF_Limited_Col!$AH159," ")</f>
        <v xml:space="preserve"> </v>
      </c>
      <c r="BB159" s="26" t="str">
        <f>IFERROR($AC159*HDF_Limited_Col!BB159/HDF_Limited_Col!$AH159," ")</f>
        <v xml:space="preserve"> </v>
      </c>
      <c r="BC159" s="26" t="str">
        <f>IFERROR($AC159*HDF_Limited_Col!BC159/HDF_Limited_Col!$AH159," ")</f>
        <v xml:space="preserve"> </v>
      </c>
      <c r="BD159" s="26" t="str">
        <f>IFERROR($AC159*HDF_Limited_Col!BD159/HDF_Limited_Col!$AH159," ")</f>
        <v xml:space="preserve"> </v>
      </c>
      <c r="BE159" s="26" t="str">
        <f>IFERROR($AC159*HDF_Limited_Col!BE159/HDF_Limited_Col!$AH159," ")</f>
        <v xml:space="preserve"> </v>
      </c>
      <c r="BF159" s="26" t="str">
        <f>IFERROR($AC159*HDF_Limited_Col!BF159/HDF_Limited_Col!$AH159," ")</f>
        <v xml:space="preserve"> </v>
      </c>
      <c r="BG159" s="26" t="str">
        <f>IFERROR($AC159*HDF_Limited_Col!BG159/HDF_Limited_Col!$AH159," ")</f>
        <v xml:space="preserve"> </v>
      </c>
      <c r="BH159" s="26" t="str">
        <f>IFERROR($AC159*HDF_Limited_Col!BH159/HDF_Limited_Col!$AH159," ")</f>
        <v xml:space="preserve"> </v>
      </c>
      <c r="BI159" s="26" t="str">
        <f>IFERROR($AC159*HDF_Limited_Col!BI159/HDF_Limited_Col!$AH159," ")</f>
        <v xml:space="preserve"> </v>
      </c>
      <c r="BJ159" s="26" t="str">
        <f>IFERROR($AC159*HDF_Limited_Col!BJ159/HDF_Limited_Col!$AH159," ")</f>
        <v xml:space="preserve"> </v>
      </c>
      <c r="BK159" s="26" t="str">
        <f>IFERROR($AC159*HDF_Limited_Col!BK159/HDF_Limited_Col!$AH159," ")</f>
        <v xml:space="preserve"> </v>
      </c>
      <c r="BL159" s="26" t="str">
        <f>IFERROR($AC159*HDF_Limited_Col!BL159/HDF_Limited_Col!$AH159," ")</f>
        <v xml:space="preserve"> </v>
      </c>
      <c r="BM159" s="26" t="str">
        <f>IFERROR($AC159*HDF_Limited_Col!BM159/HDF_Limited_Col!$AH159," ")</f>
        <v xml:space="preserve"> </v>
      </c>
      <c r="BN159" s="26" t="str">
        <f>IFERROR($AC159*HDF_Limited_Col!BN159/HDF_Limited_Col!$AH159," ")</f>
        <v xml:space="preserve"> </v>
      </c>
      <c r="BO159" s="26" t="str">
        <f>IFERROR($AC159*HDF_Limited_Col!BO159/HDF_Limited_Col!$AH159," ")</f>
        <v xml:space="preserve"> </v>
      </c>
      <c r="BP159" s="26" t="str">
        <f>IFERROR($AC159*HDF_Limited_Col!BP159/HDF_Limited_Col!$AH159," ")</f>
        <v xml:space="preserve"> </v>
      </c>
      <c r="BQ159" s="26" t="str">
        <f>IFERROR($AC159*HDF_Limited_Col!BQ159/HDF_Limited_Col!$AH159," ")</f>
        <v xml:space="preserve"> </v>
      </c>
      <c r="BR159" s="26" t="str">
        <f>IFERROR($AC159*HDF_Limited_Col!BR159/HDF_Limited_Col!$AH159," ")</f>
        <v xml:space="preserve"> </v>
      </c>
      <c r="BS159" s="26" t="str">
        <f>IFERROR($AC159*HDF_Limited_Col!BS159/HDF_Limited_Col!$AH159," ")</f>
        <v xml:space="preserve"> </v>
      </c>
      <c r="BT159" s="26" t="str">
        <f>IFERROR($AC159*HDF_Limited_Col!BT159/HDF_Limited_Col!$AH159," ")</f>
        <v xml:space="preserve"> </v>
      </c>
      <c r="BU159" s="26" t="str">
        <f>IFERROR($AC159*HDF_Limited_Col!BU159/HDF_Limited_Col!$AH159," ")</f>
        <v xml:space="preserve"> </v>
      </c>
      <c r="BV159" s="26" t="str">
        <f>IFERROR($AC159*HDF_Limited_Col!BV159/HDF_Limited_Col!$AH159," ")</f>
        <v xml:space="preserve"> </v>
      </c>
      <c r="BW159" s="26" t="str">
        <f>IFERROR($AC159*HDF_Limited_Col!BW159/HDF_Limited_Col!$AH159," ")</f>
        <v xml:space="preserve"> </v>
      </c>
      <c r="BX159" s="26" t="str">
        <f>IFERROR($AC159*HDF_Limited_Col!BX159/HDF_Limited_Col!$AH159," ")</f>
        <v xml:space="preserve"> </v>
      </c>
      <c r="BY159" s="26" t="str">
        <f>IFERROR($AC159*HDF_Limited_Col!BY159/HDF_Limited_Col!$AH159," ")</f>
        <v xml:space="preserve"> </v>
      </c>
      <c r="BZ159" s="26" t="str">
        <f>IFERROR($AC159*HDF_Limited_Col!BZ159/HDF_Limited_Col!$AH159," ")</f>
        <v xml:space="preserve"> </v>
      </c>
      <c r="CA159" s="26" t="str">
        <f>IFERROR($AC159*HDF_Limited_Col!CA159/HDF_Limited_Col!$AH159," ")</f>
        <v xml:space="preserve"> </v>
      </c>
      <c r="CB159" s="26" t="str">
        <f>IFERROR($AC159*HDF_Limited_Col!CB159/HDF_Limited_Col!$AH159," ")</f>
        <v xml:space="preserve"> </v>
      </c>
      <c r="CC159" s="26" t="str">
        <f>IFERROR($AC159*HDF_Limited_Col!CC159/HDF_Limited_Col!$AH159," ")</f>
        <v xml:space="preserve"> </v>
      </c>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row>
    <row r="160" spans="1:109">
      <c r="A160" s="26" t="s">
        <v>1396</v>
      </c>
      <c r="B160" s="26" t="s">
        <v>24</v>
      </c>
      <c r="C160" s="155" t="s">
        <v>546</v>
      </c>
      <c r="D160" s="26" t="s">
        <v>119</v>
      </c>
      <c r="E160" s="26" t="s">
        <v>171</v>
      </c>
      <c r="F160" s="26" t="s">
        <v>120</v>
      </c>
      <c r="G160" s="26" t="s">
        <v>595</v>
      </c>
      <c r="H160" s="30">
        <v>53</v>
      </c>
      <c r="I160" s="26" t="s">
        <v>712</v>
      </c>
      <c r="J160" s="26" t="s">
        <v>1318</v>
      </c>
      <c r="K160" s="26" t="s">
        <v>968</v>
      </c>
      <c r="L160" s="26"/>
      <c r="M160" s="26" t="s">
        <v>1485</v>
      </c>
      <c r="N160" s="26">
        <v>50</v>
      </c>
      <c r="O160" s="95">
        <v>5.3617284315949716</v>
      </c>
      <c r="P160" s="95">
        <v>0</v>
      </c>
      <c r="Q160" s="95">
        <v>1.6318303922245567</v>
      </c>
      <c r="R160" s="95">
        <v>14.22023627509971</v>
      </c>
      <c r="S160" s="95">
        <v>6.6438808826285527</v>
      </c>
      <c r="T160" s="95">
        <v>8.2757112748531085</v>
      </c>
      <c r="U160" s="95">
        <v>13.987117647639058</v>
      </c>
      <c r="V160" s="95">
        <v>4.5458132354826937</v>
      </c>
      <c r="W160" s="95">
        <v>26.109286275592908</v>
      </c>
      <c r="X160" s="95">
        <v>0</v>
      </c>
      <c r="Y160" s="95">
        <v>24.827133824559329</v>
      </c>
      <c r="Z160" s="95">
        <v>105.60273823967489</v>
      </c>
      <c r="AA160" s="26"/>
      <c r="AB160" s="26"/>
      <c r="AC160" s="26">
        <f t="shared" si="3"/>
        <v>216742.92536727685</v>
      </c>
      <c r="AD160" s="26" t="str">
        <f>IFERROR($AC160*HDF_Limited_Col!AD160/HDF_Limited_Col!$AH160," ")</f>
        <v xml:space="preserve"> </v>
      </c>
      <c r="AE160" s="26" t="str">
        <f>IFERROR($AC160*HDF_Limited_Col!AE160/HDF_Limited_Col!$AH160," ")</f>
        <v xml:space="preserve"> </v>
      </c>
      <c r="AF160" s="26" t="str">
        <f>IFERROR($AC160*HDF_Limited_Col!AF160/HDF_Limited_Col!$AH160," ")</f>
        <v xml:space="preserve"> </v>
      </c>
      <c r="AG160" s="26" t="str">
        <f>IFERROR($AC160*HDF_Limited_Col!AG160/HDF_Limited_Col!$AH160," ")</f>
        <v xml:space="preserve"> </v>
      </c>
      <c r="AH160" s="26" t="str">
        <f>IFERROR($AC160*HDF_Limited_Col!AH160/HDF_Limited_Col!$AH160," ")</f>
        <v xml:space="preserve"> </v>
      </c>
      <c r="AI160" s="26" t="str">
        <f>IFERROR($AC160*HDF_Limited_Col!AI160/HDF_Limited_Col!$AH160," ")</f>
        <v xml:space="preserve"> </v>
      </c>
      <c r="AJ160" s="26" t="str">
        <f>IFERROR($AC160*HDF_Limited_Col!AJ160/HDF_Limited_Col!$AH160," ")</f>
        <v xml:space="preserve"> </v>
      </c>
      <c r="AK160" s="26" t="str">
        <f>IFERROR($AC160*HDF_Limited_Col!AK160/HDF_Limited_Col!$AH160," ")</f>
        <v xml:space="preserve"> </v>
      </c>
      <c r="AL160" s="26" t="str">
        <f>IFERROR($AC160*HDF_Limited_Col!AL160/HDF_Limited_Col!$AH160," ")</f>
        <v xml:space="preserve"> </v>
      </c>
      <c r="AM160" s="26" t="str">
        <f>IFERROR($AC160*HDF_Limited_Col!AM160/HDF_Limited_Col!$AH160," ")</f>
        <v xml:space="preserve"> </v>
      </c>
      <c r="AN160" s="26" t="str">
        <f>IFERROR($AC160*HDF_Limited_Col!AN160/HDF_Limited_Col!$AH160," ")</f>
        <v xml:space="preserve"> </v>
      </c>
      <c r="AO160" s="26" t="str">
        <f>IFERROR($AC160*HDF_Limited_Col!AO160/HDF_Limited_Col!$AH160," ")</f>
        <v xml:space="preserve"> </v>
      </c>
      <c r="AP160" s="26" t="str">
        <f>IFERROR($AC160*HDF_Limited_Col!AP160/HDF_Limited_Col!$AH160," ")</f>
        <v xml:space="preserve"> </v>
      </c>
      <c r="AQ160" s="26" t="str">
        <f>IFERROR($AC160*HDF_Limited_Col!AQ160/HDF_Limited_Col!$AH160," ")</f>
        <v xml:space="preserve"> </v>
      </c>
      <c r="AR160" s="26" t="str">
        <f>IFERROR($AC160*HDF_Limited_Col!AR160/HDF_Limited_Col!$AH160," ")</f>
        <v xml:space="preserve"> </v>
      </c>
      <c r="AS160" s="26" t="str">
        <f>IFERROR($AC160*HDF_Limited_Col!AS160/HDF_Limited_Col!$AH160," ")</f>
        <v xml:space="preserve"> </v>
      </c>
      <c r="AT160" s="26" t="str">
        <f>IFERROR($AC160*HDF_Limited_Col!AT160/HDF_Limited_Col!$AH160," ")</f>
        <v xml:space="preserve"> </v>
      </c>
      <c r="AU160" s="26" t="str">
        <f>IFERROR($AC160*HDF_Limited_Col!AU160/HDF_Limited_Col!$AH160," ")</f>
        <v xml:space="preserve"> </v>
      </c>
      <c r="AV160" s="26" t="str">
        <f>IFERROR($AC160*HDF_Limited_Col!AV160/HDF_Limited_Col!$AH160," ")</f>
        <v xml:space="preserve"> </v>
      </c>
      <c r="AW160" s="26" t="str">
        <f>IFERROR($AC160*HDF_Limited_Col!AW160/HDF_Limited_Col!$AH160," ")</f>
        <v xml:space="preserve"> </v>
      </c>
      <c r="AX160" s="26" t="str">
        <f>IFERROR($AC160*HDF_Limited_Col!AX160/HDF_Limited_Col!$AH160," ")</f>
        <v xml:space="preserve"> </v>
      </c>
      <c r="AY160" s="26" t="str">
        <f>IFERROR($AC160*HDF_Limited_Col!AY160/HDF_Limited_Col!$AH160," ")</f>
        <v xml:space="preserve"> </v>
      </c>
      <c r="AZ160" s="26" t="str">
        <f>IFERROR($AC160*HDF_Limited_Col!AZ160/HDF_Limited_Col!$AH160," ")</f>
        <v xml:space="preserve"> </v>
      </c>
      <c r="BA160" s="26" t="str">
        <f>IFERROR($AC160*HDF_Limited_Col!BA160/HDF_Limited_Col!$AH160," ")</f>
        <v xml:space="preserve"> </v>
      </c>
      <c r="BB160" s="26" t="str">
        <f>IFERROR($AC160*HDF_Limited_Col!BB160/HDF_Limited_Col!$AH160," ")</f>
        <v xml:space="preserve"> </v>
      </c>
      <c r="BC160" s="26" t="str">
        <f>IFERROR($AC160*HDF_Limited_Col!BC160/HDF_Limited_Col!$AH160," ")</f>
        <v xml:space="preserve"> </v>
      </c>
      <c r="BD160" s="26" t="str">
        <f>IFERROR($AC160*HDF_Limited_Col!BD160/HDF_Limited_Col!$AH160," ")</f>
        <v xml:space="preserve"> </v>
      </c>
      <c r="BE160" s="26" t="str">
        <f>IFERROR($AC160*HDF_Limited_Col!BE160/HDF_Limited_Col!$AH160," ")</f>
        <v xml:space="preserve"> </v>
      </c>
      <c r="BF160" s="26" t="str">
        <f>IFERROR($AC160*HDF_Limited_Col!BF160/HDF_Limited_Col!$AH160," ")</f>
        <v xml:space="preserve"> </v>
      </c>
      <c r="BG160" s="26" t="str">
        <f>IFERROR($AC160*HDF_Limited_Col!BG160/HDF_Limited_Col!$AH160," ")</f>
        <v xml:space="preserve"> </v>
      </c>
      <c r="BH160" s="26" t="str">
        <f>IFERROR($AC160*HDF_Limited_Col!BH160/HDF_Limited_Col!$AH160," ")</f>
        <v xml:space="preserve"> </v>
      </c>
      <c r="BI160" s="26" t="str">
        <f>IFERROR($AC160*HDF_Limited_Col!BI160/HDF_Limited_Col!$AH160," ")</f>
        <v xml:space="preserve"> </v>
      </c>
      <c r="BJ160" s="26" t="str">
        <f>IFERROR($AC160*HDF_Limited_Col!BJ160/HDF_Limited_Col!$AH160," ")</f>
        <v xml:space="preserve"> </v>
      </c>
      <c r="BK160" s="26" t="str">
        <f>IFERROR($AC160*HDF_Limited_Col!BK160/HDF_Limited_Col!$AH160," ")</f>
        <v xml:space="preserve"> </v>
      </c>
      <c r="BL160" s="26" t="str">
        <f>IFERROR($AC160*HDF_Limited_Col!BL160/HDF_Limited_Col!$AH160," ")</f>
        <v xml:space="preserve"> </v>
      </c>
      <c r="BM160" s="26" t="str">
        <f>IFERROR($AC160*HDF_Limited_Col!BM160/HDF_Limited_Col!$AH160," ")</f>
        <v xml:space="preserve"> </v>
      </c>
      <c r="BN160" s="26" t="str">
        <f>IFERROR($AC160*HDF_Limited_Col!BN160/HDF_Limited_Col!$AH160," ")</f>
        <v xml:space="preserve"> </v>
      </c>
      <c r="BO160" s="26" t="str">
        <f>IFERROR($AC160*HDF_Limited_Col!BO160/HDF_Limited_Col!$AH160," ")</f>
        <v xml:space="preserve"> </v>
      </c>
      <c r="BP160" s="26" t="str">
        <f>IFERROR($AC160*HDF_Limited_Col!BP160/HDF_Limited_Col!$AH160," ")</f>
        <v xml:space="preserve"> </v>
      </c>
      <c r="BQ160" s="26" t="str">
        <f>IFERROR($AC160*HDF_Limited_Col!BQ160/HDF_Limited_Col!$AH160," ")</f>
        <v xml:space="preserve"> </v>
      </c>
      <c r="BR160" s="26" t="str">
        <f>IFERROR($AC160*HDF_Limited_Col!BR160/HDF_Limited_Col!$AH160," ")</f>
        <v xml:space="preserve"> </v>
      </c>
      <c r="BS160" s="26" t="str">
        <f>IFERROR($AC160*HDF_Limited_Col!BS160/HDF_Limited_Col!$AH160," ")</f>
        <v xml:space="preserve"> </v>
      </c>
      <c r="BT160" s="26" t="str">
        <f>IFERROR($AC160*HDF_Limited_Col!BT160/HDF_Limited_Col!$AH160," ")</f>
        <v xml:space="preserve"> </v>
      </c>
      <c r="BU160" s="26" t="str">
        <f>IFERROR($AC160*HDF_Limited_Col!BU160/HDF_Limited_Col!$AH160," ")</f>
        <v xml:space="preserve"> </v>
      </c>
      <c r="BV160" s="26" t="str">
        <f>IFERROR($AC160*HDF_Limited_Col!BV160/HDF_Limited_Col!$AH160," ")</f>
        <v xml:space="preserve"> </v>
      </c>
      <c r="BW160" s="26" t="str">
        <f>IFERROR($AC160*HDF_Limited_Col!BW160/HDF_Limited_Col!$AH160," ")</f>
        <v xml:space="preserve"> </v>
      </c>
      <c r="BX160" s="26" t="str">
        <f>IFERROR($AC160*HDF_Limited_Col!BX160/HDF_Limited_Col!$AH160," ")</f>
        <v xml:space="preserve"> </v>
      </c>
      <c r="BY160" s="26" t="str">
        <f>IFERROR($AC160*HDF_Limited_Col!BY160/HDF_Limited_Col!$AH160," ")</f>
        <v xml:space="preserve"> </v>
      </c>
      <c r="BZ160" s="26" t="str">
        <f>IFERROR($AC160*HDF_Limited_Col!BZ160/HDF_Limited_Col!$AH160," ")</f>
        <v xml:space="preserve"> </v>
      </c>
      <c r="CA160" s="26" t="str">
        <f>IFERROR($AC160*HDF_Limited_Col!CA160/HDF_Limited_Col!$AH160," ")</f>
        <v xml:space="preserve"> </v>
      </c>
      <c r="CB160" s="26" t="str">
        <f>IFERROR($AC160*HDF_Limited_Col!CB160/HDF_Limited_Col!$AH160," ")</f>
        <v xml:space="preserve"> </v>
      </c>
      <c r="CC160" s="26" t="str">
        <f>IFERROR($AC160*HDF_Limited_Col!CC160/HDF_Limited_Col!$AH160," ")</f>
        <v xml:space="preserve"> </v>
      </c>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row>
    <row r="161" spans="1:109">
      <c r="A161" s="26" t="s">
        <v>1396</v>
      </c>
      <c r="B161" s="26" t="s">
        <v>24</v>
      </c>
      <c r="C161" s="155" t="s">
        <v>546</v>
      </c>
      <c r="D161" s="26" t="s">
        <v>119</v>
      </c>
      <c r="E161" s="26" t="s">
        <v>171</v>
      </c>
      <c r="F161" s="26" t="s">
        <v>120</v>
      </c>
      <c r="G161" s="26" t="s">
        <v>595</v>
      </c>
      <c r="H161" s="30">
        <v>53</v>
      </c>
      <c r="I161" s="26" t="s">
        <v>712</v>
      </c>
      <c r="J161" s="26" t="s">
        <v>1318</v>
      </c>
      <c r="K161" s="26" t="s">
        <v>968</v>
      </c>
      <c r="L161" s="26"/>
      <c r="M161" s="26" t="s">
        <v>1484</v>
      </c>
      <c r="N161" s="26">
        <v>24</v>
      </c>
      <c r="O161" s="95">
        <v>15.714413624961285</v>
      </c>
      <c r="P161" s="95">
        <v>0.31220689321115136</v>
      </c>
      <c r="Q161" s="95">
        <v>1.7691723948631908</v>
      </c>
      <c r="R161" s="95">
        <v>10.198758511564279</v>
      </c>
      <c r="S161" s="95">
        <v>1.2488275728446054</v>
      </c>
      <c r="T161" s="95">
        <v>5.0993792557821394</v>
      </c>
      <c r="U161" s="95">
        <v>13.737103301290659</v>
      </c>
      <c r="V161" s="95">
        <v>4.2668275405524012</v>
      </c>
      <c r="W161" s="95">
        <v>27.057930744966452</v>
      </c>
      <c r="X161" s="95">
        <v>2.7057930744966452</v>
      </c>
      <c r="Y161" s="95">
        <v>23.103310097625197</v>
      </c>
      <c r="Z161" s="95">
        <v>105.213723012158</v>
      </c>
      <c r="AA161" s="26"/>
      <c r="AB161" s="26"/>
      <c r="AC161" s="26">
        <f t="shared" si="3"/>
        <v>224617.97699661678</v>
      </c>
      <c r="AD161" s="26" t="str">
        <f>IFERROR($AC161*HDF_Limited_Col!AD161/HDF_Limited_Col!$AH161," ")</f>
        <v xml:space="preserve"> </v>
      </c>
      <c r="AE161" s="26" t="str">
        <f>IFERROR($AC161*HDF_Limited_Col!AE161/HDF_Limited_Col!$AH161," ")</f>
        <v xml:space="preserve"> </v>
      </c>
      <c r="AF161" s="26" t="str">
        <f>IFERROR($AC161*HDF_Limited_Col!AF161/HDF_Limited_Col!$AH161," ")</f>
        <v xml:space="preserve"> </v>
      </c>
      <c r="AG161" s="26" t="str">
        <f>IFERROR($AC161*HDF_Limited_Col!AG161/HDF_Limited_Col!$AH161," ")</f>
        <v xml:space="preserve"> </v>
      </c>
      <c r="AH161" s="26" t="str">
        <f>IFERROR($AC161*HDF_Limited_Col!AH161/HDF_Limited_Col!$AH161," ")</f>
        <v xml:space="preserve"> </v>
      </c>
      <c r="AI161" s="26" t="str">
        <f>IFERROR($AC161*HDF_Limited_Col!AI161/HDF_Limited_Col!$AH161," ")</f>
        <v xml:space="preserve"> </v>
      </c>
      <c r="AJ161" s="26" t="str">
        <f>IFERROR($AC161*HDF_Limited_Col!AJ161/HDF_Limited_Col!$AH161," ")</f>
        <v xml:space="preserve"> </v>
      </c>
      <c r="AK161" s="26" t="str">
        <f>IFERROR($AC161*HDF_Limited_Col!AK161/HDF_Limited_Col!$AH161," ")</f>
        <v xml:space="preserve"> </v>
      </c>
      <c r="AL161" s="26" t="str">
        <f>IFERROR($AC161*HDF_Limited_Col!AL161/HDF_Limited_Col!$AH161," ")</f>
        <v xml:space="preserve"> </v>
      </c>
      <c r="AM161" s="26" t="str">
        <f>IFERROR($AC161*HDF_Limited_Col!AM161/HDF_Limited_Col!$AH161," ")</f>
        <v xml:space="preserve"> </v>
      </c>
      <c r="AN161" s="26" t="str">
        <f>IFERROR($AC161*HDF_Limited_Col!AN161/HDF_Limited_Col!$AH161," ")</f>
        <v xml:space="preserve"> </v>
      </c>
      <c r="AO161" s="26" t="str">
        <f>IFERROR($AC161*HDF_Limited_Col!AO161/HDF_Limited_Col!$AH161," ")</f>
        <v xml:space="preserve"> </v>
      </c>
      <c r="AP161" s="26" t="str">
        <f>IFERROR($AC161*HDF_Limited_Col!AP161/HDF_Limited_Col!$AH161," ")</f>
        <v xml:space="preserve"> </v>
      </c>
      <c r="AQ161" s="26" t="str">
        <f>IFERROR($AC161*HDF_Limited_Col!AQ161/HDF_Limited_Col!$AH161," ")</f>
        <v xml:space="preserve"> </v>
      </c>
      <c r="AR161" s="26" t="str">
        <f>IFERROR($AC161*HDF_Limited_Col!AR161/HDF_Limited_Col!$AH161," ")</f>
        <v xml:space="preserve"> </v>
      </c>
      <c r="AS161" s="26" t="str">
        <f>IFERROR($AC161*HDF_Limited_Col!AS161/HDF_Limited_Col!$AH161," ")</f>
        <v xml:space="preserve"> </v>
      </c>
      <c r="AT161" s="26" t="str">
        <f>IFERROR($AC161*HDF_Limited_Col!AT161/HDF_Limited_Col!$AH161," ")</f>
        <v xml:space="preserve"> </v>
      </c>
      <c r="AU161" s="26" t="str">
        <f>IFERROR($AC161*HDF_Limited_Col!AU161/HDF_Limited_Col!$AH161," ")</f>
        <v xml:space="preserve"> </v>
      </c>
      <c r="AV161" s="26" t="str">
        <f>IFERROR($AC161*HDF_Limited_Col!AV161/HDF_Limited_Col!$AH161," ")</f>
        <v xml:space="preserve"> </v>
      </c>
      <c r="AW161" s="26" t="str">
        <f>IFERROR($AC161*HDF_Limited_Col!AW161/HDF_Limited_Col!$AH161," ")</f>
        <v xml:space="preserve"> </v>
      </c>
      <c r="AX161" s="26" t="str">
        <f>IFERROR($AC161*HDF_Limited_Col!AX161/HDF_Limited_Col!$AH161," ")</f>
        <v xml:space="preserve"> </v>
      </c>
      <c r="AY161" s="26" t="str">
        <f>IFERROR($AC161*HDF_Limited_Col!AY161/HDF_Limited_Col!$AH161," ")</f>
        <v xml:space="preserve"> </v>
      </c>
      <c r="AZ161" s="26" t="str">
        <f>IFERROR($AC161*HDF_Limited_Col!AZ161/HDF_Limited_Col!$AH161," ")</f>
        <v xml:space="preserve"> </v>
      </c>
      <c r="BA161" s="26" t="str">
        <f>IFERROR($AC161*HDF_Limited_Col!BA161/HDF_Limited_Col!$AH161," ")</f>
        <v xml:space="preserve"> </v>
      </c>
      <c r="BB161" s="26" t="str">
        <f>IFERROR($AC161*HDF_Limited_Col!BB161/HDF_Limited_Col!$AH161," ")</f>
        <v xml:space="preserve"> </v>
      </c>
      <c r="BC161" s="26" t="str">
        <f>IFERROR($AC161*HDF_Limited_Col!BC161/HDF_Limited_Col!$AH161," ")</f>
        <v xml:space="preserve"> </v>
      </c>
      <c r="BD161" s="26" t="str">
        <f>IFERROR($AC161*HDF_Limited_Col!BD161/HDF_Limited_Col!$AH161," ")</f>
        <v xml:space="preserve"> </v>
      </c>
      <c r="BE161" s="26" t="str">
        <f>IFERROR($AC161*HDF_Limited_Col!BE161/HDF_Limited_Col!$AH161," ")</f>
        <v xml:space="preserve"> </v>
      </c>
      <c r="BF161" s="26" t="str">
        <f>IFERROR($AC161*HDF_Limited_Col!BF161/HDF_Limited_Col!$AH161," ")</f>
        <v xml:space="preserve"> </v>
      </c>
      <c r="BG161" s="26" t="str">
        <f>IFERROR($AC161*HDF_Limited_Col!BG161/HDF_Limited_Col!$AH161," ")</f>
        <v xml:space="preserve"> </v>
      </c>
      <c r="BH161" s="26" t="str">
        <f>IFERROR($AC161*HDF_Limited_Col!BH161/HDF_Limited_Col!$AH161," ")</f>
        <v xml:space="preserve"> </v>
      </c>
      <c r="BI161" s="26" t="str">
        <f>IFERROR($AC161*HDF_Limited_Col!BI161/HDF_Limited_Col!$AH161," ")</f>
        <v xml:space="preserve"> </v>
      </c>
      <c r="BJ161" s="26" t="str">
        <f>IFERROR($AC161*HDF_Limited_Col!BJ161/HDF_Limited_Col!$AH161," ")</f>
        <v xml:space="preserve"> </v>
      </c>
      <c r="BK161" s="26" t="str">
        <f>IFERROR($AC161*HDF_Limited_Col!BK161/HDF_Limited_Col!$AH161," ")</f>
        <v xml:space="preserve"> </v>
      </c>
      <c r="BL161" s="26" t="str">
        <f>IFERROR($AC161*HDF_Limited_Col!BL161/HDF_Limited_Col!$AH161," ")</f>
        <v xml:space="preserve"> </v>
      </c>
      <c r="BM161" s="26" t="str">
        <f>IFERROR($AC161*HDF_Limited_Col!BM161/HDF_Limited_Col!$AH161," ")</f>
        <v xml:space="preserve"> </v>
      </c>
      <c r="BN161" s="26" t="str">
        <f>IFERROR($AC161*HDF_Limited_Col!BN161/HDF_Limited_Col!$AH161," ")</f>
        <v xml:space="preserve"> </v>
      </c>
      <c r="BO161" s="26" t="str">
        <f>IFERROR($AC161*HDF_Limited_Col!BO161/HDF_Limited_Col!$AH161," ")</f>
        <v xml:space="preserve"> </v>
      </c>
      <c r="BP161" s="26" t="str">
        <f>IFERROR($AC161*HDF_Limited_Col!BP161/HDF_Limited_Col!$AH161," ")</f>
        <v xml:space="preserve"> </v>
      </c>
      <c r="BQ161" s="26" t="str">
        <f>IFERROR($AC161*HDF_Limited_Col!BQ161/HDF_Limited_Col!$AH161," ")</f>
        <v xml:space="preserve"> </v>
      </c>
      <c r="BR161" s="26" t="str">
        <f>IFERROR($AC161*HDF_Limited_Col!BR161/HDF_Limited_Col!$AH161," ")</f>
        <v xml:space="preserve"> </v>
      </c>
      <c r="BS161" s="26" t="str">
        <f>IFERROR($AC161*HDF_Limited_Col!BS161/HDF_Limited_Col!$AH161," ")</f>
        <v xml:space="preserve"> </v>
      </c>
      <c r="BT161" s="26" t="str">
        <f>IFERROR($AC161*HDF_Limited_Col!BT161/HDF_Limited_Col!$AH161," ")</f>
        <v xml:space="preserve"> </v>
      </c>
      <c r="BU161" s="26" t="str">
        <f>IFERROR($AC161*HDF_Limited_Col!BU161/HDF_Limited_Col!$AH161," ")</f>
        <v xml:space="preserve"> </v>
      </c>
      <c r="BV161" s="26" t="str">
        <f>IFERROR($AC161*HDF_Limited_Col!BV161/HDF_Limited_Col!$AH161," ")</f>
        <v xml:space="preserve"> </v>
      </c>
      <c r="BW161" s="26" t="str">
        <f>IFERROR($AC161*HDF_Limited_Col!BW161/HDF_Limited_Col!$AH161," ")</f>
        <v xml:space="preserve"> </v>
      </c>
      <c r="BX161" s="26" t="str">
        <f>IFERROR($AC161*HDF_Limited_Col!BX161/HDF_Limited_Col!$AH161," ")</f>
        <v xml:space="preserve"> </v>
      </c>
      <c r="BY161" s="26" t="str">
        <f>IFERROR($AC161*HDF_Limited_Col!BY161/HDF_Limited_Col!$AH161," ")</f>
        <v xml:space="preserve"> </v>
      </c>
      <c r="BZ161" s="26" t="str">
        <f>IFERROR($AC161*HDF_Limited_Col!BZ161/HDF_Limited_Col!$AH161," ")</f>
        <v xml:space="preserve"> </v>
      </c>
      <c r="CA161" s="26" t="str">
        <f>IFERROR($AC161*HDF_Limited_Col!CA161/HDF_Limited_Col!$AH161," ")</f>
        <v xml:space="preserve"> </v>
      </c>
      <c r="CB161" s="26" t="str">
        <f>IFERROR($AC161*HDF_Limited_Col!CB161/HDF_Limited_Col!$AH161," ")</f>
        <v xml:space="preserve"> </v>
      </c>
      <c r="CC161" s="26" t="str">
        <f>IFERROR($AC161*HDF_Limited_Col!CC161/HDF_Limited_Col!$AH161," ")</f>
        <v xml:space="preserve"> </v>
      </c>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row>
    <row r="162" spans="1:109">
      <c r="A162" s="26" t="s">
        <v>1396</v>
      </c>
      <c r="B162" s="26" t="s">
        <v>24</v>
      </c>
      <c r="C162" s="155" t="s">
        <v>546</v>
      </c>
      <c r="D162" s="26" t="s">
        <v>119</v>
      </c>
      <c r="E162" s="26" t="s">
        <v>171</v>
      </c>
      <c r="F162" s="26" t="s">
        <v>120</v>
      </c>
      <c r="G162" s="26" t="s">
        <v>595</v>
      </c>
      <c r="H162" s="30">
        <v>53</v>
      </c>
      <c r="I162" s="26" t="s">
        <v>712</v>
      </c>
      <c r="J162" s="26" t="s">
        <v>1318</v>
      </c>
      <c r="K162" s="26" t="s">
        <v>968</v>
      </c>
      <c r="L162" s="26"/>
      <c r="M162" s="26" t="s">
        <v>1483</v>
      </c>
      <c r="N162" s="26">
        <v>35</v>
      </c>
      <c r="O162" s="95">
        <v>4.0933562345741379</v>
      </c>
      <c r="P162" s="95">
        <v>0</v>
      </c>
      <c r="Q162" s="95">
        <v>1.3303407762365949</v>
      </c>
      <c r="R162" s="95">
        <v>17.294430091075732</v>
      </c>
      <c r="S162" s="95">
        <v>4.7073596697602582</v>
      </c>
      <c r="T162" s="95">
        <v>7.7773768456908616</v>
      </c>
      <c r="U162" s="95">
        <v>16.066423220703491</v>
      </c>
      <c r="V162" s="95">
        <v>7.7773768456908616</v>
      </c>
      <c r="W162" s="95">
        <v>22.411125384293403</v>
      </c>
      <c r="X162" s="95">
        <v>0</v>
      </c>
      <c r="Y162" s="95">
        <v>23.946133972258703</v>
      </c>
      <c r="Z162" s="95">
        <v>105.40392304028404</v>
      </c>
      <c r="AA162" s="26"/>
      <c r="AB162" s="26"/>
      <c r="AC162" s="26">
        <f t="shared" si="3"/>
        <v>186043.11222039649</v>
      </c>
      <c r="AD162" s="26" t="str">
        <f>IFERROR($AC162*HDF_Limited_Col!AD162/HDF_Limited_Col!$AH162," ")</f>
        <v xml:space="preserve"> </v>
      </c>
      <c r="AE162" s="26" t="str">
        <f>IFERROR($AC162*HDF_Limited_Col!AE162/HDF_Limited_Col!$AH162," ")</f>
        <v xml:space="preserve"> </v>
      </c>
      <c r="AF162" s="26" t="str">
        <f>IFERROR($AC162*HDF_Limited_Col!AF162/HDF_Limited_Col!$AH162," ")</f>
        <v xml:space="preserve"> </v>
      </c>
      <c r="AG162" s="26" t="str">
        <f>IFERROR($AC162*HDF_Limited_Col!AG162/HDF_Limited_Col!$AH162," ")</f>
        <v xml:space="preserve"> </v>
      </c>
      <c r="AH162" s="26" t="str">
        <f>IFERROR($AC162*HDF_Limited_Col!AH162/HDF_Limited_Col!$AH162," ")</f>
        <v xml:space="preserve"> </v>
      </c>
      <c r="AI162" s="26" t="str">
        <f>IFERROR($AC162*HDF_Limited_Col!AI162/HDF_Limited_Col!$AH162," ")</f>
        <v xml:space="preserve"> </v>
      </c>
      <c r="AJ162" s="26" t="str">
        <f>IFERROR($AC162*HDF_Limited_Col!AJ162/HDF_Limited_Col!$AH162," ")</f>
        <v xml:space="preserve"> </v>
      </c>
      <c r="AK162" s="26" t="str">
        <f>IFERROR($AC162*HDF_Limited_Col!AK162/HDF_Limited_Col!$AH162," ")</f>
        <v xml:space="preserve"> </v>
      </c>
      <c r="AL162" s="26" t="str">
        <f>IFERROR($AC162*HDF_Limited_Col!AL162/HDF_Limited_Col!$AH162," ")</f>
        <v xml:space="preserve"> </v>
      </c>
      <c r="AM162" s="26" t="str">
        <f>IFERROR($AC162*HDF_Limited_Col!AM162/HDF_Limited_Col!$AH162," ")</f>
        <v xml:space="preserve"> </v>
      </c>
      <c r="AN162" s="26" t="str">
        <f>IFERROR($AC162*HDF_Limited_Col!AN162/HDF_Limited_Col!$AH162," ")</f>
        <v xml:space="preserve"> </v>
      </c>
      <c r="AO162" s="26" t="str">
        <f>IFERROR($AC162*HDF_Limited_Col!AO162/HDF_Limited_Col!$AH162," ")</f>
        <v xml:space="preserve"> </v>
      </c>
      <c r="AP162" s="26" t="str">
        <f>IFERROR($AC162*HDF_Limited_Col!AP162/HDF_Limited_Col!$AH162," ")</f>
        <v xml:space="preserve"> </v>
      </c>
      <c r="AQ162" s="26" t="str">
        <f>IFERROR($AC162*HDF_Limited_Col!AQ162/HDF_Limited_Col!$AH162," ")</f>
        <v xml:space="preserve"> </v>
      </c>
      <c r="AR162" s="26" t="str">
        <f>IFERROR($AC162*HDF_Limited_Col!AR162/HDF_Limited_Col!$AH162," ")</f>
        <v xml:space="preserve"> </v>
      </c>
      <c r="AS162" s="26" t="str">
        <f>IFERROR($AC162*HDF_Limited_Col!AS162/HDF_Limited_Col!$AH162," ")</f>
        <v xml:space="preserve"> </v>
      </c>
      <c r="AT162" s="26" t="str">
        <f>IFERROR($AC162*HDF_Limited_Col!AT162/HDF_Limited_Col!$AH162," ")</f>
        <v xml:space="preserve"> </v>
      </c>
      <c r="AU162" s="26" t="str">
        <f>IFERROR($AC162*HDF_Limited_Col!AU162/HDF_Limited_Col!$AH162," ")</f>
        <v xml:space="preserve"> </v>
      </c>
      <c r="AV162" s="26" t="str">
        <f>IFERROR($AC162*HDF_Limited_Col!AV162/HDF_Limited_Col!$AH162," ")</f>
        <v xml:space="preserve"> </v>
      </c>
      <c r="AW162" s="26" t="str">
        <f>IFERROR($AC162*HDF_Limited_Col!AW162/HDF_Limited_Col!$AH162," ")</f>
        <v xml:space="preserve"> </v>
      </c>
      <c r="AX162" s="26" t="str">
        <f>IFERROR($AC162*HDF_Limited_Col!AX162/HDF_Limited_Col!$AH162," ")</f>
        <v xml:space="preserve"> </v>
      </c>
      <c r="AY162" s="26" t="str">
        <f>IFERROR($AC162*HDF_Limited_Col!AY162/HDF_Limited_Col!$AH162," ")</f>
        <v xml:space="preserve"> </v>
      </c>
      <c r="AZ162" s="26" t="str">
        <f>IFERROR($AC162*HDF_Limited_Col!AZ162/HDF_Limited_Col!$AH162," ")</f>
        <v xml:space="preserve"> </v>
      </c>
      <c r="BA162" s="26" t="str">
        <f>IFERROR($AC162*HDF_Limited_Col!BA162/HDF_Limited_Col!$AH162," ")</f>
        <v xml:space="preserve"> </v>
      </c>
      <c r="BB162" s="26" t="str">
        <f>IFERROR($AC162*HDF_Limited_Col!BB162/HDF_Limited_Col!$AH162," ")</f>
        <v xml:space="preserve"> </v>
      </c>
      <c r="BC162" s="26" t="str">
        <f>IFERROR($AC162*HDF_Limited_Col!BC162/HDF_Limited_Col!$AH162," ")</f>
        <v xml:space="preserve"> </v>
      </c>
      <c r="BD162" s="26" t="str">
        <f>IFERROR($AC162*HDF_Limited_Col!BD162/HDF_Limited_Col!$AH162," ")</f>
        <v xml:space="preserve"> </v>
      </c>
      <c r="BE162" s="26" t="str">
        <f>IFERROR($AC162*HDF_Limited_Col!BE162/HDF_Limited_Col!$AH162," ")</f>
        <v xml:space="preserve"> </v>
      </c>
      <c r="BF162" s="26" t="str">
        <f>IFERROR($AC162*HDF_Limited_Col!BF162/HDF_Limited_Col!$AH162," ")</f>
        <v xml:space="preserve"> </v>
      </c>
      <c r="BG162" s="26" t="str">
        <f>IFERROR($AC162*HDF_Limited_Col!BG162/HDF_Limited_Col!$AH162," ")</f>
        <v xml:space="preserve"> </v>
      </c>
      <c r="BH162" s="26" t="str">
        <f>IFERROR($AC162*HDF_Limited_Col!BH162/HDF_Limited_Col!$AH162," ")</f>
        <v xml:space="preserve"> </v>
      </c>
      <c r="BI162" s="26" t="str">
        <f>IFERROR($AC162*HDF_Limited_Col!BI162/HDF_Limited_Col!$AH162," ")</f>
        <v xml:space="preserve"> </v>
      </c>
      <c r="BJ162" s="26" t="str">
        <f>IFERROR($AC162*HDF_Limited_Col!BJ162/HDF_Limited_Col!$AH162," ")</f>
        <v xml:space="preserve"> </v>
      </c>
      <c r="BK162" s="26" t="str">
        <f>IFERROR($AC162*HDF_Limited_Col!BK162/HDF_Limited_Col!$AH162," ")</f>
        <v xml:space="preserve"> </v>
      </c>
      <c r="BL162" s="26" t="str">
        <f>IFERROR($AC162*HDF_Limited_Col!BL162/HDF_Limited_Col!$AH162," ")</f>
        <v xml:space="preserve"> </v>
      </c>
      <c r="BM162" s="26" t="str">
        <f>IFERROR($AC162*HDF_Limited_Col!BM162/HDF_Limited_Col!$AH162," ")</f>
        <v xml:space="preserve"> </v>
      </c>
      <c r="BN162" s="26" t="str">
        <f>IFERROR($AC162*HDF_Limited_Col!BN162/HDF_Limited_Col!$AH162," ")</f>
        <v xml:space="preserve"> </v>
      </c>
      <c r="BO162" s="26" t="str">
        <f>IFERROR($AC162*HDF_Limited_Col!BO162/HDF_Limited_Col!$AH162," ")</f>
        <v xml:space="preserve"> </v>
      </c>
      <c r="BP162" s="26" t="str">
        <f>IFERROR($AC162*HDF_Limited_Col!BP162/HDF_Limited_Col!$AH162," ")</f>
        <v xml:space="preserve"> </v>
      </c>
      <c r="BQ162" s="26" t="str">
        <f>IFERROR($AC162*HDF_Limited_Col!BQ162/HDF_Limited_Col!$AH162," ")</f>
        <v xml:space="preserve"> </v>
      </c>
      <c r="BR162" s="26" t="str">
        <f>IFERROR($AC162*HDF_Limited_Col!BR162/HDF_Limited_Col!$AH162," ")</f>
        <v xml:space="preserve"> </v>
      </c>
      <c r="BS162" s="26" t="str">
        <f>IFERROR($AC162*HDF_Limited_Col!BS162/HDF_Limited_Col!$AH162," ")</f>
        <v xml:space="preserve"> </v>
      </c>
      <c r="BT162" s="26" t="str">
        <f>IFERROR($AC162*HDF_Limited_Col!BT162/HDF_Limited_Col!$AH162," ")</f>
        <v xml:space="preserve"> </v>
      </c>
      <c r="BU162" s="26" t="str">
        <f>IFERROR($AC162*HDF_Limited_Col!BU162/HDF_Limited_Col!$AH162," ")</f>
        <v xml:space="preserve"> </v>
      </c>
      <c r="BV162" s="26" t="str">
        <f>IFERROR($AC162*HDF_Limited_Col!BV162/HDF_Limited_Col!$AH162," ")</f>
        <v xml:space="preserve"> </v>
      </c>
      <c r="BW162" s="26" t="str">
        <f>IFERROR($AC162*HDF_Limited_Col!BW162/HDF_Limited_Col!$AH162," ")</f>
        <v xml:space="preserve"> </v>
      </c>
      <c r="BX162" s="26" t="str">
        <f>IFERROR($AC162*HDF_Limited_Col!BX162/HDF_Limited_Col!$AH162," ")</f>
        <v xml:space="preserve"> </v>
      </c>
      <c r="BY162" s="26" t="str">
        <f>IFERROR($AC162*HDF_Limited_Col!BY162/HDF_Limited_Col!$AH162," ")</f>
        <v xml:space="preserve"> </v>
      </c>
      <c r="BZ162" s="26" t="str">
        <f>IFERROR($AC162*HDF_Limited_Col!BZ162/HDF_Limited_Col!$AH162," ")</f>
        <v xml:space="preserve"> </v>
      </c>
      <c r="CA162" s="26" t="str">
        <f>IFERROR($AC162*HDF_Limited_Col!CA162/HDF_Limited_Col!$AH162," ")</f>
        <v xml:space="preserve"> </v>
      </c>
      <c r="CB162" s="26" t="str">
        <f>IFERROR($AC162*HDF_Limited_Col!CB162/HDF_Limited_Col!$AH162," ")</f>
        <v xml:space="preserve"> </v>
      </c>
      <c r="CC162" s="26" t="str">
        <f>IFERROR($AC162*HDF_Limited_Col!CC162/HDF_Limited_Col!$AH162," ")</f>
        <v xml:space="preserve"> </v>
      </c>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row>
    <row r="163" spans="1:109">
      <c r="A163" s="26" t="s">
        <v>1396</v>
      </c>
      <c r="B163" s="26" t="s">
        <v>24</v>
      </c>
      <c r="C163" s="155" t="s">
        <v>546</v>
      </c>
      <c r="D163" s="26" t="s">
        <v>119</v>
      </c>
      <c r="E163" s="26" t="s">
        <v>171</v>
      </c>
      <c r="F163" s="26" t="s">
        <v>120</v>
      </c>
      <c r="G163" s="26" t="s">
        <v>595</v>
      </c>
      <c r="H163" s="30">
        <v>53</v>
      </c>
      <c r="I163" s="26" t="s">
        <v>712</v>
      </c>
      <c r="J163" s="26" t="s">
        <v>1318</v>
      </c>
      <c r="K163" s="26" t="s">
        <v>968</v>
      </c>
      <c r="L163" s="26"/>
      <c r="M163" s="26" t="s">
        <v>1482</v>
      </c>
      <c r="N163" s="26">
        <v>30</v>
      </c>
      <c r="O163" s="95">
        <v>3.7009363078033606</v>
      </c>
      <c r="P163" s="95">
        <v>0</v>
      </c>
      <c r="Q163" s="95">
        <v>0.84592829892648236</v>
      </c>
      <c r="R163" s="95">
        <v>19.985056062138142</v>
      </c>
      <c r="S163" s="95">
        <v>5.1813108309247049</v>
      </c>
      <c r="T163" s="95">
        <v>9.5166933629229256</v>
      </c>
      <c r="U163" s="95">
        <v>12.688924483897235</v>
      </c>
      <c r="V163" s="95">
        <v>9.5166933629229256</v>
      </c>
      <c r="W163" s="95">
        <v>21.042466435796246</v>
      </c>
      <c r="X163" s="95">
        <v>0</v>
      </c>
      <c r="Y163" s="95">
        <v>22.628581996283401</v>
      </c>
      <c r="Z163" s="95">
        <v>105.10659114161541</v>
      </c>
      <c r="AA163" s="26"/>
      <c r="AB163" s="26"/>
      <c r="AC163" s="26">
        <f t="shared" si="3"/>
        <v>174681.36371466724</v>
      </c>
      <c r="AD163" s="26" t="str">
        <f>IFERROR($AC163*HDF_Limited_Col!AD163/HDF_Limited_Col!$AH163," ")</f>
        <v xml:space="preserve"> </v>
      </c>
      <c r="AE163" s="26" t="str">
        <f>IFERROR($AC163*HDF_Limited_Col!AE163/HDF_Limited_Col!$AH163," ")</f>
        <v xml:space="preserve"> </v>
      </c>
      <c r="AF163" s="26" t="str">
        <f>IFERROR($AC163*HDF_Limited_Col!AF163/HDF_Limited_Col!$AH163," ")</f>
        <v xml:space="preserve"> </v>
      </c>
      <c r="AG163" s="26" t="str">
        <f>IFERROR($AC163*HDF_Limited_Col!AG163/HDF_Limited_Col!$AH163," ")</f>
        <v xml:space="preserve"> </v>
      </c>
      <c r="AH163" s="26" t="str">
        <f>IFERROR($AC163*HDF_Limited_Col!AH163/HDF_Limited_Col!$AH163," ")</f>
        <v xml:space="preserve"> </v>
      </c>
      <c r="AI163" s="26" t="str">
        <f>IFERROR($AC163*HDF_Limited_Col!AI163/HDF_Limited_Col!$AH163," ")</f>
        <v xml:space="preserve"> </v>
      </c>
      <c r="AJ163" s="26" t="str">
        <f>IFERROR($AC163*HDF_Limited_Col!AJ163/HDF_Limited_Col!$AH163," ")</f>
        <v xml:space="preserve"> </v>
      </c>
      <c r="AK163" s="26" t="str">
        <f>IFERROR($AC163*HDF_Limited_Col!AK163/HDF_Limited_Col!$AH163," ")</f>
        <v xml:space="preserve"> </v>
      </c>
      <c r="AL163" s="26" t="str">
        <f>IFERROR($AC163*HDF_Limited_Col!AL163/HDF_Limited_Col!$AH163," ")</f>
        <v xml:space="preserve"> </v>
      </c>
      <c r="AM163" s="26" t="str">
        <f>IFERROR($AC163*HDF_Limited_Col!AM163/HDF_Limited_Col!$AH163," ")</f>
        <v xml:space="preserve"> </v>
      </c>
      <c r="AN163" s="26" t="str">
        <f>IFERROR($AC163*HDF_Limited_Col!AN163/HDF_Limited_Col!$AH163," ")</f>
        <v xml:space="preserve"> </v>
      </c>
      <c r="AO163" s="26" t="str">
        <f>IFERROR($AC163*HDF_Limited_Col!AO163/HDF_Limited_Col!$AH163," ")</f>
        <v xml:space="preserve"> </v>
      </c>
      <c r="AP163" s="26" t="str">
        <f>IFERROR($AC163*HDF_Limited_Col!AP163/HDF_Limited_Col!$AH163," ")</f>
        <v xml:space="preserve"> </v>
      </c>
      <c r="AQ163" s="26" t="str">
        <f>IFERROR($AC163*HDF_Limited_Col!AQ163/HDF_Limited_Col!$AH163," ")</f>
        <v xml:space="preserve"> </v>
      </c>
      <c r="AR163" s="26" t="str">
        <f>IFERROR($AC163*HDF_Limited_Col!AR163/HDF_Limited_Col!$AH163," ")</f>
        <v xml:space="preserve"> </v>
      </c>
      <c r="AS163" s="26" t="str">
        <f>IFERROR($AC163*HDF_Limited_Col!AS163/HDF_Limited_Col!$AH163," ")</f>
        <v xml:space="preserve"> </v>
      </c>
      <c r="AT163" s="26" t="str">
        <f>IFERROR($AC163*HDF_Limited_Col!AT163/HDF_Limited_Col!$AH163," ")</f>
        <v xml:space="preserve"> </v>
      </c>
      <c r="AU163" s="26" t="str">
        <f>IFERROR($AC163*HDF_Limited_Col!AU163/HDF_Limited_Col!$AH163," ")</f>
        <v xml:space="preserve"> </v>
      </c>
      <c r="AV163" s="26" t="str">
        <f>IFERROR($AC163*HDF_Limited_Col!AV163/HDF_Limited_Col!$AH163," ")</f>
        <v xml:space="preserve"> </v>
      </c>
      <c r="AW163" s="26" t="str">
        <f>IFERROR($AC163*HDF_Limited_Col!AW163/HDF_Limited_Col!$AH163," ")</f>
        <v xml:space="preserve"> </v>
      </c>
      <c r="AX163" s="26" t="str">
        <f>IFERROR($AC163*HDF_Limited_Col!AX163/HDF_Limited_Col!$AH163," ")</f>
        <v xml:space="preserve"> </v>
      </c>
      <c r="AY163" s="26" t="str">
        <f>IFERROR($AC163*HDF_Limited_Col!AY163/HDF_Limited_Col!$AH163," ")</f>
        <v xml:space="preserve"> </v>
      </c>
      <c r="AZ163" s="26" t="str">
        <f>IFERROR($AC163*HDF_Limited_Col!AZ163/HDF_Limited_Col!$AH163," ")</f>
        <v xml:space="preserve"> </v>
      </c>
      <c r="BA163" s="26" t="str">
        <f>IFERROR($AC163*HDF_Limited_Col!BA163/HDF_Limited_Col!$AH163," ")</f>
        <v xml:space="preserve"> </v>
      </c>
      <c r="BB163" s="26" t="str">
        <f>IFERROR($AC163*HDF_Limited_Col!BB163/HDF_Limited_Col!$AH163," ")</f>
        <v xml:space="preserve"> </v>
      </c>
      <c r="BC163" s="26" t="str">
        <f>IFERROR($AC163*HDF_Limited_Col!BC163/HDF_Limited_Col!$AH163," ")</f>
        <v xml:space="preserve"> </v>
      </c>
      <c r="BD163" s="26" t="str">
        <f>IFERROR($AC163*HDF_Limited_Col!BD163/HDF_Limited_Col!$AH163," ")</f>
        <v xml:space="preserve"> </v>
      </c>
      <c r="BE163" s="26" t="str">
        <f>IFERROR($AC163*HDF_Limited_Col!BE163/HDF_Limited_Col!$AH163," ")</f>
        <v xml:space="preserve"> </v>
      </c>
      <c r="BF163" s="26" t="str">
        <f>IFERROR($AC163*HDF_Limited_Col!BF163/HDF_Limited_Col!$AH163," ")</f>
        <v xml:space="preserve"> </v>
      </c>
      <c r="BG163" s="26" t="str">
        <f>IFERROR($AC163*HDF_Limited_Col!BG163/HDF_Limited_Col!$AH163," ")</f>
        <v xml:space="preserve"> </v>
      </c>
      <c r="BH163" s="26" t="str">
        <f>IFERROR($AC163*HDF_Limited_Col!BH163/HDF_Limited_Col!$AH163," ")</f>
        <v xml:space="preserve"> </v>
      </c>
      <c r="BI163" s="26" t="str">
        <f>IFERROR($AC163*HDF_Limited_Col!BI163/HDF_Limited_Col!$AH163," ")</f>
        <v xml:space="preserve"> </v>
      </c>
      <c r="BJ163" s="26" t="str">
        <f>IFERROR($AC163*HDF_Limited_Col!BJ163/HDF_Limited_Col!$AH163," ")</f>
        <v xml:space="preserve"> </v>
      </c>
      <c r="BK163" s="26" t="str">
        <f>IFERROR($AC163*HDF_Limited_Col!BK163/HDF_Limited_Col!$AH163," ")</f>
        <v xml:space="preserve"> </v>
      </c>
      <c r="BL163" s="26" t="str">
        <f>IFERROR($AC163*HDF_Limited_Col!BL163/HDF_Limited_Col!$AH163," ")</f>
        <v xml:space="preserve"> </v>
      </c>
      <c r="BM163" s="26" t="str">
        <f>IFERROR($AC163*HDF_Limited_Col!BM163/HDF_Limited_Col!$AH163," ")</f>
        <v xml:space="preserve"> </v>
      </c>
      <c r="BN163" s="26" t="str">
        <f>IFERROR($AC163*HDF_Limited_Col!BN163/HDF_Limited_Col!$AH163," ")</f>
        <v xml:space="preserve"> </v>
      </c>
      <c r="BO163" s="26" t="str">
        <f>IFERROR($AC163*HDF_Limited_Col!BO163/HDF_Limited_Col!$AH163," ")</f>
        <v xml:space="preserve"> </v>
      </c>
      <c r="BP163" s="26" t="str">
        <f>IFERROR($AC163*HDF_Limited_Col!BP163/HDF_Limited_Col!$AH163," ")</f>
        <v xml:space="preserve"> </v>
      </c>
      <c r="BQ163" s="26" t="str">
        <f>IFERROR($AC163*HDF_Limited_Col!BQ163/HDF_Limited_Col!$AH163," ")</f>
        <v xml:space="preserve"> </v>
      </c>
      <c r="BR163" s="26" t="str">
        <f>IFERROR($AC163*HDF_Limited_Col!BR163/HDF_Limited_Col!$AH163," ")</f>
        <v xml:space="preserve"> </v>
      </c>
      <c r="BS163" s="26" t="str">
        <f>IFERROR($AC163*HDF_Limited_Col!BS163/HDF_Limited_Col!$AH163," ")</f>
        <v xml:space="preserve"> </v>
      </c>
      <c r="BT163" s="26" t="str">
        <f>IFERROR($AC163*HDF_Limited_Col!BT163/HDF_Limited_Col!$AH163," ")</f>
        <v xml:space="preserve"> </v>
      </c>
      <c r="BU163" s="26" t="str">
        <f>IFERROR($AC163*HDF_Limited_Col!BU163/HDF_Limited_Col!$AH163," ")</f>
        <v xml:space="preserve"> </v>
      </c>
      <c r="BV163" s="26" t="str">
        <f>IFERROR($AC163*HDF_Limited_Col!BV163/HDF_Limited_Col!$AH163," ")</f>
        <v xml:space="preserve"> </v>
      </c>
      <c r="BW163" s="26" t="str">
        <f>IFERROR($AC163*HDF_Limited_Col!BW163/HDF_Limited_Col!$AH163," ")</f>
        <v xml:space="preserve"> </v>
      </c>
      <c r="BX163" s="26" t="str">
        <f>IFERROR($AC163*HDF_Limited_Col!BX163/HDF_Limited_Col!$AH163," ")</f>
        <v xml:space="preserve"> </v>
      </c>
      <c r="BY163" s="26" t="str">
        <f>IFERROR($AC163*HDF_Limited_Col!BY163/HDF_Limited_Col!$AH163," ")</f>
        <v xml:space="preserve"> </v>
      </c>
      <c r="BZ163" s="26" t="str">
        <f>IFERROR($AC163*HDF_Limited_Col!BZ163/HDF_Limited_Col!$AH163," ")</f>
        <v xml:space="preserve"> </v>
      </c>
      <c r="CA163" s="26" t="str">
        <f>IFERROR($AC163*HDF_Limited_Col!CA163/HDF_Limited_Col!$AH163," ")</f>
        <v xml:space="preserve"> </v>
      </c>
      <c r="CB163" s="26" t="str">
        <f>IFERROR($AC163*HDF_Limited_Col!CB163/HDF_Limited_Col!$AH163," ")</f>
        <v xml:space="preserve"> </v>
      </c>
      <c r="CC163" s="26" t="str">
        <f>IFERROR($AC163*HDF_Limited_Col!CC163/HDF_Limited_Col!$AH163," ")</f>
        <v xml:space="preserve"> </v>
      </c>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row>
    <row r="164" spans="1:109">
      <c r="A164" s="26" t="s">
        <v>1396</v>
      </c>
      <c r="B164" s="26" t="s">
        <v>24</v>
      </c>
      <c r="C164" s="155" t="s">
        <v>546</v>
      </c>
      <c r="D164" s="26" t="s">
        <v>119</v>
      </c>
      <c r="E164" s="26" t="s">
        <v>171</v>
      </c>
      <c r="F164" s="26" t="s">
        <v>120</v>
      </c>
      <c r="G164" s="26" t="s">
        <v>595</v>
      </c>
      <c r="H164" s="30">
        <v>53</v>
      </c>
      <c r="I164" s="26" t="s">
        <v>712</v>
      </c>
      <c r="J164" s="26" t="s">
        <v>1318</v>
      </c>
      <c r="K164" s="26" t="s">
        <v>968</v>
      </c>
      <c r="L164" s="26"/>
      <c r="M164" s="26" t="s">
        <v>1481</v>
      </c>
      <c r="N164" s="26">
        <v>20</v>
      </c>
      <c r="O164" s="95">
        <v>4.3353779340745344</v>
      </c>
      <c r="P164" s="95">
        <v>5.8768456439677017</v>
      </c>
      <c r="Q164" s="95">
        <v>0</v>
      </c>
      <c r="R164" s="95">
        <v>13.102475534091926</v>
      </c>
      <c r="S164" s="95">
        <v>5.2987952527577642</v>
      </c>
      <c r="T164" s="95">
        <v>7.1292881582559016</v>
      </c>
      <c r="U164" s="95">
        <v>11.464666092330436</v>
      </c>
      <c r="V164" s="95">
        <v>11.368324360462113</v>
      </c>
      <c r="W164" s="95">
        <v>21.580547938504349</v>
      </c>
      <c r="X164" s="95">
        <v>0</v>
      </c>
      <c r="Y164" s="95">
        <v>25.626900676973918</v>
      </c>
      <c r="Z164" s="95">
        <v>105.78322159141865</v>
      </c>
      <c r="AA164" s="26"/>
      <c r="AB164" s="26"/>
      <c r="AC164" s="26">
        <f t="shared" si="3"/>
        <v>179148.17899839242</v>
      </c>
      <c r="AD164" s="26" t="str">
        <f>IFERROR($AC164*HDF_Limited_Col!AD164/HDF_Limited_Col!$AH164," ")</f>
        <v xml:space="preserve"> </v>
      </c>
      <c r="AE164" s="26" t="str">
        <f>IFERROR($AC164*HDF_Limited_Col!AE164/HDF_Limited_Col!$AH164," ")</f>
        <v xml:space="preserve"> </v>
      </c>
      <c r="AF164" s="26" t="str">
        <f>IFERROR($AC164*HDF_Limited_Col!AF164/HDF_Limited_Col!$AH164," ")</f>
        <v xml:space="preserve"> </v>
      </c>
      <c r="AG164" s="26" t="str">
        <f>IFERROR($AC164*HDF_Limited_Col!AG164/HDF_Limited_Col!$AH164," ")</f>
        <v xml:space="preserve"> </v>
      </c>
      <c r="AH164" s="26" t="str">
        <f>IFERROR($AC164*HDF_Limited_Col!AH164/HDF_Limited_Col!$AH164," ")</f>
        <v xml:space="preserve"> </v>
      </c>
      <c r="AI164" s="26" t="str">
        <f>IFERROR($AC164*HDF_Limited_Col!AI164/HDF_Limited_Col!$AH164," ")</f>
        <v xml:space="preserve"> </v>
      </c>
      <c r="AJ164" s="26" t="str">
        <f>IFERROR($AC164*HDF_Limited_Col!AJ164/HDF_Limited_Col!$AH164," ")</f>
        <v xml:space="preserve"> </v>
      </c>
      <c r="AK164" s="26" t="str">
        <f>IFERROR($AC164*HDF_Limited_Col!AK164/HDF_Limited_Col!$AH164," ")</f>
        <v xml:space="preserve"> </v>
      </c>
      <c r="AL164" s="26" t="str">
        <f>IFERROR($AC164*HDF_Limited_Col!AL164/HDF_Limited_Col!$AH164," ")</f>
        <v xml:space="preserve"> </v>
      </c>
      <c r="AM164" s="26" t="str">
        <f>IFERROR($AC164*HDF_Limited_Col!AM164/HDF_Limited_Col!$AH164," ")</f>
        <v xml:space="preserve"> </v>
      </c>
      <c r="AN164" s="26" t="str">
        <f>IFERROR($AC164*HDF_Limited_Col!AN164/HDF_Limited_Col!$AH164," ")</f>
        <v xml:space="preserve"> </v>
      </c>
      <c r="AO164" s="26" t="str">
        <f>IFERROR($AC164*HDF_Limited_Col!AO164/HDF_Limited_Col!$AH164," ")</f>
        <v xml:space="preserve"> </v>
      </c>
      <c r="AP164" s="26" t="str">
        <f>IFERROR($AC164*HDF_Limited_Col!AP164/HDF_Limited_Col!$AH164," ")</f>
        <v xml:space="preserve"> </v>
      </c>
      <c r="AQ164" s="26" t="str">
        <f>IFERROR($AC164*HDF_Limited_Col!AQ164/HDF_Limited_Col!$AH164," ")</f>
        <v xml:space="preserve"> </v>
      </c>
      <c r="AR164" s="26" t="str">
        <f>IFERROR($AC164*HDF_Limited_Col!AR164/HDF_Limited_Col!$AH164," ")</f>
        <v xml:space="preserve"> </v>
      </c>
      <c r="AS164" s="26" t="str">
        <f>IFERROR($AC164*HDF_Limited_Col!AS164/HDF_Limited_Col!$AH164," ")</f>
        <v xml:space="preserve"> </v>
      </c>
      <c r="AT164" s="26" t="str">
        <f>IFERROR($AC164*HDF_Limited_Col!AT164/HDF_Limited_Col!$AH164," ")</f>
        <v xml:space="preserve"> </v>
      </c>
      <c r="AU164" s="26" t="str">
        <f>IFERROR($AC164*HDF_Limited_Col!AU164/HDF_Limited_Col!$AH164," ")</f>
        <v xml:space="preserve"> </v>
      </c>
      <c r="AV164" s="26" t="str">
        <f>IFERROR($AC164*HDF_Limited_Col!AV164/HDF_Limited_Col!$AH164," ")</f>
        <v xml:space="preserve"> </v>
      </c>
      <c r="AW164" s="26" t="str">
        <f>IFERROR($AC164*HDF_Limited_Col!AW164/HDF_Limited_Col!$AH164," ")</f>
        <v xml:space="preserve"> </v>
      </c>
      <c r="AX164" s="26" t="str">
        <f>IFERROR($AC164*HDF_Limited_Col!AX164/HDF_Limited_Col!$AH164," ")</f>
        <v xml:space="preserve"> </v>
      </c>
      <c r="AY164" s="26" t="str">
        <f>IFERROR($AC164*HDF_Limited_Col!AY164/HDF_Limited_Col!$AH164," ")</f>
        <v xml:space="preserve"> </v>
      </c>
      <c r="AZ164" s="26" t="str">
        <f>IFERROR($AC164*HDF_Limited_Col!AZ164/HDF_Limited_Col!$AH164," ")</f>
        <v xml:space="preserve"> </v>
      </c>
      <c r="BA164" s="26" t="str">
        <f>IFERROR($AC164*HDF_Limited_Col!BA164/HDF_Limited_Col!$AH164," ")</f>
        <v xml:space="preserve"> </v>
      </c>
      <c r="BB164" s="26" t="str">
        <f>IFERROR($AC164*HDF_Limited_Col!BB164/HDF_Limited_Col!$AH164," ")</f>
        <v xml:space="preserve"> </v>
      </c>
      <c r="BC164" s="26" t="str">
        <f>IFERROR($AC164*HDF_Limited_Col!BC164/HDF_Limited_Col!$AH164," ")</f>
        <v xml:space="preserve"> </v>
      </c>
      <c r="BD164" s="26" t="str">
        <f>IFERROR($AC164*HDF_Limited_Col!BD164/HDF_Limited_Col!$AH164," ")</f>
        <v xml:space="preserve"> </v>
      </c>
      <c r="BE164" s="26" t="str">
        <f>IFERROR($AC164*HDF_Limited_Col!BE164/HDF_Limited_Col!$AH164," ")</f>
        <v xml:space="preserve"> </v>
      </c>
      <c r="BF164" s="26" t="str">
        <f>IFERROR($AC164*HDF_Limited_Col!BF164/HDF_Limited_Col!$AH164," ")</f>
        <v xml:space="preserve"> </v>
      </c>
      <c r="BG164" s="26" t="str">
        <f>IFERROR($AC164*HDF_Limited_Col!BG164/HDF_Limited_Col!$AH164," ")</f>
        <v xml:space="preserve"> </v>
      </c>
      <c r="BH164" s="26" t="str">
        <f>IFERROR($AC164*HDF_Limited_Col!BH164/HDF_Limited_Col!$AH164," ")</f>
        <v xml:space="preserve"> </v>
      </c>
      <c r="BI164" s="26" t="str">
        <f>IFERROR($AC164*HDF_Limited_Col!BI164/HDF_Limited_Col!$AH164," ")</f>
        <v xml:space="preserve"> </v>
      </c>
      <c r="BJ164" s="26" t="str">
        <f>IFERROR($AC164*HDF_Limited_Col!BJ164/HDF_Limited_Col!$AH164," ")</f>
        <v xml:space="preserve"> </v>
      </c>
      <c r="BK164" s="26" t="str">
        <f>IFERROR($AC164*HDF_Limited_Col!BK164/HDF_Limited_Col!$AH164," ")</f>
        <v xml:space="preserve"> </v>
      </c>
      <c r="BL164" s="26" t="str">
        <f>IFERROR($AC164*HDF_Limited_Col!BL164/HDF_Limited_Col!$AH164," ")</f>
        <v xml:space="preserve"> </v>
      </c>
      <c r="BM164" s="26" t="str">
        <f>IFERROR($AC164*HDF_Limited_Col!BM164/HDF_Limited_Col!$AH164," ")</f>
        <v xml:space="preserve"> </v>
      </c>
      <c r="BN164" s="26" t="str">
        <f>IFERROR($AC164*HDF_Limited_Col!BN164/HDF_Limited_Col!$AH164," ")</f>
        <v xml:space="preserve"> </v>
      </c>
      <c r="BO164" s="26" t="str">
        <f>IFERROR($AC164*HDF_Limited_Col!BO164/HDF_Limited_Col!$AH164," ")</f>
        <v xml:space="preserve"> </v>
      </c>
      <c r="BP164" s="26" t="str">
        <f>IFERROR($AC164*HDF_Limited_Col!BP164/HDF_Limited_Col!$AH164," ")</f>
        <v xml:space="preserve"> </v>
      </c>
      <c r="BQ164" s="26" t="str">
        <f>IFERROR($AC164*HDF_Limited_Col!BQ164/HDF_Limited_Col!$AH164," ")</f>
        <v xml:space="preserve"> </v>
      </c>
      <c r="BR164" s="26" t="str">
        <f>IFERROR($AC164*HDF_Limited_Col!BR164/HDF_Limited_Col!$AH164," ")</f>
        <v xml:space="preserve"> </v>
      </c>
      <c r="BS164" s="26" t="str">
        <f>IFERROR($AC164*HDF_Limited_Col!BS164/HDF_Limited_Col!$AH164," ")</f>
        <v xml:space="preserve"> </v>
      </c>
      <c r="BT164" s="26" t="str">
        <f>IFERROR($AC164*HDF_Limited_Col!BT164/HDF_Limited_Col!$AH164," ")</f>
        <v xml:space="preserve"> </v>
      </c>
      <c r="BU164" s="26" t="str">
        <f>IFERROR($AC164*HDF_Limited_Col!BU164/HDF_Limited_Col!$AH164," ")</f>
        <v xml:space="preserve"> </v>
      </c>
      <c r="BV164" s="26" t="str">
        <f>IFERROR($AC164*HDF_Limited_Col!BV164/HDF_Limited_Col!$AH164," ")</f>
        <v xml:space="preserve"> </v>
      </c>
      <c r="BW164" s="26" t="str">
        <f>IFERROR($AC164*HDF_Limited_Col!BW164/HDF_Limited_Col!$AH164," ")</f>
        <v xml:space="preserve"> </v>
      </c>
      <c r="BX164" s="26" t="str">
        <f>IFERROR($AC164*HDF_Limited_Col!BX164/HDF_Limited_Col!$AH164," ")</f>
        <v xml:space="preserve"> </v>
      </c>
      <c r="BY164" s="26" t="str">
        <f>IFERROR($AC164*HDF_Limited_Col!BY164/HDF_Limited_Col!$AH164," ")</f>
        <v xml:space="preserve"> </v>
      </c>
      <c r="BZ164" s="26" t="str">
        <f>IFERROR($AC164*HDF_Limited_Col!BZ164/HDF_Limited_Col!$AH164," ")</f>
        <v xml:space="preserve"> </v>
      </c>
      <c r="CA164" s="26" t="str">
        <f>IFERROR($AC164*HDF_Limited_Col!CA164/HDF_Limited_Col!$AH164," ")</f>
        <v xml:space="preserve"> </v>
      </c>
      <c r="CB164" s="26" t="str">
        <f>IFERROR($AC164*HDF_Limited_Col!CB164/HDF_Limited_Col!$AH164," ")</f>
        <v xml:space="preserve"> </v>
      </c>
      <c r="CC164" s="26" t="str">
        <f>IFERROR($AC164*HDF_Limited_Col!CC164/HDF_Limited_Col!$AH164," ")</f>
        <v xml:space="preserve"> </v>
      </c>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row>
    <row r="165" spans="1:109">
      <c r="A165" s="26" t="s">
        <v>1180</v>
      </c>
      <c r="B165" s="26" t="s">
        <v>24</v>
      </c>
      <c r="C165" s="155" t="s">
        <v>546</v>
      </c>
      <c r="D165" s="26" t="s">
        <v>119</v>
      </c>
      <c r="E165" s="26" t="s">
        <v>171</v>
      </c>
      <c r="F165" s="26" t="s">
        <v>120</v>
      </c>
      <c r="G165" s="26" t="s">
        <v>595</v>
      </c>
      <c r="H165" s="30">
        <v>53</v>
      </c>
      <c r="I165" s="26" t="s">
        <v>712</v>
      </c>
      <c r="J165" s="26" t="s">
        <v>635</v>
      </c>
      <c r="K165" s="26" t="s">
        <v>968</v>
      </c>
      <c r="L165" s="26" t="s">
        <v>969</v>
      </c>
      <c r="M165" s="26" t="s">
        <v>121</v>
      </c>
      <c r="N165" s="26">
        <v>20</v>
      </c>
      <c r="O165" s="95">
        <v>3.3950116699181789</v>
      </c>
      <c r="P165" s="95">
        <v>0</v>
      </c>
      <c r="Q165" s="95">
        <v>0.87613204384985266</v>
      </c>
      <c r="R165" s="95">
        <v>7.5566388782049803</v>
      </c>
      <c r="S165" s="95">
        <v>3.6140446808806423</v>
      </c>
      <c r="T165" s="95">
        <v>5.3663087685803479</v>
      </c>
      <c r="U165" s="95">
        <v>18.836838942771834</v>
      </c>
      <c r="V165" s="95">
        <v>5.0377592521366523</v>
      </c>
      <c r="W165" s="95">
        <v>30.555105029263611</v>
      </c>
      <c r="X165" s="95">
        <v>0</v>
      </c>
      <c r="Y165" s="95">
        <v>31.978819600519621</v>
      </c>
      <c r="Z165" s="95">
        <v>107.21665886612573</v>
      </c>
      <c r="AA165" s="26"/>
      <c r="AB165" s="26"/>
      <c r="AC165" s="26">
        <f t="shared" si="3"/>
        <v>253649.32534129941</v>
      </c>
      <c r="AD165" s="26" t="str">
        <f>IFERROR($AC165*HDF_Limited_Col!AD165/HDF_Limited_Col!$AH165," ")</f>
        <v xml:space="preserve"> </v>
      </c>
      <c r="AE165" s="26" t="str">
        <f>IFERROR($AC165*HDF_Limited_Col!AE165/HDF_Limited_Col!$AH165," ")</f>
        <v xml:space="preserve"> </v>
      </c>
      <c r="AF165" s="26" t="str">
        <f>IFERROR($AC165*HDF_Limited_Col!AF165/HDF_Limited_Col!$AH165," ")</f>
        <v xml:space="preserve"> </v>
      </c>
      <c r="AG165" s="26" t="str">
        <f>IFERROR($AC165*HDF_Limited_Col!AG165/HDF_Limited_Col!$AH165," ")</f>
        <v xml:space="preserve"> </v>
      </c>
      <c r="AH165" s="26" t="str">
        <f>IFERROR($AC165*HDF_Limited_Col!AH165/HDF_Limited_Col!$AH165," ")</f>
        <v xml:space="preserve"> </v>
      </c>
      <c r="AI165" s="26" t="str">
        <f>IFERROR($AC165*HDF_Limited_Col!AI165/HDF_Limited_Col!$AH165," ")</f>
        <v xml:space="preserve"> </v>
      </c>
      <c r="AJ165" s="26" t="str">
        <f>IFERROR($AC165*HDF_Limited_Col!AJ165/HDF_Limited_Col!$AH165," ")</f>
        <v xml:space="preserve"> </v>
      </c>
      <c r="AK165" s="26" t="str">
        <f>IFERROR($AC165*HDF_Limited_Col!AK165/HDF_Limited_Col!$AH165," ")</f>
        <v xml:space="preserve"> </v>
      </c>
      <c r="AL165" s="26" t="str">
        <f>IFERROR($AC165*HDF_Limited_Col!AL165/HDF_Limited_Col!$AH165," ")</f>
        <v xml:space="preserve"> </v>
      </c>
      <c r="AM165" s="26" t="str">
        <f>IFERROR($AC165*HDF_Limited_Col!AM165/HDF_Limited_Col!$AH165," ")</f>
        <v xml:space="preserve"> </v>
      </c>
      <c r="AN165" s="26" t="str">
        <f>IFERROR($AC165*HDF_Limited_Col!AN165/HDF_Limited_Col!$AH165," ")</f>
        <v xml:space="preserve"> </v>
      </c>
      <c r="AO165" s="26" t="str">
        <f>IFERROR($AC165*HDF_Limited_Col!AO165/HDF_Limited_Col!$AH165," ")</f>
        <v xml:space="preserve"> </v>
      </c>
      <c r="AP165" s="26" t="str">
        <f>IFERROR($AC165*HDF_Limited_Col!AP165/HDF_Limited_Col!$AH165," ")</f>
        <v xml:space="preserve"> </v>
      </c>
      <c r="AQ165" s="26" t="str">
        <f>IFERROR($AC165*HDF_Limited_Col!AQ165/HDF_Limited_Col!$AH165," ")</f>
        <v xml:space="preserve"> </v>
      </c>
      <c r="AR165" s="26" t="str">
        <f>IFERROR($AC165*HDF_Limited_Col!AR165/HDF_Limited_Col!$AH165," ")</f>
        <v xml:space="preserve"> </v>
      </c>
      <c r="AS165" s="26" t="str">
        <f>IFERROR($AC165*HDF_Limited_Col!AS165/HDF_Limited_Col!$AH165," ")</f>
        <v xml:space="preserve"> </v>
      </c>
      <c r="AT165" s="26" t="str">
        <f>IFERROR($AC165*HDF_Limited_Col!AT165/HDF_Limited_Col!$AH165," ")</f>
        <v xml:space="preserve"> </v>
      </c>
      <c r="AU165" s="26" t="str">
        <f>IFERROR($AC165*HDF_Limited_Col!AU165/HDF_Limited_Col!$AH165," ")</f>
        <v xml:space="preserve"> </v>
      </c>
      <c r="AV165" s="26" t="str">
        <f>IFERROR($AC165*HDF_Limited_Col!AV165/HDF_Limited_Col!$AH165," ")</f>
        <v xml:space="preserve"> </v>
      </c>
      <c r="AW165" s="26" t="str">
        <f>IFERROR($AC165*HDF_Limited_Col!AW165/HDF_Limited_Col!$AH165," ")</f>
        <v xml:space="preserve"> </v>
      </c>
      <c r="AX165" s="26" t="str">
        <f>IFERROR($AC165*HDF_Limited_Col!AX165/HDF_Limited_Col!$AH165," ")</f>
        <v xml:space="preserve"> </v>
      </c>
      <c r="AY165" s="26" t="str">
        <f>IFERROR($AC165*HDF_Limited_Col!AY165/HDF_Limited_Col!$AH165," ")</f>
        <v xml:space="preserve"> </v>
      </c>
      <c r="AZ165" s="26" t="str">
        <f>IFERROR($AC165*HDF_Limited_Col!AZ165/HDF_Limited_Col!$AH165," ")</f>
        <v xml:space="preserve"> </v>
      </c>
      <c r="BA165" s="26" t="str">
        <f>IFERROR($AC165*HDF_Limited_Col!BA165/HDF_Limited_Col!$AH165," ")</f>
        <v xml:space="preserve"> </v>
      </c>
      <c r="BB165" s="26" t="str">
        <f>IFERROR($AC165*HDF_Limited_Col!BB165/HDF_Limited_Col!$AH165," ")</f>
        <v xml:space="preserve"> </v>
      </c>
      <c r="BC165" s="26" t="str">
        <f>IFERROR($AC165*HDF_Limited_Col!BC165/HDF_Limited_Col!$AH165," ")</f>
        <v xml:space="preserve"> </v>
      </c>
      <c r="BD165" s="26" t="str">
        <f>IFERROR($AC165*HDF_Limited_Col!BD165/HDF_Limited_Col!$AH165," ")</f>
        <v xml:space="preserve"> </v>
      </c>
      <c r="BE165" s="26" t="str">
        <f>IFERROR($AC165*HDF_Limited_Col!BE165/HDF_Limited_Col!$AH165," ")</f>
        <v xml:space="preserve"> </v>
      </c>
      <c r="BF165" s="26" t="str">
        <f>IFERROR($AC165*HDF_Limited_Col!BF165/HDF_Limited_Col!$AH165," ")</f>
        <v xml:space="preserve"> </v>
      </c>
      <c r="BG165" s="26" t="str">
        <f>IFERROR($AC165*HDF_Limited_Col!BG165/HDF_Limited_Col!$AH165," ")</f>
        <v xml:space="preserve"> </v>
      </c>
      <c r="BH165" s="26" t="str">
        <f>IFERROR($AC165*HDF_Limited_Col!BH165/HDF_Limited_Col!$AH165," ")</f>
        <v xml:space="preserve"> </v>
      </c>
      <c r="BI165" s="26" t="str">
        <f>IFERROR($AC165*HDF_Limited_Col!BI165/HDF_Limited_Col!$AH165," ")</f>
        <v xml:space="preserve"> </v>
      </c>
      <c r="BJ165" s="26" t="str">
        <f>IFERROR($AC165*HDF_Limited_Col!BJ165/HDF_Limited_Col!$AH165," ")</f>
        <v xml:space="preserve"> </v>
      </c>
      <c r="BK165" s="26" t="str">
        <f>IFERROR($AC165*HDF_Limited_Col!BK165/HDF_Limited_Col!$AH165," ")</f>
        <v xml:space="preserve"> </v>
      </c>
      <c r="BL165" s="26" t="str">
        <f>IFERROR($AC165*HDF_Limited_Col!BL165/HDF_Limited_Col!$AH165," ")</f>
        <v xml:space="preserve"> </v>
      </c>
      <c r="BM165" s="26" t="str">
        <f>IFERROR($AC165*HDF_Limited_Col!BM165/HDF_Limited_Col!$AH165," ")</f>
        <v xml:space="preserve"> </v>
      </c>
      <c r="BN165" s="26" t="str">
        <f>IFERROR($AC165*HDF_Limited_Col!BN165/HDF_Limited_Col!$AH165," ")</f>
        <v xml:space="preserve"> </v>
      </c>
      <c r="BO165" s="26" t="str">
        <f>IFERROR($AC165*HDF_Limited_Col!BO165/HDF_Limited_Col!$AH165," ")</f>
        <v xml:space="preserve"> </v>
      </c>
      <c r="BP165" s="26" t="str">
        <f>IFERROR($AC165*HDF_Limited_Col!BP165/HDF_Limited_Col!$AH165," ")</f>
        <v xml:space="preserve"> </v>
      </c>
      <c r="BQ165" s="26" t="str">
        <f>IFERROR($AC165*HDF_Limited_Col!BQ165/HDF_Limited_Col!$AH165," ")</f>
        <v xml:space="preserve"> </v>
      </c>
      <c r="BR165" s="26" t="str">
        <f>IFERROR($AC165*HDF_Limited_Col!BR165/HDF_Limited_Col!$AH165," ")</f>
        <v xml:space="preserve"> </v>
      </c>
      <c r="BS165" s="26" t="str">
        <f>IFERROR($AC165*HDF_Limited_Col!BS165/HDF_Limited_Col!$AH165," ")</f>
        <v xml:space="preserve"> </v>
      </c>
      <c r="BT165" s="26" t="str">
        <f>IFERROR($AC165*HDF_Limited_Col!BT165/HDF_Limited_Col!$AH165," ")</f>
        <v xml:space="preserve"> </v>
      </c>
      <c r="BU165" s="26" t="str">
        <f>IFERROR($AC165*HDF_Limited_Col!BU165/HDF_Limited_Col!$AH165," ")</f>
        <v xml:space="preserve"> </v>
      </c>
      <c r="BV165" s="26" t="str">
        <f>IFERROR($AC165*HDF_Limited_Col!BV165/HDF_Limited_Col!$AH165," ")</f>
        <v xml:space="preserve"> </v>
      </c>
      <c r="BW165" s="26" t="str">
        <f>IFERROR($AC165*HDF_Limited_Col!BW165/HDF_Limited_Col!$AH165," ")</f>
        <v xml:space="preserve"> </v>
      </c>
      <c r="BX165" s="26" t="str">
        <f>IFERROR($AC165*HDF_Limited_Col!BX165/HDF_Limited_Col!$AH165," ")</f>
        <v xml:space="preserve"> </v>
      </c>
      <c r="BY165" s="26" t="str">
        <f>IFERROR($AC165*HDF_Limited_Col!BY165/HDF_Limited_Col!$AH165," ")</f>
        <v xml:space="preserve"> </v>
      </c>
      <c r="BZ165" s="26" t="str">
        <f>IFERROR($AC165*HDF_Limited_Col!BZ165/HDF_Limited_Col!$AH165," ")</f>
        <v xml:space="preserve"> </v>
      </c>
      <c r="CA165" s="26" t="str">
        <f>IFERROR($AC165*HDF_Limited_Col!CA165/HDF_Limited_Col!$AH165," ")</f>
        <v xml:space="preserve"> </v>
      </c>
      <c r="CB165" s="26" t="str">
        <f>IFERROR($AC165*HDF_Limited_Col!CB165/HDF_Limited_Col!$AH165," ")</f>
        <v xml:space="preserve"> </v>
      </c>
      <c r="CC165" s="26" t="str">
        <f>IFERROR($AC165*HDF_Limited_Col!CC165/HDF_Limited_Col!$AH165," ")</f>
        <v xml:space="preserve"> </v>
      </c>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row>
    <row r="166" spans="1:109">
      <c r="A166" s="26" t="s">
        <v>1160</v>
      </c>
      <c r="B166" s="26" t="s">
        <v>24</v>
      </c>
      <c r="C166" s="155" t="s">
        <v>546</v>
      </c>
      <c r="D166" s="26" t="s">
        <v>119</v>
      </c>
      <c r="E166" s="26" t="s">
        <v>806</v>
      </c>
      <c r="F166" s="26" t="s">
        <v>139</v>
      </c>
      <c r="G166" s="26" t="s">
        <v>595</v>
      </c>
      <c r="H166" s="30">
        <v>2700</v>
      </c>
      <c r="I166" s="26" t="s">
        <v>735</v>
      </c>
      <c r="J166" s="26" t="s">
        <v>1311</v>
      </c>
      <c r="K166" s="26" t="s">
        <v>968</v>
      </c>
      <c r="L166" s="26"/>
      <c r="M166" s="26" t="s">
        <v>140</v>
      </c>
      <c r="N166" s="26">
        <v>69</v>
      </c>
      <c r="O166" s="95">
        <v>1.6856820081654411</v>
      </c>
      <c r="P166" s="95">
        <v>0</v>
      </c>
      <c r="Q166" s="95">
        <v>0.19326290539476393</v>
      </c>
      <c r="R166" s="95">
        <v>5.7442030214554833</v>
      </c>
      <c r="S166" s="95">
        <v>3.7042056867329753</v>
      </c>
      <c r="T166" s="95">
        <v>6.1522024883999853</v>
      </c>
      <c r="U166" s="95">
        <v>16.470294270864883</v>
      </c>
      <c r="V166" s="95">
        <v>9.1263038658638518</v>
      </c>
      <c r="W166" s="95">
        <v>31.641432344353849</v>
      </c>
      <c r="X166" s="95">
        <v>0</v>
      </c>
      <c r="Y166" s="95">
        <v>32.650694183637619</v>
      </c>
      <c r="Z166" s="95">
        <v>107.36828077486885</v>
      </c>
      <c r="AA166" s="26"/>
      <c r="AB166" s="26"/>
      <c r="AC166" s="26">
        <f t="shared" si="3"/>
        <v>262667.33363512019</v>
      </c>
      <c r="AD166" s="26" t="str">
        <f>IFERROR($AC166*HDF_Limited_Col!AD166/HDF_Limited_Col!$AH166," ")</f>
        <v xml:space="preserve"> </v>
      </c>
      <c r="AE166" s="26" t="str">
        <f>IFERROR($AC166*HDF_Limited_Col!AE166/HDF_Limited_Col!$AH166," ")</f>
        <v xml:space="preserve"> </v>
      </c>
      <c r="AF166" s="26" t="str">
        <f>IFERROR($AC166*HDF_Limited_Col!AF166/HDF_Limited_Col!$AH166," ")</f>
        <v xml:space="preserve"> </v>
      </c>
      <c r="AG166" s="26" t="str">
        <f>IFERROR($AC166*HDF_Limited_Col!AG166/HDF_Limited_Col!$AH166," ")</f>
        <v xml:space="preserve"> </v>
      </c>
      <c r="AH166" s="26" t="str">
        <f>IFERROR($AC166*HDF_Limited_Col!AH166/HDF_Limited_Col!$AH166," ")</f>
        <v xml:space="preserve"> </v>
      </c>
      <c r="AI166" s="26" t="str">
        <f>IFERROR($AC166*HDF_Limited_Col!AI166/HDF_Limited_Col!$AH166," ")</f>
        <v xml:space="preserve"> </v>
      </c>
      <c r="AJ166" s="26" t="str">
        <f>IFERROR($AC166*HDF_Limited_Col!AJ166/HDF_Limited_Col!$AH166," ")</f>
        <v xml:space="preserve"> </v>
      </c>
      <c r="AK166" s="26" t="str">
        <f>IFERROR($AC166*HDF_Limited_Col!AK166/HDF_Limited_Col!$AH166," ")</f>
        <v xml:space="preserve"> </v>
      </c>
      <c r="AL166" s="26" t="str">
        <f>IFERROR($AC166*HDF_Limited_Col!AL166/HDF_Limited_Col!$AH166," ")</f>
        <v xml:space="preserve"> </v>
      </c>
      <c r="AM166" s="26" t="str">
        <f>IFERROR($AC166*HDF_Limited_Col!AM166/HDF_Limited_Col!$AH166," ")</f>
        <v xml:space="preserve"> </v>
      </c>
      <c r="AN166" s="26" t="str">
        <f>IFERROR($AC166*HDF_Limited_Col!AN166/HDF_Limited_Col!$AH166," ")</f>
        <v xml:space="preserve"> </v>
      </c>
      <c r="AO166" s="26" t="str">
        <f>IFERROR($AC166*HDF_Limited_Col!AO166/HDF_Limited_Col!$AH166," ")</f>
        <v xml:space="preserve"> </v>
      </c>
      <c r="AP166" s="26" t="str">
        <f>IFERROR($AC166*HDF_Limited_Col!AP166/HDF_Limited_Col!$AH166," ")</f>
        <v xml:space="preserve"> </v>
      </c>
      <c r="AQ166" s="26" t="str">
        <f>IFERROR($AC166*HDF_Limited_Col!AQ166/HDF_Limited_Col!$AH166," ")</f>
        <v xml:space="preserve"> </v>
      </c>
      <c r="AR166" s="26" t="str">
        <f>IFERROR($AC166*HDF_Limited_Col!AR166/HDF_Limited_Col!$AH166," ")</f>
        <v xml:space="preserve"> </v>
      </c>
      <c r="AS166" s="26" t="str">
        <f>IFERROR($AC166*HDF_Limited_Col!AS166/HDF_Limited_Col!$AH166," ")</f>
        <v xml:space="preserve"> </v>
      </c>
      <c r="AT166" s="26" t="str">
        <f>IFERROR($AC166*HDF_Limited_Col!AT166/HDF_Limited_Col!$AH166," ")</f>
        <v xml:space="preserve"> </v>
      </c>
      <c r="AU166" s="26" t="str">
        <f>IFERROR($AC166*HDF_Limited_Col!AU166/HDF_Limited_Col!$AH166," ")</f>
        <v xml:space="preserve"> </v>
      </c>
      <c r="AV166" s="26" t="str">
        <f>IFERROR($AC166*HDF_Limited_Col!AV166/HDF_Limited_Col!$AH166," ")</f>
        <v xml:space="preserve"> </v>
      </c>
      <c r="AW166" s="26" t="str">
        <f>IFERROR($AC166*HDF_Limited_Col!AW166/HDF_Limited_Col!$AH166," ")</f>
        <v xml:space="preserve"> </v>
      </c>
      <c r="AX166" s="26" t="str">
        <f>IFERROR($AC166*HDF_Limited_Col!AX166/HDF_Limited_Col!$AH166," ")</f>
        <v xml:space="preserve"> </v>
      </c>
      <c r="AY166" s="26" t="str">
        <f>IFERROR($AC166*HDF_Limited_Col!AY166/HDF_Limited_Col!$AH166," ")</f>
        <v xml:space="preserve"> </v>
      </c>
      <c r="AZ166" s="26" t="str">
        <f>IFERROR($AC166*HDF_Limited_Col!AZ166/HDF_Limited_Col!$AH166," ")</f>
        <v xml:space="preserve"> </v>
      </c>
      <c r="BA166" s="26" t="str">
        <f>IFERROR($AC166*HDF_Limited_Col!BA166/HDF_Limited_Col!$AH166," ")</f>
        <v xml:space="preserve"> </v>
      </c>
      <c r="BB166" s="26" t="str">
        <f>IFERROR($AC166*HDF_Limited_Col!BB166/HDF_Limited_Col!$AH166," ")</f>
        <v xml:space="preserve"> </v>
      </c>
      <c r="BC166" s="26" t="str">
        <f>IFERROR($AC166*HDF_Limited_Col!BC166/HDF_Limited_Col!$AH166," ")</f>
        <v xml:space="preserve"> </v>
      </c>
      <c r="BD166" s="26" t="str">
        <f>IFERROR($AC166*HDF_Limited_Col!BD166/HDF_Limited_Col!$AH166," ")</f>
        <v xml:space="preserve"> </v>
      </c>
      <c r="BE166" s="26" t="str">
        <f>IFERROR($AC166*HDF_Limited_Col!BE166/HDF_Limited_Col!$AH166," ")</f>
        <v xml:space="preserve"> </v>
      </c>
      <c r="BF166" s="26" t="str">
        <f>IFERROR($AC166*HDF_Limited_Col!BF166/HDF_Limited_Col!$AH166," ")</f>
        <v xml:space="preserve"> </v>
      </c>
      <c r="BG166" s="26" t="str">
        <f>IFERROR($AC166*HDF_Limited_Col!BG166/HDF_Limited_Col!$AH166," ")</f>
        <v xml:space="preserve"> </v>
      </c>
      <c r="BH166" s="26" t="str">
        <f>IFERROR($AC166*HDF_Limited_Col!BH166/HDF_Limited_Col!$AH166," ")</f>
        <v xml:space="preserve"> </v>
      </c>
      <c r="BI166" s="26" t="str">
        <f>IFERROR($AC166*HDF_Limited_Col!BI166/HDF_Limited_Col!$AH166," ")</f>
        <v xml:space="preserve"> </v>
      </c>
      <c r="BJ166" s="26" t="str">
        <f>IFERROR($AC166*HDF_Limited_Col!BJ166/HDF_Limited_Col!$AH166," ")</f>
        <v xml:space="preserve"> </v>
      </c>
      <c r="BK166" s="26" t="str">
        <f>IFERROR($AC166*HDF_Limited_Col!BK166/HDF_Limited_Col!$AH166," ")</f>
        <v xml:space="preserve"> </v>
      </c>
      <c r="BL166" s="26" t="str">
        <f>IFERROR($AC166*HDF_Limited_Col!BL166/HDF_Limited_Col!$AH166," ")</f>
        <v xml:space="preserve"> </v>
      </c>
      <c r="BM166" s="26" t="str">
        <f>IFERROR($AC166*HDF_Limited_Col!BM166/HDF_Limited_Col!$AH166," ")</f>
        <v xml:space="preserve"> </v>
      </c>
      <c r="BN166" s="26" t="str">
        <f>IFERROR($AC166*HDF_Limited_Col!BN166/HDF_Limited_Col!$AH166," ")</f>
        <v xml:space="preserve"> </v>
      </c>
      <c r="BO166" s="26" t="str">
        <f>IFERROR($AC166*HDF_Limited_Col!BO166/HDF_Limited_Col!$AH166," ")</f>
        <v xml:space="preserve"> </v>
      </c>
      <c r="BP166" s="26" t="str">
        <f>IFERROR($AC166*HDF_Limited_Col!BP166/HDF_Limited_Col!$AH166," ")</f>
        <v xml:space="preserve"> </v>
      </c>
      <c r="BQ166" s="26" t="str">
        <f>IFERROR($AC166*HDF_Limited_Col!BQ166/HDF_Limited_Col!$AH166," ")</f>
        <v xml:space="preserve"> </v>
      </c>
      <c r="BR166" s="26" t="str">
        <f>IFERROR($AC166*HDF_Limited_Col!BR166/HDF_Limited_Col!$AH166," ")</f>
        <v xml:space="preserve"> </v>
      </c>
      <c r="BS166" s="26" t="str">
        <f>IFERROR($AC166*HDF_Limited_Col!BS166/HDF_Limited_Col!$AH166," ")</f>
        <v xml:space="preserve"> </v>
      </c>
      <c r="BT166" s="26" t="str">
        <f>IFERROR($AC166*HDF_Limited_Col!BT166/HDF_Limited_Col!$AH166," ")</f>
        <v xml:space="preserve"> </v>
      </c>
      <c r="BU166" s="26" t="str">
        <f>IFERROR($AC166*HDF_Limited_Col!BU166/HDF_Limited_Col!$AH166," ")</f>
        <v xml:space="preserve"> </v>
      </c>
      <c r="BV166" s="26" t="str">
        <f>IFERROR($AC166*HDF_Limited_Col!BV166/HDF_Limited_Col!$AH166," ")</f>
        <v xml:space="preserve"> </v>
      </c>
      <c r="BW166" s="26" t="str">
        <f>IFERROR($AC166*HDF_Limited_Col!BW166/HDF_Limited_Col!$AH166," ")</f>
        <v xml:space="preserve"> </v>
      </c>
      <c r="BX166" s="26" t="str">
        <f>IFERROR($AC166*HDF_Limited_Col!BX166/HDF_Limited_Col!$AH166," ")</f>
        <v xml:space="preserve"> </v>
      </c>
      <c r="BY166" s="26" t="str">
        <f>IFERROR($AC166*HDF_Limited_Col!BY166/HDF_Limited_Col!$AH166," ")</f>
        <v xml:space="preserve"> </v>
      </c>
      <c r="BZ166" s="26" t="str">
        <f>IFERROR($AC166*HDF_Limited_Col!BZ166/HDF_Limited_Col!$AH166," ")</f>
        <v xml:space="preserve"> </v>
      </c>
      <c r="CA166" s="26" t="str">
        <f>IFERROR($AC166*HDF_Limited_Col!CA166/HDF_Limited_Col!$AH166," ")</f>
        <v xml:space="preserve"> </v>
      </c>
      <c r="CB166" s="26" t="str">
        <f>IFERROR($AC166*HDF_Limited_Col!CB166/HDF_Limited_Col!$AH166," ")</f>
        <v xml:space="preserve"> </v>
      </c>
      <c r="CC166" s="26" t="str">
        <f>IFERROR($AC166*HDF_Limited_Col!CC166/HDF_Limited_Col!$AH166," ")</f>
        <v xml:space="preserve"> </v>
      </c>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row>
    <row r="167" spans="1:109">
      <c r="A167" s="26" t="s">
        <v>1160</v>
      </c>
      <c r="B167" s="26" t="s">
        <v>24</v>
      </c>
      <c r="C167" s="155" t="s">
        <v>546</v>
      </c>
      <c r="D167" s="26" t="s">
        <v>119</v>
      </c>
      <c r="E167" s="26" t="s">
        <v>806</v>
      </c>
      <c r="F167" s="26" t="s">
        <v>139</v>
      </c>
      <c r="G167" s="26" t="s">
        <v>595</v>
      </c>
      <c r="H167" s="30">
        <v>2700</v>
      </c>
      <c r="I167" s="26" t="s">
        <v>735</v>
      </c>
      <c r="J167" s="26" t="s">
        <v>1311</v>
      </c>
      <c r="K167" s="26" t="s">
        <v>968</v>
      </c>
      <c r="L167" s="26"/>
      <c r="M167" s="26" t="s">
        <v>141</v>
      </c>
      <c r="N167" s="26">
        <v>65</v>
      </c>
      <c r="O167" s="95">
        <v>2.5445755371382384</v>
      </c>
      <c r="P167" s="95">
        <v>0</v>
      </c>
      <c r="Q167" s="95">
        <v>0.40627676643383637</v>
      </c>
      <c r="R167" s="95">
        <v>5.8268641501694951</v>
      </c>
      <c r="S167" s="95">
        <v>4.5225019000398099</v>
      </c>
      <c r="T167" s="95">
        <v>6.2972898797244632</v>
      </c>
      <c r="U167" s="95">
        <v>14.74357002400685</v>
      </c>
      <c r="V167" s="95">
        <v>14.679421060885719</v>
      </c>
      <c r="W167" s="95">
        <v>27.2526178326276</v>
      </c>
      <c r="X167" s="95">
        <v>0</v>
      </c>
      <c r="Y167" s="95">
        <v>30.641821384194078</v>
      </c>
      <c r="Z167" s="95">
        <v>106.91493853522009</v>
      </c>
      <c r="AA167" s="26"/>
      <c r="AB167" s="26"/>
      <c r="AC167" s="26">
        <f t="shared" si="3"/>
        <v>226234.14713874584</v>
      </c>
      <c r="AD167" s="26" t="str">
        <f>IFERROR($AC167*HDF_Limited_Col!AD167/HDF_Limited_Col!$AH167," ")</f>
        <v xml:space="preserve"> </v>
      </c>
      <c r="AE167" s="26" t="str">
        <f>IFERROR($AC167*HDF_Limited_Col!AE167/HDF_Limited_Col!$AH167," ")</f>
        <v xml:space="preserve"> </v>
      </c>
      <c r="AF167" s="26" t="str">
        <f>IFERROR($AC167*HDF_Limited_Col!AF167/HDF_Limited_Col!$AH167," ")</f>
        <v xml:space="preserve"> </v>
      </c>
      <c r="AG167" s="26" t="str">
        <f>IFERROR($AC167*HDF_Limited_Col!AG167/HDF_Limited_Col!$AH167," ")</f>
        <v xml:space="preserve"> </v>
      </c>
      <c r="AH167" s="26" t="str">
        <f>IFERROR($AC167*HDF_Limited_Col!AH167/HDF_Limited_Col!$AH167," ")</f>
        <v xml:space="preserve"> </v>
      </c>
      <c r="AI167" s="26" t="str">
        <f>IFERROR($AC167*HDF_Limited_Col!AI167/HDF_Limited_Col!$AH167," ")</f>
        <v xml:space="preserve"> </v>
      </c>
      <c r="AJ167" s="26" t="str">
        <f>IFERROR($AC167*HDF_Limited_Col!AJ167/HDF_Limited_Col!$AH167," ")</f>
        <v xml:space="preserve"> </v>
      </c>
      <c r="AK167" s="26" t="str">
        <f>IFERROR($AC167*HDF_Limited_Col!AK167/HDF_Limited_Col!$AH167," ")</f>
        <v xml:space="preserve"> </v>
      </c>
      <c r="AL167" s="26" t="str">
        <f>IFERROR($AC167*HDF_Limited_Col!AL167/HDF_Limited_Col!$AH167," ")</f>
        <v xml:space="preserve"> </v>
      </c>
      <c r="AM167" s="26" t="str">
        <f>IFERROR($AC167*HDF_Limited_Col!AM167/HDF_Limited_Col!$AH167," ")</f>
        <v xml:space="preserve"> </v>
      </c>
      <c r="AN167" s="26" t="str">
        <f>IFERROR($AC167*HDF_Limited_Col!AN167/HDF_Limited_Col!$AH167," ")</f>
        <v xml:space="preserve"> </v>
      </c>
      <c r="AO167" s="26" t="str">
        <f>IFERROR($AC167*HDF_Limited_Col!AO167/HDF_Limited_Col!$AH167," ")</f>
        <v xml:space="preserve"> </v>
      </c>
      <c r="AP167" s="26" t="str">
        <f>IFERROR($AC167*HDF_Limited_Col!AP167/HDF_Limited_Col!$AH167," ")</f>
        <v xml:space="preserve"> </v>
      </c>
      <c r="AQ167" s="26" t="str">
        <f>IFERROR($AC167*HDF_Limited_Col!AQ167/HDF_Limited_Col!$AH167," ")</f>
        <v xml:space="preserve"> </v>
      </c>
      <c r="AR167" s="26" t="str">
        <f>IFERROR($AC167*HDF_Limited_Col!AR167/HDF_Limited_Col!$AH167," ")</f>
        <v xml:space="preserve"> </v>
      </c>
      <c r="AS167" s="26" t="str">
        <f>IFERROR($AC167*HDF_Limited_Col!AS167/HDF_Limited_Col!$AH167," ")</f>
        <v xml:space="preserve"> </v>
      </c>
      <c r="AT167" s="26" t="str">
        <f>IFERROR($AC167*HDF_Limited_Col!AT167/HDF_Limited_Col!$AH167," ")</f>
        <v xml:space="preserve"> </v>
      </c>
      <c r="AU167" s="26" t="str">
        <f>IFERROR($AC167*HDF_Limited_Col!AU167/HDF_Limited_Col!$AH167," ")</f>
        <v xml:space="preserve"> </v>
      </c>
      <c r="AV167" s="26" t="str">
        <f>IFERROR($AC167*HDF_Limited_Col!AV167/HDF_Limited_Col!$AH167," ")</f>
        <v xml:space="preserve"> </v>
      </c>
      <c r="AW167" s="26" t="str">
        <f>IFERROR($AC167*HDF_Limited_Col!AW167/HDF_Limited_Col!$AH167," ")</f>
        <v xml:space="preserve"> </v>
      </c>
      <c r="AX167" s="26" t="str">
        <f>IFERROR($AC167*HDF_Limited_Col!AX167/HDF_Limited_Col!$AH167," ")</f>
        <v xml:space="preserve"> </v>
      </c>
      <c r="AY167" s="26" t="str">
        <f>IFERROR($AC167*HDF_Limited_Col!AY167/HDF_Limited_Col!$AH167," ")</f>
        <v xml:space="preserve"> </v>
      </c>
      <c r="AZ167" s="26" t="str">
        <f>IFERROR($AC167*HDF_Limited_Col!AZ167/HDF_Limited_Col!$AH167," ")</f>
        <v xml:space="preserve"> </v>
      </c>
      <c r="BA167" s="26" t="str">
        <f>IFERROR($AC167*HDF_Limited_Col!BA167/HDF_Limited_Col!$AH167," ")</f>
        <v xml:space="preserve"> </v>
      </c>
      <c r="BB167" s="26" t="str">
        <f>IFERROR($AC167*HDF_Limited_Col!BB167/HDF_Limited_Col!$AH167," ")</f>
        <v xml:space="preserve"> </v>
      </c>
      <c r="BC167" s="26" t="str">
        <f>IFERROR($AC167*HDF_Limited_Col!BC167/HDF_Limited_Col!$AH167," ")</f>
        <v xml:space="preserve"> </v>
      </c>
      <c r="BD167" s="26" t="str">
        <f>IFERROR($AC167*HDF_Limited_Col!BD167/HDF_Limited_Col!$AH167," ")</f>
        <v xml:space="preserve"> </v>
      </c>
      <c r="BE167" s="26" t="str">
        <f>IFERROR($AC167*HDF_Limited_Col!BE167/HDF_Limited_Col!$AH167," ")</f>
        <v xml:space="preserve"> </v>
      </c>
      <c r="BF167" s="26" t="str">
        <f>IFERROR($AC167*HDF_Limited_Col!BF167/HDF_Limited_Col!$AH167," ")</f>
        <v xml:space="preserve"> </v>
      </c>
      <c r="BG167" s="26" t="str">
        <f>IFERROR($AC167*HDF_Limited_Col!BG167/HDF_Limited_Col!$AH167," ")</f>
        <v xml:space="preserve"> </v>
      </c>
      <c r="BH167" s="26" t="str">
        <f>IFERROR($AC167*HDF_Limited_Col!BH167/HDF_Limited_Col!$AH167," ")</f>
        <v xml:space="preserve"> </v>
      </c>
      <c r="BI167" s="26" t="str">
        <f>IFERROR($AC167*HDF_Limited_Col!BI167/HDF_Limited_Col!$AH167," ")</f>
        <v xml:space="preserve"> </v>
      </c>
      <c r="BJ167" s="26" t="str">
        <f>IFERROR($AC167*HDF_Limited_Col!BJ167/HDF_Limited_Col!$AH167," ")</f>
        <v xml:space="preserve"> </v>
      </c>
      <c r="BK167" s="26" t="str">
        <f>IFERROR($AC167*HDF_Limited_Col!BK167/HDF_Limited_Col!$AH167," ")</f>
        <v xml:space="preserve"> </v>
      </c>
      <c r="BL167" s="26" t="str">
        <f>IFERROR($AC167*HDF_Limited_Col!BL167/HDF_Limited_Col!$AH167," ")</f>
        <v xml:space="preserve"> </v>
      </c>
      <c r="BM167" s="26" t="str">
        <f>IFERROR($AC167*HDF_Limited_Col!BM167/HDF_Limited_Col!$AH167," ")</f>
        <v xml:space="preserve"> </v>
      </c>
      <c r="BN167" s="26" t="str">
        <f>IFERROR($AC167*HDF_Limited_Col!BN167/HDF_Limited_Col!$AH167," ")</f>
        <v xml:space="preserve"> </v>
      </c>
      <c r="BO167" s="26" t="str">
        <f>IFERROR($AC167*HDF_Limited_Col!BO167/HDF_Limited_Col!$AH167," ")</f>
        <v xml:space="preserve"> </v>
      </c>
      <c r="BP167" s="26" t="str">
        <f>IFERROR($AC167*HDF_Limited_Col!BP167/HDF_Limited_Col!$AH167," ")</f>
        <v xml:space="preserve"> </v>
      </c>
      <c r="BQ167" s="26" t="str">
        <f>IFERROR($AC167*HDF_Limited_Col!BQ167/HDF_Limited_Col!$AH167," ")</f>
        <v xml:space="preserve"> </v>
      </c>
      <c r="BR167" s="26" t="str">
        <f>IFERROR($AC167*HDF_Limited_Col!BR167/HDF_Limited_Col!$AH167," ")</f>
        <v xml:space="preserve"> </v>
      </c>
      <c r="BS167" s="26" t="str">
        <f>IFERROR($AC167*HDF_Limited_Col!BS167/HDF_Limited_Col!$AH167," ")</f>
        <v xml:space="preserve"> </v>
      </c>
      <c r="BT167" s="26" t="str">
        <f>IFERROR($AC167*HDF_Limited_Col!BT167/HDF_Limited_Col!$AH167," ")</f>
        <v xml:space="preserve"> </v>
      </c>
      <c r="BU167" s="26" t="str">
        <f>IFERROR($AC167*HDF_Limited_Col!BU167/HDF_Limited_Col!$AH167," ")</f>
        <v xml:space="preserve"> </v>
      </c>
      <c r="BV167" s="26" t="str">
        <f>IFERROR($AC167*HDF_Limited_Col!BV167/HDF_Limited_Col!$AH167," ")</f>
        <v xml:space="preserve"> </v>
      </c>
      <c r="BW167" s="26" t="str">
        <f>IFERROR($AC167*HDF_Limited_Col!BW167/HDF_Limited_Col!$AH167," ")</f>
        <v xml:space="preserve"> </v>
      </c>
      <c r="BX167" s="26" t="str">
        <f>IFERROR($AC167*HDF_Limited_Col!BX167/HDF_Limited_Col!$AH167," ")</f>
        <v xml:space="preserve"> </v>
      </c>
      <c r="BY167" s="26" t="str">
        <f>IFERROR($AC167*HDF_Limited_Col!BY167/HDF_Limited_Col!$AH167," ")</f>
        <v xml:space="preserve"> </v>
      </c>
      <c r="BZ167" s="26" t="str">
        <f>IFERROR($AC167*HDF_Limited_Col!BZ167/HDF_Limited_Col!$AH167," ")</f>
        <v xml:space="preserve"> </v>
      </c>
      <c r="CA167" s="26" t="str">
        <f>IFERROR($AC167*HDF_Limited_Col!CA167/HDF_Limited_Col!$AH167," ")</f>
        <v xml:space="preserve"> </v>
      </c>
      <c r="CB167" s="26" t="str">
        <f>IFERROR($AC167*HDF_Limited_Col!CB167/HDF_Limited_Col!$AH167," ")</f>
        <v xml:space="preserve"> </v>
      </c>
      <c r="CC167" s="26" t="str">
        <f>IFERROR($AC167*HDF_Limited_Col!CC167/HDF_Limited_Col!$AH167," ")</f>
        <v xml:space="preserve"> </v>
      </c>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row>
    <row r="168" spans="1:109">
      <c r="A168" s="26" t="s">
        <v>1160</v>
      </c>
      <c r="B168" s="26" t="s">
        <v>24</v>
      </c>
      <c r="C168" s="155" t="s">
        <v>546</v>
      </c>
      <c r="D168" s="26" t="s">
        <v>119</v>
      </c>
      <c r="E168" s="26" t="s">
        <v>806</v>
      </c>
      <c r="F168" s="26" t="s">
        <v>139</v>
      </c>
      <c r="G168" s="26" t="s">
        <v>595</v>
      </c>
      <c r="H168" s="30">
        <v>2700</v>
      </c>
      <c r="I168" s="26" t="s">
        <v>735</v>
      </c>
      <c r="J168" s="26" t="s">
        <v>1311</v>
      </c>
      <c r="K168" s="26" t="s">
        <v>968</v>
      </c>
      <c r="L168" s="26"/>
      <c r="M168" s="26" t="s">
        <v>143</v>
      </c>
      <c r="N168" s="26">
        <v>40</v>
      </c>
      <c r="O168" s="95">
        <v>2.1363405316904922</v>
      </c>
      <c r="P168" s="95">
        <v>0</v>
      </c>
      <c r="Q168" s="95">
        <v>0.30059062757454164</v>
      </c>
      <c r="R168" s="95">
        <v>5.2173944643295433</v>
      </c>
      <c r="S168" s="95">
        <v>3.4138506988822939</v>
      </c>
      <c r="T168" s="95">
        <v>2.9844355166329484</v>
      </c>
      <c r="U168" s="95">
        <v>18.04617303402873</v>
      </c>
      <c r="V168" s="95">
        <v>15.158355933401882</v>
      </c>
      <c r="W168" s="95">
        <v>27.546983941295487</v>
      </c>
      <c r="X168" s="95">
        <v>0</v>
      </c>
      <c r="Y168" s="95">
        <v>32.538935434944129</v>
      </c>
      <c r="Z168" s="95">
        <v>107.34306018278005</v>
      </c>
      <c r="AA168" s="26"/>
      <c r="AB168" s="26"/>
      <c r="AC168" s="26">
        <f t="shared" si="3"/>
        <v>228677.79001922172</v>
      </c>
      <c r="AD168" s="26" t="str">
        <f>IFERROR($AC168*HDF_Limited_Col!AD168/HDF_Limited_Col!$AH168," ")</f>
        <v xml:space="preserve"> </v>
      </c>
      <c r="AE168" s="26" t="str">
        <f>IFERROR($AC168*HDF_Limited_Col!AE168/HDF_Limited_Col!$AH168," ")</f>
        <v xml:space="preserve"> </v>
      </c>
      <c r="AF168" s="26" t="str">
        <f>IFERROR($AC168*HDF_Limited_Col!AF168/HDF_Limited_Col!$AH168," ")</f>
        <v xml:space="preserve"> </v>
      </c>
      <c r="AG168" s="26" t="str">
        <f>IFERROR($AC168*HDF_Limited_Col!AG168/HDF_Limited_Col!$AH168," ")</f>
        <v xml:space="preserve"> </v>
      </c>
      <c r="AH168" s="26" t="str">
        <f>IFERROR($AC168*HDF_Limited_Col!AH168/HDF_Limited_Col!$AH168," ")</f>
        <v xml:space="preserve"> </v>
      </c>
      <c r="AI168" s="26" t="str">
        <f>IFERROR($AC168*HDF_Limited_Col!AI168/HDF_Limited_Col!$AH168," ")</f>
        <v xml:space="preserve"> </v>
      </c>
      <c r="AJ168" s="26" t="str">
        <f>IFERROR($AC168*HDF_Limited_Col!AJ168/HDF_Limited_Col!$AH168," ")</f>
        <v xml:space="preserve"> </v>
      </c>
      <c r="AK168" s="26" t="str">
        <f>IFERROR($AC168*HDF_Limited_Col!AK168/HDF_Limited_Col!$AH168," ")</f>
        <v xml:space="preserve"> </v>
      </c>
      <c r="AL168" s="26" t="str">
        <f>IFERROR($AC168*HDF_Limited_Col!AL168/HDF_Limited_Col!$AH168," ")</f>
        <v xml:space="preserve"> </v>
      </c>
      <c r="AM168" s="26" t="str">
        <f>IFERROR($AC168*HDF_Limited_Col!AM168/HDF_Limited_Col!$AH168," ")</f>
        <v xml:space="preserve"> </v>
      </c>
      <c r="AN168" s="26" t="str">
        <f>IFERROR($AC168*HDF_Limited_Col!AN168/HDF_Limited_Col!$AH168," ")</f>
        <v xml:space="preserve"> </v>
      </c>
      <c r="AO168" s="26" t="str">
        <f>IFERROR($AC168*HDF_Limited_Col!AO168/HDF_Limited_Col!$AH168," ")</f>
        <v xml:space="preserve"> </v>
      </c>
      <c r="AP168" s="26" t="str">
        <f>IFERROR($AC168*HDF_Limited_Col!AP168/HDF_Limited_Col!$AH168," ")</f>
        <v xml:space="preserve"> </v>
      </c>
      <c r="AQ168" s="26" t="str">
        <f>IFERROR($AC168*HDF_Limited_Col!AQ168/HDF_Limited_Col!$AH168," ")</f>
        <v xml:space="preserve"> </v>
      </c>
      <c r="AR168" s="26" t="str">
        <f>IFERROR($AC168*HDF_Limited_Col!AR168/HDF_Limited_Col!$AH168," ")</f>
        <v xml:space="preserve"> </v>
      </c>
      <c r="AS168" s="26" t="str">
        <f>IFERROR($AC168*HDF_Limited_Col!AS168/HDF_Limited_Col!$AH168," ")</f>
        <v xml:space="preserve"> </v>
      </c>
      <c r="AT168" s="26" t="str">
        <f>IFERROR($AC168*HDF_Limited_Col!AT168/HDF_Limited_Col!$AH168," ")</f>
        <v xml:space="preserve"> </v>
      </c>
      <c r="AU168" s="26" t="str">
        <f>IFERROR($AC168*HDF_Limited_Col!AU168/HDF_Limited_Col!$AH168," ")</f>
        <v xml:space="preserve"> </v>
      </c>
      <c r="AV168" s="26" t="str">
        <f>IFERROR($AC168*HDF_Limited_Col!AV168/HDF_Limited_Col!$AH168," ")</f>
        <v xml:space="preserve"> </v>
      </c>
      <c r="AW168" s="26" t="str">
        <f>IFERROR($AC168*HDF_Limited_Col!AW168/HDF_Limited_Col!$AH168," ")</f>
        <v xml:space="preserve"> </v>
      </c>
      <c r="AX168" s="26" t="str">
        <f>IFERROR($AC168*HDF_Limited_Col!AX168/HDF_Limited_Col!$AH168," ")</f>
        <v xml:space="preserve"> </v>
      </c>
      <c r="AY168" s="26" t="str">
        <f>IFERROR($AC168*HDF_Limited_Col!AY168/HDF_Limited_Col!$AH168," ")</f>
        <v xml:space="preserve"> </v>
      </c>
      <c r="AZ168" s="26" t="str">
        <f>IFERROR($AC168*HDF_Limited_Col!AZ168/HDF_Limited_Col!$AH168," ")</f>
        <v xml:space="preserve"> </v>
      </c>
      <c r="BA168" s="26" t="str">
        <f>IFERROR($AC168*HDF_Limited_Col!BA168/HDF_Limited_Col!$AH168," ")</f>
        <v xml:space="preserve"> </v>
      </c>
      <c r="BB168" s="26" t="str">
        <f>IFERROR($AC168*HDF_Limited_Col!BB168/HDF_Limited_Col!$AH168," ")</f>
        <v xml:space="preserve"> </v>
      </c>
      <c r="BC168" s="26" t="str">
        <f>IFERROR($AC168*HDF_Limited_Col!BC168/HDF_Limited_Col!$AH168," ")</f>
        <v xml:space="preserve"> </v>
      </c>
      <c r="BD168" s="26" t="str">
        <f>IFERROR($AC168*HDF_Limited_Col!BD168/HDF_Limited_Col!$AH168," ")</f>
        <v xml:space="preserve"> </v>
      </c>
      <c r="BE168" s="26" t="str">
        <f>IFERROR($AC168*HDF_Limited_Col!BE168/HDF_Limited_Col!$AH168," ")</f>
        <v xml:space="preserve"> </v>
      </c>
      <c r="BF168" s="26" t="str">
        <f>IFERROR($AC168*HDF_Limited_Col!BF168/HDF_Limited_Col!$AH168," ")</f>
        <v xml:space="preserve"> </v>
      </c>
      <c r="BG168" s="26" t="str">
        <f>IFERROR($AC168*HDF_Limited_Col!BG168/HDF_Limited_Col!$AH168," ")</f>
        <v xml:space="preserve"> </v>
      </c>
      <c r="BH168" s="26" t="str">
        <f>IFERROR($AC168*HDF_Limited_Col!BH168/HDF_Limited_Col!$AH168," ")</f>
        <v xml:space="preserve"> </v>
      </c>
      <c r="BI168" s="26" t="str">
        <f>IFERROR($AC168*HDF_Limited_Col!BI168/HDF_Limited_Col!$AH168," ")</f>
        <v xml:space="preserve"> </v>
      </c>
      <c r="BJ168" s="26" t="str">
        <f>IFERROR($AC168*HDF_Limited_Col!BJ168/HDF_Limited_Col!$AH168," ")</f>
        <v xml:space="preserve"> </v>
      </c>
      <c r="BK168" s="26" t="str">
        <f>IFERROR($AC168*HDF_Limited_Col!BK168/HDF_Limited_Col!$AH168," ")</f>
        <v xml:space="preserve"> </v>
      </c>
      <c r="BL168" s="26" t="str">
        <f>IFERROR($AC168*HDF_Limited_Col!BL168/HDF_Limited_Col!$AH168," ")</f>
        <v xml:space="preserve"> </v>
      </c>
      <c r="BM168" s="26" t="str">
        <f>IFERROR($AC168*HDF_Limited_Col!BM168/HDF_Limited_Col!$AH168," ")</f>
        <v xml:space="preserve"> </v>
      </c>
      <c r="BN168" s="26" t="str">
        <f>IFERROR($AC168*HDF_Limited_Col!BN168/HDF_Limited_Col!$AH168," ")</f>
        <v xml:space="preserve"> </v>
      </c>
      <c r="BO168" s="26" t="str">
        <f>IFERROR($AC168*HDF_Limited_Col!BO168/HDF_Limited_Col!$AH168," ")</f>
        <v xml:space="preserve"> </v>
      </c>
      <c r="BP168" s="26" t="str">
        <f>IFERROR($AC168*HDF_Limited_Col!BP168/HDF_Limited_Col!$AH168," ")</f>
        <v xml:space="preserve"> </v>
      </c>
      <c r="BQ168" s="26" t="str">
        <f>IFERROR($AC168*HDF_Limited_Col!BQ168/HDF_Limited_Col!$AH168," ")</f>
        <v xml:space="preserve"> </v>
      </c>
      <c r="BR168" s="26" t="str">
        <f>IFERROR($AC168*HDF_Limited_Col!BR168/HDF_Limited_Col!$AH168," ")</f>
        <v xml:space="preserve"> </v>
      </c>
      <c r="BS168" s="26" t="str">
        <f>IFERROR($AC168*HDF_Limited_Col!BS168/HDF_Limited_Col!$AH168," ")</f>
        <v xml:space="preserve"> </v>
      </c>
      <c r="BT168" s="26" t="str">
        <f>IFERROR($AC168*HDF_Limited_Col!BT168/HDF_Limited_Col!$AH168," ")</f>
        <v xml:space="preserve"> </v>
      </c>
      <c r="BU168" s="26" t="str">
        <f>IFERROR($AC168*HDF_Limited_Col!BU168/HDF_Limited_Col!$AH168," ")</f>
        <v xml:space="preserve"> </v>
      </c>
      <c r="BV168" s="26" t="str">
        <f>IFERROR($AC168*HDF_Limited_Col!BV168/HDF_Limited_Col!$AH168," ")</f>
        <v xml:space="preserve"> </v>
      </c>
      <c r="BW168" s="26" t="str">
        <f>IFERROR($AC168*HDF_Limited_Col!BW168/HDF_Limited_Col!$AH168," ")</f>
        <v xml:space="preserve"> </v>
      </c>
      <c r="BX168" s="26" t="str">
        <f>IFERROR($AC168*HDF_Limited_Col!BX168/HDF_Limited_Col!$AH168," ")</f>
        <v xml:space="preserve"> </v>
      </c>
      <c r="BY168" s="26" t="str">
        <f>IFERROR($AC168*HDF_Limited_Col!BY168/HDF_Limited_Col!$AH168," ")</f>
        <v xml:space="preserve"> </v>
      </c>
      <c r="BZ168" s="26" t="str">
        <f>IFERROR($AC168*HDF_Limited_Col!BZ168/HDF_Limited_Col!$AH168," ")</f>
        <v xml:space="preserve"> </v>
      </c>
      <c r="CA168" s="26" t="str">
        <f>IFERROR($AC168*HDF_Limited_Col!CA168/HDF_Limited_Col!$AH168," ")</f>
        <v xml:space="preserve"> </v>
      </c>
      <c r="CB168" s="26" t="str">
        <f>IFERROR($AC168*HDF_Limited_Col!CB168/HDF_Limited_Col!$AH168," ")</f>
        <v xml:space="preserve"> </v>
      </c>
      <c r="CC168" s="26" t="str">
        <f>IFERROR($AC168*HDF_Limited_Col!CC168/HDF_Limited_Col!$AH168," ")</f>
        <v xml:space="preserve"> </v>
      </c>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row>
    <row r="169" spans="1:109">
      <c r="A169" s="26" t="s">
        <v>1162</v>
      </c>
      <c r="B169" s="26" t="s">
        <v>24</v>
      </c>
      <c r="C169" s="155" t="s">
        <v>546</v>
      </c>
      <c r="D169" s="26" t="s">
        <v>1429</v>
      </c>
      <c r="E169" s="26" t="s">
        <v>801</v>
      </c>
      <c r="F169" s="26" t="s">
        <v>800</v>
      </c>
      <c r="G169" s="26" t="s">
        <v>829</v>
      </c>
      <c r="H169" s="30"/>
      <c r="I169" s="26" t="s">
        <v>712</v>
      </c>
      <c r="J169" s="26"/>
      <c r="K169" s="26" t="s">
        <v>1169</v>
      </c>
      <c r="L169" s="26" t="s">
        <v>1428</v>
      </c>
      <c r="M169" s="26" t="s">
        <v>786</v>
      </c>
      <c r="N169" s="26">
        <v>15</v>
      </c>
      <c r="O169" s="95">
        <v>20.334666940920513</v>
      </c>
      <c r="P169" s="95">
        <v>1.7459057474527708</v>
      </c>
      <c r="Q169" s="95">
        <v>2.259407437880057</v>
      </c>
      <c r="R169" s="95">
        <v>4.826915890016485</v>
      </c>
      <c r="S169" s="95">
        <v>1.4378047331963997</v>
      </c>
      <c r="T169" s="95">
        <v>5.5458182566146847</v>
      </c>
      <c r="U169" s="95">
        <v>17.253656798356797</v>
      </c>
      <c r="V169" s="95">
        <v>4.5188148757601141</v>
      </c>
      <c r="W169" s="95">
        <v>22.285973364544194</v>
      </c>
      <c r="X169" s="95">
        <v>2.7729091283073424</v>
      </c>
      <c r="Y169" s="95">
        <v>21.977872350287821</v>
      </c>
      <c r="Z169" s="95">
        <v>104.95974552333719</v>
      </c>
      <c r="AA169" s="26"/>
      <c r="AB169" s="26"/>
      <c r="AC169" s="26">
        <f t="shared" si="3"/>
        <v>185004.17861686004</v>
      </c>
      <c r="AD169" s="26" t="str">
        <f>IFERROR($AC169*HDF_Limited_Col!AD169/HDF_Limited_Col!$AH169," ")</f>
        <v xml:space="preserve"> </v>
      </c>
      <c r="AE169" s="26" t="str">
        <f>IFERROR($AC169*HDF_Limited_Col!AE169/HDF_Limited_Col!$AH169," ")</f>
        <v xml:space="preserve"> </v>
      </c>
      <c r="AF169" s="26" t="str">
        <f>IFERROR($AC169*HDF_Limited_Col!AF169/HDF_Limited_Col!$AH169," ")</f>
        <v xml:space="preserve"> </v>
      </c>
      <c r="AG169" s="26" t="str">
        <f>IFERROR($AC169*HDF_Limited_Col!AG169/HDF_Limited_Col!$AH169," ")</f>
        <v xml:space="preserve"> </v>
      </c>
      <c r="AH169" s="26" t="str">
        <f>IFERROR($AC169*HDF_Limited_Col!AH169/HDF_Limited_Col!$AH169," ")</f>
        <v xml:space="preserve"> </v>
      </c>
      <c r="AI169" s="26" t="str">
        <f>IFERROR($AC169*HDF_Limited_Col!AI169/HDF_Limited_Col!$AH169," ")</f>
        <v xml:space="preserve"> </v>
      </c>
      <c r="AJ169" s="26" t="str">
        <f>IFERROR($AC169*HDF_Limited_Col!AJ169/HDF_Limited_Col!$AH169," ")</f>
        <v xml:space="preserve"> </v>
      </c>
      <c r="AK169" s="26" t="str">
        <f>IFERROR($AC169*HDF_Limited_Col!AK169/HDF_Limited_Col!$AH169," ")</f>
        <v xml:space="preserve"> </v>
      </c>
      <c r="AL169" s="26" t="str">
        <f>IFERROR($AC169*HDF_Limited_Col!AL169/HDF_Limited_Col!$AH169," ")</f>
        <v xml:space="preserve"> </v>
      </c>
      <c r="AM169" s="26" t="str">
        <f>IFERROR($AC169*HDF_Limited_Col!AM169/HDF_Limited_Col!$AH169," ")</f>
        <v xml:space="preserve"> </v>
      </c>
      <c r="AN169" s="26" t="str">
        <f>IFERROR($AC169*HDF_Limited_Col!AN169/HDF_Limited_Col!$AH169," ")</f>
        <v xml:space="preserve"> </v>
      </c>
      <c r="AO169" s="26" t="str">
        <f>IFERROR($AC169*HDF_Limited_Col!AO169/HDF_Limited_Col!$AH169," ")</f>
        <v xml:space="preserve"> </v>
      </c>
      <c r="AP169" s="26" t="str">
        <f>IFERROR($AC169*HDF_Limited_Col!AP169/HDF_Limited_Col!$AH169," ")</f>
        <v xml:space="preserve"> </v>
      </c>
      <c r="AQ169" s="26" t="str">
        <f>IFERROR($AC169*HDF_Limited_Col!AQ169/HDF_Limited_Col!$AH169," ")</f>
        <v xml:space="preserve"> </v>
      </c>
      <c r="AR169" s="26" t="str">
        <f>IFERROR($AC169*HDF_Limited_Col!AR169/HDF_Limited_Col!$AH169," ")</f>
        <v xml:space="preserve"> </v>
      </c>
      <c r="AS169" s="26" t="str">
        <f>IFERROR($AC169*HDF_Limited_Col!AS169/HDF_Limited_Col!$AH169," ")</f>
        <v xml:space="preserve"> </v>
      </c>
      <c r="AT169" s="26" t="str">
        <f>IFERROR($AC169*HDF_Limited_Col!AT169/HDF_Limited_Col!$AH169," ")</f>
        <v xml:space="preserve"> </v>
      </c>
      <c r="AU169" s="26" t="str">
        <f>IFERROR($AC169*HDF_Limited_Col!AU169/HDF_Limited_Col!$AH169," ")</f>
        <v xml:space="preserve"> </v>
      </c>
      <c r="AV169" s="26" t="str">
        <f>IFERROR($AC169*HDF_Limited_Col!AV169/HDF_Limited_Col!$AH169," ")</f>
        <v xml:space="preserve"> </v>
      </c>
      <c r="AW169" s="26" t="str">
        <f>IFERROR($AC169*HDF_Limited_Col!AW169/HDF_Limited_Col!$AH169," ")</f>
        <v xml:space="preserve"> </v>
      </c>
      <c r="AX169" s="26" t="str">
        <f>IFERROR($AC169*HDF_Limited_Col!AX169/HDF_Limited_Col!$AH169," ")</f>
        <v xml:space="preserve"> </v>
      </c>
      <c r="AY169" s="26" t="str">
        <f>IFERROR($AC169*HDF_Limited_Col!AY169/HDF_Limited_Col!$AH169," ")</f>
        <v xml:space="preserve"> </v>
      </c>
      <c r="AZ169" s="26" t="str">
        <f>IFERROR($AC169*HDF_Limited_Col!AZ169/HDF_Limited_Col!$AH169," ")</f>
        <v xml:space="preserve"> </v>
      </c>
      <c r="BA169" s="26" t="str">
        <f>IFERROR($AC169*HDF_Limited_Col!BA169/HDF_Limited_Col!$AH169," ")</f>
        <v xml:space="preserve"> </v>
      </c>
      <c r="BB169" s="26" t="str">
        <f>IFERROR($AC169*HDF_Limited_Col!BB169/HDF_Limited_Col!$AH169," ")</f>
        <v xml:space="preserve"> </v>
      </c>
      <c r="BC169" s="26" t="str">
        <f>IFERROR($AC169*HDF_Limited_Col!BC169/HDF_Limited_Col!$AH169," ")</f>
        <v xml:space="preserve"> </v>
      </c>
      <c r="BD169" s="26" t="str">
        <f>IFERROR($AC169*HDF_Limited_Col!BD169/HDF_Limited_Col!$AH169," ")</f>
        <v xml:space="preserve"> </v>
      </c>
      <c r="BE169" s="26" t="str">
        <f>IFERROR($AC169*HDF_Limited_Col!BE169/HDF_Limited_Col!$AH169," ")</f>
        <v xml:space="preserve"> </v>
      </c>
      <c r="BF169" s="26" t="str">
        <f>IFERROR($AC169*HDF_Limited_Col!BF169/HDF_Limited_Col!$AH169," ")</f>
        <v xml:space="preserve"> </v>
      </c>
      <c r="BG169" s="26" t="str">
        <f>IFERROR($AC169*HDF_Limited_Col!BG169/HDF_Limited_Col!$AH169," ")</f>
        <v xml:space="preserve"> </v>
      </c>
      <c r="BH169" s="26" t="str">
        <f>IFERROR($AC169*HDF_Limited_Col!BH169/HDF_Limited_Col!$AH169," ")</f>
        <v xml:space="preserve"> </v>
      </c>
      <c r="BI169" s="26" t="str">
        <f>IFERROR($AC169*HDF_Limited_Col!BI169/HDF_Limited_Col!$AH169," ")</f>
        <v xml:space="preserve"> </v>
      </c>
      <c r="BJ169" s="26" t="str">
        <f>IFERROR($AC169*HDF_Limited_Col!BJ169/HDF_Limited_Col!$AH169," ")</f>
        <v xml:space="preserve"> </v>
      </c>
      <c r="BK169" s="26" t="str">
        <f>IFERROR($AC169*HDF_Limited_Col!BK169/HDF_Limited_Col!$AH169," ")</f>
        <v xml:space="preserve"> </v>
      </c>
      <c r="BL169" s="26" t="str">
        <f>IFERROR($AC169*HDF_Limited_Col!BL169/HDF_Limited_Col!$AH169," ")</f>
        <v xml:space="preserve"> </v>
      </c>
      <c r="BM169" s="26" t="str">
        <f>IFERROR($AC169*HDF_Limited_Col!BM169/HDF_Limited_Col!$AH169," ")</f>
        <v xml:space="preserve"> </v>
      </c>
      <c r="BN169" s="26" t="str">
        <f>IFERROR($AC169*HDF_Limited_Col!BN169/HDF_Limited_Col!$AH169," ")</f>
        <v xml:space="preserve"> </v>
      </c>
      <c r="BO169" s="26" t="str">
        <f>IFERROR($AC169*HDF_Limited_Col!BO169/HDF_Limited_Col!$AH169," ")</f>
        <v xml:space="preserve"> </v>
      </c>
      <c r="BP169" s="26" t="str">
        <f>IFERROR($AC169*HDF_Limited_Col!BP169/HDF_Limited_Col!$AH169," ")</f>
        <v xml:space="preserve"> </v>
      </c>
      <c r="BQ169" s="26" t="str">
        <f>IFERROR($AC169*HDF_Limited_Col!BQ169/HDF_Limited_Col!$AH169," ")</f>
        <v xml:space="preserve"> </v>
      </c>
      <c r="BR169" s="26" t="str">
        <f>IFERROR($AC169*HDF_Limited_Col!BR169/HDF_Limited_Col!$AH169," ")</f>
        <v xml:space="preserve"> </v>
      </c>
      <c r="BS169" s="26" t="str">
        <f>IFERROR($AC169*HDF_Limited_Col!BS169/HDF_Limited_Col!$AH169," ")</f>
        <v xml:space="preserve"> </v>
      </c>
      <c r="BT169" s="26" t="str">
        <f>IFERROR($AC169*HDF_Limited_Col!BT169/HDF_Limited_Col!$AH169," ")</f>
        <v xml:space="preserve"> </v>
      </c>
      <c r="BU169" s="26" t="str">
        <f>IFERROR($AC169*HDF_Limited_Col!BU169/HDF_Limited_Col!$AH169," ")</f>
        <v xml:space="preserve"> </v>
      </c>
      <c r="BV169" s="26" t="str">
        <f>IFERROR($AC169*HDF_Limited_Col!BV169/HDF_Limited_Col!$AH169," ")</f>
        <v xml:space="preserve"> </v>
      </c>
      <c r="BW169" s="26" t="str">
        <f>IFERROR($AC169*HDF_Limited_Col!BW169/HDF_Limited_Col!$AH169," ")</f>
        <v xml:space="preserve"> </v>
      </c>
      <c r="BX169" s="26" t="str">
        <f>IFERROR($AC169*HDF_Limited_Col!BX169/HDF_Limited_Col!$AH169," ")</f>
        <v xml:space="preserve"> </v>
      </c>
      <c r="BY169" s="26" t="str">
        <f>IFERROR($AC169*HDF_Limited_Col!BY169/HDF_Limited_Col!$AH169," ")</f>
        <v xml:space="preserve"> </v>
      </c>
      <c r="BZ169" s="26" t="str">
        <f>IFERROR($AC169*HDF_Limited_Col!BZ169/HDF_Limited_Col!$AH169," ")</f>
        <v xml:space="preserve"> </v>
      </c>
      <c r="CA169" s="26" t="str">
        <f>IFERROR($AC169*HDF_Limited_Col!CA169/HDF_Limited_Col!$AH169," ")</f>
        <v xml:space="preserve"> </v>
      </c>
      <c r="CB169" s="26" t="str">
        <f>IFERROR($AC169*HDF_Limited_Col!CB169/HDF_Limited_Col!$AH169," ")</f>
        <v xml:space="preserve"> </v>
      </c>
      <c r="CC169" s="26" t="str">
        <f>IFERROR($AC169*HDF_Limited_Col!CC169/HDF_Limited_Col!$AH169," ")</f>
        <v xml:space="preserve"> </v>
      </c>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row>
    <row r="170" spans="1:109">
      <c r="A170" s="53" t="s">
        <v>1651</v>
      </c>
      <c r="B170" s="53" t="s">
        <v>24</v>
      </c>
      <c r="C170" s="155" t="s">
        <v>546</v>
      </c>
      <c r="D170" s="53" t="s">
        <v>119</v>
      </c>
      <c r="E170" s="53" t="s">
        <v>1394</v>
      </c>
      <c r="F170" s="53" t="s">
        <v>1628</v>
      </c>
      <c r="G170" s="53" t="s">
        <v>595</v>
      </c>
      <c r="H170" s="52">
        <v>132</v>
      </c>
      <c r="I170" s="53" t="s">
        <v>735</v>
      </c>
      <c r="J170" s="53"/>
      <c r="K170" s="53" t="s">
        <v>1276</v>
      </c>
      <c r="L170" s="53"/>
      <c r="M170" s="53" t="s">
        <v>1631</v>
      </c>
      <c r="N170" s="53">
        <v>14</v>
      </c>
      <c r="O170" s="95">
        <v>0.90042036550208926</v>
      </c>
      <c r="P170" s="95">
        <v>0.90042036550208926</v>
      </c>
      <c r="Q170" s="95">
        <v>0.50023353639004953</v>
      </c>
      <c r="R170" s="95">
        <v>21.510042064772129</v>
      </c>
      <c r="S170" s="95">
        <v>2.1009808528382083</v>
      </c>
      <c r="T170" s="95">
        <v>6.5030359730706433</v>
      </c>
      <c r="U170" s="95">
        <v>1.4006539018921385</v>
      </c>
      <c r="V170" s="95">
        <v>16.207566579037604</v>
      </c>
      <c r="W170" s="95">
        <v>19.909294748323969</v>
      </c>
      <c r="X170" s="95">
        <v>2.1009808528382083</v>
      </c>
      <c r="Y170" s="95">
        <v>36.116861327361576</v>
      </c>
      <c r="Z170" s="95">
        <v>108.15049056752871</v>
      </c>
      <c r="AA170" s="53"/>
      <c r="AB170" s="53"/>
      <c r="AC170" s="26">
        <f t="shared" si="3"/>
        <v>165274.4828105458</v>
      </c>
      <c r="AD170" s="26" t="str">
        <f>IFERROR($AC170*HDF_Limited_Col!AD170/HDF_Limited_Col!$AH170," ")</f>
        <v xml:space="preserve"> </v>
      </c>
      <c r="AE170" s="26" t="str">
        <f>IFERROR($AC170*HDF_Limited_Col!AE170/HDF_Limited_Col!$AH170," ")</f>
        <v xml:space="preserve"> </v>
      </c>
      <c r="AF170" s="26" t="str">
        <f>IFERROR($AC170*HDF_Limited_Col!AF170/HDF_Limited_Col!$AH170," ")</f>
        <v xml:space="preserve"> </v>
      </c>
      <c r="AG170" s="26" t="str">
        <f>IFERROR($AC170*HDF_Limited_Col!AG170/HDF_Limited_Col!$AH170," ")</f>
        <v xml:space="preserve"> </v>
      </c>
      <c r="AH170" s="26" t="str">
        <f>IFERROR($AC170*HDF_Limited_Col!AH170/HDF_Limited_Col!$AH170," ")</f>
        <v xml:space="preserve"> </v>
      </c>
      <c r="AI170" s="26" t="str">
        <f>IFERROR($AC170*HDF_Limited_Col!AI170/HDF_Limited_Col!$AH170," ")</f>
        <v xml:space="preserve"> </v>
      </c>
      <c r="AJ170" s="26" t="str">
        <f>IFERROR($AC170*HDF_Limited_Col!AJ170/HDF_Limited_Col!$AH170," ")</f>
        <v xml:space="preserve"> </v>
      </c>
      <c r="AK170" s="26" t="str">
        <f>IFERROR($AC170*HDF_Limited_Col!AK170/HDF_Limited_Col!$AH170," ")</f>
        <v xml:space="preserve"> </v>
      </c>
      <c r="AL170" s="26" t="str">
        <f>IFERROR($AC170*HDF_Limited_Col!AL170/HDF_Limited_Col!$AH170," ")</f>
        <v xml:space="preserve"> </v>
      </c>
      <c r="AM170" s="26" t="str">
        <f>IFERROR($AC170*HDF_Limited_Col!AM170/HDF_Limited_Col!$AH170," ")</f>
        <v xml:space="preserve"> </v>
      </c>
      <c r="AN170" s="26" t="str">
        <f>IFERROR($AC170*HDF_Limited_Col!AN170/HDF_Limited_Col!$AH170," ")</f>
        <v xml:space="preserve"> </v>
      </c>
      <c r="AO170" s="26" t="str">
        <f>IFERROR($AC170*HDF_Limited_Col!AO170/HDF_Limited_Col!$AH170," ")</f>
        <v xml:space="preserve"> </v>
      </c>
      <c r="AP170" s="26" t="str">
        <f>IFERROR($AC170*HDF_Limited_Col!AP170/HDF_Limited_Col!$AH170," ")</f>
        <v xml:space="preserve"> </v>
      </c>
      <c r="AQ170" s="26" t="str">
        <f>IFERROR($AC170*HDF_Limited_Col!AQ170/HDF_Limited_Col!$AH170," ")</f>
        <v xml:space="preserve"> </v>
      </c>
      <c r="AR170" s="26" t="str">
        <f>IFERROR($AC170*HDF_Limited_Col!AR170/HDF_Limited_Col!$AH170," ")</f>
        <v xml:space="preserve"> </v>
      </c>
      <c r="AS170" s="26" t="str">
        <f>IFERROR($AC170*HDF_Limited_Col!AS170/HDF_Limited_Col!$AH170," ")</f>
        <v xml:space="preserve"> </v>
      </c>
      <c r="AT170" s="26" t="str">
        <f>IFERROR($AC170*HDF_Limited_Col!AT170/HDF_Limited_Col!$AH170," ")</f>
        <v xml:space="preserve"> </v>
      </c>
      <c r="AU170" s="26" t="str">
        <f>IFERROR($AC170*HDF_Limited_Col!AU170/HDF_Limited_Col!$AH170," ")</f>
        <v xml:space="preserve"> </v>
      </c>
      <c r="AV170" s="26" t="str">
        <f>IFERROR($AC170*HDF_Limited_Col!AV170/HDF_Limited_Col!$AH170," ")</f>
        <v xml:space="preserve"> </v>
      </c>
      <c r="AW170" s="26" t="str">
        <f>IFERROR($AC170*HDF_Limited_Col!AW170/HDF_Limited_Col!$AH170," ")</f>
        <v xml:space="preserve"> </v>
      </c>
      <c r="AX170" s="26" t="str">
        <f>IFERROR($AC170*HDF_Limited_Col!AX170/HDF_Limited_Col!$AH170," ")</f>
        <v xml:space="preserve"> </v>
      </c>
      <c r="AY170" s="26" t="str">
        <f>IFERROR($AC170*HDF_Limited_Col!AY170/HDF_Limited_Col!$AH170," ")</f>
        <v xml:space="preserve"> </v>
      </c>
      <c r="AZ170" s="26" t="str">
        <f>IFERROR($AC170*HDF_Limited_Col!AZ170/HDF_Limited_Col!$AH170," ")</f>
        <v xml:space="preserve"> </v>
      </c>
      <c r="BA170" s="26" t="str">
        <f>IFERROR($AC170*HDF_Limited_Col!BA170/HDF_Limited_Col!$AH170," ")</f>
        <v xml:space="preserve"> </v>
      </c>
      <c r="BB170" s="26" t="str">
        <f>IFERROR($AC170*HDF_Limited_Col!BB170/HDF_Limited_Col!$AH170," ")</f>
        <v xml:space="preserve"> </v>
      </c>
      <c r="BC170" s="26" t="str">
        <f>IFERROR($AC170*HDF_Limited_Col!BC170/HDF_Limited_Col!$AH170," ")</f>
        <v xml:space="preserve"> </v>
      </c>
      <c r="BD170" s="26" t="str">
        <f>IFERROR($AC170*HDF_Limited_Col!BD170/HDF_Limited_Col!$AH170," ")</f>
        <v xml:space="preserve"> </v>
      </c>
      <c r="BE170" s="26" t="str">
        <f>IFERROR($AC170*HDF_Limited_Col!BE170/HDF_Limited_Col!$AH170," ")</f>
        <v xml:space="preserve"> </v>
      </c>
      <c r="BF170" s="26" t="str">
        <f>IFERROR($AC170*HDF_Limited_Col!BF170/HDF_Limited_Col!$AH170," ")</f>
        <v xml:space="preserve"> </v>
      </c>
      <c r="BG170" s="26" t="str">
        <f>IFERROR($AC170*HDF_Limited_Col!BG170/HDF_Limited_Col!$AH170," ")</f>
        <v xml:space="preserve"> </v>
      </c>
      <c r="BH170" s="26" t="str">
        <f>IFERROR($AC170*HDF_Limited_Col!BH170/HDF_Limited_Col!$AH170," ")</f>
        <v xml:space="preserve"> </v>
      </c>
      <c r="BI170" s="26" t="str">
        <f>IFERROR($AC170*HDF_Limited_Col!BI170/HDF_Limited_Col!$AH170," ")</f>
        <v xml:space="preserve"> </v>
      </c>
      <c r="BJ170" s="26" t="str">
        <f>IFERROR($AC170*HDF_Limited_Col!BJ170/HDF_Limited_Col!$AH170," ")</f>
        <v xml:space="preserve"> </v>
      </c>
      <c r="BK170" s="26" t="str">
        <f>IFERROR($AC170*HDF_Limited_Col!BK170/HDF_Limited_Col!$AH170," ")</f>
        <v xml:space="preserve"> </v>
      </c>
      <c r="BL170" s="26" t="str">
        <f>IFERROR($AC170*HDF_Limited_Col!BL170/HDF_Limited_Col!$AH170," ")</f>
        <v xml:space="preserve"> </v>
      </c>
      <c r="BM170" s="26" t="str">
        <f>IFERROR($AC170*HDF_Limited_Col!BM170/HDF_Limited_Col!$AH170," ")</f>
        <v xml:space="preserve"> </v>
      </c>
      <c r="BN170" s="26" t="str">
        <f>IFERROR($AC170*HDF_Limited_Col!BN170/HDF_Limited_Col!$AH170," ")</f>
        <v xml:space="preserve"> </v>
      </c>
      <c r="BO170" s="26" t="str">
        <f>IFERROR($AC170*HDF_Limited_Col!BO170/HDF_Limited_Col!$AH170," ")</f>
        <v xml:space="preserve"> </v>
      </c>
      <c r="BP170" s="26" t="str">
        <f>IFERROR($AC170*HDF_Limited_Col!BP170/HDF_Limited_Col!$AH170," ")</f>
        <v xml:space="preserve"> </v>
      </c>
      <c r="BQ170" s="26" t="str">
        <f>IFERROR($AC170*HDF_Limited_Col!BQ170/HDF_Limited_Col!$AH170," ")</f>
        <v xml:space="preserve"> </v>
      </c>
      <c r="BR170" s="26" t="str">
        <f>IFERROR($AC170*HDF_Limited_Col!BR170/HDF_Limited_Col!$AH170," ")</f>
        <v xml:space="preserve"> </v>
      </c>
      <c r="BS170" s="26" t="str">
        <f>IFERROR($AC170*HDF_Limited_Col!BS170/HDF_Limited_Col!$AH170," ")</f>
        <v xml:space="preserve"> </v>
      </c>
      <c r="BT170" s="26" t="str">
        <f>IFERROR($AC170*HDF_Limited_Col!BT170/HDF_Limited_Col!$AH170," ")</f>
        <v xml:space="preserve"> </v>
      </c>
      <c r="BU170" s="26" t="str">
        <f>IFERROR($AC170*HDF_Limited_Col!BU170/HDF_Limited_Col!$AH170," ")</f>
        <v xml:space="preserve"> </v>
      </c>
      <c r="BV170" s="26" t="str">
        <f>IFERROR($AC170*HDF_Limited_Col!BV170/HDF_Limited_Col!$AH170," ")</f>
        <v xml:space="preserve"> </v>
      </c>
      <c r="BW170" s="26" t="str">
        <f>IFERROR($AC170*HDF_Limited_Col!BW170/HDF_Limited_Col!$AH170," ")</f>
        <v xml:space="preserve"> </v>
      </c>
      <c r="BX170" s="26" t="str">
        <f>IFERROR($AC170*HDF_Limited_Col!BX170/HDF_Limited_Col!$AH170," ")</f>
        <v xml:space="preserve"> </v>
      </c>
      <c r="BY170" s="26" t="str">
        <f>IFERROR($AC170*HDF_Limited_Col!BY170/HDF_Limited_Col!$AH170," ")</f>
        <v xml:space="preserve"> </v>
      </c>
      <c r="BZ170" s="26" t="str">
        <f>IFERROR($AC170*HDF_Limited_Col!BZ170/HDF_Limited_Col!$AH170," ")</f>
        <v xml:space="preserve"> </v>
      </c>
      <c r="CA170" s="26" t="str">
        <f>IFERROR($AC170*HDF_Limited_Col!CA170/HDF_Limited_Col!$AH170," ")</f>
        <v xml:space="preserve"> </v>
      </c>
      <c r="CB170" s="26" t="str">
        <f>IFERROR($AC170*HDF_Limited_Col!CB170/HDF_Limited_Col!$AH170," ")</f>
        <v xml:space="preserve"> </v>
      </c>
      <c r="CC170" s="26" t="str">
        <f>IFERROR($AC170*HDF_Limited_Col!CC170/HDF_Limited_Col!$AH170," ")</f>
        <v xml:space="preserve"> </v>
      </c>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row>
    <row r="171" spans="1:109">
      <c r="A171" s="53" t="s">
        <v>1651</v>
      </c>
      <c r="B171" s="53" t="s">
        <v>24</v>
      </c>
      <c r="C171" s="155" t="s">
        <v>546</v>
      </c>
      <c r="D171" s="53" t="s">
        <v>119</v>
      </c>
      <c r="E171" s="53" t="s">
        <v>1394</v>
      </c>
      <c r="F171" s="53" t="s">
        <v>1628</v>
      </c>
      <c r="G171" s="53" t="s">
        <v>595</v>
      </c>
      <c r="H171" s="52">
        <v>132</v>
      </c>
      <c r="I171" s="53" t="s">
        <v>735</v>
      </c>
      <c r="J171" s="53"/>
      <c r="K171" s="53" t="s">
        <v>1276</v>
      </c>
      <c r="L171" s="53"/>
      <c r="M171" s="53" t="s">
        <v>1632</v>
      </c>
      <c r="N171" s="53">
        <v>38</v>
      </c>
      <c r="O171" s="95">
        <v>0.69917262928635937</v>
      </c>
      <c r="P171" s="95">
        <v>0.2996454125512969</v>
      </c>
      <c r="Q171" s="95">
        <v>0.39952721673506247</v>
      </c>
      <c r="R171" s="95">
        <v>19.776597228385594</v>
      </c>
      <c r="S171" s="95">
        <v>1.3983452585727187</v>
      </c>
      <c r="T171" s="95">
        <v>4.7943266008207504</v>
      </c>
      <c r="U171" s="95">
        <v>0.59929082510259379</v>
      </c>
      <c r="V171" s="95">
        <v>20.375888053488186</v>
      </c>
      <c r="W171" s="95">
        <v>19.277188207466768</v>
      </c>
      <c r="X171" s="95">
        <v>1.5981088669402499</v>
      </c>
      <c r="Y171" s="95">
        <v>39.752958065138714</v>
      </c>
      <c r="Z171" s="95">
        <v>108.97104836448828</v>
      </c>
      <c r="AA171" s="53"/>
      <c r="AB171" s="53"/>
      <c r="AC171" s="26">
        <f t="shared" si="3"/>
        <v>160027.13060937697</v>
      </c>
      <c r="AD171" s="26" t="str">
        <f>IFERROR($AC171*HDF_Limited_Col!AD171/HDF_Limited_Col!$AH171," ")</f>
        <v xml:space="preserve"> </v>
      </c>
      <c r="AE171" s="26" t="str">
        <f>IFERROR($AC171*HDF_Limited_Col!AE171/HDF_Limited_Col!$AH171," ")</f>
        <v xml:space="preserve"> </v>
      </c>
      <c r="AF171" s="26" t="str">
        <f>IFERROR($AC171*HDF_Limited_Col!AF171/HDF_Limited_Col!$AH171," ")</f>
        <v xml:space="preserve"> </v>
      </c>
      <c r="AG171" s="26" t="str">
        <f>IFERROR($AC171*HDF_Limited_Col!AG171/HDF_Limited_Col!$AH171," ")</f>
        <v xml:space="preserve"> </v>
      </c>
      <c r="AH171" s="26" t="str">
        <f>IFERROR($AC171*HDF_Limited_Col!AH171/HDF_Limited_Col!$AH171," ")</f>
        <v xml:space="preserve"> </v>
      </c>
      <c r="AI171" s="26" t="str">
        <f>IFERROR($AC171*HDF_Limited_Col!AI171/HDF_Limited_Col!$AH171," ")</f>
        <v xml:space="preserve"> </v>
      </c>
      <c r="AJ171" s="26" t="str">
        <f>IFERROR($AC171*HDF_Limited_Col!AJ171/HDF_Limited_Col!$AH171," ")</f>
        <v xml:space="preserve"> </v>
      </c>
      <c r="AK171" s="26" t="str">
        <f>IFERROR($AC171*HDF_Limited_Col!AK171/HDF_Limited_Col!$AH171," ")</f>
        <v xml:space="preserve"> </v>
      </c>
      <c r="AL171" s="26" t="str">
        <f>IFERROR($AC171*HDF_Limited_Col!AL171/HDF_Limited_Col!$AH171," ")</f>
        <v xml:space="preserve"> </v>
      </c>
      <c r="AM171" s="26" t="str">
        <f>IFERROR($AC171*HDF_Limited_Col!AM171/HDF_Limited_Col!$AH171," ")</f>
        <v xml:space="preserve"> </v>
      </c>
      <c r="AN171" s="26" t="str">
        <f>IFERROR($AC171*HDF_Limited_Col!AN171/HDF_Limited_Col!$AH171," ")</f>
        <v xml:space="preserve"> </v>
      </c>
      <c r="AO171" s="26" t="str">
        <f>IFERROR($AC171*HDF_Limited_Col!AO171/HDF_Limited_Col!$AH171," ")</f>
        <v xml:space="preserve"> </v>
      </c>
      <c r="AP171" s="26" t="str">
        <f>IFERROR($AC171*HDF_Limited_Col!AP171/HDF_Limited_Col!$AH171," ")</f>
        <v xml:space="preserve"> </v>
      </c>
      <c r="AQ171" s="26" t="str">
        <f>IFERROR($AC171*HDF_Limited_Col!AQ171/HDF_Limited_Col!$AH171," ")</f>
        <v xml:space="preserve"> </v>
      </c>
      <c r="AR171" s="26" t="str">
        <f>IFERROR($AC171*HDF_Limited_Col!AR171/HDF_Limited_Col!$AH171," ")</f>
        <v xml:space="preserve"> </v>
      </c>
      <c r="AS171" s="26" t="str">
        <f>IFERROR($AC171*HDF_Limited_Col!AS171/HDF_Limited_Col!$AH171," ")</f>
        <v xml:space="preserve"> </v>
      </c>
      <c r="AT171" s="26" t="str">
        <f>IFERROR($AC171*HDF_Limited_Col!AT171/HDF_Limited_Col!$AH171," ")</f>
        <v xml:space="preserve"> </v>
      </c>
      <c r="AU171" s="26" t="str">
        <f>IFERROR($AC171*HDF_Limited_Col!AU171/HDF_Limited_Col!$AH171," ")</f>
        <v xml:space="preserve"> </v>
      </c>
      <c r="AV171" s="26" t="str">
        <f>IFERROR($AC171*HDF_Limited_Col!AV171/HDF_Limited_Col!$AH171," ")</f>
        <v xml:space="preserve"> </v>
      </c>
      <c r="AW171" s="26" t="str">
        <f>IFERROR($AC171*HDF_Limited_Col!AW171/HDF_Limited_Col!$AH171," ")</f>
        <v xml:space="preserve"> </v>
      </c>
      <c r="AX171" s="26" t="str">
        <f>IFERROR($AC171*HDF_Limited_Col!AX171/HDF_Limited_Col!$AH171," ")</f>
        <v xml:space="preserve"> </v>
      </c>
      <c r="AY171" s="26" t="str">
        <f>IFERROR($AC171*HDF_Limited_Col!AY171/HDF_Limited_Col!$AH171," ")</f>
        <v xml:space="preserve"> </v>
      </c>
      <c r="AZ171" s="26" t="str">
        <f>IFERROR($AC171*HDF_Limited_Col!AZ171/HDF_Limited_Col!$AH171," ")</f>
        <v xml:space="preserve"> </v>
      </c>
      <c r="BA171" s="26" t="str">
        <f>IFERROR($AC171*HDF_Limited_Col!BA171/HDF_Limited_Col!$AH171," ")</f>
        <v xml:space="preserve"> </v>
      </c>
      <c r="BB171" s="26" t="str">
        <f>IFERROR($AC171*HDF_Limited_Col!BB171/HDF_Limited_Col!$AH171," ")</f>
        <v xml:space="preserve"> </v>
      </c>
      <c r="BC171" s="26" t="str">
        <f>IFERROR($AC171*HDF_Limited_Col!BC171/HDF_Limited_Col!$AH171," ")</f>
        <v xml:space="preserve"> </v>
      </c>
      <c r="BD171" s="26" t="str">
        <f>IFERROR($AC171*HDF_Limited_Col!BD171/HDF_Limited_Col!$AH171," ")</f>
        <v xml:space="preserve"> </v>
      </c>
      <c r="BE171" s="26" t="str">
        <f>IFERROR($AC171*HDF_Limited_Col!BE171/HDF_Limited_Col!$AH171," ")</f>
        <v xml:space="preserve"> </v>
      </c>
      <c r="BF171" s="26" t="str">
        <f>IFERROR($AC171*HDF_Limited_Col!BF171/HDF_Limited_Col!$AH171," ")</f>
        <v xml:space="preserve"> </v>
      </c>
      <c r="BG171" s="26" t="str">
        <f>IFERROR($AC171*HDF_Limited_Col!BG171/HDF_Limited_Col!$AH171," ")</f>
        <v xml:space="preserve"> </v>
      </c>
      <c r="BH171" s="26" t="str">
        <f>IFERROR($AC171*HDF_Limited_Col!BH171/HDF_Limited_Col!$AH171," ")</f>
        <v xml:space="preserve"> </v>
      </c>
      <c r="BI171" s="26" t="str">
        <f>IFERROR($AC171*HDF_Limited_Col!BI171/HDF_Limited_Col!$AH171," ")</f>
        <v xml:space="preserve"> </v>
      </c>
      <c r="BJ171" s="26" t="str">
        <f>IFERROR($AC171*HDF_Limited_Col!BJ171/HDF_Limited_Col!$AH171," ")</f>
        <v xml:space="preserve"> </v>
      </c>
      <c r="BK171" s="26" t="str">
        <f>IFERROR($AC171*HDF_Limited_Col!BK171/HDF_Limited_Col!$AH171," ")</f>
        <v xml:space="preserve"> </v>
      </c>
      <c r="BL171" s="26" t="str">
        <f>IFERROR($AC171*HDF_Limited_Col!BL171/HDF_Limited_Col!$AH171," ")</f>
        <v xml:space="preserve"> </v>
      </c>
      <c r="BM171" s="26" t="str">
        <f>IFERROR($AC171*HDF_Limited_Col!BM171/HDF_Limited_Col!$AH171," ")</f>
        <v xml:space="preserve"> </v>
      </c>
      <c r="BN171" s="26" t="str">
        <f>IFERROR($AC171*HDF_Limited_Col!BN171/HDF_Limited_Col!$AH171," ")</f>
        <v xml:space="preserve"> </v>
      </c>
      <c r="BO171" s="26" t="str">
        <f>IFERROR($AC171*HDF_Limited_Col!BO171/HDF_Limited_Col!$AH171," ")</f>
        <v xml:space="preserve"> </v>
      </c>
      <c r="BP171" s="26" t="str">
        <f>IFERROR($AC171*HDF_Limited_Col!BP171/HDF_Limited_Col!$AH171," ")</f>
        <v xml:space="preserve"> </v>
      </c>
      <c r="BQ171" s="26" t="str">
        <f>IFERROR($AC171*HDF_Limited_Col!BQ171/HDF_Limited_Col!$AH171," ")</f>
        <v xml:space="preserve"> </v>
      </c>
      <c r="BR171" s="26" t="str">
        <f>IFERROR($AC171*HDF_Limited_Col!BR171/HDF_Limited_Col!$AH171," ")</f>
        <v xml:space="preserve"> </v>
      </c>
      <c r="BS171" s="26" t="str">
        <f>IFERROR($AC171*HDF_Limited_Col!BS171/HDF_Limited_Col!$AH171," ")</f>
        <v xml:space="preserve"> </v>
      </c>
      <c r="BT171" s="26" t="str">
        <f>IFERROR($AC171*HDF_Limited_Col!BT171/HDF_Limited_Col!$AH171," ")</f>
        <v xml:space="preserve"> </v>
      </c>
      <c r="BU171" s="26" t="str">
        <f>IFERROR($AC171*HDF_Limited_Col!BU171/HDF_Limited_Col!$AH171," ")</f>
        <v xml:space="preserve"> </v>
      </c>
      <c r="BV171" s="26" t="str">
        <f>IFERROR($AC171*HDF_Limited_Col!BV171/HDF_Limited_Col!$AH171," ")</f>
        <v xml:space="preserve"> </v>
      </c>
      <c r="BW171" s="26" t="str">
        <f>IFERROR($AC171*HDF_Limited_Col!BW171/HDF_Limited_Col!$AH171," ")</f>
        <v xml:space="preserve"> </v>
      </c>
      <c r="BX171" s="26" t="str">
        <f>IFERROR($AC171*HDF_Limited_Col!BX171/HDF_Limited_Col!$AH171," ")</f>
        <v xml:space="preserve"> </v>
      </c>
      <c r="BY171" s="26" t="str">
        <f>IFERROR($AC171*HDF_Limited_Col!BY171/HDF_Limited_Col!$AH171," ")</f>
        <v xml:space="preserve"> </v>
      </c>
      <c r="BZ171" s="26" t="str">
        <f>IFERROR($AC171*HDF_Limited_Col!BZ171/HDF_Limited_Col!$AH171," ")</f>
        <v xml:space="preserve"> </v>
      </c>
      <c r="CA171" s="26" t="str">
        <f>IFERROR($AC171*HDF_Limited_Col!CA171/HDF_Limited_Col!$AH171," ")</f>
        <v xml:space="preserve"> </v>
      </c>
      <c r="CB171" s="26" t="str">
        <f>IFERROR($AC171*HDF_Limited_Col!CB171/HDF_Limited_Col!$AH171," ")</f>
        <v xml:space="preserve"> </v>
      </c>
      <c r="CC171" s="26" t="str">
        <f>IFERROR($AC171*HDF_Limited_Col!CC171/HDF_Limited_Col!$AH171," ")</f>
        <v xml:space="preserve"> </v>
      </c>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row>
    <row r="172" spans="1:109">
      <c r="A172" s="53" t="s">
        <v>1651</v>
      </c>
      <c r="B172" s="53" t="s">
        <v>24</v>
      </c>
      <c r="C172" s="155" t="s">
        <v>546</v>
      </c>
      <c r="D172" s="53" t="s">
        <v>119</v>
      </c>
      <c r="E172" s="53" t="s">
        <v>1394</v>
      </c>
      <c r="F172" s="53" t="s">
        <v>1628</v>
      </c>
      <c r="G172" s="53" t="s">
        <v>595</v>
      </c>
      <c r="H172" s="52">
        <v>132</v>
      </c>
      <c r="I172" s="53" t="s">
        <v>735</v>
      </c>
      <c r="J172" s="53"/>
      <c r="K172" s="53" t="s">
        <v>1276</v>
      </c>
      <c r="L172" s="53"/>
      <c r="M172" s="53" t="s">
        <v>1633</v>
      </c>
      <c r="N172" s="53">
        <v>31</v>
      </c>
      <c r="O172" s="95">
        <v>0.60035479359452193</v>
      </c>
      <c r="P172" s="95">
        <v>0.30017739679726096</v>
      </c>
      <c r="Q172" s="95">
        <v>0.60035479359452193</v>
      </c>
      <c r="R172" s="95">
        <v>19.611589924087721</v>
      </c>
      <c r="S172" s="95">
        <v>1.0005913226575367</v>
      </c>
      <c r="T172" s="95">
        <v>3.902306158364393</v>
      </c>
      <c r="U172" s="95">
        <v>1.4008278517205512</v>
      </c>
      <c r="V172" s="95">
        <v>12.907628062282223</v>
      </c>
      <c r="W172" s="95">
        <v>27.216083976284995</v>
      </c>
      <c r="X172" s="95">
        <v>1.7010052485178122</v>
      </c>
      <c r="Y172" s="95">
        <v>39.723475509504205</v>
      </c>
      <c r="Z172" s="95">
        <v>108.96439503740575</v>
      </c>
      <c r="AA172" s="53"/>
      <c r="AB172" s="53"/>
      <c r="AC172" s="26">
        <f t="shared" si="3"/>
        <v>225930.86596839665</v>
      </c>
      <c r="AD172" s="26" t="str">
        <f>IFERROR($AC172*HDF_Limited_Col!AD172/HDF_Limited_Col!$AH172," ")</f>
        <v xml:space="preserve"> </v>
      </c>
      <c r="AE172" s="26" t="str">
        <f>IFERROR($AC172*HDF_Limited_Col!AE172/HDF_Limited_Col!$AH172," ")</f>
        <v xml:space="preserve"> </v>
      </c>
      <c r="AF172" s="26" t="str">
        <f>IFERROR($AC172*HDF_Limited_Col!AF172/HDF_Limited_Col!$AH172," ")</f>
        <v xml:space="preserve"> </v>
      </c>
      <c r="AG172" s="26" t="str">
        <f>IFERROR($AC172*HDF_Limited_Col!AG172/HDF_Limited_Col!$AH172," ")</f>
        <v xml:space="preserve"> </v>
      </c>
      <c r="AH172" s="26" t="str">
        <f>IFERROR($AC172*HDF_Limited_Col!AH172/HDF_Limited_Col!$AH172," ")</f>
        <v xml:space="preserve"> </v>
      </c>
      <c r="AI172" s="26" t="str">
        <f>IFERROR($AC172*HDF_Limited_Col!AI172/HDF_Limited_Col!$AH172," ")</f>
        <v xml:space="preserve"> </v>
      </c>
      <c r="AJ172" s="26" t="str">
        <f>IFERROR($AC172*HDF_Limited_Col!AJ172/HDF_Limited_Col!$AH172," ")</f>
        <v xml:space="preserve"> </v>
      </c>
      <c r="AK172" s="26" t="str">
        <f>IFERROR($AC172*HDF_Limited_Col!AK172/HDF_Limited_Col!$AH172," ")</f>
        <v xml:space="preserve"> </v>
      </c>
      <c r="AL172" s="26" t="str">
        <f>IFERROR($AC172*HDF_Limited_Col!AL172/HDF_Limited_Col!$AH172," ")</f>
        <v xml:space="preserve"> </v>
      </c>
      <c r="AM172" s="26" t="str">
        <f>IFERROR($AC172*HDF_Limited_Col!AM172/HDF_Limited_Col!$AH172," ")</f>
        <v xml:space="preserve"> </v>
      </c>
      <c r="AN172" s="26" t="str">
        <f>IFERROR($AC172*HDF_Limited_Col!AN172/HDF_Limited_Col!$AH172," ")</f>
        <v xml:space="preserve"> </v>
      </c>
      <c r="AO172" s="26" t="str">
        <f>IFERROR($AC172*HDF_Limited_Col!AO172/HDF_Limited_Col!$AH172," ")</f>
        <v xml:space="preserve"> </v>
      </c>
      <c r="AP172" s="26" t="str">
        <f>IFERROR($AC172*HDF_Limited_Col!AP172/HDF_Limited_Col!$AH172," ")</f>
        <v xml:space="preserve"> </v>
      </c>
      <c r="AQ172" s="26" t="str">
        <f>IFERROR($AC172*HDF_Limited_Col!AQ172/HDF_Limited_Col!$AH172," ")</f>
        <v xml:space="preserve"> </v>
      </c>
      <c r="AR172" s="26" t="str">
        <f>IFERROR($AC172*HDF_Limited_Col!AR172/HDF_Limited_Col!$AH172," ")</f>
        <v xml:space="preserve"> </v>
      </c>
      <c r="AS172" s="26" t="str">
        <f>IFERROR($AC172*HDF_Limited_Col!AS172/HDF_Limited_Col!$AH172," ")</f>
        <v xml:space="preserve"> </v>
      </c>
      <c r="AT172" s="26" t="str">
        <f>IFERROR($AC172*HDF_Limited_Col!AT172/HDF_Limited_Col!$AH172," ")</f>
        <v xml:space="preserve"> </v>
      </c>
      <c r="AU172" s="26" t="str">
        <f>IFERROR($AC172*HDF_Limited_Col!AU172/HDF_Limited_Col!$AH172," ")</f>
        <v xml:space="preserve"> </v>
      </c>
      <c r="AV172" s="26" t="str">
        <f>IFERROR($AC172*HDF_Limited_Col!AV172/HDF_Limited_Col!$AH172," ")</f>
        <v xml:space="preserve"> </v>
      </c>
      <c r="AW172" s="26" t="str">
        <f>IFERROR($AC172*HDF_Limited_Col!AW172/HDF_Limited_Col!$AH172," ")</f>
        <v xml:space="preserve"> </v>
      </c>
      <c r="AX172" s="26" t="str">
        <f>IFERROR($AC172*HDF_Limited_Col!AX172/HDF_Limited_Col!$AH172," ")</f>
        <v xml:space="preserve"> </v>
      </c>
      <c r="AY172" s="26" t="str">
        <f>IFERROR($AC172*HDF_Limited_Col!AY172/HDF_Limited_Col!$AH172," ")</f>
        <v xml:space="preserve"> </v>
      </c>
      <c r="AZ172" s="26" t="str">
        <f>IFERROR($AC172*HDF_Limited_Col!AZ172/HDF_Limited_Col!$AH172," ")</f>
        <v xml:space="preserve"> </v>
      </c>
      <c r="BA172" s="26" t="str">
        <f>IFERROR($AC172*HDF_Limited_Col!BA172/HDF_Limited_Col!$AH172," ")</f>
        <v xml:space="preserve"> </v>
      </c>
      <c r="BB172" s="26" t="str">
        <f>IFERROR($AC172*HDF_Limited_Col!BB172/HDF_Limited_Col!$AH172," ")</f>
        <v xml:space="preserve"> </v>
      </c>
      <c r="BC172" s="26" t="str">
        <f>IFERROR($AC172*HDF_Limited_Col!BC172/HDF_Limited_Col!$AH172," ")</f>
        <v xml:space="preserve"> </v>
      </c>
      <c r="BD172" s="26" t="str">
        <f>IFERROR($AC172*HDF_Limited_Col!BD172/HDF_Limited_Col!$AH172," ")</f>
        <v xml:space="preserve"> </v>
      </c>
      <c r="BE172" s="26" t="str">
        <f>IFERROR($AC172*HDF_Limited_Col!BE172/HDF_Limited_Col!$AH172," ")</f>
        <v xml:space="preserve"> </v>
      </c>
      <c r="BF172" s="26" t="str">
        <f>IFERROR($AC172*HDF_Limited_Col!BF172/HDF_Limited_Col!$AH172," ")</f>
        <v xml:space="preserve"> </v>
      </c>
      <c r="BG172" s="26" t="str">
        <f>IFERROR($AC172*HDF_Limited_Col!BG172/HDF_Limited_Col!$AH172," ")</f>
        <v xml:space="preserve"> </v>
      </c>
      <c r="BH172" s="26" t="str">
        <f>IFERROR($AC172*HDF_Limited_Col!BH172/HDF_Limited_Col!$AH172," ")</f>
        <v xml:space="preserve"> </v>
      </c>
      <c r="BI172" s="26" t="str">
        <f>IFERROR($AC172*HDF_Limited_Col!BI172/HDF_Limited_Col!$AH172," ")</f>
        <v xml:space="preserve"> </v>
      </c>
      <c r="BJ172" s="26" t="str">
        <f>IFERROR($AC172*HDF_Limited_Col!BJ172/HDF_Limited_Col!$AH172," ")</f>
        <v xml:space="preserve"> </v>
      </c>
      <c r="BK172" s="26" t="str">
        <f>IFERROR($AC172*HDF_Limited_Col!BK172/HDF_Limited_Col!$AH172," ")</f>
        <v xml:space="preserve"> </v>
      </c>
      <c r="BL172" s="26" t="str">
        <f>IFERROR($AC172*HDF_Limited_Col!BL172/HDF_Limited_Col!$AH172," ")</f>
        <v xml:space="preserve"> </v>
      </c>
      <c r="BM172" s="26" t="str">
        <f>IFERROR($AC172*HDF_Limited_Col!BM172/HDF_Limited_Col!$AH172," ")</f>
        <v xml:space="preserve"> </v>
      </c>
      <c r="BN172" s="26" t="str">
        <f>IFERROR($AC172*HDF_Limited_Col!BN172/HDF_Limited_Col!$AH172," ")</f>
        <v xml:space="preserve"> </v>
      </c>
      <c r="BO172" s="26" t="str">
        <f>IFERROR($AC172*HDF_Limited_Col!BO172/HDF_Limited_Col!$AH172," ")</f>
        <v xml:space="preserve"> </v>
      </c>
      <c r="BP172" s="26" t="str">
        <f>IFERROR($AC172*HDF_Limited_Col!BP172/HDF_Limited_Col!$AH172," ")</f>
        <v xml:space="preserve"> </v>
      </c>
      <c r="BQ172" s="26" t="str">
        <f>IFERROR($AC172*HDF_Limited_Col!BQ172/HDF_Limited_Col!$AH172," ")</f>
        <v xml:space="preserve"> </v>
      </c>
      <c r="BR172" s="26" t="str">
        <f>IFERROR($AC172*HDF_Limited_Col!BR172/HDF_Limited_Col!$AH172," ")</f>
        <v xml:space="preserve"> </v>
      </c>
      <c r="BS172" s="26" t="str">
        <f>IFERROR($AC172*HDF_Limited_Col!BS172/HDF_Limited_Col!$AH172," ")</f>
        <v xml:space="preserve"> </v>
      </c>
      <c r="BT172" s="26" t="str">
        <f>IFERROR($AC172*HDF_Limited_Col!BT172/HDF_Limited_Col!$AH172," ")</f>
        <v xml:space="preserve"> </v>
      </c>
      <c r="BU172" s="26" t="str">
        <f>IFERROR($AC172*HDF_Limited_Col!BU172/HDF_Limited_Col!$AH172," ")</f>
        <v xml:space="preserve"> </v>
      </c>
      <c r="BV172" s="26" t="str">
        <f>IFERROR($AC172*HDF_Limited_Col!BV172/HDF_Limited_Col!$AH172," ")</f>
        <v xml:space="preserve"> </v>
      </c>
      <c r="BW172" s="26" t="str">
        <f>IFERROR($AC172*HDF_Limited_Col!BW172/HDF_Limited_Col!$AH172," ")</f>
        <v xml:space="preserve"> </v>
      </c>
      <c r="BX172" s="26" t="str">
        <f>IFERROR($AC172*HDF_Limited_Col!BX172/HDF_Limited_Col!$AH172," ")</f>
        <v xml:space="preserve"> </v>
      </c>
      <c r="BY172" s="26" t="str">
        <f>IFERROR($AC172*HDF_Limited_Col!BY172/HDF_Limited_Col!$AH172," ")</f>
        <v xml:space="preserve"> </v>
      </c>
      <c r="BZ172" s="26" t="str">
        <f>IFERROR($AC172*HDF_Limited_Col!BZ172/HDF_Limited_Col!$AH172," ")</f>
        <v xml:space="preserve"> </v>
      </c>
      <c r="CA172" s="26" t="str">
        <f>IFERROR($AC172*HDF_Limited_Col!CA172/HDF_Limited_Col!$AH172," ")</f>
        <v xml:space="preserve"> </v>
      </c>
      <c r="CB172" s="26" t="str">
        <f>IFERROR($AC172*HDF_Limited_Col!CB172/HDF_Limited_Col!$AH172," ")</f>
        <v xml:space="preserve"> </v>
      </c>
      <c r="CC172" s="26" t="str">
        <f>IFERROR($AC172*HDF_Limited_Col!CC172/HDF_Limited_Col!$AH172," ")</f>
        <v xml:space="preserve"> </v>
      </c>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row>
    <row r="173" spans="1:109">
      <c r="A173" s="53" t="s">
        <v>1651</v>
      </c>
      <c r="B173" s="53" t="s">
        <v>24</v>
      </c>
      <c r="C173" s="155" t="s">
        <v>546</v>
      </c>
      <c r="D173" s="53" t="s">
        <v>119</v>
      </c>
      <c r="E173" s="53" t="s">
        <v>1394</v>
      </c>
      <c r="F173" s="53" t="s">
        <v>1628</v>
      </c>
      <c r="G173" s="53" t="s">
        <v>595</v>
      </c>
      <c r="H173" s="52">
        <v>132</v>
      </c>
      <c r="I173" s="53" t="s">
        <v>735</v>
      </c>
      <c r="J173" s="53"/>
      <c r="K173" s="53" t="s">
        <v>1276</v>
      </c>
      <c r="L173" s="53"/>
      <c r="M173" s="53" t="s">
        <v>1634</v>
      </c>
      <c r="N173" s="53">
        <v>54</v>
      </c>
      <c r="O173" s="95">
        <v>1.0007198407881548</v>
      </c>
      <c r="P173" s="95">
        <v>0.200143968157631</v>
      </c>
      <c r="Q173" s="95">
        <v>0.60043190447289285</v>
      </c>
      <c r="R173" s="95">
        <v>23.016556338127561</v>
      </c>
      <c r="S173" s="95">
        <v>1.5010797611822324</v>
      </c>
      <c r="T173" s="95">
        <v>6.1043910288077443</v>
      </c>
      <c r="U173" s="95">
        <v>0.40028793631526199</v>
      </c>
      <c r="V173" s="95">
        <v>18.513317054580867</v>
      </c>
      <c r="W173" s="95">
        <v>15.811373484452847</v>
      </c>
      <c r="X173" s="95">
        <v>1.7012237293398631</v>
      </c>
      <c r="Y173" s="95">
        <v>40.228937599683832</v>
      </c>
      <c r="Z173" s="95">
        <v>109.07846264590889</v>
      </c>
      <c r="AA173" s="53"/>
      <c r="AB173" s="53"/>
      <c r="AC173" s="26">
        <f t="shared" si="3"/>
        <v>131256.10968149995</v>
      </c>
      <c r="AD173" s="26" t="str">
        <f>IFERROR($AC173*HDF_Limited_Col!AD173/HDF_Limited_Col!$AH173," ")</f>
        <v xml:space="preserve"> </v>
      </c>
      <c r="AE173" s="26" t="str">
        <f>IFERROR($AC173*HDF_Limited_Col!AE173/HDF_Limited_Col!$AH173," ")</f>
        <v xml:space="preserve"> </v>
      </c>
      <c r="AF173" s="26" t="str">
        <f>IFERROR($AC173*HDF_Limited_Col!AF173/HDF_Limited_Col!$AH173," ")</f>
        <v xml:space="preserve"> </v>
      </c>
      <c r="AG173" s="26" t="str">
        <f>IFERROR($AC173*HDF_Limited_Col!AG173/HDF_Limited_Col!$AH173," ")</f>
        <v xml:space="preserve"> </v>
      </c>
      <c r="AH173" s="26" t="str">
        <f>IFERROR($AC173*HDF_Limited_Col!AH173/HDF_Limited_Col!$AH173," ")</f>
        <v xml:space="preserve"> </v>
      </c>
      <c r="AI173" s="26" t="str">
        <f>IFERROR($AC173*HDF_Limited_Col!AI173/HDF_Limited_Col!$AH173," ")</f>
        <v xml:space="preserve"> </v>
      </c>
      <c r="AJ173" s="26" t="str">
        <f>IFERROR($AC173*HDF_Limited_Col!AJ173/HDF_Limited_Col!$AH173," ")</f>
        <v xml:space="preserve"> </v>
      </c>
      <c r="AK173" s="26" t="str">
        <f>IFERROR($AC173*HDF_Limited_Col!AK173/HDF_Limited_Col!$AH173," ")</f>
        <v xml:space="preserve"> </v>
      </c>
      <c r="AL173" s="26" t="str">
        <f>IFERROR($AC173*HDF_Limited_Col!AL173/HDF_Limited_Col!$AH173," ")</f>
        <v xml:space="preserve"> </v>
      </c>
      <c r="AM173" s="26" t="str">
        <f>IFERROR($AC173*HDF_Limited_Col!AM173/HDF_Limited_Col!$AH173," ")</f>
        <v xml:space="preserve"> </v>
      </c>
      <c r="AN173" s="26" t="str">
        <f>IFERROR($AC173*HDF_Limited_Col!AN173/HDF_Limited_Col!$AH173," ")</f>
        <v xml:space="preserve"> </v>
      </c>
      <c r="AO173" s="26" t="str">
        <f>IFERROR($AC173*HDF_Limited_Col!AO173/HDF_Limited_Col!$AH173," ")</f>
        <v xml:space="preserve"> </v>
      </c>
      <c r="AP173" s="26" t="str">
        <f>IFERROR($AC173*HDF_Limited_Col!AP173/HDF_Limited_Col!$AH173," ")</f>
        <v xml:space="preserve"> </v>
      </c>
      <c r="AQ173" s="26" t="str">
        <f>IFERROR($AC173*HDF_Limited_Col!AQ173/HDF_Limited_Col!$AH173," ")</f>
        <v xml:space="preserve"> </v>
      </c>
      <c r="AR173" s="26" t="str">
        <f>IFERROR($AC173*HDF_Limited_Col!AR173/HDF_Limited_Col!$AH173," ")</f>
        <v xml:space="preserve"> </v>
      </c>
      <c r="AS173" s="26" t="str">
        <f>IFERROR($AC173*HDF_Limited_Col!AS173/HDF_Limited_Col!$AH173," ")</f>
        <v xml:space="preserve"> </v>
      </c>
      <c r="AT173" s="26" t="str">
        <f>IFERROR($AC173*HDF_Limited_Col!AT173/HDF_Limited_Col!$AH173," ")</f>
        <v xml:space="preserve"> </v>
      </c>
      <c r="AU173" s="26" t="str">
        <f>IFERROR($AC173*HDF_Limited_Col!AU173/HDF_Limited_Col!$AH173," ")</f>
        <v xml:space="preserve"> </v>
      </c>
      <c r="AV173" s="26" t="str">
        <f>IFERROR($AC173*HDF_Limited_Col!AV173/HDF_Limited_Col!$AH173," ")</f>
        <v xml:space="preserve"> </v>
      </c>
      <c r="AW173" s="26" t="str">
        <f>IFERROR($AC173*HDF_Limited_Col!AW173/HDF_Limited_Col!$AH173," ")</f>
        <v xml:space="preserve"> </v>
      </c>
      <c r="AX173" s="26" t="str">
        <f>IFERROR($AC173*HDF_Limited_Col!AX173/HDF_Limited_Col!$AH173," ")</f>
        <v xml:space="preserve"> </v>
      </c>
      <c r="AY173" s="26" t="str">
        <f>IFERROR($AC173*HDF_Limited_Col!AY173/HDF_Limited_Col!$AH173," ")</f>
        <v xml:space="preserve"> </v>
      </c>
      <c r="AZ173" s="26" t="str">
        <f>IFERROR($AC173*HDF_Limited_Col!AZ173/HDF_Limited_Col!$AH173," ")</f>
        <v xml:space="preserve"> </v>
      </c>
      <c r="BA173" s="26" t="str">
        <f>IFERROR($AC173*HDF_Limited_Col!BA173/HDF_Limited_Col!$AH173," ")</f>
        <v xml:space="preserve"> </v>
      </c>
      <c r="BB173" s="26" t="str">
        <f>IFERROR($AC173*HDF_Limited_Col!BB173/HDF_Limited_Col!$AH173," ")</f>
        <v xml:space="preserve"> </v>
      </c>
      <c r="BC173" s="26" t="str">
        <f>IFERROR($AC173*HDF_Limited_Col!BC173/HDF_Limited_Col!$AH173," ")</f>
        <v xml:space="preserve"> </v>
      </c>
      <c r="BD173" s="26" t="str">
        <f>IFERROR($AC173*HDF_Limited_Col!BD173/HDF_Limited_Col!$AH173," ")</f>
        <v xml:space="preserve"> </v>
      </c>
      <c r="BE173" s="26" t="str">
        <f>IFERROR($AC173*HDF_Limited_Col!BE173/HDF_Limited_Col!$AH173," ")</f>
        <v xml:space="preserve"> </v>
      </c>
      <c r="BF173" s="26" t="str">
        <f>IFERROR($AC173*HDF_Limited_Col!BF173/HDF_Limited_Col!$AH173," ")</f>
        <v xml:space="preserve"> </v>
      </c>
      <c r="BG173" s="26" t="str">
        <f>IFERROR($AC173*HDF_Limited_Col!BG173/HDF_Limited_Col!$AH173," ")</f>
        <v xml:space="preserve"> </v>
      </c>
      <c r="BH173" s="26" t="str">
        <f>IFERROR($AC173*HDF_Limited_Col!BH173/HDF_Limited_Col!$AH173," ")</f>
        <v xml:space="preserve"> </v>
      </c>
      <c r="BI173" s="26" t="str">
        <f>IFERROR($AC173*HDF_Limited_Col!BI173/HDF_Limited_Col!$AH173," ")</f>
        <v xml:space="preserve"> </v>
      </c>
      <c r="BJ173" s="26" t="str">
        <f>IFERROR($AC173*HDF_Limited_Col!BJ173/HDF_Limited_Col!$AH173," ")</f>
        <v xml:space="preserve"> </v>
      </c>
      <c r="BK173" s="26" t="str">
        <f>IFERROR($AC173*HDF_Limited_Col!BK173/HDF_Limited_Col!$AH173," ")</f>
        <v xml:space="preserve"> </v>
      </c>
      <c r="BL173" s="26" t="str">
        <f>IFERROR($AC173*HDF_Limited_Col!BL173/HDF_Limited_Col!$AH173," ")</f>
        <v xml:space="preserve"> </v>
      </c>
      <c r="BM173" s="26" t="str">
        <f>IFERROR($AC173*HDF_Limited_Col!BM173/HDF_Limited_Col!$AH173," ")</f>
        <v xml:space="preserve"> </v>
      </c>
      <c r="BN173" s="26" t="str">
        <f>IFERROR($AC173*HDF_Limited_Col!BN173/HDF_Limited_Col!$AH173," ")</f>
        <v xml:space="preserve"> </v>
      </c>
      <c r="BO173" s="26" t="str">
        <f>IFERROR($AC173*HDF_Limited_Col!BO173/HDF_Limited_Col!$AH173," ")</f>
        <v xml:space="preserve"> </v>
      </c>
      <c r="BP173" s="26" t="str">
        <f>IFERROR($AC173*HDF_Limited_Col!BP173/HDF_Limited_Col!$AH173," ")</f>
        <v xml:space="preserve"> </v>
      </c>
      <c r="BQ173" s="26" t="str">
        <f>IFERROR($AC173*HDF_Limited_Col!BQ173/HDF_Limited_Col!$AH173," ")</f>
        <v xml:space="preserve"> </v>
      </c>
      <c r="BR173" s="26" t="str">
        <f>IFERROR($AC173*HDF_Limited_Col!BR173/HDF_Limited_Col!$AH173," ")</f>
        <v xml:space="preserve"> </v>
      </c>
      <c r="BS173" s="26" t="str">
        <f>IFERROR($AC173*HDF_Limited_Col!BS173/HDF_Limited_Col!$AH173," ")</f>
        <v xml:space="preserve"> </v>
      </c>
      <c r="BT173" s="26" t="str">
        <f>IFERROR($AC173*HDF_Limited_Col!BT173/HDF_Limited_Col!$AH173," ")</f>
        <v xml:space="preserve"> </v>
      </c>
      <c r="BU173" s="26" t="str">
        <f>IFERROR($AC173*HDF_Limited_Col!BU173/HDF_Limited_Col!$AH173," ")</f>
        <v xml:space="preserve"> </v>
      </c>
      <c r="BV173" s="26" t="str">
        <f>IFERROR($AC173*HDF_Limited_Col!BV173/HDF_Limited_Col!$AH173," ")</f>
        <v xml:space="preserve"> </v>
      </c>
      <c r="BW173" s="26" t="str">
        <f>IFERROR($AC173*HDF_Limited_Col!BW173/HDF_Limited_Col!$AH173," ")</f>
        <v xml:space="preserve"> </v>
      </c>
      <c r="BX173" s="26" t="str">
        <f>IFERROR($AC173*HDF_Limited_Col!BX173/HDF_Limited_Col!$AH173," ")</f>
        <v xml:space="preserve"> </v>
      </c>
      <c r="BY173" s="26" t="str">
        <f>IFERROR($AC173*HDF_Limited_Col!BY173/HDF_Limited_Col!$AH173," ")</f>
        <v xml:space="preserve"> </v>
      </c>
      <c r="BZ173" s="26" t="str">
        <f>IFERROR($AC173*HDF_Limited_Col!BZ173/HDF_Limited_Col!$AH173," ")</f>
        <v xml:space="preserve"> </v>
      </c>
      <c r="CA173" s="26" t="str">
        <f>IFERROR($AC173*HDF_Limited_Col!CA173/HDF_Limited_Col!$AH173," ")</f>
        <v xml:space="preserve"> </v>
      </c>
      <c r="CB173" s="26" t="str">
        <f>IFERROR($AC173*HDF_Limited_Col!CB173/HDF_Limited_Col!$AH173," ")</f>
        <v xml:space="preserve"> </v>
      </c>
      <c r="CC173" s="26" t="str">
        <f>IFERROR($AC173*HDF_Limited_Col!CC173/HDF_Limited_Col!$AH173," ")</f>
        <v xml:space="preserve"> </v>
      </c>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row>
    <row r="174" spans="1:109">
      <c r="A174" s="53" t="s">
        <v>1651</v>
      </c>
      <c r="B174" s="53" t="s">
        <v>24</v>
      </c>
      <c r="C174" s="155" t="s">
        <v>546</v>
      </c>
      <c r="D174" s="53" t="s">
        <v>119</v>
      </c>
      <c r="E174" s="53" t="s">
        <v>1394</v>
      </c>
      <c r="F174" s="53" t="s">
        <v>1628</v>
      </c>
      <c r="G174" s="53" t="s">
        <v>595</v>
      </c>
      <c r="H174" s="52">
        <v>132</v>
      </c>
      <c r="I174" s="53" t="s">
        <v>735</v>
      </c>
      <c r="J174" s="53"/>
      <c r="K174" s="53" t="s">
        <v>1276</v>
      </c>
      <c r="L174" s="53"/>
      <c r="M174" s="53" t="s">
        <v>1635</v>
      </c>
      <c r="N174" s="53">
        <v>40</v>
      </c>
      <c r="O174" s="95">
        <v>1.09976422544109</v>
      </c>
      <c r="P174" s="95">
        <v>0.39991426379676004</v>
      </c>
      <c r="Q174" s="95">
        <v>0.69984996164433</v>
      </c>
      <c r="R174" s="95">
        <v>22.895091602364509</v>
      </c>
      <c r="S174" s="95">
        <v>1.7996141870854201</v>
      </c>
      <c r="T174" s="95">
        <v>6.6985639185957302</v>
      </c>
      <c r="U174" s="95">
        <v>0.89980709354271005</v>
      </c>
      <c r="V174" s="95">
        <v>12.897235007445513</v>
      </c>
      <c r="W174" s="95">
        <v>20.395627453634759</v>
      </c>
      <c r="X174" s="95">
        <v>2.0995498849329901</v>
      </c>
      <c r="Y174" s="95">
        <v>38.891662154234915</v>
      </c>
      <c r="Z174" s="95">
        <v>108.77667975271874</v>
      </c>
      <c r="AA174" s="53"/>
      <c r="AB174" s="53"/>
      <c r="AC174" s="26">
        <f t="shared" si="3"/>
        <v>169311.71202233699</v>
      </c>
      <c r="AD174" s="26" t="str">
        <f>IFERROR($AC174*HDF_Limited_Col!AD174/HDF_Limited_Col!$AH174," ")</f>
        <v xml:space="preserve"> </v>
      </c>
      <c r="AE174" s="26" t="str">
        <f>IFERROR($AC174*HDF_Limited_Col!AE174/HDF_Limited_Col!$AH174," ")</f>
        <v xml:space="preserve"> </v>
      </c>
      <c r="AF174" s="26" t="str">
        <f>IFERROR($AC174*HDF_Limited_Col!AF174/HDF_Limited_Col!$AH174," ")</f>
        <v xml:space="preserve"> </v>
      </c>
      <c r="AG174" s="26" t="str">
        <f>IFERROR($AC174*HDF_Limited_Col!AG174/HDF_Limited_Col!$AH174," ")</f>
        <v xml:space="preserve"> </v>
      </c>
      <c r="AH174" s="26" t="str">
        <f>IFERROR($AC174*HDF_Limited_Col!AH174/HDF_Limited_Col!$AH174," ")</f>
        <v xml:space="preserve"> </v>
      </c>
      <c r="AI174" s="26" t="str">
        <f>IFERROR($AC174*HDF_Limited_Col!AI174/HDF_Limited_Col!$AH174," ")</f>
        <v xml:space="preserve"> </v>
      </c>
      <c r="AJ174" s="26" t="str">
        <f>IFERROR($AC174*HDF_Limited_Col!AJ174/HDF_Limited_Col!$AH174," ")</f>
        <v xml:space="preserve"> </v>
      </c>
      <c r="AK174" s="26" t="str">
        <f>IFERROR($AC174*HDF_Limited_Col!AK174/HDF_Limited_Col!$AH174," ")</f>
        <v xml:space="preserve"> </v>
      </c>
      <c r="AL174" s="26" t="str">
        <f>IFERROR($AC174*HDF_Limited_Col!AL174/HDF_Limited_Col!$AH174," ")</f>
        <v xml:space="preserve"> </v>
      </c>
      <c r="AM174" s="26" t="str">
        <f>IFERROR($AC174*HDF_Limited_Col!AM174/HDF_Limited_Col!$AH174," ")</f>
        <v xml:space="preserve"> </v>
      </c>
      <c r="AN174" s="26" t="str">
        <f>IFERROR($AC174*HDF_Limited_Col!AN174/HDF_Limited_Col!$AH174," ")</f>
        <v xml:space="preserve"> </v>
      </c>
      <c r="AO174" s="26" t="str">
        <f>IFERROR($AC174*HDF_Limited_Col!AO174/HDF_Limited_Col!$AH174," ")</f>
        <v xml:space="preserve"> </v>
      </c>
      <c r="AP174" s="26" t="str">
        <f>IFERROR($AC174*HDF_Limited_Col!AP174/HDF_Limited_Col!$AH174," ")</f>
        <v xml:space="preserve"> </v>
      </c>
      <c r="AQ174" s="26" t="str">
        <f>IFERROR($AC174*HDF_Limited_Col!AQ174/HDF_Limited_Col!$AH174," ")</f>
        <v xml:space="preserve"> </v>
      </c>
      <c r="AR174" s="26" t="str">
        <f>IFERROR($AC174*HDF_Limited_Col!AR174/HDF_Limited_Col!$AH174," ")</f>
        <v xml:space="preserve"> </v>
      </c>
      <c r="AS174" s="26" t="str">
        <f>IFERROR($AC174*HDF_Limited_Col!AS174/HDF_Limited_Col!$AH174," ")</f>
        <v xml:space="preserve"> </v>
      </c>
      <c r="AT174" s="26" t="str">
        <f>IFERROR($AC174*HDF_Limited_Col!AT174/HDF_Limited_Col!$AH174," ")</f>
        <v xml:space="preserve"> </v>
      </c>
      <c r="AU174" s="26" t="str">
        <f>IFERROR($AC174*HDF_Limited_Col!AU174/HDF_Limited_Col!$AH174," ")</f>
        <v xml:space="preserve"> </v>
      </c>
      <c r="AV174" s="26" t="str">
        <f>IFERROR($AC174*HDF_Limited_Col!AV174/HDF_Limited_Col!$AH174," ")</f>
        <v xml:space="preserve"> </v>
      </c>
      <c r="AW174" s="26" t="str">
        <f>IFERROR($AC174*HDF_Limited_Col!AW174/HDF_Limited_Col!$AH174," ")</f>
        <v xml:space="preserve"> </v>
      </c>
      <c r="AX174" s="26" t="str">
        <f>IFERROR($AC174*HDF_Limited_Col!AX174/HDF_Limited_Col!$AH174," ")</f>
        <v xml:space="preserve"> </v>
      </c>
      <c r="AY174" s="26" t="str">
        <f>IFERROR($AC174*HDF_Limited_Col!AY174/HDF_Limited_Col!$AH174," ")</f>
        <v xml:space="preserve"> </v>
      </c>
      <c r="AZ174" s="26" t="str">
        <f>IFERROR($AC174*HDF_Limited_Col!AZ174/HDF_Limited_Col!$AH174," ")</f>
        <v xml:space="preserve"> </v>
      </c>
      <c r="BA174" s="26" t="str">
        <f>IFERROR($AC174*HDF_Limited_Col!BA174/HDF_Limited_Col!$AH174," ")</f>
        <v xml:space="preserve"> </v>
      </c>
      <c r="BB174" s="26" t="str">
        <f>IFERROR($AC174*HDF_Limited_Col!BB174/HDF_Limited_Col!$AH174," ")</f>
        <v xml:space="preserve"> </v>
      </c>
      <c r="BC174" s="26" t="str">
        <f>IFERROR($AC174*HDF_Limited_Col!BC174/HDF_Limited_Col!$AH174," ")</f>
        <v xml:space="preserve"> </v>
      </c>
      <c r="BD174" s="26" t="str">
        <f>IFERROR($AC174*HDF_Limited_Col!BD174/HDF_Limited_Col!$AH174," ")</f>
        <v xml:space="preserve"> </v>
      </c>
      <c r="BE174" s="26" t="str">
        <f>IFERROR($AC174*HDF_Limited_Col!BE174/HDF_Limited_Col!$AH174," ")</f>
        <v xml:space="preserve"> </v>
      </c>
      <c r="BF174" s="26" t="str">
        <f>IFERROR($AC174*HDF_Limited_Col!BF174/HDF_Limited_Col!$AH174," ")</f>
        <v xml:space="preserve"> </v>
      </c>
      <c r="BG174" s="26" t="str">
        <f>IFERROR($AC174*HDF_Limited_Col!BG174/HDF_Limited_Col!$AH174," ")</f>
        <v xml:space="preserve"> </v>
      </c>
      <c r="BH174" s="26" t="str">
        <f>IFERROR($AC174*HDF_Limited_Col!BH174/HDF_Limited_Col!$AH174," ")</f>
        <v xml:space="preserve"> </v>
      </c>
      <c r="BI174" s="26" t="str">
        <f>IFERROR($AC174*HDF_Limited_Col!BI174/HDF_Limited_Col!$AH174," ")</f>
        <v xml:space="preserve"> </v>
      </c>
      <c r="BJ174" s="26" t="str">
        <f>IFERROR($AC174*HDF_Limited_Col!BJ174/HDF_Limited_Col!$AH174," ")</f>
        <v xml:space="preserve"> </v>
      </c>
      <c r="BK174" s="26" t="str">
        <f>IFERROR($AC174*HDF_Limited_Col!BK174/HDF_Limited_Col!$AH174," ")</f>
        <v xml:space="preserve"> </v>
      </c>
      <c r="BL174" s="26" t="str">
        <f>IFERROR($AC174*HDF_Limited_Col!BL174/HDF_Limited_Col!$AH174," ")</f>
        <v xml:space="preserve"> </v>
      </c>
      <c r="BM174" s="26" t="str">
        <f>IFERROR($AC174*HDF_Limited_Col!BM174/HDF_Limited_Col!$AH174," ")</f>
        <v xml:space="preserve"> </v>
      </c>
      <c r="BN174" s="26" t="str">
        <f>IFERROR($AC174*HDF_Limited_Col!BN174/HDF_Limited_Col!$AH174," ")</f>
        <v xml:space="preserve"> </v>
      </c>
      <c r="BO174" s="26" t="str">
        <f>IFERROR($AC174*HDF_Limited_Col!BO174/HDF_Limited_Col!$AH174," ")</f>
        <v xml:space="preserve"> </v>
      </c>
      <c r="BP174" s="26" t="str">
        <f>IFERROR($AC174*HDF_Limited_Col!BP174/HDF_Limited_Col!$AH174," ")</f>
        <v xml:space="preserve"> </v>
      </c>
      <c r="BQ174" s="26" t="str">
        <f>IFERROR($AC174*HDF_Limited_Col!BQ174/HDF_Limited_Col!$AH174," ")</f>
        <v xml:space="preserve"> </v>
      </c>
      <c r="BR174" s="26" t="str">
        <f>IFERROR($AC174*HDF_Limited_Col!BR174/HDF_Limited_Col!$AH174," ")</f>
        <v xml:space="preserve"> </v>
      </c>
      <c r="BS174" s="26" t="str">
        <f>IFERROR($AC174*HDF_Limited_Col!BS174/HDF_Limited_Col!$AH174," ")</f>
        <v xml:space="preserve"> </v>
      </c>
      <c r="BT174" s="26" t="str">
        <f>IFERROR($AC174*HDF_Limited_Col!BT174/HDF_Limited_Col!$AH174," ")</f>
        <v xml:space="preserve"> </v>
      </c>
      <c r="BU174" s="26" t="str">
        <f>IFERROR($AC174*HDF_Limited_Col!BU174/HDF_Limited_Col!$AH174," ")</f>
        <v xml:space="preserve"> </v>
      </c>
      <c r="BV174" s="26" t="str">
        <f>IFERROR($AC174*HDF_Limited_Col!BV174/HDF_Limited_Col!$AH174," ")</f>
        <v xml:space="preserve"> </v>
      </c>
      <c r="BW174" s="26" t="str">
        <f>IFERROR($AC174*HDF_Limited_Col!BW174/HDF_Limited_Col!$AH174," ")</f>
        <v xml:space="preserve"> </v>
      </c>
      <c r="BX174" s="26" t="str">
        <f>IFERROR($AC174*HDF_Limited_Col!BX174/HDF_Limited_Col!$AH174," ")</f>
        <v xml:space="preserve"> </v>
      </c>
      <c r="BY174" s="26" t="str">
        <f>IFERROR($AC174*HDF_Limited_Col!BY174/HDF_Limited_Col!$AH174," ")</f>
        <v xml:space="preserve"> </v>
      </c>
      <c r="BZ174" s="26" t="str">
        <f>IFERROR($AC174*HDF_Limited_Col!BZ174/HDF_Limited_Col!$AH174," ")</f>
        <v xml:space="preserve"> </v>
      </c>
      <c r="CA174" s="26" t="str">
        <f>IFERROR($AC174*HDF_Limited_Col!CA174/HDF_Limited_Col!$AH174," ")</f>
        <v xml:space="preserve"> </v>
      </c>
      <c r="CB174" s="26" t="str">
        <f>IFERROR($AC174*HDF_Limited_Col!CB174/HDF_Limited_Col!$AH174," ")</f>
        <v xml:space="preserve"> </v>
      </c>
      <c r="CC174" s="26" t="str">
        <f>IFERROR($AC174*HDF_Limited_Col!CC174/HDF_Limited_Col!$AH174," ")</f>
        <v xml:space="preserve"> </v>
      </c>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row>
    <row r="175" spans="1:109">
      <c r="A175" s="53" t="s">
        <v>1651</v>
      </c>
      <c r="B175" s="53" t="s">
        <v>24</v>
      </c>
      <c r="C175" s="155" t="s">
        <v>546</v>
      </c>
      <c r="D175" s="53" t="s">
        <v>119</v>
      </c>
      <c r="E175" s="53" t="s">
        <v>1394</v>
      </c>
      <c r="F175" s="53" t="s">
        <v>1628</v>
      </c>
      <c r="G175" s="53" t="s">
        <v>595</v>
      </c>
      <c r="H175" s="52">
        <v>132</v>
      </c>
      <c r="I175" s="53" t="s">
        <v>735</v>
      </c>
      <c r="J175" s="53"/>
      <c r="K175" s="53" t="s">
        <v>1276</v>
      </c>
      <c r="L175" s="53"/>
      <c r="M175" s="53" t="s">
        <v>1636</v>
      </c>
      <c r="N175" s="53">
        <v>36</v>
      </c>
      <c r="O175" s="95">
        <v>1.3996565017894056</v>
      </c>
      <c r="P175" s="95">
        <v>0.79980371530823191</v>
      </c>
      <c r="Q175" s="95">
        <v>0.79980371530823191</v>
      </c>
      <c r="R175" s="95">
        <v>25.993620747517536</v>
      </c>
      <c r="S175" s="95">
        <v>1.7995583594435218</v>
      </c>
      <c r="T175" s="95">
        <v>6.6983561157064431</v>
      </c>
      <c r="U175" s="95">
        <v>0.79980371530823191</v>
      </c>
      <c r="V175" s="95">
        <v>15.096295126442877</v>
      </c>
      <c r="W175" s="95">
        <v>15.496196984096994</v>
      </c>
      <c r="X175" s="95">
        <v>1.6995828950299927</v>
      </c>
      <c r="Y175" s="95">
        <v>37.990676477141015</v>
      </c>
      <c r="Z175" s="95">
        <v>108.57335435309247</v>
      </c>
      <c r="AA175" s="53"/>
      <c r="AB175" s="53"/>
      <c r="AC175" s="26">
        <f t="shared" si="3"/>
        <v>128639.71197636594</v>
      </c>
      <c r="AD175" s="26" t="str">
        <f>IFERROR($AC175*HDF_Limited_Col!AD175/HDF_Limited_Col!$AH175," ")</f>
        <v xml:space="preserve"> </v>
      </c>
      <c r="AE175" s="26" t="str">
        <f>IFERROR($AC175*HDF_Limited_Col!AE175/HDF_Limited_Col!$AH175," ")</f>
        <v xml:space="preserve"> </v>
      </c>
      <c r="AF175" s="26" t="str">
        <f>IFERROR($AC175*HDF_Limited_Col!AF175/HDF_Limited_Col!$AH175," ")</f>
        <v xml:space="preserve"> </v>
      </c>
      <c r="AG175" s="26" t="str">
        <f>IFERROR($AC175*HDF_Limited_Col!AG175/HDF_Limited_Col!$AH175," ")</f>
        <v xml:space="preserve"> </v>
      </c>
      <c r="AH175" s="26" t="str">
        <f>IFERROR($AC175*HDF_Limited_Col!AH175/HDF_Limited_Col!$AH175," ")</f>
        <v xml:space="preserve"> </v>
      </c>
      <c r="AI175" s="26" t="str">
        <f>IFERROR($AC175*HDF_Limited_Col!AI175/HDF_Limited_Col!$AH175," ")</f>
        <v xml:space="preserve"> </v>
      </c>
      <c r="AJ175" s="26" t="str">
        <f>IFERROR($AC175*HDF_Limited_Col!AJ175/HDF_Limited_Col!$AH175," ")</f>
        <v xml:space="preserve"> </v>
      </c>
      <c r="AK175" s="26" t="str">
        <f>IFERROR($AC175*HDF_Limited_Col!AK175/HDF_Limited_Col!$AH175," ")</f>
        <v xml:space="preserve"> </v>
      </c>
      <c r="AL175" s="26" t="str">
        <f>IFERROR($AC175*HDF_Limited_Col!AL175/HDF_Limited_Col!$AH175," ")</f>
        <v xml:space="preserve"> </v>
      </c>
      <c r="AM175" s="26" t="str">
        <f>IFERROR($AC175*HDF_Limited_Col!AM175/HDF_Limited_Col!$AH175," ")</f>
        <v xml:space="preserve"> </v>
      </c>
      <c r="AN175" s="26" t="str">
        <f>IFERROR($AC175*HDF_Limited_Col!AN175/HDF_Limited_Col!$AH175," ")</f>
        <v xml:space="preserve"> </v>
      </c>
      <c r="AO175" s="26" t="str">
        <f>IFERROR($AC175*HDF_Limited_Col!AO175/HDF_Limited_Col!$AH175," ")</f>
        <v xml:space="preserve"> </v>
      </c>
      <c r="AP175" s="26" t="str">
        <f>IFERROR($AC175*HDF_Limited_Col!AP175/HDF_Limited_Col!$AH175," ")</f>
        <v xml:space="preserve"> </v>
      </c>
      <c r="AQ175" s="26" t="str">
        <f>IFERROR($AC175*HDF_Limited_Col!AQ175/HDF_Limited_Col!$AH175," ")</f>
        <v xml:space="preserve"> </v>
      </c>
      <c r="AR175" s="26" t="str">
        <f>IFERROR($AC175*HDF_Limited_Col!AR175/HDF_Limited_Col!$AH175," ")</f>
        <v xml:space="preserve"> </v>
      </c>
      <c r="AS175" s="26" t="str">
        <f>IFERROR($AC175*HDF_Limited_Col!AS175/HDF_Limited_Col!$AH175," ")</f>
        <v xml:space="preserve"> </v>
      </c>
      <c r="AT175" s="26" t="str">
        <f>IFERROR($AC175*HDF_Limited_Col!AT175/HDF_Limited_Col!$AH175," ")</f>
        <v xml:space="preserve"> </v>
      </c>
      <c r="AU175" s="26" t="str">
        <f>IFERROR($AC175*HDF_Limited_Col!AU175/HDF_Limited_Col!$AH175," ")</f>
        <v xml:space="preserve"> </v>
      </c>
      <c r="AV175" s="26" t="str">
        <f>IFERROR($AC175*HDF_Limited_Col!AV175/HDF_Limited_Col!$AH175," ")</f>
        <v xml:space="preserve"> </v>
      </c>
      <c r="AW175" s="26" t="str">
        <f>IFERROR($AC175*HDF_Limited_Col!AW175/HDF_Limited_Col!$AH175," ")</f>
        <v xml:space="preserve"> </v>
      </c>
      <c r="AX175" s="26" t="str">
        <f>IFERROR($AC175*HDF_Limited_Col!AX175/HDF_Limited_Col!$AH175," ")</f>
        <v xml:space="preserve"> </v>
      </c>
      <c r="AY175" s="26" t="str">
        <f>IFERROR($AC175*HDF_Limited_Col!AY175/HDF_Limited_Col!$AH175," ")</f>
        <v xml:space="preserve"> </v>
      </c>
      <c r="AZ175" s="26" t="str">
        <f>IFERROR($AC175*HDF_Limited_Col!AZ175/HDF_Limited_Col!$AH175," ")</f>
        <v xml:space="preserve"> </v>
      </c>
      <c r="BA175" s="26" t="str">
        <f>IFERROR($AC175*HDF_Limited_Col!BA175/HDF_Limited_Col!$AH175," ")</f>
        <v xml:space="preserve"> </v>
      </c>
      <c r="BB175" s="26" t="str">
        <f>IFERROR($AC175*HDF_Limited_Col!BB175/HDF_Limited_Col!$AH175," ")</f>
        <v xml:space="preserve"> </v>
      </c>
      <c r="BC175" s="26" t="str">
        <f>IFERROR($AC175*HDF_Limited_Col!BC175/HDF_Limited_Col!$AH175," ")</f>
        <v xml:space="preserve"> </v>
      </c>
      <c r="BD175" s="26" t="str">
        <f>IFERROR($AC175*HDF_Limited_Col!BD175/HDF_Limited_Col!$AH175," ")</f>
        <v xml:space="preserve"> </v>
      </c>
      <c r="BE175" s="26" t="str">
        <f>IFERROR($AC175*HDF_Limited_Col!BE175/HDF_Limited_Col!$AH175," ")</f>
        <v xml:space="preserve"> </v>
      </c>
      <c r="BF175" s="26" t="str">
        <f>IFERROR($AC175*HDF_Limited_Col!BF175/HDF_Limited_Col!$AH175," ")</f>
        <v xml:space="preserve"> </v>
      </c>
      <c r="BG175" s="26" t="str">
        <f>IFERROR($AC175*HDF_Limited_Col!BG175/HDF_Limited_Col!$AH175," ")</f>
        <v xml:space="preserve"> </v>
      </c>
      <c r="BH175" s="26" t="str">
        <f>IFERROR($AC175*HDF_Limited_Col!BH175/HDF_Limited_Col!$AH175," ")</f>
        <v xml:space="preserve"> </v>
      </c>
      <c r="BI175" s="26" t="str">
        <f>IFERROR($AC175*HDF_Limited_Col!BI175/HDF_Limited_Col!$AH175," ")</f>
        <v xml:space="preserve"> </v>
      </c>
      <c r="BJ175" s="26" t="str">
        <f>IFERROR($AC175*HDF_Limited_Col!BJ175/HDF_Limited_Col!$AH175," ")</f>
        <v xml:space="preserve"> </v>
      </c>
      <c r="BK175" s="26" t="str">
        <f>IFERROR($AC175*HDF_Limited_Col!BK175/HDF_Limited_Col!$AH175," ")</f>
        <v xml:space="preserve"> </v>
      </c>
      <c r="BL175" s="26" t="str">
        <f>IFERROR($AC175*HDF_Limited_Col!BL175/HDF_Limited_Col!$AH175," ")</f>
        <v xml:space="preserve"> </v>
      </c>
      <c r="BM175" s="26" t="str">
        <f>IFERROR($AC175*HDF_Limited_Col!BM175/HDF_Limited_Col!$AH175," ")</f>
        <v xml:space="preserve"> </v>
      </c>
      <c r="BN175" s="26" t="str">
        <f>IFERROR($AC175*HDF_Limited_Col!BN175/HDF_Limited_Col!$AH175," ")</f>
        <v xml:space="preserve"> </v>
      </c>
      <c r="BO175" s="26" t="str">
        <f>IFERROR($AC175*HDF_Limited_Col!BO175/HDF_Limited_Col!$AH175," ")</f>
        <v xml:space="preserve"> </v>
      </c>
      <c r="BP175" s="26" t="str">
        <f>IFERROR($AC175*HDF_Limited_Col!BP175/HDF_Limited_Col!$AH175," ")</f>
        <v xml:space="preserve"> </v>
      </c>
      <c r="BQ175" s="26" t="str">
        <f>IFERROR($AC175*HDF_Limited_Col!BQ175/HDF_Limited_Col!$AH175," ")</f>
        <v xml:space="preserve"> </v>
      </c>
      <c r="BR175" s="26" t="str">
        <f>IFERROR($AC175*HDF_Limited_Col!BR175/HDF_Limited_Col!$AH175," ")</f>
        <v xml:space="preserve"> </v>
      </c>
      <c r="BS175" s="26" t="str">
        <f>IFERROR($AC175*HDF_Limited_Col!BS175/HDF_Limited_Col!$AH175," ")</f>
        <v xml:space="preserve"> </v>
      </c>
      <c r="BT175" s="26" t="str">
        <f>IFERROR($AC175*HDF_Limited_Col!BT175/HDF_Limited_Col!$AH175," ")</f>
        <v xml:space="preserve"> </v>
      </c>
      <c r="BU175" s="26" t="str">
        <f>IFERROR($AC175*HDF_Limited_Col!BU175/HDF_Limited_Col!$AH175," ")</f>
        <v xml:space="preserve"> </v>
      </c>
      <c r="BV175" s="26" t="str">
        <f>IFERROR($AC175*HDF_Limited_Col!BV175/HDF_Limited_Col!$AH175," ")</f>
        <v xml:space="preserve"> </v>
      </c>
      <c r="BW175" s="26" t="str">
        <f>IFERROR($AC175*HDF_Limited_Col!BW175/HDF_Limited_Col!$AH175," ")</f>
        <v xml:space="preserve"> </v>
      </c>
      <c r="BX175" s="26" t="str">
        <f>IFERROR($AC175*HDF_Limited_Col!BX175/HDF_Limited_Col!$AH175," ")</f>
        <v xml:space="preserve"> </v>
      </c>
      <c r="BY175" s="26" t="str">
        <f>IFERROR($AC175*HDF_Limited_Col!BY175/HDF_Limited_Col!$AH175," ")</f>
        <v xml:space="preserve"> </v>
      </c>
      <c r="BZ175" s="26" t="str">
        <f>IFERROR($AC175*HDF_Limited_Col!BZ175/HDF_Limited_Col!$AH175," ")</f>
        <v xml:space="preserve"> </v>
      </c>
      <c r="CA175" s="26" t="str">
        <f>IFERROR($AC175*HDF_Limited_Col!CA175/HDF_Limited_Col!$AH175," ")</f>
        <v xml:space="preserve"> </v>
      </c>
      <c r="CB175" s="26" t="str">
        <f>IFERROR($AC175*HDF_Limited_Col!CB175/HDF_Limited_Col!$AH175," ")</f>
        <v xml:space="preserve"> </v>
      </c>
      <c r="CC175" s="26" t="str">
        <f>IFERROR($AC175*HDF_Limited_Col!CC175/HDF_Limited_Col!$AH175," ")</f>
        <v xml:space="preserve"> </v>
      </c>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row>
    <row r="176" spans="1:109">
      <c r="A176" s="53" t="s">
        <v>1651</v>
      </c>
      <c r="B176" s="53" t="s">
        <v>24</v>
      </c>
      <c r="C176" s="155" t="s">
        <v>546</v>
      </c>
      <c r="D176" s="53" t="s">
        <v>119</v>
      </c>
      <c r="E176" s="53" t="s">
        <v>1394</v>
      </c>
      <c r="F176" s="53" t="s">
        <v>1628</v>
      </c>
      <c r="G176" s="53" t="s">
        <v>595</v>
      </c>
      <c r="H176" s="52">
        <v>132</v>
      </c>
      <c r="I176" s="53" t="s">
        <v>735</v>
      </c>
      <c r="J176" s="53"/>
      <c r="K176" s="53" t="s">
        <v>1276</v>
      </c>
      <c r="L176" s="53"/>
      <c r="M176" s="53" t="s">
        <v>1637</v>
      </c>
      <c r="N176" s="53">
        <v>50</v>
      </c>
      <c r="O176" s="95">
        <v>0.89936955335963353</v>
      </c>
      <c r="P176" s="95">
        <v>0.49964975186646304</v>
      </c>
      <c r="Q176" s="95">
        <v>0.69950965261304821</v>
      </c>
      <c r="R176" s="95">
        <v>18.58697076943243</v>
      </c>
      <c r="S176" s="95">
        <v>1.299089354852804</v>
      </c>
      <c r="T176" s="95">
        <v>7.0950264765037758</v>
      </c>
      <c r="U176" s="95">
        <v>0.79943960298634098</v>
      </c>
      <c r="V176" s="95">
        <v>17.587671265699502</v>
      </c>
      <c r="W176" s="95">
        <v>17.687601216072792</v>
      </c>
      <c r="X176" s="95">
        <v>3.1977584119453639</v>
      </c>
      <c r="Y176" s="95">
        <v>40.871349702676682</v>
      </c>
      <c r="Z176" s="95">
        <v>109.22343575800883</v>
      </c>
      <c r="AA176" s="53"/>
      <c r="AB176" s="53"/>
      <c r="AC176" s="26">
        <f t="shared" si="3"/>
        <v>146831.37600299506</v>
      </c>
      <c r="AD176" s="26" t="str">
        <f>IFERROR($AC176*HDF_Limited_Col!AD176/HDF_Limited_Col!$AH176," ")</f>
        <v xml:space="preserve"> </v>
      </c>
      <c r="AE176" s="26" t="str">
        <f>IFERROR($AC176*HDF_Limited_Col!AE176/HDF_Limited_Col!$AH176," ")</f>
        <v xml:space="preserve"> </v>
      </c>
      <c r="AF176" s="26" t="str">
        <f>IFERROR($AC176*HDF_Limited_Col!AF176/HDF_Limited_Col!$AH176," ")</f>
        <v xml:space="preserve"> </v>
      </c>
      <c r="AG176" s="26" t="str">
        <f>IFERROR($AC176*HDF_Limited_Col!AG176/HDF_Limited_Col!$AH176," ")</f>
        <v xml:space="preserve"> </v>
      </c>
      <c r="AH176" s="26" t="str">
        <f>IFERROR($AC176*HDF_Limited_Col!AH176/HDF_Limited_Col!$AH176," ")</f>
        <v xml:space="preserve"> </v>
      </c>
      <c r="AI176" s="26" t="str">
        <f>IFERROR($AC176*HDF_Limited_Col!AI176/HDF_Limited_Col!$AH176," ")</f>
        <v xml:space="preserve"> </v>
      </c>
      <c r="AJ176" s="26" t="str">
        <f>IFERROR($AC176*HDF_Limited_Col!AJ176/HDF_Limited_Col!$AH176," ")</f>
        <v xml:space="preserve"> </v>
      </c>
      <c r="AK176" s="26" t="str">
        <f>IFERROR($AC176*HDF_Limited_Col!AK176/HDF_Limited_Col!$AH176," ")</f>
        <v xml:space="preserve"> </v>
      </c>
      <c r="AL176" s="26" t="str">
        <f>IFERROR($AC176*HDF_Limited_Col!AL176/HDF_Limited_Col!$AH176," ")</f>
        <v xml:space="preserve"> </v>
      </c>
      <c r="AM176" s="26" t="str">
        <f>IFERROR($AC176*HDF_Limited_Col!AM176/HDF_Limited_Col!$AH176," ")</f>
        <v xml:space="preserve"> </v>
      </c>
      <c r="AN176" s="26" t="str">
        <f>IFERROR($AC176*HDF_Limited_Col!AN176/HDF_Limited_Col!$AH176," ")</f>
        <v xml:space="preserve"> </v>
      </c>
      <c r="AO176" s="26" t="str">
        <f>IFERROR($AC176*HDF_Limited_Col!AO176/HDF_Limited_Col!$AH176," ")</f>
        <v xml:space="preserve"> </v>
      </c>
      <c r="AP176" s="26" t="str">
        <f>IFERROR($AC176*HDF_Limited_Col!AP176/HDF_Limited_Col!$AH176," ")</f>
        <v xml:space="preserve"> </v>
      </c>
      <c r="AQ176" s="26" t="str">
        <f>IFERROR($AC176*HDF_Limited_Col!AQ176/HDF_Limited_Col!$AH176," ")</f>
        <v xml:space="preserve"> </v>
      </c>
      <c r="AR176" s="26" t="str">
        <f>IFERROR($AC176*HDF_Limited_Col!AR176/HDF_Limited_Col!$AH176," ")</f>
        <v xml:space="preserve"> </v>
      </c>
      <c r="AS176" s="26" t="str">
        <f>IFERROR($AC176*HDF_Limited_Col!AS176/HDF_Limited_Col!$AH176," ")</f>
        <v xml:space="preserve"> </v>
      </c>
      <c r="AT176" s="26" t="str">
        <f>IFERROR($AC176*HDF_Limited_Col!AT176/HDF_Limited_Col!$AH176," ")</f>
        <v xml:space="preserve"> </v>
      </c>
      <c r="AU176" s="26" t="str">
        <f>IFERROR($AC176*HDF_Limited_Col!AU176/HDF_Limited_Col!$AH176," ")</f>
        <v xml:space="preserve"> </v>
      </c>
      <c r="AV176" s="26" t="str">
        <f>IFERROR($AC176*HDF_Limited_Col!AV176/HDF_Limited_Col!$AH176," ")</f>
        <v xml:space="preserve"> </v>
      </c>
      <c r="AW176" s="26" t="str">
        <f>IFERROR($AC176*HDF_Limited_Col!AW176/HDF_Limited_Col!$AH176," ")</f>
        <v xml:space="preserve"> </v>
      </c>
      <c r="AX176" s="26" t="str">
        <f>IFERROR($AC176*HDF_Limited_Col!AX176/HDF_Limited_Col!$AH176," ")</f>
        <v xml:space="preserve"> </v>
      </c>
      <c r="AY176" s="26" t="str">
        <f>IFERROR($AC176*HDF_Limited_Col!AY176/HDF_Limited_Col!$AH176," ")</f>
        <v xml:space="preserve"> </v>
      </c>
      <c r="AZ176" s="26" t="str">
        <f>IFERROR($AC176*HDF_Limited_Col!AZ176/HDF_Limited_Col!$AH176," ")</f>
        <v xml:space="preserve"> </v>
      </c>
      <c r="BA176" s="26" t="str">
        <f>IFERROR($AC176*HDF_Limited_Col!BA176/HDF_Limited_Col!$AH176," ")</f>
        <v xml:space="preserve"> </v>
      </c>
      <c r="BB176" s="26" t="str">
        <f>IFERROR($AC176*HDF_Limited_Col!BB176/HDF_Limited_Col!$AH176," ")</f>
        <v xml:space="preserve"> </v>
      </c>
      <c r="BC176" s="26" t="str">
        <f>IFERROR($AC176*HDF_Limited_Col!BC176/HDF_Limited_Col!$AH176," ")</f>
        <v xml:space="preserve"> </v>
      </c>
      <c r="BD176" s="26" t="str">
        <f>IFERROR($AC176*HDF_Limited_Col!BD176/HDF_Limited_Col!$AH176," ")</f>
        <v xml:space="preserve"> </v>
      </c>
      <c r="BE176" s="26" t="str">
        <f>IFERROR($AC176*HDF_Limited_Col!BE176/HDF_Limited_Col!$AH176," ")</f>
        <v xml:space="preserve"> </v>
      </c>
      <c r="BF176" s="26" t="str">
        <f>IFERROR($AC176*HDF_Limited_Col!BF176/HDF_Limited_Col!$AH176," ")</f>
        <v xml:space="preserve"> </v>
      </c>
      <c r="BG176" s="26" t="str">
        <f>IFERROR($AC176*HDF_Limited_Col!BG176/HDF_Limited_Col!$AH176," ")</f>
        <v xml:space="preserve"> </v>
      </c>
      <c r="BH176" s="26" t="str">
        <f>IFERROR($AC176*HDF_Limited_Col!BH176/HDF_Limited_Col!$AH176," ")</f>
        <v xml:space="preserve"> </v>
      </c>
      <c r="BI176" s="26" t="str">
        <f>IFERROR($AC176*HDF_Limited_Col!BI176/HDF_Limited_Col!$AH176," ")</f>
        <v xml:space="preserve"> </v>
      </c>
      <c r="BJ176" s="26" t="str">
        <f>IFERROR($AC176*HDF_Limited_Col!BJ176/HDF_Limited_Col!$AH176," ")</f>
        <v xml:space="preserve"> </v>
      </c>
      <c r="BK176" s="26" t="str">
        <f>IFERROR($AC176*HDF_Limited_Col!BK176/HDF_Limited_Col!$AH176," ")</f>
        <v xml:space="preserve"> </v>
      </c>
      <c r="BL176" s="26" t="str">
        <f>IFERROR($AC176*HDF_Limited_Col!BL176/HDF_Limited_Col!$AH176," ")</f>
        <v xml:space="preserve"> </v>
      </c>
      <c r="BM176" s="26" t="str">
        <f>IFERROR($AC176*HDF_Limited_Col!BM176/HDF_Limited_Col!$AH176," ")</f>
        <v xml:space="preserve"> </v>
      </c>
      <c r="BN176" s="26" t="str">
        <f>IFERROR($AC176*HDF_Limited_Col!BN176/HDF_Limited_Col!$AH176," ")</f>
        <v xml:space="preserve"> </v>
      </c>
      <c r="BO176" s="26" t="str">
        <f>IFERROR($AC176*HDF_Limited_Col!BO176/HDF_Limited_Col!$AH176," ")</f>
        <v xml:space="preserve"> </v>
      </c>
      <c r="BP176" s="26" t="str">
        <f>IFERROR($AC176*HDF_Limited_Col!BP176/HDF_Limited_Col!$AH176," ")</f>
        <v xml:space="preserve"> </v>
      </c>
      <c r="BQ176" s="26" t="str">
        <f>IFERROR($AC176*HDF_Limited_Col!BQ176/HDF_Limited_Col!$AH176," ")</f>
        <v xml:space="preserve"> </v>
      </c>
      <c r="BR176" s="26" t="str">
        <f>IFERROR($AC176*HDF_Limited_Col!BR176/HDF_Limited_Col!$AH176," ")</f>
        <v xml:space="preserve"> </v>
      </c>
      <c r="BS176" s="26" t="str">
        <f>IFERROR($AC176*HDF_Limited_Col!BS176/HDF_Limited_Col!$AH176," ")</f>
        <v xml:space="preserve"> </v>
      </c>
      <c r="BT176" s="26" t="str">
        <f>IFERROR($AC176*HDF_Limited_Col!BT176/HDF_Limited_Col!$AH176," ")</f>
        <v xml:space="preserve"> </v>
      </c>
      <c r="BU176" s="26" t="str">
        <f>IFERROR($AC176*HDF_Limited_Col!BU176/HDF_Limited_Col!$AH176," ")</f>
        <v xml:space="preserve"> </v>
      </c>
      <c r="BV176" s="26" t="str">
        <f>IFERROR($AC176*HDF_Limited_Col!BV176/HDF_Limited_Col!$AH176," ")</f>
        <v xml:space="preserve"> </v>
      </c>
      <c r="BW176" s="26" t="str">
        <f>IFERROR($AC176*HDF_Limited_Col!BW176/HDF_Limited_Col!$AH176," ")</f>
        <v xml:space="preserve"> </v>
      </c>
      <c r="BX176" s="26" t="str">
        <f>IFERROR($AC176*HDF_Limited_Col!BX176/HDF_Limited_Col!$AH176," ")</f>
        <v xml:space="preserve"> </v>
      </c>
      <c r="BY176" s="26" t="str">
        <f>IFERROR($AC176*HDF_Limited_Col!BY176/HDF_Limited_Col!$AH176," ")</f>
        <v xml:space="preserve"> </v>
      </c>
      <c r="BZ176" s="26" t="str">
        <f>IFERROR($AC176*HDF_Limited_Col!BZ176/HDF_Limited_Col!$AH176," ")</f>
        <v xml:space="preserve"> </v>
      </c>
      <c r="CA176" s="26" t="str">
        <f>IFERROR($AC176*HDF_Limited_Col!CA176/HDF_Limited_Col!$AH176," ")</f>
        <v xml:space="preserve"> </v>
      </c>
      <c r="CB176" s="26" t="str">
        <f>IFERROR($AC176*HDF_Limited_Col!CB176/HDF_Limited_Col!$AH176," ")</f>
        <v xml:space="preserve"> </v>
      </c>
      <c r="CC176" s="26" t="str">
        <f>IFERROR($AC176*HDF_Limited_Col!CC176/HDF_Limited_Col!$AH176," ")</f>
        <v xml:space="preserve"> </v>
      </c>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row>
    <row r="177" spans="1:109">
      <c r="A177" s="53" t="s">
        <v>1651</v>
      </c>
      <c r="B177" s="53" t="s">
        <v>24</v>
      </c>
      <c r="C177" s="155" t="s">
        <v>546</v>
      </c>
      <c r="D177" s="53" t="s">
        <v>119</v>
      </c>
      <c r="E177" s="53" t="s">
        <v>1394</v>
      </c>
      <c r="F177" s="53" t="s">
        <v>1628</v>
      </c>
      <c r="G177" s="53" t="s">
        <v>595</v>
      </c>
      <c r="H177" s="52">
        <v>132</v>
      </c>
      <c r="I177" s="53" t="s">
        <v>735</v>
      </c>
      <c r="J177" s="53"/>
      <c r="K177" s="53" t="s">
        <v>1276</v>
      </c>
      <c r="L177" s="53"/>
      <c r="M177" s="53" t="s">
        <v>1638</v>
      </c>
      <c r="N177" s="53">
        <v>49</v>
      </c>
      <c r="O177" s="95">
        <v>0.89870201570651143</v>
      </c>
      <c r="P177" s="95">
        <v>0.39942311809178283</v>
      </c>
      <c r="Q177" s="95">
        <v>0.39942311809178283</v>
      </c>
      <c r="R177" s="95">
        <v>13.180962897028833</v>
      </c>
      <c r="S177" s="95">
        <v>2.5962502675965884</v>
      </c>
      <c r="T177" s="95">
        <v>9.4862990546798418</v>
      </c>
      <c r="U177" s="95">
        <v>0.4992788976147286</v>
      </c>
      <c r="V177" s="95">
        <v>23.366252408369295</v>
      </c>
      <c r="W177" s="95">
        <v>15.477645826056586</v>
      </c>
      <c r="X177" s="95">
        <v>1.2981251337982942</v>
      </c>
      <c r="Y177" s="95">
        <v>41.839571620114249</v>
      </c>
      <c r="Z177" s="95">
        <v>109.44193435714848</v>
      </c>
      <c r="AA177" s="53"/>
      <c r="AB177" s="53"/>
      <c r="AC177" s="26">
        <f t="shared" si="3"/>
        <v>128485.71189301676</v>
      </c>
      <c r="AD177" s="26" t="str">
        <f>IFERROR($AC177*HDF_Limited_Col!AD177/HDF_Limited_Col!$AH177," ")</f>
        <v xml:space="preserve"> </v>
      </c>
      <c r="AE177" s="26" t="str">
        <f>IFERROR($AC177*HDF_Limited_Col!AE177/HDF_Limited_Col!$AH177," ")</f>
        <v xml:space="preserve"> </v>
      </c>
      <c r="AF177" s="26" t="str">
        <f>IFERROR($AC177*HDF_Limited_Col!AF177/HDF_Limited_Col!$AH177," ")</f>
        <v xml:space="preserve"> </v>
      </c>
      <c r="AG177" s="26" t="str">
        <f>IFERROR($AC177*HDF_Limited_Col!AG177/HDF_Limited_Col!$AH177," ")</f>
        <v xml:space="preserve"> </v>
      </c>
      <c r="AH177" s="26" t="str">
        <f>IFERROR($AC177*HDF_Limited_Col!AH177/HDF_Limited_Col!$AH177," ")</f>
        <v xml:space="preserve"> </v>
      </c>
      <c r="AI177" s="26" t="str">
        <f>IFERROR($AC177*HDF_Limited_Col!AI177/HDF_Limited_Col!$AH177," ")</f>
        <v xml:space="preserve"> </v>
      </c>
      <c r="AJ177" s="26" t="str">
        <f>IFERROR($AC177*HDF_Limited_Col!AJ177/HDF_Limited_Col!$AH177," ")</f>
        <v xml:space="preserve"> </v>
      </c>
      <c r="AK177" s="26" t="str">
        <f>IFERROR($AC177*HDF_Limited_Col!AK177/HDF_Limited_Col!$AH177," ")</f>
        <v xml:space="preserve"> </v>
      </c>
      <c r="AL177" s="26" t="str">
        <f>IFERROR($AC177*HDF_Limited_Col!AL177/HDF_Limited_Col!$AH177," ")</f>
        <v xml:space="preserve"> </v>
      </c>
      <c r="AM177" s="26" t="str">
        <f>IFERROR($AC177*HDF_Limited_Col!AM177/HDF_Limited_Col!$AH177," ")</f>
        <v xml:space="preserve"> </v>
      </c>
      <c r="AN177" s="26" t="str">
        <f>IFERROR($AC177*HDF_Limited_Col!AN177/HDF_Limited_Col!$AH177," ")</f>
        <v xml:space="preserve"> </v>
      </c>
      <c r="AO177" s="26" t="str">
        <f>IFERROR($AC177*HDF_Limited_Col!AO177/HDF_Limited_Col!$AH177," ")</f>
        <v xml:space="preserve"> </v>
      </c>
      <c r="AP177" s="26" t="str">
        <f>IFERROR($AC177*HDF_Limited_Col!AP177/HDF_Limited_Col!$AH177," ")</f>
        <v xml:space="preserve"> </v>
      </c>
      <c r="AQ177" s="26" t="str">
        <f>IFERROR($AC177*HDF_Limited_Col!AQ177/HDF_Limited_Col!$AH177," ")</f>
        <v xml:space="preserve"> </v>
      </c>
      <c r="AR177" s="26" t="str">
        <f>IFERROR($AC177*HDF_Limited_Col!AR177/HDF_Limited_Col!$AH177," ")</f>
        <v xml:space="preserve"> </v>
      </c>
      <c r="AS177" s="26" t="str">
        <f>IFERROR($AC177*HDF_Limited_Col!AS177/HDF_Limited_Col!$AH177," ")</f>
        <v xml:space="preserve"> </v>
      </c>
      <c r="AT177" s="26" t="str">
        <f>IFERROR($AC177*HDF_Limited_Col!AT177/HDF_Limited_Col!$AH177," ")</f>
        <v xml:space="preserve"> </v>
      </c>
      <c r="AU177" s="26" t="str">
        <f>IFERROR($AC177*HDF_Limited_Col!AU177/HDF_Limited_Col!$AH177," ")</f>
        <v xml:space="preserve"> </v>
      </c>
      <c r="AV177" s="26" t="str">
        <f>IFERROR($AC177*HDF_Limited_Col!AV177/HDF_Limited_Col!$AH177," ")</f>
        <v xml:space="preserve"> </v>
      </c>
      <c r="AW177" s="26" t="str">
        <f>IFERROR($AC177*HDF_Limited_Col!AW177/HDF_Limited_Col!$AH177," ")</f>
        <v xml:space="preserve"> </v>
      </c>
      <c r="AX177" s="26" t="str">
        <f>IFERROR($AC177*HDF_Limited_Col!AX177/HDF_Limited_Col!$AH177," ")</f>
        <v xml:space="preserve"> </v>
      </c>
      <c r="AY177" s="26" t="str">
        <f>IFERROR($AC177*HDF_Limited_Col!AY177/HDF_Limited_Col!$AH177," ")</f>
        <v xml:space="preserve"> </v>
      </c>
      <c r="AZ177" s="26" t="str">
        <f>IFERROR($AC177*HDF_Limited_Col!AZ177/HDF_Limited_Col!$AH177," ")</f>
        <v xml:space="preserve"> </v>
      </c>
      <c r="BA177" s="26" t="str">
        <f>IFERROR($AC177*HDF_Limited_Col!BA177/HDF_Limited_Col!$AH177," ")</f>
        <v xml:space="preserve"> </v>
      </c>
      <c r="BB177" s="26" t="str">
        <f>IFERROR($AC177*HDF_Limited_Col!BB177/HDF_Limited_Col!$AH177," ")</f>
        <v xml:space="preserve"> </v>
      </c>
      <c r="BC177" s="26" t="str">
        <f>IFERROR($AC177*HDF_Limited_Col!BC177/HDF_Limited_Col!$AH177," ")</f>
        <v xml:space="preserve"> </v>
      </c>
      <c r="BD177" s="26" t="str">
        <f>IFERROR($AC177*HDF_Limited_Col!BD177/HDF_Limited_Col!$AH177," ")</f>
        <v xml:space="preserve"> </v>
      </c>
      <c r="BE177" s="26" t="str">
        <f>IFERROR($AC177*HDF_Limited_Col!BE177/HDF_Limited_Col!$AH177," ")</f>
        <v xml:space="preserve"> </v>
      </c>
      <c r="BF177" s="26" t="str">
        <f>IFERROR($AC177*HDF_Limited_Col!BF177/HDF_Limited_Col!$AH177," ")</f>
        <v xml:space="preserve"> </v>
      </c>
      <c r="BG177" s="26" t="str">
        <f>IFERROR($AC177*HDF_Limited_Col!BG177/HDF_Limited_Col!$AH177," ")</f>
        <v xml:space="preserve"> </v>
      </c>
      <c r="BH177" s="26" t="str">
        <f>IFERROR($AC177*HDF_Limited_Col!BH177/HDF_Limited_Col!$AH177," ")</f>
        <v xml:space="preserve"> </v>
      </c>
      <c r="BI177" s="26" t="str">
        <f>IFERROR($AC177*HDF_Limited_Col!BI177/HDF_Limited_Col!$AH177," ")</f>
        <v xml:space="preserve"> </v>
      </c>
      <c r="BJ177" s="26" t="str">
        <f>IFERROR($AC177*HDF_Limited_Col!BJ177/HDF_Limited_Col!$AH177," ")</f>
        <v xml:space="preserve"> </v>
      </c>
      <c r="BK177" s="26" t="str">
        <f>IFERROR($AC177*HDF_Limited_Col!BK177/HDF_Limited_Col!$AH177," ")</f>
        <v xml:space="preserve"> </v>
      </c>
      <c r="BL177" s="26" t="str">
        <f>IFERROR($AC177*HDF_Limited_Col!BL177/HDF_Limited_Col!$AH177," ")</f>
        <v xml:space="preserve"> </v>
      </c>
      <c r="BM177" s="26" t="str">
        <f>IFERROR($AC177*HDF_Limited_Col!BM177/HDF_Limited_Col!$AH177," ")</f>
        <v xml:space="preserve"> </v>
      </c>
      <c r="BN177" s="26" t="str">
        <f>IFERROR($AC177*HDF_Limited_Col!BN177/HDF_Limited_Col!$AH177," ")</f>
        <v xml:space="preserve"> </v>
      </c>
      <c r="BO177" s="26" t="str">
        <f>IFERROR($AC177*HDF_Limited_Col!BO177/HDF_Limited_Col!$AH177," ")</f>
        <v xml:space="preserve"> </v>
      </c>
      <c r="BP177" s="26" t="str">
        <f>IFERROR($AC177*HDF_Limited_Col!BP177/HDF_Limited_Col!$AH177," ")</f>
        <v xml:space="preserve"> </v>
      </c>
      <c r="BQ177" s="26" t="str">
        <f>IFERROR($AC177*HDF_Limited_Col!BQ177/HDF_Limited_Col!$AH177," ")</f>
        <v xml:space="preserve"> </v>
      </c>
      <c r="BR177" s="26" t="str">
        <f>IFERROR($AC177*HDF_Limited_Col!BR177/HDF_Limited_Col!$AH177," ")</f>
        <v xml:space="preserve"> </v>
      </c>
      <c r="BS177" s="26" t="str">
        <f>IFERROR($AC177*HDF_Limited_Col!BS177/HDF_Limited_Col!$AH177," ")</f>
        <v xml:space="preserve"> </v>
      </c>
      <c r="BT177" s="26" t="str">
        <f>IFERROR($AC177*HDF_Limited_Col!BT177/HDF_Limited_Col!$AH177," ")</f>
        <v xml:space="preserve"> </v>
      </c>
      <c r="BU177" s="26" t="str">
        <f>IFERROR($AC177*HDF_Limited_Col!BU177/HDF_Limited_Col!$AH177," ")</f>
        <v xml:space="preserve"> </v>
      </c>
      <c r="BV177" s="26" t="str">
        <f>IFERROR($AC177*HDF_Limited_Col!BV177/HDF_Limited_Col!$AH177," ")</f>
        <v xml:space="preserve"> </v>
      </c>
      <c r="BW177" s="26" t="str">
        <f>IFERROR($AC177*HDF_Limited_Col!BW177/HDF_Limited_Col!$AH177," ")</f>
        <v xml:space="preserve"> </v>
      </c>
      <c r="BX177" s="26" t="str">
        <f>IFERROR($AC177*HDF_Limited_Col!BX177/HDF_Limited_Col!$AH177," ")</f>
        <v xml:space="preserve"> </v>
      </c>
      <c r="BY177" s="26" t="str">
        <f>IFERROR($AC177*HDF_Limited_Col!BY177/HDF_Limited_Col!$AH177," ")</f>
        <v xml:space="preserve"> </v>
      </c>
      <c r="BZ177" s="26" t="str">
        <f>IFERROR($AC177*HDF_Limited_Col!BZ177/HDF_Limited_Col!$AH177," ")</f>
        <v xml:space="preserve"> </v>
      </c>
      <c r="CA177" s="26" t="str">
        <f>IFERROR($AC177*HDF_Limited_Col!CA177/HDF_Limited_Col!$AH177," ")</f>
        <v xml:space="preserve"> </v>
      </c>
      <c r="CB177" s="26" t="str">
        <f>IFERROR($AC177*HDF_Limited_Col!CB177/HDF_Limited_Col!$AH177," ")</f>
        <v xml:space="preserve"> </v>
      </c>
      <c r="CC177" s="26" t="str">
        <f>IFERROR($AC177*HDF_Limited_Col!CC177/HDF_Limited_Col!$AH177," ")</f>
        <v xml:space="preserve"> </v>
      </c>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row>
    <row r="178" spans="1:109">
      <c r="A178" s="26" t="s">
        <v>1656</v>
      </c>
      <c r="B178" s="53" t="s">
        <v>24</v>
      </c>
      <c r="C178" s="155" t="s">
        <v>546</v>
      </c>
      <c r="D178" s="53" t="s">
        <v>119</v>
      </c>
      <c r="E178" s="53" t="s">
        <v>237</v>
      </c>
      <c r="F178" s="53" t="s">
        <v>849</v>
      </c>
      <c r="G178" s="53" t="s">
        <v>595</v>
      </c>
      <c r="H178" s="52">
        <v>364</v>
      </c>
      <c r="I178" s="53" t="s">
        <v>1148</v>
      </c>
      <c r="J178" s="53" t="s">
        <v>635</v>
      </c>
      <c r="K178" s="53" t="s">
        <v>1678</v>
      </c>
      <c r="L178" s="53"/>
      <c r="M178" s="53" t="s">
        <v>1694</v>
      </c>
      <c r="N178" s="53">
        <v>30</v>
      </c>
      <c r="O178" s="95">
        <v>2.2468052434093</v>
      </c>
      <c r="P178" s="95">
        <v>0.20136462087158821</v>
      </c>
      <c r="Q178" s="95">
        <v>0.30734600027768721</v>
      </c>
      <c r="R178" s="95">
        <v>6.5496492472969212</v>
      </c>
      <c r="S178" s="95">
        <v>10.004642215935752</v>
      </c>
      <c r="T178" s="95">
        <v>12.293840011107489</v>
      </c>
      <c r="U178" s="95">
        <v>7.0795561443274169</v>
      </c>
      <c r="V178" s="95">
        <v>4.8751434526805566</v>
      </c>
      <c r="W178" s="95">
        <v>43.134421418282315</v>
      </c>
      <c r="X178" s="95">
        <v>0.71007524202086381</v>
      </c>
      <c r="Y178" s="95">
        <v>16.109169669727056</v>
      </c>
      <c r="Z178" s="95">
        <v>103.51201326593694</v>
      </c>
      <c r="AA178" s="53"/>
      <c r="AB178" s="26"/>
      <c r="AC178" s="26">
        <f t="shared" si="3"/>
        <v>358074.92336406762</v>
      </c>
      <c r="AD178" s="26" t="str">
        <f>IFERROR($AC178*HDF_Limited_Col!AD178/HDF_Limited_Col!$AH178," ")</f>
        <v xml:space="preserve"> </v>
      </c>
      <c r="AE178" s="26" t="str">
        <f>IFERROR($AC178*HDF_Limited_Col!AE178/HDF_Limited_Col!$AH178," ")</f>
        <v xml:space="preserve"> </v>
      </c>
      <c r="AF178" s="26" t="str">
        <f>IFERROR($AC178*HDF_Limited_Col!AF178/HDF_Limited_Col!$AH178," ")</f>
        <v xml:space="preserve"> </v>
      </c>
      <c r="AG178" s="26" t="str">
        <f>IFERROR($AC178*HDF_Limited_Col!AG178/HDF_Limited_Col!$AH178," ")</f>
        <v xml:space="preserve"> </v>
      </c>
      <c r="AH178" s="26" t="str">
        <f>IFERROR($AC178*HDF_Limited_Col!AH178/HDF_Limited_Col!$AH178," ")</f>
        <v xml:space="preserve"> </v>
      </c>
      <c r="AI178" s="26" t="str">
        <f>IFERROR($AC178*HDF_Limited_Col!AI178/HDF_Limited_Col!$AH178," ")</f>
        <v xml:space="preserve"> </v>
      </c>
      <c r="AJ178" s="26" t="str">
        <f>IFERROR($AC178*HDF_Limited_Col!AJ178/HDF_Limited_Col!$AH178," ")</f>
        <v xml:space="preserve"> </v>
      </c>
      <c r="AK178" s="26" t="str">
        <f>IFERROR($AC178*HDF_Limited_Col!AK178/HDF_Limited_Col!$AH178," ")</f>
        <v xml:space="preserve"> </v>
      </c>
      <c r="AL178" s="26" t="str">
        <f>IFERROR($AC178*HDF_Limited_Col!AL178/HDF_Limited_Col!$AH178," ")</f>
        <v xml:space="preserve"> </v>
      </c>
      <c r="AM178" s="26" t="str">
        <f>IFERROR($AC178*HDF_Limited_Col!AM178/HDF_Limited_Col!$AH178," ")</f>
        <v xml:space="preserve"> </v>
      </c>
      <c r="AN178" s="26" t="str">
        <f>IFERROR($AC178*HDF_Limited_Col!AN178/HDF_Limited_Col!$AH178," ")</f>
        <v xml:space="preserve"> </v>
      </c>
      <c r="AO178" s="26" t="str">
        <f>IFERROR($AC178*HDF_Limited_Col!AO178/HDF_Limited_Col!$AH178," ")</f>
        <v xml:space="preserve"> </v>
      </c>
      <c r="AP178" s="26" t="str">
        <f>IFERROR($AC178*HDF_Limited_Col!AP178/HDF_Limited_Col!$AH178," ")</f>
        <v xml:space="preserve"> </v>
      </c>
      <c r="AQ178" s="26" t="str">
        <f>IFERROR($AC178*HDF_Limited_Col!AQ178/HDF_Limited_Col!$AH178," ")</f>
        <v xml:space="preserve"> </v>
      </c>
      <c r="AR178" s="26" t="str">
        <f>IFERROR($AC178*HDF_Limited_Col!AR178/HDF_Limited_Col!$AH178," ")</f>
        <v xml:space="preserve"> </v>
      </c>
      <c r="AS178" s="26" t="str">
        <f>IFERROR($AC178*HDF_Limited_Col!AS178/HDF_Limited_Col!$AH178," ")</f>
        <v xml:space="preserve"> </v>
      </c>
      <c r="AT178" s="26" t="str">
        <f>IFERROR($AC178*HDF_Limited_Col!AT178/HDF_Limited_Col!$AH178," ")</f>
        <v xml:space="preserve"> </v>
      </c>
      <c r="AU178" s="26" t="str">
        <f>IFERROR($AC178*HDF_Limited_Col!AU178/HDF_Limited_Col!$AH178," ")</f>
        <v xml:space="preserve"> </v>
      </c>
      <c r="AV178" s="26" t="str">
        <f>IFERROR($AC178*HDF_Limited_Col!AV178/HDF_Limited_Col!$AH178," ")</f>
        <v xml:space="preserve"> </v>
      </c>
      <c r="AW178" s="26" t="str">
        <f>IFERROR($AC178*HDF_Limited_Col!AW178/HDF_Limited_Col!$AH178," ")</f>
        <v xml:space="preserve"> </v>
      </c>
      <c r="AX178" s="26" t="str">
        <f>IFERROR($AC178*HDF_Limited_Col!AX178/HDF_Limited_Col!$AH178," ")</f>
        <v xml:space="preserve"> </v>
      </c>
      <c r="AY178" s="26" t="str">
        <f>IFERROR($AC178*HDF_Limited_Col!AY178/HDF_Limited_Col!$AH178," ")</f>
        <v xml:space="preserve"> </v>
      </c>
      <c r="AZ178" s="26" t="str">
        <f>IFERROR($AC178*HDF_Limited_Col!AZ178/HDF_Limited_Col!$AH178," ")</f>
        <v xml:space="preserve"> </v>
      </c>
      <c r="BA178" s="26" t="str">
        <f>IFERROR($AC178*HDF_Limited_Col!BA178/HDF_Limited_Col!$AH178," ")</f>
        <v xml:space="preserve"> </v>
      </c>
      <c r="BB178" s="26" t="str">
        <f>IFERROR($AC178*HDF_Limited_Col!BB178/HDF_Limited_Col!$AH178," ")</f>
        <v xml:space="preserve"> </v>
      </c>
      <c r="BC178" s="26" t="str">
        <f>IFERROR($AC178*HDF_Limited_Col!BC178/HDF_Limited_Col!$AH178," ")</f>
        <v xml:space="preserve"> </v>
      </c>
      <c r="BD178" s="26" t="str">
        <f>IFERROR($AC178*HDF_Limited_Col!BD178/HDF_Limited_Col!$AH178," ")</f>
        <v xml:space="preserve"> </v>
      </c>
      <c r="BE178" s="26" t="str">
        <f>IFERROR($AC178*HDF_Limited_Col!BE178/HDF_Limited_Col!$AH178," ")</f>
        <v xml:space="preserve"> </v>
      </c>
      <c r="BF178" s="26" t="str">
        <f>IFERROR($AC178*HDF_Limited_Col!BF178/HDF_Limited_Col!$AH178," ")</f>
        <v xml:space="preserve"> </v>
      </c>
      <c r="BG178" s="26" t="str">
        <f>IFERROR($AC178*HDF_Limited_Col!BG178/HDF_Limited_Col!$AH178," ")</f>
        <v xml:space="preserve"> </v>
      </c>
      <c r="BH178" s="26" t="str">
        <f>IFERROR($AC178*HDF_Limited_Col!BH178/HDF_Limited_Col!$AH178," ")</f>
        <v xml:space="preserve"> </v>
      </c>
      <c r="BI178" s="26" t="str">
        <f>IFERROR($AC178*HDF_Limited_Col!BI178/HDF_Limited_Col!$AH178," ")</f>
        <v xml:space="preserve"> </v>
      </c>
      <c r="BJ178" s="26" t="str">
        <f>IFERROR($AC178*HDF_Limited_Col!BJ178/HDF_Limited_Col!$AH178," ")</f>
        <v xml:space="preserve"> </v>
      </c>
      <c r="BK178" s="26" t="str">
        <f>IFERROR($AC178*HDF_Limited_Col!BK178/HDF_Limited_Col!$AH178," ")</f>
        <v xml:space="preserve"> </v>
      </c>
      <c r="BL178" s="26" t="str">
        <f>IFERROR($AC178*HDF_Limited_Col!BL178/HDF_Limited_Col!$AH178," ")</f>
        <v xml:space="preserve"> </v>
      </c>
      <c r="BM178" s="26" t="str">
        <f>IFERROR($AC178*HDF_Limited_Col!BM178/HDF_Limited_Col!$AH178," ")</f>
        <v xml:space="preserve"> </v>
      </c>
      <c r="BN178" s="26" t="str">
        <f>IFERROR($AC178*HDF_Limited_Col!BN178/HDF_Limited_Col!$AH178," ")</f>
        <v xml:space="preserve"> </v>
      </c>
      <c r="BO178" s="26" t="str">
        <f>IFERROR($AC178*HDF_Limited_Col!BO178/HDF_Limited_Col!$AH178," ")</f>
        <v xml:space="preserve"> </v>
      </c>
      <c r="BP178" s="26" t="str">
        <f>IFERROR($AC178*HDF_Limited_Col!BP178/HDF_Limited_Col!$AH178," ")</f>
        <v xml:space="preserve"> </v>
      </c>
      <c r="BQ178" s="26" t="str">
        <f>IFERROR($AC178*HDF_Limited_Col!BQ178/HDF_Limited_Col!$AH178," ")</f>
        <v xml:space="preserve"> </v>
      </c>
      <c r="BR178" s="26" t="str">
        <f>IFERROR($AC178*HDF_Limited_Col!BR178/HDF_Limited_Col!$AH178," ")</f>
        <v xml:space="preserve"> </v>
      </c>
      <c r="BS178" s="26" t="str">
        <f>IFERROR($AC178*HDF_Limited_Col!BS178/HDF_Limited_Col!$AH178," ")</f>
        <v xml:space="preserve"> </v>
      </c>
      <c r="BT178" s="26" t="str">
        <f>IFERROR($AC178*HDF_Limited_Col!BT178/HDF_Limited_Col!$AH178," ")</f>
        <v xml:space="preserve"> </v>
      </c>
      <c r="BU178" s="26" t="str">
        <f>IFERROR($AC178*HDF_Limited_Col!BU178/HDF_Limited_Col!$AH178," ")</f>
        <v xml:space="preserve"> </v>
      </c>
      <c r="BV178" s="26" t="str">
        <f>IFERROR($AC178*HDF_Limited_Col!BV178/HDF_Limited_Col!$AH178," ")</f>
        <v xml:space="preserve"> </v>
      </c>
      <c r="BW178" s="26" t="str">
        <f>IFERROR($AC178*HDF_Limited_Col!BW178/HDF_Limited_Col!$AH178," ")</f>
        <v xml:space="preserve"> </v>
      </c>
      <c r="BX178" s="26" t="str">
        <f>IFERROR($AC178*HDF_Limited_Col!BX178/HDF_Limited_Col!$AH178," ")</f>
        <v xml:space="preserve"> </v>
      </c>
      <c r="BY178" s="26" t="str">
        <f>IFERROR($AC178*HDF_Limited_Col!BY178/HDF_Limited_Col!$AH178," ")</f>
        <v xml:space="preserve"> </v>
      </c>
      <c r="BZ178" s="26" t="str">
        <f>IFERROR($AC178*HDF_Limited_Col!BZ178/HDF_Limited_Col!$AH178," ")</f>
        <v xml:space="preserve"> </v>
      </c>
      <c r="CA178" s="26" t="str">
        <f>IFERROR($AC178*HDF_Limited_Col!CA178/HDF_Limited_Col!$AH178," ")</f>
        <v xml:space="preserve"> </v>
      </c>
      <c r="CB178" s="26" t="str">
        <f>IFERROR($AC178*HDF_Limited_Col!CB178/HDF_Limited_Col!$AH178," ")</f>
        <v xml:space="preserve"> </v>
      </c>
      <c r="CC178" s="26" t="str">
        <f>IFERROR($AC178*HDF_Limited_Col!CC178/HDF_Limited_Col!$AH178," ")</f>
        <v xml:space="preserve"> </v>
      </c>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row>
    <row r="179" spans="1:109">
      <c r="A179" s="26" t="s">
        <v>1229</v>
      </c>
      <c r="B179" s="26" t="s">
        <v>24</v>
      </c>
      <c r="C179" s="156" t="s">
        <v>541</v>
      </c>
      <c r="D179" s="26"/>
      <c r="E179" s="26" t="s">
        <v>1394</v>
      </c>
      <c r="F179" s="26" t="s">
        <v>1432</v>
      </c>
      <c r="G179" s="26" t="s">
        <v>595</v>
      </c>
      <c r="H179" s="30">
        <v>93</v>
      </c>
      <c r="I179" s="26"/>
      <c r="J179" s="26" t="s">
        <v>1311</v>
      </c>
      <c r="K179" s="26" t="s">
        <v>1274</v>
      </c>
      <c r="L179" s="26"/>
      <c r="M179" s="26" t="s">
        <v>1486</v>
      </c>
      <c r="N179" s="26">
        <v>18</v>
      </c>
      <c r="O179" s="95">
        <v>60.516138713244331</v>
      </c>
      <c r="P179" s="95">
        <v>1.6257741376468473</v>
      </c>
      <c r="Q179" s="95">
        <v>6.1745532075155038</v>
      </c>
      <c r="R179" s="95">
        <v>4.6318681219956677</v>
      </c>
      <c r="S179" s="95">
        <v>4.2715247852856768</v>
      </c>
      <c r="T179" s="95">
        <v>3.8817412101450106</v>
      </c>
      <c r="U179" s="95">
        <v>0.80094232823937905</v>
      </c>
      <c r="V179" s="95">
        <v>2.6164979899422476</v>
      </c>
      <c r="W179" s="95">
        <v>9.4547617033509219</v>
      </c>
      <c r="X179" s="95">
        <v>5.1366543804319722</v>
      </c>
      <c r="Y179" s="95">
        <v>1.1487910498024081</v>
      </c>
      <c r="Z179" s="95">
        <v>100.25924762759998</v>
      </c>
      <c r="AA179" s="26"/>
      <c r="AB179" s="26"/>
      <c r="AC179" s="26">
        <f t="shared" si="3"/>
        <v>78487.503970969454</v>
      </c>
      <c r="AD179" s="26" t="str">
        <f>IFERROR($AC179*HDF_Limited_Col!AD179/HDF_Limited_Col!$AH179," ")</f>
        <v xml:space="preserve"> </v>
      </c>
      <c r="AE179" s="26" t="str">
        <f>IFERROR($AC179*HDF_Limited_Col!AE179/HDF_Limited_Col!$AH179," ")</f>
        <v xml:space="preserve"> </v>
      </c>
      <c r="AF179" s="26" t="str">
        <f>IFERROR($AC179*HDF_Limited_Col!AF179/HDF_Limited_Col!$AH179," ")</f>
        <v xml:space="preserve"> </v>
      </c>
      <c r="AG179" s="26" t="str">
        <f>IFERROR($AC179*HDF_Limited_Col!AG179/HDF_Limited_Col!$AH179," ")</f>
        <v xml:space="preserve"> </v>
      </c>
      <c r="AH179" s="26" t="str">
        <f>IFERROR($AC179*HDF_Limited_Col!AH179/HDF_Limited_Col!$AH179," ")</f>
        <v xml:space="preserve"> </v>
      </c>
      <c r="AI179" s="26" t="str">
        <f>IFERROR($AC179*HDF_Limited_Col!AI179/HDF_Limited_Col!$AH179," ")</f>
        <v xml:space="preserve"> </v>
      </c>
      <c r="AJ179" s="26" t="str">
        <f>IFERROR($AC179*HDF_Limited_Col!AJ179/HDF_Limited_Col!$AH179," ")</f>
        <v xml:space="preserve"> </v>
      </c>
      <c r="AK179" s="26" t="str">
        <f>IFERROR($AC179*HDF_Limited_Col!AK179/HDF_Limited_Col!$AH179," ")</f>
        <v xml:space="preserve"> </v>
      </c>
      <c r="AL179" s="26" t="str">
        <f>IFERROR($AC179*HDF_Limited_Col!AL179/HDF_Limited_Col!$AH179," ")</f>
        <v xml:space="preserve"> </v>
      </c>
      <c r="AM179" s="26" t="str">
        <f>IFERROR($AC179*HDF_Limited_Col!AM179/HDF_Limited_Col!$AH179," ")</f>
        <v xml:space="preserve"> </v>
      </c>
      <c r="AN179" s="26" t="str">
        <f>IFERROR($AC179*HDF_Limited_Col!AN179/HDF_Limited_Col!$AH179," ")</f>
        <v xml:space="preserve"> </v>
      </c>
      <c r="AO179" s="26" t="str">
        <f>IFERROR($AC179*HDF_Limited_Col!AO179/HDF_Limited_Col!$AH179," ")</f>
        <v xml:space="preserve"> </v>
      </c>
      <c r="AP179" s="26" t="str">
        <f>IFERROR($AC179*HDF_Limited_Col!AP179/HDF_Limited_Col!$AH179," ")</f>
        <v xml:space="preserve"> </v>
      </c>
      <c r="AQ179" s="26" t="str">
        <f>IFERROR($AC179*HDF_Limited_Col!AQ179/HDF_Limited_Col!$AH179," ")</f>
        <v xml:space="preserve"> </v>
      </c>
      <c r="AR179" s="26" t="str">
        <f>IFERROR($AC179*HDF_Limited_Col!AR179/HDF_Limited_Col!$AH179," ")</f>
        <v xml:space="preserve"> </v>
      </c>
      <c r="AS179" s="26" t="str">
        <f>IFERROR($AC179*HDF_Limited_Col!AS179/HDF_Limited_Col!$AH179," ")</f>
        <v xml:space="preserve"> </v>
      </c>
      <c r="AT179" s="26" t="str">
        <f>IFERROR($AC179*HDF_Limited_Col!AT179/HDF_Limited_Col!$AH179," ")</f>
        <v xml:space="preserve"> </v>
      </c>
      <c r="AU179" s="26" t="str">
        <f>IFERROR($AC179*HDF_Limited_Col!AU179/HDF_Limited_Col!$AH179," ")</f>
        <v xml:space="preserve"> </v>
      </c>
      <c r="AV179" s="26" t="str">
        <f>IFERROR($AC179*HDF_Limited_Col!AV179/HDF_Limited_Col!$AH179," ")</f>
        <v xml:space="preserve"> </v>
      </c>
      <c r="AW179" s="26" t="str">
        <f>IFERROR($AC179*HDF_Limited_Col!AW179/HDF_Limited_Col!$AH179," ")</f>
        <v xml:space="preserve"> </v>
      </c>
      <c r="AX179" s="26" t="str">
        <f>IFERROR($AC179*HDF_Limited_Col!AX179/HDF_Limited_Col!$AH179," ")</f>
        <v xml:space="preserve"> </v>
      </c>
      <c r="AY179" s="26" t="str">
        <f>IFERROR($AC179*HDF_Limited_Col!AY179/HDF_Limited_Col!$AH179," ")</f>
        <v xml:space="preserve"> </v>
      </c>
      <c r="AZ179" s="26" t="str">
        <f>IFERROR($AC179*HDF_Limited_Col!AZ179/HDF_Limited_Col!$AH179," ")</f>
        <v xml:space="preserve"> </v>
      </c>
      <c r="BA179" s="26" t="str">
        <f>IFERROR($AC179*HDF_Limited_Col!BA179/HDF_Limited_Col!$AH179," ")</f>
        <v xml:space="preserve"> </v>
      </c>
      <c r="BB179" s="26" t="str">
        <f>IFERROR($AC179*HDF_Limited_Col!BB179/HDF_Limited_Col!$AH179," ")</f>
        <v xml:space="preserve"> </v>
      </c>
      <c r="BC179" s="26" t="str">
        <f>IFERROR($AC179*HDF_Limited_Col!BC179/HDF_Limited_Col!$AH179," ")</f>
        <v xml:space="preserve"> </v>
      </c>
      <c r="BD179" s="26" t="str">
        <f>IFERROR($AC179*HDF_Limited_Col!BD179/HDF_Limited_Col!$AH179," ")</f>
        <v xml:space="preserve"> </v>
      </c>
      <c r="BE179" s="26" t="str">
        <f>IFERROR($AC179*HDF_Limited_Col!BE179/HDF_Limited_Col!$AH179," ")</f>
        <v xml:space="preserve"> </v>
      </c>
      <c r="BF179" s="26" t="str">
        <f>IFERROR($AC179*HDF_Limited_Col!BF179/HDF_Limited_Col!$AH179," ")</f>
        <v xml:space="preserve"> </v>
      </c>
      <c r="BG179" s="26" t="str">
        <f>IFERROR($AC179*HDF_Limited_Col!BG179/HDF_Limited_Col!$AH179," ")</f>
        <v xml:space="preserve"> </v>
      </c>
      <c r="BH179" s="26" t="str">
        <f>IFERROR($AC179*HDF_Limited_Col!BH179/HDF_Limited_Col!$AH179," ")</f>
        <v xml:space="preserve"> </v>
      </c>
      <c r="BI179" s="26" t="str">
        <f>IFERROR($AC179*HDF_Limited_Col!BI179/HDF_Limited_Col!$AH179," ")</f>
        <v xml:space="preserve"> </v>
      </c>
      <c r="BJ179" s="26" t="str">
        <f>IFERROR($AC179*HDF_Limited_Col!BJ179/HDF_Limited_Col!$AH179," ")</f>
        <v xml:space="preserve"> </v>
      </c>
      <c r="BK179" s="26" t="str">
        <f>IFERROR($AC179*HDF_Limited_Col!BK179/HDF_Limited_Col!$AH179," ")</f>
        <v xml:space="preserve"> </v>
      </c>
      <c r="BL179" s="26" t="str">
        <f>IFERROR($AC179*HDF_Limited_Col!BL179/HDF_Limited_Col!$AH179," ")</f>
        <v xml:space="preserve"> </v>
      </c>
      <c r="BM179" s="26" t="str">
        <f>IFERROR($AC179*HDF_Limited_Col!BM179/HDF_Limited_Col!$AH179," ")</f>
        <v xml:space="preserve"> </v>
      </c>
      <c r="BN179" s="26" t="str">
        <f>IFERROR($AC179*HDF_Limited_Col!BN179/HDF_Limited_Col!$AH179," ")</f>
        <v xml:space="preserve"> </v>
      </c>
      <c r="BO179" s="26" t="str">
        <f>IFERROR($AC179*HDF_Limited_Col!BO179/HDF_Limited_Col!$AH179," ")</f>
        <v xml:space="preserve"> </v>
      </c>
      <c r="BP179" s="26" t="str">
        <f>IFERROR($AC179*HDF_Limited_Col!BP179/HDF_Limited_Col!$AH179," ")</f>
        <v xml:space="preserve"> </v>
      </c>
      <c r="BQ179" s="26" t="str">
        <f>IFERROR($AC179*HDF_Limited_Col!BQ179/HDF_Limited_Col!$AH179," ")</f>
        <v xml:space="preserve"> </v>
      </c>
      <c r="BR179" s="26" t="str">
        <f>IFERROR($AC179*HDF_Limited_Col!BR179/HDF_Limited_Col!$AH179," ")</f>
        <v xml:space="preserve"> </v>
      </c>
      <c r="BS179" s="26" t="str">
        <f>IFERROR($AC179*HDF_Limited_Col!BS179/HDF_Limited_Col!$AH179," ")</f>
        <v xml:space="preserve"> </v>
      </c>
      <c r="BT179" s="26" t="str">
        <f>IFERROR($AC179*HDF_Limited_Col!BT179/HDF_Limited_Col!$AH179," ")</f>
        <v xml:space="preserve"> </v>
      </c>
      <c r="BU179" s="26" t="str">
        <f>IFERROR($AC179*HDF_Limited_Col!BU179/HDF_Limited_Col!$AH179," ")</f>
        <v xml:space="preserve"> </v>
      </c>
      <c r="BV179" s="26" t="str">
        <f>IFERROR($AC179*HDF_Limited_Col!BV179/HDF_Limited_Col!$AH179," ")</f>
        <v xml:space="preserve"> </v>
      </c>
      <c r="BW179" s="26" t="str">
        <f>IFERROR($AC179*HDF_Limited_Col!BW179/HDF_Limited_Col!$AH179," ")</f>
        <v xml:space="preserve"> </v>
      </c>
      <c r="BX179" s="26" t="str">
        <f>IFERROR($AC179*HDF_Limited_Col!BX179/HDF_Limited_Col!$AH179," ")</f>
        <v xml:space="preserve"> </v>
      </c>
      <c r="BY179" s="26" t="str">
        <f>IFERROR($AC179*HDF_Limited_Col!BY179/HDF_Limited_Col!$AH179," ")</f>
        <v xml:space="preserve"> </v>
      </c>
      <c r="BZ179" s="26" t="str">
        <f>IFERROR($AC179*HDF_Limited_Col!BZ179/HDF_Limited_Col!$AH179," ")</f>
        <v xml:space="preserve"> </v>
      </c>
      <c r="CA179" s="26" t="str">
        <f>IFERROR($AC179*HDF_Limited_Col!CA179/HDF_Limited_Col!$AH179," ")</f>
        <v xml:space="preserve"> </v>
      </c>
      <c r="CB179" s="26" t="str">
        <f>IFERROR($AC179*HDF_Limited_Col!CB179/HDF_Limited_Col!$AH179," ")</f>
        <v xml:space="preserve"> </v>
      </c>
      <c r="CC179" s="26" t="str">
        <f>IFERROR($AC179*HDF_Limited_Col!CC179/HDF_Limited_Col!$AH179," ")</f>
        <v xml:space="preserve"> </v>
      </c>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row>
    <row r="180" spans="1:109">
      <c r="A180" s="26" t="s">
        <v>905</v>
      </c>
      <c r="B180" s="26" t="s">
        <v>24</v>
      </c>
      <c r="C180" s="156" t="s">
        <v>541</v>
      </c>
      <c r="D180" s="26" t="s">
        <v>71</v>
      </c>
      <c r="E180" s="26" t="s">
        <v>1627</v>
      </c>
      <c r="F180" s="26" t="s">
        <v>102</v>
      </c>
      <c r="G180" s="26"/>
      <c r="H180" s="30"/>
      <c r="I180" s="26" t="s">
        <v>712</v>
      </c>
      <c r="J180" s="26"/>
      <c r="K180" s="26" t="s">
        <v>48</v>
      </c>
      <c r="L180" s="26" t="s">
        <v>99</v>
      </c>
      <c r="M180" s="26" t="s">
        <v>907</v>
      </c>
      <c r="N180" s="26">
        <v>45</v>
      </c>
      <c r="O180" s="95">
        <v>45.438397780243307</v>
      </c>
      <c r="P180" s="95">
        <v>2.8467227545861307</v>
      </c>
      <c r="Q180" s="95">
        <v>5.1512637537794497</v>
      </c>
      <c r="R180" s="95">
        <v>9.7208765543708662</v>
      </c>
      <c r="S180" s="95">
        <v>3.9651211923494092</v>
      </c>
      <c r="T180" s="95">
        <v>6.7115571671060952</v>
      </c>
      <c r="U180" s="95">
        <v>1.7592450878341142</v>
      </c>
      <c r="V180" s="95">
        <v>2.7804157793563573</v>
      </c>
      <c r="W180" s="95">
        <v>14.909142102272027</v>
      </c>
      <c r="X180" s="95">
        <v>3.870599763564325</v>
      </c>
      <c r="Y180" s="95">
        <v>3.6762851871719002</v>
      </c>
      <c r="Z180" s="95">
        <v>100.82962712263399</v>
      </c>
      <c r="AA180" s="26"/>
      <c r="AB180" s="26"/>
      <c r="AC180" s="26">
        <f t="shared" si="3"/>
        <v>123766.3504032145</v>
      </c>
      <c r="AD180" s="26" t="str">
        <f>IFERROR($AC180*HDF_Limited_Col!AD180/HDF_Limited_Col!$AH180," ")</f>
        <v xml:space="preserve"> </v>
      </c>
      <c r="AE180" s="26" t="str">
        <f>IFERROR($AC180*HDF_Limited_Col!AE180/HDF_Limited_Col!$AH180," ")</f>
        <v xml:space="preserve"> </v>
      </c>
      <c r="AF180" s="26" t="str">
        <f>IFERROR($AC180*HDF_Limited_Col!AF180/HDF_Limited_Col!$AH180," ")</f>
        <v xml:space="preserve"> </v>
      </c>
      <c r="AG180" s="26" t="str">
        <f>IFERROR($AC180*HDF_Limited_Col!AG180/HDF_Limited_Col!$AH180," ")</f>
        <v xml:space="preserve"> </v>
      </c>
      <c r="AH180" s="26" t="str">
        <f>IFERROR($AC180*HDF_Limited_Col!AH180/HDF_Limited_Col!$AH180," ")</f>
        <v xml:space="preserve"> </v>
      </c>
      <c r="AI180" s="26" t="str">
        <f>IFERROR($AC180*HDF_Limited_Col!AI180/HDF_Limited_Col!$AH180," ")</f>
        <v xml:space="preserve"> </v>
      </c>
      <c r="AJ180" s="26" t="str">
        <f>IFERROR($AC180*HDF_Limited_Col!AJ180/HDF_Limited_Col!$AH180," ")</f>
        <v xml:space="preserve"> </v>
      </c>
      <c r="AK180" s="26" t="str">
        <f>IFERROR($AC180*HDF_Limited_Col!AK180/HDF_Limited_Col!$AH180," ")</f>
        <v xml:space="preserve"> </v>
      </c>
      <c r="AL180" s="26" t="str">
        <f>IFERROR($AC180*HDF_Limited_Col!AL180/HDF_Limited_Col!$AH180," ")</f>
        <v xml:space="preserve"> </v>
      </c>
      <c r="AM180" s="26" t="str">
        <f>IFERROR($AC180*HDF_Limited_Col!AM180/HDF_Limited_Col!$AH180," ")</f>
        <v xml:space="preserve"> </v>
      </c>
      <c r="AN180" s="26" t="str">
        <f>IFERROR($AC180*HDF_Limited_Col!AN180/HDF_Limited_Col!$AH180," ")</f>
        <v xml:space="preserve"> </v>
      </c>
      <c r="AO180" s="26" t="str">
        <f>IFERROR($AC180*HDF_Limited_Col!AO180/HDF_Limited_Col!$AH180," ")</f>
        <v xml:space="preserve"> </v>
      </c>
      <c r="AP180" s="26" t="str">
        <f>IFERROR($AC180*HDF_Limited_Col!AP180/HDF_Limited_Col!$AH180," ")</f>
        <v xml:space="preserve"> </v>
      </c>
      <c r="AQ180" s="26" t="str">
        <f>IFERROR($AC180*HDF_Limited_Col!AQ180/HDF_Limited_Col!$AH180," ")</f>
        <v xml:space="preserve"> </v>
      </c>
      <c r="AR180" s="26" t="str">
        <f>IFERROR($AC180*HDF_Limited_Col!AR180/HDF_Limited_Col!$AH180," ")</f>
        <v xml:space="preserve"> </v>
      </c>
      <c r="AS180" s="26" t="str">
        <f>IFERROR($AC180*HDF_Limited_Col!AS180/HDF_Limited_Col!$AH180," ")</f>
        <v xml:space="preserve"> </v>
      </c>
      <c r="AT180" s="26" t="str">
        <f>IFERROR($AC180*HDF_Limited_Col!AT180/HDF_Limited_Col!$AH180," ")</f>
        <v xml:space="preserve"> </v>
      </c>
      <c r="AU180" s="26" t="str">
        <f>IFERROR($AC180*HDF_Limited_Col!AU180/HDF_Limited_Col!$AH180," ")</f>
        <v xml:space="preserve"> </v>
      </c>
      <c r="AV180" s="26" t="str">
        <f>IFERROR($AC180*HDF_Limited_Col!AV180/HDF_Limited_Col!$AH180," ")</f>
        <v xml:space="preserve"> </v>
      </c>
      <c r="AW180" s="26" t="str">
        <f>IFERROR($AC180*HDF_Limited_Col!AW180/HDF_Limited_Col!$AH180," ")</f>
        <v xml:space="preserve"> </v>
      </c>
      <c r="AX180" s="26" t="str">
        <f>IFERROR($AC180*HDF_Limited_Col!AX180/HDF_Limited_Col!$AH180," ")</f>
        <v xml:space="preserve"> </v>
      </c>
      <c r="AY180" s="26" t="str">
        <f>IFERROR($AC180*HDF_Limited_Col!AY180/HDF_Limited_Col!$AH180," ")</f>
        <v xml:space="preserve"> </v>
      </c>
      <c r="AZ180" s="26" t="str">
        <f>IFERROR($AC180*HDF_Limited_Col!AZ180/HDF_Limited_Col!$AH180," ")</f>
        <v xml:space="preserve"> </v>
      </c>
      <c r="BA180" s="26" t="str">
        <f>IFERROR($AC180*HDF_Limited_Col!BA180/HDF_Limited_Col!$AH180," ")</f>
        <v xml:space="preserve"> </v>
      </c>
      <c r="BB180" s="26" t="str">
        <f>IFERROR($AC180*HDF_Limited_Col!BB180/HDF_Limited_Col!$AH180," ")</f>
        <v xml:space="preserve"> </v>
      </c>
      <c r="BC180" s="26" t="str">
        <f>IFERROR($AC180*HDF_Limited_Col!BC180/HDF_Limited_Col!$AH180," ")</f>
        <v xml:space="preserve"> </v>
      </c>
      <c r="BD180" s="26" t="str">
        <f>IFERROR($AC180*HDF_Limited_Col!BD180/HDF_Limited_Col!$AH180," ")</f>
        <v xml:space="preserve"> </v>
      </c>
      <c r="BE180" s="26" t="str">
        <f>IFERROR($AC180*HDF_Limited_Col!BE180/HDF_Limited_Col!$AH180," ")</f>
        <v xml:space="preserve"> </v>
      </c>
      <c r="BF180" s="26" t="str">
        <f>IFERROR($AC180*HDF_Limited_Col!BF180/HDF_Limited_Col!$AH180," ")</f>
        <v xml:space="preserve"> </v>
      </c>
      <c r="BG180" s="26" t="str">
        <f>IFERROR($AC180*HDF_Limited_Col!BG180/HDF_Limited_Col!$AH180," ")</f>
        <v xml:space="preserve"> </v>
      </c>
      <c r="BH180" s="26" t="str">
        <f>IFERROR($AC180*HDF_Limited_Col!BH180/HDF_Limited_Col!$AH180," ")</f>
        <v xml:space="preserve"> </v>
      </c>
      <c r="BI180" s="26" t="str">
        <f>IFERROR($AC180*HDF_Limited_Col!BI180/HDF_Limited_Col!$AH180," ")</f>
        <v xml:space="preserve"> </v>
      </c>
      <c r="BJ180" s="26" t="str">
        <f>IFERROR($AC180*HDF_Limited_Col!BJ180/HDF_Limited_Col!$AH180," ")</f>
        <v xml:space="preserve"> </v>
      </c>
      <c r="BK180" s="26" t="str">
        <f>IFERROR($AC180*HDF_Limited_Col!BK180/HDF_Limited_Col!$AH180," ")</f>
        <v xml:space="preserve"> </v>
      </c>
      <c r="BL180" s="26" t="str">
        <f>IFERROR($AC180*HDF_Limited_Col!BL180/HDF_Limited_Col!$AH180," ")</f>
        <v xml:space="preserve"> </v>
      </c>
      <c r="BM180" s="26" t="str">
        <f>IFERROR($AC180*HDF_Limited_Col!BM180/HDF_Limited_Col!$AH180," ")</f>
        <v xml:space="preserve"> </v>
      </c>
      <c r="BN180" s="26" t="str">
        <f>IFERROR($AC180*HDF_Limited_Col!BN180/HDF_Limited_Col!$AH180," ")</f>
        <v xml:space="preserve"> </v>
      </c>
      <c r="BO180" s="26" t="str">
        <f>IFERROR($AC180*HDF_Limited_Col!BO180/HDF_Limited_Col!$AH180," ")</f>
        <v xml:space="preserve"> </v>
      </c>
      <c r="BP180" s="26" t="str">
        <f>IFERROR($AC180*HDF_Limited_Col!BP180/HDF_Limited_Col!$AH180," ")</f>
        <v xml:space="preserve"> </v>
      </c>
      <c r="BQ180" s="26" t="str">
        <f>IFERROR($AC180*HDF_Limited_Col!BQ180/HDF_Limited_Col!$AH180," ")</f>
        <v xml:space="preserve"> </v>
      </c>
      <c r="BR180" s="26" t="str">
        <f>IFERROR($AC180*HDF_Limited_Col!BR180/HDF_Limited_Col!$AH180," ")</f>
        <v xml:space="preserve"> </v>
      </c>
      <c r="BS180" s="26" t="str">
        <f>IFERROR($AC180*HDF_Limited_Col!BS180/HDF_Limited_Col!$AH180," ")</f>
        <v xml:space="preserve"> </v>
      </c>
      <c r="BT180" s="26" t="str">
        <f>IFERROR($AC180*HDF_Limited_Col!BT180/HDF_Limited_Col!$AH180," ")</f>
        <v xml:space="preserve"> </v>
      </c>
      <c r="BU180" s="26" t="str">
        <f>IFERROR($AC180*HDF_Limited_Col!BU180/HDF_Limited_Col!$AH180," ")</f>
        <v xml:space="preserve"> </v>
      </c>
      <c r="BV180" s="26" t="str">
        <f>IFERROR($AC180*HDF_Limited_Col!BV180/HDF_Limited_Col!$AH180," ")</f>
        <v xml:space="preserve"> </v>
      </c>
      <c r="BW180" s="26" t="str">
        <f>IFERROR($AC180*HDF_Limited_Col!BW180/HDF_Limited_Col!$AH180," ")</f>
        <v xml:space="preserve"> </v>
      </c>
      <c r="BX180" s="26" t="str">
        <f>IFERROR($AC180*HDF_Limited_Col!BX180/HDF_Limited_Col!$AH180," ")</f>
        <v xml:space="preserve"> </v>
      </c>
      <c r="BY180" s="26" t="str">
        <f>IFERROR($AC180*HDF_Limited_Col!BY180/HDF_Limited_Col!$AH180," ")</f>
        <v xml:space="preserve"> </v>
      </c>
      <c r="BZ180" s="26" t="str">
        <f>IFERROR($AC180*HDF_Limited_Col!BZ180/HDF_Limited_Col!$AH180," ")</f>
        <v xml:space="preserve"> </v>
      </c>
      <c r="CA180" s="26" t="str">
        <f>IFERROR($AC180*HDF_Limited_Col!CA180/HDF_Limited_Col!$AH180," ")</f>
        <v xml:space="preserve"> </v>
      </c>
      <c r="CB180" s="26" t="str">
        <f>IFERROR($AC180*HDF_Limited_Col!CB180/HDF_Limited_Col!$AH180," ")</f>
        <v xml:space="preserve"> </v>
      </c>
      <c r="CC180" s="26" t="str">
        <f>IFERROR($AC180*HDF_Limited_Col!CC180/HDF_Limited_Col!$AH180," ")</f>
        <v xml:space="preserve"> </v>
      </c>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row>
    <row r="181" spans="1:109">
      <c r="A181" s="26" t="s">
        <v>838</v>
      </c>
      <c r="B181" s="26" t="s">
        <v>24</v>
      </c>
      <c r="C181" s="156" t="s">
        <v>541</v>
      </c>
      <c r="D181" s="26" t="s">
        <v>1719</v>
      </c>
      <c r="E181" s="26" t="s">
        <v>388</v>
      </c>
      <c r="F181" s="26" t="s">
        <v>342</v>
      </c>
      <c r="G181" s="26" t="s">
        <v>829</v>
      </c>
      <c r="H181" s="30"/>
      <c r="I181" s="26" t="s">
        <v>735</v>
      </c>
      <c r="J181" s="26"/>
      <c r="K181" s="26" t="s">
        <v>903</v>
      </c>
      <c r="L181" s="26"/>
      <c r="M181" s="26">
        <v>14</v>
      </c>
      <c r="N181" s="26">
        <v>50</v>
      </c>
      <c r="O181" s="95">
        <v>45.659307909959317</v>
      </c>
      <c r="P181" s="95">
        <v>3.8656594906038255</v>
      </c>
      <c r="Q181" s="95">
        <v>6.0818360048505209</v>
      </c>
      <c r="R181" s="95">
        <v>8.9051841668360385</v>
      </c>
      <c r="S181" s="95">
        <v>7.6807213438960824</v>
      </c>
      <c r="T181" s="95">
        <v>6.2336289167852268</v>
      </c>
      <c r="U181" s="95">
        <v>0.75896455967352594</v>
      </c>
      <c r="V181" s="95">
        <v>2.7525114697493209</v>
      </c>
      <c r="W181" s="95">
        <v>15.401920797641422</v>
      </c>
      <c r="X181" s="95">
        <v>1.8923516354526584</v>
      </c>
      <c r="Y181" s="95">
        <v>0.99171369130674059</v>
      </c>
      <c r="Z181" s="95">
        <v>100.22379998675468</v>
      </c>
      <c r="AA181" s="26"/>
      <c r="AB181" s="26"/>
      <c r="AC181" s="26">
        <f t="shared" si="3"/>
        <v>127857.09018314008</v>
      </c>
      <c r="AD181" s="26" t="str">
        <f>IFERROR($AC181*HDF_Limited_Col!AD181/HDF_Limited_Col!$AH181," ")</f>
        <v xml:space="preserve"> </v>
      </c>
      <c r="AE181" s="26" t="str">
        <f>IFERROR($AC181*HDF_Limited_Col!AE181/HDF_Limited_Col!$AH181," ")</f>
        <v xml:space="preserve"> </v>
      </c>
      <c r="AF181" s="26" t="str">
        <f>IFERROR($AC181*HDF_Limited_Col!AF181/HDF_Limited_Col!$AH181," ")</f>
        <v xml:space="preserve"> </v>
      </c>
      <c r="AG181" s="26" t="str">
        <f>IFERROR($AC181*HDF_Limited_Col!AG181/HDF_Limited_Col!$AH181," ")</f>
        <v xml:space="preserve"> </v>
      </c>
      <c r="AH181" s="26" t="str">
        <f>IFERROR($AC181*HDF_Limited_Col!AH181/HDF_Limited_Col!$AH181," ")</f>
        <v xml:space="preserve"> </v>
      </c>
      <c r="AI181" s="26" t="str">
        <f>IFERROR($AC181*HDF_Limited_Col!AI181/HDF_Limited_Col!$AH181," ")</f>
        <v xml:space="preserve"> </v>
      </c>
      <c r="AJ181" s="26" t="str">
        <f>IFERROR($AC181*HDF_Limited_Col!AJ181/HDF_Limited_Col!$AH181," ")</f>
        <v xml:space="preserve"> </v>
      </c>
      <c r="AK181" s="26" t="str">
        <f>IFERROR($AC181*HDF_Limited_Col!AK181/HDF_Limited_Col!$AH181," ")</f>
        <v xml:space="preserve"> </v>
      </c>
      <c r="AL181" s="26" t="str">
        <f>IFERROR($AC181*HDF_Limited_Col!AL181/HDF_Limited_Col!$AH181," ")</f>
        <v xml:space="preserve"> </v>
      </c>
      <c r="AM181" s="26" t="str">
        <f>IFERROR($AC181*HDF_Limited_Col!AM181/HDF_Limited_Col!$AH181," ")</f>
        <v xml:space="preserve"> </v>
      </c>
      <c r="AN181" s="26" t="str">
        <f>IFERROR($AC181*HDF_Limited_Col!AN181/HDF_Limited_Col!$AH181," ")</f>
        <v xml:space="preserve"> </v>
      </c>
      <c r="AO181" s="26" t="str">
        <f>IFERROR($AC181*HDF_Limited_Col!AO181/HDF_Limited_Col!$AH181," ")</f>
        <v xml:space="preserve"> </v>
      </c>
      <c r="AP181" s="26" t="str">
        <f>IFERROR($AC181*HDF_Limited_Col!AP181/HDF_Limited_Col!$AH181," ")</f>
        <v xml:space="preserve"> </v>
      </c>
      <c r="AQ181" s="26" t="str">
        <f>IFERROR($AC181*HDF_Limited_Col!AQ181/HDF_Limited_Col!$AH181," ")</f>
        <v xml:space="preserve"> </v>
      </c>
      <c r="AR181" s="26" t="str">
        <f>IFERROR($AC181*HDF_Limited_Col!AR181/HDF_Limited_Col!$AH181," ")</f>
        <v xml:space="preserve"> </v>
      </c>
      <c r="AS181" s="26" t="str">
        <f>IFERROR($AC181*HDF_Limited_Col!AS181/HDF_Limited_Col!$AH181," ")</f>
        <v xml:space="preserve"> </v>
      </c>
      <c r="AT181" s="26" t="str">
        <f>IFERROR($AC181*HDF_Limited_Col!AT181/HDF_Limited_Col!$AH181," ")</f>
        <v xml:space="preserve"> </v>
      </c>
      <c r="AU181" s="26" t="str">
        <f>IFERROR($AC181*HDF_Limited_Col!AU181/HDF_Limited_Col!$AH181," ")</f>
        <v xml:space="preserve"> </v>
      </c>
      <c r="AV181" s="26" t="str">
        <f>IFERROR($AC181*HDF_Limited_Col!AV181/HDF_Limited_Col!$AH181," ")</f>
        <v xml:space="preserve"> </v>
      </c>
      <c r="AW181" s="26" t="str">
        <f>IFERROR($AC181*HDF_Limited_Col!AW181/HDF_Limited_Col!$AH181," ")</f>
        <v xml:space="preserve"> </v>
      </c>
      <c r="AX181" s="26" t="str">
        <f>IFERROR($AC181*HDF_Limited_Col!AX181/HDF_Limited_Col!$AH181," ")</f>
        <v xml:space="preserve"> </v>
      </c>
      <c r="AY181" s="26" t="str">
        <f>IFERROR($AC181*HDF_Limited_Col!AY181/HDF_Limited_Col!$AH181," ")</f>
        <v xml:space="preserve"> </v>
      </c>
      <c r="AZ181" s="26" t="str">
        <f>IFERROR($AC181*HDF_Limited_Col!AZ181/HDF_Limited_Col!$AH181," ")</f>
        <v xml:space="preserve"> </v>
      </c>
      <c r="BA181" s="26" t="str">
        <f>IFERROR($AC181*HDF_Limited_Col!BA181/HDF_Limited_Col!$AH181," ")</f>
        <v xml:space="preserve"> </v>
      </c>
      <c r="BB181" s="26" t="str">
        <f>IFERROR($AC181*HDF_Limited_Col!BB181/HDF_Limited_Col!$AH181," ")</f>
        <v xml:space="preserve"> </v>
      </c>
      <c r="BC181" s="26" t="str">
        <f>IFERROR($AC181*HDF_Limited_Col!BC181/HDF_Limited_Col!$AH181," ")</f>
        <v xml:space="preserve"> </v>
      </c>
      <c r="BD181" s="26" t="str">
        <f>IFERROR($AC181*HDF_Limited_Col!BD181/HDF_Limited_Col!$AH181," ")</f>
        <v xml:space="preserve"> </v>
      </c>
      <c r="BE181" s="26" t="str">
        <f>IFERROR($AC181*HDF_Limited_Col!BE181/HDF_Limited_Col!$AH181," ")</f>
        <v xml:space="preserve"> </v>
      </c>
      <c r="BF181" s="26" t="str">
        <f>IFERROR($AC181*HDF_Limited_Col!BF181/HDF_Limited_Col!$AH181," ")</f>
        <v xml:space="preserve"> </v>
      </c>
      <c r="BG181" s="26" t="str">
        <f>IFERROR($AC181*HDF_Limited_Col!BG181/HDF_Limited_Col!$AH181," ")</f>
        <v xml:space="preserve"> </v>
      </c>
      <c r="BH181" s="26" t="str">
        <f>IFERROR($AC181*HDF_Limited_Col!BH181/HDF_Limited_Col!$AH181," ")</f>
        <v xml:space="preserve"> </v>
      </c>
      <c r="BI181" s="26" t="str">
        <f>IFERROR($AC181*HDF_Limited_Col!BI181/HDF_Limited_Col!$AH181," ")</f>
        <v xml:space="preserve"> </v>
      </c>
      <c r="BJ181" s="26" t="str">
        <f>IFERROR($AC181*HDF_Limited_Col!BJ181/HDF_Limited_Col!$AH181," ")</f>
        <v xml:space="preserve"> </v>
      </c>
      <c r="BK181" s="26" t="str">
        <f>IFERROR($AC181*HDF_Limited_Col!BK181/HDF_Limited_Col!$AH181," ")</f>
        <v xml:space="preserve"> </v>
      </c>
      <c r="BL181" s="26" t="str">
        <f>IFERROR($AC181*HDF_Limited_Col!BL181/HDF_Limited_Col!$AH181," ")</f>
        <v xml:space="preserve"> </v>
      </c>
      <c r="BM181" s="26" t="str">
        <f>IFERROR($AC181*HDF_Limited_Col!BM181/HDF_Limited_Col!$AH181," ")</f>
        <v xml:space="preserve"> </v>
      </c>
      <c r="BN181" s="26" t="str">
        <f>IFERROR($AC181*HDF_Limited_Col!BN181/HDF_Limited_Col!$AH181," ")</f>
        <v xml:space="preserve"> </v>
      </c>
      <c r="BO181" s="26" t="str">
        <f>IFERROR($AC181*HDF_Limited_Col!BO181/HDF_Limited_Col!$AH181," ")</f>
        <v xml:space="preserve"> </v>
      </c>
      <c r="BP181" s="26" t="str">
        <f>IFERROR($AC181*HDF_Limited_Col!BP181/HDF_Limited_Col!$AH181," ")</f>
        <v xml:space="preserve"> </v>
      </c>
      <c r="BQ181" s="26" t="str">
        <f>IFERROR($AC181*HDF_Limited_Col!BQ181/HDF_Limited_Col!$AH181," ")</f>
        <v xml:space="preserve"> </v>
      </c>
      <c r="BR181" s="26" t="str">
        <f>IFERROR($AC181*HDF_Limited_Col!BR181/HDF_Limited_Col!$AH181," ")</f>
        <v xml:space="preserve"> </v>
      </c>
      <c r="BS181" s="26" t="str">
        <f>IFERROR($AC181*HDF_Limited_Col!BS181/HDF_Limited_Col!$AH181," ")</f>
        <v xml:space="preserve"> </v>
      </c>
      <c r="BT181" s="26" t="str">
        <f>IFERROR($AC181*HDF_Limited_Col!BT181/HDF_Limited_Col!$AH181," ")</f>
        <v xml:space="preserve"> </v>
      </c>
      <c r="BU181" s="26" t="str">
        <f>IFERROR($AC181*HDF_Limited_Col!BU181/HDF_Limited_Col!$AH181," ")</f>
        <v xml:space="preserve"> </v>
      </c>
      <c r="BV181" s="26" t="str">
        <f>IFERROR($AC181*HDF_Limited_Col!BV181/HDF_Limited_Col!$AH181," ")</f>
        <v xml:space="preserve"> </v>
      </c>
      <c r="BW181" s="26" t="str">
        <f>IFERROR($AC181*HDF_Limited_Col!BW181/HDF_Limited_Col!$AH181," ")</f>
        <v xml:space="preserve"> </v>
      </c>
      <c r="BX181" s="26" t="str">
        <f>IFERROR($AC181*HDF_Limited_Col!BX181/HDF_Limited_Col!$AH181," ")</f>
        <v xml:space="preserve"> </v>
      </c>
      <c r="BY181" s="26" t="str">
        <f>IFERROR($AC181*HDF_Limited_Col!BY181/HDF_Limited_Col!$AH181," ")</f>
        <v xml:space="preserve"> </v>
      </c>
      <c r="BZ181" s="26" t="str">
        <f>IFERROR($AC181*HDF_Limited_Col!BZ181/HDF_Limited_Col!$AH181," ")</f>
        <v xml:space="preserve"> </v>
      </c>
      <c r="CA181" s="26" t="str">
        <f>IFERROR($AC181*HDF_Limited_Col!CA181/HDF_Limited_Col!$AH181," ")</f>
        <v xml:space="preserve"> </v>
      </c>
      <c r="CB181" s="26" t="str">
        <f>IFERROR($AC181*HDF_Limited_Col!CB181/HDF_Limited_Col!$AH181," ")</f>
        <v xml:space="preserve"> </v>
      </c>
      <c r="CC181" s="26" t="str">
        <f>IFERROR($AC181*HDF_Limited_Col!CC181/HDF_Limited_Col!$AH181," ")</f>
        <v xml:space="preserve"> </v>
      </c>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row>
    <row r="182" spans="1:109">
      <c r="A182" s="26" t="s">
        <v>838</v>
      </c>
      <c r="B182" s="26" t="s">
        <v>24</v>
      </c>
      <c r="C182" s="156" t="s">
        <v>541</v>
      </c>
      <c r="D182" s="26" t="s">
        <v>1719</v>
      </c>
      <c r="E182" s="26" t="s">
        <v>388</v>
      </c>
      <c r="F182" s="26" t="s">
        <v>342</v>
      </c>
      <c r="G182" s="26" t="s">
        <v>829</v>
      </c>
      <c r="H182" s="30"/>
      <c r="I182" s="26" t="s">
        <v>735</v>
      </c>
      <c r="J182" s="26"/>
      <c r="K182" s="26" t="s">
        <v>903</v>
      </c>
      <c r="L182" s="26"/>
      <c r="M182" s="26">
        <v>25</v>
      </c>
      <c r="N182" s="26">
        <v>53</v>
      </c>
      <c r="O182" s="95">
        <v>48.042862998682757</v>
      </c>
      <c r="P182" s="95">
        <v>2.4490839251664958</v>
      </c>
      <c r="Q182" s="95">
        <v>5.8471878713350094</v>
      </c>
      <c r="R182" s="95">
        <v>9.2044737520840787</v>
      </c>
      <c r="S182" s="95">
        <v>4.0103749274601368</v>
      </c>
      <c r="T182" s="95">
        <v>5.479825282560034</v>
      </c>
      <c r="U182" s="95">
        <v>1.5000639041644785</v>
      </c>
      <c r="V182" s="95">
        <v>2.3572432779727523</v>
      </c>
      <c r="W182" s="95">
        <v>13.480166104770589</v>
      </c>
      <c r="X182" s="95">
        <v>5.6533020605926607</v>
      </c>
      <c r="Y182" s="95">
        <v>2.5511290887150997</v>
      </c>
      <c r="Z182" s="95">
        <v>100.5757131935041</v>
      </c>
      <c r="AA182" s="26"/>
      <c r="AB182" s="26"/>
      <c r="AC182" s="26">
        <f t="shared" si="3"/>
        <v>111903.88757260039</v>
      </c>
      <c r="AD182" s="26" t="str">
        <f>IFERROR($AC182*HDF_Limited_Col!AD182/HDF_Limited_Col!$AH182," ")</f>
        <v xml:space="preserve"> </v>
      </c>
      <c r="AE182" s="26" t="str">
        <f>IFERROR($AC182*HDF_Limited_Col!AE182/HDF_Limited_Col!$AH182," ")</f>
        <v xml:space="preserve"> </v>
      </c>
      <c r="AF182" s="26" t="str">
        <f>IFERROR($AC182*HDF_Limited_Col!AF182/HDF_Limited_Col!$AH182," ")</f>
        <v xml:space="preserve"> </v>
      </c>
      <c r="AG182" s="26" t="str">
        <f>IFERROR($AC182*HDF_Limited_Col!AG182/HDF_Limited_Col!$AH182," ")</f>
        <v xml:space="preserve"> </v>
      </c>
      <c r="AH182" s="26" t="str">
        <f>IFERROR($AC182*HDF_Limited_Col!AH182/HDF_Limited_Col!$AH182," ")</f>
        <v xml:space="preserve"> </v>
      </c>
      <c r="AI182" s="26" t="str">
        <f>IFERROR($AC182*HDF_Limited_Col!AI182/HDF_Limited_Col!$AH182," ")</f>
        <v xml:space="preserve"> </v>
      </c>
      <c r="AJ182" s="26" t="str">
        <f>IFERROR($AC182*HDF_Limited_Col!AJ182/HDF_Limited_Col!$AH182," ")</f>
        <v xml:space="preserve"> </v>
      </c>
      <c r="AK182" s="26" t="str">
        <f>IFERROR($AC182*HDF_Limited_Col!AK182/HDF_Limited_Col!$AH182," ")</f>
        <v xml:space="preserve"> </v>
      </c>
      <c r="AL182" s="26" t="str">
        <f>IFERROR($AC182*HDF_Limited_Col!AL182/HDF_Limited_Col!$AH182," ")</f>
        <v xml:space="preserve"> </v>
      </c>
      <c r="AM182" s="26" t="str">
        <f>IFERROR($AC182*HDF_Limited_Col!AM182/HDF_Limited_Col!$AH182," ")</f>
        <v xml:space="preserve"> </v>
      </c>
      <c r="AN182" s="26" t="str">
        <f>IFERROR($AC182*HDF_Limited_Col!AN182/HDF_Limited_Col!$AH182," ")</f>
        <v xml:space="preserve"> </v>
      </c>
      <c r="AO182" s="26" t="str">
        <f>IFERROR($AC182*HDF_Limited_Col!AO182/HDF_Limited_Col!$AH182," ")</f>
        <v xml:space="preserve"> </v>
      </c>
      <c r="AP182" s="26" t="str">
        <f>IFERROR($AC182*HDF_Limited_Col!AP182/HDF_Limited_Col!$AH182," ")</f>
        <v xml:space="preserve"> </v>
      </c>
      <c r="AQ182" s="26" t="str">
        <f>IFERROR($AC182*HDF_Limited_Col!AQ182/HDF_Limited_Col!$AH182," ")</f>
        <v xml:space="preserve"> </v>
      </c>
      <c r="AR182" s="26" t="str">
        <f>IFERROR($AC182*HDF_Limited_Col!AR182/HDF_Limited_Col!$AH182," ")</f>
        <v xml:space="preserve"> </v>
      </c>
      <c r="AS182" s="26" t="str">
        <f>IFERROR($AC182*HDF_Limited_Col!AS182/HDF_Limited_Col!$AH182," ")</f>
        <v xml:space="preserve"> </v>
      </c>
      <c r="AT182" s="26" t="str">
        <f>IFERROR($AC182*HDF_Limited_Col!AT182/HDF_Limited_Col!$AH182," ")</f>
        <v xml:space="preserve"> </v>
      </c>
      <c r="AU182" s="26" t="str">
        <f>IFERROR($AC182*HDF_Limited_Col!AU182/HDF_Limited_Col!$AH182," ")</f>
        <v xml:space="preserve"> </v>
      </c>
      <c r="AV182" s="26" t="str">
        <f>IFERROR($AC182*HDF_Limited_Col!AV182/HDF_Limited_Col!$AH182," ")</f>
        <v xml:space="preserve"> </v>
      </c>
      <c r="AW182" s="26" t="str">
        <f>IFERROR($AC182*HDF_Limited_Col!AW182/HDF_Limited_Col!$AH182," ")</f>
        <v xml:space="preserve"> </v>
      </c>
      <c r="AX182" s="26" t="str">
        <f>IFERROR($AC182*HDF_Limited_Col!AX182/HDF_Limited_Col!$AH182," ")</f>
        <v xml:space="preserve"> </v>
      </c>
      <c r="AY182" s="26" t="str">
        <f>IFERROR($AC182*HDF_Limited_Col!AY182/HDF_Limited_Col!$AH182," ")</f>
        <v xml:space="preserve"> </v>
      </c>
      <c r="AZ182" s="26" t="str">
        <f>IFERROR($AC182*HDF_Limited_Col!AZ182/HDF_Limited_Col!$AH182," ")</f>
        <v xml:space="preserve"> </v>
      </c>
      <c r="BA182" s="26" t="str">
        <f>IFERROR($AC182*HDF_Limited_Col!BA182/HDF_Limited_Col!$AH182," ")</f>
        <v xml:space="preserve"> </v>
      </c>
      <c r="BB182" s="26" t="str">
        <f>IFERROR($AC182*HDF_Limited_Col!BB182/HDF_Limited_Col!$AH182," ")</f>
        <v xml:space="preserve"> </v>
      </c>
      <c r="BC182" s="26" t="str">
        <f>IFERROR($AC182*HDF_Limited_Col!BC182/HDF_Limited_Col!$AH182," ")</f>
        <v xml:space="preserve"> </v>
      </c>
      <c r="BD182" s="26" t="str">
        <f>IFERROR($AC182*HDF_Limited_Col!BD182/HDF_Limited_Col!$AH182," ")</f>
        <v xml:space="preserve"> </v>
      </c>
      <c r="BE182" s="26" t="str">
        <f>IFERROR($AC182*HDF_Limited_Col!BE182/HDF_Limited_Col!$AH182," ")</f>
        <v xml:space="preserve"> </v>
      </c>
      <c r="BF182" s="26" t="str">
        <f>IFERROR($AC182*HDF_Limited_Col!BF182/HDF_Limited_Col!$AH182," ")</f>
        <v xml:space="preserve"> </v>
      </c>
      <c r="BG182" s="26" t="str">
        <f>IFERROR($AC182*HDF_Limited_Col!BG182/HDF_Limited_Col!$AH182," ")</f>
        <v xml:space="preserve"> </v>
      </c>
      <c r="BH182" s="26" t="str">
        <f>IFERROR($AC182*HDF_Limited_Col!BH182/HDF_Limited_Col!$AH182," ")</f>
        <v xml:space="preserve"> </v>
      </c>
      <c r="BI182" s="26" t="str">
        <f>IFERROR($AC182*HDF_Limited_Col!BI182/HDF_Limited_Col!$AH182," ")</f>
        <v xml:space="preserve"> </v>
      </c>
      <c r="BJ182" s="26" t="str">
        <f>IFERROR($AC182*HDF_Limited_Col!BJ182/HDF_Limited_Col!$AH182," ")</f>
        <v xml:space="preserve"> </v>
      </c>
      <c r="BK182" s="26" t="str">
        <f>IFERROR($AC182*HDF_Limited_Col!BK182/HDF_Limited_Col!$AH182," ")</f>
        <v xml:space="preserve"> </v>
      </c>
      <c r="BL182" s="26" t="str">
        <f>IFERROR($AC182*HDF_Limited_Col!BL182/HDF_Limited_Col!$AH182," ")</f>
        <v xml:space="preserve"> </v>
      </c>
      <c r="BM182" s="26" t="str">
        <f>IFERROR($AC182*HDF_Limited_Col!BM182/HDF_Limited_Col!$AH182," ")</f>
        <v xml:space="preserve"> </v>
      </c>
      <c r="BN182" s="26" t="str">
        <f>IFERROR($AC182*HDF_Limited_Col!BN182/HDF_Limited_Col!$AH182," ")</f>
        <v xml:space="preserve"> </v>
      </c>
      <c r="BO182" s="26" t="str">
        <f>IFERROR($AC182*HDF_Limited_Col!BO182/HDF_Limited_Col!$AH182," ")</f>
        <v xml:space="preserve"> </v>
      </c>
      <c r="BP182" s="26" t="str">
        <f>IFERROR($AC182*HDF_Limited_Col!BP182/HDF_Limited_Col!$AH182," ")</f>
        <v xml:space="preserve"> </v>
      </c>
      <c r="BQ182" s="26" t="str">
        <f>IFERROR($AC182*HDF_Limited_Col!BQ182/HDF_Limited_Col!$AH182," ")</f>
        <v xml:space="preserve"> </v>
      </c>
      <c r="BR182" s="26" t="str">
        <f>IFERROR($AC182*HDF_Limited_Col!BR182/HDF_Limited_Col!$AH182," ")</f>
        <v xml:space="preserve"> </v>
      </c>
      <c r="BS182" s="26" t="str">
        <f>IFERROR($AC182*HDF_Limited_Col!BS182/HDF_Limited_Col!$AH182," ")</f>
        <v xml:space="preserve"> </v>
      </c>
      <c r="BT182" s="26" t="str">
        <f>IFERROR($AC182*HDF_Limited_Col!BT182/HDF_Limited_Col!$AH182," ")</f>
        <v xml:space="preserve"> </v>
      </c>
      <c r="BU182" s="26" t="str">
        <f>IFERROR($AC182*HDF_Limited_Col!BU182/HDF_Limited_Col!$AH182," ")</f>
        <v xml:space="preserve"> </v>
      </c>
      <c r="BV182" s="26" t="str">
        <f>IFERROR($AC182*HDF_Limited_Col!BV182/HDF_Limited_Col!$AH182," ")</f>
        <v xml:space="preserve"> </v>
      </c>
      <c r="BW182" s="26" t="str">
        <f>IFERROR($AC182*HDF_Limited_Col!BW182/HDF_Limited_Col!$AH182," ")</f>
        <v xml:space="preserve"> </v>
      </c>
      <c r="BX182" s="26" t="str">
        <f>IFERROR($AC182*HDF_Limited_Col!BX182/HDF_Limited_Col!$AH182," ")</f>
        <v xml:space="preserve"> </v>
      </c>
      <c r="BY182" s="26" t="str">
        <f>IFERROR($AC182*HDF_Limited_Col!BY182/HDF_Limited_Col!$AH182," ")</f>
        <v xml:space="preserve"> </v>
      </c>
      <c r="BZ182" s="26" t="str">
        <f>IFERROR($AC182*HDF_Limited_Col!BZ182/HDF_Limited_Col!$AH182," ")</f>
        <v xml:space="preserve"> </v>
      </c>
      <c r="CA182" s="26" t="str">
        <f>IFERROR($AC182*HDF_Limited_Col!CA182/HDF_Limited_Col!$AH182," ")</f>
        <v xml:space="preserve"> </v>
      </c>
      <c r="CB182" s="26" t="str">
        <f>IFERROR($AC182*HDF_Limited_Col!CB182/HDF_Limited_Col!$AH182," ")</f>
        <v xml:space="preserve"> </v>
      </c>
      <c r="CC182" s="26" t="str">
        <f>IFERROR($AC182*HDF_Limited_Col!CC182/HDF_Limited_Col!$AH182," ")</f>
        <v xml:space="preserve"> </v>
      </c>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row>
    <row r="183" spans="1:109">
      <c r="A183" s="26" t="s">
        <v>838</v>
      </c>
      <c r="B183" s="26" t="s">
        <v>24</v>
      </c>
      <c r="C183" s="156" t="s">
        <v>541</v>
      </c>
      <c r="D183" s="26" t="s">
        <v>1719</v>
      </c>
      <c r="E183" s="26" t="s">
        <v>388</v>
      </c>
      <c r="F183" s="26" t="s">
        <v>342</v>
      </c>
      <c r="G183" s="26" t="s">
        <v>829</v>
      </c>
      <c r="H183" s="30"/>
      <c r="I183" s="26" t="s">
        <v>735</v>
      </c>
      <c r="J183" s="26"/>
      <c r="K183" s="26" t="s">
        <v>903</v>
      </c>
      <c r="L183" s="26"/>
      <c r="M183" s="26">
        <v>27</v>
      </c>
      <c r="N183" s="26">
        <v>53</v>
      </c>
      <c r="O183" s="95">
        <v>53.971656149547485</v>
      </c>
      <c r="P183" s="95">
        <v>2.1320864165947193</v>
      </c>
      <c r="Q183" s="95">
        <v>6.5301583967200578</v>
      </c>
      <c r="R183" s="95">
        <v>6.6743574780356445</v>
      </c>
      <c r="S183" s="95">
        <v>4.562870930200293</v>
      </c>
      <c r="T183" s="95">
        <v>4.1096738174941692</v>
      </c>
      <c r="U183" s="95">
        <v>0.77249507847634769</v>
      </c>
      <c r="V183" s="95">
        <v>3.2135795264616061</v>
      </c>
      <c r="W183" s="95">
        <v>14.13150996892732</v>
      </c>
      <c r="X183" s="95">
        <v>2.4101846448462045</v>
      </c>
      <c r="Y183" s="95">
        <v>1.9260877290010268</v>
      </c>
      <c r="Z183" s="95">
        <v>100.43466013630487</v>
      </c>
      <c r="AA183" s="26"/>
      <c r="AB183" s="26"/>
      <c r="AC183" s="26">
        <f t="shared" si="3"/>
        <v>117310.93597090634</v>
      </c>
      <c r="AD183" s="26" t="str">
        <f>IFERROR($AC183*HDF_Limited_Col!AD183/HDF_Limited_Col!$AH183," ")</f>
        <v xml:space="preserve"> </v>
      </c>
      <c r="AE183" s="26" t="str">
        <f>IFERROR($AC183*HDF_Limited_Col!AE183/HDF_Limited_Col!$AH183," ")</f>
        <v xml:space="preserve"> </v>
      </c>
      <c r="AF183" s="26" t="str">
        <f>IFERROR($AC183*HDF_Limited_Col!AF183/HDF_Limited_Col!$AH183," ")</f>
        <v xml:space="preserve"> </v>
      </c>
      <c r="AG183" s="26" t="str">
        <f>IFERROR($AC183*HDF_Limited_Col!AG183/HDF_Limited_Col!$AH183," ")</f>
        <v xml:space="preserve"> </v>
      </c>
      <c r="AH183" s="26" t="str">
        <f>IFERROR($AC183*HDF_Limited_Col!AH183/HDF_Limited_Col!$AH183," ")</f>
        <v xml:space="preserve"> </v>
      </c>
      <c r="AI183" s="26" t="str">
        <f>IFERROR($AC183*HDF_Limited_Col!AI183/HDF_Limited_Col!$AH183," ")</f>
        <v xml:space="preserve"> </v>
      </c>
      <c r="AJ183" s="26" t="str">
        <f>IFERROR($AC183*HDF_Limited_Col!AJ183/HDF_Limited_Col!$AH183," ")</f>
        <v xml:space="preserve"> </v>
      </c>
      <c r="AK183" s="26" t="str">
        <f>IFERROR($AC183*HDF_Limited_Col!AK183/HDF_Limited_Col!$AH183," ")</f>
        <v xml:space="preserve"> </v>
      </c>
      <c r="AL183" s="26" t="str">
        <f>IFERROR($AC183*HDF_Limited_Col!AL183/HDF_Limited_Col!$AH183," ")</f>
        <v xml:space="preserve"> </v>
      </c>
      <c r="AM183" s="26" t="str">
        <f>IFERROR($AC183*HDF_Limited_Col!AM183/HDF_Limited_Col!$AH183," ")</f>
        <v xml:space="preserve"> </v>
      </c>
      <c r="AN183" s="26" t="str">
        <f>IFERROR($AC183*HDF_Limited_Col!AN183/HDF_Limited_Col!$AH183," ")</f>
        <v xml:space="preserve"> </v>
      </c>
      <c r="AO183" s="26" t="str">
        <f>IFERROR($AC183*HDF_Limited_Col!AO183/HDF_Limited_Col!$AH183," ")</f>
        <v xml:space="preserve"> </v>
      </c>
      <c r="AP183" s="26" t="str">
        <f>IFERROR($AC183*HDF_Limited_Col!AP183/HDF_Limited_Col!$AH183," ")</f>
        <v xml:space="preserve"> </v>
      </c>
      <c r="AQ183" s="26" t="str">
        <f>IFERROR($AC183*HDF_Limited_Col!AQ183/HDF_Limited_Col!$AH183," ")</f>
        <v xml:space="preserve"> </v>
      </c>
      <c r="AR183" s="26" t="str">
        <f>IFERROR($AC183*HDF_Limited_Col!AR183/HDF_Limited_Col!$AH183," ")</f>
        <v xml:space="preserve"> </v>
      </c>
      <c r="AS183" s="26" t="str">
        <f>IFERROR($AC183*HDF_Limited_Col!AS183/HDF_Limited_Col!$AH183," ")</f>
        <v xml:space="preserve"> </v>
      </c>
      <c r="AT183" s="26" t="str">
        <f>IFERROR($AC183*HDF_Limited_Col!AT183/HDF_Limited_Col!$AH183," ")</f>
        <v xml:space="preserve"> </v>
      </c>
      <c r="AU183" s="26" t="str">
        <f>IFERROR($AC183*HDF_Limited_Col!AU183/HDF_Limited_Col!$AH183," ")</f>
        <v xml:space="preserve"> </v>
      </c>
      <c r="AV183" s="26" t="str">
        <f>IFERROR($AC183*HDF_Limited_Col!AV183/HDF_Limited_Col!$AH183," ")</f>
        <v xml:space="preserve"> </v>
      </c>
      <c r="AW183" s="26" t="str">
        <f>IFERROR($AC183*HDF_Limited_Col!AW183/HDF_Limited_Col!$AH183," ")</f>
        <v xml:space="preserve"> </v>
      </c>
      <c r="AX183" s="26" t="str">
        <f>IFERROR($AC183*HDF_Limited_Col!AX183/HDF_Limited_Col!$AH183," ")</f>
        <v xml:space="preserve"> </v>
      </c>
      <c r="AY183" s="26" t="str">
        <f>IFERROR($AC183*HDF_Limited_Col!AY183/HDF_Limited_Col!$AH183," ")</f>
        <v xml:space="preserve"> </v>
      </c>
      <c r="AZ183" s="26" t="str">
        <f>IFERROR($AC183*HDF_Limited_Col!AZ183/HDF_Limited_Col!$AH183," ")</f>
        <v xml:space="preserve"> </v>
      </c>
      <c r="BA183" s="26" t="str">
        <f>IFERROR($AC183*HDF_Limited_Col!BA183/HDF_Limited_Col!$AH183," ")</f>
        <v xml:space="preserve"> </v>
      </c>
      <c r="BB183" s="26" t="str">
        <f>IFERROR($AC183*HDF_Limited_Col!BB183/HDF_Limited_Col!$AH183," ")</f>
        <v xml:space="preserve"> </v>
      </c>
      <c r="BC183" s="26" t="str">
        <f>IFERROR($AC183*HDF_Limited_Col!BC183/HDF_Limited_Col!$AH183," ")</f>
        <v xml:space="preserve"> </v>
      </c>
      <c r="BD183" s="26" t="str">
        <f>IFERROR($AC183*HDF_Limited_Col!BD183/HDF_Limited_Col!$AH183," ")</f>
        <v xml:space="preserve"> </v>
      </c>
      <c r="BE183" s="26" t="str">
        <f>IFERROR($AC183*HDF_Limited_Col!BE183/HDF_Limited_Col!$AH183," ")</f>
        <v xml:space="preserve"> </v>
      </c>
      <c r="BF183" s="26" t="str">
        <f>IFERROR($AC183*HDF_Limited_Col!BF183/HDF_Limited_Col!$AH183," ")</f>
        <v xml:space="preserve"> </v>
      </c>
      <c r="BG183" s="26" t="str">
        <f>IFERROR($AC183*HDF_Limited_Col!BG183/HDF_Limited_Col!$AH183," ")</f>
        <v xml:space="preserve"> </v>
      </c>
      <c r="BH183" s="26" t="str">
        <f>IFERROR($AC183*HDF_Limited_Col!BH183/HDF_Limited_Col!$AH183," ")</f>
        <v xml:space="preserve"> </v>
      </c>
      <c r="BI183" s="26" t="str">
        <f>IFERROR($AC183*HDF_Limited_Col!BI183/HDF_Limited_Col!$AH183," ")</f>
        <v xml:space="preserve"> </v>
      </c>
      <c r="BJ183" s="26" t="str">
        <f>IFERROR($AC183*HDF_Limited_Col!BJ183/HDF_Limited_Col!$AH183," ")</f>
        <v xml:space="preserve"> </v>
      </c>
      <c r="BK183" s="26" t="str">
        <f>IFERROR($AC183*HDF_Limited_Col!BK183/HDF_Limited_Col!$AH183," ")</f>
        <v xml:space="preserve"> </v>
      </c>
      <c r="BL183" s="26" t="str">
        <f>IFERROR($AC183*HDF_Limited_Col!BL183/HDF_Limited_Col!$AH183," ")</f>
        <v xml:space="preserve"> </v>
      </c>
      <c r="BM183" s="26" t="str">
        <f>IFERROR($AC183*HDF_Limited_Col!BM183/HDF_Limited_Col!$AH183," ")</f>
        <v xml:space="preserve"> </v>
      </c>
      <c r="BN183" s="26" t="str">
        <f>IFERROR($AC183*HDF_Limited_Col!BN183/HDF_Limited_Col!$AH183," ")</f>
        <v xml:space="preserve"> </v>
      </c>
      <c r="BO183" s="26" t="str">
        <f>IFERROR($AC183*HDF_Limited_Col!BO183/HDF_Limited_Col!$AH183," ")</f>
        <v xml:space="preserve"> </v>
      </c>
      <c r="BP183" s="26" t="str">
        <f>IFERROR($AC183*HDF_Limited_Col!BP183/HDF_Limited_Col!$AH183," ")</f>
        <v xml:space="preserve"> </v>
      </c>
      <c r="BQ183" s="26" t="str">
        <f>IFERROR($AC183*HDF_Limited_Col!BQ183/HDF_Limited_Col!$AH183," ")</f>
        <v xml:space="preserve"> </v>
      </c>
      <c r="BR183" s="26" t="str">
        <f>IFERROR($AC183*HDF_Limited_Col!BR183/HDF_Limited_Col!$AH183," ")</f>
        <v xml:space="preserve"> </v>
      </c>
      <c r="BS183" s="26" t="str">
        <f>IFERROR($AC183*HDF_Limited_Col!BS183/HDF_Limited_Col!$AH183," ")</f>
        <v xml:space="preserve"> </v>
      </c>
      <c r="BT183" s="26" t="str">
        <f>IFERROR($AC183*HDF_Limited_Col!BT183/HDF_Limited_Col!$AH183," ")</f>
        <v xml:space="preserve"> </v>
      </c>
      <c r="BU183" s="26" t="str">
        <f>IFERROR($AC183*HDF_Limited_Col!BU183/HDF_Limited_Col!$AH183," ")</f>
        <v xml:space="preserve"> </v>
      </c>
      <c r="BV183" s="26" t="str">
        <f>IFERROR($AC183*HDF_Limited_Col!BV183/HDF_Limited_Col!$AH183," ")</f>
        <v xml:space="preserve"> </v>
      </c>
      <c r="BW183" s="26" t="str">
        <f>IFERROR($AC183*HDF_Limited_Col!BW183/HDF_Limited_Col!$AH183," ")</f>
        <v xml:space="preserve"> </v>
      </c>
      <c r="BX183" s="26" t="str">
        <f>IFERROR($AC183*HDF_Limited_Col!BX183/HDF_Limited_Col!$AH183," ")</f>
        <v xml:space="preserve"> </v>
      </c>
      <c r="BY183" s="26" t="str">
        <f>IFERROR($AC183*HDF_Limited_Col!BY183/HDF_Limited_Col!$AH183," ")</f>
        <v xml:space="preserve"> </v>
      </c>
      <c r="BZ183" s="26" t="str">
        <f>IFERROR($AC183*HDF_Limited_Col!BZ183/HDF_Limited_Col!$AH183," ")</f>
        <v xml:space="preserve"> </v>
      </c>
      <c r="CA183" s="26" t="str">
        <f>IFERROR($AC183*HDF_Limited_Col!CA183/HDF_Limited_Col!$AH183," ")</f>
        <v xml:space="preserve"> </v>
      </c>
      <c r="CB183" s="26" t="str">
        <f>IFERROR($AC183*HDF_Limited_Col!CB183/HDF_Limited_Col!$AH183," ")</f>
        <v xml:space="preserve"> </v>
      </c>
      <c r="CC183" s="26" t="str">
        <f>IFERROR($AC183*HDF_Limited_Col!CC183/HDF_Limited_Col!$AH183," ")</f>
        <v xml:space="preserve"> </v>
      </c>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row>
    <row r="184" spans="1:109">
      <c r="A184" s="26" t="s">
        <v>838</v>
      </c>
      <c r="B184" s="26" t="s">
        <v>24</v>
      </c>
      <c r="C184" s="156" t="s">
        <v>541</v>
      </c>
      <c r="D184" s="26" t="s">
        <v>1719</v>
      </c>
      <c r="E184" s="26" t="s">
        <v>388</v>
      </c>
      <c r="F184" s="26" t="s">
        <v>342</v>
      </c>
      <c r="G184" s="26" t="s">
        <v>829</v>
      </c>
      <c r="H184" s="30"/>
      <c r="I184" s="26" t="s">
        <v>735</v>
      </c>
      <c r="J184" s="26"/>
      <c r="K184" s="26" t="s">
        <v>903</v>
      </c>
      <c r="L184" s="26"/>
      <c r="M184" s="26">
        <v>31</v>
      </c>
      <c r="N184" s="26">
        <v>41</v>
      </c>
      <c r="O184" s="95">
        <v>47.453527477526762</v>
      </c>
      <c r="P184" s="95">
        <v>2.1435235040397118</v>
      </c>
      <c r="Q184" s="95">
        <v>7.4615032450144252</v>
      </c>
      <c r="R184" s="95">
        <v>6.063109339998042</v>
      </c>
      <c r="S184" s="95">
        <v>3.4398448612446808</v>
      </c>
      <c r="T184" s="95">
        <v>7.7575136336675286</v>
      </c>
      <c r="U184" s="95">
        <v>2.521191930941947</v>
      </c>
      <c r="V184" s="95">
        <v>3.3888085873389726</v>
      </c>
      <c r="W184" s="95">
        <v>13.473576311106758</v>
      </c>
      <c r="X184" s="95">
        <v>3.3888085873389726</v>
      </c>
      <c r="Y184" s="95">
        <v>3.7562697594600665</v>
      </c>
      <c r="Z184" s="95">
        <v>100.84767723767787</v>
      </c>
      <c r="AA184" s="26"/>
      <c r="AB184" s="26"/>
      <c r="AC184" s="26">
        <f t="shared" si="3"/>
        <v>111849.18323709352</v>
      </c>
      <c r="AD184" s="26" t="str">
        <f>IFERROR($AC184*HDF_Limited_Col!AD184/HDF_Limited_Col!$AH184," ")</f>
        <v xml:space="preserve"> </v>
      </c>
      <c r="AE184" s="26" t="str">
        <f>IFERROR($AC184*HDF_Limited_Col!AE184/HDF_Limited_Col!$AH184," ")</f>
        <v xml:space="preserve"> </v>
      </c>
      <c r="AF184" s="26" t="str">
        <f>IFERROR($AC184*HDF_Limited_Col!AF184/HDF_Limited_Col!$AH184," ")</f>
        <v xml:space="preserve"> </v>
      </c>
      <c r="AG184" s="26" t="str">
        <f>IFERROR($AC184*HDF_Limited_Col!AG184/HDF_Limited_Col!$AH184," ")</f>
        <v xml:space="preserve"> </v>
      </c>
      <c r="AH184" s="26" t="str">
        <f>IFERROR($AC184*HDF_Limited_Col!AH184/HDF_Limited_Col!$AH184," ")</f>
        <v xml:space="preserve"> </v>
      </c>
      <c r="AI184" s="26" t="str">
        <f>IFERROR($AC184*HDF_Limited_Col!AI184/HDF_Limited_Col!$AH184," ")</f>
        <v xml:space="preserve"> </v>
      </c>
      <c r="AJ184" s="26" t="str">
        <f>IFERROR($AC184*HDF_Limited_Col!AJ184/HDF_Limited_Col!$AH184," ")</f>
        <v xml:space="preserve"> </v>
      </c>
      <c r="AK184" s="26" t="str">
        <f>IFERROR($AC184*HDF_Limited_Col!AK184/HDF_Limited_Col!$AH184," ")</f>
        <v xml:space="preserve"> </v>
      </c>
      <c r="AL184" s="26" t="str">
        <f>IFERROR($AC184*HDF_Limited_Col!AL184/HDF_Limited_Col!$AH184," ")</f>
        <v xml:space="preserve"> </v>
      </c>
      <c r="AM184" s="26" t="str">
        <f>IFERROR($AC184*HDF_Limited_Col!AM184/HDF_Limited_Col!$AH184," ")</f>
        <v xml:space="preserve"> </v>
      </c>
      <c r="AN184" s="26" t="str">
        <f>IFERROR($AC184*HDF_Limited_Col!AN184/HDF_Limited_Col!$AH184," ")</f>
        <v xml:space="preserve"> </v>
      </c>
      <c r="AO184" s="26" t="str">
        <f>IFERROR($AC184*HDF_Limited_Col!AO184/HDF_Limited_Col!$AH184," ")</f>
        <v xml:space="preserve"> </v>
      </c>
      <c r="AP184" s="26" t="str">
        <f>IFERROR($AC184*HDF_Limited_Col!AP184/HDF_Limited_Col!$AH184," ")</f>
        <v xml:space="preserve"> </v>
      </c>
      <c r="AQ184" s="26" t="str">
        <f>IFERROR($AC184*HDF_Limited_Col!AQ184/HDF_Limited_Col!$AH184," ")</f>
        <v xml:space="preserve"> </v>
      </c>
      <c r="AR184" s="26" t="str">
        <f>IFERROR($AC184*HDF_Limited_Col!AR184/HDF_Limited_Col!$AH184," ")</f>
        <v xml:space="preserve"> </v>
      </c>
      <c r="AS184" s="26" t="str">
        <f>IFERROR($AC184*HDF_Limited_Col!AS184/HDF_Limited_Col!$AH184," ")</f>
        <v xml:space="preserve"> </v>
      </c>
      <c r="AT184" s="26" t="str">
        <f>IFERROR($AC184*HDF_Limited_Col!AT184/HDF_Limited_Col!$AH184," ")</f>
        <v xml:space="preserve"> </v>
      </c>
      <c r="AU184" s="26" t="str">
        <f>IFERROR($AC184*HDF_Limited_Col!AU184/HDF_Limited_Col!$AH184," ")</f>
        <v xml:space="preserve"> </v>
      </c>
      <c r="AV184" s="26" t="str">
        <f>IFERROR($AC184*HDF_Limited_Col!AV184/HDF_Limited_Col!$AH184," ")</f>
        <v xml:space="preserve"> </v>
      </c>
      <c r="AW184" s="26" t="str">
        <f>IFERROR($AC184*HDF_Limited_Col!AW184/HDF_Limited_Col!$AH184," ")</f>
        <v xml:space="preserve"> </v>
      </c>
      <c r="AX184" s="26" t="str">
        <f>IFERROR($AC184*HDF_Limited_Col!AX184/HDF_Limited_Col!$AH184," ")</f>
        <v xml:space="preserve"> </v>
      </c>
      <c r="AY184" s="26" t="str">
        <f>IFERROR($AC184*HDF_Limited_Col!AY184/HDF_Limited_Col!$AH184," ")</f>
        <v xml:space="preserve"> </v>
      </c>
      <c r="AZ184" s="26" t="str">
        <f>IFERROR($AC184*HDF_Limited_Col!AZ184/HDF_Limited_Col!$AH184," ")</f>
        <v xml:space="preserve"> </v>
      </c>
      <c r="BA184" s="26" t="str">
        <f>IFERROR($AC184*HDF_Limited_Col!BA184/HDF_Limited_Col!$AH184," ")</f>
        <v xml:space="preserve"> </v>
      </c>
      <c r="BB184" s="26" t="str">
        <f>IFERROR($AC184*HDF_Limited_Col!BB184/HDF_Limited_Col!$AH184," ")</f>
        <v xml:space="preserve"> </v>
      </c>
      <c r="BC184" s="26" t="str">
        <f>IFERROR($AC184*HDF_Limited_Col!BC184/HDF_Limited_Col!$AH184," ")</f>
        <v xml:space="preserve"> </v>
      </c>
      <c r="BD184" s="26" t="str">
        <f>IFERROR($AC184*HDF_Limited_Col!BD184/HDF_Limited_Col!$AH184," ")</f>
        <v xml:space="preserve"> </v>
      </c>
      <c r="BE184" s="26" t="str">
        <f>IFERROR($AC184*HDF_Limited_Col!BE184/HDF_Limited_Col!$AH184," ")</f>
        <v xml:space="preserve"> </v>
      </c>
      <c r="BF184" s="26" t="str">
        <f>IFERROR($AC184*HDF_Limited_Col!BF184/HDF_Limited_Col!$AH184," ")</f>
        <v xml:space="preserve"> </v>
      </c>
      <c r="BG184" s="26" t="str">
        <f>IFERROR($AC184*HDF_Limited_Col!BG184/HDF_Limited_Col!$AH184," ")</f>
        <v xml:space="preserve"> </v>
      </c>
      <c r="BH184" s="26" t="str">
        <f>IFERROR($AC184*HDF_Limited_Col!BH184/HDF_Limited_Col!$AH184," ")</f>
        <v xml:space="preserve"> </v>
      </c>
      <c r="BI184" s="26" t="str">
        <f>IFERROR($AC184*HDF_Limited_Col!BI184/HDF_Limited_Col!$AH184," ")</f>
        <v xml:space="preserve"> </v>
      </c>
      <c r="BJ184" s="26" t="str">
        <f>IFERROR($AC184*HDF_Limited_Col!BJ184/HDF_Limited_Col!$AH184," ")</f>
        <v xml:space="preserve"> </v>
      </c>
      <c r="BK184" s="26" t="str">
        <f>IFERROR($AC184*HDF_Limited_Col!BK184/HDF_Limited_Col!$AH184," ")</f>
        <v xml:space="preserve"> </v>
      </c>
      <c r="BL184" s="26" t="str">
        <f>IFERROR($AC184*HDF_Limited_Col!BL184/HDF_Limited_Col!$AH184," ")</f>
        <v xml:space="preserve"> </v>
      </c>
      <c r="BM184" s="26" t="str">
        <f>IFERROR($AC184*HDF_Limited_Col!BM184/HDF_Limited_Col!$AH184," ")</f>
        <v xml:space="preserve"> </v>
      </c>
      <c r="BN184" s="26" t="str">
        <f>IFERROR($AC184*HDF_Limited_Col!BN184/HDF_Limited_Col!$AH184," ")</f>
        <v xml:space="preserve"> </v>
      </c>
      <c r="BO184" s="26" t="str">
        <f>IFERROR($AC184*HDF_Limited_Col!BO184/HDF_Limited_Col!$AH184," ")</f>
        <v xml:space="preserve"> </v>
      </c>
      <c r="BP184" s="26" t="str">
        <f>IFERROR($AC184*HDF_Limited_Col!BP184/HDF_Limited_Col!$AH184," ")</f>
        <v xml:space="preserve"> </v>
      </c>
      <c r="BQ184" s="26" t="str">
        <f>IFERROR($AC184*HDF_Limited_Col!BQ184/HDF_Limited_Col!$AH184," ")</f>
        <v xml:space="preserve"> </v>
      </c>
      <c r="BR184" s="26" t="str">
        <f>IFERROR($AC184*HDF_Limited_Col!BR184/HDF_Limited_Col!$AH184," ")</f>
        <v xml:space="preserve"> </v>
      </c>
      <c r="BS184" s="26" t="str">
        <f>IFERROR($AC184*HDF_Limited_Col!BS184/HDF_Limited_Col!$AH184," ")</f>
        <v xml:space="preserve"> </v>
      </c>
      <c r="BT184" s="26" t="str">
        <f>IFERROR($AC184*HDF_Limited_Col!BT184/HDF_Limited_Col!$AH184," ")</f>
        <v xml:space="preserve"> </v>
      </c>
      <c r="BU184" s="26" t="str">
        <f>IFERROR($AC184*HDF_Limited_Col!BU184/HDF_Limited_Col!$AH184," ")</f>
        <v xml:space="preserve"> </v>
      </c>
      <c r="BV184" s="26" t="str">
        <f>IFERROR($AC184*HDF_Limited_Col!BV184/HDF_Limited_Col!$AH184," ")</f>
        <v xml:space="preserve"> </v>
      </c>
      <c r="BW184" s="26" t="str">
        <f>IFERROR($AC184*HDF_Limited_Col!BW184/HDF_Limited_Col!$AH184," ")</f>
        <v xml:space="preserve"> </v>
      </c>
      <c r="BX184" s="26" t="str">
        <f>IFERROR($AC184*HDF_Limited_Col!BX184/HDF_Limited_Col!$AH184," ")</f>
        <v xml:space="preserve"> </v>
      </c>
      <c r="BY184" s="26" t="str">
        <f>IFERROR($AC184*HDF_Limited_Col!BY184/HDF_Limited_Col!$AH184," ")</f>
        <v xml:space="preserve"> </v>
      </c>
      <c r="BZ184" s="26" t="str">
        <f>IFERROR($AC184*HDF_Limited_Col!BZ184/HDF_Limited_Col!$AH184," ")</f>
        <v xml:space="preserve"> </v>
      </c>
      <c r="CA184" s="26" t="str">
        <f>IFERROR($AC184*HDF_Limited_Col!CA184/HDF_Limited_Col!$AH184," ")</f>
        <v xml:space="preserve"> </v>
      </c>
      <c r="CB184" s="26" t="str">
        <f>IFERROR($AC184*HDF_Limited_Col!CB184/HDF_Limited_Col!$AH184," ")</f>
        <v xml:space="preserve"> </v>
      </c>
      <c r="CC184" s="26" t="str">
        <f>IFERROR($AC184*HDF_Limited_Col!CC184/HDF_Limited_Col!$AH184," ")</f>
        <v xml:space="preserve"> </v>
      </c>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row>
    <row r="185" spans="1:109">
      <c r="A185" s="26" t="s">
        <v>1431</v>
      </c>
      <c r="B185" s="26" t="s">
        <v>24</v>
      </c>
      <c r="C185" s="156" t="s">
        <v>541</v>
      </c>
      <c r="D185" s="26" t="s">
        <v>1722</v>
      </c>
      <c r="E185" s="26" t="s">
        <v>388</v>
      </c>
      <c r="F185" s="26" t="s">
        <v>342</v>
      </c>
      <c r="G185" s="26" t="s">
        <v>640</v>
      </c>
      <c r="H185" s="30">
        <v>71</v>
      </c>
      <c r="I185" s="26"/>
      <c r="J185" s="26" t="s">
        <v>1311</v>
      </c>
      <c r="K185" s="26" t="s">
        <v>115</v>
      </c>
      <c r="L185" s="26"/>
      <c r="M185" s="26" t="s">
        <v>1250</v>
      </c>
      <c r="N185" s="26">
        <v>26</v>
      </c>
      <c r="O185" s="95">
        <v>50.091700315672874</v>
      </c>
      <c r="P185" s="95">
        <v>3.3421311303865338</v>
      </c>
      <c r="Q185" s="95">
        <v>6.5936623204915055</v>
      </c>
      <c r="R185" s="95">
        <v>6.6137956405540752</v>
      </c>
      <c r="S185" s="95">
        <v>1.832132125693823</v>
      </c>
      <c r="T185" s="95">
        <v>5.6675295976133091</v>
      </c>
      <c r="U185" s="95">
        <v>0</v>
      </c>
      <c r="V185" s="95">
        <v>1.2482658438793079</v>
      </c>
      <c r="W185" s="95">
        <v>19.629987061005245</v>
      </c>
      <c r="X185" s="95">
        <v>2.7280648684781648</v>
      </c>
      <c r="Y185" s="95">
        <v>2.9092647490412906</v>
      </c>
      <c r="Z185" s="95">
        <v>100.65653365281612</v>
      </c>
      <c r="AA185" s="26"/>
      <c r="AB185" s="26"/>
      <c r="AC185" s="26">
        <f t="shared" si="3"/>
        <v>162955.84550318978</v>
      </c>
      <c r="AD185" s="26" t="str">
        <f>IFERROR($AC185*HDF_Limited_Col!AD185/HDF_Limited_Col!$AH185," ")</f>
        <v xml:space="preserve"> </v>
      </c>
      <c r="AE185" s="26" t="str">
        <f>IFERROR($AC185*HDF_Limited_Col!AE185/HDF_Limited_Col!$AH185," ")</f>
        <v xml:space="preserve"> </v>
      </c>
      <c r="AF185" s="26" t="str">
        <f>IFERROR($AC185*HDF_Limited_Col!AF185/HDF_Limited_Col!$AH185," ")</f>
        <v xml:space="preserve"> </v>
      </c>
      <c r="AG185" s="26" t="str">
        <f>IFERROR($AC185*HDF_Limited_Col!AG185/HDF_Limited_Col!$AH185," ")</f>
        <v xml:space="preserve"> </v>
      </c>
      <c r="AH185" s="26" t="str">
        <f>IFERROR($AC185*HDF_Limited_Col!AH185/HDF_Limited_Col!$AH185," ")</f>
        <v xml:space="preserve"> </v>
      </c>
      <c r="AI185" s="26" t="str">
        <f>IFERROR($AC185*HDF_Limited_Col!AI185/HDF_Limited_Col!$AH185," ")</f>
        <v xml:space="preserve"> </v>
      </c>
      <c r="AJ185" s="26" t="str">
        <f>IFERROR($AC185*HDF_Limited_Col!AJ185/HDF_Limited_Col!$AH185," ")</f>
        <v xml:space="preserve"> </v>
      </c>
      <c r="AK185" s="26" t="str">
        <f>IFERROR($AC185*HDF_Limited_Col!AK185/HDF_Limited_Col!$AH185," ")</f>
        <v xml:space="preserve"> </v>
      </c>
      <c r="AL185" s="26" t="str">
        <f>IFERROR($AC185*HDF_Limited_Col!AL185/HDF_Limited_Col!$AH185," ")</f>
        <v xml:space="preserve"> </v>
      </c>
      <c r="AM185" s="26" t="str">
        <f>IFERROR($AC185*HDF_Limited_Col!AM185/HDF_Limited_Col!$AH185," ")</f>
        <v xml:space="preserve"> </v>
      </c>
      <c r="AN185" s="26" t="str">
        <f>IFERROR($AC185*HDF_Limited_Col!AN185/HDF_Limited_Col!$AH185," ")</f>
        <v xml:space="preserve"> </v>
      </c>
      <c r="AO185" s="26" t="str">
        <f>IFERROR($AC185*HDF_Limited_Col!AO185/HDF_Limited_Col!$AH185," ")</f>
        <v xml:space="preserve"> </v>
      </c>
      <c r="AP185" s="26" t="str">
        <f>IFERROR($AC185*HDF_Limited_Col!AP185/HDF_Limited_Col!$AH185," ")</f>
        <v xml:space="preserve"> </v>
      </c>
      <c r="AQ185" s="26" t="str">
        <f>IFERROR($AC185*HDF_Limited_Col!AQ185/HDF_Limited_Col!$AH185," ")</f>
        <v xml:space="preserve"> </v>
      </c>
      <c r="AR185" s="26" t="str">
        <f>IFERROR($AC185*HDF_Limited_Col!AR185/HDF_Limited_Col!$AH185," ")</f>
        <v xml:space="preserve"> </v>
      </c>
      <c r="AS185" s="26" t="str">
        <f>IFERROR($AC185*HDF_Limited_Col!AS185/HDF_Limited_Col!$AH185," ")</f>
        <v xml:space="preserve"> </v>
      </c>
      <c r="AT185" s="26" t="str">
        <f>IFERROR($AC185*HDF_Limited_Col!AT185/HDF_Limited_Col!$AH185," ")</f>
        <v xml:space="preserve"> </v>
      </c>
      <c r="AU185" s="26" t="str">
        <f>IFERROR($AC185*HDF_Limited_Col!AU185/HDF_Limited_Col!$AH185," ")</f>
        <v xml:space="preserve"> </v>
      </c>
      <c r="AV185" s="26" t="str">
        <f>IFERROR($AC185*HDF_Limited_Col!AV185/HDF_Limited_Col!$AH185," ")</f>
        <v xml:space="preserve"> </v>
      </c>
      <c r="AW185" s="26" t="str">
        <f>IFERROR($AC185*HDF_Limited_Col!AW185/HDF_Limited_Col!$AH185," ")</f>
        <v xml:space="preserve"> </v>
      </c>
      <c r="AX185" s="26" t="str">
        <f>IFERROR($AC185*HDF_Limited_Col!AX185/HDF_Limited_Col!$AH185," ")</f>
        <v xml:space="preserve"> </v>
      </c>
      <c r="AY185" s="26" t="str">
        <f>IFERROR($AC185*HDF_Limited_Col!AY185/HDF_Limited_Col!$AH185," ")</f>
        <v xml:space="preserve"> </v>
      </c>
      <c r="AZ185" s="26" t="str">
        <f>IFERROR($AC185*HDF_Limited_Col!AZ185/HDF_Limited_Col!$AH185," ")</f>
        <v xml:space="preserve"> </v>
      </c>
      <c r="BA185" s="26" t="str">
        <f>IFERROR($AC185*HDF_Limited_Col!BA185/HDF_Limited_Col!$AH185," ")</f>
        <v xml:space="preserve"> </v>
      </c>
      <c r="BB185" s="26" t="str">
        <f>IFERROR($AC185*HDF_Limited_Col!BB185/HDF_Limited_Col!$AH185," ")</f>
        <v xml:space="preserve"> </v>
      </c>
      <c r="BC185" s="26" t="str">
        <f>IFERROR($AC185*HDF_Limited_Col!BC185/HDF_Limited_Col!$AH185," ")</f>
        <v xml:space="preserve"> </v>
      </c>
      <c r="BD185" s="26" t="str">
        <f>IFERROR($AC185*HDF_Limited_Col!BD185/HDF_Limited_Col!$AH185," ")</f>
        <v xml:space="preserve"> </v>
      </c>
      <c r="BE185" s="26" t="str">
        <f>IFERROR($AC185*HDF_Limited_Col!BE185/HDF_Limited_Col!$AH185," ")</f>
        <v xml:space="preserve"> </v>
      </c>
      <c r="BF185" s="26" t="str">
        <f>IFERROR($AC185*HDF_Limited_Col!BF185/HDF_Limited_Col!$AH185," ")</f>
        <v xml:space="preserve"> </v>
      </c>
      <c r="BG185" s="26" t="str">
        <f>IFERROR($AC185*HDF_Limited_Col!BG185/HDF_Limited_Col!$AH185," ")</f>
        <v xml:space="preserve"> </v>
      </c>
      <c r="BH185" s="26" t="str">
        <f>IFERROR($AC185*HDF_Limited_Col!BH185/HDF_Limited_Col!$AH185," ")</f>
        <v xml:space="preserve"> </v>
      </c>
      <c r="BI185" s="26" t="str">
        <f>IFERROR($AC185*HDF_Limited_Col!BI185/HDF_Limited_Col!$AH185," ")</f>
        <v xml:space="preserve"> </v>
      </c>
      <c r="BJ185" s="26" t="str">
        <f>IFERROR($AC185*HDF_Limited_Col!BJ185/HDF_Limited_Col!$AH185," ")</f>
        <v xml:space="preserve"> </v>
      </c>
      <c r="BK185" s="26" t="str">
        <f>IFERROR($AC185*HDF_Limited_Col!BK185/HDF_Limited_Col!$AH185," ")</f>
        <v xml:space="preserve"> </v>
      </c>
      <c r="BL185" s="26" t="str">
        <f>IFERROR($AC185*HDF_Limited_Col!BL185/HDF_Limited_Col!$AH185," ")</f>
        <v xml:space="preserve"> </v>
      </c>
      <c r="BM185" s="26" t="str">
        <f>IFERROR($AC185*HDF_Limited_Col!BM185/HDF_Limited_Col!$AH185," ")</f>
        <v xml:space="preserve"> </v>
      </c>
      <c r="BN185" s="26" t="str">
        <f>IFERROR($AC185*HDF_Limited_Col!BN185/HDF_Limited_Col!$AH185," ")</f>
        <v xml:space="preserve"> </v>
      </c>
      <c r="BO185" s="26" t="str">
        <f>IFERROR($AC185*HDF_Limited_Col!BO185/HDF_Limited_Col!$AH185," ")</f>
        <v xml:space="preserve"> </v>
      </c>
      <c r="BP185" s="26" t="str">
        <f>IFERROR($AC185*HDF_Limited_Col!BP185/HDF_Limited_Col!$AH185," ")</f>
        <v xml:space="preserve"> </v>
      </c>
      <c r="BQ185" s="26" t="str">
        <f>IFERROR($AC185*HDF_Limited_Col!BQ185/HDF_Limited_Col!$AH185," ")</f>
        <v xml:space="preserve"> </v>
      </c>
      <c r="BR185" s="26" t="str">
        <f>IFERROR($AC185*HDF_Limited_Col!BR185/HDF_Limited_Col!$AH185," ")</f>
        <v xml:space="preserve"> </v>
      </c>
      <c r="BS185" s="26" t="str">
        <f>IFERROR($AC185*HDF_Limited_Col!BS185/HDF_Limited_Col!$AH185," ")</f>
        <v xml:space="preserve"> </v>
      </c>
      <c r="BT185" s="26" t="str">
        <f>IFERROR($AC185*HDF_Limited_Col!BT185/HDF_Limited_Col!$AH185," ")</f>
        <v xml:space="preserve"> </v>
      </c>
      <c r="BU185" s="26" t="str">
        <f>IFERROR($AC185*HDF_Limited_Col!BU185/HDF_Limited_Col!$AH185," ")</f>
        <v xml:space="preserve"> </v>
      </c>
      <c r="BV185" s="26" t="str">
        <f>IFERROR($AC185*HDF_Limited_Col!BV185/HDF_Limited_Col!$AH185," ")</f>
        <v xml:space="preserve"> </v>
      </c>
      <c r="BW185" s="26" t="str">
        <f>IFERROR($AC185*HDF_Limited_Col!BW185/HDF_Limited_Col!$AH185," ")</f>
        <v xml:space="preserve"> </v>
      </c>
      <c r="BX185" s="26" t="str">
        <f>IFERROR($AC185*HDF_Limited_Col!BX185/HDF_Limited_Col!$AH185," ")</f>
        <v xml:space="preserve"> </v>
      </c>
      <c r="BY185" s="26" t="str">
        <f>IFERROR($AC185*HDF_Limited_Col!BY185/HDF_Limited_Col!$AH185," ")</f>
        <v xml:space="preserve"> </v>
      </c>
      <c r="BZ185" s="26" t="str">
        <f>IFERROR($AC185*HDF_Limited_Col!BZ185/HDF_Limited_Col!$AH185," ")</f>
        <v xml:space="preserve"> </v>
      </c>
      <c r="CA185" s="26" t="str">
        <f>IFERROR($AC185*HDF_Limited_Col!CA185/HDF_Limited_Col!$AH185," ")</f>
        <v xml:space="preserve"> </v>
      </c>
      <c r="CB185" s="26" t="str">
        <f>IFERROR($AC185*HDF_Limited_Col!CB185/HDF_Limited_Col!$AH185," ")</f>
        <v xml:space="preserve"> </v>
      </c>
      <c r="CC185" s="26" t="str">
        <f>IFERROR($AC185*HDF_Limited_Col!CC185/HDF_Limited_Col!$AH185," ")</f>
        <v xml:space="preserve"> </v>
      </c>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row>
    <row r="186" spans="1:109">
      <c r="A186" s="26" t="s">
        <v>1431</v>
      </c>
      <c r="B186" s="26" t="s">
        <v>24</v>
      </c>
      <c r="C186" s="156" t="s">
        <v>541</v>
      </c>
      <c r="D186" s="26" t="s">
        <v>1722</v>
      </c>
      <c r="E186" s="26" t="s">
        <v>388</v>
      </c>
      <c r="F186" s="26" t="s">
        <v>342</v>
      </c>
      <c r="G186" s="26" t="s">
        <v>640</v>
      </c>
      <c r="H186" s="30">
        <v>71</v>
      </c>
      <c r="I186" s="26"/>
      <c r="J186" s="26" t="s">
        <v>1311</v>
      </c>
      <c r="K186" s="26" t="s">
        <v>115</v>
      </c>
      <c r="L186" s="26"/>
      <c r="M186" s="26" t="s">
        <v>1251</v>
      </c>
      <c r="N186" s="26">
        <v>16</v>
      </c>
      <c r="O186" s="95">
        <v>44.752920276808389</v>
      </c>
      <c r="P186" s="95">
        <v>3.5299494420583692</v>
      </c>
      <c r="Q186" s="95">
        <v>6.044158446373447</v>
      </c>
      <c r="R186" s="95">
        <v>8.5583674506885252</v>
      </c>
      <c r="S186" s="95">
        <v>3.7612566704553569</v>
      </c>
      <c r="T186" s="95">
        <v>6.8688189997887932</v>
      </c>
      <c r="U186" s="95">
        <v>0</v>
      </c>
      <c r="V186" s="95">
        <v>1.7599463030205547</v>
      </c>
      <c r="W186" s="95">
        <v>18.404009911586371</v>
      </c>
      <c r="X186" s="95">
        <v>4.4048941755600168</v>
      </c>
      <c r="Y186" s="95">
        <v>2.4739816602460367</v>
      </c>
      <c r="Z186" s="95">
        <v>100.55830333658585</v>
      </c>
      <c r="AA186" s="26"/>
      <c r="AB186" s="26"/>
      <c r="AC186" s="26">
        <f t="shared" si="3"/>
        <v>152778.551838641</v>
      </c>
      <c r="AD186" s="26" t="str">
        <f>IFERROR($AC186*HDF_Limited_Col!AD186/HDF_Limited_Col!$AH186," ")</f>
        <v xml:space="preserve"> </v>
      </c>
      <c r="AE186" s="26" t="str">
        <f>IFERROR($AC186*HDF_Limited_Col!AE186/HDF_Limited_Col!$AH186," ")</f>
        <v xml:space="preserve"> </v>
      </c>
      <c r="AF186" s="26" t="str">
        <f>IFERROR($AC186*HDF_Limited_Col!AF186/HDF_Limited_Col!$AH186," ")</f>
        <v xml:space="preserve"> </v>
      </c>
      <c r="AG186" s="26" t="str">
        <f>IFERROR($AC186*HDF_Limited_Col!AG186/HDF_Limited_Col!$AH186," ")</f>
        <v xml:space="preserve"> </v>
      </c>
      <c r="AH186" s="26" t="str">
        <f>IFERROR($AC186*HDF_Limited_Col!AH186/HDF_Limited_Col!$AH186," ")</f>
        <v xml:space="preserve"> </v>
      </c>
      <c r="AI186" s="26" t="str">
        <f>IFERROR($AC186*HDF_Limited_Col!AI186/HDF_Limited_Col!$AH186," ")</f>
        <v xml:space="preserve"> </v>
      </c>
      <c r="AJ186" s="26" t="str">
        <f>IFERROR($AC186*HDF_Limited_Col!AJ186/HDF_Limited_Col!$AH186," ")</f>
        <v xml:space="preserve"> </v>
      </c>
      <c r="AK186" s="26" t="str">
        <f>IFERROR($AC186*HDF_Limited_Col!AK186/HDF_Limited_Col!$AH186," ")</f>
        <v xml:space="preserve"> </v>
      </c>
      <c r="AL186" s="26" t="str">
        <f>IFERROR($AC186*HDF_Limited_Col!AL186/HDF_Limited_Col!$AH186," ")</f>
        <v xml:space="preserve"> </v>
      </c>
      <c r="AM186" s="26" t="str">
        <f>IFERROR($AC186*HDF_Limited_Col!AM186/HDF_Limited_Col!$AH186," ")</f>
        <v xml:space="preserve"> </v>
      </c>
      <c r="AN186" s="26" t="str">
        <f>IFERROR($AC186*HDF_Limited_Col!AN186/HDF_Limited_Col!$AH186," ")</f>
        <v xml:space="preserve"> </v>
      </c>
      <c r="AO186" s="26" t="str">
        <f>IFERROR($AC186*HDF_Limited_Col!AO186/HDF_Limited_Col!$AH186," ")</f>
        <v xml:space="preserve"> </v>
      </c>
      <c r="AP186" s="26" t="str">
        <f>IFERROR($AC186*HDF_Limited_Col!AP186/HDF_Limited_Col!$AH186," ")</f>
        <v xml:space="preserve"> </v>
      </c>
      <c r="AQ186" s="26" t="str">
        <f>IFERROR($AC186*HDF_Limited_Col!AQ186/HDF_Limited_Col!$AH186," ")</f>
        <v xml:space="preserve"> </v>
      </c>
      <c r="AR186" s="26" t="str">
        <f>IFERROR($AC186*HDF_Limited_Col!AR186/HDF_Limited_Col!$AH186," ")</f>
        <v xml:space="preserve"> </v>
      </c>
      <c r="AS186" s="26" t="str">
        <f>IFERROR($AC186*HDF_Limited_Col!AS186/HDF_Limited_Col!$AH186," ")</f>
        <v xml:space="preserve"> </v>
      </c>
      <c r="AT186" s="26" t="str">
        <f>IFERROR($AC186*HDF_Limited_Col!AT186/HDF_Limited_Col!$AH186," ")</f>
        <v xml:space="preserve"> </v>
      </c>
      <c r="AU186" s="26" t="str">
        <f>IFERROR($AC186*HDF_Limited_Col!AU186/HDF_Limited_Col!$AH186," ")</f>
        <v xml:space="preserve"> </v>
      </c>
      <c r="AV186" s="26" t="str">
        <f>IFERROR($AC186*HDF_Limited_Col!AV186/HDF_Limited_Col!$AH186," ")</f>
        <v xml:space="preserve"> </v>
      </c>
      <c r="AW186" s="26" t="str">
        <f>IFERROR($AC186*HDF_Limited_Col!AW186/HDF_Limited_Col!$AH186," ")</f>
        <v xml:space="preserve"> </v>
      </c>
      <c r="AX186" s="26" t="str">
        <f>IFERROR($AC186*HDF_Limited_Col!AX186/HDF_Limited_Col!$AH186," ")</f>
        <v xml:space="preserve"> </v>
      </c>
      <c r="AY186" s="26" t="str">
        <f>IFERROR($AC186*HDF_Limited_Col!AY186/HDF_Limited_Col!$AH186," ")</f>
        <v xml:space="preserve"> </v>
      </c>
      <c r="AZ186" s="26" t="str">
        <f>IFERROR($AC186*HDF_Limited_Col!AZ186/HDF_Limited_Col!$AH186," ")</f>
        <v xml:space="preserve"> </v>
      </c>
      <c r="BA186" s="26" t="str">
        <f>IFERROR($AC186*HDF_Limited_Col!BA186/HDF_Limited_Col!$AH186," ")</f>
        <v xml:space="preserve"> </v>
      </c>
      <c r="BB186" s="26" t="str">
        <f>IFERROR($AC186*HDF_Limited_Col!BB186/HDF_Limited_Col!$AH186," ")</f>
        <v xml:space="preserve"> </v>
      </c>
      <c r="BC186" s="26" t="str">
        <f>IFERROR($AC186*HDF_Limited_Col!BC186/HDF_Limited_Col!$AH186," ")</f>
        <v xml:space="preserve"> </v>
      </c>
      <c r="BD186" s="26" t="str">
        <f>IFERROR($AC186*HDF_Limited_Col!BD186/HDF_Limited_Col!$AH186," ")</f>
        <v xml:space="preserve"> </v>
      </c>
      <c r="BE186" s="26" t="str">
        <f>IFERROR($AC186*HDF_Limited_Col!BE186/HDF_Limited_Col!$AH186," ")</f>
        <v xml:space="preserve"> </v>
      </c>
      <c r="BF186" s="26" t="str">
        <f>IFERROR($AC186*HDF_Limited_Col!BF186/HDF_Limited_Col!$AH186," ")</f>
        <v xml:space="preserve"> </v>
      </c>
      <c r="BG186" s="26" t="str">
        <f>IFERROR($AC186*HDF_Limited_Col!BG186/HDF_Limited_Col!$AH186," ")</f>
        <v xml:space="preserve"> </v>
      </c>
      <c r="BH186" s="26" t="str">
        <f>IFERROR($AC186*HDF_Limited_Col!BH186/HDF_Limited_Col!$AH186," ")</f>
        <v xml:space="preserve"> </v>
      </c>
      <c r="BI186" s="26" t="str">
        <f>IFERROR($AC186*HDF_Limited_Col!BI186/HDF_Limited_Col!$AH186," ")</f>
        <v xml:space="preserve"> </v>
      </c>
      <c r="BJ186" s="26" t="str">
        <f>IFERROR($AC186*HDF_Limited_Col!BJ186/HDF_Limited_Col!$AH186," ")</f>
        <v xml:space="preserve"> </v>
      </c>
      <c r="BK186" s="26" t="str">
        <f>IFERROR($AC186*HDF_Limited_Col!BK186/HDF_Limited_Col!$AH186," ")</f>
        <v xml:space="preserve"> </v>
      </c>
      <c r="BL186" s="26" t="str">
        <f>IFERROR($AC186*HDF_Limited_Col!BL186/HDF_Limited_Col!$AH186," ")</f>
        <v xml:space="preserve"> </v>
      </c>
      <c r="BM186" s="26" t="str">
        <f>IFERROR($AC186*HDF_Limited_Col!BM186/HDF_Limited_Col!$AH186," ")</f>
        <v xml:space="preserve"> </v>
      </c>
      <c r="BN186" s="26" t="str">
        <f>IFERROR($AC186*HDF_Limited_Col!BN186/HDF_Limited_Col!$AH186," ")</f>
        <v xml:space="preserve"> </v>
      </c>
      <c r="BO186" s="26" t="str">
        <f>IFERROR($AC186*HDF_Limited_Col!BO186/HDF_Limited_Col!$AH186," ")</f>
        <v xml:space="preserve"> </v>
      </c>
      <c r="BP186" s="26" t="str">
        <f>IFERROR($AC186*HDF_Limited_Col!BP186/HDF_Limited_Col!$AH186," ")</f>
        <v xml:space="preserve"> </v>
      </c>
      <c r="BQ186" s="26" t="str">
        <f>IFERROR($AC186*HDF_Limited_Col!BQ186/HDF_Limited_Col!$AH186," ")</f>
        <v xml:space="preserve"> </v>
      </c>
      <c r="BR186" s="26" t="str">
        <f>IFERROR($AC186*HDF_Limited_Col!BR186/HDF_Limited_Col!$AH186," ")</f>
        <v xml:space="preserve"> </v>
      </c>
      <c r="BS186" s="26" t="str">
        <f>IFERROR($AC186*HDF_Limited_Col!BS186/HDF_Limited_Col!$AH186," ")</f>
        <v xml:space="preserve"> </v>
      </c>
      <c r="BT186" s="26" t="str">
        <f>IFERROR($AC186*HDF_Limited_Col!BT186/HDF_Limited_Col!$AH186," ")</f>
        <v xml:space="preserve"> </v>
      </c>
      <c r="BU186" s="26" t="str">
        <f>IFERROR($AC186*HDF_Limited_Col!BU186/HDF_Limited_Col!$AH186," ")</f>
        <v xml:space="preserve"> </v>
      </c>
      <c r="BV186" s="26" t="str">
        <f>IFERROR($AC186*HDF_Limited_Col!BV186/HDF_Limited_Col!$AH186," ")</f>
        <v xml:space="preserve"> </v>
      </c>
      <c r="BW186" s="26" t="str">
        <f>IFERROR($AC186*HDF_Limited_Col!BW186/HDF_Limited_Col!$AH186," ")</f>
        <v xml:space="preserve"> </v>
      </c>
      <c r="BX186" s="26" t="str">
        <f>IFERROR($AC186*HDF_Limited_Col!BX186/HDF_Limited_Col!$AH186," ")</f>
        <v xml:space="preserve"> </v>
      </c>
      <c r="BY186" s="26" t="str">
        <f>IFERROR($AC186*HDF_Limited_Col!BY186/HDF_Limited_Col!$AH186," ")</f>
        <v xml:space="preserve"> </v>
      </c>
      <c r="BZ186" s="26" t="str">
        <f>IFERROR($AC186*HDF_Limited_Col!BZ186/HDF_Limited_Col!$AH186," ")</f>
        <v xml:space="preserve"> </v>
      </c>
      <c r="CA186" s="26" t="str">
        <f>IFERROR($AC186*HDF_Limited_Col!CA186/HDF_Limited_Col!$AH186," ")</f>
        <v xml:space="preserve"> </v>
      </c>
      <c r="CB186" s="26" t="str">
        <f>IFERROR($AC186*HDF_Limited_Col!CB186/HDF_Limited_Col!$AH186," ")</f>
        <v xml:space="preserve"> </v>
      </c>
      <c r="CC186" s="26" t="str">
        <f>IFERROR($AC186*HDF_Limited_Col!CC186/HDF_Limited_Col!$AH186," ")</f>
        <v xml:space="preserve"> </v>
      </c>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row>
    <row r="187" spans="1:109">
      <c r="A187" s="26" t="s">
        <v>1431</v>
      </c>
      <c r="B187" s="26" t="s">
        <v>24</v>
      </c>
      <c r="C187" s="156" t="s">
        <v>541</v>
      </c>
      <c r="D187" s="26" t="s">
        <v>1722</v>
      </c>
      <c r="E187" s="26" t="s">
        <v>388</v>
      </c>
      <c r="F187" s="26" t="s">
        <v>342</v>
      </c>
      <c r="G187" s="26" t="s">
        <v>640</v>
      </c>
      <c r="H187" s="30">
        <v>71</v>
      </c>
      <c r="I187" s="26"/>
      <c r="J187" s="26" t="s">
        <v>1311</v>
      </c>
      <c r="K187" s="26" t="s">
        <v>115</v>
      </c>
      <c r="L187" s="26"/>
      <c r="M187" s="26" t="s">
        <v>1479</v>
      </c>
      <c r="N187" s="26">
        <v>25</v>
      </c>
      <c r="O187" s="95">
        <v>43.126987700479894</v>
      </c>
      <c r="P187" s="95">
        <v>1.7982206162298948</v>
      </c>
      <c r="Q187" s="95">
        <v>5.8997799993160598</v>
      </c>
      <c r="R187" s="95">
        <v>9.8801110262518943</v>
      </c>
      <c r="S187" s="95">
        <v>3.0206065407457228</v>
      </c>
      <c r="T187" s="95">
        <v>9.0113078071745303</v>
      </c>
      <c r="U187" s="95">
        <v>0</v>
      </c>
      <c r="V187" s="95">
        <v>2.6064096572320952</v>
      </c>
      <c r="W187" s="95">
        <v>16.305213902219386</v>
      </c>
      <c r="X187" s="95">
        <v>4.8390318830006729</v>
      </c>
      <c r="Y187" s="95">
        <v>4.5359609926248474</v>
      </c>
      <c r="Z187" s="95">
        <v>101.02363012527501</v>
      </c>
      <c r="AA187" s="26"/>
      <c r="AB187" s="26"/>
      <c r="AC187" s="26">
        <f t="shared" si="3"/>
        <v>135355.66321511669</v>
      </c>
      <c r="AD187" s="26" t="str">
        <f>IFERROR($AC187*HDF_Limited_Col!AD187/HDF_Limited_Col!$AH187," ")</f>
        <v xml:space="preserve"> </v>
      </c>
      <c r="AE187" s="26" t="str">
        <f>IFERROR($AC187*HDF_Limited_Col!AE187/HDF_Limited_Col!$AH187," ")</f>
        <v xml:space="preserve"> </v>
      </c>
      <c r="AF187" s="26" t="str">
        <f>IFERROR($AC187*HDF_Limited_Col!AF187/HDF_Limited_Col!$AH187," ")</f>
        <v xml:space="preserve"> </v>
      </c>
      <c r="AG187" s="26" t="str">
        <f>IFERROR($AC187*HDF_Limited_Col!AG187/HDF_Limited_Col!$AH187," ")</f>
        <v xml:space="preserve"> </v>
      </c>
      <c r="AH187" s="26" t="str">
        <f>IFERROR($AC187*HDF_Limited_Col!AH187/HDF_Limited_Col!$AH187," ")</f>
        <v xml:space="preserve"> </v>
      </c>
      <c r="AI187" s="26" t="str">
        <f>IFERROR($AC187*HDF_Limited_Col!AI187/HDF_Limited_Col!$AH187," ")</f>
        <v xml:space="preserve"> </v>
      </c>
      <c r="AJ187" s="26" t="str">
        <f>IFERROR($AC187*HDF_Limited_Col!AJ187/HDF_Limited_Col!$AH187," ")</f>
        <v xml:space="preserve"> </v>
      </c>
      <c r="AK187" s="26" t="str">
        <f>IFERROR($AC187*HDF_Limited_Col!AK187/HDF_Limited_Col!$AH187," ")</f>
        <v xml:space="preserve"> </v>
      </c>
      <c r="AL187" s="26" t="str">
        <f>IFERROR($AC187*HDF_Limited_Col!AL187/HDF_Limited_Col!$AH187," ")</f>
        <v xml:space="preserve"> </v>
      </c>
      <c r="AM187" s="26" t="str">
        <f>IFERROR($AC187*HDF_Limited_Col!AM187/HDF_Limited_Col!$AH187," ")</f>
        <v xml:space="preserve"> </v>
      </c>
      <c r="AN187" s="26" t="str">
        <f>IFERROR($AC187*HDF_Limited_Col!AN187/HDF_Limited_Col!$AH187," ")</f>
        <v xml:space="preserve"> </v>
      </c>
      <c r="AO187" s="26" t="str">
        <f>IFERROR($AC187*HDF_Limited_Col!AO187/HDF_Limited_Col!$AH187," ")</f>
        <v xml:space="preserve"> </v>
      </c>
      <c r="AP187" s="26" t="str">
        <f>IFERROR($AC187*HDF_Limited_Col!AP187/HDF_Limited_Col!$AH187," ")</f>
        <v xml:space="preserve"> </v>
      </c>
      <c r="AQ187" s="26" t="str">
        <f>IFERROR($AC187*HDF_Limited_Col!AQ187/HDF_Limited_Col!$AH187," ")</f>
        <v xml:space="preserve"> </v>
      </c>
      <c r="AR187" s="26" t="str">
        <f>IFERROR($AC187*HDF_Limited_Col!AR187/HDF_Limited_Col!$AH187," ")</f>
        <v xml:space="preserve"> </v>
      </c>
      <c r="AS187" s="26" t="str">
        <f>IFERROR($AC187*HDF_Limited_Col!AS187/HDF_Limited_Col!$AH187," ")</f>
        <v xml:space="preserve"> </v>
      </c>
      <c r="AT187" s="26" t="str">
        <f>IFERROR($AC187*HDF_Limited_Col!AT187/HDF_Limited_Col!$AH187," ")</f>
        <v xml:space="preserve"> </v>
      </c>
      <c r="AU187" s="26" t="str">
        <f>IFERROR($AC187*HDF_Limited_Col!AU187/HDF_Limited_Col!$AH187," ")</f>
        <v xml:space="preserve"> </v>
      </c>
      <c r="AV187" s="26" t="str">
        <f>IFERROR($AC187*HDF_Limited_Col!AV187/HDF_Limited_Col!$AH187," ")</f>
        <v xml:space="preserve"> </v>
      </c>
      <c r="AW187" s="26" t="str">
        <f>IFERROR($AC187*HDF_Limited_Col!AW187/HDF_Limited_Col!$AH187," ")</f>
        <v xml:space="preserve"> </v>
      </c>
      <c r="AX187" s="26" t="str">
        <f>IFERROR($AC187*HDF_Limited_Col!AX187/HDF_Limited_Col!$AH187," ")</f>
        <v xml:space="preserve"> </v>
      </c>
      <c r="AY187" s="26" t="str">
        <f>IFERROR($AC187*HDF_Limited_Col!AY187/HDF_Limited_Col!$AH187," ")</f>
        <v xml:space="preserve"> </v>
      </c>
      <c r="AZ187" s="26" t="str">
        <f>IFERROR($AC187*HDF_Limited_Col!AZ187/HDF_Limited_Col!$AH187," ")</f>
        <v xml:space="preserve"> </v>
      </c>
      <c r="BA187" s="26" t="str">
        <f>IFERROR($AC187*HDF_Limited_Col!BA187/HDF_Limited_Col!$AH187," ")</f>
        <v xml:space="preserve"> </v>
      </c>
      <c r="BB187" s="26" t="str">
        <f>IFERROR($AC187*HDF_Limited_Col!BB187/HDF_Limited_Col!$AH187," ")</f>
        <v xml:space="preserve"> </v>
      </c>
      <c r="BC187" s="26" t="str">
        <f>IFERROR($AC187*HDF_Limited_Col!BC187/HDF_Limited_Col!$AH187," ")</f>
        <v xml:space="preserve"> </v>
      </c>
      <c r="BD187" s="26" t="str">
        <f>IFERROR($AC187*HDF_Limited_Col!BD187/HDF_Limited_Col!$AH187," ")</f>
        <v xml:space="preserve"> </v>
      </c>
      <c r="BE187" s="26" t="str">
        <f>IFERROR($AC187*HDF_Limited_Col!BE187/HDF_Limited_Col!$AH187," ")</f>
        <v xml:space="preserve"> </v>
      </c>
      <c r="BF187" s="26" t="str">
        <f>IFERROR($AC187*HDF_Limited_Col!BF187/HDF_Limited_Col!$AH187," ")</f>
        <v xml:space="preserve"> </v>
      </c>
      <c r="BG187" s="26" t="str">
        <f>IFERROR($AC187*HDF_Limited_Col!BG187/HDF_Limited_Col!$AH187," ")</f>
        <v xml:space="preserve"> </v>
      </c>
      <c r="BH187" s="26" t="str">
        <f>IFERROR($AC187*HDF_Limited_Col!BH187/HDF_Limited_Col!$AH187," ")</f>
        <v xml:space="preserve"> </v>
      </c>
      <c r="BI187" s="26" t="str">
        <f>IFERROR($AC187*HDF_Limited_Col!BI187/HDF_Limited_Col!$AH187," ")</f>
        <v xml:space="preserve"> </v>
      </c>
      <c r="BJ187" s="26" t="str">
        <f>IFERROR($AC187*HDF_Limited_Col!BJ187/HDF_Limited_Col!$AH187," ")</f>
        <v xml:space="preserve"> </v>
      </c>
      <c r="BK187" s="26" t="str">
        <f>IFERROR($AC187*HDF_Limited_Col!BK187/HDF_Limited_Col!$AH187," ")</f>
        <v xml:space="preserve"> </v>
      </c>
      <c r="BL187" s="26" t="str">
        <f>IFERROR($AC187*HDF_Limited_Col!BL187/HDF_Limited_Col!$AH187," ")</f>
        <v xml:space="preserve"> </v>
      </c>
      <c r="BM187" s="26" t="str">
        <f>IFERROR($AC187*HDF_Limited_Col!BM187/HDF_Limited_Col!$AH187," ")</f>
        <v xml:space="preserve"> </v>
      </c>
      <c r="BN187" s="26" t="str">
        <f>IFERROR($AC187*HDF_Limited_Col!BN187/HDF_Limited_Col!$AH187," ")</f>
        <v xml:space="preserve"> </v>
      </c>
      <c r="BO187" s="26" t="str">
        <f>IFERROR($AC187*HDF_Limited_Col!BO187/HDF_Limited_Col!$AH187," ")</f>
        <v xml:space="preserve"> </v>
      </c>
      <c r="BP187" s="26" t="str">
        <f>IFERROR($AC187*HDF_Limited_Col!BP187/HDF_Limited_Col!$AH187," ")</f>
        <v xml:space="preserve"> </v>
      </c>
      <c r="BQ187" s="26" t="str">
        <f>IFERROR($AC187*HDF_Limited_Col!BQ187/HDF_Limited_Col!$AH187," ")</f>
        <v xml:space="preserve"> </v>
      </c>
      <c r="BR187" s="26" t="str">
        <f>IFERROR($AC187*HDF_Limited_Col!BR187/HDF_Limited_Col!$AH187," ")</f>
        <v xml:space="preserve"> </v>
      </c>
      <c r="BS187" s="26" t="str">
        <f>IFERROR($AC187*HDF_Limited_Col!BS187/HDF_Limited_Col!$AH187," ")</f>
        <v xml:space="preserve"> </v>
      </c>
      <c r="BT187" s="26" t="str">
        <f>IFERROR($AC187*HDF_Limited_Col!BT187/HDF_Limited_Col!$AH187," ")</f>
        <v xml:space="preserve"> </v>
      </c>
      <c r="BU187" s="26" t="str">
        <f>IFERROR($AC187*HDF_Limited_Col!BU187/HDF_Limited_Col!$AH187," ")</f>
        <v xml:space="preserve"> </v>
      </c>
      <c r="BV187" s="26" t="str">
        <f>IFERROR($AC187*HDF_Limited_Col!BV187/HDF_Limited_Col!$AH187," ")</f>
        <v xml:space="preserve"> </v>
      </c>
      <c r="BW187" s="26" t="str">
        <f>IFERROR($AC187*HDF_Limited_Col!BW187/HDF_Limited_Col!$AH187," ")</f>
        <v xml:space="preserve"> </v>
      </c>
      <c r="BX187" s="26" t="str">
        <f>IFERROR($AC187*HDF_Limited_Col!BX187/HDF_Limited_Col!$AH187," ")</f>
        <v xml:space="preserve"> </v>
      </c>
      <c r="BY187" s="26" t="str">
        <f>IFERROR($AC187*HDF_Limited_Col!BY187/HDF_Limited_Col!$AH187," ")</f>
        <v xml:space="preserve"> </v>
      </c>
      <c r="BZ187" s="26" t="str">
        <f>IFERROR($AC187*HDF_Limited_Col!BZ187/HDF_Limited_Col!$AH187," ")</f>
        <v xml:space="preserve"> </v>
      </c>
      <c r="CA187" s="26" t="str">
        <f>IFERROR($AC187*HDF_Limited_Col!CA187/HDF_Limited_Col!$AH187," ")</f>
        <v xml:space="preserve"> </v>
      </c>
      <c r="CB187" s="26" t="str">
        <f>IFERROR($AC187*HDF_Limited_Col!CB187/HDF_Limited_Col!$AH187," ")</f>
        <v xml:space="preserve"> </v>
      </c>
      <c r="CC187" s="26" t="str">
        <f>IFERROR($AC187*HDF_Limited_Col!CC187/HDF_Limited_Col!$AH187," ")</f>
        <v xml:space="preserve"> </v>
      </c>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row>
    <row r="188" spans="1:109">
      <c r="A188" s="26" t="s">
        <v>846</v>
      </c>
      <c r="B188" s="26" t="s">
        <v>24</v>
      </c>
      <c r="C188" s="156" t="s">
        <v>541</v>
      </c>
      <c r="D188" s="26" t="s">
        <v>1722</v>
      </c>
      <c r="E188" s="26" t="s">
        <v>388</v>
      </c>
      <c r="F188" s="26" t="s">
        <v>1789</v>
      </c>
      <c r="G188" s="26" t="s">
        <v>640</v>
      </c>
      <c r="H188" s="30"/>
      <c r="I188" s="26" t="s">
        <v>1148</v>
      </c>
      <c r="J188" s="26"/>
      <c r="K188" s="26"/>
      <c r="L188" s="26"/>
      <c r="M188" s="26" t="s">
        <v>515</v>
      </c>
      <c r="N188" s="26">
        <v>14</v>
      </c>
      <c r="O188" s="95">
        <v>45.906345051391355</v>
      </c>
      <c r="P188" s="95">
        <v>2.6355312701410014</v>
      </c>
      <c r="Q188" s="95">
        <v>7.0848692318999538</v>
      </c>
      <c r="R188" s="95">
        <v>11.393912753423264</v>
      </c>
      <c r="S188" s="95">
        <v>7.2852898608080139</v>
      </c>
      <c r="T188" s="95">
        <v>4.9604105654745076</v>
      </c>
      <c r="U188" s="95">
        <v>0</v>
      </c>
      <c r="V188" s="95">
        <v>2.8559939619398684</v>
      </c>
      <c r="W188" s="95">
        <v>13.688728954420561</v>
      </c>
      <c r="X188" s="95">
        <v>3.4672768801094538</v>
      </c>
      <c r="Y188" s="95">
        <v>0.93195592442248332</v>
      </c>
      <c r="Z188" s="95">
        <v>100.21031445403047</v>
      </c>
      <c r="AA188" s="26"/>
      <c r="AB188" s="26"/>
      <c r="AC188" s="26">
        <f t="shared" si="3"/>
        <v>113635.24559131147</v>
      </c>
      <c r="AD188" s="26" t="str">
        <f>IFERROR($AC188*HDF_Limited_Col!AD188/HDF_Limited_Col!$AH188," ")</f>
        <v xml:space="preserve"> </v>
      </c>
      <c r="AE188" s="26" t="str">
        <f>IFERROR($AC188*HDF_Limited_Col!AE188/HDF_Limited_Col!$AH188," ")</f>
        <v xml:space="preserve"> </v>
      </c>
      <c r="AF188" s="26" t="str">
        <f>IFERROR($AC188*HDF_Limited_Col!AF188/HDF_Limited_Col!$AH188," ")</f>
        <v xml:space="preserve"> </v>
      </c>
      <c r="AG188" s="26" t="str">
        <f>IFERROR($AC188*HDF_Limited_Col!AG188/HDF_Limited_Col!$AH188," ")</f>
        <v xml:space="preserve"> </v>
      </c>
      <c r="AH188" s="26" t="str">
        <f>IFERROR($AC188*HDF_Limited_Col!AH188/HDF_Limited_Col!$AH188," ")</f>
        <v xml:space="preserve"> </v>
      </c>
      <c r="AI188" s="26" t="str">
        <f>IFERROR($AC188*HDF_Limited_Col!AI188/HDF_Limited_Col!$AH188," ")</f>
        <v xml:space="preserve"> </v>
      </c>
      <c r="AJ188" s="26" t="str">
        <f>IFERROR($AC188*HDF_Limited_Col!AJ188/HDF_Limited_Col!$AH188," ")</f>
        <v xml:space="preserve"> </v>
      </c>
      <c r="AK188" s="26" t="str">
        <f>IFERROR($AC188*HDF_Limited_Col!AK188/HDF_Limited_Col!$AH188," ")</f>
        <v xml:space="preserve"> </v>
      </c>
      <c r="AL188" s="26" t="str">
        <f>IFERROR($AC188*HDF_Limited_Col!AL188/HDF_Limited_Col!$AH188," ")</f>
        <v xml:space="preserve"> </v>
      </c>
      <c r="AM188" s="26" t="str">
        <f>IFERROR($AC188*HDF_Limited_Col!AM188/HDF_Limited_Col!$AH188," ")</f>
        <v xml:space="preserve"> </v>
      </c>
      <c r="AN188" s="26" t="str">
        <f>IFERROR($AC188*HDF_Limited_Col!AN188/HDF_Limited_Col!$AH188," ")</f>
        <v xml:space="preserve"> </v>
      </c>
      <c r="AO188" s="26" t="str">
        <f>IFERROR($AC188*HDF_Limited_Col!AO188/HDF_Limited_Col!$AH188," ")</f>
        <v xml:space="preserve"> </v>
      </c>
      <c r="AP188" s="26" t="str">
        <f>IFERROR($AC188*HDF_Limited_Col!AP188/HDF_Limited_Col!$AH188," ")</f>
        <v xml:space="preserve"> </v>
      </c>
      <c r="AQ188" s="26" t="str">
        <f>IFERROR($AC188*HDF_Limited_Col!AQ188/HDF_Limited_Col!$AH188," ")</f>
        <v xml:space="preserve"> </v>
      </c>
      <c r="AR188" s="26" t="str">
        <f>IFERROR($AC188*HDF_Limited_Col!AR188/HDF_Limited_Col!$AH188," ")</f>
        <v xml:space="preserve"> </v>
      </c>
      <c r="AS188" s="26" t="str">
        <f>IFERROR($AC188*HDF_Limited_Col!AS188/HDF_Limited_Col!$AH188," ")</f>
        <v xml:space="preserve"> </v>
      </c>
      <c r="AT188" s="26" t="str">
        <f>IFERROR($AC188*HDF_Limited_Col!AT188/HDF_Limited_Col!$AH188," ")</f>
        <v xml:space="preserve"> </v>
      </c>
      <c r="AU188" s="26" t="str">
        <f>IFERROR($AC188*HDF_Limited_Col!AU188/HDF_Limited_Col!$AH188," ")</f>
        <v xml:space="preserve"> </v>
      </c>
      <c r="AV188" s="26" t="str">
        <f>IFERROR($AC188*HDF_Limited_Col!AV188/HDF_Limited_Col!$AH188," ")</f>
        <v xml:space="preserve"> </v>
      </c>
      <c r="AW188" s="26" t="str">
        <f>IFERROR($AC188*HDF_Limited_Col!AW188/HDF_Limited_Col!$AH188," ")</f>
        <v xml:space="preserve"> </v>
      </c>
      <c r="AX188" s="26" t="str">
        <f>IFERROR($AC188*HDF_Limited_Col!AX188/HDF_Limited_Col!$AH188," ")</f>
        <v xml:space="preserve"> </v>
      </c>
      <c r="AY188" s="26" t="str">
        <f>IFERROR($AC188*HDF_Limited_Col!AY188/HDF_Limited_Col!$AH188," ")</f>
        <v xml:space="preserve"> </v>
      </c>
      <c r="AZ188" s="26" t="str">
        <f>IFERROR($AC188*HDF_Limited_Col!AZ188/HDF_Limited_Col!$AH188," ")</f>
        <v xml:space="preserve"> </v>
      </c>
      <c r="BA188" s="26" t="str">
        <f>IFERROR($AC188*HDF_Limited_Col!BA188/HDF_Limited_Col!$AH188," ")</f>
        <v xml:space="preserve"> </v>
      </c>
      <c r="BB188" s="26" t="str">
        <f>IFERROR($AC188*HDF_Limited_Col!BB188/HDF_Limited_Col!$AH188," ")</f>
        <v xml:space="preserve"> </v>
      </c>
      <c r="BC188" s="26" t="str">
        <f>IFERROR($AC188*HDF_Limited_Col!BC188/HDF_Limited_Col!$AH188," ")</f>
        <v xml:space="preserve"> </v>
      </c>
      <c r="BD188" s="26" t="str">
        <f>IFERROR($AC188*HDF_Limited_Col!BD188/HDF_Limited_Col!$AH188," ")</f>
        <v xml:space="preserve"> </v>
      </c>
      <c r="BE188" s="26" t="str">
        <f>IFERROR($AC188*HDF_Limited_Col!BE188/HDF_Limited_Col!$AH188," ")</f>
        <v xml:space="preserve"> </v>
      </c>
      <c r="BF188" s="26" t="str">
        <f>IFERROR($AC188*HDF_Limited_Col!BF188/HDF_Limited_Col!$AH188," ")</f>
        <v xml:space="preserve"> </v>
      </c>
      <c r="BG188" s="26" t="str">
        <f>IFERROR($AC188*HDF_Limited_Col!BG188/HDF_Limited_Col!$AH188," ")</f>
        <v xml:space="preserve"> </v>
      </c>
      <c r="BH188" s="26" t="str">
        <f>IFERROR($AC188*HDF_Limited_Col!BH188/HDF_Limited_Col!$AH188," ")</f>
        <v xml:space="preserve"> </v>
      </c>
      <c r="BI188" s="26" t="str">
        <f>IFERROR($AC188*HDF_Limited_Col!BI188/HDF_Limited_Col!$AH188," ")</f>
        <v xml:space="preserve"> </v>
      </c>
      <c r="BJ188" s="26" t="str">
        <f>IFERROR($AC188*HDF_Limited_Col!BJ188/HDF_Limited_Col!$AH188," ")</f>
        <v xml:space="preserve"> </v>
      </c>
      <c r="BK188" s="26" t="str">
        <f>IFERROR($AC188*HDF_Limited_Col!BK188/HDF_Limited_Col!$AH188," ")</f>
        <v xml:space="preserve"> </v>
      </c>
      <c r="BL188" s="26" t="str">
        <f>IFERROR($AC188*HDF_Limited_Col!BL188/HDF_Limited_Col!$AH188," ")</f>
        <v xml:space="preserve"> </v>
      </c>
      <c r="BM188" s="26" t="str">
        <f>IFERROR($AC188*HDF_Limited_Col!BM188/HDF_Limited_Col!$AH188," ")</f>
        <v xml:space="preserve"> </v>
      </c>
      <c r="BN188" s="26" t="str">
        <f>IFERROR($AC188*HDF_Limited_Col!BN188/HDF_Limited_Col!$AH188," ")</f>
        <v xml:space="preserve"> </v>
      </c>
      <c r="BO188" s="26" t="str">
        <f>IFERROR($AC188*HDF_Limited_Col!BO188/HDF_Limited_Col!$AH188," ")</f>
        <v xml:space="preserve"> </v>
      </c>
      <c r="BP188" s="26" t="str">
        <f>IFERROR($AC188*HDF_Limited_Col!BP188/HDF_Limited_Col!$AH188," ")</f>
        <v xml:space="preserve"> </v>
      </c>
      <c r="BQ188" s="26" t="str">
        <f>IFERROR($AC188*HDF_Limited_Col!BQ188/HDF_Limited_Col!$AH188," ")</f>
        <v xml:space="preserve"> </v>
      </c>
      <c r="BR188" s="26" t="str">
        <f>IFERROR($AC188*HDF_Limited_Col!BR188/HDF_Limited_Col!$AH188," ")</f>
        <v xml:space="preserve"> </v>
      </c>
      <c r="BS188" s="26" t="str">
        <f>IFERROR($AC188*HDF_Limited_Col!BS188/HDF_Limited_Col!$AH188," ")</f>
        <v xml:space="preserve"> </v>
      </c>
      <c r="BT188" s="26" t="str">
        <f>IFERROR($AC188*HDF_Limited_Col!BT188/HDF_Limited_Col!$AH188," ")</f>
        <v xml:space="preserve"> </v>
      </c>
      <c r="BU188" s="26" t="str">
        <f>IFERROR($AC188*HDF_Limited_Col!BU188/HDF_Limited_Col!$AH188," ")</f>
        <v xml:space="preserve"> </v>
      </c>
      <c r="BV188" s="26" t="str">
        <f>IFERROR($AC188*HDF_Limited_Col!BV188/HDF_Limited_Col!$AH188," ")</f>
        <v xml:space="preserve"> </v>
      </c>
      <c r="BW188" s="26" t="str">
        <f>IFERROR($AC188*HDF_Limited_Col!BW188/HDF_Limited_Col!$AH188," ")</f>
        <v xml:space="preserve"> </v>
      </c>
      <c r="BX188" s="26" t="str">
        <f>IFERROR($AC188*HDF_Limited_Col!BX188/HDF_Limited_Col!$AH188," ")</f>
        <v xml:space="preserve"> </v>
      </c>
      <c r="BY188" s="26" t="str">
        <f>IFERROR($AC188*HDF_Limited_Col!BY188/HDF_Limited_Col!$AH188," ")</f>
        <v xml:space="preserve"> </v>
      </c>
      <c r="BZ188" s="26" t="str">
        <f>IFERROR($AC188*HDF_Limited_Col!BZ188/HDF_Limited_Col!$AH188," ")</f>
        <v xml:space="preserve"> </v>
      </c>
      <c r="CA188" s="26" t="str">
        <f>IFERROR($AC188*HDF_Limited_Col!CA188/HDF_Limited_Col!$AH188," ")</f>
        <v xml:space="preserve"> </v>
      </c>
      <c r="CB188" s="26" t="str">
        <f>IFERROR($AC188*HDF_Limited_Col!CB188/HDF_Limited_Col!$AH188," ")</f>
        <v xml:space="preserve"> </v>
      </c>
      <c r="CC188" s="26" t="str">
        <f>IFERROR($AC188*HDF_Limited_Col!CC188/HDF_Limited_Col!$AH188," ")</f>
        <v xml:space="preserve"> </v>
      </c>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row>
    <row r="189" spans="1:109">
      <c r="A189" s="26" t="s">
        <v>846</v>
      </c>
      <c r="B189" s="26" t="s">
        <v>24</v>
      </c>
      <c r="C189" s="156" t="s">
        <v>541</v>
      </c>
      <c r="D189" s="26" t="s">
        <v>1722</v>
      </c>
      <c r="E189" s="26" t="s">
        <v>388</v>
      </c>
      <c r="F189" s="26" t="s">
        <v>1789</v>
      </c>
      <c r="G189" s="26" t="s">
        <v>640</v>
      </c>
      <c r="H189" s="30"/>
      <c r="I189" s="26" t="s">
        <v>1148</v>
      </c>
      <c r="J189" s="26"/>
      <c r="K189" s="26"/>
      <c r="L189" s="26"/>
      <c r="M189" s="26" t="s">
        <v>521</v>
      </c>
      <c r="N189" s="26">
        <v>10</v>
      </c>
      <c r="O189" s="95">
        <v>40.134780513716706</v>
      </c>
      <c r="P189" s="95">
        <v>1.3472095663421941</v>
      </c>
      <c r="Q189" s="95">
        <v>6.5852407907025148</v>
      </c>
      <c r="R189" s="95">
        <v>10.476062448720642</v>
      </c>
      <c r="S189" s="95">
        <v>6.4645951578957517</v>
      </c>
      <c r="T189" s="95">
        <v>9.6717582300088853</v>
      </c>
      <c r="U189" s="95">
        <v>0</v>
      </c>
      <c r="V189" s="95">
        <v>7.5202444449549333</v>
      </c>
      <c r="W189" s="95">
        <v>9.0082072495716865</v>
      </c>
      <c r="X189" s="95">
        <v>6.8768010699855271</v>
      </c>
      <c r="Y189" s="95">
        <v>2.4732354725386547</v>
      </c>
      <c r="Z189" s="95">
        <v>100.5581349444375</v>
      </c>
      <c r="AA189" s="26"/>
      <c r="AB189" s="26"/>
      <c r="AC189" s="26">
        <f t="shared" si="3"/>
        <v>74780.488864303159</v>
      </c>
      <c r="AD189" s="26" t="str">
        <f>IFERROR($AC189*HDF_Limited_Col!AD189/HDF_Limited_Col!$AH189," ")</f>
        <v xml:space="preserve"> </v>
      </c>
      <c r="AE189" s="26" t="str">
        <f>IFERROR($AC189*HDF_Limited_Col!AE189/HDF_Limited_Col!$AH189," ")</f>
        <v xml:space="preserve"> </v>
      </c>
      <c r="AF189" s="26" t="str">
        <f>IFERROR($AC189*HDF_Limited_Col!AF189/HDF_Limited_Col!$AH189," ")</f>
        <v xml:space="preserve"> </v>
      </c>
      <c r="AG189" s="26" t="str">
        <f>IFERROR($AC189*HDF_Limited_Col!AG189/HDF_Limited_Col!$AH189," ")</f>
        <v xml:space="preserve"> </v>
      </c>
      <c r="AH189" s="26" t="str">
        <f>IFERROR($AC189*HDF_Limited_Col!AH189/HDF_Limited_Col!$AH189," ")</f>
        <v xml:space="preserve"> </v>
      </c>
      <c r="AI189" s="26" t="str">
        <f>IFERROR($AC189*HDF_Limited_Col!AI189/HDF_Limited_Col!$AH189," ")</f>
        <v xml:space="preserve"> </v>
      </c>
      <c r="AJ189" s="26" t="str">
        <f>IFERROR($AC189*HDF_Limited_Col!AJ189/HDF_Limited_Col!$AH189," ")</f>
        <v xml:space="preserve"> </v>
      </c>
      <c r="AK189" s="26" t="str">
        <f>IFERROR($AC189*HDF_Limited_Col!AK189/HDF_Limited_Col!$AH189," ")</f>
        <v xml:space="preserve"> </v>
      </c>
      <c r="AL189" s="26" t="str">
        <f>IFERROR($AC189*HDF_Limited_Col!AL189/HDF_Limited_Col!$AH189," ")</f>
        <v xml:space="preserve"> </v>
      </c>
      <c r="AM189" s="26" t="str">
        <f>IFERROR($AC189*HDF_Limited_Col!AM189/HDF_Limited_Col!$AH189," ")</f>
        <v xml:space="preserve"> </v>
      </c>
      <c r="AN189" s="26" t="str">
        <f>IFERROR($AC189*HDF_Limited_Col!AN189/HDF_Limited_Col!$AH189," ")</f>
        <v xml:space="preserve"> </v>
      </c>
      <c r="AO189" s="26" t="str">
        <f>IFERROR($AC189*HDF_Limited_Col!AO189/HDF_Limited_Col!$AH189," ")</f>
        <v xml:space="preserve"> </v>
      </c>
      <c r="AP189" s="26" t="str">
        <f>IFERROR($AC189*HDF_Limited_Col!AP189/HDF_Limited_Col!$AH189," ")</f>
        <v xml:space="preserve"> </v>
      </c>
      <c r="AQ189" s="26" t="str">
        <f>IFERROR($AC189*HDF_Limited_Col!AQ189/HDF_Limited_Col!$AH189," ")</f>
        <v xml:space="preserve"> </v>
      </c>
      <c r="AR189" s="26" t="str">
        <f>IFERROR($AC189*HDF_Limited_Col!AR189/HDF_Limited_Col!$AH189," ")</f>
        <v xml:space="preserve"> </v>
      </c>
      <c r="AS189" s="26" t="str">
        <f>IFERROR($AC189*HDF_Limited_Col!AS189/HDF_Limited_Col!$AH189," ")</f>
        <v xml:space="preserve"> </v>
      </c>
      <c r="AT189" s="26" t="str">
        <f>IFERROR($AC189*HDF_Limited_Col!AT189/HDF_Limited_Col!$AH189," ")</f>
        <v xml:space="preserve"> </v>
      </c>
      <c r="AU189" s="26" t="str">
        <f>IFERROR($AC189*HDF_Limited_Col!AU189/HDF_Limited_Col!$AH189," ")</f>
        <v xml:space="preserve"> </v>
      </c>
      <c r="AV189" s="26" t="str">
        <f>IFERROR($AC189*HDF_Limited_Col!AV189/HDF_Limited_Col!$AH189," ")</f>
        <v xml:space="preserve"> </v>
      </c>
      <c r="AW189" s="26" t="str">
        <f>IFERROR($AC189*HDF_Limited_Col!AW189/HDF_Limited_Col!$AH189," ")</f>
        <v xml:space="preserve"> </v>
      </c>
      <c r="AX189" s="26" t="str">
        <f>IFERROR($AC189*HDF_Limited_Col!AX189/HDF_Limited_Col!$AH189," ")</f>
        <v xml:space="preserve"> </v>
      </c>
      <c r="AY189" s="26" t="str">
        <f>IFERROR($AC189*HDF_Limited_Col!AY189/HDF_Limited_Col!$AH189," ")</f>
        <v xml:space="preserve"> </v>
      </c>
      <c r="AZ189" s="26" t="str">
        <f>IFERROR($AC189*HDF_Limited_Col!AZ189/HDF_Limited_Col!$AH189," ")</f>
        <v xml:space="preserve"> </v>
      </c>
      <c r="BA189" s="26" t="str">
        <f>IFERROR($AC189*HDF_Limited_Col!BA189/HDF_Limited_Col!$AH189," ")</f>
        <v xml:space="preserve"> </v>
      </c>
      <c r="BB189" s="26" t="str">
        <f>IFERROR($AC189*HDF_Limited_Col!BB189/HDF_Limited_Col!$AH189," ")</f>
        <v xml:space="preserve"> </v>
      </c>
      <c r="BC189" s="26" t="str">
        <f>IFERROR($AC189*HDF_Limited_Col!BC189/HDF_Limited_Col!$AH189," ")</f>
        <v xml:space="preserve"> </v>
      </c>
      <c r="BD189" s="26" t="str">
        <f>IFERROR($AC189*HDF_Limited_Col!BD189/HDF_Limited_Col!$AH189," ")</f>
        <v xml:space="preserve"> </v>
      </c>
      <c r="BE189" s="26" t="str">
        <f>IFERROR($AC189*HDF_Limited_Col!BE189/HDF_Limited_Col!$AH189," ")</f>
        <v xml:space="preserve"> </v>
      </c>
      <c r="BF189" s="26" t="str">
        <f>IFERROR($AC189*HDF_Limited_Col!BF189/HDF_Limited_Col!$AH189," ")</f>
        <v xml:space="preserve"> </v>
      </c>
      <c r="BG189" s="26" t="str">
        <f>IFERROR($AC189*HDF_Limited_Col!BG189/HDF_Limited_Col!$AH189," ")</f>
        <v xml:space="preserve"> </v>
      </c>
      <c r="BH189" s="26" t="str">
        <f>IFERROR($AC189*HDF_Limited_Col!BH189/HDF_Limited_Col!$AH189," ")</f>
        <v xml:space="preserve"> </v>
      </c>
      <c r="BI189" s="26" t="str">
        <f>IFERROR($AC189*HDF_Limited_Col!BI189/HDF_Limited_Col!$AH189," ")</f>
        <v xml:space="preserve"> </v>
      </c>
      <c r="BJ189" s="26" t="str">
        <f>IFERROR($AC189*HDF_Limited_Col!BJ189/HDF_Limited_Col!$AH189," ")</f>
        <v xml:space="preserve"> </v>
      </c>
      <c r="BK189" s="26" t="str">
        <f>IFERROR($AC189*HDF_Limited_Col!BK189/HDF_Limited_Col!$AH189," ")</f>
        <v xml:space="preserve"> </v>
      </c>
      <c r="BL189" s="26" t="str">
        <f>IFERROR($AC189*HDF_Limited_Col!BL189/HDF_Limited_Col!$AH189," ")</f>
        <v xml:space="preserve"> </v>
      </c>
      <c r="BM189" s="26" t="str">
        <f>IFERROR($AC189*HDF_Limited_Col!BM189/HDF_Limited_Col!$AH189," ")</f>
        <v xml:space="preserve"> </v>
      </c>
      <c r="BN189" s="26" t="str">
        <f>IFERROR($AC189*HDF_Limited_Col!BN189/HDF_Limited_Col!$AH189," ")</f>
        <v xml:space="preserve"> </v>
      </c>
      <c r="BO189" s="26" t="str">
        <f>IFERROR($AC189*HDF_Limited_Col!BO189/HDF_Limited_Col!$AH189," ")</f>
        <v xml:space="preserve"> </v>
      </c>
      <c r="BP189" s="26" t="str">
        <f>IFERROR($AC189*HDF_Limited_Col!BP189/HDF_Limited_Col!$AH189," ")</f>
        <v xml:space="preserve"> </v>
      </c>
      <c r="BQ189" s="26" t="str">
        <f>IFERROR($AC189*HDF_Limited_Col!BQ189/HDF_Limited_Col!$AH189," ")</f>
        <v xml:space="preserve"> </v>
      </c>
      <c r="BR189" s="26" t="str">
        <f>IFERROR($AC189*HDF_Limited_Col!BR189/HDF_Limited_Col!$AH189," ")</f>
        <v xml:space="preserve"> </v>
      </c>
      <c r="BS189" s="26" t="str">
        <f>IFERROR($AC189*HDF_Limited_Col!BS189/HDF_Limited_Col!$AH189," ")</f>
        <v xml:space="preserve"> </v>
      </c>
      <c r="BT189" s="26" t="str">
        <f>IFERROR($AC189*HDF_Limited_Col!BT189/HDF_Limited_Col!$AH189," ")</f>
        <v xml:space="preserve"> </v>
      </c>
      <c r="BU189" s="26" t="str">
        <f>IFERROR($AC189*HDF_Limited_Col!BU189/HDF_Limited_Col!$AH189," ")</f>
        <v xml:space="preserve"> </v>
      </c>
      <c r="BV189" s="26" t="str">
        <f>IFERROR($AC189*HDF_Limited_Col!BV189/HDF_Limited_Col!$AH189," ")</f>
        <v xml:space="preserve"> </v>
      </c>
      <c r="BW189" s="26" t="str">
        <f>IFERROR($AC189*HDF_Limited_Col!BW189/HDF_Limited_Col!$AH189," ")</f>
        <v xml:space="preserve"> </v>
      </c>
      <c r="BX189" s="26" t="str">
        <f>IFERROR($AC189*HDF_Limited_Col!BX189/HDF_Limited_Col!$AH189," ")</f>
        <v xml:space="preserve"> </v>
      </c>
      <c r="BY189" s="26" t="str">
        <f>IFERROR($AC189*HDF_Limited_Col!BY189/HDF_Limited_Col!$AH189," ")</f>
        <v xml:space="preserve"> </v>
      </c>
      <c r="BZ189" s="26" t="str">
        <f>IFERROR($AC189*HDF_Limited_Col!BZ189/HDF_Limited_Col!$AH189," ")</f>
        <v xml:space="preserve"> </v>
      </c>
      <c r="CA189" s="26" t="str">
        <f>IFERROR($AC189*HDF_Limited_Col!CA189/HDF_Limited_Col!$AH189," ")</f>
        <v xml:space="preserve"> </v>
      </c>
      <c r="CB189" s="26" t="str">
        <f>IFERROR($AC189*HDF_Limited_Col!CB189/HDF_Limited_Col!$AH189," ")</f>
        <v xml:space="preserve"> </v>
      </c>
      <c r="CC189" s="26" t="str">
        <f>IFERROR($AC189*HDF_Limited_Col!CC189/HDF_Limited_Col!$AH189," ")</f>
        <v xml:space="preserve"> </v>
      </c>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row>
    <row r="190" spans="1:109">
      <c r="A190" s="26" t="s">
        <v>839</v>
      </c>
      <c r="B190" s="26" t="s">
        <v>24</v>
      </c>
      <c r="C190" s="156" t="s">
        <v>541</v>
      </c>
      <c r="D190" s="26" t="s">
        <v>110</v>
      </c>
      <c r="E190" s="26" t="s">
        <v>388</v>
      </c>
      <c r="F190" s="26" t="s">
        <v>387</v>
      </c>
      <c r="G190" s="26" t="s">
        <v>640</v>
      </c>
      <c r="H190" s="30"/>
      <c r="I190" s="26" t="s">
        <v>735</v>
      </c>
      <c r="J190" s="26"/>
      <c r="K190" s="26"/>
      <c r="L190" s="26"/>
      <c r="M190" s="26">
        <v>11671</v>
      </c>
      <c r="N190" s="26">
        <v>11</v>
      </c>
      <c r="O190" s="95">
        <v>47.001991406180572</v>
      </c>
      <c r="P190" s="95">
        <v>1.4880543130777693</v>
      </c>
      <c r="Q190" s="95">
        <v>4.6694118100026554</v>
      </c>
      <c r="R190" s="95">
        <v>8.7846516689280723</v>
      </c>
      <c r="S190" s="95">
        <v>6.9168869449270103</v>
      </c>
      <c r="T190" s="95">
        <v>5.9214299216956743</v>
      </c>
      <c r="U190" s="95">
        <v>1.1904434504622152</v>
      </c>
      <c r="V190" s="95">
        <v>4.9054480113874046</v>
      </c>
      <c r="W190" s="95">
        <v>12.078896044776098</v>
      </c>
      <c r="X190" s="95">
        <v>4.5873122616949162</v>
      </c>
      <c r="Y190" s="95">
        <v>3.1710950533864182</v>
      </c>
      <c r="Z190" s="95">
        <v>100.71562088651882</v>
      </c>
      <c r="AA190" s="26"/>
      <c r="AB190" s="26"/>
      <c r="AC190" s="26">
        <f t="shared" si="3"/>
        <v>100271.42206485114</v>
      </c>
      <c r="AD190" s="26" t="str">
        <f>IFERROR($AC190*HDF_Limited_Col!AD190/HDF_Limited_Col!$AH190," ")</f>
        <v xml:space="preserve"> </v>
      </c>
      <c r="AE190" s="26" t="str">
        <f>IFERROR($AC190*HDF_Limited_Col!AE190/HDF_Limited_Col!$AH190," ")</f>
        <v xml:space="preserve"> </v>
      </c>
      <c r="AF190" s="26" t="str">
        <f>IFERROR($AC190*HDF_Limited_Col!AF190/HDF_Limited_Col!$AH190," ")</f>
        <v xml:space="preserve"> </v>
      </c>
      <c r="AG190" s="26" t="str">
        <f>IFERROR($AC190*HDF_Limited_Col!AG190/HDF_Limited_Col!$AH190," ")</f>
        <v xml:space="preserve"> </v>
      </c>
      <c r="AH190" s="26" t="str">
        <f>IFERROR($AC190*HDF_Limited_Col!AH190/HDF_Limited_Col!$AH190," ")</f>
        <v xml:space="preserve"> </v>
      </c>
      <c r="AI190" s="26" t="str">
        <f>IFERROR($AC190*HDF_Limited_Col!AI190/HDF_Limited_Col!$AH190," ")</f>
        <v xml:space="preserve"> </v>
      </c>
      <c r="AJ190" s="26" t="str">
        <f>IFERROR($AC190*HDF_Limited_Col!AJ190/HDF_Limited_Col!$AH190," ")</f>
        <v xml:space="preserve"> </v>
      </c>
      <c r="AK190" s="26" t="str">
        <f>IFERROR($AC190*HDF_Limited_Col!AK190/HDF_Limited_Col!$AH190," ")</f>
        <v xml:space="preserve"> </v>
      </c>
      <c r="AL190" s="26" t="str">
        <f>IFERROR($AC190*HDF_Limited_Col!AL190/HDF_Limited_Col!$AH190," ")</f>
        <v xml:space="preserve"> </v>
      </c>
      <c r="AM190" s="26" t="str">
        <f>IFERROR($AC190*HDF_Limited_Col!AM190/HDF_Limited_Col!$AH190," ")</f>
        <v xml:space="preserve"> </v>
      </c>
      <c r="AN190" s="26" t="str">
        <f>IFERROR($AC190*HDF_Limited_Col!AN190/HDF_Limited_Col!$AH190," ")</f>
        <v xml:space="preserve"> </v>
      </c>
      <c r="AO190" s="26" t="str">
        <f>IFERROR($AC190*HDF_Limited_Col!AO190/HDF_Limited_Col!$AH190," ")</f>
        <v xml:space="preserve"> </v>
      </c>
      <c r="AP190" s="26" t="str">
        <f>IFERROR($AC190*HDF_Limited_Col!AP190/HDF_Limited_Col!$AH190," ")</f>
        <v xml:space="preserve"> </v>
      </c>
      <c r="AQ190" s="26" t="str">
        <f>IFERROR($AC190*HDF_Limited_Col!AQ190/HDF_Limited_Col!$AH190," ")</f>
        <v xml:space="preserve"> </v>
      </c>
      <c r="AR190" s="26" t="str">
        <f>IFERROR($AC190*HDF_Limited_Col!AR190/HDF_Limited_Col!$AH190," ")</f>
        <v xml:space="preserve"> </v>
      </c>
      <c r="AS190" s="26" t="str">
        <f>IFERROR($AC190*HDF_Limited_Col!AS190/HDF_Limited_Col!$AH190," ")</f>
        <v xml:space="preserve"> </v>
      </c>
      <c r="AT190" s="26" t="str">
        <f>IFERROR($AC190*HDF_Limited_Col!AT190/HDF_Limited_Col!$AH190," ")</f>
        <v xml:space="preserve"> </v>
      </c>
      <c r="AU190" s="26" t="str">
        <f>IFERROR($AC190*HDF_Limited_Col!AU190/HDF_Limited_Col!$AH190," ")</f>
        <v xml:space="preserve"> </v>
      </c>
      <c r="AV190" s="26" t="str">
        <f>IFERROR($AC190*HDF_Limited_Col!AV190/HDF_Limited_Col!$AH190," ")</f>
        <v xml:space="preserve"> </v>
      </c>
      <c r="AW190" s="26" t="str">
        <f>IFERROR($AC190*HDF_Limited_Col!AW190/HDF_Limited_Col!$AH190," ")</f>
        <v xml:space="preserve"> </v>
      </c>
      <c r="AX190" s="26" t="str">
        <f>IFERROR($AC190*HDF_Limited_Col!AX190/HDF_Limited_Col!$AH190," ")</f>
        <v xml:space="preserve"> </v>
      </c>
      <c r="AY190" s="26" t="str">
        <f>IFERROR($AC190*HDF_Limited_Col!AY190/HDF_Limited_Col!$AH190," ")</f>
        <v xml:space="preserve"> </v>
      </c>
      <c r="AZ190" s="26" t="str">
        <f>IFERROR($AC190*HDF_Limited_Col!AZ190/HDF_Limited_Col!$AH190," ")</f>
        <v xml:space="preserve"> </v>
      </c>
      <c r="BA190" s="26" t="str">
        <f>IFERROR($AC190*HDF_Limited_Col!BA190/HDF_Limited_Col!$AH190," ")</f>
        <v xml:space="preserve"> </v>
      </c>
      <c r="BB190" s="26" t="str">
        <f>IFERROR($AC190*HDF_Limited_Col!BB190/HDF_Limited_Col!$AH190," ")</f>
        <v xml:space="preserve"> </v>
      </c>
      <c r="BC190" s="26" t="str">
        <f>IFERROR($AC190*HDF_Limited_Col!BC190/HDF_Limited_Col!$AH190," ")</f>
        <v xml:space="preserve"> </v>
      </c>
      <c r="BD190" s="26" t="str">
        <f>IFERROR($AC190*HDF_Limited_Col!BD190/HDF_Limited_Col!$AH190," ")</f>
        <v xml:space="preserve"> </v>
      </c>
      <c r="BE190" s="26" t="str">
        <f>IFERROR($AC190*HDF_Limited_Col!BE190/HDF_Limited_Col!$AH190," ")</f>
        <v xml:space="preserve"> </v>
      </c>
      <c r="BF190" s="26" t="str">
        <f>IFERROR($AC190*HDF_Limited_Col!BF190/HDF_Limited_Col!$AH190," ")</f>
        <v xml:space="preserve"> </v>
      </c>
      <c r="BG190" s="26" t="str">
        <f>IFERROR($AC190*HDF_Limited_Col!BG190/HDF_Limited_Col!$AH190," ")</f>
        <v xml:space="preserve"> </v>
      </c>
      <c r="BH190" s="26" t="str">
        <f>IFERROR($AC190*HDF_Limited_Col!BH190/HDF_Limited_Col!$AH190," ")</f>
        <v xml:space="preserve"> </v>
      </c>
      <c r="BI190" s="26" t="str">
        <f>IFERROR($AC190*HDF_Limited_Col!BI190/HDF_Limited_Col!$AH190," ")</f>
        <v xml:space="preserve"> </v>
      </c>
      <c r="BJ190" s="26" t="str">
        <f>IFERROR($AC190*HDF_Limited_Col!BJ190/HDF_Limited_Col!$AH190," ")</f>
        <v xml:space="preserve"> </v>
      </c>
      <c r="BK190" s="26" t="str">
        <f>IFERROR($AC190*HDF_Limited_Col!BK190/HDF_Limited_Col!$AH190," ")</f>
        <v xml:space="preserve"> </v>
      </c>
      <c r="BL190" s="26" t="str">
        <f>IFERROR($AC190*HDF_Limited_Col!BL190/HDF_Limited_Col!$AH190," ")</f>
        <v xml:space="preserve"> </v>
      </c>
      <c r="BM190" s="26" t="str">
        <f>IFERROR($AC190*HDF_Limited_Col!BM190/HDF_Limited_Col!$AH190," ")</f>
        <v xml:space="preserve"> </v>
      </c>
      <c r="BN190" s="26" t="str">
        <f>IFERROR($AC190*HDF_Limited_Col!BN190/HDF_Limited_Col!$AH190," ")</f>
        <v xml:space="preserve"> </v>
      </c>
      <c r="BO190" s="26" t="str">
        <f>IFERROR($AC190*HDF_Limited_Col!BO190/HDF_Limited_Col!$AH190," ")</f>
        <v xml:space="preserve"> </v>
      </c>
      <c r="BP190" s="26" t="str">
        <f>IFERROR($AC190*HDF_Limited_Col!BP190/HDF_Limited_Col!$AH190," ")</f>
        <v xml:space="preserve"> </v>
      </c>
      <c r="BQ190" s="26" t="str">
        <f>IFERROR($AC190*HDF_Limited_Col!BQ190/HDF_Limited_Col!$AH190," ")</f>
        <v xml:space="preserve"> </v>
      </c>
      <c r="BR190" s="26" t="str">
        <f>IFERROR($AC190*HDF_Limited_Col!BR190/HDF_Limited_Col!$AH190," ")</f>
        <v xml:space="preserve"> </v>
      </c>
      <c r="BS190" s="26" t="str">
        <f>IFERROR($AC190*HDF_Limited_Col!BS190/HDF_Limited_Col!$AH190," ")</f>
        <v xml:space="preserve"> </v>
      </c>
      <c r="BT190" s="26" t="str">
        <f>IFERROR($AC190*HDF_Limited_Col!BT190/HDF_Limited_Col!$AH190," ")</f>
        <v xml:space="preserve"> </v>
      </c>
      <c r="BU190" s="26" t="str">
        <f>IFERROR($AC190*HDF_Limited_Col!BU190/HDF_Limited_Col!$AH190," ")</f>
        <v xml:space="preserve"> </v>
      </c>
      <c r="BV190" s="26" t="str">
        <f>IFERROR($AC190*HDF_Limited_Col!BV190/HDF_Limited_Col!$AH190," ")</f>
        <v xml:space="preserve"> </v>
      </c>
      <c r="BW190" s="26" t="str">
        <f>IFERROR($AC190*HDF_Limited_Col!BW190/HDF_Limited_Col!$AH190," ")</f>
        <v xml:space="preserve"> </v>
      </c>
      <c r="BX190" s="26" t="str">
        <f>IFERROR($AC190*HDF_Limited_Col!BX190/HDF_Limited_Col!$AH190," ")</f>
        <v xml:space="preserve"> </v>
      </c>
      <c r="BY190" s="26" t="str">
        <f>IFERROR($AC190*HDF_Limited_Col!BY190/HDF_Limited_Col!$AH190," ")</f>
        <v xml:space="preserve"> </v>
      </c>
      <c r="BZ190" s="26" t="str">
        <f>IFERROR($AC190*HDF_Limited_Col!BZ190/HDF_Limited_Col!$AH190," ")</f>
        <v xml:space="preserve"> </v>
      </c>
      <c r="CA190" s="26" t="str">
        <f>IFERROR($AC190*HDF_Limited_Col!CA190/HDF_Limited_Col!$AH190," ")</f>
        <v xml:space="preserve"> </v>
      </c>
      <c r="CB190" s="26" t="str">
        <f>IFERROR($AC190*HDF_Limited_Col!CB190/HDF_Limited_Col!$AH190," ")</f>
        <v xml:space="preserve"> </v>
      </c>
      <c r="CC190" s="26" t="str">
        <f>IFERROR($AC190*HDF_Limited_Col!CC190/HDF_Limited_Col!$AH190," ")</f>
        <v xml:space="preserve"> </v>
      </c>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row>
    <row r="191" spans="1:109">
      <c r="A191" s="26" t="s">
        <v>839</v>
      </c>
      <c r="B191" s="26" t="s">
        <v>24</v>
      </c>
      <c r="C191" s="156" t="s">
        <v>541</v>
      </c>
      <c r="D191" s="26" t="s">
        <v>110</v>
      </c>
      <c r="E191" s="26" t="s">
        <v>388</v>
      </c>
      <c r="F191" s="26" t="s">
        <v>387</v>
      </c>
      <c r="G191" s="26" t="s">
        <v>640</v>
      </c>
      <c r="H191" s="30"/>
      <c r="I191" s="26" t="s">
        <v>735</v>
      </c>
      <c r="J191" s="26"/>
      <c r="K191" s="26"/>
      <c r="L191" s="26"/>
      <c r="M191" s="26" t="s">
        <v>390</v>
      </c>
      <c r="N191" s="26">
        <v>15</v>
      </c>
      <c r="O191" s="95">
        <v>61.482785527147634</v>
      </c>
      <c r="P191" s="95">
        <v>2.8121445173654229</v>
      </c>
      <c r="Q191" s="95">
        <v>6.6661986940424951</v>
      </c>
      <c r="R191" s="95">
        <v>4.1979855205275207</v>
      </c>
      <c r="S191" s="95">
        <v>0.9812158927498057</v>
      </c>
      <c r="T191" s="95">
        <v>2.387288151432517</v>
      </c>
      <c r="U191" s="95">
        <v>2.2052068517469863</v>
      </c>
      <c r="V191" s="95">
        <v>0.77890333754366026</v>
      </c>
      <c r="W191" s="95">
        <v>15.972576233525187</v>
      </c>
      <c r="X191" s="95">
        <v>1.5679223028476279</v>
      </c>
      <c r="Y191" s="95">
        <v>1.2239909589971805</v>
      </c>
      <c r="Z191" s="95">
        <v>100.27621798792602</v>
      </c>
      <c r="AA191" s="26"/>
      <c r="AB191" s="26"/>
      <c r="AC191" s="26">
        <f t="shared" si="3"/>
        <v>132594.31383776781</v>
      </c>
      <c r="AD191" s="26" t="str">
        <f>IFERROR($AC191*HDF_Limited_Col!AD191/HDF_Limited_Col!$AH191," ")</f>
        <v xml:space="preserve"> </v>
      </c>
      <c r="AE191" s="26" t="str">
        <f>IFERROR($AC191*HDF_Limited_Col!AE191/HDF_Limited_Col!$AH191," ")</f>
        <v xml:space="preserve"> </v>
      </c>
      <c r="AF191" s="26" t="str">
        <f>IFERROR($AC191*HDF_Limited_Col!AF191/HDF_Limited_Col!$AH191," ")</f>
        <v xml:space="preserve"> </v>
      </c>
      <c r="AG191" s="26" t="str">
        <f>IFERROR($AC191*HDF_Limited_Col!AG191/HDF_Limited_Col!$AH191," ")</f>
        <v xml:space="preserve"> </v>
      </c>
      <c r="AH191" s="26" t="str">
        <f>IFERROR($AC191*HDF_Limited_Col!AH191/HDF_Limited_Col!$AH191," ")</f>
        <v xml:space="preserve"> </v>
      </c>
      <c r="AI191" s="26" t="str">
        <f>IFERROR($AC191*HDF_Limited_Col!AI191/HDF_Limited_Col!$AH191," ")</f>
        <v xml:space="preserve"> </v>
      </c>
      <c r="AJ191" s="26" t="str">
        <f>IFERROR($AC191*HDF_Limited_Col!AJ191/HDF_Limited_Col!$AH191," ")</f>
        <v xml:space="preserve"> </v>
      </c>
      <c r="AK191" s="26" t="str">
        <f>IFERROR($AC191*HDF_Limited_Col!AK191/HDF_Limited_Col!$AH191," ")</f>
        <v xml:space="preserve"> </v>
      </c>
      <c r="AL191" s="26" t="str">
        <f>IFERROR($AC191*HDF_Limited_Col!AL191/HDF_Limited_Col!$AH191," ")</f>
        <v xml:space="preserve"> </v>
      </c>
      <c r="AM191" s="26" t="str">
        <f>IFERROR($AC191*HDF_Limited_Col!AM191/HDF_Limited_Col!$AH191," ")</f>
        <v xml:space="preserve"> </v>
      </c>
      <c r="AN191" s="26" t="str">
        <f>IFERROR($AC191*HDF_Limited_Col!AN191/HDF_Limited_Col!$AH191," ")</f>
        <v xml:space="preserve"> </v>
      </c>
      <c r="AO191" s="26" t="str">
        <f>IFERROR($AC191*HDF_Limited_Col!AO191/HDF_Limited_Col!$AH191," ")</f>
        <v xml:space="preserve"> </v>
      </c>
      <c r="AP191" s="26" t="str">
        <f>IFERROR($AC191*HDF_Limited_Col!AP191/HDF_Limited_Col!$AH191," ")</f>
        <v xml:space="preserve"> </v>
      </c>
      <c r="AQ191" s="26" t="str">
        <f>IFERROR($AC191*HDF_Limited_Col!AQ191/HDF_Limited_Col!$AH191," ")</f>
        <v xml:space="preserve"> </v>
      </c>
      <c r="AR191" s="26" t="str">
        <f>IFERROR($AC191*HDF_Limited_Col!AR191/HDF_Limited_Col!$AH191," ")</f>
        <v xml:space="preserve"> </v>
      </c>
      <c r="AS191" s="26" t="str">
        <f>IFERROR($AC191*HDF_Limited_Col!AS191/HDF_Limited_Col!$AH191," ")</f>
        <v xml:space="preserve"> </v>
      </c>
      <c r="AT191" s="26" t="str">
        <f>IFERROR($AC191*HDF_Limited_Col!AT191/HDF_Limited_Col!$AH191," ")</f>
        <v xml:space="preserve"> </v>
      </c>
      <c r="AU191" s="26" t="str">
        <f>IFERROR($AC191*HDF_Limited_Col!AU191/HDF_Limited_Col!$AH191," ")</f>
        <v xml:space="preserve"> </v>
      </c>
      <c r="AV191" s="26" t="str">
        <f>IFERROR($AC191*HDF_Limited_Col!AV191/HDF_Limited_Col!$AH191," ")</f>
        <v xml:space="preserve"> </v>
      </c>
      <c r="AW191" s="26" t="str">
        <f>IFERROR($AC191*HDF_Limited_Col!AW191/HDF_Limited_Col!$AH191," ")</f>
        <v xml:space="preserve"> </v>
      </c>
      <c r="AX191" s="26" t="str">
        <f>IFERROR($AC191*HDF_Limited_Col!AX191/HDF_Limited_Col!$AH191," ")</f>
        <v xml:space="preserve"> </v>
      </c>
      <c r="AY191" s="26" t="str">
        <f>IFERROR($AC191*HDF_Limited_Col!AY191/HDF_Limited_Col!$AH191," ")</f>
        <v xml:space="preserve"> </v>
      </c>
      <c r="AZ191" s="26" t="str">
        <f>IFERROR($AC191*HDF_Limited_Col!AZ191/HDF_Limited_Col!$AH191," ")</f>
        <v xml:space="preserve"> </v>
      </c>
      <c r="BA191" s="26" t="str">
        <f>IFERROR($AC191*HDF_Limited_Col!BA191/HDF_Limited_Col!$AH191," ")</f>
        <v xml:space="preserve"> </v>
      </c>
      <c r="BB191" s="26" t="str">
        <f>IFERROR($AC191*HDF_Limited_Col!BB191/HDF_Limited_Col!$AH191," ")</f>
        <v xml:space="preserve"> </v>
      </c>
      <c r="BC191" s="26" t="str">
        <f>IFERROR($AC191*HDF_Limited_Col!BC191/HDF_Limited_Col!$AH191," ")</f>
        <v xml:space="preserve"> </v>
      </c>
      <c r="BD191" s="26" t="str">
        <f>IFERROR($AC191*HDF_Limited_Col!BD191/HDF_Limited_Col!$AH191," ")</f>
        <v xml:space="preserve"> </v>
      </c>
      <c r="BE191" s="26" t="str">
        <f>IFERROR($AC191*HDF_Limited_Col!BE191/HDF_Limited_Col!$AH191," ")</f>
        <v xml:space="preserve"> </v>
      </c>
      <c r="BF191" s="26" t="str">
        <f>IFERROR($AC191*HDF_Limited_Col!BF191/HDF_Limited_Col!$AH191," ")</f>
        <v xml:space="preserve"> </v>
      </c>
      <c r="BG191" s="26" t="str">
        <f>IFERROR($AC191*HDF_Limited_Col!BG191/HDF_Limited_Col!$AH191," ")</f>
        <v xml:space="preserve"> </v>
      </c>
      <c r="BH191" s="26" t="str">
        <f>IFERROR($AC191*HDF_Limited_Col!BH191/HDF_Limited_Col!$AH191," ")</f>
        <v xml:space="preserve"> </v>
      </c>
      <c r="BI191" s="26" t="str">
        <f>IFERROR($AC191*HDF_Limited_Col!BI191/HDF_Limited_Col!$AH191," ")</f>
        <v xml:space="preserve"> </v>
      </c>
      <c r="BJ191" s="26" t="str">
        <f>IFERROR($AC191*HDF_Limited_Col!BJ191/HDF_Limited_Col!$AH191," ")</f>
        <v xml:space="preserve"> </v>
      </c>
      <c r="BK191" s="26" t="str">
        <f>IFERROR($AC191*HDF_Limited_Col!BK191/HDF_Limited_Col!$AH191," ")</f>
        <v xml:space="preserve"> </v>
      </c>
      <c r="BL191" s="26" t="str">
        <f>IFERROR($AC191*HDF_Limited_Col!BL191/HDF_Limited_Col!$AH191," ")</f>
        <v xml:space="preserve"> </v>
      </c>
      <c r="BM191" s="26" t="str">
        <f>IFERROR($AC191*HDF_Limited_Col!BM191/HDF_Limited_Col!$AH191," ")</f>
        <v xml:space="preserve"> </v>
      </c>
      <c r="BN191" s="26" t="str">
        <f>IFERROR($AC191*HDF_Limited_Col!BN191/HDF_Limited_Col!$AH191," ")</f>
        <v xml:space="preserve"> </v>
      </c>
      <c r="BO191" s="26" t="str">
        <f>IFERROR($AC191*HDF_Limited_Col!BO191/HDF_Limited_Col!$AH191," ")</f>
        <v xml:space="preserve"> </v>
      </c>
      <c r="BP191" s="26" t="str">
        <f>IFERROR($AC191*HDF_Limited_Col!BP191/HDF_Limited_Col!$AH191," ")</f>
        <v xml:space="preserve"> </v>
      </c>
      <c r="BQ191" s="26" t="str">
        <f>IFERROR($AC191*HDF_Limited_Col!BQ191/HDF_Limited_Col!$AH191," ")</f>
        <v xml:space="preserve"> </v>
      </c>
      <c r="BR191" s="26" t="str">
        <f>IFERROR($AC191*HDF_Limited_Col!BR191/HDF_Limited_Col!$AH191," ")</f>
        <v xml:space="preserve"> </v>
      </c>
      <c r="BS191" s="26" t="str">
        <f>IFERROR($AC191*HDF_Limited_Col!BS191/HDF_Limited_Col!$AH191," ")</f>
        <v xml:space="preserve"> </v>
      </c>
      <c r="BT191" s="26" t="str">
        <f>IFERROR($AC191*HDF_Limited_Col!BT191/HDF_Limited_Col!$AH191," ")</f>
        <v xml:space="preserve"> </v>
      </c>
      <c r="BU191" s="26" t="str">
        <f>IFERROR($AC191*HDF_Limited_Col!BU191/HDF_Limited_Col!$AH191," ")</f>
        <v xml:space="preserve"> </v>
      </c>
      <c r="BV191" s="26" t="str">
        <f>IFERROR($AC191*HDF_Limited_Col!BV191/HDF_Limited_Col!$AH191," ")</f>
        <v xml:space="preserve"> </v>
      </c>
      <c r="BW191" s="26" t="str">
        <f>IFERROR($AC191*HDF_Limited_Col!BW191/HDF_Limited_Col!$AH191," ")</f>
        <v xml:space="preserve"> </v>
      </c>
      <c r="BX191" s="26" t="str">
        <f>IFERROR($AC191*HDF_Limited_Col!BX191/HDF_Limited_Col!$AH191," ")</f>
        <v xml:space="preserve"> </v>
      </c>
      <c r="BY191" s="26" t="str">
        <f>IFERROR($AC191*HDF_Limited_Col!BY191/HDF_Limited_Col!$AH191," ")</f>
        <v xml:space="preserve"> </v>
      </c>
      <c r="BZ191" s="26" t="str">
        <f>IFERROR($AC191*HDF_Limited_Col!BZ191/HDF_Limited_Col!$AH191," ")</f>
        <v xml:space="preserve"> </v>
      </c>
      <c r="CA191" s="26" t="str">
        <f>IFERROR($AC191*HDF_Limited_Col!CA191/HDF_Limited_Col!$AH191," ")</f>
        <v xml:space="preserve"> </v>
      </c>
      <c r="CB191" s="26" t="str">
        <f>IFERROR($AC191*HDF_Limited_Col!CB191/HDF_Limited_Col!$AH191," ")</f>
        <v xml:space="preserve"> </v>
      </c>
      <c r="CC191" s="26" t="str">
        <f>IFERROR($AC191*HDF_Limited_Col!CC191/HDF_Limited_Col!$AH191," ")</f>
        <v xml:space="preserve"> </v>
      </c>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row>
    <row r="192" spans="1:109">
      <c r="A192" s="26" t="s">
        <v>772</v>
      </c>
      <c r="B192" s="26" t="s">
        <v>24</v>
      </c>
      <c r="C192" s="156" t="s">
        <v>541</v>
      </c>
      <c r="D192" s="26" t="s">
        <v>110</v>
      </c>
      <c r="E192" s="26" t="s">
        <v>1394</v>
      </c>
      <c r="F192" s="26" t="s">
        <v>1728</v>
      </c>
      <c r="G192" s="26" t="s">
        <v>595</v>
      </c>
      <c r="H192" s="30">
        <v>84</v>
      </c>
      <c r="I192" s="26"/>
      <c r="J192" s="26" t="s">
        <v>635</v>
      </c>
      <c r="K192" s="26" t="s">
        <v>585</v>
      </c>
      <c r="L192" s="26" t="s">
        <v>778</v>
      </c>
      <c r="M192" s="26" t="s">
        <v>579</v>
      </c>
      <c r="N192" s="26">
        <v>50</v>
      </c>
      <c r="O192" s="95">
        <v>47.884966584760491</v>
      </c>
      <c r="P192" s="95">
        <v>1.1103470421784865</v>
      </c>
      <c r="Q192" s="95">
        <v>6.0718977892102819</v>
      </c>
      <c r="R192" s="95">
        <v>7.1322291988582061</v>
      </c>
      <c r="S192" s="95">
        <v>5.7818071205330197</v>
      </c>
      <c r="T192" s="95">
        <v>3.751172439792184</v>
      </c>
      <c r="U192" s="95">
        <v>1.7705533915819109</v>
      </c>
      <c r="V192" s="95">
        <v>0.96030014458679902</v>
      </c>
      <c r="W192" s="95">
        <v>18.47577465678977</v>
      </c>
      <c r="X192" s="95">
        <v>5.0315726325745835</v>
      </c>
      <c r="Y192" s="95">
        <v>2.6208191446014726</v>
      </c>
      <c r="Z192" s="95">
        <v>100.5914401454672</v>
      </c>
      <c r="AA192" s="26"/>
      <c r="AB192" s="26"/>
      <c r="AC192" s="26">
        <f t="shared" si="3"/>
        <v>153374.29776020462</v>
      </c>
      <c r="AD192" s="26">
        <f>IFERROR($AC192*HDF_Limited_Col!AD192/HDF_Limited_Col!$AH192," ")</f>
        <v>0</v>
      </c>
      <c r="AE192" s="26">
        <f>IFERROR($AC192*HDF_Limited_Col!AE192/HDF_Limited_Col!$AH192," ")</f>
        <v>0</v>
      </c>
      <c r="AF192" s="26">
        <f>IFERROR($AC192*HDF_Limited_Col!AF192/HDF_Limited_Col!$AH192," ")</f>
        <v>0</v>
      </c>
      <c r="AG192" s="26">
        <f>IFERROR($AC192*HDF_Limited_Col!AG192/HDF_Limited_Col!$AH192," ")</f>
        <v>0</v>
      </c>
      <c r="AH192" s="26">
        <f>IFERROR($AC192*HDF_Limited_Col!AH192/HDF_Limited_Col!$AH192," ")</f>
        <v>153374.29776020462</v>
      </c>
      <c r="AI192" s="26">
        <f>IFERROR($AC192*HDF_Limited_Col!AI192/HDF_Limited_Col!$AH192," ")</f>
        <v>0</v>
      </c>
      <c r="AJ192" s="26">
        <f>IFERROR($AC192*HDF_Limited_Col!AJ192/HDF_Limited_Col!$AH192," ")</f>
        <v>6310.8843192114236</v>
      </c>
      <c r="AK192" s="26">
        <f>IFERROR($AC192*HDF_Limited_Col!AK192/HDF_Limited_Col!$AH192," ")</f>
        <v>0</v>
      </c>
      <c r="AL192" s="26">
        <f>IFERROR($AC192*HDF_Limited_Col!AL192/HDF_Limited_Col!$AH192," ")</f>
        <v>0</v>
      </c>
      <c r="AM192" s="26">
        <f>IFERROR($AC192*HDF_Limited_Col!AM192/HDF_Limited_Col!$AH192," ")</f>
        <v>0</v>
      </c>
      <c r="AN192" s="26">
        <f>IFERROR($AC192*HDF_Limited_Col!AN192/HDF_Limited_Col!$AH192," ")</f>
        <v>0</v>
      </c>
      <c r="AO192" s="26">
        <f>IFERROR($AC192*HDF_Limited_Col!AO192/HDF_Limited_Col!$AH192," ")</f>
        <v>0</v>
      </c>
      <c r="AP192" s="26">
        <f>IFERROR($AC192*HDF_Limited_Col!AP192/HDF_Limited_Col!$AH192," ")</f>
        <v>0</v>
      </c>
      <c r="AQ192" s="26">
        <f>IFERROR($AC192*HDF_Limited_Col!AQ192/HDF_Limited_Col!$AH192," ")</f>
        <v>0</v>
      </c>
      <c r="AR192" s="26">
        <f>IFERROR($AC192*HDF_Limited_Col!AR192/HDF_Limited_Col!$AH192," ")</f>
        <v>0</v>
      </c>
      <c r="AS192" s="26">
        <f>IFERROR($AC192*HDF_Limited_Col!AS192/HDF_Limited_Col!$AH192," ")</f>
        <v>0</v>
      </c>
      <c r="AT192" s="26">
        <f>IFERROR($AC192*HDF_Limited_Col!AT192/HDF_Limited_Col!$AH192," ")</f>
        <v>0</v>
      </c>
      <c r="AU192" s="26">
        <f>IFERROR($AC192*HDF_Limited_Col!AU192/HDF_Limited_Col!$AH192," ")</f>
        <v>0</v>
      </c>
      <c r="AV192" s="26">
        <f>IFERROR($AC192*HDF_Limited_Col!AV192/HDF_Limited_Col!$AH192," ")</f>
        <v>0</v>
      </c>
      <c r="AW192" s="26">
        <f>IFERROR($AC192*HDF_Limited_Col!AW192/HDF_Limited_Col!$AH192," ")</f>
        <v>0</v>
      </c>
      <c r="AX192" s="26">
        <f>IFERROR($AC192*HDF_Limited_Col!AX192/HDF_Limited_Col!$AH192," ")</f>
        <v>736.06016386518343</v>
      </c>
      <c r="AY192" s="26">
        <f>IFERROR($AC192*HDF_Limited_Col!AY192/HDF_Limited_Col!$AH192," ")</f>
        <v>5609.3669556203304</v>
      </c>
      <c r="AZ192" s="26">
        <f>IFERROR($AC192*HDF_Limited_Col!AZ192/HDF_Limited_Col!$AH192," ")</f>
        <v>5.6078743654850305</v>
      </c>
      <c r="BA192" s="26">
        <f>IFERROR($AC192*HDF_Limited_Col!BA192/HDF_Limited_Col!$AH192," ")</f>
        <v>1375.9548775845969</v>
      </c>
      <c r="BB192" s="26">
        <f>IFERROR($AC192*HDF_Limited_Col!BB192/HDF_Limited_Col!$AH192," ")</f>
        <v>0</v>
      </c>
      <c r="BC192" s="26">
        <f>IFERROR($AC192*HDF_Limited_Col!BC192/HDF_Limited_Col!$AH192," ")</f>
        <v>118.85282020233291</v>
      </c>
      <c r="BD192" s="26">
        <f>IFERROR($AC192*HDF_Limited_Col!BD192/HDF_Limited_Col!$AH192," ")</f>
        <v>0</v>
      </c>
      <c r="BE192" s="26">
        <f>IFERROR($AC192*HDF_Limited_Col!BE192/HDF_Limited_Col!$AH192," ")</f>
        <v>0</v>
      </c>
      <c r="BF192" s="26">
        <f>IFERROR($AC192*HDF_Limited_Col!BF192/HDF_Limited_Col!$AH192," ")</f>
        <v>0</v>
      </c>
      <c r="BG192" s="26">
        <f>IFERROR($AC192*HDF_Limited_Col!BG192/HDF_Limited_Col!$AH192," ")</f>
        <v>0</v>
      </c>
      <c r="BH192" s="26">
        <f>IFERROR($AC192*HDF_Limited_Col!BH192/HDF_Limited_Col!$AH192," ")</f>
        <v>32.261269638702849</v>
      </c>
      <c r="BI192" s="26">
        <f>IFERROR($AC192*HDF_Limited_Col!BI192/HDF_Limited_Col!$AH192," ")</f>
        <v>17710.648091147777</v>
      </c>
      <c r="BJ192" s="26">
        <f>IFERROR($AC192*HDF_Limited_Col!BJ192/HDF_Limited_Col!$AH192," ")</f>
        <v>0</v>
      </c>
      <c r="BK192" s="26">
        <f>IFERROR($AC192*HDF_Limited_Col!BK192/HDF_Limited_Col!$AH192," ")</f>
        <v>577.20592803680518</v>
      </c>
      <c r="BL192" s="26">
        <f>IFERROR($AC192*HDF_Limited_Col!BL192/HDF_Limited_Col!$AH192," ")</f>
        <v>892.1424465851469</v>
      </c>
      <c r="BM192" s="26">
        <f>IFERROR($AC192*HDF_Limited_Col!BM192/HDF_Limited_Col!$AH192," ")</f>
        <v>124.58863086512936</v>
      </c>
      <c r="BN192" s="26">
        <f>IFERROR($AC192*HDF_Limited_Col!BN192/HDF_Limited_Col!$AH192," ")</f>
        <v>414.940057613455</v>
      </c>
      <c r="BO192" s="26">
        <f>IFERROR($AC192*HDF_Limited_Col!BO192/HDF_Limited_Col!$AH192," ")</f>
        <v>40.918292423443994</v>
      </c>
      <c r="BP192" s="26">
        <f>IFERROR($AC192*HDF_Limited_Col!BP192/HDF_Limited_Col!$AH192," ")</f>
        <v>9.0195089604569123</v>
      </c>
      <c r="BQ192" s="26">
        <f>IFERROR($AC192*HDF_Limited_Col!BQ192/HDF_Limited_Col!$AH192," ")</f>
        <v>19.606237562979025</v>
      </c>
      <c r="BR192" s="26">
        <f>IFERROR($AC192*HDF_Limited_Col!BR192/HDF_Limited_Col!$AH192," ")</f>
        <v>2.942534838163247</v>
      </c>
      <c r="BS192" s="26">
        <f>IFERROR($AC192*HDF_Limited_Col!BS192/HDF_Limited_Col!$AH192," ")</f>
        <v>0</v>
      </c>
      <c r="BT192" s="26">
        <f>IFERROR($AC192*HDF_Limited_Col!BT192/HDF_Limited_Col!$AH192," ")</f>
        <v>3.1984074327861385</v>
      </c>
      <c r="BU192" s="26">
        <f>IFERROR($AC192*HDF_Limited_Col!BU192/HDF_Limited_Col!$AH192," ")</f>
        <v>0</v>
      </c>
      <c r="BV192" s="26">
        <f>IFERROR($AC192*HDF_Limited_Col!BV192/HDF_Limited_Col!$AH192," ")</f>
        <v>0</v>
      </c>
      <c r="BW192" s="26">
        <f>IFERROR($AC192*HDF_Limited_Col!BW192/HDF_Limited_Col!$AH192," ")</f>
        <v>0</v>
      </c>
      <c r="BX192" s="26">
        <f>IFERROR($AC192*HDF_Limited_Col!BX192/HDF_Limited_Col!$AH192," ")</f>
        <v>36.973589923007765</v>
      </c>
      <c r="BY192" s="26">
        <f>IFERROR($AC192*HDF_Limited_Col!BY192/HDF_Limited_Col!$AH192," ")</f>
        <v>5.667577970897038</v>
      </c>
      <c r="BZ192" s="26">
        <f>IFERROR($AC192*HDF_Limited_Col!BZ192/HDF_Limited_Col!$AH192," ")</f>
        <v>0</v>
      </c>
      <c r="CA192" s="26">
        <f>IFERROR($AC192*HDF_Limited_Col!CA192/HDF_Limited_Col!$AH192," ")</f>
        <v>0</v>
      </c>
      <c r="CB192" s="26">
        <f>IFERROR($AC192*HDF_Limited_Col!CB192/HDF_Limited_Col!$AH192," ")</f>
        <v>132.84052204171761</v>
      </c>
      <c r="CC192" s="26">
        <f>IFERROR($AC192*HDF_Limited_Col!CC192/HDF_Limited_Col!$AH192," ")</f>
        <v>35.523645220144715</v>
      </c>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row>
    <row r="193" spans="1:109">
      <c r="A193" s="26" t="s">
        <v>1520</v>
      </c>
      <c r="B193" s="26" t="s">
        <v>24</v>
      </c>
      <c r="C193" s="156" t="s">
        <v>541</v>
      </c>
      <c r="D193" s="26" t="s">
        <v>1720</v>
      </c>
      <c r="E193" s="26" t="s">
        <v>1394</v>
      </c>
      <c r="F193" s="26" t="s">
        <v>104</v>
      </c>
      <c r="G193" s="26" t="s">
        <v>595</v>
      </c>
      <c r="H193" s="30">
        <v>240</v>
      </c>
      <c r="I193" s="26" t="s">
        <v>736</v>
      </c>
      <c r="J193" s="26" t="s">
        <v>596</v>
      </c>
      <c r="K193" s="26" t="s">
        <v>48</v>
      </c>
      <c r="L193" s="26"/>
      <c r="M193" s="26" t="s">
        <v>743</v>
      </c>
      <c r="N193" s="26">
        <v>42</v>
      </c>
      <c r="O193" s="95">
        <v>42.249877355495912</v>
      </c>
      <c r="P193" s="95">
        <v>4.7057974778518457</v>
      </c>
      <c r="Q193" s="95">
        <v>5.0126973133639225</v>
      </c>
      <c r="R193" s="95">
        <v>11.355293913946845</v>
      </c>
      <c r="S193" s="95">
        <v>5.2172972037053071</v>
      </c>
      <c r="T193" s="95">
        <v>6.9563962716070762</v>
      </c>
      <c r="U193" s="95">
        <v>0</v>
      </c>
      <c r="V193" s="95">
        <v>2.4551986840966147</v>
      </c>
      <c r="W193" s="95">
        <v>19.13008974691946</v>
      </c>
      <c r="X193" s="95">
        <v>2.0459989034138459</v>
      </c>
      <c r="Y193" s="95">
        <v>1.1252993968776155</v>
      </c>
      <c r="Z193" s="95">
        <v>100.25394626727844</v>
      </c>
      <c r="AA193" s="26"/>
      <c r="AB193" s="26"/>
      <c r="AC193" s="26">
        <f t="shared" si="3"/>
        <v>158806.01141371936</v>
      </c>
      <c r="AD193" s="26">
        <f>IFERROR($AC193*HDF_Limited_Col!AD193/HDF_Limited_Col!$AH193," ")</f>
        <v>0</v>
      </c>
      <c r="AE193" s="26">
        <f>IFERROR($AC193*HDF_Limited_Col!AE193/HDF_Limited_Col!$AH193," ")</f>
        <v>0</v>
      </c>
      <c r="AF193" s="26">
        <f>IFERROR($AC193*HDF_Limited_Col!AF193/HDF_Limited_Col!$AH193," ")</f>
        <v>0</v>
      </c>
      <c r="AG193" s="26">
        <f>IFERROR($AC193*HDF_Limited_Col!AG193/HDF_Limited_Col!$AH193," ")</f>
        <v>0</v>
      </c>
      <c r="AH193" s="26">
        <f>IFERROR($AC193*HDF_Limited_Col!AH193/HDF_Limited_Col!$AH193," ")</f>
        <v>158806.01141371936</v>
      </c>
      <c r="AI193" s="26">
        <f>IFERROR($AC193*HDF_Limited_Col!AI193/HDF_Limited_Col!$AH193," ")</f>
        <v>0</v>
      </c>
      <c r="AJ193" s="26">
        <f>IFERROR($AC193*HDF_Limited_Col!AJ193/HDF_Limited_Col!$AH193," ")</f>
        <v>30958.572622169118</v>
      </c>
      <c r="AK193" s="26">
        <f>IFERROR($AC193*HDF_Limited_Col!AK193/HDF_Limited_Col!$AH193," ")</f>
        <v>0</v>
      </c>
      <c r="AL193" s="26">
        <f>IFERROR($AC193*HDF_Limited_Col!AL193/HDF_Limited_Col!$AH193," ")</f>
        <v>0</v>
      </c>
      <c r="AM193" s="26">
        <f>IFERROR($AC193*HDF_Limited_Col!AM193/HDF_Limited_Col!$AH193," ")</f>
        <v>0</v>
      </c>
      <c r="AN193" s="26">
        <f>IFERROR($AC193*HDF_Limited_Col!AN193/HDF_Limited_Col!$AH193," ")</f>
        <v>0</v>
      </c>
      <c r="AO193" s="26">
        <f>IFERROR($AC193*HDF_Limited_Col!AO193/HDF_Limited_Col!$AH193," ")</f>
        <v>0</v>
      </c>
      <c r="AP193" s="26">
        <f>IFERROR($AC193*HDF_Limited_Col!AP193/HDF_Limited_Col!$AH193," ")</f>
        <v>0</v>
      </c>
      <c r="AQ193" s="26">
        <f>IFERROR($AC193*HDF_Limited_Col!AQ193/HDF_Limited_Col!$AH193," ")</f>
        <v>0</v>
      </c>
      <c r="AR193" s="26">
        <f>IFERROR($AC193*HDF_Limited_Col!AR193/HDF_Limited_Col!$AH193," ")</f>
        <v>0</v>
      </c>
      <c r="AS193" s="26">
        <f>IFERROR($AC193*HDF_Limited_Col!AS193/HDF_Limited_Col!$AH193," ")</f>
        <v>0</v>
      </c>
      <c r="AT193" s="26">
        <f>IFERROR($AC193*HDF_Limited_Col!AT193/HDF_Limited_Col!$AH193," ")</f>
        <v>0</v>
      </c>
      <c r="AU193" s="26">
        <f>IFERROR($AC193*HDF_Limited_Col!AU193/HDF_Limited_Col!$AH193," ")</f>
        <v>0</v>
      </c>
      <c r="AV193" s="26">
        <f>IFERROR($AC193*HDF_Limited_Col!AV193/HDF_Limited_Col!$AH193," ")</f>
        <v>0</v>
      </c>
      <c r="AW193" s="26">
        <f>IFERROR($AC193*HDF_Limited_Col!AW193/HDF_Limited_Col!$AH193," ")</f>
        <v>0</v>
      </c>
      <c r="AX193" s="26">
        <f>IFERROR($AC193*HDF_Limited_Col!AX193/HDF_Limited_Col!$AH193," ")</f>
        <v>573.30690041053924</v>
      </c>
      <c r="AY193" s="26">
        <f>IFERROR($AC193*HDF_Limited_Col!AY193/HDF_Limited_Col!$AH193," ")</f>
        <v>2407.8889817242648</v>
      </c>
      <c r="AZ193" s="26">
        <f>IFERROR($AC193*HDF_Limited_Col!AZ193/HDF_Limited_Col!$AH193," ")</f>
        <v>74.529897053370107</v>
      </c>
      <c r="BA193" s="26">
        <f>IFERROR($AC193*HDF_Limited_Col!BA193/HDF_Limited_Col!$AH193," ")</f>
        <v>1662.5900111905637</v>
      </c>
      <c r="BB193" s="26">
        <f>IFERROR($AC193*HDF_Limited_Col!BB193/HDF_Limited_Col!$AH193," ")</f>
        <v>0</v>
      </c>
      <c r="BC193" s="26">
        <f>IFERROR($AC193*HDF_Limited_Col!BC193/HDF_Limited_Col!$AH193," ")</f>
        <v>166.25900111905639</v>
      </c>
      <c r="BD193" s="26">
        <f>IFERROR($AC193*HDF_Limited_Col!BD193/HDF_Limited_Col!$AH193," ")</f>
        <v>0</v>
      </c>
      <c r="BE193" s="26">
        <f>IFERROR($AC193*HDF_Limited_Col!BE193/HDF_Limited_Col!$AH193," ")</f>
        <v>0</v>
      </c>
      <c r="BF193" s="26">
        <f>IFERROR($AC193*HDF_Limited_Col!BF193/HDF_Limited_Col!$AH193," ")</f>
        <v>0</v>
      </c>
      <c r="BG193" s="26">
        <f>IFERROR($AC193*HDF_Limited_Col!BG193/HDF_Limited_Col!$AH193," ")</f>
        <v>0</v>
      </c>
      <c r="BH193" s="26">
        <f>IFERROR($AC193*HDF_Limited_Col!BH193/HDF_Limited_Col!$AH193," ")</f>
        <v>11.466138008210786</v>
      </c>
      <c r="BI193" s="26">
        <f>IFERROR($AC193*HDF_Limited_Col!BI193/HDF_Limited_Col!$AH193," ")</f>
        <v>5159.7621036948531</v>
      </c>
      <c r="BJ193" s="26">
        <f>IFERROR($AC193*HDF_Limited_Col!BJ193/HDF_Limited_Col!$AH193," ")</f>
        <v>0</v>
      </c>
      <c r="BK193" s="26">
        <f>IFERROR($AC193*HDF_Limited_Col!BK193/HDF_Limited_Col!$AH193," ")</f>
        <v>243.65543267447919</v>
      </c>
      <c r="BL193" s="26">
        <f>IFERROR($AC193*HDF_Limited_Col!BL193/HDF_Limited_Col!$AH193," ")</f>
        <v>398.44829578532483</v>
      </c>
      <c r="BM193" s="26">
        <f>IFERROR($AC193*HDF_Limited_Col!BM193/HDF_Limited_Col!$AH193," ")</f>
        <v>63.063759045159308</v>
      </c>
      <c r="BN193" s="26">
        <f>IFERROR($AC193*HDF_Limited_Col!BN193/HDF_Limited_Col!$AH193," ")</f>
        <v>298.11958821348043</v>
      </c>
      <c r="BO193" s="26">
        <f>IFERROR($AC193*HDF_Limited_Col!BO193/HDF_Limited_Col!$AH193," ")</f>
        <v>80.262966057475495</v>
      </c>
      <c r="BP193" s="26">
        <f>IFERROR($AC193*HDF_Limited_Col!BP193/HDF_Limited_Col!$AH193," ")</f>
        <v>17.199207012316176</v>
      </c>
      <c r="BQ193" s="26">
        <f>IFERROR($AC193*HDF_Limited_Col!BQ193/HDF_Limited_Col!$AH193," ")</f>
        <v>48.731086534895837</v>
      </c>
      <c r="BR193" s="26">
        <f>IFERROR($AC193*HDF_Limited_Col!BR193/HDF_Limited_Col!$AH193," ")</f>
        <v>25.798810518474262</v>
      </c>
      <c r="BS193" s="26">
        <f>IFERROR($AC193*HDF_Limited_Col!BS193/HDF_Limited_Col!$AH193," ")</f>
        <v>5.7330690041053929</v>
      </c>
      <c r="BT193" s="26">
        <f>IFERROR($AC193*HDF_Limited_Col!BT193/HDF_Limited_Col!$AH193," ")</f>
        <v>14.33267251026348</v>
      </c>
      <c r="BU193" s="26">
        <f>IFERROR($AC193*HDF_Limited_Col!BU193/HDF_Limited_Col!$AH193," ")</f>
        <v>0</v>
      </c>
      <c r="BV193" s="26">
        <f>IFERROR($AC193*HDF_Limited_Col!BV193/HDF_Limited_Col!$AH193," ")</f>
        <v>17.199207012316176</v>
      </c>
      <c r="BW193" s="26">
        <f>IFERROR($AC193*HDF_Limited_Col!BW193/HDF_Limited_Col!$AH193," ")</f>
        <v>5.7330690041053929</v>
      </c>
      <c r="BX193" s="26">
        <f>IFERROR($AC193*HDF_Limited_Col!BX193/HDF_Limited_Col!$AH193," ")</f>
        <v>372.64948526685049</v>
      </c>
      <c r="BY193" s="26">
        <f>IFERROR($AC193*HDF_Limited_Col!BY193/HDF_Limited_Col!$AH193," ")</f>
        <v>5.7330690041053929</v>
      </c>
      <c r="BZ193" s="26">
        <f>IFERROR($AC193*HDF_Limited_Col!BZ193/HDF_Limited_Col!$AH193," ")</f>
        <v>0</v>
      </c>
      <c r="CA193" s="26">
        <f>IFERROR($AC193*HDF_Limited_Col!CA193/HDF_Limited_Col!$AH193," ")</f>
        <v>0</v>
      </c>
      <c r="CB193" s="26">
        <f>IFERROR($AC193*HDF_Limited_Col!CB193/HDF_Limited_Col!$AH193," ")</f>
        <v>31.531879522579654</v>
      </c>
      <c r="CC193" s="26">
        <f>IFERROR($AC193*HDF_Limited_Col!CC193/HDF_Limited_Col!$AH193," ")</f>
        <v>8.599603506158088</v>
      </c>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row>
    <row r="194" spans="1:109">
      <c r="A194" s="26" t="s">
        <v>1520</v>
      </c>
      <c r="B194" s="26" t="s">
        <v>24</v>
      </c>
      <c r="C194" s="156" t="s">
        <v>541</v>
      </c>
      <c r="D194" s="26" t="s">
        <v>1720</v>
      </c>
      <c r="E194" s="26" t="s">
        <v>1394</v>
      </c>
      <c r="F194" s="26" t="s">
        <v>104</v>
      </c>
      <c r="G194" s="26" t="s">
        <v>595</v>
      </c>
      <c r="H194" s="30">
        <v>240</v>
      </c>
      <c r="I194" s="26" t="s">
        <v>736</v>
      </c>
      <c r="J194" s="26" t="s">
        <v>596</v>
      </c>
      <c r="K194" s="26" t="s">
        <v>48</v>
      </c>
      <c r="L194" s="26"/>
      <c r="M194" s="26" t="s">
        <v>748</v>
      </c>
      <c r="N194" s="26">
        <v>76</v>
      </c>
      <c r="O194" s="95">
        <v>51.947142031029003</v>
      </c>
      <c r="P194" s="95">
        <v>4.7506332672511613</v>
      </c>
      <c r="Q194" s="95">
        <v>5.4735557209632946</v>
      </c>
      <c r="R194" s="95">
        <v>12.599505621840038</v>
      </c>
      <c r="S194" s="95">
        <v>4.5440839947619809</v>
      </c>
      <c r="T194" s="95">
        <v>3.4080629960714854</v>
      </c>
      <c r="U194" s="95">
        <v>0</v>
      </c>
      <c r="V194" s="95">
        <v>2.8916898148485326</v>
      </c>
      <c r="W194" s="95">
        <v>12.496230985595446</v>
      </c>
      <c r="X194" s="95">
        <v>0.92947172620131435</v>
      </c>
      <c r="Y194" s="95">
        <v>1.2392956349350857</v>
      </c>
      <c r="Z194" s="95">
        <v>100.27967179349733</v>
      </c>
      <c r="AA194" s="26"/>
      <c r="AB194" s="26"/>
      <c r="AC194" s="26">
        <f t="shared" ref="AC194:AC257" si="4">W194*10000/1.20462</f>
        <v>103735.87509418277</v>
      </c>
      <c r="AD194" s="26">
        <f>IFERROR($AC194*HDF_Limited_Col!AD194/HDF_Limited_Col!$AH194," ")</f>
        <v>0</v>
      </c>
      <c r="AE194" s="26">
        <f>IFERROR($AC194*HDF_Limited_Col!AE194/HDF_Limited_Col!$AH194," ")</f>
        <v>0</v>
      </c>
      <c r="AF194" s="26">
        <f>IFERROR($AC194*HDF_Limited_Col!AF194/HDF_Limited_Col!$AH194," ")</f>
        <v>0</v>
      </c>
      <c r="AG194" s="26">
        <f>IFERROR($AC194*HDF_Limited_Col!AG194/HDF_Limited_Col!$AH194," ")</f>
        <v>0</v>
      </c>
      <c r="AH194" s="26">
        <f>IFERROR($AC194*HDF_Limited_Col!AH194/HDF_Limited_Col!$AH194," ")</f>
        <v>103735.87509418277</v>
      </c>
      <c r="AI194" s="26">
        <f>IFERROR($AC194*HDF_Limited_Col!AI194/HDF_Limited_Col!$AH194," ")</f>
        <v>0</v>
      </c>
      <c r="AJ194" s="26">
        <f>IFERROR($AC194*HDF_Limited_Col!AJ194/HDF_Limited_Col!$AH194," ")</f>
        <v>27357.794510132513</v>
      </c>
      <c r="AK194" s="26">
        <f>IFERROR($AC194*HDF_Limited_Col!AK194/HDF_Limited_Col!$AH194," ")</f>
        <v>0</v>
      </c>
      <c r="AL194" s="26">
        <f>IFERROR($AC194*HDF_Limited_Col!AL194/HDF_Limited_Col!$AH194," ")</f>
        <v>0</v>
      </c>
      <c r="AM194" s="26">
        <f>IFERROR($AC194*HDF_Limited_Col!AM194/HDF_Limited_Col!$AH194," ")</f>
        <v>0</v>
      </c>
      <c r="AN194" s="26">
        <f>IFERROR($AC194*HDF_Limited_Col!AN194/HDF_Limited_Col!$AH194," ")</f>
        <v>0</v>
      </c>
      <c r="AO194" s="26">
        <f>IFERROR($AC194*HDF_Limited_Col!AO194/HDF_Limited_Col!$AH194," ")</f>
        <v>0</v>
      </c>
      <c r="AP194" s="26">
        <f>IFERROR($AC194*HDF_Limited_Col!AP194/HDF_Limited_Col!$AH194," ")</f>
        <v>0</v>
      </c>
      <c r="AQ194" s="26">
        <f>IFERROR($AC194*HDF_Limited_Col!AQ194/HDF_Limited_Col!$AH194," ")</f>
        <v>0</v>
      </c>
      <c r="AR194" s="26">
        <f>IFERROR($AC194*HDF_Limited_Col!AR194/HDF_Limited_Col!$AH194," ")</f>
        <v>0</v>
      </c>
      <c r="AS194" s="26">
        <f>IFERROR($AC194*HDF_Limited_Col!AS194/HDF_Limited_Col!$AH194," ")</f>
        <v>0</v>
      </c>
      <c r="AT194" s="26">
        <f>IFERROR($AC194*HDF_Limited_Col!AT194/HDF_Limited_Col!$AH194," ")</f>
        <v>0</v>
      </c>
      <c r="AU194" s="26">
        <f>IFERROR($AC194*HDF_Limited_Col!AU194/HDF_Limited_Col!$AH194," ")</f>
        <v>0</v>
      </c>
      <c r="AV194" s="26">
        <f>IFERROR($AC194*HDF_Limited_Col!AV194/HDF_Limited_Col!$AH194," ")</f>
        <v>0</v>
      </c>
      <c r="AW194" s="26">
        <f>IFERROR($AC194*HDF_Limited_Col!AW194/HDF_Limited_Col!$AH194," ")</f>
        <v>0</v>
      </c>
      <c r="AX194" s="26">
        <f>IFERROR($AC194*HDF_Limited_Col!AX194/HDF_Limited_Col!$AH194," ")</f>
        <v>508.50919163815087</v>
      </c>
      <c r="AY194" s="26">
        <f>IFERROR($AC194*HDF_Limited_Col!AY194/HDF_Limited_Col!$AH194," ")</f>
        <v>1993.3560312215513</v>
      </c>
      <c r="AZ194" s="26">
        <f>IFERROR($AC194*HDF_Limited_Col!AZ194/HDF_Limited_Col!$AH194," ")</f>
        <v>62.038121379854402</v>
      </c>
      <c r="BA194" s="26">
        <f>IFERROR($AC194*HDF_Limited_Col!BA194/HDF_Limited_Col!$AH194," ")</f>
        <v>406.80735331052068</v>
      </c>
      <c r="BB194" s="26">
        <f>IFERROR($AC194*HDF_Limited_Col!BB194/HDF_Limited_Col!$AH194," ")</f>
        <v>0</v>
      </c>
      <c r="BC194" s="26">
        <f>IFERROR($AC194*HDF_Limited_Col!BC194/HDF_Limited_Col!$AH194," ")</f>
        <v>293.91831276685116</v>
      </c>
      <c r="BD194" s="26">
        <f>IFERROR($AC194*HDF_Limited_Col!BD194/HDF_Limited_Col!$AH194," ")</f>
        <v>0</v>
      </c>
      <c r="BE194" s="26">
        <f>IFERROR($AC194*HDF_Limited_Col!BE194/HDF_Limited_Col!$AH194," ")</f>
        <v>0</v>
      </c>
      <c r="BF194" s="26">
        <f>IFERROR($AC194*HDF_Limited_Col!BF194/HDF_Limited_Col!$AH194," ")</f>
        <v>0</v>
      </c>
      <c r="BG194" s="26">
        <f>IFERROR($AC194*HDF_Limited_Col!BG194/HDF_Limited_Col!$AH194," ")</f>
        <v>0</v>
      </c>
      <c r="BH194" s="26">
        <f>IFERROR($AC194*HDF_Limited_Col!BH194/HDF_Limited_Col!$AH194," ")</f>
        <v>17.28931251569713</v>
      </c>
      <c r="BI194" s="26">
        <f>IFERROR($AC194*HDF_Limited_Col!BI194/HDF_Limited_Col!$AH194," ")</f>
        <v>4159.6051876000738</v>
      </c>
      <c r="BJ194" s="26">
        <f>IFERROR($AC194*HDF_Limited_Col!BJ194/HDF_Limited_Col!$AH194," ")</f>
        <v>0</v>
      </c>
      <c r="BK194" s="26">
        <f>IFERROR($AC194*HDF_Limited_Col!BK194/HDF_Limited_Col!$AH194," ")</f>
        <v>213.57386048802337</v>
      </c>
      <c r="BL194" s="26">
        <f>IFERROR($AC194*HDF_Limited_Col!BL194/HDF_Limited_Col!$AH194," ")</f>
        <v>315.27569881565353</v>
      </c>
      <c r="BM194" s="26">
        <f>IFERROR($AC194*HDF_Limited_Col!BM194/HDF_Limited_Col!$AH194," ")</f>
        <v>41.697753714328371</v>
      </c>
      <c r="BN194" s="26">
        <f>IFERROR($AC194*HDF_Limited_Col!BN194/HDF_Limited_Col!$AH194," ")</f>
        <v>139.33151850885335</v>
      </c>
      <c r="BO194" s="26">
        <f>IFERROR($AC194*HDF_Limited_Col!BO194/HDF_Limited_Col!$AH194," ")</f>
        <v>31.527569881565356</v>
      </c>
      <c r="BP194" s="26">
        <f>IFERROR($AC194*HDF_Limited_Col!BP194/HDF_Limited_Col!$AH194," ")</f>
        <v>8.1361470662104143</v>
      </c>
      <c r="BQ194" s="26">
        <f>IFERROR($AC194*HDF_Limited_Col!BQ194/HDF_Limited_Col!$AH194," ")</f>
        <v>25.425459581907543</v>
      </c>
      <c r="BR194" s="26">
        <f>IFERROR($AC194*HDF_Limited_Col!BR194/HDF_Limited_Col!$AH194," ")</f>
        <v>17.28931251569713</v>
      </c>
      <c r="BS194" s="26">
        <f>IFERROR($AC194*HDF_Limited_Col!BS194/HDF_Limited_Col!$AH194," ")</f>
        <v>5.0850919163815087</v>
      </c>
      <c r="BT194" s="26">
        <f>IFERROR($AC194*HDF_Limited_Col!BT194/HDF_Limited_Col!$AH194," ")</f>
        <v>8.1361470662104143</v>
      </c>
      <c r="BU194" s="26">
        <f>IFERROR($AC194*HDF_Limited_Col!BU194/HDF_Limited_Col!$AH194," ")</f>
        <v>0</v>
      </c>
      <c r="BV194" s="26">
        <f>IFERROR($AC194*HDF_Limited_Col!BV194/HDF_Limited_Col!$AH194," ")</f>
        <v>10.170183832763017</v>
      </c>
      <c r="BW194" s="26">
        <f>IFERROR($AC194*HDF_Limited_Col!BW194/HDF_Limited_Col!$AH194," ")</f>
        <v>4.0680735331052071</v>
      </c>
      <c r="BX194" s="26">
        <f>IFERROR($AC194*HDF_Limited_Col!BX194/HDF_Limited_Col!$AH194," ")</f>
        <v>10.170183832763017</v>
      </c>
      <c r="BY194" s="26">
        <f>IFERROR($AC194*HDF_Limited_Col!BY194/HDF_Limited_Col!$AH194," ")</f>
        <v>10.170183832763017</v>
      </c>
      <c r="BZ194" s="26">
        <f>IFERROR($AC194*HDF_Limited_Col!BZ194/HDF_Limited_Col!$AH194," ")</f>
        <v>0</v>
      </c>
      <c r="CA194" s="26">
        <f>IFERROR($AC194*HDF_Limited_Col!CA194/HDF_Limited_Col!$AH194," ")</f>
        <v>0</v>
      </c>
      <c r="CB194" s="26">
        <f>IFERROR($AC194*HDF_Limited_Col!CB194/HDF_Limited_Col!$AH194," ")</f>
        <v>30.51055149828905</v>
      </c>
      <c r="CC194" s="26">
        <f>IFERROR($AC194*HDF_Limited_Col!CC194/HDF_Limited_Col!$AH194," ")</f>
        <v>6.1021102996578112</v>
      </c>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row>
    <row r="195" spans="1:109">
      <c r="A195" s="26" t="s">
        <v>1178</v>
      </c>
      <c r="B195" s="26" t="s">
        <v>24</v>
      </c>
      <c r="C195" s="156" t="s">
        <v>541</v>
      </c>
      <c r="D195" s="26" t="s">
        <v>1720</v>
      </c>
      <c r="E195" s="26" t="s">
        <v>1394</v>
      </c>
      <c r="F195" s="26" t="s">
        <v>104</v>
      </c>
      <c r="G195" s="26" t="s">
        <v>595</v>
      </c>
      <c r="H195" s="30">
        <v>240</v>
      </c>
      <c r="I195" s="26" t="s">
        <v>736</v>
      </c>
      <c r="J195" s="26" t="s">
        <v>596</v>
      </c>
      <c r="K195" s="26" t="s">
        <v>48</v>
      </c>
      <c r="L195" s="26"/>
      <c r="M195" s="26" t="s">
        <v>747</v>
      </c>
      <c r="N195" s="26">
        <v>12</v>
      </c>
      <c r="O195" s="95">
        <v>51.818261389662865</v>
      </c>
      <c r="P195" s="95">
        <v>5.171483172621044</v>
      </c>
      <c r="Q195" s="95">
        <v>6.412639134050095</v>
      </c>
      <c r="R195" s="95">
        <v>10.136107018337249</v>
      </c>
      <c r="S195" s="95">
        <v>4.75776451881136</v>
      </c>
      <c r="T195" s="95">
        <v>3.3097492304774683</v>
      </c>
      <c r="U195" s="95">
        <v>0</v>
      </c>
      <c r="V195" s="95">
        <v>0.31028899035726265</v>
      </c>
      <c r="W195" s="95">
        <v>16.445316488934921</v>
      </c>
      <c r="X195" s="95">
        <v>0.51714831726210442</v>
      </c>
      <c r="Y195" s="95">
        <v>1.4480152883338924</v>
      </c>
      <c r="Z195" s="95">
        <v>100.32677354884825</v>
      </c>
      <c r="AA195" s="26"/>
      <c r="AB195" s="26"/>
      <c r="AC195" s="26">
        <f t="shared" si="4"/>
        <v>136518.7070523063</v>
      </c>
      <c r="AD195" s="26">
        <f>IFERROR($AC195*HDF_Limited_Col!AD195/HDF_Limited_Col!$AH195," ")</f>
        <v>7083.5178187517431</v>
      </c>
      <c r="AE195" s="26">
        <f>IFERROR($AC195*HDF_Limited_Col!AE195/HDF_Limited_Col!$AH195," ")</f>
        <v>0</v>
      </c>
      <c r="AF195" s="26">
        <f>IFERROR($AC195*HDF_Limited_Col!AF195/HDF_Limited_Col!$AH195," ")</f>
        <v>0</v>
      </c>
      <c r="AG195" s="26">
        <f>IFERROR($AC195*HDF_Limited_Col!AG195/HDF_Limited_Col!$AH195," ")</f>
        <v>0</v>
      </c>
      <c r="AH195" s="26">
        <f>IFERROR($AC195*HDF_Limited_Col!AH195/HDF_Limited_Col!$AH195," ")</f>
        <v>136518.7070523063</v>
      </c>
      <c r="AI195" s="26">
        <f>IFERROR($AC195*HDF_Limited_Col!AI195/HDF_Limited_Col!$AH195," ")</f>
        <v>0</v>
      </c>
      <c r="AJ195" s="26">
        <f>IFERROR($AC195*HDF_Limited_Col!AJ195/HDF_Limited_Col!$AH195," ")</f>
        <v>0</v>
      </c>
      <c r="AK195" s="26">
        <f>IFERROR($AC195*HDF_Limited_Col!AK195/HDF_Limited_Col!$AH195," ")</f>
        <v>1017.4507412388867</v>
      </c>
      <c r="AL195" s="26">
        <f>IFERROR($AC195*HDF_Limited_Col!AL195/HDF_Limited_Col!$AH195," ")</f>
        <v>0</v>
      </c>
      <c r="AM195" s="26">
        <f>IFERROR($AC195*HDF_Limited_Col!AM195/HDF_Limited_Col!$AH195," ")</f>
        <v>60725.066391662665</v>
      </c>
      <c r="AN195" s="26">
        <f>IFERROR($AC195*HDF_Limited_Col!AN195/HDF_Limited_Col!$AH195," ")</f>
        <v>2344.0004418414856</v>
      </c>
      <c r="AO195" s="26">
        <f>IFERROR($AC195*HDF_Limited_Col!AO195/HDF_Limited_Col!$AH195," ")</f>
        <v>0</v>
      </c>
      <c r="AP195" s="26">
        <f>IFERROR($AC195*HDF_Limited_Col!AP195/HDF_Limited_Col!$AH195," ")</f>
        <v>534.48361723308597</v>
      </c>
      <c r="AQ195" s="26">
        <f>IFERROR($AC195*HDF_Limited_Col!AQ195/HDF_Limited_Col!$AH195," ")</f>
        <v>352.88797860690494</v>
      </c>
      <c r="AR195" s="26">
        <f>IFERROR($AC195*HDF_Limited_Col!AR195/HDF_Limited_Col!$AH195," ")</f>
        <v>0</v>
      </c>
      <c r="AS195" s="26">
        <f>IFERROR($AC195*HDF_Limited_Col!AS195/HDF_Limited_Col!$AH195," ")</f>
        <v>47.00880006989793</v>
      </c>
      <c r="AT195" s="26">
        <f>IFERROR($AC195*HDF_Limited_Col!AT195/HDF_Limited_Col!$AH195," ")</f>
        <v>0</v>
      </c>
      <c r="AU195" s="26">
        <f>IFERROR($AC195*HDF_Limited_Col!AU195/HDF_Limited_Col!$AH195," ")</f>
        <v>18.030772629549887</v>
      </c>
      <c r="AV195" s="26">
        <f>IFERROR($AC195*HDF_Limited_Col!AV195/HDF_Limited_Col!$AH195," ")</f>
        <v>0</v>
      </c>
      <c r="AW195" s="26">
        <f>IFERROR($AC195*HDF_Limited_Col!AW195/HDF_Limited_Col!$AH195," ")</f>
        <v>487.47481716318811</v>
      </c>
      <c r="AX195" s="26">
        <f>IFERROR($AC195*HDF_Limited_Col!AX195/HDF_Limited_Col!$AH195," ")</f>
        <v>1114.0441660400468</v>
      </c>
      <c r="AY195" s="26">
        <f>IFERROR($AC195*HDF_Limited_Col!AY195/HDF_Limited_Col!$AH195," ")</f>
        <v>10947.254810798146</v>
      </c>
      <c r="AZ195" s="26">
        <f>IFERROR($AC195*HDF_Limited_Col!AZ195/HDF_Limited_Col!$AH195," ")</f>
        <v>0</v>
      </c>
      <c r="BA195" s="26">
        <f>IFERROR($AC195*HDF_Limited_Col!BA195/HDF_Limited_Col!$AH195," ")</f>
        <v>933.73643974454785</v>
      </c>
      <c r="BB195" s="26" t="str">
        <f>IFERROR($AC195*HDF_Limited_Col!BB195/HDF_Limited_Col!$AH195," ")</f>
        <v xml:space="preserve"> </v>
      </c>
      <c r="BC195" s="26">
        <f>IFERROR($AC195*HDF_Limited_Col!BC195/HDF_Limited_Col!$AH195," ")</f>
        <v>0</v>
      </c>
      <c r="BD195" s="26">
        <f>IFERROR($AC195*HDF_Limited_Col!BD195/HDF_Limited_Col!$AH195," ")</f>
        <v>0</v>
      </c>
      <c r="BE195" s="26">
        <f>IFERROR($AC195*HDF_Limited_Col!BE195/HDF_Limited_Col!$AH195," ")</f>
        <v>0</v>
      </c>
      <c r="BF195" s="26">
        <f>IFERROR($AC195*HDF_Limited_Col!BF195/HDF_Limited_Col!$AH195," ")</f>
        <v>0</v>
      </c>
      <c r="BG195" s="26">
        <f>IFERROR($AC195*HDF_Limited_Col!BG195/HDF_Limited_Col!$AH195," ")</f>
        <v>0</v>
      </c>
      <c r="BH195" s="26">
        <f>IFERROR($AC195*HDF_Limited_Col!BH195/HDF_Limited_Col!$AH195," ")</f>
        <v>34.773632928417648</v>
      </c>
      <c r="BI195" s="26">
        <f>IFERROR($AC195*HDF_Limited_Col!BI195/HDF_Limited_Col!$AH195," ")</f>
        <v>3689.8688274043161</v>
      </c>
      <c r="BJ195" s="26">
        <f>IFERROR($AC195*HDF_Limited_Col!BJ195/HDF_Limited_Col!$AH195," ")</f>
        <v>0</v>
      </c>
      <c r="BK195" s="26">
        <f>IFERROR($AC195*HDF_Limited_Col!BK195/HDF_Limited_Col!$AH195," ")</f>
        <v>283.34071275006966</v>
      </c>
      <c r="BL195" s="26">
        <f>IFERROR($AC195*HDF_Limited_Col!BL195/HDF_Limited_Col!$AH195," ")</f>
        <v>362.54732108702098</v>
      </c>
      <c r="BM195" s="26">
        <f>IFERROR($AC195*HDF_Limited_Col!BM195/HDF_Limited_Col!$AH195," ")</f>
        <v>0</v>
      </c>
      <c r="BN195" s="26" t="str">
        <f>IFERROR($AC195*HDF_Limited_Col!BN195/HDF_Limited_Col!$AH195," ")</f>
        <v xml:space="preserve"> </v>
      </c>
      <c r="BO195" s="26">
        <f>IFERROR($AC195*HDF_Limited_Col!BO195/HDF_Limited_Col!$AH195," ")</f>
        <v>15.132969885515086</v>
      </c>
      <c r="BP195" s="26">
        <f>IFERROR($AC195*HDF_Limited_Col!BP195/HDF_Limited_Col!$AH195," ")</f>
        <v>11.269232893468681</v>
      </c>
      <c r="BQ195" s="26" t="str">
        <f>IFERROR($AC195*HDF_Limited_Col!BQ195/HDF_Limited_Col!$AH195," ")</f>
        <v xml:space="preserve"> </v>
      </c>
      <c r="BR195" s="26">
        <f>IFERROR($AC195*HDF_Limited_Col!BR195/HDF_Limited_Col!$AH195," ")</f>
        <v>0</v>
      </c>
      <c r="BS195" s="26">
        <f>IFERROR($AC195*HDF_Limited_Col!BS195/HDF_Limited_Col!$AH195," ")</f>
        <v>0</v>
      </c>
      <c r="BT195" s="26">
        <f>IFERROR($AC195*HDF_Limited_Col!BT195/HDF_Limited_Col!$AH195," ")</f>
        <v>0</v>
      </c>
      <c r="BU195" s="26">
        <f>IFERROR($AC195*HDF_Limited_Col!BU195/HDF_Limited_Col!$AH195," ")</f>
        <v>0</v>
      </c>
      <c r="BV195" s="26" t="str">
        <f>IFERROR($AC195*HDF_Limited_Col!BV195/HDF_Limited_Col!$AH195," ")</f>
        <v xml:space="preserve"> </v>
      </c>
      <c r="BW195" s="26">
        <f>IFERROR($AC195*HDF_Limited_Col!BW195/HDF_Limited_Col!$AH195," ")</f>
        <v>0.19318684960232024</v>
      </c>
      <c r="BX195" s="26">
        <f>IFERROR($AC195*HDF_Limited_Col!BX195/HDF_Limited_Col!$AH195," ")</f>
        <v>12.879123306821349</v>
      </c>
      <c r="BY195" s="26">
        <f>IFERROR($AC195*HDF_Limited_Col!BY195/HDF_Limited_Col!$AH195," ")</f>
        <v>6.4395616534106743</v>
      </c>
      <c r="BZ195" s="26">
        <f>IFERROR($AC195*HDF_Limited_Col!BZ195/HDF_Limited_Col!$AH195," ")</f>
        <v>0</v>
      </c>
      <c r="CA195" s="26">
        <f>IFERROR($AC195*HDF_Limited_Col!CA195/HDF_Limited_Col!$AH195," ")</f>
        <v>0</v>
      </c>
      <c r="CB195" s="26">
        <f>IFERROR($AC195*HDF_Limited_Col!CB195/HDF_Limited_Col!$AH195," ")</f>
        <v>50.228580896603262</v>
      </c>
      <c r="CC195" s="26">
        <f>IFERROR($AC195*HDF_Limited_Col!CC195/HDF_Limited_Col!$AH195," ")</f>
        <v>19.318684960232023</v>
      </c>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row>
    <row r="196" spans="1:109">
      <c r="A196" s="26" t="s">
        <v>1178</v>
      </c>
      <c r="B196" s="26" t="s">
        <v>24</v>
      </c>
      <c r="C196" s="156" t="s">
        <v>541</v>
      </c>
      <c r="D196" s="26" t="s">
        <v>1720</v>
      </c>
      <c r="E196" s="26" t="s">
        <v>1394</v>
      </c>
      <c r="F196" s="26" t="s">
        <v>104</v>
      </c>
      <c r="G196" s="26" t="s">
        <v>595</v>
      </c>
      <c r="H196" s="30">
        <v>240</v>
      </c>
      <c r="I196" s="26" t="s">
        <v>736</v>
      </c>
      <c r="J196" s="26" t="s">
        <v>596</v>
      </c>
      <c r="K196" s="26" t="s">
        <v>48</v>
      </c>
      <c r="L196" s="26"/>
      <c r="M196" s="26" t="s">
        <v>745</v>
      </c>
      <c r="N196" s="26">
        <v>34</v>
      </c>
      <c r="O196" s="95">
        <v>46.726326603080722</v>
      </c>
      <c r="P196" s="95">
        <v>5.0766962384721852</v>
      </c>
      <c r="Q196" s="95">
        <v>5.5947264668877148</v>
      </c>
      <c r="R196" s="95">
        <v>11.085846888092322</v>
      </c>
      <c r="S196" s="95">
        <v>5.9055446039370318</v>
      </c>
      <c r="T196" s="95">
        <v>5.283908329838396</v>
      </c>
      <c r="U196" s="95">
        <v>0</v>
      </c>
      <c r="V196" s="95">
        <v>1.6576967309296931</v>
      </c>
      <c r="W196" s="95">
        <v>16.991391492029351</v>
      </c>
      <c r="X196" s="95">
        <v>1.0360604568310581</v>
      </c>
      <c r="Y196" s="95">
        <v>0.82884836546484653</v>
      </c>
      <c r="Z196" s="95">
        <v>100.18704617556331</v>
      </c>
      <c r="AA196" s="26"/>
      <c r="AB196" s="26"/>
      <c r="AC196" s="26">
        <f t="shared" si="4"/>
        <v>141051.87936469051</v>
      </c>
      <c r="AD196" s="26">
        <f>IFERROR($AC196*HDF_Limited_Col!AD196/HDF_Limited_Col!$AH196," ")</f>
        <v>13137.184842789802</v>
      </c>
      <c r="AE196" s="26">
        <f>IFERROR($AC196*HDF_Limited_Col!AE196/HDF_Limited_Col!$AH196," ")</f>
        <v>0</v>
      </c>
      <c r="AF196" s="26">
        <f>IFERROR($AC196*HDF_Limited_Col!AF196/HDF_Limited_Col!$AH196," ")</f>
        <v>0</v>
      </c>
      <c r="AG196" s="26">
        <f>IFERROR($AC196*HDF_Limited_Col!AG196/HDF_Limited_Col!$AH196," ")</f>
        <v>0</v>
      </c>
      <c r="AH196" s="26">
        <f>IFERROR($AC196*HDF_Limited_Col!AH196/HDF_Limited_Col!$AH196," ")</f>
        <v>141051.87936469051</v>
      </c>
      <c r="AI196" s="26">
        <f>IFERROR($AC196*HDF_Limited_Col!AI196/HDF_Limited_Col!$AH196," ")</f>
        <v>0</v>
      </c>
      <c r="AJ196" s="26">
        <f>IFERROR($AC196*HDF_Limited_Col!AJ196/HDF_Limited_Col!$AH196," ")</f>
        <v>0</v>
      </c>
      <c r="AK196" s="26">
        <f>IFERROR($AC196*HDF_Limited_Col!AK196/HDF_Limited_Col!$AH196," ")</f>
        <v>92.190770826595113</v>
      </c>
      <c r="AL196" s="26">
        <f>IFERROR($AC196*HDF_Limited_Col!AL196/HDF_Limited_Col!$AH196," ")</f>
        <v>0</v>
      </c>
      <c r="AM196" s="26">
        <f>IFERROR($AC196*HDF_Limited_Col!AM196/HDF_Limited_Col!$AH196," ")</f>
        <v>71540.038161437798</v>
      </c>
      <c r="AN196" s="26">
        <f>IFERROR($AC196*HDF_Limited_Col!AN196/HDF_Limited_Col!$AH196," ")</f>
        <v>599.24001037286814</v>
      </c>
      <c r="AO196" s="26">
        <f>IFERROR($AC196*HDF_Limited_Col!AO196/HDF_Limited_Col!$AH196," ")</f>
        <v>0</v>
      </c>
      <c r="AP196" s="26">
        <f>IFERROR($AC196*HDF_Limited_Col!AP196/HDF_Limited_Col!$AH196," ")</f>
        <v>277.49422018805126</v>
      </c>
      <c r="AQ196" s="26">
        <f>IFERROR($AC196*HDF_Limited_Col!AQ196/HDF_Limited_Col!$AH196," ")</f>
        <v>65.916401141015484</v>
      </c>
      <c r="AR196" s="26">
        <f>IFERROR($AC196*HDF_Limited_Col!AR196/HDF_Limited_Col!$AH196," ")</f>
        <v>0</v>
      </c>
      <c r="AS196" s="26">
        <f>IFERROR($AC196*HDF_Limited_Col!AS196/HDF_Limited_Col!$AH196," ")</f>
        <v>23.278169633715265</v>
      </c>
      <c r="AT196" s="26">
        <f>IFERROR($AC196*HDF_Limited_Col!AT196/HDF_Limited_Col!$AH196," ")</f>
        <v>0</v>
      </c>
      <c r="AU196" s="26">
        <f>IFERROR($AC196*HDF_Limited_Col!AU196/HDF_Limited_Col!$AH196," ")</f>
        <v>4.102489301783482</v>
      </c>
      <c r="AV196" s="26">
        <f>IFERROR($AC196*HDF_Limited_Col!AV196/HDF_Limited_Col!$AH196," ")</f>
        <v>0</v>
      </c>
      <c r="AW196" s="26">
        <f>IFERROR($AC196*HDF_Limited_Col!AW196/HDF_Limited_Col!$AH196," ")</f>
        <v>21.296068060943472</v>
      </c>
      <c r="AX196" s="26">
        <f>IFERROR($AC196*HDF_Limited_Col!AX196/HDF_Limited_Col!$AH196," ")</f>
        <v>502.43970100494334</v>
      </c>
      <c r="AY196" s="26">
        <f>IFERROR($AC196*HDF_Limited_Col!AY196/HDF_Limited_Col!$AH196," ")</f>
        <v>2719.6277393845558</v>
      </c>
      <c r="AZ196" s="26">
        <f>IFERROR($AC196*HDF_Limited_Col!AZ196/HDF_Limited_Col!$AH196," ")</f>
        <v>0</v>
      </c>
      <c r="BA196" s="26">
        <f>IFERROR($AC196*HDF_Limited_Col!BA196/HDF_Limited_Col!$AH196," ")</f>
        <v>1475.0523332255218</v>
      </c>
      <c r="BB196" s="26">
        <f>IFERROR($AC196*HDF_Limited_Col!BB196/HDF_Limited_Col!$AH196," ")</f>
        <v>0.78362155202605832</v>
      </c>
      <c r="BC196" s="26">
        <f>IFERROR($AC196*HDF_Limited_Col!BC196/HDF_Limited_Col!$AH196," ")</f>
        <v>0</v>
      </c>
      <c r="BD196" s="26">
        <f>IFERROR($AC196*HDF_Limited_Col!BD196/HDF_Limited_Col!$AH196," ")</f>
        <v>0</v>
      </c>
      <c r="BE196" s="26">
        <f>IFERROR($AC196*HDF_Limited_Col!BE196/HDF_Limited_Col!$AH196," ")</f>
        <v>0</v>
      </c>
      <c r="BF196" s="26">
        <f>IFERROR($AC196*HDF_Limited_Col!BF196/HDF_Limited_Col!$AH196," ")</f>
        <v>0</v>
      </c>
      <c r="BG196" s="26">
        <f>IFERROR($AC196*HDF_Limited_Col!BG196/HDF_Limited_Col!$AH196," ")</f>
        <v>0</v>
      </c>
      <c r="BH196" s="26">
        <f>IFERROR($AC196*HDF_Limited_Col!BH196/HDF_Limited_Col!$AH196," ")</f>
        <v>9.5878401659658898</v>
      </c>
      <c r="BI196" s="26">
        <f>IFERROR($AC196*HDF_Limited_Col!BI196/HDF_Limited_Col!$AH196," ")</f>
        <v>3226.6769789308287</v>
      </c>
      <c r="BJ196" s="26">
        <f>IFERROR($AC196*HDF_Limited_Col!BJ196/HDF_Limited_Col!$AH196," ")</f>
        <v>0</v>
      </c>
      <c r="BK196" s="26">
        <f>IFERROR($AC196*HDF_Limited_Col!BK196/HDF_Limited_Col!$AH196," ")</f>
        <v>249.83698894007273</v>
      </c>
      <c r="BL196" s="26">
        <f>IFERROR($AC196*HDF_Limited_Col!BL196/HDF_Limited_Col!$AH196," ")</f>
        <v>365.0754524733166</v>
      </c>
      <c r="BM196" s="26">
        <f>IFERROR($AC196*HDF_Limited_Col!BM196/HDF_Limited_Col!$AH196," ")</f>
        <v>0</v>
      </c>
      <c r="BN196" s="26" t="str">
        <f>IFERROR($AC196*HDF_Limited_Col!BN196/HDF_Limited_Col!$AH196," ")</f>
        <v xml:space="preserve"> </v>
      </c>
      <c r="BO196" s="26">
        <f>IFERROR($AC196*HDF_Limited_Col!BO196/HDF_Limited_Col!$AH196," ")</f>
        <v>43.099185361433207</v>
      </c>
      <c r="BP196" s="26">
        <f>IFERROR($AC196*HDF_Limited_Col!BP196/HDF_Limited_Col!$AH196," ")</f>
        <v>14.473951019775431</v>
      </c>
      <c r="BQ196" s="26">
        <f>IFERROR($AC196*HDF_Limited_Col!BQ196/HDF_Limited_Col!$AH196," ")</f>
        <v>28.118185102111507</v>
      </c>
      <c r="BR196" s="26">
        <f>IFERROR($AC196*HDF_Limited_Col!BR196/HDF_Limited_Col!$AH196," ")</f>
        <v>0</v>
      </c>
      <c r="BS196" s="26">
        <f>IFERROR($AC196*HDF_Limited_Col!BS196/HDF_Limited_Col!$AH196," ")</f>
        <v>0</v>
      </c>
      <c r="BT196" s="26">
        <f>IFERROR($AC196*HDF_Limited_Col!BT196/HDF_Limited_Col!$AH196," ")</f>
        <v>0</v>
      </c>
      <c r="BU196" s="26">
        <f>IFERROR($AC196*HDF_Limited_Col!BU196/HDF_Limited_Col!$AH196," ")</f>
        <v>0</v>
      </c>
      <c r="BV196" s="26">
        <f>IFERROR($AC196*HDF_Limited_Col!BV196/HDF_Limited_Col!$AH196," ")</f>
        <v>5.0704923954627308</v>
      </c>
      <c r="BW196" s="26">
        <f>IFERROR($AC196*HDF_Limited_Col!BW196/HDF_Limited_Col!$AH196," ")</f>
        <v>0.44251569996765644</v>
      </c>
      <c r="BX196" s="26">
        <f>IFERROR($AC196*HDF_Limited_Col!BX196/HDF_Limited_Col!$AH196," ")</f>
        <v>29.132283581204057</v>
      </c>
      <c r="BY196" s="26">
        <f>IFERROR($AC196*HDF_Limited_Col!BY196/HDF_Limited_Col!$AH196," ")</f>
        <v>5.1165877808760287</v>
      </c>
      <c r="BZ196" s="26">
        <f>IFERROR($AC196*HDF_Limited_Col!BZ196/HDF_Limited_Col!$AH196," ")</f>
        <v>0</v>
      </c>
      <c r="CA196" s="26">
        <f>IFERROR($AC196*HDF_Limited_Col!CA196/HDF_Limited_Col!$AH196," ")</f>
        <v>0</v>
      </c>
      <c r="CB196" s="26">
        <f>IFERROR($AC196*HDF_Limited_Col!CB196/HDF_Limited_Col!$AH196," ")</f>
        <v>39.5498406846093</v>
      </c>
      <c r="CC196" s="26">
        <f>IFERROR($AC196*HDF_Limited_Col!CC196/HDF_Limited_Col!$AH196," ")</f>
        <v>12.169181749110553</v>
      </c>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row>
    <row r="197" spans="1:109">
      <c r="A197" s="26" t="s">
        <v>1178</v>
      </c>
      <c r="B197" s="26" t="s">
        <v>24</v>
      </c>
      <c r="C197" s="156" t="s">
        <v>541</v>
      </c>
      <c r="D197" s="26" t="s">
        <v>1720</v>
      </c>
      <c r="E197" s="26" t="s">
        <v>1394</v>
      </c>
      <c r="F197" s="26" t="s">
        <v>104</v>
      </c>
      <c r="G197" s="26" t="s">
        <v>595</v>
      </c>
      <c r="H197" s="30">
        <v>240</v>
      </c>
      <c r="I197" s="26" t="s">
        <v>736</v>
      </c>
      <c r="J197" s="26" t="s">
        <v>596</v>
      </c>
      <c r="K197" s="26" t="s">
        <v>48</v>
      </c>
      <c r="L197" s="26"/>
      <c r="M197" s="26" t="s">
        <v>746</v>
      </c>
      <c r="N197" s="26">
        <v>42</v>
      </c>
      <c r="O197" s="95">
        <v>49.268464298382824</v>
      </c>
      <c r="P197" s="95">
        <v>4.32902824379096</v>
      </c>
      <c r="Q197" s="95">
        <v>5.6689655573453051</v>
      </c>
      <c r="R197" s="95">
        <v>10.204138003221548</v>
      </c>
      <c r="S197" s="95">
        <v>4.9474608500468111</v>
      </c>
      <c r="T197" s="95">
        <v>4.8443887490041693</v>
      </c>
      <c r="U197" s="95">
        <v>0</v>
      </c>
      <c r="V197" s="95">
        <v>3.0921630312792567</v>
      </c>
      <c r="W197" s="95">
        <v>15.770031459524212</v>
      </c>
      <c r="X197" s="95">
        <v>1.2368652125117028</v>
      </c>
      <c r="Y197" s="95">
        <v>0.82457680834113534</v>
      </c>
      <c r="Z197" s="95">
        <v>100.18608221344792</v>
      </c>
      <c r="AA197" s="26"/>
      <c r="AB197" s="26"/>
      <c r="AC197" s="26">
        <f t="shared" si="4"/>
        <v>130912.91411004476</v>
      </c>
      <c r="AD197" s="26">
        <f>IFERROR($AC197*HDF_Limited_Col!AD197/HDF_Limited_Col!$AH197," ")</f>
        <v>11622.512374647875</v>
      </c>
      <c r="AE197" s="26">
        <f>IFERROR($AC197*HDF_Limited_Col!AE197/HDF_Limited_Col!$AH197," ")</f>
        <v>0</v>
      </c>
      <c r="AF197" s="26">
        <f>IFERROR($AC197*HDF_Limited_Col!AF197/HDF_Limited_Col!$AH197," ")</f>
        <v>0</v>
      </c>
      <c r="AG197" s="26">
        <f>IFERROR($AC197*HDF_Limited_Col!AG197/HDF_Limited_Col!$AH197," ")</f>
        <v>0</v>
      </c>
      <c r="AH197" s="26">
        <f>IFERROR($AC197*HDF_Limited_Col!AH197/HDF_Limited_Col!$AH197," ")</f>
        <v>130912.91411004476</v>
      </c>
      <c r="AI197" s="26">
        <f>IFERROR($AC197*HDF_Limited_Col!AI197/HDF_Limited_Col!$AH197," ")</f>
        <v>0</v>
      </c>
      <c r="AJ197" s="26">
        <f>IFERROR($AC197*HDF_Limited_Col!AJ197/HDF_Limited_Col!$AH197," ")</f>
        <v>0</v>
      </c>
      <c r="AK197" s="26">
        <f>IFERROR($AC197*HDF_Limited_Col!AK197/HDF_Limited_Col!$AH197," ")</f>
        <v>249.05383659959736</v>
      </c>
      <c r="AL197" s="26">
        <f>IFERROR($AC197*HDF_Limited_Col!AL197/HDF_Limited_Col!$AH197," ")</f>
        <v>0</v>
      </c>
      <c r="AM197" s="26">
        <f>IFERROR($AC197*HDF_Limited_Col!AM197/HDF_Limited_Col!$AH197," ")</f>
        <v>57026.942585497542</v>
      </c>
      <c r="AN197" s="26">
        <f>IFERROR($AC197*HDF_Limited_Col!AN197/HDF_Limited_Col!$AH197," ")</f>
        <v>913.19740086519016</v>
      </c>
      <c r="AO197" s="26">
        <f>IFERROR($AC197*HDF_Limited_Col!AO197/HDF_Limited_Col!$AH197," ")</f>
        <v>0</v>
      </c>
      <c r="AP197" s="26">
        <f>IFERROR($AC197*HDF_Limited_Col!AP197/HDF_Limited_Col!$AH197," ")</f>
        <v>342.92797501021482</v>
      </c>
      <c r="AQ197" s="26">
        <f>IFERROR($AC197*HDF_Limited_Col!AQ197/HDF_Limited_Col!$AH197," ")</f>
        <v>100.89873380188816</v>
      </c>
      <c r="AR197" s="26">
        <f>IFERROR($AC197*HDF_Limited_Col!AR197/HDF_Limited_Col!$AH197," ")</f>
        <v>0</v>
      </c>
      <c r="AS197" s="26">
        <f>IFERROR($AC197*HDF_Limited_Col!AS197/HDF_Limited_Col!$AH197," ")</f>
        <v>19.221847388840718</v>
      </c>
      <c r="AT197" s="26">
        <f>IFERROR($AC197*HDF_Limited_Col!AT197/HDF_Limited_Col!$AH197," ")</f>
        <v>0</v>
      </c>
      <c r="AU197" s="26">
        <f>IFERROR($AC197*HDF_Limited_Col!AU197/HDF_Limited_Col!$AH197," ")</f>
        <v>2.809838156508278</v>
      </c>
      <c r="AV197" s="26">
        <f>IFERROR($AC197*HDF_Limited_Col!AV197/HDF_Limited_Col!$AH197," ")</f>
        <v>0</v>
      </c>
      <c r="AW197" s="26">
        <f>IFERROR($AC197*HDF_Limited_Col!AW197/HDF_Limited_Col!$AH197," ")</f>
        <v>14.496210489258614</v>
      </c>
      <c r="AX197" s="26">
        <f>IFERROR($AC197*HDF_Limited_Col!AX197/HDF_Limited_Col!$AH197," ")</f>
        <v>772.70549303977634</v>
      </c>
      <c r="AY197" s="26">
        <f>IFERROR($AC197*HDF_Limited_Col!AY197/HDF_Limited_Col!$AH197," ")</f>
        <v>2171.2385754836691</v>
      </c>
      <c r="AZ197" s="26">
        <f>IFERROR($AC197*HDF_Limited_Col!AZ197/HDF_Limited_Col!$AH197," ")</f>
        <v>0</v>
      </c>
      <c r="BA197" s="26">
        <f>IFERROR($AC197*HDF_Limited_Col!BA197/HDF_Limited_Col!$AH197," ")</f>
        <v>1021.7593296393738</v>
      </c>
      <c r="BB197" s="26">
        <f>IFERROR($AC197*HDF_Limited_Col!BB197/HDF_Limited_Col!$AH197," ")</f>
        <v>5.3642364806067127</v>
      </c>
      <c r="BC197" s="26">
        <f>IFERROR($AC197*HDF_Limited_Col!BC197/HDF_Limited_Col!$AH197," ")</f>
        <v>0</v>
      </c>
      <c r="BD197" s="26">
        <f>IFERROR($AC197*HDF_Limited_Col!BD197/HDF_Limited_Col!$AH197," ")</f>
        <v>0</v>
      </c>
      <c r="BE197" s="26">
        <f>IFERROR($AC197*HDF_Limited_Col!BE197/HDF_Limited_Col!$AH197," ")</f>
        <v>0</v>
      </c>
      <c r="BF197" s="26">
        <f>IFERROR($AC197*HDF_Limited_Col!BF197/HDF_Limited_Col!$AH197," ")</f>
        <v>0</v>
      </c>
      <c r="BG197" s="26">
        <f>IFERROR($AC197*HDF_Limited_Col!BG197/HDF_Limited_Col!$AH197," ")</f>
        <v>0</v>
      </c>
      <c r="BH197" s="26">
        <f>IFERROR($AC197*HDF_Limited_Col!BH197/HDF_Limited_Col!$AH197," ")</f>
        <v>7.535475056090382</v>
      </c>
      <c r="BI197" s="26">
        <f>IFERROR($AC197*HDF_Limited_Col!BI197/HDF_Limited_Col!$AH197," ")</f>
        <v>3391.6023748216962</v>
      </c>
      <c r="BJ197" s="26">
        <f>IFERROR($AC197*HDF_Limited_Col!BJ197/HDF_Limited_Col!$AH197," ")</f>
        <v>0</v>
      </c>
      <c r="BK197" s="26">
        <f>IFERROR($AC197*HDF_Limited_Col!BK197/HDF_Limited_Col!$AH197," ")</f>
        <v>189.66407556430875</v>
      </c>
      <c r="BL197" s="26">
        <f>IFERROR($AC197*HDF_Limited_Col!BL197/HDF_Limited_Col!$AH197," ")</f>
        <v>308.44359763488592</v>
      </c>
      <c r="BM197" s="26">
        <f>IFERROR($AC197*HDF_Limited_Col!BM197/HDF_Limited_Col!$AH197," ")</f>
        <v>0</v>
      </c>
      <c r="BN197" s="26" t="str">
        <f>IFERROR($AC197*HDF_Limited_Col!BN197/HDF_Limited_Col!$AH197," ")</f>
        <v xml:space="preserve"> </v>
      </c>
      <c r="BO197" s="26">
        <f>IFERROR($AC197*HDF_Limited_Col!BO197/HDF_Limited_Col!$AH197," ")</f>
        <v>31.674539218820584</v>
      </c>
      <c r="BP197" s="26">
        <f>IFERROR($AC197*HDF_Limited_Col!BP197/HDF_Limited_Col!$AH197," ")</f>
        <v>12.580411746184788</v>
      </c>
      <c r="BQ197" s="26">
        <f>IFERROR($AC197*HDF_Limited_Col!BQ197/HDF_Limited_Col!$AH197," ")</f>
        <v>27.459781984058168</v>
      </c>
      <c r="BR197" s="26">
        <f>IFERROR($AC197*HDF_Limited_Col!BR197/HDF_Limited_Col!$AH197," ")</f>
        <v>0</v>
      </c>
      <c r="BS197" s="26">
        <f>IFERROR($AC197*HDF_Limited_Col!BS197/HDF_Limited_Col!$AH197," ")</f>
        <v>0</v>
      </c>
      <c r="BT197" s="26">
        <f>IFERROR($AC197*HDF_Limited_Col!BT197/HDF_Limited_Col!$AH197," ")</f>
        <v>0</v>
      </c>
      <c r="BU197" s="26">
        <f>IFERROR($AC197*HDF_Limited_Col!BU197/HDF_Limited_Col!$AH197," ")</f>
        <v>0</v>
      </c>
      <c r="BV197" s="26">
        <f>IFERROR($AC197*HDF_Limited_Col!BV197/HDF_Limited_Col!$AH197," ")</f>
        <v>4.8533568157870253</v>
      </c>
      <c r="BW197" s="26">
        <f>IFERROR($AC197*HDF_Limited_Col!BW197/HDF_Limited_Col!$AH197," ")</f>
        <v>0.35761576537378087</v>
      </c>
      <c r="BX197" s="26">
        <f>IFERROR($AC197*HDF_Limited_Col!BX197/HDF_Limited_Col!$AH197," ")</f>
        <v>21.64852579673423</v>
      </c>
      <c r="BY197" s="26">
        <f>IFERROR($AC197*HDF_Limited_Col!BY197/HDF_Limited_Col!$AH197," ")</f>
        <v>4.2786171928648775</v>
      </c>
      <c r="BZ197" s="26">
        <f>IFERROR($AC197*HDF_Limited_Col!BZ197/HDF_Limited_Col!$AH197," ")</f>
        <v>0</v>
      </c>
      <c r="CA197" s="26">
        <f>IFERROR($AC197*HDF_Limited_Col!CA197/HDF_Limited_Col!$AH197," ")</f>
        <v>0</v>
      </c>
      <c r="CB197" s="26">
        <f>IFERROR($AC197*HDF_Limited_Col!CB197/HDF_Limited_Col!$AH197," ")</f>
        <v>37.932815112861753</v>
      </c>
      <c r="CC197" s="26">
        <f>IFERROR($AC197*HDF_Limited_Col!CC197/HDF_Limited_Col!$AH197," ")</f>
        <v>6.3859958102460865</v>
      </c>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row>
    <row r="198" spans="1:109">
      <c r="A198" s="26" t="s">
        <v>1178</v>
      </c>
      <c r="B198" s="26" t="s">
        <v>24</v>
      </c>
      <c r="C198" s="156" t="s">
        <v>541</v>
      </c>
      <c r="D198" s="26" t="s">
        <v>1720</v>
      </c>
      <c r="E198" s="26" t="s">
        <v>1394</v>
      </c>
      <c r="F198" s="26" t="s">
        <v>104</v>
      </c>
      <c r="G198" s="26" t="s">
        <v>595</v>
      </c>
      <c r="H198" s="30">
        <v>240</v>
      </c>
      <c r="I198" s="26" t="s">
        <v>736</v>
      </c>
      <c r="J198" s="26" t="s">
        <v>596</v>
      </c>
      <c r="K198" s="26" t="s">
        <v>48</v>
      </c>
      <c r="L198" s="26"/>
      <c r="M198" s="26" t="s">
        <v>749</v>
      </c>
      <c r="N198" s="26">
        <v>36</v>
      </c>
      <c r="O198" s="95">
        <v>54.342161569620551</v>
      </c>
      <c r="P198" s="95">
        <v>4.3639976786310957</v>
      </c>
      <c r="Q198" s="95">
        <v>5.818663571508127</v>
      </c>
      <c r="R198" s="95">
        <v>9.143614183798487</v>
      </c>
      <c r="S198" s="95">
        <v>5.2991400383377592</v>
      </c>
      <c r="T198" s="95">
        <v>5.7147588648740539</v>
      </c>
      <c r="U198" s="95">
        <v>0</v>
      </c>
      <c r="V198" s="95">
        <v>2.0780941326814744</v>
      </c>
      <c r="W198" s="95">
        <v>11.949041262918476</v>
      </c>
      <c r="X198" s="95">
        <v>0.72733294643851587</v>
      </c>
      <c r="Y198" s="95">
        <v>0.72733294643851587</v>
      </c>
      <c r="Z198" s="95">
        <v>100.16413719524706</v>
      </c>
      <c r="AA198" s="26"/>
      <c r="AB198" s="26"/>
      <c r="AC198" s="26">
        <f t="shared" si="4"/>
        <v>99193.449078700956</v>
      </c>
      <c r="AD198" s="26">
        <f>IFERROR($AC198*HDF_Limited_Col!AD198/HDF_Limited_Col!$AH198," ")</f>
        <v>13953.211837070601</v>
      </c>
      <c r="AE198" s="26">
        <f>IFERROR($AC198*HDF_Limited_Col!AE198/HDF_Limited_Col!$AH198," ")</f>
        <v>0</v>
      </c>
      <c r="AF198" s="26">
        <f>IFERROR($AC198*HDF_Limited_Col!AF198/HDF_Limited_Col!$AH198," ")</f>
        <v>0</v>
      </c>
      <c r="AG198" s="26">
        <f>IFERROR($AC198*HDF_Limited_Col!AG198/HDF_Limited_Col!$AH198," ")</f>
        <v>0</v>
      </c>
      <c r="AH198" s="26">
        <f>IFERROR($AC198*HDF_Limited_Col!AH198/HDF_Limited_Col!$AH198," ")</f>
        <v>99193.449078700956</v>
      </c>
      <c r="AI198" s="26">
        <f>IFERROR($AC198*HDF_Limited_Col!AI198/HDF_Limited_Col!$AH198," ")</f>
        <v>0</v>
      </c>
      <c r="AJ198" s="26">
        <f>IFERROR($AC198*HDF_Limited_Col!AJ198/HDF_Limited_Col!$AH198," ")</f>
        <v>0</v>
      </c>
      <c r="AK198" s="26">
        <f>IFERROR($AC198*HDF_Limited_Col!AK198/HDF_Limited_Col!$AH198," ")</f>
        <v>498.6124040356035</v>
      </c>
      <c r="AL198" s="26">
        <f>IFERROR($AC198*HDF_Limited_Col!AL198/HDF_Limited_Col!$AH198," ")</f>
        <v>0</v>
      </c>
      <c r="AM198" s="26">
        <f>IFERROR($AC198*HDF_Limited_Col!AM198/HDF_Limited_Col!$AH198," ")</f>
        <v>56738.652873016945</v>
      </c>
      <c r="AN198" s="26">
        <f>IFERROR($AC198*HDF_Limited_Col!AN198/HDF_Limited_Col!$AH198," ")</f>
        <v>674.51545373516649</v>
      </c>
      <c r="AO198" s="26">
        <f>IFERROR($AC198*HDF_Limited_Col!AO198/HDF_Limited_Col!$AH198," ")</f>
        <v>0</v>
      </c>
      <c r="AP198" s="26">
        <f>IFERROR($AC198*HDF_Limited_Col!AP198/HDF_Limited_Col!$AH198," ")</f>
        <v>156.7256495443475</v>
      </c>
      <c r="AQ198" s="26">
        <f>IFERROR($AC198*HDF_Limited_Col!AQ198/HDF_Limited_Col!$AH198," ")</f>
        <v>89.274104170830867</v>
      </c>
      <c r="AR198" s="26">
        <f>IFERROR($AC198*HDF_Limited_Col!AR198/HDF_Limited_Col!$AH198," ")</f>
        <v>0</v>
      </c>
      <c r="AS198" s="26">
        <f>IFERROR($AC198*HDF_Limited_Col!AS198/HDF_Limited_Col!$AH198," ")</f>
        <v>15.804822886539684</v>
      </c>
      <c r="AT198" s="26">
        <f>IFERROR($AC198*HDF_Limited_Col!AT198/HDF_Limited_Col!$AH198," ")</f>
        <v>0</v>
      </c>
      <c r="AU198" s="26">
        <f>IFERROR($AC198*HDF_Limited_Col!AU198/HDF_Limited_Col!$AH198," ")</f>
        <v>2.5129007099937577</v>
      </c>
      <c r="AV198" s="26">
        <f>IFERROR($AC198*HDF_Limited_Col!AV198/HDF_Limited_Col!$AH198," ")</f>
        <v>0</v>
      </c>
      <c r="AW198" s="26">
        <f>IFERROR($AC198*HDF_Limited_Col!AW198/HDF_Limited_Col!$AH198," ")</f>
        <v>15.870951852592151</v>
      </c>
      <c r="AX198" s="26">
        <f>IFERROR($AC198*HDF_Limited_Col!AX198/HDF_Limited_Col!$AH198," ")</f>
        <v>369.66092023329225</v>
      </c>
      <c r="AY198" s="26">
        <f>IFERROR($AC198*HDF_Limited_Col!AY198/HDF_Limited_Col!$AH198," ")</f>
        <v>2479.836226967524</v>
      </c>
      <c r="AZ198" s="26">
        <f>IFERROR($AC198*HDF_Limited_Col!AZ198/HDF_Limited_Col!$AH198," ")</f>
        <v>0</v>
      </c>
      <c r="BA198" s="26">
        <f>IFERROR($AC198*HDF_Limited_Col!BA198/HDF_Limited_Col!$AH198," ")</f>
        <v>499.93498335665288</v>
      </c>
      <c r="BB198" s="26">
        <f>IFERROR($AC198*HDF_Limited_Col!BB198/HDF_Limited_Col!$AH198," ")</f>
        <v>0.46290276236727113</v>
      </c>
      <c r="BC198" s="26">
        <f>IFERROR($AC198*HDF_Limited_Col!BC198/HDF_Limited_Col!$AH198," ")</f>
        <v>0</v>
      </c>
      <c r="BD198" s="26">
        <f>IFERROR($AC198*HDF_Limited_Col!BD198/HDF_Limited_Col!$AH198," ")</f>
        <v>0</v>
      </c>
      <c r="BE198" s="26">
        <f>IFERROR($AC198*HDF_Limited_Col!BE198/HDF_Limited_Col!$AH198," ")</f>
        <v>0</v>
      </c>
      <c r="BF198" s="26">
        <f>IFERROR($AC198*HDF_Limited_Col!BF198/HDF_Limited_Col!$AH198," ")</f>
        <v>0</v>
      </c>
      <c r="BG198" s="26">
        <f>IFERROR($AC198*HDF_Limited_Col!BG198/HDF_Limited_Col!$AH198," ")</f>
        <v>0</v>
      </c>
      <c r="BH198" s="26">
        <f>IFERROR($AC198*HDF_Limited_Col!BH198/HDF_Limited_Col!$AH198," ")</f>
        <v>11.10966629681451</v>
      </c>
      <c r="BI198" s="26">
        <f>IFERROR($AC198*HDF_Limited_Col!BI198/HDF_Limited_Col!$AH198," ")</f>
        <v>3264.7870540103108</v>
      </c>
      <c r="BJ198" s="26">
        <f>IFERROR($AC198*HDF_Limited_Col!BJ198/HDF_Limited_Col!$AH198," ")</f>
        <v>0</v>
      </c>
      <c r="BK198" s="26">
        <f>IFERROR($AC198*HDF_Limited_Col!BK198/HDF_Limited_Col!$AH198," ")</f>
        <v>243.35459507307968</v>
      </c>
      <c r="BL198" s="26">
        <f>IFERROR($AC198*HDF_Limited_Col!BL198/HDF_Limited_Col!$AH198," ")</f>
        <v>356.43512702279878</v>
      </c>
      <c r="BM198" s="26">
        <f>IFERROR($AC198*HDF_Limited_Col!BM198/HDF_Limited_Col!$AH198," ")</f>
        <v>0</v>
      </c>
      <c r="BN198" s="26" t="str">
        <f>IFERROR($AC198*HDF_Limited_Col!BN198/HDF_Limited_Col!$AH198," ")</f>
        <v xml:space="preserve"> </v>
      </c>
      <c r="BO198" s="26">
        <f>IFERROR($AC198*HDF_Limited_Col!BO198/HDF_Limited_Col!$AH198," ")</f>
        <v>16.730628411274228</v>
      </c>
      <c r="BP198" s="26">
        <f>IFERROR($AC198*HDF_Limited_Col!BP198/HDF_Limited_Col!$AH198," ")</f>
        <v>6.34838074103686</v>
      </c>
      <c r="BQ198" s="26" t="str">
        <f>IFERROR($AC198*HDF_Limited_Col!BQ198/HDF_Limited_Col!$AH198," ")</f>
        <v xml:space="preserve"> </v>
      </c>
      <c r="BR198" s="26">
        <f>IFERROR($AC198*HDF_Limited_Col!BR198/HDF_Limited_Col!$AH198," ")</f>
        <v>0</v>
      </c>
      <c r="BS198" s="26">
        <f>IFERROR($AC198*HDF_Limited_Col!BS198/HDF_Limited_Col!$AH198," ")</f>
        <v>0</v>
      </c>
      <c r="BT198" s="26">
        <f>IFERROR($AC198*HDF_Limited_Col!BT198/HDF_Limited_Col!$AH198," ")</f>
        <v>0</v>
      </c>
      <c r="BU198" s="26">
        <f>IFERROR($AC198*HDF_Limited_Col!BU198/HDF_Limited_Col!$AH198," ")</f>
        <v>0</v>
      </c>
      <c r="BV198" s="26">
        <f>IFERROR($AC198*HDF_Limited_Col!BV198/HDF_Limited_Col!$AH198," ")</f>
        <v>3.0419324384134963</v>
      </c>
      <c r="BW198" s="26">
        <f>IFERROR($AC198*HDF_Limited_Col!BW198/HDF_Limited_Col!$AH198," ")</f>
        <v>0.52903172841973845</v>
      </c>
      <c r="BX198" s="26">
        <f>IFERROR($AC198*HDF_Limited_Col!BX198/HDF_Limited_Col!$AH198," ")</f>
        <v>11.241924228919443</v>
      </c>
      <c r="BY198" s="26">
        <f>IFERROR($AC198*HDF_Limited_Col!BY198/HDF_Limited_Col!$AH198," ")</f>
        <v>19.574173951530323</v>
      </c>
      <c r="BZ198" s="26">
        <f>IFERROR($AC198*HDF_Limited_Col!BZ198/HDF_Limited_Col!$AH198," ")</f>
        <v>0</v>
      </c>
      <c r="CA198" s="26">
        <f>IFERROR($AC198*HDF_Limited_Col!CA198/HDF_Limited_Col!$AH198," ")</f>
        <v>0</v>
      </c>
      <c r="CB198" s="26">
        <f>IFERROR($AC198*HDF_Limited_Col!CB198/HDF_Limited_Col!$AH198," ")</f>
        <v>43.97576242489076</v>
      </c>
      <c r="CC198" s="26">
        <f>IFERROR($AC198*HDF_Limited_Col!CC198/HDF_Limited_Col!$AH198," ")</f>
        <v>15.606435988382286</v>
      </c>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row>
    <row r="199" spans="1:109">
      <c r="A199" s="26" t="s">
        <v>1178</v>
      </c>
      <c r="B199" s="26" t="s">
        <v>24</v>
      </c>
      <c r="C199" s="156" t="s">
        <v>541</v>
      </c>
      <c r="D199" s="26" t="s">
        <v>1720</v>
      </c>
      <c r="E199" s="26" t="s">
        <v>1394</v>
      </c>
      <c r="F199" s="26" t="s">
        <v>104</v>
      </c>
      <c r="G199" s="26" t="s">
        <v>595</v>
      </c>
      <c r="H199" s="30">
        <v>240</v>
      </c>
      <c r="I199" s="26" t="s">
        <v>736</v>
      </c>
      <c r="J199" s="26" t="s">
        <v>596</v>
      </c>
      <c r="K199" s="26" t="s">
        <v>48</v>
      </c>
      <c r="L199" s="26"/>
      <c r="M199" s="26" t="s">
        <v>744</v>
      </c>
      <c r="N199" s="26">
        <v>34</v>
      </c>
      <c r="O199" s="95">
        <v>45.429105697435702</v>
      </c>
      <c r="P199" s="95">
        <v>4.4295953401127779</v>
      </c>
      <c r="Q199" s="95">
        <v>4.7386368754694832</v>
      </c>
      <c r="R199" s="95">
        <v>10.816453737484691</v>
      </c>
      <c r="S199" s="95">
        <v>5.9748030168963053</v>
      </c>
      <c r="T199" s="95">
        <v>5.7687753266585009</v>
      </c>
      <c r="U199" s="95">
        <v>0</v>
      </c>
      <c r="V199" s="95">
        <v>2.2663045926158398</v>
      </c>
      <c r="W199" s="95">
        <v>18.336464431164522</v>
      </c>
      <c r="X199" s="95">
        <v>1.4421938316646252</v>
      </c>
      <c r="Y199" s="95">
        <v>1.0301384511890181</v>
      </c>
      <c r="Z199" s="95">
        <v>100.23247130069146</v>
      </c>
      <c r="AA199" s="26"/>
      <c r="AB199" s="26"/>
      <c r="AC199" s="26">
        <f t="shared" si="4"/>
        <v>152217.83160801348</v>
      </c>
      <c r="AD199" s="26">
        <f>IFERROR($AC199*HDF_Limited_Col!AD199/HDF_Limited_Col!$AH199," ")</f>
        <v>13693.235897792008</v>
      </c>
      <c r="AE199" s="26">
        <f>IFERROR($AC199*HDF_Limited_Col!AE199/HDF_Limited_Col!$AH199," ")</f>
        <v>0</v>
      </c>
      <c r="AF199" s="26">
        <f>IFERROR($AC199*HDF_Limited_Col!AF199/HDF_Limited_Col!$AH199," ")</f>
        <v>0</v>
      </c>
      <c r="AG199" s="26">
        <f>IFERROR($AC199*HDF_Limited_Col!AG199/HDF_Limited_Col!$AH199," ")</f>
        <v>0</v>
      </c>
      <c r="AH199" s="26">
        <f>IFERROR($AC199*HDF_Limited_Col!AH199/HDF_Limited_Col!$AH199," ")</f>
        <v>152217.83160801348</v>
      </c>
      <c r="AI199" s="26">
        <f>IFERROR($AC199*HDF_Limited_Col!AI199/HDF_Limited_Col!$AH199," ")</f>
        <v>0</v>
      </c>
      <c r="AJ199" s="26">
        <f>IFERROR($AC199*HDF_Limited_Col!AJ199/HDF_Limited_Col!$AH199," ")</f>
        <v>0</v>
      </c>
      <c r="AK199" s="26">
        <f>IFERROR($AC199*HDF_Limited_Col!AK199/HDF_Limited_Col!$AH199," ")</f>
        <v>6432.6363984976406</v>
      </c>
      <c r="AL199" s="26">
        <f>IFERROR($AC199*HDF_Limited_Col!AL199/HDF_Limited_Col!$AH199," ")</f>
        <v>0</v>
      </c>
      <c r="AM199" s="26">
        <f>IFERROR($AC199*HDF_Limited_Col!AM199/HDF_Limited_Col!$AH199," ")</f>
        <v>84070.099465513718</v>
      </c>
      <c r="AN199" s="26">
        <f>IFERROR($AC199*HDF_Limited_Col!AN199/HDF_Limited_Col!$AH199," ")</f>
        <v>1168.7017615092248</v>
      </c>
      <c r="AO199" s="26">
        <f>IFERROR($AC199*HDF_Limited_Col!AO199/HDF_Limited_Col!$AH199," ")</f>
        <v>0</v>
      </c>
      <c r="AP199" s="26">
        <f>IFERROR($AC199*HDF_Limited_Col!AP199/HDF_Limited_Col!$AH199," ")</f>
        <v>388.50576268154066</v>
      </c>
      <c r="AQ199" s="26">
        <f>IFERROR($AC199*HDF_Limited_Col!AQ199/HDF_Limited_Col!$AH199," ")</f>
        <v>57.957417055770819</v>
      </c>
      <c r="AR199" s="26">
        <f>IFERROR($AC199*HDF_Limited_Col!AR199/HDF_Limited_Col!$AH199," ")</f>
        <v>0</v>
      </c>
      <c r="AS199" s="26">
        <f>IFERROR($AC199*HDF_Limited_Col!AS199/HDF_Limited_Col!$AH199," ")</f>
        <v>29.010553262531442</v>
      </c>
      <c r="AT199" s="26">
        <f>IFERROR($AC199*HDF_Limited_Col!AT199/HDF_Limited_Col!$AH199," ")</f>
        <v>0</v>
      </c>
      <c r="AU199" s="26">
        <f>IFERROR($AC199*HDF_Limited_Col!AU199/HDF_Limited_Col!$AH199," ")</f>
        <v>4.4582628504439095</v>
      </c>
      <c r="AV199" s="26">
        <f>IFERROR($AC199*HDF_Limited_Col!AV199/HDF_Limited_Col!$AH199," ")</f>
        <v>0</v>
      </c>
      <c r="AW199" s="26">
        <f>IFERROR($AC199*HDF_Limited_Col!AW199/HDF_Limited_Col!$AH199," ")</f>
        <v>360.16394884657586</v>
      </c>
      <c r="AX199" s="26">
        <f>IFERROR($AC199*HDF_Limited_Col!AX199/HDF_Limited_Col!$AH199," ")</f>
        <v>585.94311748691382</v>
      </c>
      <c r="AY199" s="26">
        <f>IFERROR($AC199*HDF_Limited_Col!AY199/HDF_Limited_Col!$AH199," ")</f>
        <v>3025.2497913726534</v>
      </c>
      <c r="AZ199" s="26">
        <f>IFERROR($AC199*HDF_Limited_Col!AZ199/HDF_Limited_Col!$AH199," ")</f>
        <v>0</v>
      </c>
      <c r="BA199" s="26">
        <f>IFERROR($AC199*HDF_Limited_Col!BA199/HDF_Limited_Col!$AH199," ")</f>
        <v>2324.6656291600384</v>
      </c>
      <c r="BB199" s="26">
        <f>IFERROR($AC199*HDF_Limited_Col!BB199/HDF_Limited_Col!$AH199," ")</f>
        <v>4.3945733811518544</v>
      </c>
      <c r="BC199" s="26">
        <f>IFERROR($AC199*HDF_Limited_Col!BC199/HDF_Limited_Col!$AH199," ")</f>
        <v>0</v>
      </c>
      <c r="BD199" s="26">
        <f>IFERROR($AC199*HDF_Limited_Col!BD199/HDF_Limited_Col!$AH199," ")</f>
        <v>0</v>
      </c>
      <c r="BE199" s="26">
        <f>IFERROR($AC199*HDF_Limited_Col!BE199/HDF_Limited_Col!$AH199," ")</f>
        <v>0</v>
      </c>
      <c r="BF199" s="26">
        <f>IFERROR($AC199*HDF_Limited_Col!BF199/HDF_Limited_Col!$AH199," ")</f>
        <v>0</v>
      </c>
      <c r="BG199" s="26">
        <f>IFERROR($AC199*HDF_Limited_Col!BG199/HDF_Limited_Col!$AH199," ")</f>
        <v>0</v>
      </c>
      <c r="BH199" s="26">
        <f>IFERROR($AC199*HDF_Limited_Col!BH199/HDF_Limited_Col!$AH199," ")</f>
        <v>12.419446511950891</v>
      </c>
      <c r="BI199" s="26">
        <f>IFERROR($AC199*HDF_Limited_Col!BI199/HDF_Limited_Col!$AH199," ")</f>
        <v>4286.3012833553594</v>
      </c>
      <c r="BJ199" s="26">
        <f>IFERROR($AC199*HDF_Limited_Col!BJ199/HDF_Limited_Col!$AH199," ")</f>
        <v>0</v>
      </c>
      <c r="BK199" s="26">
        <f>IFERROR($AC199*HDF_Limited_Col!BK199/HDF_Limited_Col!$AH199," ")</f>
        <v>431.49615445367834</v>
      </c>
      <c r="BL199" s="26">
        <f>IFERROR($AC199*HDF_Limited_Col!BL199/HDF_Limited_Col!$AH199," ")</f>
        <v>706.95310914181994</v>
      </c>
      <c r="BM199" s="26">
        <f>IFERROR($AC199*HDF_Limited_Col!BM199/HDF_Limited_Col!$AH199," ")</f>
        <v>0</v>
      </c>
      <c r="BN199" s="26" t="str">
        <f>IFERROR($AC199*HDF_Limited_Col!BN199/HDF_Limited_Col!$AH199," ")</f>
        <v xml:space="preserve"> </v>
      </c>
      <c r="BO199" s="26">
        <f>IFERROR($AC199*HDF_Limited_Col!BO199/HDF_Limited_Col!$AH199," ")</f>
        <v>79.930283961530094</v>
      </c>
      <c r="BP199" s="26">
        <f>IFERROR($AC199*HDF_Limited_Col!BP199/HDF_Limited_Col!$AH199," ")</f>
        <v>23.501414168768605</v>
      </c>
      <c r="BQ199" s="26">
        <f>IFERROR($AC199*HDF_Limited_Col!BQ199/HDF_Limited_Col!$AH199," ")</f>
        <v>38.213681575233508</v>
      </c>
      <c r="BR199" s="26">
        <f>IFERROR($AC199*HDF_Limited_Col!BR199/HDF_Limited_Col!$AH199," ")</f>
        <v>0</v>
      </c>
      <c r="BS199" s="26">
        <f>IFERROR($AC199*HDF_Limited_Col!BS199/HDF_Limited_Col!$AH199," ")</f>
        <v>0</v>
      </c>
      <c r="BT199" s="26">
        <f>IFERROR($AC199*HDF_Limited_Col!BT199/HDF_Limited_Col!$AH199," ")</f>
        <v>0</v>
      </c>
      <c r="BU199" s="26">
        <f>IFERROR($AC199*HDF_Limited_Col!BU199/HDF_Limited_Col!$AH199," ")</f>
        <v>0</v>
      </c>
      <c r="BV199" s="26">
        <f>IFERROR($AC199*HDF_Limited_Col!BV199/HDF_Limited_Col!$AH199," ")</f>
        <v>9.871867740268657</v>
      </c>
      <c r="BW199" s="26">
        <f>IFERROR($AC199*HDF_Limited_Col!BW199/HDF_Limited_Col!$AH199," ")</f>
        <v>1.1304880799339914</v>
      </c>
      <c r="BX199" s="26">
        <f>IFERROR($AC199*HDF_Limited_Col!BX199/HDF_Limited_Col!$AH199," ")</f>
        <v>35.029208110630719</v>
      </c>
      <c r="BY199" s="26">
        <f>IFERROR($AC199*HDF_Limited_Col!BY199/HDF_Limited_Col!$AH199," ")</f>
        <v>5.3817601551787186</v>
      </c>
      <c r="BZ199" s="26">
        <f>IFERROR($AC199*HDF_Limited_Col!BZ199/HDF_Limited_Col!$AH199," ")</f>
        <v>0</v>
      </c>
      <c r="CA199" s="26">
        <f>IFERROR($AC199*HDF_Limited_Col!CA199/HDF_Limited_Col!$AH199," ")</f>
        <v>0</v>
      </c>
      <c r="CB199" s="26">
        <f>IFERROR($AC199*HDF_Limited_Col!CB199/HDF_Limited_Col!$AH199," ")</f>
        <v>117.82551819030331</v>
      </c>
      <c r="CC199" s="26">
        <f>IFERROR($AC199*HDF_Limited_Col!CC199/HDF_Limited_Col!$AH199," ")</f>
        <v>52.225364819485797</v>
      </c>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row>
    <row r="200" spans="1:109">
      <c r="A200" s="26" t="s">
        <v>1085</v>
      </c>
      <c r="B200" s="26" t="s">
        <v>24</v>
      </c>
      <c r="C200" s="156" t="s">
        <v>541</v>
      </c>
      <c r="D200" s="26"/>
      <c r="E200" s="26" t="s">
        <v>1394</v>
      </c>
      <c r="F200" s="26" t="s">
        <v>976</v>
      </c>
      <c r="G200" s="26" t="s">
        <v>595</v>
      </c>
      <c r="H200" s="30">
        <v>84</v>
      </c>
      <c r="I200" s="26" t="s">
        <v>735</v>
      </c>
      <c r="J200" s="26"/>
      <c r="K200" s="26"/>
      <c r="L200" s="26"/>
      <c r="M200" s="26" t="s">
        <v>975</v>
      </c>
      <c r="N200" s="26">
        <v>28</v>
      </c>
      <c r="O200" s="95">
        <v>49.10955614080261</v>
      </c>
      <c r="P200" s="95">
        <v>1.8149183791166184</v>
      </c>
      <c r="Q200" s="95">
        <v>6.2988343745812054</v>
      </c>
      <c r="R200" s="95">
        <v>7.1529136118125543</v>
      </c>
      <c r="S200" s="95">
        <v>6.7258739931968794</v>
      </c>
      <c r="T200" s="95">
        <v>3.5230768535793175</v>
      </c>
      <c r="U200" s="95">
        <v>2.1351980930783743</v>
      </c>
      <c r="V200" s="95">
        <v>0.53379952326959357</v>
      </c>
      <c r="W200" s="95">
        <v>20.39114178889848</v>
      </c>
      <c r="X200" s="95">
        <v>0</v>
      </c>
      <c r="Y200" s="95">
        <v>2.989277330309724</v>
      </c>
      <c r="Z200" s="95">
        <v>100.67459008864535</v>
      </c>
      <c r="AA200" s="26"/>
      <c r="AB200" s="26"/>
      <c r="AC200" s="26">
        <f t="shared" si="4"/>
        <v>169274.47484599691</v>
      </c>
      <c r="AD200" s="26" t="str">
        <f>IFERROR($AC200*HDF_Limited_Col!AD200/HDF_Limited_Col!$AH200," ")</f>
        <v xml:space="preserve"> </v>
      </c>
      <c r="AE200" s="26" t="str">
        <f>IFERROR($AC200*HDF_Limited_Col!AE200/HDF_Limited_Col!$AH200," ")</f>
        <v xml:space="preserve"> </v>
      </c>
      <c r="AF200" s="26" t="str">
        <f>IFERROR($AC200*HDF_Limited_Col!AF200/HDF_Limited_Col!$AH200," ")</f>
        <v xml:space="preserve"> </v>
      </c>
      <c r="AG200" s="26" t="str">
        <f>IFERROR($AC200*HDF_Limited_Col!AG200/HDF_Limited_Col!$AH200," ")</f>
        <v xml:space="preserve"> </v>
      </c>
      <c r="AH200" s="26" t="str">
        <f>IFERROR($AC200*HDF_Limited_Col!AH200/HDF_Limited_Col!$AH200," ")</f>
        <v xml:space="preserve"> </v>
      </c>
      <c r="AI200" s="26" t="str">
        <f>IFERROR($AC200*HDF_Limited_Col!AI200/HDF_Limited_Col!$AH200," ")</f>
        <v xml:space="preserve"> </v>
      </c>
      <c r="AJ200" s="26" t="str">
        <f>IFERROR($AC200*HDF_Limited_Col!AJ200/HDF_Limited_Col!$AH200," ")</f>
        <v xml:space="preserve"> </v>
      </c>
      <c r="AK200" s="26" t="str">
        <f>IFERROR($AC200*HDF_Limited_Col!AK200/HDF_Limited_Col!$AH200," ")</f>
        <v xml:space="preserve"> </v>
      </c>
      <c r="AL200" s="26" t="str">
        <f>IFERROR($AC200*HDF_Limited_Col!AL200/HDF_Limited_Col!$AH200," ")</f>
        <v xml:space="preserve"> </v>
      </c>
      <c r="AM200" s="26" t="str">
        <f>IFERROR($AC200*HDF_Limited_Col!AM200/HDF_Limited_Col!$AH200," ")</f>
        <v xml:space="preserve"> </v>
      </c>
      <c r="AN200" s="26" t="str">
        <f>IFERROR($AC200*HDF_Limited_Col!AN200/HDF_Limited_Col!$AH200," ")</f>
        <v xml:space="preserve"> </v>
      </c>
      <c r="AO200" s="26" t="str">
        <f>IFERROR($AC200*HDF_Limited_Col!AO200/HDF_Limited_Col!$AH200," ")</f>
        <v xml:space="preserve"> </v>
      </c>
      <c r="AP200" s="26" t="str">
        <f>IFERROR($AC200*HDF_Limited_Col!AP200/HDF_Limited_Col!$AH200," ")</f>
        <v xml:space="preserve"> </v>
      </c>
      <c r="AQ200" s="26" t="str">
        <f>IFERROR($AC200*HDF_Limited_Col!AQ200/HDF_Limited_Col!$AH200," ")</f>
        <v xml:space="preserve"> </v>
      </c>
      <c r="AR200" s="26" t="str">
        <f>IFERROR($AC200*HDF_Limited_Col!AR200/HDF_Limited_Col!$AH200," ")</f>
        <v xml:space="preserve"> </v>
      </c>
      <c r="AS200" s="26" t="str">
        <f>IFERROR($AC200*HDF_Limited_Col!AS200/HDF_Limited_Col!$AH200," ")</f>
        <v xml:space="preserve"> </v>
      </c>
      <c r="AT200" s="26" t="str">
        <f>IFERROR($AC200*HDF_Limited_Col!AT200/HDF_Limited_Col!$AH200," ")</f>
        <v xml:space="preserve"> </v>
      </c>
      <c r="AU200" s="26" t="str">
        <f>IFERROR($AC200*HDF_Limited_Col!AU200/HDF_Limited_Col!$AH200," ")</f>
        <v xml:space="preserve"> </v>
      </c>
      <c r="AV200" s="26" t="str">
        <f>IFERROR($AC200*HDF_Limited_Col!AV200/HDF_Limited_Col!$AH200," ")</f>
        <v xml:space="preserve"> </v>
      </c>
      <c r="AW200" s="26" t="str">
        <f>IFERROR($AC200*HDF_Limited_Col!AW200/HDF_Limited_Col!$AH200," ")</f>
        <v xml:space="preserve"> </v>
      </c>
      <c r="AX200" s="26" t="str">
        <f>IFERROR($AC200*HDF_Limited_Col!AX200/HDF_Limited_Col!$AH200," ")</f>
        <v xml:space="preserve"> </v>
      </c>
      <c r="AY200" s="26" t="str">
        <f>IFERROR($AC200*HDF_Limited_Col!AY200/HDF_Limited_Col!$AH200," ")</f>
        <v xml:space="preserve"> </v>
      </c>
      <c r="AZ200" s="26" t="str">
        <f>IFERROR($AC200*HDF_Limited_Col!AZ200/HDF_Limited_Col!$AH200," ")</f>
        <v xml:space="preserve"> </v>
      </c>
      <c r="BA200" s="26" t="str">
        <f>IFERROR($AC200*HDF_Limited_Col!BA200/HDF_Limited_Col!$AH200," ")</f>
        <v xml:space="preserve"> </v>
      </c>
      <c r="BB200" s="26" t="str">
        <f>IFERROR($AC200*HDF_Limited_Col!BB200/HDF_Limited_Col!$AH200," ")</f>
        <v xml:space="preserve"> </v>
      </c>
      <c r="BC200" s="26" t="str">
        <f>IFERROR($AC200*HDF_Limited_Col!BC200/HDF_Limited_Col!$AH200," ")</f>
        <v xml:space="preserve"> </v>
      </c>
      <c r="BD200" s="26" t="str">
        <f>IFERROR($AC200*HDF_Limited_Col!BD200/HDF_Limited_Col!$AH200," ")</f>
        <v xml:space="preserve"> </v>
      </c>
      <c r="BE200" s="26" t="str">
        <f>IFERROR($AC200*HDF_Limited_Col!BE200/HDF_Limited_Col!$AH200," ")</f>
        <v xml:space="preserve"> </v>
      </c>
      <c r="BF200" s="26" t="str">
        <f>IFERROR($AC200*HDF_Limited_Col!BF200/HDF_Limited_Col!$AH200," ")</f>
        <v xml:space="preserve"> </v>
      </c>
      <c r="BG200" s="26" t="str">
        <f>IFERROR($AC200*HDF_Limited_Col!BG200/HDF_Limited_Col!$AH200," ")</f>
        <v xml:space="preserve"> </v>
      </c>
      <c r="BH200" s="26" t="str">
        <f>IFERROR($AC200*HDF_Limited_Col!BH200/HDF_Limited_Col!$AH200," ")</f>
        <v xml:space="preserve"> </v>
      </c>
      <c r="BI200" s="26" t="str">
        <f>IFERROR($AC200*HDF_Limited_Col!BI200/HDF_Limited_Col!$AH200," ")</f>
        <v xml:space="preserve"> </v>
      </c>
      <c r="BJ200" s="26" t="str">
        <f>IFERROR($AC200*HDF_Limited_Col!BJ200/HDF_Limited_Col!$AH200," ")</f>
        <v xml:space="preserve"> </v>
      </c>
      <c r="BK200" s="26" t="str">
        <f>IFERROR($AC200*HDF_Limited_Col!BK200/HDF_Limited_Col!$AH200," ")</f>
        <v xml:space="preserve"> </v>
      </c>
      <c r="BL200" s="26" t="str">
        <f>IFERROR($AC200*HDF_Limited_Col!BL200/HDF_Limited_Col!$AH200," ")</f>
        <v xml:space="preserve"> </v>
      </c>
      <c r="BM200" s="26" t="str">
        <f>IFERROR($AC200*HDF_Limited_Col!BM200/HDF_Limited_Col!$AH200," ")</f>
        <v xml:space="preserve"> </v>
      </c>
      <c r="BN200" s="26" t="str">
        <f>IFERROR($AC200*HDF_Limited_Col!BN200/HDF_Limited_Col!$AH200," ")</f>
        <v xml:space="preserve"> </v>
      </c>
      <c r="BO200" s="26" t="str">
        <f>IFERROR($AC200*HDF_Limited_Col!BO200/HDF_Limited_Col!$AH200," ")</f>
        <v xml:space="preserve"> </v>
      </c>
      <c r="BP200" s="26" t="str">
        <f>IFERROR($AC200*HDF_Limited_Col!BP200/HDF_Limited_Col!$AH200," ")</f>
        <v xml:space="preserve"> </v>
      </c>
      <c r="BQ200" s="26" t="str">
        <f>IFERROR($AC200*HDF_Limited_Col!BQ200/HDF_Limited_Col!$AH200," ")</f>
        <v xml:space="preserve"> </v>
      </c>
      <c r="BR200" s="26" t="str">
        <f>IFERROR($AC200*HDF_Limited_Col!BR200/HDF_Limited_Col!$AH200," ")</f>
        <v xml:space="preserve"> </v>
      </c>
      <c r="BS200" s="26" t="str">
        <f>IFERROR($AC200*HDF_Limited_Col!BS200/HDF_Limited_Col!$AH200," ")</f>
        <v xml:space="preserve"> </v>
      </c>
      <c r="BT200" s="26" t="str">
        <f>IFERROR($AC200*HDF_Limited_Col!BT200/HDF_Limited_Col!$AH200," ")</f>
        <v xml:space="preserve"> </v>
      </c>
      <c r="BU200" s="26" t="str">
        <f>IFERROR($AC200*HDF_Limited_Col!BU200/HDF_Limited_Col!$AH200," ")</f>
        <v xml:space="preserve"> </v>
      </c>
      <c r="BV200" s="26" t="str">
        <f>IFERROR($AC200*HDF_Limited_Col!BV200/HDF_Limited_Col!$AH200," ")</f>
        <v xml:space="preserve"> </v>
      </c>
      <c r="BW200" s="26" t="str">
        <f>IFERROR($AC200*HDF_Limited_Col!BW200/HDF_Limited_Col!$AH200," ")</f>
        <v xml:space="preserve"> </v>
      </c>
      <c r="BX200" s="26" t="str">
        <f>IFERROR($AC200*HDF_Limited_Col!BX200/HDF_Limited_Col!$AH200," ")</f>
        <v xml:space="preserve"> </v>
      </c>
      <c r="BY200" s="26" t="str">
        <f>IFERROR($AC200*HDF_Limited_Col!BY200/HDF_Limited_Col!$AH200," ")</f>
        <v xml:space="preserve"> </v>
      </c>
      <c r="BZ200" s="26" t="str">
        <f>IFERROR($AC200*HDF_Limited_Col!BZ200/HDF_Limited_Col!$AH200," ")</f>
        <v xml:space="preserve"> </v>
      </c>
      <c r="CA200" s="26" t="str">
        <f>IFERROR($AC200*HDF_Limited_Col!CA200/HDF_Limited_Col!$AH200," ")</f>
        <v xml:space="preserve"> </v>
      </c>
      <c r="CB200" s="26" t="str">
        <f>IFERROR($AC200*HDF_Limited_Col!CB200/HDF_Limited_Col!$AH200," ")</f>
        <v xml:space="preserve"> </v>
      </c>
      <c r="CC200" s="26" t="str">
        <f>IFERROR($AC200*HDF_Limited_Col!CC200/HDF_Limited_Col!$AH200," ")</f>
        <v xml:space="preserve"> </v>
      </c>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row>
    <row r="201" spans="1:109">
      <c r="A201" s="26" t="s">
        <v>1277</v>
      </c>
      <c r="B201" s="26" t="s">
        <v>24</v>
      </c>
      <c r="C201" s="156" t="s">
        <v>541</v>
      </c>
      <c r="D201" s="26"/>
      <c r="E201" s="26" t="s">
        <v>1394</v>
      </c>
      <c r="F201" s="26" t="s">
        <v>1650</v>
      </c>
      <c r="G201" s="26" t="s">
        <v>1799</v>
      </c>
      <c r="H201" s="30"/>
      <c r="I201" s="26" t="s">
        <v>735</v>
      </c>
      <c r="J201" s="26" t="s">
        <v>635</v>
      </c>
      <c r="K201" s="26" t="s">
        <v>802</v>
      </c>
      <c r="L201" s="26"/>
      <c r="M201" s="26" t="s">
        <v>784</v>
      </c>
      <c r="N201" s="26">
        <v>34</v>
      </c>
      <c r="O201" s="95">
        <v>50.863126303596026</v>
      </c>
      <c r="P201" s="95">
        <v>3.9086638146960873</v>
      </c>
      <c r="Q201" s="95">
        <v>7.0375250996565759</v>
      </c>
      <c r="R201" s="95">
        <v>7.5477638978503387</v>
      </c>
      <c r="S201" s="95">
        <v>4.2636155399454667</v>
      </c>
      <c r="T201" s="95">
        <v>6.5448452204440466</v>
      </c>
      <c r="U201" s="95">
        <v>0.74234612129522026</v>
      </c>
      <c r="V201" s="95">
        <v>1.6603369447125391</v>
      </c>
      <c r="W201" s="95">
        <v>15.264769900202479</v>
      </c>
      <c r="X201" s="95">
        <v>1.6614294790110709</v>
      </c>
      <c r="Y201" s="95">
        <v>0.65292272153081266</v>
      </c>
      <c r="Z201" s="95">
        <v>100.14734504294067</v>
      </c>
      <c r="AA201" s="26"/>
      <c r="AB201" s="26"/>
      <c r="AC201" s="26">
        <f t="shared" si="4"/>
        <v>126718.54941975459</v>
      </c>
      <c r="AD201" s="26">
        <f>IFERROR($AC201*HDF_Limited_Col!AD201/HDF_Limited_Col!$AH201," ")</f>
        <v>0</v>
      </c>
      <c r="AE201" s="26">
        <f>IFERROR($AC201*HDF_Limited_Col!AE201/HDF_Limited_Col!$AH201," ")</f>
        <v>0</v>
      </c>
      <c r="AF201" s="26">
        <f>IFERROR($AC201*HDF_Limited_Col!AF201/HDF_Limited_Col!$AH201," ")</f>
        <v>0</v>
      </c>
      <c r="AG201" s="26">
        <f>IFERROR($AC201*HDF_Limited_Col!AG201/HDF_Limited_Col!$AH201," ")</f>
        <v>0</v>
      </c>
      <c r="AH201" s="26">
        <f>IFERROR($AC201*HDF_Limited_Col!AH201/HDF_Limited_Col!$AH201," ")</f>
        <v>126718.54941975459</v>
      </c>
      <c r="AI201" s="26">
        <f>IFERROR($AC201*HDF_Limited_Col!AI201/HDF_Limited_Col!$AH201," ")</f>
        <v>0</v>
      </c>
      <c r="AJ201" s="26">
        <f>IFERROR($AC201*HDF_Limited_Col!AJ201/HDF_Limited_Col!$AH201," ")</f>
        <v>53467.742371204469</v>
      </c>
      <c r="AK201" s="26">
        <f>IFERROR($AC201*HDF_Limited_Col!AK201/HDF_Limited_Col!$AH201," ")</f>
        <v>0</v>
      </c>
      <c r="AL201" s="26">
        <f>IFERROR($AC201*HDF_Limited_Col!AL201/HDF_Limited_Col!$AH201," ")</f>
        <v>0</v>
      </c>
      <c r="AM201" s="26">
        <f>IFERROR($AC201*HDF_Limited_Col!AM201/HDF_Limited_Col!$AH201," ")</f>
        <v>0</v>
      </c>
      <c r="AN201" s="26">
        <f>IFERROR($AC201*HDF_Limited_Col!AN201/HDF_Limited_Col!$AH201," ")</f>
        <v>0</v>
      </c>
      <c r="AO201" s="26">
        <f>IFERROR($AC201*HDF_Limited_Col!AO201/HDF_Limited_Col!$AH201," ")</f>
        <v>0</v>
      </c>
      <c r="AP201" s="26">
        <f>IFERROR($AC201*HDF_Limited_Col!AP201/HDF_Limited_Col!$AH201," ")</f>
        <v>0</v>
      </c>
      <c r="AQ201" s="26">
        <f>IFERROR($AC201*HDF_Limited_Col!AQ201/HDF_Limited_Col!$AH201," ")</f>
        <v>0</v>
      </c>
      <c r="AR201" s="26">
        <f>IFERROR($AC201*HDF_Limited_Col!AR201/HDF_Limited_Col!$AH201," ")</f>
        <v>0</v>
      </c>
      <c r="AS201" s="26">
        <f>IFERROR($AC201*HDF_Limited_Col!AS201/HDF_Limited_Col!$AH201," ")</f>
        <v>0</v>
      </c>
      <c r="AT201" s="26">
        <f>IFERROR($AC201*HDF_Limited_Col!AT201/HDF_Limited_Col!$AH201," ")</f>
        <v>0</v>
      </c>
      <c r="AU201" s="26">
        <f>IFERROR($AC201*HDF_Limited_Col!AU201/HDF_Limited_Col!$AH201," ")</f>
        <v>0</v>
      </c>
      <c r="AV201" s="26">
        <f>IFERROR($AC201*HDF_Limited_Col!AV201/HDF_Limited_Col!$AH201," ")</f>
        <v>0</v>
      </c>
      <c r="AW201" s="26">
        <f>IFERROR($AC201*HDF_Limited_Col!AW201/HDF_Limited_Col!$AH201," ")</f>
        <v>0</v>
      </c>
      <c r="AX201" s="26">
        <f>IFERROR($AC201*HDF_Limited_Col!AX201/HDF_Limited_Col!$AH201," ")</f>
        <v>588.14516608324925</v>
      </c>
      <c r="AY201" s="26">
        <f>IFERROR($AC201*HDF_Limited_Col!AY201/HDF_Limited_Col!$AH201," ")</f>
        <v>2833.7903456738368</v>
      </c>
      <c r="AZ201" s="26">
        <f>IFERROR($AC201*HDF_Limited_Col!AZ201/HDF_Limited_Col!$AH201," ")</f>
        <v>149.70967863937253</v>
      </c>
      <c r="BA201" s="26">
        <f>IFERROR($AC201*HDF_Limited_Col!BA201/HDF_Limited_Col!$AH201," ")</f>
        <v>1604.0322711361341</v>
      </c>
      <c r="BB201" s="26">
        <f>IFERROR($AC201*HDF_Limited_Col!BB201/HDF_Limited_Col!$AH201," ")</f>
        <v>0</v>
      </c>
      <c r="BC201" s="26">
        <f>IFERROR($AC201*HDF_Limited_Col!BC201/HDF_Limited_Col!$AH201," ")</f>
        <v>208.52419524769743</v>
      </c>
      <c r="BD201" s="26">
        <f>IFERROR($AC201*HDF_Limited_Col!BD201/HDF_Limited_Col!$AH201," ")</f>
        <v>0</v>
      </c>
      <c r="BE201" s="26">
        <f>IFERROR($AC201*HDF_Limited_Col!BE201/HDF_Limited_Col!$AH201," ")</f>
        <v>0</v>
      </c>
      <c r="BF201" s="26">
        <f>IFERROR($AC201*HDF_Limited_Col!BF201/HDF_Limited_Col!$AH201," ")</f>
        <v>0</v>
      </c>
      <c r="BG201" s="26">
        <f>IFERROR($AC201*HDF_Limited_Col!BG201/HDF_Limited_Col!$AH201," ")</f>
        <v>0</v>
      </c>
      <c r="BH201" s="26">
        <f>IFERROR($AC201*HDF_Limited_Col!BH201/HDF_Limited_Col!$AH201," ")</f>
        <v>5.8814516608324912</v>
      </c>
      <c r="BI201" s="26">
        <f>IFERROR($AC201*HDF_Limited_Col!BI201/HDF_Limited_Col!$AH201," ")</f>
        <v>24060.484067042013</v>
      </c>
      <c r="BJ201" s="26">
        <f>IFERROR($AC201*HDF_Limited_Col!BJ201/HDF_Limited_Col!$AH201," ")</f>
        <v>0</v>
      </c>
      <c r="BK201" s="26">
        <f>IFERROR($AC201*HDF_Limited_Col!BK201/HDF_Limited_Col!$AH201," ")</f>
        <v>267.33871185602237</v>
      </c>
      <c r="BL201" s="26">
        <f>IFERROR($AC201*HDF_Limited_Col!BL201/HDF_Limited_Col!$AH201," ")</f>
        <v>374.27419659843127</v>
      </c>
      <c r="BM201" s="26">
        <f>IFERROR($AC201*HDF_Limited_Col!BM201/HDF_Limited_Col!$AH201," ")</f>
        <v>42.774193896963574</v>
      </c>
      <c r="BN201" s="26">
        <f>IFERROR($AC201*HDF_Limited_Col!BN201/HDF_Limited_Col!$AH201," ")</f>
        <v>208.52419524769743</v>
      </c>
      <c r="BO201" s="26">
        <f>IFERROR($AC201*HDF_Limited_Col!BO201/HDF_Limited_Col!$AH201," ")</f>
        <v>42.774193896963574</v>
      </c>
      <c r="BP201" s="26">
        <f>IFERROR($AC201*HDF_Limited_Col!BP201/HDF_Limited_Col!$AH201," ")</f>
        <v>13.366935592801118</v>
      </c>
      <c r="BQ201" s="26">
        <f>IFERROR($AC201*HDF_Limited_Col!BQ201/HDF_Limited_Col!$AH201," ")</f>
        <v>42.774193896963574</v>
      </c>
      <c r="BR201" s="26">
        <f>IFERROR($AC201*HDF_Limited_Col!BR201/HDF_Limited_Col!$AH201," ")</f>
        <v>32.080645422722682</v>
      </c>
      <c r="BS201" s="26">
        <f>IFERROR($AC201*HDF_Limited_Col!BS201/HDF_Limited_Col!$AH201," ")</f>
        <v>5.8814516608324912</v>
      </c>
      <c r="BT201" s="26">
        <f>IFERROR($AC201*HDF_Limited_Col!BT201/HDF_Limited_Col!$AH201," ")</f>
        <v>13.901613016513162</v>
      </c>
      <c r="BU201" s="26">
        <f>IFERROR($AC201*HDF_Limited_Col!BU201/HDF_Limited_Col!$AH201," ")</f>
        <v>0</v>
      </c>
      <c r="BV201" s="26">
        <f>IFERROR($AC201*HDF_Limited_Col!BV201/HDF_Limited_Col!$AH201," ")</f>
        <v>10.693548474240893</v>
      </c>
      <c r="BW201" s="26">
        <f>IFERROR($AC201*HDF_Limited_Col!BW201/HDF_Limited_Col!$AH201," ")</f>
        <v>2.138709694848179</v>
      </c>
      <c r="BX201" s="26">
        <f>IFERROR($AC201*HDF_Limited_Col!BX201/HDF_Limited_Col!$AH201," ")</f>
        <v>37.427419659843132</v>
      </c>
      <c r="BY201" s="26">
        <f>IFERROR($AC201*HDF_Limited_Col!BY201/HDF_Limited_Col!$AH201," ")</f>
        <v>10.693548474240893</v>
      </c>
      <c r="BZ201" s="26">
        <f>IFERROR($AC201*HDF_Limited_Col!BZ201/HDF_Limited_Col!$AH201," ")</f>
        <v>0</v>
      </c>
      <c r="CA201" s="26">
        <f>IFERROR($AC201*HDF_Limited_Col!CA201/HDF_Limited_Col!$AH201," ")</f>
        <v>0</v>
      </c>
      <c r="CB201" s="26">
        <f>IFERROR($AC201*HDF_Limited_Col!CB201/HDF_Limited_Col!$AH201," ")</f>
        <v>58.814516608324915</v>
      </c>
      <c r="CC201" s="26">
        <f>IFERROR($AC201*HDF_Limited_Col!CC201/HDF_Limited_Col!$AH201," ")</f>
        <v>11.762903321664982</v>
      </c>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row>
    <row r="202" spans="1:109">
      <c r="A202" s="26" t="s">
        <v>641</v>
      </c>
      <c r="B202" s="26" t="s">
        <v>24</v>
      </c>
      <c r="C202" s="156" t="s">
        <v>541</v>
      </c>
      <c r="D202" s="26" t="s">
        <v>110</v>
      </c>
      <c r="E202" s="26" t="s">
        <v>237</v>
      </c>
      <c r="F202" s="26" t="s">
        <v>639</v>
      </c>
      <c r="G202" s="26" t="s">
        <v>640</v>
      </c>
      <c r="H202" s="30"/>
      <c r="I202" s="26" t="s">
        <v>712</v>
      </c>
      <c r="J202" s="26" t="s">
        <v>635</v>
      </c>
      <c r="K202" s="26" t="s">
        <v>642</v>
      </c>
      <c r="L202" s="26"/>
      <c r="M202" s="26" t="s">
        <v>622</v>
      </c>
      <c r="N202" s="26" t="s">
        <v>1084</v>
      </c>
      <c r="O202" s="95">
        <v>40.692501004398821</v>
      </c>
      <c r="P202" s="95">
        <v>0.75850001872179162</v>
      </c>
      <c r="Q202" s="95">
        <v>21.73000053635403</v>
      </c>
      <c r="R202" s="95">
        <v>17.22000042503527</v>
      </c>
      <c r="S202" s="95">
        <v>6.5805001624241921</v>
      </c>
      <c r="T202" s="95">
        <v>9.3582502309864299</v>
      </c>
      <c r="U202" s="95">
        <v>0</v>
      </c>
      <c r="V202" s="95">
        <v>0.11275000278296902</v>
      </c>
      <c r="W202" s="95">
        <v>2.9417500726101919</v>
      </c>
      <c r="X202" s="95">
        <v>0.57400001416784241</v>
      </c>
      <c r="Y202" s="95">
        <v>4.1000001011988738E-2</v>
      </c>
      <c r="Z202" s="95">
        <v>100.00925246849351</v>
      </c>
      <c r="AA202" s="26"/>
      <c r="AB202" s="26"/>
      <c r="AC202" s="26">
        <f t="shared" si="4"/>
        <v>24420.564764076571</v>
      </c>
      <c r="AD202" s="26">
        <f>IFERROR($AC202*HDF_Limited_Col!AD202/HDF_Limited_Col!$AH202," ")</f>
        <v>5657.2030566584644</v>
      </c>
      <c r="AE202" s="26">
        <f>IFERROR($AC202*HDF_Limited_Col!AE202/HDF_Limited_Col!$AH202," ")</f>
        <v>11508.109090337761</v>
      </c>
      <c r="AF202" s="26">
        <f>IFERROR($AC202*HDF_Limited_Col!AF202/HDF_Limited_Col!$AH202," ")</f>
        <v>18611.627708751788</v>
      </c>
      <c r="AG202" s="26">
        <f>IFERROR($AC202*HDF_Limited_Col!AG202/HDF_Limited_Col!$AH202," ")</f>
        <v>1760.0067717642987</v>
      </c>
      <c r="AH202" s="26">
        <f>IFERROR($AC202*HDF_Limited_Col!AH202/HDF_Limited_Col!$AH202," ")</f>
        <v>24420.564764076571</v>
      </c>
      <c r="AI202" s="26">
        <f>IFERROR($AC202*HDF_Limited_Col!AI202/HDF_Limited_Col!$AH202," ")</f>
        <v>8860.835071053034</v>
      </c>
      <c r="AJ202" s="26">
        <f>IFERROR($AC202*HDF_Limited_Col!AJ202/HDF_Limited_Col!$AH202," ")</f>
        <v>1761.0828994144142</v>
      </c>
      <c r="AK202" s="26">
        <f>IFERROR($AC202*HDF_Limited_Col!AK202/HDF_Limited_Col!$AH202," ")</f>
        <v>100.07987146076417</v>
      </c>
      <c r="AL202" s="26">
        <f>IFERROR($AC202*HDF_Limited_Col!AL202/HDF_Limited_Col!$AH202," ")</f>
        <v>1871.9240473763359</v>
      </c>
      <c r="AM202" s="26">
        <f>IFERROR($AC202*HDF_Limited_Col!AM202/HDF_Limited_Col!$AH202," ")</f>
        <v>15527.983927345122</v>
      </c>
      <c r="AN202" s="26">
        <f>IFERROR($AC202*HDF_Limited_Col!AN202/HDF_Limited_Col!$AH202," ")</f>
        <v>2.0446425352199129</v>
      </c>
      <c r="AO202" s="26">
        <f>IFERROR($AC202*HDF_Limited_Col!AO202/HDF_Limited_Col!$AH202," ")</f>
        <v>10.599857353640076</v>
      </c>
      <c r="AP202" s="26">
        <f>IFERROR($AC202*HDF_Limited_Col!AP202/HDF_Limited_Col!$AH202," ")</f>
        <v>58.648956931308028</v>
      </c>
      <c r="AQ202" s="26">
        <f>IFERROR($AC202*HDF_Limited_Col!AQ202/HDF_Limited_Col!$AH202," ")</f>
        <v>7.8019254633391411</v>
      </c>
      <c r="AR202" s="26">
        <f>IFERROR($AC202*HDF_Limited_Col!AR202/HDF_Limited_Col!$AH202," ")</f>
        <v>3.8740595404166771</v>
      </c>
      <c r="AS202" s="26">
        <f>IFERROR($AC202*HDF_Limited_Col!AS202/HDF_Limited_Col!$AH202," ")</f>
        <v>0</v>
      </c>
      <c r="AT202" s="26">
        <f>IFERROR($AC202*HDF_Limited_Col!AT202/HDF_Limited_Col!$AH202," ")</f>
        <v>0</v>
      </c>
      <c r="AU202" s="26">
        <f>IFERROR($AC202*HDF_Limited_Col!AU202/HDF_Limited_Col!$AH202," ")</f>
        <v>0</v>
      </c>
      <c r="AV202" s="26">
        <f>IFERROR($AC202*HDF_Limited_Col!AV202/HDF_Limited_Col!$AH202," ")</f>
        <v>0</v>
      </c>
      <c r="AW202" s="26">
        <f>IFERROR($AC202*HDF_Limited_Col!AW202/HDF_Limited_Col!$AH202," ")</f>
        <v>0</v>
      </c>
      <c r="AX202" s="26">
        <f>IFERROR($AC202*HDF_Limited_Col!AX202/HDF_Limited_Col!$AH202," ")</f>
        <v>62.038759029172617</v>
      </c>
      <c r="AY202" s="26">
        <f>IFERROR($AC202*HDF_Limited_Col!AY202/HDF_Limited_Col!$AH202," ")</f>
        <v>308.31057175816056</v>
      </c>
      <c r="AZ202" s="26">
        <f>IFERROR($AC202*HDF_Limited_Col!AZ202/HDF_Limited_Col!$AH202," ")</f>
        <v>5.91870207563659</v>
      </c>
      <c r="BA202" s="26">
        <f>IFERROR($AC202*HDF_Limited_Col!BA202/HDF_Limited_Col!$AH202," ")</f>
        <v>41.269495381938768</v>
      </c>
      <c r="BB202" s="26">
        <f>IFERROR($AC202*HDF_Limited_Col!BB202/HDF_Limited_Col!$AH202," ")</f>
        <v>0</v>
      </c>
      <c r="BC202" s="26">
        <f>IFERROR($AC202*HDF_Limited_Col!BC202/HDF_Limited_Col!$AH202," ")</f>
        <v>166.79978576794028</v>
      </c>
      <c r="BD202" s="26">
        <f>IFERROR($AC202*HDF_Limited_Col!BD202/HDF_Limited_Col!$AH202," ")</f>
        <v>0</v>
      </c>
      <c r="BE202" s="26">
        <f>IFERROR($AC202*HDF_Limited_Col!BE202/HDF_Limited_Col!$AH202," ")</f>
        <v>0</v>
      </c>
      <c r="BF202" s="26">
        <f>IFERROR($AC202*HDF_Limited_Col!BF202/HDF_Limited_Col!$AH202," ")</f>
        <v>0</v>
      </c>
      <c r="BG202" s="26">
        <f>IFERROR($AC202*HDF_Limited_Col!BG202/HDF_Limited_Col!$AH202," ")</f>
        <v>0</v>
      </c>
      <c r="BH202" s="26">
        <f>IFERROR($AC202*HDF_Limited_Col!BH202/HDF_Limited_Col!$AH202," ")</f>
        <v>1.7218042401851901</v>
      </c>
      <c r="BI202" s="26">
        <f>IFERROR($AC202*HDF_Limited_Col!BI202/HDF_Limited_Col!$AH202," ")</f>
        <v>3298.331247604754</v>
      </c>
      <c r="BJ202" s="26">
        <f>IFERROR($AC202*HDF_Limited_Col!BJ202/HDF_Limited_Col!$AH202," ")</f>
        <v>12.752112653871562</v>
      </c>
      <c r="BK202" s="26">
        <f>IFERROR($AC202*HDF_Limited_Col!BK202/HDF_Limited_Col!$AH202," ")</f>
        <v>154.9623816166671</v>
      </c>
      <c r="BL202" s="26">
        <f>IFERROR($AC202*HDF_Limited_Col!BL202/HDF_Limited_Col!$AH202," ")</f>
        <v>160.88108369230369</v>
      </c>
      <c r="BM202" s="26">
        <f>IFERROR($AC202*HDF_Limited_Col!BM202/HDF_Limited_Col!$AH202," ")</f>
        <v>13.397789243941009</v>
      </c>
      <c r="BN202" s="26">
        <f>IFERROR($AC202*HDF_Limited_Col!BN202/HDF_Limited_Col!$AH202," ")</f>
        <v>37.180210311498939</v>
      </c>
      <c r="BO202" s="26">
        <f>IFERROR($AC202*HDF_Limited_Col!BO202/HDF_Limited_Col!$AH202," ")</f>
        <v>1.9908361527141256</v>
      </c>
      <c r="BP202" s="26">
        <f>IFERROR($AC202*HDF_Limited_Col!BP202/HDF_Limited_Col!$AH202," ")</f>
        <v>0.75328935508102057</v>
      </c>
      <c r="BQ202" s="26">
        <f>IFERROR($AC202*HDF_Limited_Col!BQ202/HDF_Limited_Col!$AH202," ")</f>
        <v>2.6365127427835722</v>
      </c>
      <c r="BR202" s="26">
        <f>IFERROR($AC202*HDF_Limited_Col!BR202/HDF_Limited_Col!$AH202," ")</f>
        <v>0.80709573758680764</v>
      </c>
      <c r="BS202" s="26">
        <f>IFERROR($AC202*HDF_Limited_Col!BS202/HDF_Limited_Col!$AH202," ")</f>
        <v>0.21522553002314876</v>
      </c>
      <c r="BT202" s="26">
        <f>IFERROR($AC202*HDF_Limited_Col!BT202/HDF_Limited_Col!$AH202," ")</f>
        <v>1.1299340326215308</v>
      </c>
      <c r="BU202" s="26">
        <f>IFERROR($AC202*HDF_Limited_Col!BU202/HDF_Limited_Col!$AH202," ")</f>
        <v>0</v>
      </c>
      <c r="BV202" s="26">
        <f>IFERROR($AC202*HDF_Limited_Col!BV202/HDF_Limited_Col!$AH202," ")</f>
        <v>1.0223212676099565</v>
      </c>
      <c r="BW202" s="26">
        <f>IFERROR($AC202*HDF_Limited_Col!BW202/HDF_Limited_Col!$AH202," ")</f>
        <v>0.43045106004629752</v>
      </c>
      <c r="BX202" s="26">
        <f>IFERROR($AC202*HDF_Limited_Col!BX202/HDF_Limited_Col!$AH202," ")</f>
        <v>0.69948297257523329</v>
      </c>
      <c r="BY202" s="26">
        <f>IFERROR($AC202*HDF_Limited_Col!BY202/HDF_Limited_Col!$AH202," ")</f>
        <v>7.9095382283507147</v>
      </c>
      <c r="BZ202" s="26">
        <f>IFERROR($AC202*HDF_Limited_Col!BZ202/HDF_Limited_Col!$AH202," ")</f>
        <v>5.5958637806018663</v>
      </c>
      <c r="CA202" s="26">
        <f>IFERROR($AC202*HDF_Limited_Col!CA202/HDF_Limited_Col!$AH202," ")</f>
        <v>11.891210533778967</v>
      </c>
      <c r="CB202" s="26">
        <f>IFERROR($AC202*HDF_Limited_Col!CB202/HDF_Limited_Col!$AH202," ")</f>
        <v>45.358780452378596</v>
      </c>
      <c r="CC202" s="26">
        <f>IFERROR($AC202*HDF_Limited_Col!CC202/HDF_Limited_Col!$AH202," ")</f>
        <v>7.3714744032928445</v>
      </c>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row>
    <row r="203" spans="1:109">
      <c r="A203" s="26" t="s">
        <v>641</v>
      </c>
      <c r="B203" s="26" t="s">
        <v>24</v>
      </c>
      <c r="C203" s="156" t="s">
        <v>541</v>
      </c>
      <c r="D203" s="26" t="s">
        <v>110</v>
      </c>
      <c r="E203" s="26" t="s">
        <v>237</v>
      </c>
      <c r="F203" s="26" t="s">
        <v>639</v>
      </c>
      <c r="G203" s="26" t="s">
        <v>640</v>
      </c>
      <c r="H203" s="30"/>
      <c r="I203" s="26" t="s">
        <v>712</v>
      </c>
      <c r="J203" s="26" t="s">
        <v>635</v>
      </c>
      <c r="K203" s="26" t="s">
        <v>642</v>
      </c>
      <c r="L203" s="26"/>
      <c r="M203" s="26" t="s">
        <v>630</v>
      </c>
      <c r="N203" s="26" t="s">
        <v>1084</v>
      </c>
      <c r="O203" s="95">
        <v>50.429098087486025</v>
      </c>
      <c r="P203" s="95">
        <v>1.370790959917775</v>
      </c>
      <c r="Q203" s="95">
        <v>11.306523975964129</v>
      </c>
      <c r="R203" s="95">
        <v>1.6409468425293068</v>
      </c>
      <c r="S203" s="95">
        <v>3.3719456459291255</v>
      </c>
      <c r="T203" s="95">
        <v>18.110449908402721</v>
      </c>
      <c r="U203" s="95">
        <v>0</v>
      </c>
      <c r="V203" s="95">
        <v>7.0240529478998379</v>
      </c>
      <c r="W203" s="95">
        <v>5.3430830116503047</v>
      </c>
      <c r="X203" s="95">
        <v>1.1706754913166397</v>
      </c>
      <c r="Y203" s="95">
        <v>0.30017320290170246</v>
      </c>
      <c r="Z203" s="95">
        <v>100.06774007399757</v>
      </c>
      <c r="AA203" s="26"/>
      <c r="AB203" s="26"/>
      <c r="AC203" s="26">
        <f t="shared" si="4"/>
        <v>44354.925301342373</v>
      </c>
      <c r="AD203" s="26">
        <f>IFERROR($AC203*HDF_Limited_Col!AD203/HDF_Limited_Col!$AH203," ")</f>
        <v>12671.128906208791</v>
      </c>
      <c r="AE203" s="26">
        <f>IFERROR($AC203*HDF_Limited_Col!AE203/HDF_Limited_Col!$AH203," ")</f>
        <v>8671.4491312409536</v>
      </c>
      <c r="AF203" s="26">
        <f>IFERROR($AC203*HDF_Limited_Col!AF203/HDF_Limited_Col!$AH203," ")</f>
        <v>6484.9176933944564</v>
      </c>
      <c r="AG203" s="26">
        <f>IFERROR($AC203*HDF_Limited_Col!AG203/HDF_Limited_Col!$AH203," ")</f>
        <v>4029.5504230258507</v>
      </c>
      <c r="AH203" s="26">
        <f>IFERROR($AC203*HDF_Limited_Col!AH203/HDF_Limited_Col!$AH203," ")</f>
        <v>44354.925301342373</v>
      </c>
      <c r="AI203" s="26">
        <f>IFERROR($AC203*HDF_Limited_Col!AI203/HDF_Limited_Col!$AH203," ")</f>
        <v>41639.683392869061</v>
      </c>
      <c r="AJ203" s="26">
        <f>IFERROR($AC203*HDF_Limited_Col!AJ203/HDF_Limited_Col!$AH203," ")</f>
        <v>4486.571338313438</v>
      </c>
      <c r="AK203" s="26">
        <f>IFERROR($AC203*HDF_Limited_Col!AK203/HDF_Limited_Col!$AH203," ")</f>
        <v>621.30947960665446</v>
      </c>
      <c r="AL203" s="26">
        <f>IFERROR($AC203*HDF_Limited_Col!AL203/HDF_Limited_Col!$AH203," ")</f>
        <v>528.71047062681669</v>
      </c>
      <c r="AM203" s="26">
        <f>IFERROR($AC203*HDF_Limited_Col!AM203/HDF_Limited_Col!$AH203," ")</f>
        <v>5633.6042237411084</v>
      </c>
      <c r="AN203" s="26">
        <f>IFERROR($AC203*HDF_Limited_Col!AN203/HDF_Limited_Col!$AH203," ")</f>
        <v>5.6754231310223249</v>
      </c>
      <c r="AO203" s="26">
        <f>IFERROR($AC203*HDF_Limited_Col!AO203/HDF_Limited_Col!$AH203," ")</f>
        <v>65.118012766466677</v>
      </c>
      <c r="AP203" s="26">
        <f>IFERROR($AC203*HDF_Limited_Col!AP203/HDF_Limited_Col!$AH203," ")</f>
        <v>325.59006383233339</v>
      </c>
      <c r="AQ203" s="26">
        <f>IFERROR($AC203*HDF_Limited_Col!AQ203/HDF_Limited_Col!$AH203," ")</f>
        <v>5.6754231310223249</v>
      </c>
      <c r="AR203" s="26">
        <f>IFERROR($AC203*HDF_Limited_Col!AR203/HDF_Limited_Col!$AH203," ")</f>
        <v>8.9611944174036715</v>
      </c>
      <c r="AS203" s="26">
        <f>IFERROR($AC203*HDF_Limited_Col!AS203/HDF_Limited_Col!$AH203," ")</f>
        <v>0</v>
      </c>
      <c r="AT203" s="26">
        <f>IFERROR($AC203*HDF_Limited_Col!AT203/HDF_Limited_Col!$AH203," ")</f>
        <v>0</v>
      </c>
      <c r="AU203" s="26">
        <f>IFERROR($AC203*HDF_Limited_Col!AU203/HDF_Limited_Col!$AH203," ")</f>
        <v>0</v>
      </c>
      <c r="AV203" s="26">
        <f>IFERROR($AC203*HDF_Limited_Col!AV203/HDF_Limited_Col!$AH203," ")</f>
        <v>0</v>
      </c>
      <c r="AW203" s="26">
        <f>IFERROR($AC203*HDF_Limited_Col!AW203/HDF_Limited_Col!$AH203," ")</f>
        <v>0</v>
      </c>
      <c r="AX203" s="26">
        <f>IFERROR($AC203*HDF_Limited_Col!AX203/HDF_Limited_Col!$AH203," ")</f>
        <v>153.83383749876302</v>
      </c>
      <c r="AY203" s="26">
        <f>IFERROR($AC203*HDF_Limited_Col!AY203/HDF_Limited_Col!$AH203," ")</f>
        <v>761.70152547931207</v>
      </c>
      <c r="AZ203" s="26">
        <f>IFERROR($AC203*HDF_Limited_Col!AZ203/HDF_Limited_Col!$AH203," ")</f>
        <v>7.1689555339229374</v>
      </c>
      <c r="BA203" s="26">
        <f>IFERROR($AC203*HDF_Limited_Col!BA203/HDF_Limited_Col!$AH203," ")</f>
        <v>149.35324029006119</v>
      </c>
      <c r="BB203" s="26">
        <f>IFERROR($AC203*HDF_Limited_Col!BB203/HDF_Limited_Col!$AH203," ")</f>
        <v>0</v>
      </c>
      <c r="BC203" s="26">
        <f>IFERROR($AC203*HDF_Limited_Col!BC203/HDF_Limited_Col!$AH203," ")</f>
        <v>324.99265087117317</v>
      </c>
      <c r="BD203" s="26">
        <f>IFERROR($AC203*HDF_Limited_Col!BD203/HDF_Limited_Col!$AH203," ")</f>
        <v>0</v>
      </c>
      <c r="BE203" s="26">
        <f>IFERROR($AC203*HDF_Limited_Col!BE203/HDF_Limited_Col!$AH203," ")</f>
        <v>0</v>
      </c>
      <c r="BF203" s="26">
        <f>IFERROR($AC203*HDF_Limited_Col!BF203/HDF_Limited_Col!$AH203," ")</f>
        <v>0</v>
      </c>
      <c r="BG203" s="26">
        <f>IFERROR($AC203*HDF_Limited_Col!BG203/HDF_Limited_Col!$AH203," ")</f>
        <v>0</v>
      </c>
      <c r="BH203" s="26">
        <f>IFERROR($AC203*HDF_Limited_Col!BH203/HDF_Limited_Col!$AH203," ")</f>
        <v>3.5844777669614687</v>
      </c>
      <c r="BI203" s="26">
        <f>IFERROR($AC203*HDF_Limited_Col!BI203/HDF_Limited_Col!$AH203," ")</f>
        <v>5388.6649096654073</v>
      </c>
      <c r="BJ203" s="26">
        <f>IFERROR($AC203*HDF_Limited_Col!BJ203/HDF_Limited_Col!$AH203," ")</f>
        <v>28.377115655111627</v>
      </c>
      <c r="BK203" s="26">
        <f>IFERROR($AC203*HDF_Limited_Col!BK203/HDF_Limited_Col!$AH203," ")</f>
        <v>242.84836871163949</v>
      </c>
      <c r="BL203" s="26">
        <f>IFERROR($AC203*HDF_Limited_Col!BL203/HDF_Limited_Col!$AH203," ")</f>
        <v>279.88797230357466</v>
      </c>
      <c r="BM203" s="26">
        <f>IFERROR($AC203*HDF_Limited_Col!BM203/HDF_Limited_Col!$AH203," ")</f>
        <v>25.987463810470647</v>
      </c>
      <c r="BN203" s="26">
        <f>IFERROR($AC203*HDF_Limited_Col!BN203/HDF_Limited_Col!$AH203," ")</f>
        <v>73.481794222710093</v>
      </c>
      <c r="BO203" s="26">
        <f>IFERROR($AC203*HDF_Limited_Col!BO203/HDF_Limited_Col!$AH203," ")</f>
        <v>11.052139781464527</v>
      </c>
      <c r="BP203" s="26">
        <f>IFERROR($AC203*HDF_Limited_Col!BP203/HDF_Limited_Col!$AH203," ")</f>
        <v>1.7922388834807343</v>
      </c>
      <c r="BQ203" s="26">
        <f>IFERROR($AC203*HDF_Limited_Col!BQ203/HDF_Limited_Col!$AH203," ")</f>
        <v>5.3767166504422015</v>
      </c>
      <c r="BR203" s="26">
        <f>IFERROR($AC203*HDF_Limited_Col!BR203/HDF_Limited_Col!$AH203," ")</f>
        <v>3.5844777669614687</v>
      </c>
      <c r="BS203" s="26">
        <f>IFERROR($AC203*HDF_Limited_Col!BS203/HDF_Limited_Col!$AH203," ")</f>
        <v>1.1948259223204896</v>
      </c>
      <c r="BT203" s="26">
        <f>IFERROR($AC203*HDF_Limited_Col!BT203/HDF_Limited_Col!$AH203," ")</f>
        <v>3.8831842475415903</v>
      </c>
      <c r="BU203" s="26">
        <f>IFERROR($AC203*HDF_Limited_Col!BU203/HDF_Limited_Col!$AH203," ")</f>
        <v>0</v>
      </c>
      <c r="BV203" s="26">
        <f>IFERROR($AC203*HDF_Limited_Col!BV203/HDF_Limited_Col!$AH203," ")</f>
        <v>5.0780101698620808</v>
      </c>
      <c r="BW203" s="26">
        <f>IFERROR($AC203*HDF_Limited_Col!BW203/HDF_Limited_Col!$AH203," ")</f>
        <v>1.1948259223204896</v>
      </c>
      <c r="BX203" s="26">
        <f>IFERROR($AC203*HDF_Limited_Col!BX203/HDF_Limited_Col!$AH203," ")</f>
        <v>4.4805972087018358</v>
      </c>
      <c r="BY203" s="26">
        <f>IFERROR($AC203*HDF_Limited_Col!BY203/HDF_Limited_Col!$AH203," ")</f>
        <v>8.3637814562434265</v>
      </c>
      <c r="BZ203" s="26">
        <f>IFERROR($AC203*HDF_Limited_Col!BZ203/HDF_Limited_Col!$AH203," ")</f>
        <v>11.35084626204465</v>
      </c>
      <c r="CA203" s="26">
        <f>IFERROR($AC203*HDF_Limited_Col!CA203/HDF_Limited_Col!$AH203," ")</f>
        <v>24.493931407570035</v>
      </c>
      <c r="CB203" s="26">
        <f>IFERROR($AC203*HDF_Limited_Col!CB203/HDF_Limited_Col!$AH203," ")</f>
        <v>51.377514659781042</v>
      </c>
      <c r="CC203" s="26">
        <f>IFERROR($AC203*HDF_Limited_Col!CC203/HDF_Limited_Col!$AH203," ")</f>
        <v>8.065074975663304</v>
      </c>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row>
    <row r="204" spans="1:109">
      <c r="A204" s="26" t="s">
        <v>641</v>
      </c>
      <c r="B204" s="26" t="s">
        <v>24</v>
      </c>
      <c r="C204" s="156" t="s">
        <v>541</v>
      </c>
      <c r="D204" s="26" t="s">
        <v>110</v>
      </c>
      <c r="E204" s="26" t="s">
        <v>237</v>
      </c>
      <c r="F204" s="26" t="s">
        <v>639</v>
      </c>
      <c r="G204" s="26" t="s">
        <v>640</v>
      </c>
      <c r="H204" s="30"/>
      <c r="I204" s="26" t="s">
        <v>712</v>
      </c>
      <c r="J204" s="26" t="s">
        <v>635</v>
      </c>
      <c r="K204" s="26" t="s">
        <v>642</v>
      </c>
      <c r="L204" s="26"/>
      <c r="M204" s="26" t="s">
        <v>629</v>
      </c>
      <c r="N204" s="26" t="s">
        <v>1084</v>
      </c>
      <c r="O204" s="95">
        <v>45.631526923018164</v>
      </c>
      <c r="P204" s="95">
        <v>2.6877470803008503</v>
      </c>
      <c r="Q204" s="95">
        <v>9.9687335739516598</v>
      </c>
      <c r="R204" s="95">
        <v>5.1749160202807412</v>
      </c>
      <c r="S204" s="95">
        <v>5.1548582062486448</v>
      </c>
      <c r="T204" s="95">
        <v>20.158103102256376</v>
      </c>
      <c r="U204" s="95">
        <v>0</v>
      </c>
      <c r="V204" s="95">
        <v>5.7265059061633785</v>
      </c>
      <c r="W204" s="95">
        <v>3.3797416644081584</v>
      </c>
      <c r="X204" s="95">
        <v>1.2636422840220416</v>
      </c>
      <c r="Y204" s="95">
        <v>1.1031797717652745</v>
      </c>
      <c r="Z204" s="95">
        <v>100.24895453241528</v>
      </c>
      <c r="AA204" s="26"/>
      <c r="AB204" s="26"/>
      <c r="AC204" s="26">
        <f t="shared" si="4"/>
        <v>28056.496359085504</v>
      </c>
      <c r="AD204" s="26">
        <f>IFERROR($AC204*HDF_Limited_Col!AD204/HDF_Limited_Col!$AH204," ")</f>
        <v>6645.2914971856444</v>
      </c>
      <c r="AE204" s="26">
        <f>IFERROR($AC204*HDF_Limited_Col!AE204/HDF_Limited_Col!$AH204," ")</f>
        <v>6380.4886102010169</v>
      </c>
      <c r="AF204" s="26">
        <f>IFERROR($AC204*HDF_Limited_Col!AF204/HDF_Limited_Col!$AH204," ")</f>
        <v>8700.6662866377519</v>
      </c>
      <c r="AG204" s="26">
        <f>IFERROR($AC204*HDF_Limited_Col!AG204/HDF_Limited_Col!$AH204," ")</f>
        <v>7174.8972711548995</v>
      </c>
      <c r="AH204" s="26">
        <f>IFERROR($AC204*HDF_Limited_Col!AH204/HDF_Limited_Col!$AH204," ")</f>
        <v>28056.4963590855</v>
      </c>
      <c r="AI204" s="26">
        <f>IFERROR($AC204*HDF_Limited_Col!AI204/HDF_Limited_Col!$AH204," ")</f>
        <v>27072.942778856886</v>
      </c>
      <c r="AJ204" s="26">
        <f>IFERROR($AC204*HDF_Limited_Col!AJ204/HDF_Limited_Col!$AH204," ")</f>
        <v>6683.1204810405916</v>
      </c>
      <c r="AK204" s="26">
        <f>IFERROR($AC204*HDF_Limited_Col!AK204/HDF_Limited_Col!$AH204," ")</f>
        <v>2055.3747894521061</v>
      </c>
      <c r="AL204" s="26">
        <f>IFERROR($AC204*HDF_Limited_Col!AL204/HDF_Limited_Col!$AH204," ")</f>
        <v>229.4958353866769</v>
      </c>
      <c r="AM204" s="26">
        <f>IFERROR($AC204*HDF_Limited_Col!AM204/HDF_Limited_Col!$AH204," ")</f>
        <v>6783.9977713204498</v>
      </c>
      <c r="AN204" s="26">
        <f>IFERROR($AC204*HDF_Limited_Col!AN204/HDF_Limited_Col!$AH204," ")</f>
        <v>27.741254826960944</v>
      </c>
      <c r="AO204" s="26">
        <f>IFERROR($AC204*HDF_Limited_Col!AO204/HDF_Limited_Col!$AH204," ")</f>
        <v>55.482509653921888</v>
      </c>
      <c r="AP204" s="26">
        <f>IFERROR($AC204*HDF_Limited_Col!AP204/HDF_Limited_Col!$AH204," ")</f>
        <v>580.04441910918354</v>
      </c>
      <c r="AQ204" s="26">
        <f>IFERROR($AC204*HDF_Limited_Col!AQ204/HDF_Limited_Col!$AH204," ")</f>
        <v>8.8267628994875746</v>
      </c>
      <c r="AR204" s="26">
        <f>IFERROR($AC204*HDF_Limited_Col!AR204/HDF_Limited_Col!$AH204," ")</f>
        <v>15.131593541978699</v>
      </c>
      <c r="AS204" s="26">
        <f>IFERROR($AC204*HDF_Limited_Col!AS204/HDF_Limited_Col!$AH204," ")</f>
        <v>0</v>
      </c>
      <c r="AT204" s="26">
        <f>IFERROR($AC204*HDF_Limited_Col!AT204/HDF_Limited_Col!$AH204," ")</f>
        <v>0</v>
      </c>
      <c r="AU204" s="26">
        <f>IFERROR($AC204*HDF_Limited_Col!AU204/HDF_Limited_Col!$AH204," ")</f>
        <v>0</v>
      </c>
      <c r="AV204" s="26">
        <f>IFERROR($AC204*HDF_Limited_Col!AV204/HDF_Limited_Col!$AH204," ")</f>
        <v>0</v>
      </c>
      <c r="AW204" s="26">
        <f>IFERROR($AC204*HDF_Limited_Col!AW204/HDF_Limited_Col!$AH204," ")</f>
        <v>0</v>
      </c>
      <c r="AX204" s="26">
        <f>IFERROR($AC204*HDF_Limited_Col!AX204/HDF_Limited_Col!$AH204," ")</f>
        <v>95.833425765865087</v>
      </c>
      <c r="AY204" s="26">
        <f>IFERROR($AC204*HDF_Limited_Col!AY204/HDF_Limited_Col!$AH204," ")</f>
        <v>392.16046596294791</v>
      </c>
      <c r="AZ204" s="26">
        <f>IFERROR($AC204*HDF_Limited_Col!AZ204/HDF_Limited_Col!$AH204," ")</f>
        <v>6.3048306424911242</v>
      </c>
      <c r="BA204" s="26">
        <f>IFERROR($AC204*HDF_Limited_Col!BA204/HDF_Limited_Col!$AH204," ")</f>
        <v>132.4014434923136</v>
      </c>
      <c r="BB204" s="26">
        <f>IFERROR($AC204*HDF_Limited_Col!BB204/HDF_Limited_Col!$AH204," ")</f>
        <v>0</v>
      </c>
      <c r="BC204" s="26">
        <f>IFERROR($AC204*HDF_Limited_Col!BC204/HDF_Limited_Col!$AH204," ")</f>
        <v>224.451970872684</v>
      </c>
      <c r="BD204" s="26">
        <f>IFERROR($AC204*HDF_Limited_Col!BD204/HDF_Limited_Col!$AH204," ")</f>
        <v>0</v>
      </c>
      <c r="BE204" s="26">
        <f>IFERROR($AC204*HDF_Limited_Col!BE204/HDF_Limited_Col!$AH204," ")</f>
        <v>0</v>
      </c>
      <c r="BF204" s="26">
        <f>IFERROR($AC204*HDF_Limited_Col!BF204/HDF_Limited_Col!$AH204," ")</f>
        <v>0</v>
      </c>
      <c r="BG204" s="26">
        <f>IFERROR($AC204*HDF_Limited_Col!BG204/HDF_Limited_Col!$AH204," ")</f>
        <v>0</v>
      </c>
      <c r="BH204" s="26">
        <f>IFERROR($AC204*HDF_Limited_Col!BH204/HDF_Limited_Col!$AH204," ")</f>
        <v>6.3048306424911242</v>
      </c>
      <c r="BI204" s="26">
        <f>IFERROR($AC204*HDF_Limited_Col!BI204/HDF_Limited_Col!$AH204," ")</f>
        <v>3467.6568533701188</v>
      </c>
      <c r="BJ204" s="26">
        <f>IFERROR($AC204*HDF_Limited_Col!BJ204/HDF_Limited_Col!$AH204," ")</f>
        <v>34.046085469452073</v>
      </c>
      <c r="BK204" s="26">
        <f>IFERROR($AC204*HDF_Limited_Col!BK204/HDF_Limited_Col!$AH204," ")</f>
        <v>132.4014434923136</v>
      </c>
      <c r="BL204" s="26">
        <f>IFERROR($AC204*HDF_Limited_Col!BL204/HDF_Limited_Col!$AH204," ")</f>
        <v>166.4475289617657</v>
      </c>
      <c r="BM204" s="26">
        <f>IFERROR($AC204*HDF_Limited_Col!BM204/HDF_Limited_Col!$AH204," ")</f>
        <v>18.914491927473374</v>
      </c>
      <c r="BN204" s="26">
        <f>IFERROR($AC204*HDF_Limited_Col!BN204/HDF_Limited_Col!$AH204," ")</f>
        <v>47.916712882932543</v>
      </c>
      <c r="BO204" s="26">
        <f>IFERROR($AC204*HDF_Limited_Col!BO204/HDF_Limited_Col!$AH204," ")</f>
        <v>21.436424184469825</v>
      </c>
      <c r="BP204" s="26">
        <f>IFERROR($AC204*HDF_Limited_Col!BP204/HDF_Limited_Col!$AH204," ")</f>
        <v>6.3048306424911242</v>
      </c>
      <c r="BQ204" s="26">
        <f>IFERROR($AC204*HDF_Limited_Col!BQ204/HDF_Limited_Col!$AH204," ")</f>
        <v>21.436424184469825</v>
      </c>
      <c r="BR204" s="26">
        <f>IFERROR($AC204*HDF_Limited_Col!BR204/HDF_Limited_Col!$AH204," ")</f>
        <v>13.870627413480472</v>
      </c>
      <c r="BS204" s="26">
        <f>IFERROR($AC204*HDF_Limited_Col!BS204/HDF_Limited_Col!$AH204," ")</f>
        <v>3.7828983854946747</v>
      </c>
      <c r="BT204" s="26">
        <f>IFERROR($AC204*HDF_Limited_Col!BT204/HDF_Limited_Col!$AH204," ")</f>
        <v>17.653525798975149</v>
      </c>
      <c r="BU204" s="26">
        <f>IFERROR($AC204*HDF_Limited_Col!BU204/HDF_Limited_Col!$AH204," ")</f>
        <v>0</v>
      </c>
      <c r="BV204" s="26">
        <f>IFERROR($AC204*HDF_Limited_Col!BV204/HDF_Limited_Col!$AH204," ")</f>
        <v>18.914491927473374</v>
      </c>
      <c r="BW204" s="26">
        <f>IFERROR($AC204*HDF_Limited_Col!BW204/HDF_Limited_Col!$AH204," ")</f>
        <v>3.7828983854946747</v>
      </c>
      <c r="BX204" s="26">
        <f>IFERROR($AC204*HDF_Limited_Col!BX204/HDF_Limited_Col!$AH204," ")</f>
        <v>12.609661284982248</v>
      </c>
      <c r="BY204" s="26">
        <f>IFERROR($AC204*HDF_Limited_Col!BY204/HDF_Limited_Col!$AH204," ")</f>
        <v>10.0877290279858</v>
      </c>
      <c r="BZ204" s="26">
        <f>IFERROR($AC204*HDF_Limited_Col!BZ204/HDF_Limited_Col!$AH204," ")</f>
        <v>25.219322569964497</v>
      </c>
      <c r="CA204" s="26">
        <f>IFERROR($AC204*HDF_Limited_Col!CA204/HDF_Limited_Col!$AH204," ")</f>
        <v>20.1754580559716</v>
      </c>
      <c r="CB204" s="26">
        <f>IFERROR($AC204*HDF_Limited_Col!CB204/HDF_Limited_Col!$AH204," ")</f>
        <v>36.568017726448524</v>
      </c>
      <c r="CC204" s="26">
        <f>IFERROR($AC204*HDF_Limited_Col!CC204/HDF_Limited_Col!$AH204," ")</f>
        <v>6.3048306424911242</v>
      </c>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row>
    <row r="205" spans="1:109">
      <c r="A205" s="26" t="s">
        <v>641</v>
      </c>
      <c r="B205" s="26" t="s">
        <v>24</v>
      </c>
      <c r="C205" s="156" t="s">
        <v>541</v>
      </c>
      <c r="D205" s="26" t="s">
        <v>110</v>
      </c>
      <c r="E205" s="26" t="s">
        <v>237</v>
      </c>
      <c r="F205" s="26" t="s">
        <v>639</v>
      </c>
      <c r="G205" s="26" t="s">
        <v>640</v>
      </c>
      <c r="H205" s="30"/>
      <c r="I205" s="26" t="s">
        <v>712</v>
      </c>
      <c r="J205" s="26" t="s">
        <v>635</v>
      </c>
      <c r="K205" s="26" t="s">
        <v>642</v>
      </c>
      <c r="L205" s="26"/>
      <c r="M205" s="26" t="s">
        <v>631</v>
      </c>
      <c r="N205" s="26" t="s">
        <v>1084</v>
      </c>
      <c r="O205" s="95">
        <v>60.595748119348528</v>
      </c>
      <c r="P205" s="95">
        <v>4.8877231540896</v>
      </c>
      <c r="Q205" s="95">
        <v>12.519782669286887</v>
      </c>
      <c r="R205" s="95">
        <v>1.9130227918670362</v>
      </c>
      <c r="S205" s="95">
        <v>1.7527695737001641</v>
      </c>
      <c r="T205" s="95">
        <v>8.7838795207716789</v>
      </c>
      <c r="U205" s="95">
        <v>0</v>
      </c>
      <c r="V205" s="95">
        <v>3.1249377542540069</v>
      </c>
      <c r="W205" s="95">
        <v>5.3384353301839287</v>
      </c>
      <c r="X205" s="95">
        <v>0.78123443856350172</v>
      </c>
      <c r="Y205" s="95">
        <v>0.39061721928175086</v>
      </c>
      <c r="Z205" s="95">
        <v>100.08815057134707</v>
      </c>
      <c r="AA205" s="26"/>
      <c r="AB205" s="26"/>
      <c r="AC205" s="26">
        <f t="shared" si="4"/>
        <v>44316.34316368588</v>
      </c>
      <c r="AD205" s="26">
        <f>IFERROR($AC205*HDF_Limited_Col!AD205/HDF_Limited_Col!$AH205," ")</f>
        <v>14784.772583600432</v>
      </c>
      <c r="AE205" s="26">
        <f>IFERROR($AC205*HDF_Limited_Col!AE205/HDF_Limited_Col!$AH205," ")</f>
        <v>6025.3011556453812</v>
      </c>
      <c r="AF205" s="26">
        <f>IFERROR($AC205*HDF_Limited_Col!AF205/HDF_Limited_Col!$AH205," ")</f>
        <v>34898.645559063691</v>
      </c>
      <c r="AG205" s="26">
        <f>IFERROR($AC205*HDF_Limited_Col!AG205/HDF_Limited_Col!$AH205," ")</f>
        <v>7164.538769107744</v>
      </c>
      <c r="AH205" s="26">
        <f>IFERROR($AC205*HDF_Limited_Col!AH205/HDF_Limited_Col!$AH205," ")</f>
        <v>44316.34316368588</v>
      </c>
      <c r="AI205" s="26">
        <f>IFERROR($AC205*HDF_Limited_Col!AI205/HDF_Limited_Col!$AH205," ")</f>
        <v>54202.394009398158</v>
      </c>
      <c r="AJ205" s="26">
        <f>IFERROR($AC205*HDF_Limited_Col!AJ205/HDF_Limited_Col!$AH205," ")</f>
        <v>8822.7624064807369</v>
      </c>
      <c r="AK205" s="26">
        <f>IFERROR($AC205*HDF_Limited_Col!AK205/HDF_Limited_Col!$AH205," ")</f>
        <v>2139.235074168213</v>
      </c>
      <c r="AL205" s="26">
        <f>IFERROR($AC205*HDF_Limited_Col!AL205/HDF_Limited_Col!$AH205," ")</f>
        <v>578.47954372477716</v>
      </c>
      <c r="AM205" s="26">
        <f>IFERROR($AC205*HDF_Limited_Col!AM205/HDF_Limited_Col!$AH205," ")</f>
        <v>8101.2452512879072</v>
      </c>
      <c r="AN205" s="26">
        <f>IFERROR($AC205*HDF_Limited_Col!AN205/HDF_Limited_Col!$AH205," ")</f>
        <v>82.278272083392821</v>
      </c>
      <c r="AO205" s="26">
        <f>IFERROR($AC205*HDF_Limited_Col!AO205/HDF_Limited_Col!$AH205," ")</f>
        <v>148.10088975010709</v>
      </c>
      <c r="AP205" s="26">
        <f>IFERROR($AC205*HDF_Limited_Col!AP205/HDF_Limited_Col!$AH205," ")</f>
        <v>1392.4015275651091</v>
      </c>
      <c r="AQ205" s="26">
        <f>IFERROR($AC205*HDF_Limited_Col!AQ205/HDF_Limited_Col!$AH205," ")</f>
        <v>12.658195705137357</v>
      </c>
      <c r="AR205" s="26">
        <f>IFERROR($AC205*HDF_Limited_Col!AR205/HDF_Limited_Col!$AH205," ")</f>
        <v>25.316391410274715</v>
      </c>
      <c r="AS205" s="26">
        <f>IFERROR($AC205*HDF_Limited_Col!AS205/HDF_Limited_Col!$AH205," ")</f>
        <v>0</v>
      </c>
      <c r="AT205" s="26">
        <f>IFERROR($AC205*HDF_Limited_Col!AT205/HDF_Limited_Col!$AH205," ")</f>
        <v>0</v>
      </c>
      <c r="AU205" s="26">
        <f>IFERROR($AC205*HDF_Limited_Col!AU205/HDF_Limited_Col!$AH205," ")</f>
        <v>0</v>
      </c>
      <c r="AV205" s="26">
        <f>IFERROR($AC205*HDF_Limited_Col!AV205/HDF_Limited_Col!$AH205," ")</f>
        <v>0</v>
      </c>
      <c r="AW205" s="26">
        <f>IFERROR($AC205*HDF_Limited_Col!AW205/HDF_Limited_Col!$AH205," ")</f>
        <v>0</v>
      </c>
      <c r="AX205" s="26">
        <f>IFERROR($AC205*HDF_Limited_Col!AX205/HDF_Limited_Col!$AH205," ")</f>
        <v>124.05031791034608</v>
      </c>
      <c r="AY205" s="26">
        <f>IFERROR($AC205*HDF_Limited_Col!AY205/HDF_Limited_Col!$AH205," ")</f>
        <v>707.59313991717829</v>
      </c>
      <c r="AZ205" s="26">
        <f>IFERROR($AC205*HDF_Limited_Col!AZ205/HDF_Limited_Col!$AH205," ")</f>
        <v>12.658195705137357</v>
      </c>
      <c r="BA205" s="26">
        <f>IFERROR($AC205*HDF_Limited_Col!BA205/HDF_Limited_Col!$AH205," ")</f>
        <v>605.06175470556559</v>
      </c>
      <c r="BB205" s="26">
        <f>IFERROR($AC205*HDF_Limited_Col!BB205/HDF_Limited_Col!$AH205," ")</f>
        <v>0</v>
      </c>
      <c r="BC205" s="26">
        <f>IFERROR($AC205*HDF_Limited_Col!BC205/HDF_Limited_Col!$AH205," ")</f>
        <v>273.41702723096688</v>
      </c>
      <c r="BD205" s="26">
        <f>IFERROR($AC205*HDF_Limited_Col!BD205/HDF_Limited_Col!$AH205," ")</f>
        <v>0</v>
      </c>
      <c r="BE205" s="26">
        <f>IFERROR($AC205*HDF_Limited_Col!BE205/HDF_Limited_Col!$AH205," ")</f>
        <v>0</v>
      </c>
      <c r="BF205" s="26">
        <f>IFERROR($AC205*HDF_Limited_Col!BF205/HDF_Limited_Col!$AH205," ")</f>
        <v>0</v>
      </c>
      <c r="BG205" s="26">
        <f>IFERROR($AC205*HDF_Limited_Col!BG205/HDF_Limited_Col!$AH205," ")</f>
        <v>0</v>
      </c>
      <c r="BH205" s="26">
        <f>IFERROR($AC205*HDF_Limited_Col!BH205/HDF_Limited_Col!$AH205," ")</f>
        <v>5.0632782820549425</v>
      </c>
      <c r="BI205" s="26">
        <f>IFERROR($AC205*HDF_Limited_Col!BI205/HDF_Limited_Col!$AH205," ")</f>
        <v>2797.4612508353557</v>
      </c>
      <c r="BJ205" s="26">
        <f>IFERROR($AC205*HDF_Limited_Col!BJ205/HDF_Limited_Col!$AH205," ")</f>
        <v>58.227700243631837</v>
      </c>
      <c r="BK205" s="26">
        <f>IFERROR($AC205*HDF_Limited_Col!BK205/HDF_Limited_Col!$AH205," ")</f>
        <v>112.65794177572246</v>
      </c>
      <c r="BL205" s="26">
        <f>IFERROR($AC205*HDF_Limited_Col!BL205/HDF_Limited_Col!$AH205," ")</f>
        <v>135.44269404496973</v>
      </c>
      <c r="BM205" s="26">
        <f>IFERROR($AC205*HDF_Limited_Col!BM205/HDF_Limited_Col!$AH205," ")</f>
        <v>16.455654416678563</v>
      </c>
      <c r="BN205" s="26">
        <f>IFERROR($AC205*HDF_Limited_Col!BN205/HDF_Limited_Col!$AH205," ")</f>
        <v>56.961880673118102</v>
      </c>
      <c r="BO205" s="26">
        <f>IFERROR($AC205*HDF_Limited_Col!BO205/HDF_Limited_Col!$AH205," ")</f>
        <v>31.645489262843387</v>
      </c>
      <c r="BP205" s="26">
        <f>IFERROR($AC205*HDF_Limited_Col!BP205/HDF_Limited_Col!$AH205," ")</f>
        <v>10.126556564109885</v>
      </c>
      <c r="BQ205" s="26">
        <f>IFERROR($AC205*HDF_Limited_Col!BQ205/HDF_Limited_Col!$AH205," ")</f>
        <v>31.645489262843387</v>
      </c>
      <c r="BR205" s="26">
        <f>IFERROR($AC205*HDF_Limited_Col!BR205/HDF_Limited_Col!$AH205," ")</f>
        <v>20.25311312821977</v>
      </c>
      <c r="BS205" s="26">
        <f>IFERROR($AC205*HDF_Limited_Col!BS205/HDF_Limited_Col!$AH205," ")</f>
        <v>3.7974587115412066</v>
      </c>
      <c r="BT205" s="26">
        <f>IFERROR($AC205*HDF_Limited_Col!BT205/HDF_Limited_Col!$AH205," ")</f>
        <v>21.518932698733504</v>
      </c>
      <c r="BU205" s="26">
        <f>IFERROR($AC205*HDF_Limited_Col!BU205/HDF_Limited_Col!$AH205," ")</f>
        <v>0</v>
      </c>
      <c r="BV205" s="26">
        <f>IFERROR($AC205*HDF_Limited_Col!BV205/HDF_Limited_Col!$AH205," ")</f>
        <v>24.050571839760977</v>
      </c>
      <c r="BW205" s="26">
        <f>IFERROR($AC205*HDF_Limited_Col!BW205/HDF_Limited_Col!$AH205," ")</f>
        <v>5.0632782820549425</v>
      </c>
      <c r="BX205" s="26">
        <f>IFERROR($AC205*HDF_Limited_Col!BX205/HDF_Limited_Col!$AH205," ")</f>
        <v>26.582210980788449</v>
      </c>
      <c r="BY205" s="26">
        <f>IFERROR($AC205*HDF_Limited_Col!BY205/HDF_Limited_Col!$AH205," ")</f>
        <v>20.25311312821977</v>
      </c>
      <c r="BZ205" s="26">
        <f>IFERROR($AC205*HDF_Limited_Col!BZ205/HDF_Limited_Col!$AH205," ")</f>
        <v>35.442947974384595</v>
      </c>
      <c r="CA205" s="26">
        <f>IFERROR($AC205*HDF_Limited_Col!CA205/HDF_Limited_Col!$AH205," ")</f>
        <v>41.772045826953274</v>
      </c>
      <c r="CB205" s="26">
        <f>IFERROR($AC205*HDF_Limited_Col!CB205/HDF_Limited_Col!$AH205," ")</f>
        <v>16.455654416678563</v>
      </c>
      <c r="CC205" s="26">
        <f>IFERROR($AC205*HDF_Limited_Col!CC205/HDF_Limited_Col!$AH205," ")</f>
        <v>7.5949174230824132</v>
      </c>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row>
    <row r="206" spans="1:109">
      <c r="A206" s="26" t="s">
        <v>641</v>
      </c>
      <c r="B206" s="26" t="s">
        <v>24</v>
      </c>
      <c r="C206" s="156" t="s">
        <v>541</v>
      </c>
      <c r="D206" s="26" t="s">
        <v>110</v>
      </c>
      <c r="E206" s="26" t="s">
        <v>237</v>
      </c>
      <c r="F206" s="26" t="s">
        <v>639</v>
      </c>
      <c r="G206" s="26" t="s">
        <v>640</v>
      </c>
      <c r="H206" s="30"/>
      <c r="I206" s="26" t="s">
        <v>712</v>
      </c>
      <c r="J206" s="26" t="s">
        <v>635</v>
      </c>
      <c r="K206" s="26" t="s">
        <v>642</v>
      </c>
      <c r="L206" s="26"/>
      <c r="M206" s="26" t="s">
        <v>627</v>
      </c>
      <c r="N206" s="26" t="s">
        <v>1084</v>
      </c>
      <c r="O206" s="95">
        <v>49.729837902741657</v>
      </c>
      <c r="P206" s="95">
        <v>0.24014408645187119</v>
      </c>
      <c r="Q206" s="95">
        <v>11.206724034420654</v>
      </c>
      <c r="R206" s="95">
        <v>3.7222333400040033</v>
      </c>
      <c r="S206" s="95">
        <v>11.106663998399041</v>
      </c>
      <c r="T206" s="95">
        <v>12.007204322593559</v>
      </c>
      <c r="U206" s="95">
        <v>0</v>
      </c>
      <c r="V206" s="95">
        <v>10.606363818290976</v>
      </c>
      <c r="W206" s="95">
        <v>0.85051030618371026</v>
      </c>
      <c r="X206" s="95">
        <v>0.5303181909145489</v>
      </c>
      <c r="Y206" s="95">
        <v>0</v>
      </c>
      <c r="Z206" s="95">
        <v>100</v>
      </c>
      <c r="AA206" s="26"/>
      <c r="AB206" s="26"/>
      <c r="AC206" s="26">
        <f t="shared" si="4"/>
        <v>7060.403332035914</v>
      </c>
      <c r="AD206" s="26">
        <f>IFERROR($AC206*HDF_Limited_Col!AD206/HDF_Limited_Col!$AH206," ")</f>
        <v>8571.278889395091</v>
      </c>
      <c r="AE206" s="26">
        <f>IFERROR($AC206*HDF_Limited_Col!AE206/HDF_Limited_Col!$AH206," ")</f>
        <v>8551.6199928597798</v>
      </c>
      <c r="AF206" s="26">
        <f>IFERROR($AC206*HDF_Limited_Col!AF206/HDF_Limited_Col!$AH206," ")</f>
        <v>7164.4167664318256</v>
      </c>
      <c r="AG206" s="26">
        <f>IFERROR($AC206*HDF_Limited_Col!AG206/HDF_Limited_Col!$AH206," ")</f>
        <v>731.31095111352602</v>
      </c>
      <c r="AH206" s="26">
        <f>IFERROR($AC206*HDF_Limited_Col!AH206/HDF_Limited_Col!$AH206," ")</f>
        <v>7060.403332035914</v>
      </c>
      <c r="AI206" s="26">
        <f>IFERROR($AC206*HDF_Limited_Col!AI206/HDF_Limited_Col!$AH206," ")</f>
        <v>15325.360869962631</v>
      </c>
      <c r="AJ206" s="26">
        <f>IFERROR($AC206*HDF_Limited_Col!AJ206/HDF_Limited_Col!$AH206," ")</f>
        <v>969.71975091446541</v>
      </c>
      <c r="AK206" s="26">
        <f>IFERROR($AC206*HDF_Limited_Col!AK206/HDF_Limited_Col!$AH206," ")</f>
        <v>88.643751650124358</v>
      </c>
      <c r="AL206" s="26">
        <f>IFERROR($AC206*HDF_Limited_Col!AL206/HDF_Limited_Col!$AH206," ")</f>
        <v>183.00645501961159</v>
      </c>
      <c r="AM206" s="26">
        <f>IFERROR($AC206*HDF_Limited_Col!AM206/HDF_Limited_Col!$AH206," ")</f>
        <v>4126.9385344852253</v>
      </c>
      <c r="AN206" s="26">
        <f>IFERROR($AC206*HDF_Limited_Col!AN206/HDF_Limited_Col!$AH206," ")</f>
        <v>2.1088634465150555</v>
      </c>
      <c r="AO206" s="26">
        <f>IFERROR($AC206*HDF_Limited_Col!AO206/HDF_Limited_Col!$AH206," ")</f>
        <v>8.1495062000920804</v>
      </c>
      <c r="AP206" s="26">
        <f>IFERROR($AC206*HDF_Limited_Col!AP206/HDF_Limited_Col!$AH206," ")</f>
        <v>80.780193036000426</v>
      </c>
      <c r="AQ206" s="26">
        <f>IFERROR($AC206*HDF_Limited_Col!AQ206/HDF_Limited_Col!$AH206," ")</f>
        <v>2.645015170205324</v>
      </c>
      <c r="AR206" s="26">
        <f>IFERROR($AC206*HDF_Limited_Col!AR206/HDF_Limited_Col!$AH206," ")</f>
        <v>2.7879889631893957</v>
      </c>
      <c r="AS206" s="26">
        <f>IFERROR($AC206*HDF_Limited_Col!AS206/HDF_Limited_Col!$AH206," ")</f>
        <v>0</v>
      </c>
      <c r="AT206" s="26">
        <f>IFERROR($AC206*HDF_Limited_Col!AT206/HDF_Limited_Col!$AH206," ")</f>
        <v>0</v>
      </c>
      <c r="AU206" s="26">
        <f>IFERROR($AC206*HDF_Limited_Col!AU206/HDF_Limited_Col!$AH206," ")</f>
        <v>0</v>
      </c>
      <c r="AV206" s="26">
        <f>IFERROR($AC206*HDF_Limited_Col!AV206/HDF_Limited_Col!$AH206," ")</f>
        <v>0</v>
      </c>
      <c r="AW206" s="26">
        <f>IFERROR($AC206*HDF_Limited_Col!AW206/HDF_Limited_Col!$AH206," ")</f>
        <v>0</v>
      </c>
      <c r="AX206" s="26">
        <f>IFERROR($AC206*HDF_Limited_Col!AX206/HDF_Limited_Col!$AH206," ")</f>
        <v>26.736099288021382</v>
      </c>
      <c r="AY206" s="26">
        <f>IFERROR($AC206*HDF_Limited_Col!AY206/HDF_Limited_Col!$AH206," ")</f>
        <v>201.59304810754091</v>
      </c>
      <c r="AZ206" s="26">
        <f>IFERROR($AC206*HDF_Limited_Col!AZ206/HDF_Limited_Col!$AH206," ")</f>
        <v>1.8229158605469125</v>
      </c>
      <c r="BA206" s="26">
        <f>IFERROR($AC206*HDF_Limited_Col!BA206/HDF_Limited_Col!$AH206," ")</f>
        <v>12.83189792032042</v>
      </c>
      <c r="BB206" s="26">
        <f>IFERROR($AC206*HDF_Limited_Col!BB206/HDF_Limited_Col!$AH206," ")</f>
        <v>0</v>
      </c>
      <c r="BC206" s="26">
        <f>IFERROR($AC206*HDF_Limited_Col!BC206/HDF_Limited_Col!$AH206," ")</f>
        <v>49.147241338274604</v>
      </c>
      <c r="BD206" s="26">
        <f>IFERROR($AC206*HDF_Limited_Col!BD206/HDF_Limited_Col!$AH206," ")</f>
        <v>0</v>
      </c>
      <c r="BE206" s="26">
        <f>IFERROR($AC206*HDF_Limited_Col!BE206/HDF_Limited_Col!$AH206," ")</f>
        <v>0</v>
      </c>
      <c r="BF206" s="26">
        <f>IFERROR($AC206*HDF_Limited_Col!BF206/HDF_Limited_Col!$AH206," ")</f>
        <v>0</v>
      </c>
      <c r="BG206" s="26">
        <f>IFERROR($AC206*HDF_Limited_Col!BG206/HDF_Limited_Col!$AH206," ")</f>
        <v>0</v>
      </c>
      <c r="BH206" s="26">
        <f>IFERROR($AC206*HDF_Limited_Col!BH206/HDF_Limited_Col!$AH206," ")</f>
        <v>0.64338206842832191</v>
      </c>
      <c r="BI206" s="26">
        <f>IFERROR($AC206*HDF_Limited_Col!BI206/HDF_Limited_Col!$AH206," ")</f>
        <v>1061.5804129067312</v>
      </c>
      <c r="BJ206" s="26">
        <f>IFERROR($AC206*HDF_Limited_Col!BJ206/HDF_Limited_Col!$AH206," ")</f>
        <v>30.024496526655025</v>
      </c>
      <c r="BK206" s="26">
        <f>IFERROR($AC206*HDF_Limited_Col!BK206/HDF_Limited_Col!$AH206," ")</f>
        <v>60.406427535770234</v>
      </c>
      <c r="BL206" s="26">
        <f>IFERROR($AC206*HDF_Limited_Col!BL206/HDF_Limited_Col!$AH206," ")</f>
        <v>72.559199939416317</v>
      </c>
      <c r="BM206" s="26">
        <f>IFERROR($AC206*HDF_Limited_Col!BM206/HDF_Limited_Col!$AH206," ")</f>
        <v>6.9342289597274709</v>
      </c>
      <c r="BN206" s="26">
        <f>IFERROR($AC206*HDF_Limited_Col!BN206/HDF_Limited_Col!$AH206," ")</f>
        <v>22.125194464285073</v>
      </c>
      <c r="BO206" s="26">
        <f>IFERROR($AC206*HDF_Limited_Col!BO206/HDF_Limited_Col!$AH206," ")</f>
        <v>1.644198619316823</v>
      </c>
      <c r="BP206" s="26">
        <f>IFERROR($AC206*HDF_Limited_Col!BP206/HDF_Limited_Col!$AH206," ")</f>
        <v>0.50040827544425048</v>
      </c>
      <c r="BQ206" s="26">
        <f>IFERROR($AC206*HDF_Limited_Col!BQ206/HDF_Limited_Col!$AH206," ")</f>
        <v>1.7156855158088589</v>
      </c>
      <c r="BR206" s="26">
        <f>IFERROR($AC206*HDF_Limited_Col!BR206/HDF_Limited_Col!$AH206," ")</f>
        <v>0.60763862018230419</v>
      </c>
      <c r="BS206" s="26">
        <f>IFERROR($AC206*HDF_Limited_Col!BS206/HDF_Limited_Col!$AH206," ")</f>
        <v>0.10723034473805368</v>
      </c>
      <c r="BT206" s="26">
        <f>IFERROR($AC206*HDF_Limited_Col!BT206/HDF_Limited_Col!$AH206," ")</f>
        <v>0.46466482719823254</v>
      </c>
      <c r="BU206" s="26">
        <f>IFERROR($AC206*HDF_Limited_Col!BU206/HDF_Limited_Col!$AH206," ")</f>
        <v>0</v>
      </c>
      <c r="BV206" s="26">
        <f>IFERROR($AC206*HDF_Limited_Col!BV206/HDF_Limited_Col!$AH206," ")</f>
        <v>0.60763862018230419</v>
      </c>
      <c r="BW206" s="26">
        <f>IFERROR($AC206*HDF_Limited_Col!BW206/HDF_Limited_Col!$AH206," ")</f>
        <v>0.10723034473805368</v>
      </c>
      <c r="BX206" s="26">
        <f>IFERROR($AC206*HDF_Limited_Col!BX206/HDF_Limited_Col!$AH206," ")</f>
        <v>0.46466482719823254</v>
      </c>
      <c r="BY206" s="26">
        <f>IFERROR($AC206*HDF_Limited_Col!BY206/HDF_Limited_Col!$AH206," ")</f>
        <v>1.608455171070805</v>
      </c>
      <c r="BZ206" s="26">
        <f>IFERROR($AC206*HDF_Limited_Col!BZ206/HDF_Limited_Col!$AH206," ")</f>
        <v>1.644198619316823</v>
      </c>
      <c r="CA206" s="26">
        <f>IFERROR($AC206*HDF_Limited_Col!CA206/HDF_Limited_Col!$AH206," ")</f>
        <v>5.3615172369026833</v>
      </c>
      <c r="CB206" s="26">
        <f>IFERROR($AC206*HDF_Limited_Col!CB206/HDF_Limited_Col!$AH206," ")</f>
        <v>11.294929645741654</v>
      </c>
      <c r="CC206" s="26">
        <f>IFERROR($AC206*HDF_Limited_Col!CC206/HDF_Limited_Col!$AH206," ")</f>
        <v>1.7514289640548766</v>
      </c>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row>
    <row r="207" spans="1:109">
      <c r="A207" s="26" t="s">
        <v>641</v>
      </c>
      <c r="B207" s="26" t="s">
        <v>24</v>
      </c>
      <c r="C207" s="156" t="s">
        <v>541</v>
      </c>
      <c r="D207" s="26" t="s">
        <v>110</v>
      </c>
      <c r="E207" s="26" t="s">
        <v>237</v>
      </c>
      <c r="F207" s="26" t="s">
        <v>639</v>
      </c>
      <c r="G207" s="26" t="s">
        <v>640</v>
      </c>
      <c r="H207" s="30"/>
      <c r="I207" s="26" t="s">
        <v>712</v>
      </c>
      <c r="J207" s="26" t="s">
        <v>635</v>
      </c>
      <c r="K207" s="26" t="s">
        <v>642</v>
      </c>
      <c r="L207" s="26"/>
      <c r="M207" s="26" t="s">
        <v>605</v>
      </c>
      <c r="N207" s="26" t="s">
        <v>1084</v>
      </c>
      <c r="O207" s="95">
        <v>51.004219278677191</v>
      </c>
      <c r="P207" s="95">
        <v>1.1176223347917311</v>
      </c>
      <c r="Q207" s="95">
        <v>7.9757593891955345</v>
      </c>
      <c r="R207" s="95">
        <v>3.931998577858181</v>
      </c>
      <c r="S207" s="95">
        <v>18.389967508845757</v>
      </c>
      <c r="T207" s="95">
        <v>9.9773193887770901</v>
      </c>
      <c r="U207" s="95">
        <v>0</v>
      </c>
      <c r="V207" s="95">
        <v>1.3208263956629549</v>
      </c>
      <c r="W207" s="95">
        <v>6.2586850748336937</v>
      </c>
      <c r="X207" s="95">
        <v>0</v>
      </c>
      <c r="Y207" s="95">
        <v>3.048060913068357E-2</v>
      </c>
      <c r="Z207" s="95">
        <v>100.00687855777281</v>
      </c>
      <c r="AA207" s="26"/>
      <c r="AB207" s="26"/>
      <c r="AC207" s="26">
        <f t="shared" si="4"/>
        <v>51955.679590523934</v>
      </c>
      <c r="AD207" s="26">
        <f>IFERROR($AC207*HDF_Limited_Col!AD207/HDF_Limited_Col!$AH207," ")</f>
        <v>3641.1589412929179</v>
      </c>
      <c r="AE207" s="26">
        <f>IFERROR($AC207*HDF_Limited_Col!AE207/HDF_Limited_Col!$AH207," ")</f>
        <v>92543.576729948516</v>
      </c>
      <c r="AF207" s="26">
        <f>IFERROR($AC207*HDF_Limited_Col!AF207/HDF_Limited_Col!$AH207," ")</f>
        <v>32296.394356348861</v>
      </c>
      <c r="AG207" s="26">
        <f>IFERROR($AC207*HDF_Limited_Col!AG207/HDF_Limited_Col!$AH207," ")</f>
        <v>4348.9097266610352</v>
      </c>
      <c r="AH207" s="26">
        <f>IFERROR($AC207*HDF_Limited_Col!AH207/HDF_Limited_Col!$AH207," ")</f>
        <v>51955.679590523934</v>
      </c>
      <c r="AI207" s="26">
        <f>IFERROR($AC207*HDF_Limited_Col!AI207/HDF_Limited_Col!$AH207," ")</f>
        <v>11240.602029924677</v>
      </c>
      <c r="AJ207" s="26">
        <f>IFERROR($AC207*HDF_Limited_Col!AJ207/HDF_Limited_Col!$AH207," ")</f>
        <v>232.88882318997565</v>
      </c>
      <c r="AK207" s="26">
        <f>IFERROR($AC207*HDF_Limited_Col!AK207/HDF_Limited_Col!$AH207," ")</f>
        <v>1997.7236287111743</v>
      </c>
      <c r="AL207" s="26">
        <f>IFERROR($AC207*HDF_Limited_Col!AL207/HDF_Limited_Col!$AH207," ")</f>
        <v>375.76033528879054</v>
      </c>
      <c r="AM207" s="26">
        <f>IFERROR($AC207*HDF_Limited_Col!AM207/HDF_Limited_Col!$AH207," ")</f>
        <v>11006.887359843957</v>
      </c>
      <c r="AN207" s="26">
        <f>IFERROR($AC207*HDF_Limited_Col!AN207/HDF_Limited_Col!$AH207," ")</f>
        <v>372.45694772581214</v>
      </c>
      <c r="AO207" s="26">
        <f>IFERROR($AC207*HDF_Limited_Col!AO207/HDF_Limited_Col!$AH207," ")</f>
        <v>60.534577091578775</v>
      </c>
      <c r="AP207" s="26">
        <f>IFERROR($AC207*HDF_Limited_Col!AP207/HDF_Limited_Col!$AH207," ")</f>
        <v>232.88882318997565</v>
      </c>
      <c r="AQ207" s="26">
        <f>IFERROR($AC207*HDF_Limited_Col!AQ207/HDF_Limited_Col!$AH207," ")</f>
        <v>33.36421438608162</v>
      </c>
      <c r="AR207" s="26">
        <f>IFERROR($AC207*HDF_Limited_Col!AR207/HDF_Limited_Col!$AH207," ")</f>
        <v>5.6983435461377026</v>
      </c>
      <c r="AS207" s="26">
        <f>IFERROR($AC207*HDF_Limited_Col!AS207/HDF_Limited_Col!$AH207," ")</f>
        <v>0</v>
      </c>
      <c r="AT207" s="26">
        <f>IFERROR($AC207*HDF_Limited_Col!AT207/HDF_Limited_Col!$AH207," ")</f>
        <v>0</v>
      </c>
      <c r="AU207" s="26">
        <f>IFERROR($AC207*HDF_Limited_Col!AU207/HDF_Limited_Col!$AH207," ")</f>
        <v>0</v>
      </c>
      <c r="AV207" s="26">
        <f>IFERROR($AC207*HDF_Limited_Col!AV207/HDF_Limited_Col!$AH207," ")</f>
        <v>0</v>
      </c>
      <c r="AW207" s="26">
        <f>IFERROR($AC207*HDF_Limited_Col!AW207/HDF_Limited_Col!$AH207," ")</f>
        <v>0</v>
      </c>
      <c r="AX207" s="26">
        <f>IFERROR($AC207*HDF_Limited_Col!AX207/HDF_Limited_Col!$AH207," ")</f>
        <v>261.79346436603646</v>
      </c>
      <c r="AY207" s="26">
        <f>IFERROR($AC207*HDF_Limited_Col!AY207/HDF_Limited_Col!$AH207," ")</f>
        <v>730.04865141822165</v>
      </c>
      <c r="AZ207" s="26">
        <f>IFERROR($AC207*HDF_Limited_Col!AZ207/HDF_Limited_Col!$AH207," ")</f>
        <v>0.90843157981905409</v>
      </c>
      <c r="BA207" s="26">
        <f>IFERROR($AC207*HDF_Limited_Col!BA207/HDF_Limited_Col!$AH207," ")</f>
        <v>2.4775406722337836</v>
      </c>
      <c r="BB207" s="26">
        <f>IFERROR($AC207*HDF_Limited_Col!BB207/HDF_Limited_Col!$AH207," ")</f>
        <v>0</v>
      </c>
      <c r="BC207" s="26">
        <f>IFERROR($AC207*HDF_Limited_Col!BC207/HDF_Limited_Col!$AH207," ")</f>
        <v>391.45142621293786</v>
      </c>
      <c r="BD207" s="26">
        <f>IFERROR($AC207*HDF_Limited_Col!BD207/HDF_Limited_Col!$AH207," ")</f>
        <v>0</v>
      </c>
      <c r="BE207" s="26">
        <f>IFERROR($AC207*HDF_Limited_Col!BE207/HDF_Limited_Col!$AH207," ")</f>
        <v>0</v>
      </c>
      <c r="BF207" s="26">
        <f>IFERROR($AC207*HDF_Limited_Col!BF207/HDF_Limited_Col!$AH207," ")</f>
        <v>0</v>
      </c>
      <c r="BG207" s="26">
        <f>IFERROR($AC207*HDF_Limited_Col!BG207/HDF_Limited_Col!$AH207," ")</f>
        <v>0</v>
      </c>
      <c r="BH207" s="26">
        <f>IFERROR($AC207*HDF_Limited_Col!BH207/HDF_Limited_Col!$AH207," ")</f>
        <v>2.807879428531622</v>
      </c>
      <c r="BI207" s="26">
        <f>IFERROR($AC207*HDF_Limited_Col!BI207/HDF_Limited_Col!$AH207," ")</f>
        <v>10167.001071956704</v>
      </c>
      <c r="BJ207" s="26">
        <f>IFERROR($AC207*HDF_Limited_Col!BJ207/HDF_Limited_Col!$AH207," ")</f>
        <v>17.755708151008783</v>
      </c>
      <c r="BK207" s="26">
        <f>IFERROR($AC207*HDF_Limited_Col!BK207/HDF_Limited_Col!$AH207," ")</f>
        <v>849.79645057618779</v>
      </c>
      <c r="BL207" s="26">
        <f>IFERROR($AC207*HDF_Limited_Col!BL207/HDF_Limited_Col!$AH207," ")</f>
        <v>602.86823024355408</v>
      </c>
      <c r="BM207" s="26">
        <f>IFERROR($AC207*HDF_Limited_Col!BM207/HDF_Limited_Col!$AH207," ")</f>
        <v>39.310311999442696</v>
      </c>
      <c r="BN207" s="26">
        <f>IFERROR($AC207*HDF_Limited_Col!BN207/HDF_Limited_Col!$AH207," ")</f>
        <v>84.484136923172017</v>
      </c>
      <c r="BO207" s="26">
        <f>IFERROR($AC207*HDF_Limited_Col!BO207/HDF_Limited_Col!$AH207," ")</f>
        <v>1.5691090924147297</v>
      </c>
      <c r="BP207" s="26">
        <f>IFERROR($AC207*HDF_Limited_Col!BP207/HDF_Limited_Col!$AH207," ")</f>
        <v>0.82584689074459461</v>
      </c>
      <c r="BQ207" s="26">
        <f>IFERROR($AC207*HDF_Limited_Col!BQ207/HDF_Limited_Col!$AH207," ")</f>
        <v>1.8168631596381082</v>
      </c>
      <c r="BR207" s="26">
        <f>IFERROR($AC207*HDF_Limited_Col!BR207/HDF_Limited_Col!$AH207," ")</f>
        <v>0.57809282352121627</v>
      </c>
      <c r="BS207" s="26">
        <f>IFERROR($AC207*HDF_Limited_Col!BS207/HDF_Limited_Col!$AH207," ")</f>
        <v>0.16516937814891891</v>
      </c>
      <c r="BT207" s="26">
        <f>IFERROR($AC207*HDF_Limited_Col!BT207/HDF_Limited_Col!$AH207," ")</f>
        <v>0.66067751259567564</v>
      </c>
      <c r="BU207" s="26">
        <f>IFERROR($AC207*HDF_Limited_Col!BU207/HDF_Limited_Col!$AH207," ")</f>
        <v>0</v>
      </c>
      <c r="BV207" s="26">
        <f>IFERROR($AC207*HDF_Limited_Col!BV207/HDF_Limited_Col!$AH207," ")</f>
        <v>0.74326220167013513</v>
      </c>
      <c r="BW207" s="26">
        <f>IFERROR($AC207*HDF_Limited_Col!BW207/HDF_Limited_Col!$AH207," ")</f>
        <v>0.16516937814891891</v>
      </c>
      <c r="BX207" s="26">
        <f>IFERROR($AC207*HDF_Limited_Col!BX207/HDF_Limited_Col!$AH207," ")</f>
        <v>0.66067751259567564</v>
      </c>
      <c r="BY207" s="26">
        <f>IFERROR($AC207*HDF_Limited_Col!BY207/HDF_Limited_Col!$AH207," ")</f>
        <v>10.901178957828648</v>
      </c>
      <c r="BZ207" s="26">
        <f>IFERROR($AC207*HDF_Limited_Col!BZ207/HDF_Limited_Col!$AH207," ")</f>
        <v>79.19871682240661</v>
      </c>
      <c r="CA207" s="26">
        <f>IFERROR($AC207*HDF_Limited_Col!CA207/HDF_Limited_Col!$AH207," ")</f>
        <v>36.750186638134458</v>
      </c>
      <c r="CB207" s="26">
        <f>IFERROR($AC207*HDF_Limited_Col!CB207/HDF_Limited_Col!$AH207," ")</f>
        <v>750.69482368683646</v>
      </c>
      <c r="CC207" s="26">
        <f>IFERROR($AC207*HDF_Limited_Col!CC207/HDF_Limited_Col!$AH207," ")</f>
        <v>52.771616318579596</v>
      </c>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row>
    <row r="208" spans="1:109">
      <c r="A208" s="26" t="s">
        <v>641</v>
      </c>
      <c r="B208" s="26" t="s">
        <v>24</v>
      </c>
      <c r="C208" s="156" t="s">
        <v>541</v>
      </c>
      <c r="D208" s="26" t="s">
        <v>110</v>
      </c>
      <c r="E208" s="26" t="s">
        <v>237</v>
      </c>
      <c r="F208" s="26" t="s">
        <v>639</v>
      </c>
      <c r="G208" s="26" t="s">
        <v>640</v>
      </c>
      <c r="H208" s="30"/>
      <c r="I208" s="26" t="s">
        <v>712</v>
      </c>
      <c r="J208" s="26" t="s">
        <v>635</v>
      </c>
      <c r="K208" s="26" t="s">
        <v>642</v>
      </c>
      <c r="L208" s="26"/>
      <c r="M208" s="26" t="s">
        <v>632</v>
      </c>
      <c r="N208" s="26" t="s">
        <v>1084</v>
      </c>
      <c r="O208" s="95">
        <v>64.705211096690576</v>
      </c>
      <c r="P208" s="95">
        <v>3.030244043631722</v>
      </c>
      <c r="Q208" s="95">
        <v>9.5507691804234138</v>
      </c>
      <c r="R208" s="95">
        <v>3.0102424327826673</v>
      </c>
      <c r="S208" s="95">
        <v>2.4501973290091481</v>
      </c>
      <c r="T208" s="95">
        <v>5.6704566757068857</v>
      </c>
      <c r="U208" s="95">
        <v>0</v>
      </c>
      <c r="V208" s="95">
        <v>2.6202110212261096</v>
      </c>
      <c r="W208" s="95">
        <v>7.5606089009425146</v>
      </c>
      <c r="X208" s="95">
        <v>1.340107926886636</v>
      </c>
      <c r="Y208" s="95">
        <v>8.0006443396217083E-2</v>
      </c>
      <c r="Z208" s="95">
        <v>100.01805505069588</v>
      </c>
      <c r="AA208" s="26"/>
      <c r="AB208" s="26"/>
      <c r="AC208" s="26">
        <f t="shared" si="4"/>
        <v>62763.434949963601</v>
      </c>
      <c r="AD208" s="26">
        <f>IFERROR($AC208*HDF_Limited_Col!AD208/HDF_Limited_Col!$AH208," ")</f>
        <v>34579.972039442386</v>
      </c>
      <c r="AE208" s="26">
        <f>IFERROR($AC208*HDF_Limited_Col!AE208/HDF_Limited_Col!$AH208," ")</f>
        <v>19263.475469178815</v>
      </c>
      <c r="AF208" s="26">
        <f>IFERROR($AC208*HDF_Limited_Col!AF208/HDF_Limited_Col!$AH208," ")</f>
        <v>44322.631897654705</v>
      </c>
      <c r="AG208" s="26">
        <f>IFERROR($AC208*HDF_Limited_Col!AG208/HDF_Limited_Col!$AH208," ")</f>
        <v>6646.0839070727288</v>
      </c>
      <c r="AH208" s="26">
        <f>IFERROR($AC208*HDF_Limited_Col!AH208/HDF_Limited_Col!$AH208," ")</f>
        <v>62763.434949963608</v>
      </c>
      <c r="AI208" s="26">
        <f>IFERROR($AC208*HDF_Limited_Col!AI208/HDF_Limited_Col!$AH208," ")</f>
        <v>52059.45002035272</v>
      </c>
      <c r="AJ208" s="26">
        <f>IFERROR($AC208*HDF_Limited_Col!AJ208/HDF_Limited_Col!$AH208," ")</f>
        <v>14382.902029770745</v>
      </c>
      <c r="AK208" s="26">
        <f>IFERROR($AC208*HDF_Limited_Col!AK208/HDF_Limited_Col!$AH208," ")</f>
        <v>1460.4746277016568</v>
      </c>
      <c r="AL208" s="26">
        <f>IFERROR($AC208*HDF_Limited_Col!AL208/HDF_Limited_Col!$AH208," ")</f>
        <v>952.08156109664958</v>
      </c>
      <c r="AM208" s="26">
        <f>IFERROR($AC208*HDF_Limited_Col!AM208/HDF_Limited_Col!$AH208," ")</f>
        <v>35707.680296275314</v>
      </c>
      <c r="AN208" s="26">
        <f>IFERROR($AC208*HDF_Limited_Col!AN208/HDF_Limited_Col!$AH208," ")</f>
        <v>27.730530905727655</v>
      </c>
      <c r="AO208" s="26">
        <f>IFERROR($AC208*HDF_Limited_Col!AO208/HDF_Limited_Col!$AH208," ")</f>
        <v>49.914955630309777</v>
      </c>
      <c r="AP208" s="26">
        <f>IFERROR($AC208*HDF_Limited_Col!AP208/HDF_Limited_Col!$AH208," ")</f>
        <v>1090.7342156252878</v>
      </c>
      <c r="AQ208" s="26">
        <f>IFERROR($AC208*HDF_Limited_Col!AQ208/HDF_Limited_Col!$AH208," ")</f>
        <v>11.092212362291063</v>
      </c>
      <c r="AR208" s="26">
        <f>IFERROR($AC208*HDF_Limited_Col!AR208/HDF_Limited_Col!$AH208," ")</f>
        <v>20.335722664200283</v>
      </c>
      <c r="AS208" s="26">
        <f>IFERROR($AC208*HDF_Limited_Col!AS208/HDF_Limited_Col!$AH208," ")</f>
        <v>0</v>
      </c>
      <c r="AT208" s="26">
        <f>IFERROR($AC208*HDF_Limited_Col!AT208/HDF_Limited_Col!$AH208," ")</f>
        <v>0</v>
      </c>
      <c r="AU208" s="26">
        <f>IFERROR($AC208*HDF_Limited_Col!AU208/HDF_Limited_Col!$AH208," ")</f>
        <v>0</v>
      </c>
      <c r="AV208" s="26">
        <f>IFERROR($AC208*HDF_Limited_Col!AV208/HDF_Limited_Col!$AH208," ")</f>
        <v>0</v>
      </c>
      <c r="AW208" s="26">
        <f>IFERROR($AC208*HDF_Limited_Col!AW208/HDF_Limited_Col!$AH208," ")</f>
        <v>0</v>
      </c>
      <c r="AX208" s="26">
        <f>IFERROR($AC208*HDF_Limited_Col!AX208/HDF_Limited_Col!$AH208," ")</f>
        <v>140.50135658902013</v>
      </c>
      <c r="AY208" s="26">
        <f>IFERROR($AC208*HDF_Limited_Col!AY208/HDF_Limited_Col!$AH208," ")</f>
        <v>770.90875917922881</v>
      </c>
      <c r="AZ208" s="26">
        <f>IFERROR($AC208*HDF_Limited_Col!AZ208/HDF_Limited_Col!$AH208," ")</f>
        <v>18.48702060381844</v>
      </c>
      <c r="BA208" s="26">
        <f>IFERROR($AC208*HDF_Limited_Col!BA208/HDF_Limited_Col!$AH208," ")</f>
        <v>266.2130966949855</v>
      </c>
      <c r="BB208" s="26">
        <f>IFERROR($AC208*HDF_Limited_Col!BB208/HDF_Limited_Col!$AH208," ")</f>
        <v>0</v>
      </c>
      <c r="BC208" s="26">
        <f>IFERROR($AC208*HDF_Limited_Col!BC208/HDF_Limited_Col!$AH208," ")</f>
        <v>849.47859674545725</v>
      </c>
      <c r="BD208" s="26">
        <f>IFERROR($AC208*HDF_Limited_Col!BD208/HDF_Limited_Col!$AH208," ")</f>
        <v>0</v>
      </c>
      <c r="BE208" s="26">
        <f>IFERROR($AC208*HDF_Limited_Col!BE208/HDF_Limited_Col!$AH208," ")</f>
        <v>0</v>
      </c>
      <c r="BF208" s="26">
        <f>IFERROR($AC208*HDF_Limited_Col!BF208/HDF_Limited_Col!$AH208," ")</f>
        <v>0</v>
      </c>
      <c r="BG208" s="26">
        <f>IFERROR($AC208*HDF_Limited_Col!BG208/HDF_Limited_Col!$AH208," ")</f>
        <v>0</v>
      </c>
      <c r="BH208" s="26">
        <f>IFERROR($AC208*HDF_Limited_Col!BH208/HDF_Limited_Col!$AH208," ")</f>
        <v>3.6974041207636876</v>
      </c>
      <c r="BI208" s="26">
        <f>IFERROR($AC208*HDF_Limited_Col!BI208/HDF_Limited_Col!$AH208," ")</f>
        <v>5425.9405472207118</v>
      </c>
      <c r="BJ208" s="26">
        <f>IFERROR($AC208*HDF_Limited_Col!BJ208/HDF_Limited_Col!$AH208," ")</f>
        <v>86.88899683794665</v>
      </c>
      <c r="BK208" s="26">
        <f>IFERROR($AC208*HDF_Limited_Col!BK208/HDF_Limited_Col!$AH208," ")</f>
        <v>244.02867197040339</v>
      </c>
      <c r="BL208" s="26">
        <f>IFERROR($AC208*HDF_Limited_Col!BL208/HDF_Limited_Col!$AH208," ")</f>
        <v>262.51569257422182</v>
      </c>
      <c r="BM208" s="26">
        <f>IFERROR($AC208*HDF_Limited_Col!BM208/HDF_Limited_Col!$AH208," ")</f>
        <v>18.48702060381844</v>
      </c>
      <c r="BN208" s="26">
        <f>IFERROR($AC208*HDF_Limited_Col!BN208/HDF_Limited_Col!$AH208," ")</f>
        <v>55.461061811455309</v>
      </c>
      <c r="BO208" s="26">
        <f>IFERROR($AC208*HDF_Limited_Col!BO208/HDF_Limited_Col!$AH208," ")</f>
        <v>19.41137163400936</v>
      </c>
      <c r="BP208" s="26">
        <f>IFERROR($AC208*HDF_Limited_Col!BP208/HDF_Limited_Col!$AH208," ")</f>
        <v>5.5461061811455314</v>
      </c>
      <c r="BQ208" s="26">
        <f>IFERROR($AC208*HDF_Limited_Col!BQ208/HDF_Limited_Col!$AH208," ")</f>
        <v>16.638318543436593</v>
      </c>
      <c r="BR208" s="26">
        <f>IFERROR($AC208*HDF_Limited_Col!BR208/HDF_Limited_Col!$AH208," ")</f>
        <v>10.167861332100141</v>
      </c>
      <c r="BS208" s="26">
        <f>IFERROR($AC208*HDF_Limited_Col!BS208/HDF_Limited_Col!$AH208," ")</f>
        <v>4.62175515095461</v>
      </c>
      <c r="BT208" s="26">
        <f>IFERROR($AC208*HDF_Limited_Col!BT208/HDF_Limited_Col!$AH208," ")</f>
        <v>12.016563392481984</v>
      </c>
      <c r="BU208" s="26">
        <f>IFERROR($AC208*HDF_Limited_Col!BU208/HDF_Limited_Col!$AH208," ")</f>
        <v>0</v>
      </c>
      <c r="BV208" s="26">
        <f>IFERROR($AC208*HDF_Limited_Col!BV208/HDF_Limited_Col!$AH208," ")</f>
        <v>15.713967513245674</v>
      </c>
      <c r="BW208" s="26">
        <f>IFERROR($AC208*HDF_Limited_Col!BW208/HDF_Limited_Col!$AH208," ")</f>
        <v>3.6974041207636876</v>
      </c>
      <c r="BX208" s="26">
        <f>IFERROR($AC208*HDF_Limited_Col!BX208/HDF_Limited_Col!$AH208," ")</f>
        <v>9.24351030190922</v>
      </c>
      <c r="BY208" s="26">
        <f>IFERROR($AC208*HDF_Limited_Col!BY208/HDF_Limited_Col!$AH208," ")</f>
        <v>41.595796358591485</v>
      </c>
      <c r="BZ208" s="26">
        <f>IFERROR($AC208*HDF_Limited_Col!BZ208/HDF_Limited_Col!$AH208," ")</f>
        <v>19.41137163400936</v>
      </c>
      <c r="CA208" s="26">
        <f>IFERROR($AC208*HDF_Limited_Col!CA208/HDF_Limited_Col!$AH208," ")</f>
        <v>42.520147388782405</v>
      </c>
      <c r="CB208" s="26">
        <f>IFERROR($AC208*HDF_Limited_Col!CB208/HDF_Limited_Col!$AH208," ")</f>
        <v>67.477625203937293</v>
      </c>
      <c r="CC208" s="26">
        <f>IFERROR($AC208*HDF_Limited_Col!CC208/HDF_Limited_Col!$AH208," ")</f>
        <v>11.092212362291063</v>
      </c>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row>
    <row r="209" spans="1:109">
      <c r="A209" s="26" t="s">
        <v>641</v>
      </c>
      <c r="B209" s="26" t="s">
        <v>24</v>
      </c>
      <c r="C209" s="156" t="s">
        <v>541</v>
      </c>
      <c r="D209" s="26" t="s">
        <v>110</v>
      </c>
      <c r="E209" s="26" t="s">
        <v>237</v>
      </c>
      <c r="F209" s="26" t="s">
        <v>639</v>
      </c>
      <c r="G209" s="26" t="s">
        <v>640</v>
      </c>
      <c r="H209" s="30"/>
      <c r="I209" s="26" t="s">
        <v>712</v>
      </c>
      <c r="J209" s="26" t="s">
        <v>635</v>
      </c>
      <c r="K209" s="26" t="s">
        <v>642</v>
      </c>
      <c r="L209" s="26"/>
      <c r="M209" s="26" t="s">
        <v>628</v>
      </c>
      <c r="N209" s="26" t="s">
        <v>1084</v>
      </c>
      <c r="O209" s="95">
        <v>59.176329468212721</v>
      </c>
      <c r="P209" s="95">
        <v>2.7189124350259894</v>
      </c>
      <c r="Q209" s="95">
        <v>12.814874050379849</v>
      </c>
      <c r="R209" s="95">
        <v>1.4794082367053178</v>
      </c>
      <c r="S209" s="95">
        <v>1.8892443022790881</v>
      </c>
      <c r="T209" s="95">
        <v>5.7377049180327866</v>
      </c>
      <c r="U209" s="95">
        <v>0.45981607357057175</v>
      </c>
      <c r="V209" s="95">
        <v>0.72970811675329861</v>
      </c>
      <c r="W209" s="95">
        <v>8.5665733706517386</v>
      </c>
      <c r="X209" s="95">
        <v>6.4274290283886444</v>
      </c>
      <c r="Y209" s="95">
        <v>0</v>
      </c>
      <c r="Z209" s="95">
        <v>100</v>
      </c>
      <c r="AA209" s="26"/>
      <c r="AB209" s="26"/>
      <c r="AC209" s="26">
        <f t="shared" si="4"/>
        <v>71114.321285149999</v>
      </c>
      <c r="AD209" s="26">
        <f>IFERROR($AC209*HDF_Limited_Col!AD209/HDF_Limited_Col!$AH209," ")</f>
        <v>7309.1436720964384</v>
      </c>
      <c r="AE209" s="26">
        <f>IFERROR($AC209*HDF_Limited_Col!AE209/HDF_Limited_Col!$AH209," ")</f>
        <v>7155.3504104492895</v>
      </c>
      <c r="AF209" s="26">
        <f>IFERROR($AC209*HDF_Limited_Col!AF209/HDF_Limited_Col!$AH209," ")</f>
        <v>31453.100253155993</v>
      </c>
      <c r="AG209" s="26">
        <f>IFERROR($AC209*HDF_Limited_Col!AG209/HDF_Limited_Col!$AH209," ")</f>
        <v>3873.3704969482856</v>
      </c>
      <c r="AH209" s="26">
        <f>IFERROR($AC209*HDF_Limited_Col!AH209/HDF_Limited_Col!$AH209," ")</f>
        <v>71114.321285149999</v>
      </c>
      <c r="AI209" s="26">
        <f>IFERROR($AC209*HDF_Limited_Col!AI209/HDF_Limited_Col!$AH209," ")</f>
        <v>26656.970186324816</v>
      </c>
      <c r="AJ209" s="26">
        <f>IFERROR($AC209*HDF_Limited_Col!AJ209/HDF_Limited_Col!$AH209," ")</f>
        <v>9162.5902995759898</v>
      </c>
      <c r="AK209" s="26">
        <f>IFERROR($AC209*HDF_Limited_Col!AK209/HDF_Limited_Col!$AH209," ")</f>
        <v>347.22396186314961</v>
      </c>
      <c r="AL209" s="26">
        <f>IFERROR($AC209*HDF_Limited_Col!AL209/HDF_Limited_Col!$AH209," ")</f>
        <v>158.39120452113539</v>
      </c>
      <c r="AM209" s="26">
        <f>IFERROR($AC209*HDF_Limited_Col!AM209/HDF_Limited_Col!$AH209," ")</f>
        <v>7951.2701769118512</v>
      </c>
      <c r="AN209" s="26">
        <f>IFERROR($AC209*HDF_Limited_Col!AN209/HDF_Limited_Col!$AH209," ")</f>
        <v>62.785702693062682</v>
      </c>
      <c r="AO209" s="26">
        <f>IFERROR($AC209*HDF_Limited_Col!AO209/HDF_Limited_Col!$AH209," ")</f>
        <v>48.674774562551114</v>
      </c>
      <c r="AP209" s="26">
        <f>IFERROR($AC209*HDF_Limited_Col!AP209/HDF_Limited_Col!$AH209," ")</f>
        <v>375.7629176327236</v>
      </c>
      <c r="AQ209" s="26">
        <f>IFERROR($AC209*HDF_Limited_Col!AQ209/HDF_Limited_Col!$AH209," ")</f>
        <v>7.2932886966688963</v>
      </c>
      <c r="AR209" s="26">
        <f>IFERROR($AC209*HDF_Limited_Col!AR209/HDF_Limited_Col!$AH209," ")</f>
        <v>18.391771495947655</v>
      </c>
      <c r="AS209" s="26">
        <f>IFERROR($AC209*HDF_Limited_Col!AS209/HDF_Limited_Col!$AH209," ")</f>
        <v>0</v>
      </c>
      <c r="AT209" s="26">
        <f>IFERROR($AC209*HDF_Limited_Col!AT209/HDF_Limited_Col!$AH209," ")</f>
        <v>0</v>
      </c>
      <c r="AU209" s="26">
        <f>IFERROR($AC209*HDF_Limited_Col!AU209/HDF_Limited_Col!$AH209," ")</f>
        <v>0</v>
      </c>
      <c r="AV209" s="26">
        <f>IFERROR($AC209*HDF_Limited_Col!AV209/HDF_Limited_Col!$AH209," ")</f>
        <v>0</v>
      </c>
      <c r="AW209" s="26">
        <f>IFERROR($AC209*HDF_Limited_Col!AW209/HDF_Limited_Col!$AH209," ")</f>
        <v>0</v>
      </c>
      <c r="AX209" s="26">
        <f>IFERROR($AC209*HDF_Limited_Col!AX209/HDF_Limited_Col!$AH209," ")</f>
        <v>190.7353543933192</v>
      </c>
      <c r="AY209" s="26">
        <f>IFERROR($AC209*HDF_Limited_Col!AY209/HDF_Limited_Col!$AH209," ")</f>
        <v>1249.3720636902372</v>
      </c>
      <c r="AZ209" s="26">
        <f>IFERROR($AC209*HDF_Limited_Col!AZ209/HDF_Limited_Col!$AH209," ")</f>
        <v>9.8300847650754708</v>
      </c>
      <c r="BA209" s="26">
        <f>IFERROR($AC209*HDF_Limited_Col!BA209/HDF_Limited_Col!$AH209," ")</f>
        <v>231.48264124209976</v>
      </c>
      <c r="BB209" s="26">
        <f>IFERROR($AC209*HDF_Limited_Col!BB209/HDF_Limited_Col!$AH209," ")</f>
        <v>0</v>
      </c>
      <c r="BC209" s="26">
        <f>IFERROR($AC209*HDF_Limited_Col!BC209/HDF_Limited_Col!$AH209," ")</f>
        <v>245.75211912688673</v>
      </c>
      <c r="BD209" s="26">
        <f>IFERROR($AC209*HDF_Limited_Col!BD209/HDF_Limited_Col!$AH209," ")</f>
        <v>0</v>
      </c>
      <c r="BE209" s="26">
        <f>IFERROR($AC209*HDF_Limited_Col!BE209/HDF_Limited_Col!$AH209," ")</f>
        <v>0</v>
      </c>
      <c r="BF209" s="26">
        <f>IFERROR($AC209*HDF_Limited_Col!BF209/HDF_Limited_Col!$AH209," ")</f>
        <v>0</v>
      </c>
      <c r="BG209" s="26">
        <f>IFERROR($AC209*HDF_Limited_Col!BG209/HDF_Limited_Col!$AH209," ")</f>
        <v>0</v>
      </c>
      <c r="BH209" s="26">
        <f>IFERROR($AC209*HDF_Limited_Col!BH209/HDF_Limited_Col!$AH209," ")</f>
        <v>2.5367960684065727</v>
      </c>
      <c r="BI209" s="26">
        <f>IFERROR($AC209*HDF_Limited_Col!BI209/HDF_Limited_Col!$AH209," ")</f>
        <v>3854.3445264352358</v>
      </c>
      <c r="BJ209" s="26">
        <f>IFERROR($AC209*HDF_Limited_Col!BJ209/HDF_Limited_Col!$AH209," ")</f>
        <v>32.344149872183799</v>
      </c>
      <c r="BK209" s="26">
        <f>IFERROR($AC209*HDF_Limited_Col!BK209/HDF_Limited_Col!$AH209," ")</f>
        <v>186.45451102788309</v>
      </c>
      <c r="BL209" s="26">
        <f>IFERROR($AC209*HDF_Limited_Col!BL209/HDF_Limited_Col!$AH209," ")</f>
        <v>245.75211912688673</v>
      </c>
      <c r="BM209" s="26">
        <f>IFERROR($AC209*HDF_Limited_Col!BM209/HDF_Limited_Col!$AH209," ")</f>
        <v>26.636358718269015</v>
      </c>
      <c r="BN209" s="26">
        <f>IFERROR($AC209*HDF_Limited_Col!BN209/HDF_Limited_Col!$AH209," ")</f>
        <v>87.678014114302186</v>
      </c>
      <c r="BO209" s="26">
        <f>IFERROR($AC209*HDF_Limited_Col!BO209/HDF_Limited_Col!$AH209," ")</f>
        <v>8.7202364851475931</v>
      </c>
      <c r="BP209" s="26">
        <f>IFERROR($AC209*HDF_Limited_Col!BP209/HDF_Limited_Col!$AH209," ")</f>
        <v>3.0124453312328052</v>
      </c>
      <c r="BQ209" s="26">
        <f>IFERROR($AC209*HDF_Limited_Col!BQ209/HDF_Limited_Col!$AH209," ")</f>
        <v>6.1834404167410204</v>
      </c>
      <c r="BR209" s="26">
        <f>IFERROR($AC209*HDF_Limited_Col!BR209/HDF_Limited_Col!$AH209," ")</f>
        <v>3.9637438568852699</v>
      </c>
      <c r="BS209" s="26">
        <f>IFERROR($AC209*HDF_Limited_Col!BS209/HDF_Limited_Col!$AH209," ")</f>
        <v>0.31709950855082158</v>
      </c>
      <c r="BT209" s="26">
        <f>IFERROR($AC209*HDF_Limited_Col!BT209/HDF_Limited_Col!$AH209," ")</f>
        <v>1.2683980342032863</v>
      </c>
      <c r="BU209" s="26">
        <f>IFERROR($AC209*HDF_Limited_Col!BU209/HDF_Limited_Col!$AH209," ")</f>
        <v>0</v>
      </c>
      <c r="BV209" s="26">
        <f>IFERROR($AC209*HDF_Limited_Col!BV209/HDF_Limited_Col!$AH209," ")</f>
        <v>1.426947788478697</v>
      </c>
      <c r="BW209" s="26">
        <f>IFERROR($AC209*HDF_Limited_Col!BW209/HDF_Limited_Col!$AH209," ")</f>
        <v>0.31709950855082158</v>
      </c>
      <c r="BX209" s="26">
        <f>IFERROR($AC209*HDF_Limited_Col!BX209/HDF_Limited_Col!$AH209," ")</f>
        <v>7.4518384509443081</v>
      </c>
      <c r="BY209" s="26">
        <f>IFERROR($AC209*HDF_Limited_Col!BY209/HDF_Limited_Col!$AH209," ")</f>
        <v>12.20833107920663</v>
      </c>
      <c r="BZ209" s="26">
        <f>IFERROR($AC209*HDF_Limited_Col!BZ209/HDF_Limited_Col!$AH209," ")</f>
        <v>7.610388205219718</v>
      </c>
      <c r="CA209" s="26">
        <f>IFERROR($AC209*HDF_Limited_Col!CA209/HDF_Limited_Col!$AH209," ")</f>
        <v>18.550321250223064</v>
      </c>
      <c r="CB209" s="26">
        <f>IFERROR($AC209*HDF_Limited_Col!CB209/HDF_Limited_Col!$AH209," ")</f>
        <v>26.002159701167368</v>
      </c>
      <c r="CC209" s="26">
        <f>IFERROR($AC209*HDF_Limited_Col!CC209/HDF_Limited_Col!$AH209," ")</f>
        <v>5.3906916453639671</v>
      </c>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row>
    <row r="210" spans="1:109">
      <c r="A210" s="26" t="s">
        <v>641</v>
      </c>
      <c r="B210" s="26" t="s">
        <v>24</v>
      </c>
      <c r="C210" s="156" t="s">
        <v>541</v>
      </c>
      <c r="D210" s="26" t="s">
        <v>110</v>
      </c>
      <c r="E210" s="26" t="s">
        <v>237</v>
      </c>
      <c r="F210" s="26" t="s">
        <v>639</v>
      </c>
      <c r="G210" s="26" t="s">
        <v>640</v>
      </c>
      <c r="H210" s="30"/>
      <c r="I210" s="26" t="s">
        <v>712</v>
      </c>
      <c r="J210" s="26" t="s">
        <v>635</v>
      </c>
      <c r="K210" s="26" t="s">
        <v>642</v>
      </c>
      <c r="L210" s="26" t="s">
        <v>160</v>
      </c>
      <c r="M210" s="26" t="s">
        <v>621</v>
      </c>
      <c r="N210" s="26" t="s">
        <v>1084</v>
      </c>
      <c r="O210" s="95">
        <v>41.779110444777615</v>
      </c>
      <c r="P210" s="95">
        <v>0.10994502748625688</v>
      </c>
      <c r="Q210" s="95">
        <v>22.08895552223888</v>
      </c>
      <c r="R210" s="95">
        <v>6.3568215892053983</v>
      </c>
      <c r="S210" s="95">
        <v>6.6466766616691668</v>
      </c>
      <c r="T210" s="95">
        <v>19.890054972513742</v>
      </c>
      <c r="U210" s="95">
        <v>0</v>
      </c>
      <c r="V210" s="95">
        <v>0.77961019490254879</v>
      </c>
      <c r="W210" s="95">
        <v>1.9190404797601197</v>
      </c>
      <c r="X210" s="95">
        <v>0.42978510744627685</v>
      </c>
      <c r="Y210" s="95">
        <v>0</v>
      </c>
      <c r="Z210" s="95">
        <v>99.999999999999986</v>
      </c>
      <c r="AA210" s="26"/>
      <c r="AB210" s="26"/>
      <c r="AC210" s="26">
        <f t="shared" si="4"/>
        <v>15930.670914978331</v>
      </c>
      <c r="AD210" s="26">
        <f>IFERROR($AC210*HDF_Limited_Col!AD210/HDF_Limited_Col!$AH210," ")</f>
        <v>7304.1055946553715</v>
      </c>
      <c r="AE210" s="26">
        <f>IFERROR($AC210*HDF_Limited_Col!AE210/HDF_Limited_Col!$AH210," ")</f>
        <v>5726.8366732907552</v>
      </c>
      <c r="AF210" s="26">
        <f>IFERROR($AC210*HDF_Limited_Col!AF210/HDF_Limited_Col!$AH210," ")</f>
        <v>1310.9933118612205</v>
      </c>
      <c r="AG210" s="26">
        <f>IFERROR($AC210*HDF_Limited_Col!AG210/HDF_Limited_Col!$AH210," ")</f>
        <v>2058.8583012320041</v>
      </c>
      <c r="AH210" s="26">
        <f>IFERROR($AC210*HDF_Limited_Col!AH210/HDF_Limited_Col!$AH210," ")</f>
        <v>15930.670914978331</v>
      </c>
      <c r="AI210" s="26">
        <f>IFERROR($AC210*HDF_Limited_Col!AI210/HDF_Limited_Col!$AH210," ")</f>
        <v>19489.081332887359</v>
      </c>
      <c r="AJ210" s="26">
        <f>IFERROR($AC210*HDF_Limited_Col!AJ210/HDF_Limited_Col!$AH210," ")</f>
        <v>1437.1238637312504</v>
      </c>
      <c r="AK210" s="26">
        <f>IFERROR($AC210*HDF_Limited_Col!AK210/HDF_Limited_Col!$AH210," ")</f>
        <v>254.80919569703022</v>
      </c>
      <c r="AL210" s="26">
        <f>IFERROR($AC210*HDF_Limited_Col!AL210/HDF_Limited_Col!$AH210," ")</f>
        <v>263.72751754642627</v>
      </c>
      <c r="AM210" s="26">
        <f>IFERROR($AC210*HDF_Limited_Col!AM210/HDF_Limited_Col!$AH210," ")</f>
        <v>5810.9237078707738</v>
      </c>
      <c r="AN210" s="26">
        <f>IFERROR($AC210*HDF_Limited_Col!AN210/HDF_Limited_Col!$AH210," ")</f>
        <v>3.5673287397584232</v>
      </c>
      <c r="AO210" s="26">
        <f>IFERROR($AC210*HDF_Limited_Col!AO210/HDF_Limited_Col!$AH210," ")</f>
        <v>21.021758645004997</v>
      </c>
      <c r="AP210" s="26">
        <f>IFERROR($AC210*HDF_Limited_Col!AP210/HDF_Limited_Col!$AH210," ")</f>
        <v>164.35193122458449</v>
      </c>
      <c r="AQ210" s="26">
        <f>IFERROR($AC210*HDF_Limited_Col!AQ210/HDF_Limited_Col!$AH210," ")</f>
        <v>3.3125195440613928</v>
      </c>
      <c r="AR210" s="26">
        <f>IFERROR($AC210*HDF_Limited_Col!AR210/HDF_Limited_Col!$AH210," ")</f>
        <v>1.7836643698792116</v>
      </c>
      <c r="AS210" s="26">
        <f>IFERROR($AC210*HDF_Limited_Col!AS210/HDF_Limited_Col!$AH210," ")</f>
        <v>0</v>
      </c>
      <c r="AT210" s="26">
        <f>IFERROR($AC210*HDF_Limited_Col!AT210/HDF_Limited_Col!$AH210," ")</f>
        <v>0</v>
      </c>
      <c r="AU210" s="26">
        <f>IFERROR($AC210*HDF_Limited_Col!AU210/HDF_Limited_Col!$AH210," ")</f>
        <v>0</v>
      </c>
      <c r="AV210" s="26">
        <f>IFERROR($AC210*HDF_Limited_Col!AV210/HDF_Limited_Col!$AH210," ")</f>
        <v>0</v>
      </c>
      <c r="AW210" s="26">
        <f>IFERROR($AC210*HDF_Limited_Col!AW210/HDF_Limited_Col!$AH210," ")</f>
        <v>0</v>
      </c>
      <c r="AX210" s="26">
        <f>IFERROR($AC210*HDF_Limited_Col!AX210/HDF_Limited_Col!$AH210," ")</f>
        <v>48.795960975981288</v>
      </c>
      <c r="AY210" s="26">
        <f>IFERROR($AC210*HDF_Limited_Col!AY210/HDF_Limited_Col!$AH210," ")</f>
        <v>440.8199085558623</v>
      </c>
      <c r="AZ210" s="26">
        <f>IFERROR($AC210*HDF_Limited_Col!AZ210/HDF_Limited_Col!$AH210," ")</f>
        <v>5.3509931096376349</v>
      </c>
      <c r="BA210" s="26">
        <f>IFERROR($AC210*HDF_Limited_Col!BA210/HDF_Limited_Col!$AH210," ")</f>
        <v>23.952064395520843</v>
      </c>
      <c r="BB210" s="26">
        <f>IFERROR($AC210*HDF_Limited_Col!BB210/HDF_Limited_Col!$AH210," ")</f>
        <v>0</v>
      </c>
      <c r="BC210" s="26">
        <f>IFERROR($AC210*HDF_Limited_Col!BC210/HDF_Limited_Col!$AH210," ")</f>
        <v>78.736041470382347</v>
      </c>
      <c r="BD210" s="26">
        <f>IFERROR($AC210*HDF_Limited_Col!BD210/HDF_Limited_Col!$AH210," ")</f>
        <v>0</v>
      </c>
      <c r="BE210" s="26">
        <f>IFERROR($AC210*HDF_Limited_Col!BE210/HDF_Limited_Col!$AH210," ")</f>
        <v>0</v>
      </c>
      <c r="BF210" s="26">
        <f>IFERROR($AC210*HDF_Limited_Col!BF210/HDF_Limited_Col!$AH210," ")</f>
        <v>0</v>
      </c>
      <c r="BG210" s="26">
        <f>IFERROR($AC210*HDF_Limited_Col!BG210/HDF_Limited_Col!$AH210," ")</f>
        <v>0</v>
      </c>
      <c r="BH210" s="26">
        <f>IFERROR($AC210*HDF_Limited_Col!BH210/HDF_Limited_Col!$AH210," ")</f>
        <v>1.4014505763336662</v>
      </c>
      <c r="BI210" s="26">
        <f>IFERROR($AC210*HDF_Limited_Col!BI210/HDF_Limited_Col!$AH210," ")</f>
        <v>2469.1011063042229</v>
      </c>
      <c r="BJ210" s="26">
        <f>IFERROR($AC210*HDF_Limited_Col!BJ210/HDF_Limited_Col!$AH210," ")</f>
        <v>10.192367827881208</v>
      </c>
      <c r="BK210" s="26">
        <f>IFERROR($AC210*HDF_Limited_Col!BK210/HDF_Limited_Col!$AH210," ")</f>
        <v>138.87101165488147</v>
      </c>
      <c r="BL210" s="26">
        <f>IFERROR($AC210*HDF_Limited_Col!BL210/HDF_Limited_Col!$AH210," ")</f>
        <v>157.98170133215874</v>
      </c>
      <c r="BM210" s="26">
        <f>IFERROR($AC210*HDF_Limited_Col!BM210/HDF_Limited_Col!$AH210," ")</f>
        <v>15.415956339670329</v>
      </c>
      <c r="BN210" s="26">
        <f>IFERROR($AC210*HDF_Limited_Col!BN210/HDF_Limited_Col!$AH210," ")</f>
        <v>45.228632236222865</v>
      </c>
      <c r="BO210" s="26">
        <f>IFERROR($AC210*HDF_Limited_Col!BO210/HDF_Limited_Col!$AH210," ")</f>
        <v>7.2620620773653624</v>
      </c>
      <c r="BP210" s="26">
        <f>IFERROR($AC210*HDF_Limited_Col!BP210/HDF_Limited_Col!$AH210," ")</f>
        <v>1.274045978485151</v>
      </c>
      <c r="BQ210" s="26">
        <f>IFERROR($AC210*HDF_Limited_Col!BQ210/HDF_Limited_Col!$AH210," ")</f>
        <v>2.1658781634247575</v>
      </c>
      <c r="BR210" s="26">
        <f>IFERROR($AC210*HDF_Limited_Col!BR210/HDF_Limited_Col!$AH210," ")</f>
        <v>1.274045978485151</v>
      </c>
      <c r="BS210" s="26">
        <f>IFERROR($AC210*HDF_Limited_Col!BS210/HDF_Limited_Col!$AH210," ")</f>
        <v>0.38221379354554536</v>
      </c>
      <c r="BT210" s="26">
        <f>IFERROR($AC210*HDF_Limited_Col!BT210/HDF_Limited_Col!$AH210," ")</f>
        <v>1.5288551741821814</v>
      </c>
      <c r="BU210" s="26">
        <f>IFERROR($AC210*HDF_Limited_Col!BU210/HDF_Limited_Col!$AH210," ")</f>
        <v>0</v>
      </c>
      <c r="BV210" s="26">
        <f>IFERROR($AC210*HDF_Limited_Col!BV210/HDF_Limited_Col!$AH210," ")</f>
        <v>2.0384735655762416</v>
      </c>
      <c r="BW210" s="26">
        <f>IFERROR($AC210*HDF_Limited_Col!BW210/HDF_Limited_Col!$AH210," ")</f>
        <v>0.38221379354554536</v>
      </c>
      <c r="BX210" s="26">
        <f>IFERROR($AC210*HDF_Limited_Col!BX210/HDF_Limited_Col!$AH210," ")</f>
        <v>1.4014505763336662</v>
      </c>
      <c r="BY210" s="26">
        <f>IFERROR($AC210*HDF_Limited_Col!BY210/HDF_Limited_Col!$AH210," ")</f>
        <v>0.89183218493960581</v>
      </c>
      <c r="BZ210" s="26">
        <f>IFERROR($AC210*HDF_Limited_Col!BZ210/HDF_Limited_Col!$AH210," ")</f>
        <v>5.2235885117891199</v>
      </c>
      <c r="CA210" s="26">
        <f>IFERROR($AC210*HDF_Limited_Col!CA210/HDF_Limited_Col!$AH210," ")</f>
        <v>11.339009208517846</v>
      </c>
      <c r="CB210" s="26">
        <f>IFERROR($AC210*HDF_Limited_Col!CB210/HDF_Limited_Col!$AH210," ")</f>
        <v>29.940080494401048</v>
      </c>
      <c r="CC210" s="26">
        <f>IFERROR($AC210*HDF_Limited_Col!CC210/HDF_Limited_Col!$AH210," ")</f>
        <v>5.2235885117891199</v>
      </c>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row>
    <row r="211" spans="1:109">
      <c r="A211" s="26" t="s">
        <v>672</v>
      </c>
      <c r="B211" s="26" t="s">
        <v>24</v>
      </c>
      <c r="C211" s="156" t="s">
        <v>541</v>
      </c>
      <c r="D211" s="26" t="s">
        <v>1723</v>
      </c>
      <c r="E211" s="26" t="s">
        <v>237</v>
      </c>
      <c r="F211" s="26" t="s">
        <v>29</v>
      </c>
      <c r="G211" s="26" t="s">
        <v>595</v>
      </c>
      <c r="H211" s="30">
        <v>360</v>
      </c>
      <c r="I211" s="26" t="s">
        <v>735</v>
      </c>
      <c r="J211" s="26" t="s">
        <v>1496</v>
      </c>
      <c r="K211" s="26"/>
      <c r="L211" s="26"/>
      <c r="M211" s="26" t="s">
        <v>105</v>
      </c>
      <c r="N211" s="26">
        <v>20</v>
      </c>
      <c r="O211" s="95">
        <v>46.557810204579546</v>
      </c>
      <c r="P211" s="95">
        <v>4.5596801386127535</v>
      </c>
      <c r="Q211" s="95">
        <v>12.912278060690378</v>
      </c>
      <c r="R211" s="95">
        <v>10.744896470139022</v>
      </c>
      <c r="S211" s="95">
        <v>2.7296739843264688</v>
      </c>
      <c r="T211" s="95">
        <v>2.5456510190909767</v>
      </c>
      <c r="U211" s="95">
        <v>0</v>
      </c>
      <c r="V211" s="95">
        <v>1.5641952045016845</v>
      </c>
      <c r="W211" s="95">
        <v>13.515464446740047</v>
      </c>
      <c r="X211" s="95">
        <v>2.9545909418365155</v>
      </c>
      <c r="Y211" s="95">
        <v>2.4740865326105075</v>
      </c>
      <c r="Z211" s="95">
        <v>100.55832700312791</v>
      </c>
      <c r="AA211" s="26"/>
      <c r="AB211" s="26"/>
      <c r="AC211" s="26">
        <f t="shared" si="4"/>
        <v>112196.91227723304</v>
      </c>
      <c r="AD211" s="26">
        <f>IFERROR($AC211*HDF_Limited_Col!AD211/HDF_Limited_Col!$AH211," ")</f>
        <v>107522.04093234833</v>
      </c>
      <c r="AE211" s="26">
        <f>IFERROR($AC211*HDF_Limited_Col!AE211/HDF_Limited_Col!$AH211," ")</f>
        <v>261792.79531354376</v>
      </c>
      <c r="AF211" s="26">
        <f>IFERROR($AC211*HDF_Limited_Col!AF211/HDF_Limited_Col!$AH211," ")</f>
        <v>116871.78362211776</v>
      </c>
      <c r="AG211" s="26">
        <f>IFERROR($AC211*HDF_Limited_Col!AG211/HDF_Limited_Col!$AH211," ")</f>
        <v>0</v>
      </c>
      <c r="AH211" s="26">
        <f>IFERROR($AC211*HDF_Limited_Col!AH211/HDF_Limited_Col!$AH211," ")</f>
        <v>112196.91227723304</v>
      </c>
      <c r="AI211" s="26">
        <f>IFERROR($AC211*HDF_Limited_Col!AI211/HDF_Limited_Col!$AH211," ")</f>
        <v>341265.60817658383</v>
      </c>
      <c r="AJ211" s="26">
        <f>IFERROR($AC211*HDF_Limited_Col!AJ211/HDF_Limited_Col!$AH211," ")</f>
        <v>14024.614034654131</v>
      </c>
      <c r="AK211" s="26">
        <f>IFERROR($AC211*HDF_Limited_Col!AK211/HDF_Limited_Col!$AH211," ")</f>
        <v>0</v>
      </c>
      <c r="AL211" s="26">
        <f>IFERROR($AC211*HDF_Limited_Col!AL211/HDF_Limited_Col!$AH211," ")</f>
        <v>4628.1226314358628</v>
      </c>
      <c r="AM211" s="26">
        <f>IFERROR($AC211*HDF_Limited_Col!AM211/HDF_Limited_Col!$AH211," ")</f>
        <v>1631530.0993647638</v>
      </c>
      <c r="AN211" s="26">
        <f>IFERROR($AC211*HDF_Limited_Col!AN211/HDF_Limited_Col!$AH211," ")</f>
        <v>9779.8308534988137</v>
      </c>
      <c r="AO211" s="26">
        <f>IFERROR($AC211*HDF_Limited_Col!AO211/HDF_Limited_Col!$AH211," ")</f>
        <v>15006.337017079919</v>
      </c>
      <c r="AP211" s="26">
        <f>IFERROR($AC211*HDF_Limited_Col!AP211/HDF_Limited_Col!$AH211," ")</f>
        <v>0</v>
      </c>
      <c r="AQ211" s="26">
        <f>IFERROR($AC211*HDF_Limited_Col!AQ211/HDF_Limited_Col!$AH211," ")</f>
        <v>1622.1803566749943</v>
      </c>
      <c r="AR211" s="26">
        <f>IFERROR($AC211*HDF_Limited_Col!AR211/HDF_Limited_Col!$AH211," ")</f>
        <v>112.19691227723304</v>
      </c>
      <c r="AS211" s="26">
        <f>IFERROR($AC211*HDF_Limited_Col!AS211/HDF_Limited_Col!$AH211," ")</f>
        <v>0</v>
      </c>
      <c r="AT211" s="26">
        <f>IFERROR($AC211*HDF_Limited_Col!AT211/HDF_Limited_Col!$AH211," ")</f>
        <v>0</v>
      </c>
      <c r="AU211" s="26">
        <f>IFERROR($AC211*HDF_Limited_Col!AU211/HDF_Limited_Col!$AH211," ")</f>
        <v>0</v>
      </c>
      <c r="AV211" s="26">
        <f>IFERROR($AC211*HDF_Limited_Col!AV211/HDF_Limited_Col!$AH211," ")</f>
        <v>0</v>
      </c>
      <c r="AW211" s="26">
        <f>IFERROR($AC211*HDF_Limited_Col!AW211/HDF_Limited_Col!$AH211," ")</f>
        <v>0</v>
      </c>
      <c r="AX211" s="26">
        <f>IFERROR($AC211*HDF_Limited_Col!AX211/HDF_Limited_Col!$AH211," ")</f>
        <v>233.74356724423555</v>
      </c>
      <c r="AY211" s="26">
        <f>IFERROR($AC211*HDF_Limited_Col!AY211/HDF_Limited_Col!$AH211," ")</f>
        <v>934.9742689769422</v>
      </c>
      <c r="AZ211" s="26">
        <f>IFERROR($AC211*HDF_Limited_Col!AZ211/HDF_Limited_Col!$AH211," ")</f>
        <v>23.374356724423549</v>
      </c>
      <c r="BA211" s="26">
        <f>IFERROR($AC211*HDF_Limited_Col!BA211/HDF_Limited_Col!$AH211," ")</f>
        <v>963.02349704625021</v>
      </c>
      <c r="BB211" s="26">
        <f>IFERROR($AC211*HDF_Limited_Col!BB211/HDF_Limited_Col!$AH211," ")</f>
        <v>0</v>
      </c>
      <c r="BC211" s="26">
        <f>IFERROR($AC211*HDF_Limited_Col!BC211/HDF_Limited_Col!$AH211," ")</f>
        <v>355.29022221123796</v>
      </c>
      <c r="BD211" s="26">
        <f>IFERROR($AC211*HDF_Limited_Col!BD211/HDF_Limited_Col!$AH211," ")</f>
        <v>0</v>
      </c>
      <c r="BE211" s="26">
        <f>IFERROR($AC211*HDF_Limited_Col!BE211/HDF_Limited_Col!$AH211," ")</f>
        <v>0</v>
      </c>
      <c r="BF211" s="26">
        <f>IFERROR($AC211*HDF_Limited_Col!BF211/HDF_Limited_Col!$AH211," ")</f>
        <v>0</v>
      </c>
      <c r="BG211" s="26">
        <f>IFERROR($AC211*HDF_Limited_Col!BG211/HDF_Limited_Col!$AH211," ")</f>
        <v>0</v>
      </c>
      <c r="BH211" s="26">
        <f>IFERROR($AC211*HDF_Limited_Col!BH211/HDF_Limited_Col!$AH211," ")</f>
        <v>18.699485379538842</v>
      </c>
      <c r="BI211" s="26">
        <f>IFERROR($AC211*HDF_Limited_Col!BI211/HDF_Limited_Col!$AH211," ")</f>
        <v>9489.9888301159608</v>
      </c>
      <c r="BJ211" s="26">
        <f>IFERROR($AC211*HDF_Limited_Col!BJ211/HDF_Limited_Col!$AH211," ")</f>
        <v>32864.345554539512</v>
      </c>
      <c r="BK211" s="26">
        <f>IFERROR($AC211*HDF_Limited_Col!BK211/HDF_Limited_Col!$AH211," ")</f>
        <v>266.46766665842853</v>
      </c>
      <c r="BL211" s="26">
        <f>IFERROR($AC211*HDF_Limited_Col!BL211/HDF_Limited_Col!$AH211," ")</f>
        <v>369.31483624589214</v>
      </c>
      <c r="BM211" s="26">
        <f>IFERROR($AC211*HDF_Limited_Col!BM211/HDF_Limited_Col!$AH211," ")</f>
        <v>37.398970759077685</v>
      </c>
      <c r="BN211" s="26">
        <f>IFERROR($AC211*HDF_Limited_Col!BN211/HDF_Limited_Col!$AH211," ")</f>
        <v>149.59588303631074</v>
      </c>
      <c r="BO211" s="26">
        <f>IFERROR($AC211*HDF_Limited_Col!BO211/HDF_Limited_Col!$AH211," ")</f>
        <v>84.147684207924769</v>
      </c>
      <c r="BP211" s="26">
        <f>IFERROR($AC211*HDF_Limited_Col!BP211/HDF_Limited_Col!$AH211," ")</f>
        <v>18.699485379538842</v>
      </c>
      <c r="BQ211" s="26">
        <f>IFERROR($AC211*HDF_Limited_Col!BQ211/HDF_Limited_Col!$AH211," ")</f>
        <v>14.02461403465413</v>
      </c>
      <c r="BR211" s="26">
        <f>IFERROR($AC211*HDF_Limited_Col!BR211/HDF_Limited_Col!$AH211," ")</f>
        <v>18.699485379538842</v>
      </c>
      <c r="BS211" s="26">
        <f>IFERROR($AC211*HDF_Limited_Col!BS211/HDF_Limited_Col!$AH211," ")</f>
        <v>4.6748713448847106</v>
      </c>
      <c r="BT211" s="26" t="str">
        <f>IFERROR($AC211*HDF_Limited_Col!BT211/HDF_Limited_Col!$AH211," ")</f>
        <v xml:space="preserve"> </v>
      </c>
      <c r="BU211" s="26">
        <f>IFERROR($AC211*HDF_Limited_Col!BU211/HDF_Limited_Col!$AH211," ")</f>
        <v>0</v>
      </c>
      <c r="BV211" s="26" t="str">
        <f>IFERROR($AC211*HDF_Limited_Col!BV211/HDF_Limited_Col!$AH211," ")</f>
        <v xml:space="preserve"> </v>
      </c>
      <c r="BW211" s="26" t="str">
        <f>IFERROR($AC211*HDF_Limited_Col!BW211/HDF_Limited_Col!$AH211," ")</f>
        <v xml:space="preserve"> </v>
      </c>
      <c r="BX211" s="26">
        <f>IFERROR($AC211*HDF_Limited_Col!BX211/HDF_Limited_Col!$AH211," ")</f>
        <v>28.04922806930826</v>
      </c>
      <c r="BY211" s="26">
        <f>IFERROR($AC211*HDF_Limited_Col!BY211/HDF_Limited_Col!$AH211," ")</f>
        <v>28.04922806930826</v>
      </c>
      <c r="BZ211" s="26">
        <f>IFERROR($AC211*HDF_Limited_Col!BZ211/HDF_Limited_Col!$AH211," ")</f>
        <v>0</v>
      </c>
      <c r="CA211" s="26">
        <f>IFERROR($AC211*HDF_Limited_Col!CA211/HDF_Limited_Col!$AH211," ")</f>
        <v>10424.963099092904</v>
      </c>
      <c r="CB211" s="26">
        <f>IFERROR($AC211*HDF_Limited_Col!CB211/HDF_Limited_Col!$AH211," ")</f>
        <v>32.72409941419297</v>
      </c>
      <c r="CC211" s="26">
        <f>IFERROR($AC211*HDF_Limited_Col!CC211/HDF_Limited_Col!$AH211," ")</f>
        <v>14.02461403465413</v>
      </c>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row>
    <row r="212" spans="1:109">
      <c r="A212" s="26" t="s">
        <v>672</v>
      </c>
      <c r="B212" s="26" t="s">
        <v>24</v>
      </c>
      <c r="C212" s="156" t="s">
        <v>541</v>
      </c>
      <c r="D212" s="26" t="s">
        <v>1723</v>
      </c>
      <c r="E212" s="26" t="s">
        <v>237</v>
      </c>
      <c r="F212" s="26" t="s">
        <v>29</v>
      </c>
      <c r="G212" s="26" t="s">
        <v>595</v>
      </c>
      <c r="H212" s="30">
        <v>360</v>
      </c>
      <c r="I212" s="26" t="s">
        <v>735</v>
      </c>
      <c r="J212" s="26" t="s">
        <v>1496</v>
      </c>
      <c r="K212" s="26"/>
      <c r="L212" s="26"/>
      <c r="M212" s="26" t="s">
        <v>106</v>
      </c>
      <c r="N212" s="26">
        <v>20</v>
      </c>
      <c r="O212" s="95">
        <v>43.600406991393619</v>
      </c>
      <c r="P212" s="95">
        <v>5.2710485042006265</v>
      </c>
      <c r="Q212" s="95">
        <v>10.72490793918278</v>
      </c>
      <c r="R212" s="95">
        <v>19.642018896192699</v>
      </c>
      <c r="S212" s="95">
        <v>3.6866871040940796</v>
      </c>
      <c r="T212" s="95">
        <v>3.422626870742989</v>
      </c>
      <c r="U212" s="95">
        <v>0</v>
      </c>
      <c r="V212" s="95">
        <v>1.3710819808614347</v>
      </c>
      <c r="W212" s="95">
        <v>9.2421081672881886</v>
      </c>
      <c r="X212" s="95">
        <v>2.3156051232326451</v>
      </c>
      <c r="Y212" s="95">
        <v>0.93436697955001469</v>
      </c>
      <c r="Z212" s="95">
        <v>100.21085855673908</v>
      </c>
      <c r="AA212" s="26"/>
      <c r="AB212" s="26"/>
      <c r="AC212" s="26">
        <f t="shared" si="4"/>
        <v>76722.187638327348</v>
      </c>
      <c r="AD212" s="26">
        <f>IFERROR($AC212*HDF_Limited_Col!AD212/HDF_Limited_Col!$AH212," ")</f>
        <v>15514.458996116058</v>
      </c>
      <c r="AE212" s="26">
        <f>IFERROR($AC212*HDF_Limited_Col!AE212/HDF_Limited_Col!$AH212," ")</f>
        <v>14664.351653863121</v>
      </c>
      <c r="AF212" s="26">
        <f>IFERROR($AC212*HDF_Limited_Col!AF212/HDF_Limited_Col!$AH212," ")</f>
        <v>29966.283814415943</v>
      </c>
      <c r="AG212" s="26">
        <f>IFERROR($AC212*HDF_Limited_Col!AG212/HDF_Limited_Col!$AH212," ")</f>
        <v>0</v>
      </c>
      <c r="AH212" s="26">
        <f>IFERROR($AC212*HDF_Limited_Col!AH212/HDF_Limited_Col!$AH212," ")</f>
        <v>76722.187638327348</v>
      </c>
      <c r="AI212" s="26">
        <f>IFERROR($AC212*HDF_Limited_Col!AI212/HDF_Limited_Col!$AH212," ")</f>
        <v>43142.947619336432</v>
      </c>
      <c r="AJ212" s="26">
        <f>IFERROR($AC212*HDF_Limited_Col!AJ212/HDF_Limited_Col!$AH212," ")</f>
        <v>21033.780915693234</v>
      </c>
      <c r="AK212" s="26">
        <f>IFERROR($AC212*HDF_Limited_Col!AK212/HDF_Limited_Col!$AH212," ")</f>
        <v>0</v>
      </c>
      <c r="AL212" s="26">
        <f>IFERROR($AC212*HDF_Limited_Col!AL212/HDF_Limited_Col!$AH212," ")</f>
        <v>782.09875487269983</v>
      </c>
      <c r="AM212" s="26">
        <f>IFERROR($AC212*HDF_Limited_Col!AM212/HDF_Limited_Col!$AH212," ")</f>
        <v>62482.889655590698</v>
      </c>
      <c r="AN212" s="26">
        <f>IFERROR($AC212*HDF_Limited_Col!AN212/HDF_Limited_Col!$AH212," ")</f>
        <v>53.556762561934889</v>
      </c>
      <c r="AO212" s="26">
        <f>IFERROR($AC212*HDF_Limited_Col!AO212/HDF_Limited_Col!$AH212," ")</f>
        <v>108.38868613724915</v>
      </c>
      <c r="AP212" s="26">
        <f>IFERROR($AC212*HDF_Limited_Col!AP212/HDF_Limited_Col!$AH212," ")</f>
        <v>0</v>
      </c>
      <c r="AQ212" s="26">
        <f>IFERROR($AC212*HDF_Limited_Col!AQ212/HDF_Limited_Col!$AH212," ")</f>
        <v>31.02891799223211</v>
      </c>
      <c r="AR212" s="26">
        <f>IFERROR($AC212*HDF_Limited_Col!AR212/HDF_Limited_Col!$AH212," ")</f>
        <v>11.263922284851384</v>
      </c>
      <c r="AS212" s="26">
        <f>IFERROR($AC212*HDF_Limited_Col!AS212/HDF_Limited_Col!$AH212," ")</f>
        <v>0</v>
      </c>
      <c r="AT212" s="26">
        <f>IFERROR($AC212*HDF_Limited_Col!AT212/HDF_Limited_Col!$AH212," ")</f>
        <v>0</v>
      </c>
      <c r="AU212" s="26">
        <f>IFERROR($AC212*HDF_Limited_Col!AU212/HDF_Limited_Col!$AH212," ")</f>
        <v>0</v>
      </c>
      <c r="AV212" s="26">
        <f>IFERROR($AC212*HDF_Limited_Col!AV212/HDF_Limited_Col!$AH212," ")</f>
        <v>0</v>
      </c>
      <c r="AW212" s="26">
        <f>IFERROR($AC212*HDF_Limited_Col!AW212/HDF_Limited_Col!$AH212," ")</f>
        <v>0</v>
      </c>
      <c r="AX212" s="26">
        <f>IFERROR($AC212*HDF_Limited_Col!AX212/HDF_Limited_Col!$AH212," ")</f>
        <v>403.80098757014395</v>
      </c>
      <c r="AY212" s="26">
        <f>IFERROR($AC212*HDF_Limited_Col!AY212/HDF_Limited_Col!$AH212," ")</f>
        <v>1043.5067626154773</v>
      </c>
      <c r="AZ212" s="26">
        <f>IFERROR($AC212*HDF_Limited_Col!AZ212/HDF_Limited_Col!$AH212," ")</f>
        <v>34.641874196807088</v>
      </c>
      <c r="BA212" s="26">
        <f>IFERROR($AC212*HDF_Limited_Col!BA212/HDF_Limited_Col!$AH212," ")</f>
        <v>480.09812153734475</v>
      </c>
      <c r="BB212" s="26">
        <f>IFERROR($AC212*HDF_Limited_Col!BB212/HDF_Limited_Col!$AH212," ")</f>
        <v>0</v>
      </c>
      <c r="BC212" s="26">
        <f>IFERROR($AC212*HDF_Limited_Col!BC212/HDF_Limited_Col!$AH212," ")</f>
        <v>380.210508822625</v>
      </c>
      <c r="BD212" s="26">
        <f>IFERROR($AC212*HDF_Limited_Col!BD212/HDF_Limited_Col!$AH212," ")</f>
        <v>0</v>
      </c>
      <c r="BE212" s="26">
        <f>IFERROR($AC212*HDF_Limited_Col!BE212/HDF_Limited_Col!$AH212," ")</f>
        <v>0</v>
      </c>
      <c r="BF212" s="26">
        <f>IFERROR($AC212*HDF_Limited_Col!BF212/HDF_Limited_Col!$AH212," ")</f>
        <v>0</v>
      </c>
      <c r="BG212" s="26">
        <f>IFERROR($AC212*HDF_Limited_Col!BG212/HDF_Limited_Col!$AH212," ")</f>
        <v>0</v>
      </c>
      <c r="BH212" s="26">
        <f>IFERROR($AC212*HDF_Limited_Col!BH212/HDF_Limited_Col!$AH212," ")</f>
        <v>5.1006440535176081</v>
      </c>
      <c r="BI212" s="26">
        <f>IFERROR($AC212*HDF_Limited_Col!BI212/HDF_Limited_Col!$AH212," ")</f>
        <v>2006.2533277169255</v>
      </c>
      <c r="BJ212" s="26">
        <f>IFERROR($AC212*HDF_Limited_Col!BJ212/HDF_Limited_Col!$AH212," ")</f>
        <v>47.393484330601105</v>
      </c>
      <c r="BK212" s="26">
        <f>IFERROR($AC212*HDF_Limited_Col!BK212/HDF_Limited_Col!$AH212," ")</f>
        <v>144.51824818299889</v>
      </c>
      <c r="BL212" s="26">
        <f>IFERROR($AC212*HDF_Limited_Col!BL212/HDF_Limited_Col!$AH212," ")</f>
        <v>225.27844569702768</v>
      </c>
      <c r="BM212" s="26">
        <f>IFERROR($AC212*HDF_Limited_Col!BM212/HDF_Limited_Col!$AH212," ")</f>
        <v>27.628488623220377</v>
      </c>
      <c r="BN212" s="26">
        <f>IFERROR($AC212*HDF_Limited_Col!BN212/HDF_Limited_Col!$AH212," ")</f>
        <v>104.13814942598449</v>
      </c>
      <c r="BO212" s="26">
        <f>IFERROR($AC212*HDF_Limited_Col!BO212/HDF_Limited_Col!$AH212," ")</f>
        <v>15.514458996116055</v>
      </c>
      <c r="BP212" s="26">
        <f>IFERROR($AC212*HDF_Limited_Col!BP212/HDF_Limited_Col!$AH212," ")</f>
        <v>4.4630635468279065</v>
      </c>
      <c r="BQ212" s="26">
        <f>IFERROR($AC212*HDF_Limited_Col!BQ212/HDF_Limited_Col!$AH212," ")</f>
        <v>12.539083298230784</v>
      </c>
      <c r="BR212" s="26">
        <f>IFERROR($AC212*HDF_Limited_Col!BR212/HDF_Limited_Col!$AH212," ")</f>
        <v>8.2885465869661132</v>
      </c>
      <c r="BS212" s="26">
        <f>IFERROR($AC212*HDF_Limited_Col!BS212/HDF_Limited_Col!$AH212," ")</f>
        <v>1.4876878489426357</v>
      </c>
      <c r="BT212" s="26">
        <f>IFERROR($AC212*HDF_Limited_Col!BT212/HDF_Limited_Col!$AH212," ")</f>
        <v>2.9753756978852715</v>
      </c>
      <c r="BU212" s="26">
        <f>IFERROR($AC212*HDF_Limited_Col!BU212/HDF_Limited_Col!$AH212," ")</f>
        <v>0</v>
      </c>
      <c r="BV212" s="26">
        <f>IFERROR($AC212*HDF_Limited_Col!BV212/HDF_Limited_Col!$AH212," ")</f>
        <v>2.1252683556323366</v>
      </c>
      <c r="BW212" s="26">
        <f>IFERROR($AC212*HDF_Limited_Col!BW212/HDF_Limited_Col!$AH212," ")</f>
        <v>0.42505367112646736</v>
      </c>
      <c r="BX212" s="26">
        <f>IFERROR($AC212*HDF_Limited_Col!BX212/HDF_Limited_Col!$AH212," ")</f>
        <v>14.239297982736655</v>
      </c>
      <c r="BY212" s="26">
        <f>IFERROR($AC212*HDF_Limited_Col!BY212/HDF_Limited_Col!$AH212," ")</f>
        <v>16.152039502805756</v>
      </c>
      <c r="BZ212" s="26">
        <f>IFERROR($AC212*HDF_Limited_Col!BZ212/HDF_Limited_Col!$AH212," ")</f>
        <v>0</v>
      </c>
      <c r="CA212" s="26">
        <f>IFERROR($AC212*HDF_Limited_Col!CA212/HDF_Limited_Col!$AH212," ")</f>
        <v>23.590478747518937</v>
      </c>
      <c r="CB212" s="26">
        <f>IFERROR($AC212*HDF_Limited_Col!CB212/HDF_Limited_Col!$AH212," ")</f>
        <v>26.778381280967444</v>
      </c>
      <c r="CC212" s="26">
        <f>IFERROR($AC212*HDF_Limited_Col!CC212/HDF_Limited_Col!$AH212," ")</f>
        <v>6.8008587380234777</v>
      </c>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row>
    <row r="213" spans="1:109">
      <c r="A213" s="26" t="s">
        <v>672</v>
      </c>
      <c r="B213" s="26" t="s">
        <v>24</v>
      </c>
      <c r="C213" s="156" t="s">
        <v>541</v>
      </c>
      <c r="D213" s="26" t="s">
        <v>1723</v>
      </c>
      <c r="E213" s="26" t="s">
        <v>237</v>
      </c>
      <c r="F213" s="26" t="s">
        <v>29</v>
      </c>
      <c r="G213" s="26" t="s">
        <v>595</v>
      </c>
      <c r="H213" s="30">
        <v>360</v>
      </c>
      <c r="I213" s="26" t="s">
        <v>735</v>
      </c>
      <c r="J213" s="26" t="s">
        <v>1496</v>
      </c>
      <c r="K213" s="26"/>
      <c r="L213" s="26"/>
      <c r="M213" s="26" t="s">
        <v>107</v>
      </c>
      <c r="N213" s="26">
        <v>20</v>
      </c>
      <c r="O213" s="95">
        <v>46.735410761956693</v>
      </c>
      <c r="P213" s="95">
        <v>5.3110724873704855</v>
      </c>
      <c r="Q213" s="95">
        <v>11.858692385922648</v>
      </c>
      <c r="R213" s="95">
        <v>14.068260710821058</v>
      </c>
      <c r="S213" s="95">
        <v>3.9731687310099817</v>
      </c>
      <c r="T213" s="95">
        <v>2.6149937056137125</v>
      </c>
      <c r="U213" s="95">
        <v>0</v>
      </c>
      <c r="V213" s="95">
        <v>1.023699086306143</v>
      </c>
      <c r="W213" s="95">
        <v>11.341775025510636</v>
      </c>
      <c r="X213" s="95">
        <v>1.9663130964692255</v>
      </c>
      <c r="Y213" s="95">
        <v>1.4291244670214471</v>
      </c>
      <c r="Z213" s="95">
        <v>100.32251045800203</v>
      </c>
      <c r="AA213" s="26"/>
      <c r="AB213" s="26"/>
      <c r="AC213" s="26">
        <f t="shared" si="4"/>
        <v>94152.305503068477</v>
      </c>
      <c r="AD213" s="26">
        <f>IFERROR($AC213*HDF_Limited_Col!AD213/HDF_Limited_Col!$AH213," ")</f>
        <v>10072.107100328256</v>
      </c>
      <c r="AE213" s="26">
        <f>IFERROR($AC213*HDF_Limited_Col!AE213/HDF_Limited_Col!$AH213," ")</f>
        <v>17078.790300556608</v>
      </c>
      <c r="AF213" s="26">
        <f>IFERROR($AC213*HDF_Limited_Col!AF213/HDF_Limited_Col!$AH213," ")</f>
        <v>28464.650500927681</v>
      </c>
      <c r="AG213" s="26">
        <f>IFERROR($AC213*HDF_Limited_Col!AG213/HDF_Limited_Col!$AH213," ")</f>
        <v>0</v>
      </c>
      <c r="AH213" s="26">
        <f>IFERROR($AC213*HDF_Limited_Col!AH213/HDF_Limited_Col!$AH213," ")</f>
        <v>94152.305503068477</v>
      </c>
      <c r="AI213" s="26">
        <f>IFERROR($AC213*HDF_Limited_Col!AI213/HDF_Limited_Col!$AH213," ")</f>
        <v>20582.131900670782</v>
      </c>
      <c r="AJ213" s="26">
        <f>IFERROR($AC213*HDF_Limited_Col!AJ213/HDF_Limited_Col!$AH213," ")</f>
        <v>16645.251777542479</v>
      </c>
      <c r="AK213" s="26">
        <f>IFERROR($AC213*HDF_Limited_Col!AK213/HDF_Limited_Col!$AH213," ")</f>
        <v>0</v>
      </c>
      <c r="AL213" s="26">
        <f>IFERROR($AC213*HDF_Limited_Col!AL213/HDF_Limited_Col!$AH213," ")</f>
        <v>376.6092220122739</v>
      </c>
      <c r="AM213" s="26">
        <f>IFERROR($AC213*HDF_Limited_Col!AM213/HDF_Limited_Col!$AH213," ")</f>
        <v>42478.016901384384</v>
      </c>
      <c r="AN213" s="26">
        <f>IFERROR($AC213*HDF_Limited_Col!AN213/HDF_Limited_Col!$AH213," ")</f>
        <v>307.41822541001892</v>
      </c>
      <c r="AO213" s="26">
        <f>IFERROR($AC213*HDF_Limited_Col!AO213/HDF_Limited_Col!$AH213," ")</f>
        <v>190.05628180619405</v>
      </c>
      <c r="AP213" s="26">
        <f>IFERROR($AC213*HDF_Limited_Col!AP213/HDF_Limited_Col!$AH213," ")</f>
        <v>0</v>
      </c>
      <c r="AQ213" s="26">
        <f>IFERROR($AC213*HDF_Limited_Col!AQ213/HDF_Limited_Col!$AH213," ")</f>
        <v>23.647555800770686</v>
      </c>
      <c r="AR213" s="26">
        <f>IFERROR($AC213*HDF_Limited_Col!AR213/HDF_Limited_Col!$AH213," ")</f>
        <v>35.909251401170309</v>
      </c>
      <c r="AS213" s="26">
        <f>IFERROR($AC213*HDF_Limited_Col!AS213/HDF_Limited_Col!$AH213," ")</f>
        <v>0</v>
      </c>
      <c r="AT213" s="26">
        <f>IFERROR($AC213*HDF_Limited_Col!AT213/HDF_Limited_Col!$AH213," ")</f>
        <v>0</v>
      </c>
      <c r="AU213" s="26">
        <f>IFERROR($AC213*HDF_Limited_Col!AU213/HDF_Limited_Col!$AH213," ")</f>
        <v>0</v>
      </c>
      <c r="AV213" s="26">
        <f>IFERROR($AC213*HDF_Limited_Col!AV213/HDF_Limited_Col!$AH213," ")</f>
        <v>0</v>
      </c>
      <c r="AW213" s="26">
        <f>IFERROR($AC213*HDF_Limited_Col!AW213/HDF_Limited_Col!$AH213," ")</f>
        <v>0</v>
      </c>
      <c r="AX213" s="26">
        <f>IFERROR($AC213*HDF_Limited_Col!AX213/HDF_Limited_Col!$AH213," ")</f>
        <v>337.19662901098945</v>
      </c>
      <c r="AY213" s="26">
        <f>IFERROR($AC213*HDF_Limited_Col!AY213/HDF_Limited_Col!$AH213," ")</f>
        <v>783.87268302554685</v>
      </c>
      <c r="AZ213" s="26">
        <f>IFERROR($AC213*HDF_Limited_Col!AZ213/HDF_Limited_Col!$AH213," ")</f>
        <v>10.947942500356799</v>
      </c>
      <c r="BA213" s="26">
        <f>IFERROR($AC213*HDF_Limited_Col!BA213/HDF_Limited_Col!$AH213," ")</f>
        <v>389.30883531268785</v>
      </c>
      <c r="BB213" s="26">
        <f>IFERROR($AC213*HDF_Limited_Col!BB213/HDF_Limited_Col!$AH213," ")</f>
        <v>0</v>
      </c>
      <c r="BC213" s="26">
        <f>IFERROR($AC213*HDF_Limited_Col!BC213/HDF_Limited_Col!$AH213," ")</f>
        <v>494.40908331611303</v>
      </c>
      <c r="BD213" s="26">
        <f>IFERROR($AC213*HDF_Limited_Col!BD213/HDF_Limited_Col!$AH213," ")</f>
        <v>0</v>
      </c>
      <c r="BE213" s="26">
        <f>IFERROR($AC213*HDF_Limited_Col!BE213/HDF_Limited_Col!$AH213," ")</f>
        <v>0</v>
      </c>
      <c r="BF213" s="26">
        <f>IFERROR($AC213*HDF_Limited_Col!BF213/HDF_Limited_Col!$AH213," ")</f>
        <v>0</v>
      </c>
      <c r="BG213" s="26">
        <f>IFERROR($AC213*HDF_Limited_Col!BG213/HDF_Limited_Col!$AH213," ")</f>
        <v>0</v>
      </c>
      <c r="BH213" s="26">
        <f>IFERROR($AC213*HDF_Limited_Col!BH213/HDF_Limited_Col!$AH213," ")</f>
        <v>5.6929301001855359</v>
      </c>
      <c r="BI213" s="26">
        <f>IFERROR($AC213*HDF_Limited_Col!BI213/HDF_Limited_Col!$AH213," ")</f>
        <v>3341.3120511088955</v>
      </c>
      <c r="BJ213" s="26">
        <f>IFERROR($AC213*HDF_Limited_Col!BJ213/HDF_Limited_Col!$AH213," ")</f>
        <v>59.118889501926724</v>
      </c>
      <c r="BK213" s="26">
        <f>IFERROR($AC213*HDF_Limited_Col!BK213/HDF_Limited_Col!$AH213," ")</f>
        <v>146.70242950478112</v>
      </c>
      <c r="BL213" s="26">
        <f>IFERROR($AC213*HDF_Limited_Col!BL213/HDF_Limited_Col!$AH213," ")</f>
        <v>206.69715440673636</v>
      </c>
      <c r="BM213" s="26">
        <f>IFERROR($AC213*HDF_Limited_Col!BM213/HDF_Limited_Col!$AH213," ")</f>
        <v>26.712979700870591</v>
      </c>
      <c r="BN213" s="26">
        <f>IFERROR($AC213*HDF_Limited_Col!BN213/HDF_Limited_Col!$AH213," ")</f>
        <v>97.655647103182659</v>
      </c>
      <c r="BO213" s="26">
        <f>IFERROR($AC213*HDF_Limited_Col!BO213/HDF_Limited_Col!$AH213," ")</f>
        <v>7.882518600256895</v>
      </c>
      <c r="BP213" s="26">
        <f>IFERROR($AC213*HDF_Limited_Col!BP213/HDF_Limited_Col!$AH213," ")</f>
        <v>3.9412593001284475</v>
      </c>
      <c r="BQ213" s="26">
        <f>IFERROR($AC213*HDF_Limited_Col!BQ213/HDF_Limited_Col!$AH213," ")</f>
        <v>6.1308478001998079</v>
      </c>
      <c r="BR213" s="26">
        <f>IFERROR($AC213*HDF_Limited_Col!BR213/HDF_Limited_Col!$AH213," ")</f>
        <v>8.7583540002854399</v>
      </c>
      <c r="BS213" s="26">
        <f>IFERROR($AC213*HDF_Limited_Col!BS213/HDF_Limited_Col!$AH213," ")</f>
        <v>0.87583540002854399</v>
      </c>
      <c r="BT213" s="26" t="str">
        <f>IFERROR($AC213*HDF_Limited_Col!BT213/HDF_Limited_Col!$AH213," ")</f>
        <v xml:space="preserve"> </v>
      </c>
      <c r="BU213" s="26">
        <f>IFERROR($AC213*HDF_Limited_Col!BU213/HDF_Limited_Col!$AH213," ")</f>
        <v>0</v>
      </c>
      <c r="BV213" s="26">
        <f>IFERROR($AC213*HDF_Limited_Col!BV213/HDF_Limited_Col!$AH213," ")</f>
        <v>5.2550124001712639</v>
      </c>
      <c r="BW213" s="26">
        <f>IFERROR($AC213*HDF_Limited_Col!BW213/HDF_Limited_Col!$AH213," ")</f>
        <v>0.87583540002854399</v>
      </c>
      <c r="BX213" s="26">
        <f>IFERROR($AC213*HDF_Limited_Col!BX213/HDF_Limited_Col!$AH213," ")</f>
        <v>20.582131900670785</v>
      </c>
      <c r="BY213" s="26">
        <f>IFERROR($AC213*HDF_Limited_Col!BY213/HDF_Limited_Col!$AH213," ")</f>
        <v>21.895885000713598</v>
      </c>
      <c r="BZ213" s="26">
        <f>IFERROR($AC213*HDF_Limited_Col!BZ213/HDF_Limited_Col!$AH213," ")</f>
        <v>0</v>
      </c>
      <c r="CA213" s="26">
        <f>IFERROR($AC213*HDF_Limited_Col!CA213/HDF_Limited_Col!$AH213," ")</f>
        <v>43.353852301412928</v>
      </c>
      <c r="CB213" s="26">
        <f>IFERROR($AC213*HDF_Limited_Col!CB213/HDF_Limited_Col!$AH213," ")</f>
        <v>25.399226600827777</v>
      </c>
      <c r="CC213" s="26">
        <f>IFERROR($AC213*HDF_Limited_Col!CC213/HDF_Limited_Col!$AH213," ")</f>
        <v>7.4446009002426248</v>
      </c>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row>
    <row r="214" spans="1:109">
      <c r="A214" s="26" t="s">
        <v>672</v>
      </c>
      <c r="B214" s="26" t="s">
        <v>24</v>
      </c>
      <c r="C214" s="156" t="s">
        <v>541</v>
      </c>
      <c r="D214" s="26" t="s">
        <v>1723</v>
      </c>
      <c r="E214" s="26" t="s">
        <v>237</v>
      </c>
      <c r="F214" s="26" t="s">
        <v>29</v>
      </c>
      <c r="G214" s="26" t="s">
        <v>595</v>
      </c>
      <c r="H214" s="30">
        <v>360</v>
      </c>
      <c r="I214" s="26" t="s">
        <v>735</v>
      </c>
      <c r="J214" s="26" t="s">
        <v>1496</v>
      </c>
      <c r="K214" s="26"/>
      <c r="L214" s="26"/>
      <c r="M214" s="26" t="s">
        <v>108</v>
      </c>
      <c r="N214" s="26">
        <v>24</v>
      </c>
      <c r="O214" s="95">
        <v>49.436854626049318</v>
      </c>
      <c r="P214" s="95">
        <v>4.5585813609380992</v>
      </c>
      <c r="Q214" s="95">
        <v>14.282207235045533</v>
      </c>
      <c r="R214" s="95">
        <v>10.208796395892417</v>
      </c>
      <c r="S214" s="95">
        <v>3.2951164604563639</v>
      </c>
      <c r="T214" s="95">
        <v>2.7391919042444011</v>
      </c>
      <c r="U214" s="95">
        <v>0</v>
      </c>
      <c r="V214" s="95">
        <v>0.6165708714350866</v>
      </c>
      <c r="W214" s="95">
        <v>11.553123050004983</v>
      </c>
      <c r="X214" s="95">
        <v>2.7695150618559627</v>
      </c>
      <c r="Y214" s="95">
        <v>0.69743262506591763</v>
      </c>
      <c r="Z214" s="95">
        <v>100.1573895909881</v>
      </c>
      <c r="AA214" s="26"/>
      <c r="AB214" s="26"/>
      <c r="AC214" s="26">
        <f t="shared" si="4"/>
        <v>95906.784297164108</v>
      </c>
      <c r="AD214" s="26">
        <f>IFERROR($AC214*HDF_Limited_Col!AD214/HDF_Limited_Col!$AH214," ")</f>
        <v>11204.063586117301</v>
      </c>
      <c r="AE214" s="26">
        <f>IFERROR($AC214*HDF_Limited_Col!AE214/HDF_Limited_Col!$AH214," ")</f>
        <v>24648.939889458066</v>
      </c>
      <c r="AF214" s="26">
        <f>IFERROR($AC214*HDF_Limited_Col!AF214/HDF_Limited_Col!$AH214," ")</f>
        <v>50194.204865805521</v>
      </c>
      <c r="AG214" s="26">
        <f>IFERROR($AC214*HDF_Limited_Col!AG214/HDF_Limited_Col!$AH214," ")</f>
        <v>0</v>
      </c>
      <c r="AH214" s="26">
        <f>IFERROR($AC214*HDF_Limited_Col!AH214/HDF_Limited_Col!$AH214," ")</f>
        <v>95906.784297164108</v>
      </c>
      <c r="AI214" s="26">
        <f>IFERROR($AC214*HDF_Limited_Col!AI214/HDF_Limited_Col!$AH214," ")</f>
        <v>58261.130647809972</v>
      </c>
      <c r="AJ214" s="26">
        <f>IFERROR($AC214*HDF_Limited_Col!AJ214/HDF_Limited_Col!$AH214," ")</f>
        <v>25011.951549648267</v>
      </c>
      <c r="AK214" s="26">
        <f>IFERROR($AC214*HDF_Limited_Col!AK214/HDF_Limited_Col!$AH214," ")</f>
        <v>0</v>
      </c>
      <c r="AL214" s="26">
        <f>IFERROR($AC214*HDF_Limited_Col!AL214/HDF_Limited_Col!$AH214," ")</f>
        <v>820.13745450378656</v>
      </c>
      <c r="AM214" s="26">
        <f>IFERROR($AC214*HDF_Limited_Col!AM214/HDF_Limited_Col!$AH214," ")</f>
        <v>58709.293191254663</v>
      </c>
      <c r="AN214" s="26">
        <f>IFERROR($AC214*HDF_Limited_Col!AN214/HDF_Limited_Col!$AH214," ")</f>
        <v>135.7932506637417</v>
      </c>
      <c r="AO214" s="26">
        <f>IFERROR($AC214*HDF_Limited_Col!AO214/HDF_Limited_Col!$AH214," ")</f>
        <v>34.508515845241291</v>
      </c>
      <c r="AP214" s="26">
        <f>IFERROR($AC214*HDF_Limited_Col!AP214/HDF_Limited_Col!$AH214," ")</f>
        <v>0</v>
      </c>
      <c r="AQ214" s="26">
        <f>IFERROR($AC214*HDF_Limited_Col!AQ214/HDF_Limited_Col!$AH214," ")</f>
        <v>32.267703128017828</v>
      </c>
      <c r="AR214" s="26">
        <f>IFERROR($AC214*HDF_Limited_Col!AR214/HDF_Limited_Col!$AH214," ")</f>
        <v>114.28144857839649</v>
      </c>
      <c r="AS214" s="26">
        <f>IFERROR($AC214*HDF_Limited_Col!AS214/HDF_Limited_Col!$AH214," ")</f>
        <v>0</v>
      </c>
      <c r="AT214" s="26">
        <f>IFERROR($AC214*HDF_Limited_Col!AT214/HDF_Limited_Col!$AH214," ")</f>
        <v>0</v>
      </c>
      <c r="AU214" s="26">
        <f>IFERROR($AC214*HDF_Limited_Col!AU214/HDF_Limited_Col!$AH214," ")</f>
        <v>0</v>
      </c>
      <c r="AV214" s="26">
        <f>IFERROR($AC214*HDF_Limited_Col!AV214/HDF_Limited_Col!$AH214," ")</f>
        <v>0</v>
      </c>
      <c r="AW214" s="26">
        <f>IFERROR($AC214*HDF_Limited_Col!AW214/HDF_Limited_Col!$AH214," ")</f>
        <v>0</v>
      </c>
      <c r="AX214" s="26">
        <f>IFERROR($AC214*HDF_Limited_Col!AX214/HDF_Limited_Col!$AH214," ")</f>
        <v>336.12190758351903</v>
      </c>
      <c r="AY214" s="26">
        <f>IFERROR($AC214*HDF_Limited_Col!AY214/HDF_Limited_Col!$AH214," ")</f>
        <v>1994.3233183288799</v>
      </c>
      <c r="AZ214" s="26">
        <f>IFERROR($AC214*HDF_Limited_Col!AZ214/HDF_Limited_Col!$AH214," ")</f>
        <v>31.371378041128448</v>
      </c>
      <c r="BA214" s="26">
        <f>IFERROR($AC214*HDF_Limited_Col!BA214/HDF_Limited_Col!$AH214," ")</f>
        <v>923.21483949606568</v>
      </c>
      <c r="BB214" s="26">
        <f>IFERROR($AC214*HDF_Limited_Col!BB214/HDF_Limited_Col!$AH214," ")</f>
        <v>0</v>
      </c>
      <c r="BC214" s="26">
        <f>IFERROR($AC214*HDF_Limited_Col!BC214/HDF_Limited_Col!$AH214," ")</f>
        <v>105.76636025294732</v>
      </c>
      <c r="BD214" s="26">
        <f>IFERROR($AC214*HDF_Limited_Col!BD214/HDF_Limited_Col!$AH214," ")</f>
        <v>0</v>
      </c>
      <c r="BE214" s="26">
        <f>IFERROR($AC214*HDF_Limited_Col!BE214/HDF_Limited_Col!$AH214," ")</f>
        <v>0</v>
      </c>
      <c r="BF214" s="26">
        <f>IFERROR($AC214*HDF_Limited_Col!BF214/HDF_Limited_Col!$AH214," ")</f>
        <v>0</v>
      </c>
      <c r="BG214" s="26">
        <f>IFERROR($AC214*HDF_Limited_Col!BG214/HDF_Limited_Col!$AH214," ")</f>
        <v>0</v>
      </c>
      <c r="BH214" s="26">
        <f>IFERROR($AC214*HDF_Limited_Col!BH214/HDF_Limited_Col!$AH214," ")</f>
        <v>3.1371378041128448</v>
      </c>
      <c r="BI214" s="26">
        <f>IFERROR($AC214*HDF_Limited_Col!BI214/HDF_Limited_Col!$AH214," ")</f>
        <v>4687.7802044314794</v>
      </c>
      <c r="BJ214" s="26">
        <f>IFERROR($AC214*HDF_Limited_Col!BJ214/HDF_Limited_Col!$AH214," ")</f>
        <v>99.940247188166339</v>
      </c>
      <c r="BK214" s="26">
        <f>IFERROR($AC214*HDF_Limited_Col!BK214/HDF_Limited_Col!$AH214," ")</f>
        <v>202.12130709355614</v>
      </c>
      <c r="BL214" s="26">
        <f>IFERROR($AC214*HDF_Limited_Col!BL214/HDF_Limited_Col!$AH214," ")</f>
        <v>342.84434573518945</v>
      </c>
      <c r="BM214" s="26">
        <f>IFERROR($AC214*HDF_Limited_Col!BM214/HDF_Limited_Col!$AH214," ")</f>
        <v>51.090529952694901</v>
      </c>
      <c r="BN214" s="26">
        <f>IFERROR($AC214*HDF_Limited_Col!BN214/HDF_Limited_Col!$AH214," ")</f>
        <v>237.07798548224216</v>
      </c>
      <c r="BO214" s="26">
        <f>IFERROR($AC214*HDF_Limited_Col!BO214/HDF_Limited_Col!$AH214," ")</f>
        <v>29.578727867349681</v>
      </c>
      <c r="BP214" s="26">
        <f>IFERROR($AC214*HDF_Limited_Col!BP214/HDF_Limited_Col!$AH214," ")</f>
        <v>10.307738499227918</v>
      </c>
      <c r="BQ214" s="26">
        <f>IFERROR($AC214*HDF_Limited_Col!BQ214/HDF_Limited_Col!$AH214," ")</f>
        <v>7.6187632385597661</v>
      </c>
      <c r="BR214" s="26">
        <f>IFERROR($AC214*HDF_Limited_Col!BR214/HDF_Limited_Col!$AH214," ")</f>
        <v>9.4114134123385345</v>
      </c>
      <c r="BS214" s="26">
        <f>IFERROR($AC214*HDF_Limited_Col!BS214/HDF_Limited_Col!$AH214," ")</f>
        <v>2.2408127172234606</v>
      </c>
      <c r="BT214" s="26" t="str">
        <f>IFERROR($AC214*HDF_Limited_Col!BT214/HDF_Limited_Col!$AH214," ")</f>
        <v xml:space="preserve"> </v>
      </c>
      <c r="BU214" s="26">
        <f>IFERROR($AC214*HDF_Limited_Col!BU214/HDF_Limited_Col!$AH214," ")</f>
        <v>0</v>
      </c>
      <c r="BV214" s="26">
        <f>IFERROR($AC214*HDF_Limited_Col!BV214/HDF_Limited_Col!$AH214," ")</f>
        <v>6.7224381516703806</v>
      </c>
      <c r="BW214" s="26" t="str">
        <f>IFERROR($AC214*HDF_Limited_Col!BW214/HDF_Limited_Col!$AH214," ")</f>
        <v xml:space="preserve"> </v>
      </c>
      <c r="BX214" s="26">
        <f>IFERROR($AC214*HDF_Limited_Col!BX214/HDF_Limited_Col!$AH214," ")</f>
        <v>27.337915150126218</v>
      </c>
      <c r="BY214" s="26">
        <f>IFERROR($AC214*HDF_Limited_Col!BY214/HDF_Limited_Col!$AH214," ")</f>
        <v>2.2408127172234606</v>
      </c>
      <c r="BZ214" s="26">
        <f>IFERROR($AC214*HDF_Limited_Col!BZ214/HDF_Limited_Col!$AH214," ")</f>
        <v>0</v>
      </c>
      <c r="CA214" s="26">
        <f>IFERROR($AC214*HDF_Limited_Col!CA214/HDF_Limited_Col!$AH214," ")</f>
        <v>38.99014127968821</v>
      </c>
      <c r="CB214" s="26">
        <f>IFERROR($AC214*HDF_Limited_Col!CB214/HDF_Limited_Col!$AH214," ")</f>
        <v>25.54526497634745</v>
      </c>
      <c r="CC214" s="26">
        <f>IFERROR($AC214*HDF_Limited_Col!CC214/HDF_Limited_Col!$AH214," ")</f>
        <v>5.377950521336305</v>
      </c>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row>
    <row r="215" spans="1:109">
      <c r="A215" s="26" t="s">
        <v>672</v>
      </c>
      <c r="B215" s="26" t="s">
        <v>24</v>
      </c>
      <c r="C215" s="156" t="s">
        <v>541</v>
      </c>
      <c r="D215" s="26" t="s">
        <v>1723</v>
      </c>
      <c r="E215" s="26" t="s">
        <v>237</v>
      </c>
      <c r="F215" s="26" t="s">
        <v>29</v>
      </c>
      <c r="G215" s="26" t="s">
        <v>595</v>
      </c>
      <c r="H215" s="30">
        <v>360</v>
      </c>
      <c r="I215" s="26" t="s">
        <v>735</v>
      </c>
      <c r="J215" s="26" t="s">
        <v>1496</v>
      </c>
      <c r="K215" s="26"/>
      <c r="L215" s="26"/>
      <c r="M215" s="26" t="s">
        <v>111</v>
      </c>
      <c r="N215" s="26">
        <v>24</v>
      </c>
      <c r="O215" s="95">
        <v>53.030605784801452</v>
      </c>
      <c r="P215" s="95">
        <v>3.5569308758098543</v>
      </c>
      <c r="Q215" s="95">
        <v>16.592274142272103</v>
      </c>
      <c r="R215" s="95">
        <v>7.1239666688805308</v>
      </c>
      <c r="S215" s="95">
        <v>3.3447276133325619</v>
      </c>
      <c r="T215" s="95">
        <v>1.6268916789925754</v>
      </c>
      <c r="U215" s="95">
        <v>0</v>
      </c>
      <c r="V215" s="95">
        <v>0.69723929099681792</v>
      </c>
      <c r="W215" s="95">
        <v>10.75163196551615</v>
      </c>
      <c r="X215" s="95">
        <v>2.6575932395965669</v>
      </c>
      <c r="Y215" s="95">
        <v>0.79828846360505257</v>
      </c>
      <c r="Z215" s="95">
        <v>100.18014972380367</v>
      </c>
      <c r="AA215" s="26"/>
      <c r="AB215" s="26"/>
      <c r="AC215" s="26">
        <f t="shared" si="4"/>
        <v>89253.30781089596</v>
      </c>
      <c r="AD215" s="26">
        <f>IFERROR($AC215*HDF_Limited_Col!AD215/HDF_Limited_Col!$AH215," ")</f>
        <v>9203.5785032818367</v>
      </c>
      <c r="AE215" s="26">
        <f>IFERROR($AC215*HDF_Limited_Col!AE215/HDF_Limited_Col!$AH215," ")</f>
        <v>22045.78106600068</v>
      </c>
      <c r="AF215" s="26">
        <f>IFERROR($AC215*HDF_Limited_Col!AF215/HDF_Limited_Col!$AH215," ")</f>
        <v>56719.72798534156</v>
      </c>
      <c r="AG215" s="26">
        <f>IFERROR($AC215*HDF_Limited_Col!AG215/HDF_Limited_Col!$AH215," ")</f>
        <v>0</v>
      </c>
      <c r="AH215" s="26">
        <f>IFERROR($AC215*HDF_Limited_Col!AH215/HDF_Limited_Col!$AH215," ")</f>
        <v>89253.30781089596</v>
      </c>
      <c r="AI215" s="26">
        <f>IFERROR($AC215*HDF_Limited_Col!AI215/HDF_Limited_Col!$AH215," ")</f>
        <v>16908.900040913144</v>
      </c>
      <c r="AJ215" s="26">
        <f>IFERROR($AC215*HDF_Limited_Col!AJ215/HDF_Limited_Col!$AH215," ")</f>
        <v>15205.167834259111</v>
      </c>
      <c r="AK215" s="26">
        <f>IFERROR($AC215*HDF_Limited_Col!AK215/HDF_Limited_Col!$AH215," ")</f>
        <v>0</v>
      </c>
      <c r="AL215" s="26">
        <f>IFERROR($AC215*HDF_Limited_Col!AL215/HDF_Limited_Col!$AH215," ")</f>
        <v>295.3706589425334</v>
      </c>
      <c r="AM215" s="26">
        <f>IFERROR($AC215*HDF_Limited_Col!AM215/HDF_Limited_Col!$AH215," ")</f>
        <v>25042.294997301742</v>
      </c>
      <c r="AN215" s="26">
        <f>IFERROR($AC215*HDF_Limited_Col!AN215/HDF_Limited_Col!$AH215," ")</f>
        <v>22.901927903515272</v>
      </c>
      <c r="AO215" s="26">
        <f>IFERROR($AC215*HDF_Limited_Col!AO215/HDF_Limited_Col!$AH215," ")</f>
        <v>26.112478544194982</v>
      </c>
      <c r="AP215" s="26">
        <f>IFERROR($AC215*HDF_Limited_Col!AP215/HDF_Limited_Col!$AH215," ")</f>
        <v>0</v>
      </c>
      <c r="AQ215" s="26">
        <f>IFERROR($AC215*HDF_Limited_Col!AQ215/HDF_Limited_Col!$AH215," ")</f>
        <v>9.8456886314177794</v>
      </c>
      <c r="AR215" s="26">
        <f>IFERROR($AC215*HDF_Limited_Col!AR215/HDF_Limited_Col!$AH215," ")</f>
        <v>110.01486862062477</v>
      </c>
      <c r="AS215" s="26">
        <f>IFERROR($AC215*HDF_Limited_Col!AS215/HDF_Limited_Col!$AH215," ")</f>
        <v>0</v>
      </c>
      <c r="AT215" s="26">
        <f>IFERROR($AC215*HDF_Limited_Col!AT215/HDF_Limited_Col!$AH215," ")</f>
        <v>0</v>
      </c>
      <c r="AU215" s="26">
        <f>IFERROR($AC215*HDF_Limited_Col!AU215/HDF_Limited_Col!$AH215," ")</f>
        <v>0</v>
      </c>
      <c r="AV215" s="26">
        <f>IFERROR($AC215*HDF_Limited_Col!AV215/HDF_Limited_Col!$AH215," ")</f>
        <v>0</v>
      </c>
      <c r="AW215" s="26">
        <f>IFERROR($AC215*HDF_Limited_Col!AW215/HDF_Limited_Col!$AH215," ")</f>
        <v>0</v>
      </c>
      <c r="AX215" s="26">
        <f>IFERROR($AC215*HDF_Limited_Col!AX215/HDF_Limited_Col!$AH215," ")</f>
        <v>556.49544438448322</v>
      </c>
      <c r="AY215" s="26">
        <f>IFERROR($AC215*HDF_Limited_Col!AY215/HDF_Limited_Col!$AH215," ")</f>
        <v>481.5825961019566</v>
      </c>
      <c r="AZ215" s="26">
        <f>IFERROR($AC215*HDF_Limited_Col!AZ215/HDF_Limited_Col!$AH215," ")</f>
        <v>7.2772481188740121</v>
      </c>
      <c r="BA215" s="26">
        <f>IFERROR($AC215*HDF_Limited_Col!BA215/HDF_Limited_Col!$AH215," ")</f>
        <v>417.37158328836239</v>
      </c>
      <c r="BB215" s="26">
        <f>IFERROR($AC215*HDF_Limited_Col!BB215/HDF_Limited_Col!$AH215," ")</f>
        <v>0</v>
      </c>
      <c r="BC215" s="26">
        <f>IFERROR($AC215*HDF_Limited_Col!BC215/HDF_Limited_Col!$AH215," ")</f>
        <v>230.51753600080323</v>
      </c>
      <c r="BD215" s="26">
        <f>IFERROR($AC215*HDF_Limited_Col!BD215/HDF_Limited_Col!$AH215," ")</f>
        <v>0</v>
      </c>
      <c r="BE215" s="26">
        <f>IFERROR($AC215*HDF_Limited_Col!BE215/HDF_Limited_Col!$AH215," ")</f>
        <v>0</v>
      </c>
      <c r="BF215" s="26">
        <f>IFERROR($AC215*HDF_Limited_Col!BF215/HDF_Limited_Col!$AH215," ")</f>
        <v>0</v>
      </c>
      <c r="BG215" s="26">
        <f>IFERROR($AC215*HDF_Limited_Col!BG215/HDF_Limited_Col!$AH215," ")</f>
        <v>0</v>
      </c>
      <c r="BH215" s="26">
        <f>IFERROR($AC215*HDF_Limited_Col!BH215/HDF_Limited_Col!$AH215," ")</f>
        <v>5.3509177344661847</v>
      </c>
      <c r="BI215" s="26">
        <f>IFERROR($AC215*HDF_Limited_Col!BI215/HDF_Limited_Col!$AH215," ")</f>
        <v>5592.7792160640565</v>
      </c>
      <c r="BJ215" s="26">
        <f>IFERROR($AC215*HDF_Limited_Col!BJ215/HDF_Limited_Col!$AH215," ")</f>
        <v>45.161745678894597</v>
      </c>
      <c r="BK215" s="26">
        <f>IFERROR($AC215*HDF_Limited_Col!BK215/HDF_Limited_Col!$AH215," ")</f>
        <v>107.01835468932369</v>
      </c>
      <c r="BL215" s="26">
        <f>IFERROR($AC215*HDF_Limited_Col!BL215/HDF_Limited_Col!$AH215," ")</f>
        <v>123.07110789272224</v>
      </c>
      <c r="BM215" s="26">
        <f>IFERROR($AC215*HDF_Limited_Col!BM215/HDF_Limited_Col!$AH215," ")</f>
        <v>9.8456886314177794</v>
      </c>
      <c r="BN215" s="26">
        <f>IFERROR($AC215*HDF_Limited_Col!BN215/HDF_Limited_Col!$AH215," ")</f>
        <v>35.744130466234118</v>
      </c>
      <c r="BO215" s="26">
        <f>IFERROR($AC215*HDF_Limited_Col!BO215/HDF_Limited_Col!$AH215," ")</f>
        <v>3.8526607688156527</v>
      </c>
      <c r="BP215" s="26" t="str">
        <f>IFERROR($AC215*HDF_Limited_Col!BP215/HDF_Limited_Col!$AH215," ")</f>
        <v xml:space="preserve"> </v>
      </c>
      <c r="BQ215" s="26" t="str">
        <f>IFERROR($AC215*HDF_Limited_Col!BQ215/HDF_Limited_Col!$AH215," ")</f>
        <v xml:space="preserve"> </v>
      </c>
      <c r="BR215" s="26">
        <f>IFERROR($AC215*HDF_Limited_Col!BR215/HDF_Limited_Col!$AH215," ")</f>
        <v>2.3544038031651211</v>
      </c>
      <c r="BS215" s="26">
        <f>IFERROR($AC215*HDF_Limited_Col!BS215/HDF_Limited_Col!$AH215," ")</f>
        <v>0.85614683751458953</v>
      </c>
      <c r="BT215" s="26" t="str">
        <f>IFERROR($AC215*HDF_Limited_Col!BT215/HDF_Limited_Col!$AH215," ")</f>
        <v xml:space="preserve"> </v>
      </c>
      <c r="BU215" s="26">
        <f>IFERROR($AC215*HDF_Limited_Col!BU215/HDF_Limited_Col!$AH215," ")</f>
        <v>0</v>
      </c>
      <c r="BV215" s="26" t="str">
        <f>IFERROR($AC215*HDF_Limited_Col!BV215/HDF_Limited_Col!$AH215," ")</f>
        <v xml:space="preserve"> </v>
      </c>
      <c r="BW215" s="26" t="str">
        <f>IFERROR($AC215*HDF_Limited_Col!BW215/HDF_Limited_Col!$AH215," ")</f>
        <v xml:space="preserve"> </v>
      </c>
      <c r="BX215" s="26">
        <f>IFERROR($AC215*HDF_Limited_Col!BX215/HDF_Limited_Col!$AH215," ")</f>
        <v>15.838716494019906</v>
      </c>
      <c r="BY215" s="26">
        <f>IFERROR($AC215*HDF_Limited_Col!BY215/HDF_Limited_Col!$AH215," ")</f>
        <v>6.6351379907380696</v>
      </c>
      <c r="BZ215" s="26">
        <f>IFERROR($AC215*HDF_Limited_Col!BZ215/HDF_Limited_Col!$AH215," ")</f>
        <v>0</v>
      </c>
      <c r="CA215" s="26">
        <f>IFERROR($AC215*HDF_Limited_Col!CA215/HDF_Limited_Col!$AH215," ")</f>
        <v>17.551010169049086</v>
      </c>
      <c r="CB215" s="26">
        <f>IFERROR($AC215*HDF_Limited_Col!CB215/HDF_Limited_Col!$AH215," ")</f>
        <v>21.403670937864739</v>
      </c>
      <c r="CC215" s="26">
        <f>IFERROR($AC215*HDF_Limited_Col!CC215/HDF_Limited_Col!$AH215," ")</f>
        <v>5.3509177344661847</v>
      </c>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row>
    <row r="216" spans="1:109">
      <c r="A216" s="26" t="s">
        <v>672</v>
      </c>
      <c r="B216" s="26" t="s">
        <v>24</v>
      </c>
      <c r="C216" s="156" t="s">
        <v>541</v>
      </c>
      <c r="D216" s="26" t="s">
        <v>1723</v>
      </c>
      <c r="E216" s="26" t="s">
        <v>237</v>
      </c>
      <c r="F216" s="26" t="s">
        <v>29</v>
      </c>
      <c r="G216" s="26" t="s">
        <v>595</v>
      </c>
      <c r="H216" s="30">
        <v>360</v>
      </c>
      <c r="I216" s="26" t="s">
        <v>735</v>
      </c>
      <c r="J216" s="26" t="s">
        <v>1496</v>
      </c>
      <c r="K216" s="26"/>
      <c r="L216" s="26"/>
      <c r="M216" s="26" t="s">
        <v>112</v>
      </c>
      <c r="N216" s="26">
        <v>24</v>
      </c>
      <c r="O216" s="95">
        <v>51.892993918816835</v>
      </c>
      <c r="P216" s="95">
        <v>3.1512307032719997</v>
      </c>
      <c r="Q216" s="95">
        <v>17.13737476617078</v>
      </c>
      <c r="R216" s="95">
        <v>5.1054029900413243</v>
      </c>
      <c r="S216" s="95">
        <v>1.7290843793927531</v>
      </c>
      <c r="T216" s="95">
        <v>0.87988909247205194</v>
      </c>
      <c r="U216" s="95">
        <v>0</v>
      </c>
      <c r="V216" s="95">
        <v>2.2304165367314805</v>
      </c>
      <c r="W216" s="95">
        <v>13.024404822289792</v>
      </c>
      <c r="X216" s="95">
        <v>3.4786312958197403</v>
      </c>
      <c r="Y216" s="95">
        <v>1.7700094534612207</v>
      </c>
      <c r="Z216" s="95">
        <v>100.399437958468</v>
      </c>
      <c r="AA216" s="26"/>
      <c r="AB216" s="26"/>
      <c r="AC216" s="26">
        <f t="shared" si="4"/>
        <v>108120.44314630167</v>
      </c>
      <c r="AD216" s="26">
        <f>IFERROR($AC216*HDF_Limited_Col!AD216/HDF_Limited_Col!$AH216," ")</f>
        <v>4443.305882724726</v>
      </c>
      <c r="AE216" s="26">
        <f>IFERROR($AC216*HDF_Limited_Col!AE216/HDF_Limited_Col!$AH216," ")</f>
        <v>7405.5098045412096</v>
      </c>
      <c r="AF216" s="26">
        <f>IFERROR($AC216*HDF_Limited_Col!AF216/HDF_Limited_Col!$AH216," ")</f>
        <v>60725.18039723792</v>
      </c>
      <c r="AG216" s="26">
        <f>IFERROR($AC216*HDF_Limited_Col!AG216/HDF_Limited_Col!$AH216," ")</f>
        <v>0</v>
      </c>
      <c r="AH216" s="26">
        <f>IFERROR($AC216*HDF_Limited_Col!AH216/HDF_Limited_Col!$AH216," ")</f>
        <v>108120.44314630167</v>
      </c>
      <c r="AI216" s="26">
        <f>IFERROR($AC216*HDF_Limited_Col!AI216/HDF_Limited_Col!$AH216," ")</f>
        <v>51838.568631788476</v>
      </c>
      <c r="AJ216" s="26">
        <f>IFERROR($AC216*HDF_Limited_Col!AJ216/HDF_Limited_Col!$AH216," ")</f>
        <v>13137.374393256105</v>
      </c>
      <c r="AK216" s="26">
        <f>IFERROR($AC216*HDF_Limited_Col!AK216/HDF_Limited_Col!$AH216," ")</f>
        <v>0</v>
      </c>
      <c r="AL216" s="26">
        <f>IFERROR($AC216*HDF_Limited_Col!AL216/HDF_Limited_Col!$AH216," ")</f>
        <v>251.78733335440114</v>
      </c>
      <c r="AM216" s="26">
        <f>IFERROR($AC216*HDF_Limited_Col!AM216/HDF_Limited_Col!$AH216," ")</f>
        <v>20735.427452715387</v>
      </c>
      <c r="AN216" s="26">
        <f>IFERROR($AC216*HDF_Limited_Col!AN216/HDF_Limited_Col!$AH216," ")</f>
        <v>195.50545883988795</v>
      </c>
      <c r="AO216" s="26">
        <f>IFERROR($AC216*HDF_Limited_Col!AO216/HDF_Limited_Col!$AH216," ")</f>
        <v>0</v>
      </c>
      <c r="AP216" s="26">
        <f>IFERROR($AC216*HDF_Limited_Col!AP216/HDF_Limited_Col!$AH216," ")</f>
        <v>0</v>
      </c>
      <c r="AQ216" s="26">
        <f>IFERROR($AC216*HDF_Limited_Col!AQ216/HDF_Limited_Col!$AH216," ")</f>
        <v>13.329917648174177</v>
      </c>
      <c r="AR216" s="26">
        <f>IFERROR($AC216*HDF_Limited_Col!AR216/HDF_Limited_Col!$AH216," ")</f>
        <v>44.433058827247258</v>
      </c>
      <c r="AS216" s="26">
        <f>IFERROR($AC216*HDF_Limited_Col!AS216/HDF_Limited_Col!$AH216," ")</f>
        <v>0</v>
      </c>
      <c r="AT216" s="26">
        <f>IFERROR($AC216*HDF_Limited_Col!AT216/HDF_Limited_Col!$AH216," ")</f>
        <v>0</v>
      </c>
      <c r="AU216" s="26">
        <f>IFERROR($AC216*HDF_Limited_Col!AU216/HDF_Limited_Col!$AH216," ")</f>
        <v>0</v>
      </c>
      <c r="AV216" s="26">
        <f>IFERROR($AC216*HDF_Limited_Col!AV216/HDF_Limited_Col!$AH216," ")</f>
        <v>0</v>
      </c>
      <c r="AW216" s="26">
        <f>IFERROR($AC216*HDF_Limited_Col!AW216/HDF_Limited_Col!$AH216," ")</f>
        <v>0</v>
      </c>
      <c r="AX216" s="26">
        <f>IFERROR($AC216*HDF_Limited_Col!AX216/HDF_Limited_Col!$AH216," ")</f>
        <v>725.73996084503858</v>
      </c>
      <c r="AY216" s="26">
        <f>IFERROR($AC216*HDF_Limited_Col!AY216/HDF_Limited_Col!$AH216," ")</f>
        <v>340.65345100889567</v>
      </c>
      <c r="AZ216" s="26">
        <f>IFERROR($AC216*HDF_Limited_Col!AZ216/HDF_Limited_Col!$AH216," ")</f>
        <v>5.9244078436329684</v>
      </c>
      <c r="BA216" s="26">
        <f>IFERROR($AC216*HDF_Limited_Col!BA216/HDF_Limited_Col!$AH216," ")</f>
        <v>429.51956866339015</v>
      </c>
      <c r="BB216" s="26">
        <f>IFERROR($AC216*HDF_Limited_Col!BB216/HDF_Limited_Col!$AH216," ")</f>
        <v>0</v>
      </c>
      <c r="BC216" s="26">
        <f>IFERROR($AC216*HDF_Limited_Col!BC216/HDF_Limited_Col!$AH216," ")</f>
        <v>125.89366667720057</v>
      </c>
      <c r="BD216" s="26">
        <f>IFERROR($AC216*HDF_Limited_Col!BD216/HDF_Limited_Col!$AH216," ")</f>
        <v>0</v>
      </c>
      <c r="BE216" s="26">
        <f>IFERROR($AC216*HDF_Limited_Col!BE216/HDF_Limited_Col!$AH216," ")</f>
        <v>0</v>
      </c>
      <c r="BF216" s="26">
        <f>IFERROR($AC216*HDF_Limited_Col!BF216/HDF_Limited_Col!$AH216," ")</f>
        <v>0</v>
      </c>
      <c r="BG216" s="26">
        <f>IFERROR($AC216*HDF_Limited_Col!BG216/HDF_Limited_Col!$AH216," ")</f>
        <v>0</v>
      </c>
      <c r="BH216" s="26">
        <f>IFERROR($AC216*HDF_Limited_Col!BH216/HDF_Limited_Col!$AH216," ")</f>
        <v>7.4055098045412091</v>
      </c>
      <c r="BI216" s="26">
        <f>IFERROR($AC216*HDF_Limited_Col!BI216/HDF_Limited_Col!$AH216," ")</f>
        <v>3584.2667453979457</v>
      </c>
      <c r="BJ216" s="26">
        <f>IFERROR($AC216*HDF_Limited_Col!BJ216/HDF_Limited_Col!$AH216," ")</f>
        <v>47.395262749063747</v>
      </c>
      <c r="BK216" s="26">
        <f>IFERROR($AC216*HDF_Limited_Col!BK216/HDF_Limited_Col!$AH216," ")</f>
        <v>66.649588240870884</v>
      </c>
      <c r="BL216" s="26">
        <f>IFERROR($AC216*HDF_Limited_Col!BL216/HDF_Limited_Col!$AH216," ")</f>
        <v>69.611792162687379</v>
      </c>
      <c r="BM216" s="26">
        <f>IFERROR($AC216*HDF_Limited_Col!BM216/HDF_Limited_Col!$AH216," ")</f>
        <v>8.8866117654494516</v>
      </c>
      <c r="BN216" s="26" t="str">
        <f>IFERROR($AC216*HDF_Limited_Col!BN216/HDF_Limited_Col!$AH216," ")</f>
        <v xml:space="preserve"> </v>
      </c>
      <c r="BO216" s="26" t="str">
        <f>IFERROR($AC216*HDF_Limited_Col!BO216/HDF_Limited_Col!$AH216," ")</f>
        <v xml:space="preserve"> </v>
      </c>
      <c r="BP216" s="26" t="str">
        <f>IFERROR($AC216*HDF_Limited_Col!BP216/HDF_Limited_Col!$AH216," ")</f>
        <v xml:space="preserve"> </v>
      </c>
      <c r="BQ216" s="26" t="str">
        <f>IFERROR($AC216*HDF_Limited_Col!BQ216/HDF_Limited_Col!$AH216," ")</f>
        <v xml:space="preserve"> </v>
      </c>
      <c r="BR216" s="26">
        <f>IFERROR($AC216*HDF_Limited_Col!BR216/HDF_Limited_Col!$AH216," ")</f>
        <v>13.329917648174177</v>
      </c>
      <c r="BS216" s="26" t="str">
        <f>IFERROR($AC216*HDF_Limited_Col!BS216/HDF_Limited_Col!$AH216," ")</f>
        <v xml:space="preserve"> </v>
      </c>
      <c r="BT216" s="26" t="str">
        <f>IFERROR($AC216*HDF_Limited_Col!BT216/HDF_Limited_Col!$AH216," ")</f>
        <v xml:space="preserve"> </v>
      </c>
      <c r="BU216" s="26">
        <f>IFERROR($AC216*HDF_Limited_Col!BU216/HDF_Limited_Col!$AH216," ")</f>
        <v>0</v>
      </c>
      <c r="BV216" s="26" t="str">
        <f>IFERROR($AC216*HDF_Limited_Col!BV216/HDF_Limited_Col!$AH216," ")</f>
        <v xml:space="preserve"> </v>
      </c>
      <c r="BW216" s="26" t="str">
        <f>IFERROR($AC216*HDF_Limited_Col!BW216/HDF_Limited_Col!$AH216," ")</f>
        <v xml:space="preserve"> </v>
      </c>
      <c r="BX216" s="26">
        <f>IFERROR($AC216*HDF_Limited_Col!BX216/HDF_Limited_Col!$AH216," ")</f>
        <v>25.178733335440118</v>
      </c>
      <c r="BY216" s="26">
        <f>IFERROR($AC216*HDF_Limited_Col!BY216/HDF_Limited_Col!$AH216," ")</f>
        <v>8.8866117654494516</v>
      </c>
      <c r="BZ216" s="26">
        <f>IFERROR($AC216*HDF_Limited_Col!BZ216/HDF_Limited_Col!$AH216," ")</f>
        <v>0</v>
      </c>
      <c r="CA216" s="26">
        <f>IFERROR($AC216*HDF_Limited_Col!CA216/HDF_Limited_Col!$AH216," ")</f>
        <v>31.103141179073084</v>
      </c>
      <c r="CB216" s="26">
        <f>IFERROR($AC216*HDF_Limited_Col!CB216/HDF_Limited_Col!$AH216," ")</f>
        <v>28.140937257256596</v>
      </c>
      <c r="CC216" s="26" t="str">
        <f>IFERROR($AC216*HDF_Limited_Col!CC216/HDF_Limited_Col!$AH216," ")</f>
        <v xml:space="preserve"> </v>
      </c>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row>
    <row r="217" spans="1:109">
      <c r="A217" s="26" t="s">
        <v>844</v>
      </c>
      <c r="B217" s="26" t="s">
        <v>24</v>
      </c>
      <c r="C217" s="156" t="s">
        <v>541</v>
      </c>
      <c r="D217" s="26" t="s">
        <v>1721</v>
      </c>
      <c r="E217" s="26" t="s">
        <v>237</v>
      </c>
      <c r="F217" s="26" t="s">
        <v>238</v>
      </c>
      <c r="G217" s="26" t="s">
        <v>595</v>
      </c>
      <c r="H217" s="30">
        <v>355</v>
      </c>
      <c r="I217" s="26" t="s">
        <v>712</v>
      </c>
      <c r="J217" s="26"/>
      <c r="K217" s="26" t="s">
        <v>488</v>
      </c>
      <c r="L217" s="26"/>
      <c r="M217" s="26" t="s">
        <v>481</v>
      </c>
      <c r="N217" s="26">
        <v>22</v>
      </c>
      <c r="O217" s="95">
        <v>69.48761656472476</v>
      </c>
      <c r="P217" s="95">
        <v>1.4940338915070692</v>
      </c>
      <c r="Q217" s="95">
        <v>12.63411210267723</v>
      </c>
      <c r="R217" s="95">
        <v>3.0582572946956788</v>
      </c>
      <c r="S217" s="95">
        <v>1.0428156021257395</v>
      </c>
      <c r="T217" s="95">
        <v>0.52140780106286977</v>
      </c>
      <c r="U217" s="95">
        <v>0</v>
      </c>
      <c r="V217" s="95">
        <v>0.53143487416023272</v>
      </c>
      <c r="W217" s="95">
        <v>11.230321869046426</v>
      </c>
      <c r="X217" s="95">
        <v>0</v>
      </c>
      <c r="Y217" s="95">
        <v>0</v>
      </c>
      <c r="Z217" s="95">
        <v>100</v>
      </c>
      <c r="AA217" s="26"/>
      <c r="AB217" s="26"/>
      <c r="AC217" s="26">
        <f t="shared" si="4"/>
        <v>93227.091273982049</v>
      </c>
      <c r="AD217" s="26" t="str">
        <f>IFERROR($AC217*HDF_Limited_Col!AD217/HDF_Limited_Col!$AH217," ")</f>
        <v xml:space="preserve"> </v>
      </c>
      <c r="AE217" s="26" t="str">
        <f>IFERROR($AC217*HDF_Limited_Col!AE217/HDF_Limited_Col!$AH217," ")</f>
        <v xml:space="preserve"> </v>
      </c>
      <c r="AF217" s="26" t="str">
        <f>IFERROR($AC217*HDF_Limited_Col!AF217/HDF_Limited_Col!$AH217," ")</f>
        <v xml:space="preserve"> </v>
      </c>
      <c r="AG217" s="26" t="str">
        <f>IFERROR($AC217*HDF_Limited_Col!AG217/HDF_Limited_Col!$AH217," ")</f>
        <v xml:space="preserve"> </v>
      </c>
      <c r="AH217" s="26" t="str">
        <f>IFERROR($AC217*HDF_Limited_Col!AH217/HDF_Limited_Col!$AH217," ")</f>
        <v xml:space="preserve"> </v>
      </c>
      <c r="AI217" s="26" t="str">
        <f>IFERROR($AC217*HDF_Limited_Col!AI217/HDF_Limited_Col!$AH217," ")</f>
        <v xml:space="preserve"> </v>
      </c>
      <c r="AJ217" s="26" t="str">
        <f>IFERROR($AC217*HDF_Limited_Col!AJ217/HDF_Limited_Col!$AH217," ")</f>
        <v xml:space="preserve"> </v>
      </c>
      <c r="AK217" s="26" t="str">
        <f>IFERROR($AC217*HDF_Limited_Col!AK217/HDF_Limited_Col!$AH217," ")</f>
        <v xml:space="preserve"> </v>
      </c>
      <c r="AL217" s="26" t="str">
        <f>IFERROR($AC217*HDF_Limited_Col!AL217/HDF_Limited_Col!$AH217," ")</f>
        <v xml:space="preserve"> </v>
      </c>
      <c r="AM217" s="26" t="str">
        <f>IFERROR($AC217*HDF_Limited_Col!AM217/HDF_Limited_Col!$AH217," ")</f>
        <v xml:space="preserve"> </v>
      </c>
      <c r="AN217" s="26" t="str">
        <f>IFERROR($AC217*HDF_Limited_Col!AN217/HDF_Limited_Col!$AH217," ")</f>
        <v xml:space="preserve"> </v>
      </c>
      <c r="AO217" s="26" t="str">
        <f>IFERROR($AC217*HDF_Limited_Col!AO217/HDF_Limited_Col!$AH217," ")</f>
        <v xml:space="preserve"> </v>
      </c>
      <c r="AP217" s="26" t="str">
        <f>IFERROR($AC217*HDF_Limited_Col!AP217/HDF_Limited_Col!$AH217," ")</f>
        <v xml:space="preserve"> </v>
      </c>
      <c r="AQ217" s="26" t="str">
        <f>IFERROR($AC217*HDF_Limited_Col!AQ217/HDF_Limited_Col!$AH217," ")</f>
        <v xml:space="preserve"> </v>
      </c>
      <c r="AR217" s="26" t="str">
        <f>IFERROR($AC217*HDF_Limited_Col!AR217/HDF_Limited_Col!$AH217," ")</f>
        <v xml:space="preserve"> </v>
      </c>
      <c r="AS217" s="26" t="str">
        <f>IFERROR($AC217*HDF_Limited_Col!AS217/HDF_Limited_Col!$AH217," ")</f>
        <v xml:space="preserve"> </v>
      </c>
      <c r="AT217" s="26" t="str">
        <f>IFERROR($AC217*HDF_Limited_Col!AT217/HDF_Limited_Col!$AH217," ")</f>
        <v xml:space="preserve"> </v>
      </c>
      <c r="AU217" s="26" t="str">
        <f>IFERROR($AC217*HDF_Limited_Col!AU217/HDF_Limited_Col!$AH217," ")</f>
        <v xml:space="preserve"> </v>
      </c>
      <c r="AV217" s="26" t="str">
        <f>IFERROR($AC217*HDF_Limited_Col!AV217/HDF_Limited_Col!$AH217," ")</f>
        <v xml:space="preserve"> </v>
      </c>
      <c r="AW217" s="26" t="str">
        <f>IFERROR($AC217*HDF_Limited_Col!AW217/HDF_Limited_Col!$AH217," ")</f>
        <v xml:space="preserve"> </v>
      </c>
      <c r="AX217" s="26" t="str">
        <f>IFERROR($AC217*HDF_Limited_Col!AX217/HDF_Limited_Col!$AH217," ")</f>
        <v xml:space="preserve"> </v>
      </c>
      <c r="AY217" s="26" t="str">
        <f>IFERROR($AC217*HDF_Limited_Col!AY217/HDF_Limited_Col!$AH217," ")</f>
        <v xml:space="preserve"> </v>
      </c>
      <c r="AZ217" s="26" t="str">
        <f>IFERROR($AC217*HDF_Limited_Col!AZ217/HDF_Limited_Col!$AH217," ")</f>
        <v xml:space="preserve"> </v>
      </c>
      <c r="BA217" s="26" t="str">
        <f>IFERROR($AC217*HDF_Limited_Col!BA217/HDF_Limited_Col!$AH217," ")</f>
        <v xml:space="preserve"> </v>
      </c>
      <c r="BB217" s="26" t="str">
        <f>IFERROR($AC217*HDF_Limited_Col!BB217/HDF_Limited_Col!$AH217," ")</f>
        <v xml:space="preserve"> </v>
      </c>
      <c r="BC217" s="26" t="str">
        <f>IFERROR($AC217*HDF_Limited_Col!BC217/HDF_Limited_Col!$AH217," ")</f>
        <v xml:space="preserve"> </v>
      </c>
      <c r="BD217" s="26" t="str">
        <f>IFERROR($AC217*HDF_Limited_Col!BD217/HDF_Limited_Col!$AH217," ")</f>
        <v xml:space="preserve"> </v>
      </c>
      <c r="BE217" s="26" t="str">
        <f>IFERROR($AC217*HDF_Limited_Col!BE217/HDF_Limited_Col!$AH217," ")</f>
        <v xml:space="preserve"> </v>
      </c>
      <c r="BF217" s="26" t="str">
        <f>IFERROR($AC217*HDF_Limited_Col!BF217/HDF_Limited_Col!$AH217," ")</f>
        <v xml:space="preserve"> </v>
      </c>
      <c r="BG217" s="26" t="str">
        <f>IFERROR($AC217*HDF_Limited_Col!BG217/HDF_Limited_Col!$AH217," ")</f>
        <v xml:space="preserve"> </v>
      </c>
      <c r="BH217" s="26" t="str">
        <f>IFERROR($AC217*HDF_Limited_Col!BH217/HDF_Limited_Col!$AH217," ")</f>
        <v xml:space="preserve"> </v>
      </c>
      <c r="BI217" s="26" t="str">
        <f>IFERROR($AC217*HDF_Limited_Col!BI217/HDF_Limited_Col!$AH217," ")</f>
        <v xml:space="preserve"> </v>
      </c>
      <c r="BJ217" s="26" t="str">
        <f>IFERROR($AC217*HDF_Limited_Col!BJ217/HDF_Limited_Col!$AH217," ")</f>
        <v xml:space="preserve"> </v>
      </c>
      <c r="BK217" s="26" t="str">
        <f>IFERROR($AC217*HDF_Limited_Col!BK217/HDF_Limited_Col!$AH217," ")</f>
        <v xml:space="preserve"> </v>
      </c>
      <c r="BL217" s="26" t="str">
        <f>IFERROR($AC217*HDF_Limited_Col!BL217/HDF_Limited_Col!$AH217," ")</f>
        <v xml:space="preserve"> </v>
      </c>
      <c r="BM217" s="26" t="str">
        <f>IFERROR($AC217*HDF_Limited_Col!BM217/HDF_Limited_Col!$AH217," ")</f>
        <v xml:space="preserve"> </v>
      </c>
      <c r="BN217" s="26" t="str">
        <f>IFERROR($AC217*HDF_Limited_Col!BN217/HDF_Limited_Col!$AH217," ")</f>
        <v xml:space="preserve"> </v>
      </c>
      <c r="BO217" s="26" t="str">
        <f>IFERROR($AC217*HDF_Limited_Col!BO217/HDF_Limited_Col!$AH217," ")</f>
        <v xml:space="preserve"> </v>
      </c>
      <c r="BP217" s="26" t="str">
        <f>IFERROR($AC217*HDF_Limited_Col!BP217/HDF_Limited_Col!$AH217," ")</f>
        <v xml:space="preserve"> </v>
      </c>
      <c r="BQ217" s="26" t="str">
        <f>IFERROR($AC217*HDF_Limited_Col!BQ217/HDF_Limited_Col!$AH217," ")</f>
        <v xml:space="preserve"> </v>
      </c>
      <c r="BR217" s="26" t="str">
        <f>IFERROR($AC217*HDF_Limited_Col!BR217/HDF_Limited_Col!$AH217," ")</f>
        <v xml:space="preserve"> </v>
      </c>
      <c r="BS217" s="26" t="str">
        <f>IFERROR($AC217*HDF_Limited_Col!BS217/HDF_Limited_Col!$AH217," ")</f>
        <v xml:space="preserve"> </v>
      </c>
      <c r="BT217" s="26" t="str">
        <f>IFERROR($AC217*HDF_Limited_Col!BT217/HDF_Limited_Col!$AH217," ")</f>
        <v xml:space="preserve"> </v>
      </c>
      <c r="BU217" s="26" t="str">
        <f>IFERROR($AC217*HDF_Limited_Col!BU217/HDF_Limited_Col!$AH217," ")</f>
        <v xml:space="preserve"> </v>
      </c>
      <c r="BV217" s="26" t="str">
        <f>IFERROR($AC217*HDF_Limited_Col!BV217/HDF_Limited_Col!$AH217," ")</f>
        <v xml:space="preserve"> </v>
      </c>
      <c r="BW217" s="26" t="str">
        <f>IFERROR($AC217*HDF_Limited_Col!BW217/HDF_Limited_Col!$AH217," ")</f>
        <v xml:space="preserve"> </v>
      </c>
      <c r="BX217" s="26" t="str">
        <f>IFERROR($AC217*HDF_Limited_Col!BX217/HDF_Limited_Col!$AH217," ")</f>
        <v xml:space="preserve"> </v>
      </c>
      <c r="BY217" s="26" t="str">
        <f>IFERROR($AC217*HDF_Limited_Col!BY217/HDF_Limited_Col!$AH217," ")</f>
        <v xml:space="preserve"> </v>
      </c>
      <c r="BZ217" s="26" t="str">
        <f>IFERROR($AC217*HDF_Limited_Col!BZ217/HDF_Limited_Col!$AH217," ")</f>
        <v xml:space="preserve"> </v>
      </c>
      <c r="CA217" s="26" t="str">
        <f>IFERROR($AC217*HDF_Limited_Col!CA217/HDF_Limited_Col!$AH217," ")</f>
        <v xml:space="preserve"> </v>
      </c>
      <c r="CB217" s="26" t="str">
        <f>IFERROR($AC217*HDF_Limited_Col!CB217/HDF_Limited_Col!$AH217," ")</f>
        <v xml:space="preserve"> </v>
      </c>
      <c r="CC217" s="26" t="str">
        <f>IFERROR($AC217*HDF_Limited_Col!CC217/HDF_Limited_Col!$AH217," ")</f>
        <v xml:space="preserve"> </v>
      </c>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row>
    <row r="218" spans="1:109">
      <c r="A218" s="26" t="s">
        <v>844</v>
      </c>
      <c r="B218" s="26" t="s">
        <v>24</v>
      </c>
      <c r="C218" s="156" t="s">
        <v>541</v>
      </c>
      <c r="D218" s="26" t="s">
        <v>1721</v>
      </c>
      <c r="E218" s="26" t="s">
        <v>237</v>
      </c>
      <c r="F218" s="26" t="s">
        <v>238</v>
      </c>
      <c r="G218" s="26" t="s">
        <v>595</v>
      </c>
      <c r="H218" s="30">
        <v>355</v>
      </c>
      <c r="I218" s="26" t="s">
        <v>712</v>
      </c>
      <c r="J218" s="26"/>
      <c r="K218" s="26" t="s">
        <v>488</v>
      </c>
      <c r="L218" s="26"/>
      <c r="M218" s="26" t="s">
        <v>485</v>
      </c>
      <c r="N218" s="26">
        <v>24</v>
      </c>
      <c r="O218" s="95">
        <v>45.441048411383925</v>
      </c>
      <c r="P218" s="95">
        <v>4.9735477162349877</v>
      </c>
      <c r="Q218" s="95">
        <v>5.812459379214383</v>
      </c>
      <c r="R218" s="95">
        <v>11.784711456139126</v>
      </c>
      <c r="S218" s="95">
        <v>9.2480023799871454</v>
      </c>
      <c r="T218" s="95">
        <v>7.4703086179593789</v>
      </c>
      <c r="U218" s="95">
        <v>0</v>
      </c>
      <c r="V218" s="95">
        <v>1.6778233259587911</v>
      </c>
      <c r="W218" s="95">
        <v>10.98574796758732</v>
      </c>
      <c r="X218" s="95">
        <v>2.2970200295864398</v>
      </c>
      <c r="Y218" s="95">
        <v>0.39948174427590261</v>
      </c>
      <c r="Z218" s="95">
        <v>100.09015102832738</v>
      </c>
      <c r="AA218" s="26"/>
      <c r="AB218" s="26"/>
      <c r="AC218" s="26">
        <f t="shared" si="4"/>
        <v>91196.792080384854</v>
      </c>
      <c r="AD218" s="26" t="str">
        <f>IFERROR($AC218*HDF_Limited_Col!AD218/HDF_Limited_Col!$AH218," ")</f>
        <v xml:space="preserve"> </v>
      </c>
      <c r="AE218" s="26" t="str">
        <f>IFERROR($AC218*HDF_Limited_Col!AE218/HDF_Limited_Col!$AH218," ")</f>
        <v xml:space="preserve"> </v>
      </c>
      <c r="AF218" s="26" t="str">
        <f>IFERROR($AC218*HDF_Limited_Col!AF218/HDF_Limited_Col!$AH218," ")</f>
        <v xml:space="preserve"> </v>
      </c>
      <c r="AG218" s="26" t="str">
        <f>IFERROR($AC218*HDF_Limited_Col!AG218/HDF_Limited_Col!$AH218," ")</f>
        <v xml:space="preserve"> </v>
      </c>
      <c r="AH218" s="26" t="str">
        <f>IFERROR($AC218*HDF_Limited_Col!AH218/HDF_Limited_Col!$AH218," ")</f>
        <v xml:space="preserve"> </v>
      </c>
      <c r="AI218" s="26" t="str">
        <f>IFERROR($AC218*HDF_Limited_Col!AI218/HDF_Limited_Col!$AH218," ")</f>
        <v xml:space="preserve"> </v>
      </c>
      <c r="AJ218" s="26" t="str">
        <f>IFERROR($AC218*HDF_Limited_Col!AJ218/HDF_Limited_Col!$AH218," ")</f>
        <v xml:space="preserve"> </v>
      </c>
      <c r="AK218" s="26" t="str">
        <f>IFERROR($AC218*HDF_Limited_Col!AK218/HDF_Limited_Col!$AH218," ")</f>
        <v xml:space="preserve"> </v>
      </c>
      <c r="AL218" s="26" t="str">
        <f>IFERROR($AC218*HDF_Limited_Col!AL218/HDF_Limited_Col!$AH218," ")</f>
        <v xml:space="preserve"> </v>
      </c>
      <c r="AM218" s="26" t="str">
        <f>IFERROR($AC218*HDF_Limited_Col!AM218/HDF_Limited_Col!$AH218," ")</f>
        <v xml:space="preserve"> </v>
      </c>
      <c r="AN218" s="26" t="str">
        <f>IFERROR($AC218*HDF_Limited_Col!AN218/HDF_Limited_Col!$AH218," ")</f>
        <v xml:space="preserve"> </v>
      </c>
      <c r="AO218" s="26" t="str">
        <f>IFERROR($AC218*HDF_Limited_Col!AO218/HDF_Limited_Col!$AH218," ")</f>
        <v xml:space="preserve"> </v>
      </c>
      <c r="AP218" s="26" t="str">
        <f>IFERROR($AC218*HDF_Limited_Col!AP218/HDF_Limited_Col!$AH218," ")</f>
        <v xml:space="preserve"> </v>
      </c>
      <c r="AQ218" s="26" t="str">
        <f>IFERROR($AC218*HDF_Limited_Col!AQ218/HDF_Limited_Col!$AH218," ")</f>
        <v xml:space="preserve"> </v>
      </c>
      <c r="AR218" s="26" t="str">
        <f>IFERROR($AC218*HDF_Limited_Col!AR218/HDF_Limited_Col!$AH218," ")</f>
        <v xml:space="preserve"> </v>
      </c>
      <c r="AS218" s="26" t="str">
        <f>IFERROR($AC218*HDF_Limited_Col!AS218/HDF_Limited_Col!$AH218," ")</f>
        <v xml:space="preserve"> </v>
      </c>
      <c r="AT218" s="26" t="str">
        <f>IFERROR($AC218*HDF_Limited_Col!AT218/HDF_Limited_Col!$AH218," ")</f>
        <v xml:space="preserve"> </v>
      </c>
      <c r="AU218" s="26" t="str">
        <f>IFERROR($AC218*HDF_Limited_Col!AU218/HDF_Limited_Col!$AH218," ")</f>
        <v xml:space="preserve"> </v>
      </c>
      <c r="AV218" s="26" t="str">
        <f>IFERROR($AC218*HDF_Limited_Col!AV218/HDF_Limited_Col!$AH218," ")</f>
        <v xml:space="preserve"> </v>
      </c>
      <c r="AW218" s="26" t="str">
        <f>IFERROR($AC218*HDF_Limited_Col!AW218/HDF_Limited_Col!$AH218," ")</f>
        <v xml:space="preserve"> </v>
      </c>
      <c r="AX218" s="26" t="str">
        <f>IFERROR($AC218*HDF_Limited_Col!AX218/HDF_Limited_Col!$AH218," ")</f>
        <v xml:space="preserve"> </v>
      </c>
      <c r="AY218" s="26" t="str">
        <f>IFERROR($AC218*HDF_Limited_Col!AY218/HDF_Limited_Col!$AH218," ")</f>
        <v xml:space="preserve"> </v>
      </c>
      <c r="AZ218" s="26" t="str">
        <f>IFERROR($AC218*HDF_Limited_Col!AZ218/HDF_Limited_Col!$AH218," ")</f>
        <v xml:space="preserve"> </v>
      </c>
      <c r="BA218" s="26" t="str">
        <f>IFERROR($AC218*HDF_Limited_Col!BA218/HDF_Limited_Col!$AH218," ")</f>
        <v xml:space="preserve"> </v>
      </c>
      <c r="BB218" s="26" t="str">
        <f>IFERROR($AC218*HDF_Limited_Col!BB218/HDF_Limited_Col!$AH218," ")</f>
        <v xml:space="preserve"> </v>
      </c>
      <c r="BC218" s="26" t="str">
        <f>IFERROR($AC218*HDF_Limited_Col!BC218/HDF_Limited_Col!$AH218," ")</f>
        <v xml:space="preserve"> </v>
      </c>
      <c r="BD218" s="26" t="str">
        <f>IFERROR($AC218*HDF_Limited_Col!BD218/HDF_Limited_Col!$AH218," ")</f>
        <v xml:space="preserve"> </v>
      </c>
      <c r="BE218" s="26" t="str">
        <f>IFERROR($AC218*HDF_Limited_Col!BE218/HDF_Limited_Col!$AH218," ")</f>
        <v xml:space="preserve"> </v>
      </c>
      <c r="BF218" s="26" t="str">
        <f>IFERROR($AC218*HDF_Limited_Col!BF218/HDF_Limited_Col!$AH218," ")</f>
        <v xml:space="preserve"> </v>
      </c>
      <c r="BG218" s="26" t="str">
        <f>IFERROR($AC218*HDF_Limited_Col!BG218/HDF_Limited_Col!$AH218," ")</f>
        <v xml:space="preserve"> </v>
      </c>
      <c r="BH218" s="26" t="str">
        <f>IFERROR($AC218*HDF_Limited_Col!BH218/HDF_Limited_Col!$AH218," ")</f>
        <v xml:space="preserve"> </v>
      </c>
      <c r="BI218" s="26" t="str">
        <f>IFERROR($AC218*HDF_Limited_Col!BI218/HDF_Limited_Col!$AH218," ")</f>
        <v xml:space="preserve"> </v>
      </c>
      <c r="BJ218" s="26" t="str">
        <f>IFERROR($AC218*HDF_Limited_Col!BJ218/HDF_Limited_Col!$AH218," ")</f>
        <v xml:space="preserve"> </v>
      </c>
      <c r="BK218" s="26" t="str">
        <f>IFERROR($AC218*HDF_Limited_Col!BK218/HDF_Limited_Col!$AH218," ")</f>
        <v xml:space="preserve"> </v>
      </c>
      <c r="BL218" s="26" t="str">
        <f>IFERROR($AC218*HDF_Limited_Col!BL218/HDF_Limited_Col!$AH218," ")</f>
        <v xml:space="preserve"> </v>
      </c>
      <c r="BM218" s="26" t="str">
        <f>IFERROR($AC218*HDF_Limited_Col!BM218/HDF_Limited_Col!$AH218," ")</f>
        <v xml:space="preserve"> </v>
      </c>
      <c r="BN218" s="26" t="str">
        <f>IFERROR($AC218*HDF_Limited_Col!BN218/HDF_Limited_Col!$AH218," ")</f>
        <v xml:space="preserve"> </v>
      </c>
      <c r="BO218" s="26" t="str">
        <f>IFERROR($AC218*HDF_Limited_Col!BO218/HDF_Limited_Col!$AH218," ")</f>
        <v xml:space="preserve"> </v>
      </c>
      <c r="BP218" s="26" t="str">
        <f>IFERROR($AC218*HDF_Limited_Col!BP218/HDF_Limited_Col!$AH218," ")</f>
        <v xml:space="preserve"> </v>
      </c>
      <c r="BQ218" s="26" t="str">
        <f>IFERROR($AC218*HDF_Limited_Col!BQ218/HDF_Limited_Col!$AH218," ")</f>
        <v xml:space="preserve"> </v>
      </c>
      <c r="BR218" s="26" t="str">
        <f>IFERROR($AC218*HDF_Limited_Col!BR218/HDF_Limited_Col!$AH218," ")</f>
        <v xml:space="preserve"> </v>
      </c>
      <c r="BS218" s="26" t="str">
        <f>IFERROR($AC218*HDF_Limited_Col!BS218/HDF_Limited_Col!$AH218," ")</f>
        <v xml:space="preserve"> </v>
      </c>
      <c r="BT218" s="26" t="str">
        <f>IFERROR($AC218*HDF_Limited_Col!BT218/HDF_Limited_Col!$AH218," ")</f>
        <v xml:space="preserve"> </v>
      </c>
      <c r="BU218" s="26" t="str">
        <f>IFERROR($AC218*HDF_Limited_Col!BU218/HDF_Limited_Col!$AH218," ")</f>
        <v xml:space="preserve"> </v>
      </c>
      <c r="BV218" s="26" t="str">
        <f>IFERROR($AC218*HDF_Limited_Col!BV218/HDF_Limited_Col!$AH218," ")</f>
        <v xml:space="preserve"> </v>
      </c>
      <c r="BW218" s="26" t="str">
        <f>IFERROR($AC218*HDF_Limited_Col!BW218/HDF_Limited_Col!$AH218," ")</f>
        <v xml:space="preserve"> </v>
      </c>
      <c r="BX218" s="26" t="str">
        <f>IFERROR($AC218*HDF_Limited_Col!BX218/HDF_Limited_Col!$AH218," ")</f>
        <v xml:space="preserve"> </v>
      </c>
      <c r="BY218" s="26" t="str">
        <f>IFERROR($AC218*HDF_Limited_Col!BY218/HDF_Limited_Col!$AH218," ")</f>
        <v xml:space="preserve"> </v>
      </c>
      <c r="BZ218" s="26" t="str">
        <f>IFERROR($AC218*HDF_Limited_Col!BZ218/HDF_Limited_Col!$AH218," ")</f>
        <v xml:space="preserve"> </v>
      </c>
      <c r="CA218" s="26" t="str">
        <f>IFERROR($AC218*HDF_Limited_Col!CA218/HDF_Limited_Col!$AH218," ")</f>
        <v xml:space="preserve"> </v>
      </c>
      <c r="CB218" s="26" t="str">
        <f>IFERROR($AC218*HDF_Limited_Col!CB218/HDF_Limited_Col!$AH218," ")</f>
        <v xml:space="preserve"> </v>
      </c>
      <c r="CC218" s="26" t="str">
        <f>IFERROR($AC218*HDF_Limited_Col!CC218/HDF_Limited_Col!$AH218," ")</f>
        <v xml:space="preserve"> </v>
      </c>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row>
    <row r="219" spans="1:109">
      <c r="A219" s="26" t="s">
        <v>836</v>
      </c>
      <c r="B219" s="26" t="s">
        <v>24</v>
      </c>
      <c r="C219" s="156" t="s">
        <v>541</v>
      </c>
      <c r="D219" s="26" t="s">
        <v>1705</v>
      </c>
      <c r="E219" s="26" t="s">
        <v>237</v>
      </c>
      <c r="F219" s="26" t="s">
        <v>163</v>
      </c>
      <c r="G219" s="26" t="s">
        <v>595</v>
      </c>
      <c r="H219" s="30">
        <v>355</v>
      </c>
      <c r="I219" s="26" t="s">
        <v>1148</v>
      </c>
      <c r="J219" s="153" t="s">
        <v>635</v>
      </c>
      <c r="K219" s="26" t="s">
        <v>128</v>
      </c>
      <c r="L219" s="26" t="s">
        <v>1509</v>
      </c>
      <c r="M219" s="26" t="s">
        <v>377</v>
      </c>
      <c r="N219" s="26">
        <v>22</v>
      </c>
      <c r="O219" s="95">
        <v>50.123555950412801</v>
      </c>
      <c r="P219" s="95">
        <v>3.6317067485029635</v>
      </c>
      <c r="Q219" s="95">
        <v>5.2824825432770384</v>
      </c>
      <c r="R219" s="95">
        <v>14.206676536843549</v>
      </c>
      <c r="S219" s="95">
        <v>7.3734652166575323</v>
      </c>
      <c r="T219" s="95">
        <v>4.241993557480046</v>
      </c>
      <c r="U219" s="95">
        <v>0</v>
      </c>
      <c r="V219" s="95">
        <v>2.1910296912455896</v>
      </c>
      <c r="W219" s="95">
        <v>11.405360036620877</v>
      </c>
      <c r="X219" s="95">
        <v>0.97045607329142547</v>
      </c>
      <c r="Y219" s="95">
        <v>0.74034793220170603</v>
      </c>
      <c r="Z219" s="95">
        <v>100.16707428653353</v>
      </c>
      <c r="AA219" s="26"/>
      <c r="AB219" s="26"/>
      <c r="AC219" s="26">
        <f t="shared" si="4"/>
        <v>94680.148400498729</v>
      </c>
      <c r="AD219" s="26">
        <f>IFERROR($AC219*HDF_Limited_Col!AD219/HDF_Limited_Col!$AH219," ")</f>
        <v>0</v>
      </c>
      <c r="AE219" s="26">
        <f>IFERROR($AC219*HDF_Limited_Col!AE219/HDF_Limited_Col!$AH219," ")</f>
        <v>0</v>
      </c>
      <c r="AF219" s="26">
        <f>IFERROR($AC219*HDF_Limited_Col!AF219/HDF_Limited_Col!$AH219," ")</f>
        <v>0</v>
      </c>
      <c r="AG219" s="26">
        <f>IFERROR($AC219*HDF_Limited_Col!AG219/HDF_Limited_Col!$AH219," ")</f>
        <v>0</v>
      </c>
      <c r="AH219" s="26">
        <f>IFERROR($AC219*HDF_Limited_Col!AH219/HDF_Limited_Col!$AH219," ")</f>
        <v>94680.148400498714</v>
      </c>
      <c r="AI219" s="26">
        <f>IFERROR($AC219*HDF_Limited_Col!AI219/HDF_Limited_Col!$AH219," ")</f>
        <v>0</v>
      </c>
      <c r="AJ219" s="26">
        <f>IFERROR($AC219*HDF_Limited_Col!AJ219/HDF_Limited_Col!$AH219," ")</f>
        <v>16527.624541935646</v>
      </c>
      <c r="AK219" s="26">
        <f>IFERROR($AC219*HDF_Limited_Col!AK219/HDF_Limited_Col!$AH219," ")</f>
        <v>0</v>
      </c>
      <c r="AL219" s="26">
        <f>IFERROR($AC219*HDF_Limited_Col!AL219/HDF_Limited_Col!$AH219," ")</f>
        <v>0</v>
      </c>
      <c r="AM219" s="26">
        <f>IFERROR($AC219*HDF_Limited_Col!AM219/HDF_Limited_Col!$AH219," ")</f>
        <v>0</v>
      </c>
      <c r="AN219" s="26">
        <f>IFERROR($AC219*HDF_Limited_Col!AN219/HDF_Limited_Col!$AH219," ")</f>
        <v>0</v>
      </c>
      <c r="AO219" s="26">
        <f>IFERROR($AC219*HDF_Limited_Col!AO219/HDF_Limited_Col!$AH219," ")</f>
        <v>0</v>
      </c>
      <c r="AP219" s="26">
        <f>IFERROR($AC219*HDF_Limited_Col!AP219/HDF_Limited_Col!$AH219," ")</f>
        <v>0</v>
      </c>
      <c r="AQ219" s="26">
        <f>IFERROR($AC219*HDF_Limited_Col!AQ219/HDF_Limited_Col!$AH219," ")</f>
        <v>0</v>
      </c>
      <c r="AR219" s="26">
        <f>IFERROR($AC219*HDF_Limited_Col!AR219/HDF_Limited_Col!$AH219," ")</f>
        <v>0</v>
      </c>
      <c r="AS219" s="26">
        <f>IFERROR($AC219*HDF_Limited_Col!AS219/HDF_Limited_Col!$AH219," ")</f>
        <v>0</v>
      </c>
      <c r="AT219" s="26">
        <f>IFERROR($AC219*HDF_Limited_Col!AT219/HDF_Limited_Col!$AH219," ")</f>
        <v>0</v>
      </c>
      <c r="AU219" s="26">
        <f>IFERROR($AC219*HDF_Limited_Col!AU219/HDF_Limited_Col!$AH219," ")</f>
        <v>0</v>
      </c>
      <c r="AV219" s="26">
        <f>IFERROR($AC219*HDF_Limited_Col!AV219/HDF_Limited_Col!$AH219," ")</f>
        <v>0</v>
      </c>
      <c r="AW219" s="26">
        <f>IFERROR($AC219*HDF_Limited_Col!AW219/HDF_Limited_Col!$AH219," ")</f>
        <v>0</v>
      </c>
      <c r="AX219" s="26">
        <f>IFERROR($AC219*HDF_Limited_Col!AX219/HDF_Limited_Col!$AH219," ")</f>
        <v>242.2552846789348</v>
      </c>
      <c r="AY219" s="26">
        <f>IFERROR($AC219*HDF_Limited_Col!AY219/HDF_Limited_Col!$AH219," ")</f>
        <v>1453.5317080736088</v>
      </c>
      <c r="AZ219" s="26">
        <f>IFERROR($AC219*HDF_Limited_Col!AZ219/HDF_Limited_Col!$AH219," ")</f>
        <v>146.3221919460766</v>
      </c>
      <c r="BA219" s="26">
        <f>IFERROR($AC219*HDF_Limited_Col!BA219/HDF_Limited_Col!$AH219," ")</f>
        <v>896.82906388141669</v>
      </c>
      <c r="BB219" s="26">
        <f>IFERROR($AC219*HDF_Limited_Col!BB219/HDF_Limited_Col!$AH219," ")</f>
        <v>0</v>
      </c>
      <c r="BC219" s="26">
        <f>IFERROR($AC219*HDF_Limited_Col!BC219/HDF_Limited_Col!$AH219," ")</f>
        <v>292.6443838921532</v>
      </c>
      <c r="BD219" s="26">
        <f>IFERROR($AC219*HDF_Limited_Col!BD219/HDF_Limited_Col!$AH219," ")</f>
        <v>0</v>
      </c>
      <c r="BE219" s="26">
        <f>IFERROR($AC219*HDF_Limited_Col!BE219/HDF_Limited_Col!$AH219," ")</f>
        <v>0</v>
      </c>
      <c r="BF219" s="26">
        <f>IFERROR($AC219*HDF_Limited_Col!BF219/HDF_Limited_Col!$AH219," ")</f>
        <v>0</v>
      </c>
      <c r="BG219" s="26">
        <f>IFERROR($AC219*HDF_Limited_Col!BG219/HDF_Limited_Col!$AH219," ")</f>
        <v>0</v>
      </c>
      <c r="BH219" s="26">
        <f>IFERROR($AC219*HDF_Limited_Col!BH219/HDF_Limited_Col!$AH219," ")</f>
        <v>0</v>
      </c>
      <c r="BI219" s="26">
        <f>IFERROR($AC219*HDF_Limited_Col!BI219/HDF_Limited_Col!$AH219," ")</f>
        <v>7791.8989764132593</v>
      </c>
      <c r="BJ219" s="26">
        <f>IFERROR($AC219*HDF_Limited_Col!BJ219/HDF_Limited_Col!$AH219," ")</f>
        <v>0</v>
      </c>
      <c r="BK219" s="26">
        <f>IFERROR($AC219*HDF_Limited_Col!BK219/HDF_Limited_Col!$AH219," ")</f>
        <v>359.02233189418138</v>
      </c>
      <c r="BL219" s="26">
        <f>IFERROR($AC219*HDF_Limited_Col!BL219/HDF_Limited_Col!$AH219," ")</f>
        <v>474.82035797071222</v>
      </c>
      <c r="BM219" s="26">
        <f>IFERROR($AC219*HDF_Limited_Col!BM219/HDF_Limited_Col!$AH219," ")</f>
        <v>44.187363925437708</v>
      </c>
      <c r="BN219" s="26">
        <f>IFERROR($AC219*HDF_Limited_Col!BN219/HDF_Limited_Col!$AH219," ")</f>
        <v>152.13631877837105</v>
      </c>
      <c r="BO219" s="26">
        <f>IFERROR($AC219*HDF_Limited_Col!BO219/HDF_Limited_Col!$AH219," ")</f>
        <v>43.024538558978819</v>
      </c>
      <c r="BP219" s="26">
        <f>IFERROR($AC219*HDF_Limited_Col!BP219/HDF_Limited_Col!$AH219," ")</f>
        <v>12.015862120075168</v>
      </c>
      <c r="BQ219" s="26">
        <f>IFERROR($AC219*HDF_Limited_Col!BQ219/HDF_Limited_Col!$AH219," ")</f>
        <v>43.024538558978819</v>
      </c>
      <c r="BR219" s="26">
        <f>IFERROR($AC219*HDF_Limited_Col!BR219/HDF_Limited_Col!$AH219," ")</f>
        <v>37.307313840555956</v>
      </c>
      <c r="BS219" s="26">
        <f>IFERROR($AC219*HDF_Limited_Col!BS219/HDF_Limited_Col!$AH219," ")</f>
        <v>7.5583648819827651</v>
      </c>
      <c r="BT219" s="26">
        <f>IFERROR($AC219*HDF_Limited_Col!BT219/HDF_Limited_Col!$AH219," ")</f>
        <v>18.799010091085339</v>
      </c>
      <c r="BU219" s="26">
        <f>IFERROR($AC219*HDF_Limited_Col!BU219/HDF_Limited_Col!$AH219," ")</f>
        <v>0</v>
      </c>
      <c r="BV219" s="26">
        <f>IFERROR($AC219*HDF_Limited_Col!BV219/HDF_Limited_Col!$AH219," ")</f>
        <v>9.8840156149005391</v>
      </c>
      <c r="BW219" s="26">
        <f>IFERROR($AC219*HDF_Limited_Col!BW219/HDF_Limited_Col!$AH219," ")</f>
        <v>1.1095292038295215</v>
      </c>
      <c r="BX219" s="26">
        <f>IFERROR($AC219*HDF_Limited_Col!BX219/HDF_Limited_Col!$AH219," ")</f>
        <v>39.245356117987434</v>
      </c>
      <c r="BY219" s="26">
        <f>IFERROR($AC219*HDF_Limited_Col!BY219/HDF_Limited_Col!$AH219," ")</f>
        <v>14.82602342235081</v>
      </c>
      <c r="BZ219" s="26">
        <f>IFERROR($AC219*HDF_Limited_Col!BZ219/HDF_Limited_Col!$AH219," ")</f>
        <v>0</v>
      </c>
      <c r="CA219" s="26">
        <f>IFERROR($AC219*HDF_Limited_Col!CA219/HDF_Limited_Col!$AH219," ")</f>
        <v>0</v>
      </c>
      <c r="CB219" s="26">
        <f>IFERROR($AC219*HDF_Limited_Col!CB219/HDF_Limited_Col!$AH219," ")</f>
        <v>45.786248804318674</v>
      </c>
      <c r="CC219" s="26">
        <f>IFERROR($AC219*HDF_Limited_Col!CC219/HDF_Limited_Col!$AH219," ")</f>
        <v>8.13977756521221</v>
      </c>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row>
    <row r="220" spans="1:109">
      <c r="A220" s="26" t="s">
        <v>836</v>
      </c>
      <c r="B220" s="26" t="s">
        <v>24</v>
      </c>
      <c r="C220" s="156" t="s">
        <v>541</v>
      </c>
      <c r="D220" s="26" t="s">
        <v>1705</v>
      </c>
      <c r="E220" s="26" t="s">
        <v>237</v>
      </c>
      <c r="F220" s="26" t="s">
        <v>163</v>
      </c>
      <c r="G220" s="26" t="s">
        <v>595</v>
      </c>
      <c r="H220" s="30">
        <v>355</v>
      </c>
      <c r="I220" s="26" t="s">
        <v>1148</v>
      </c>
      <c r="J220" s="153" t="s">
        <v>635</v>
      </c>
      <c r="K220" s="26" t="s">
        <v>128</v>
      </c>
      <c r="L220" s="26" t="s">
        <v>1509</v>
      </c>
      <c r="M220" s="26" t="s">
        <v>378</v>
      </c>
      <c r="N220" s="26">
        <v>20</v>
      </c>
      <c r="O220" s="95">
        <v>60.139814465703559</v>
      </c>
      <c r="P220" s="95">
        <v>3.9491811499145331</v>
      </c>
      <c r="Q220" s="95">
        <v>6.7657291273916496</v>
      </c>
      <c r="R220" s="95">
        <v>9.7426499434439755</v>
      </c>
      <c r="S220" s="95">
        <v>3.1072237473946838</v>
      </c>
      <c r="T220" s="95">
        <v>1.4032623375330828</v>
      </c>
      <c r="U220" s="95">
        <v>0.17039614098616007</v>
      </c>
      <c r="V220" s="95">
        <v>1.252912801368824</v>
      </c>
      <c r="W220" s="95">
        <v>11.927729869031205</v>
      </c>
      <c r="X220" s="95">
        <v>0.98228363627315807</v>
      </c>
      <c r="Y220" s="95">
        <v>0.72167777358844265</v>
      </c>
      <c r="Z220" s="95">
        <v>100.16286099262926</v>
      </c>
      <c r="AA220" s="26"/>
      <c r="AB220" s="26"/>
      <c r="AC220" s="26">
        <f t="shared" si="4"/>
        <v>99016.535247889013</v>
      </c>
      <c r="AD220" s="26">
        <f>IFERROR($AC220*HDF_Limited_Col!AD220/HDF_Limited_Col!$AH220," ")</f>
        <v>0</v>
      </c>
      <c r="AE220" s="26">
        <f>IFERROR($AC220*HDF_Limited_Col!AE220/HDF_Limited_Col!$AH220," ")</f>
        <v>0</v>
      </c>
      <c r="AF220" s="26">
        <f>IFERROR($AC220*HDF_Limited_Col!AF220/HDF_Limited_Col!$AH220," ")</f>
        <v>0</v>
      </c>
      <c r="AG220" s="26">
        <f>IFERROR($AC220*HDF_Limited_Col!AG220/HDF_Limited_Col!$AH220," ")</f>
        <v>0</v>
      </c>
      <c r="AH220" s="26">
        <f>IFERROR($AC220*HDF_Limited_Col!AH220/HDF_Limited_Col!$AH220," ")</f>
        <v>99016.535247889013</v>
      </c>
      <c r="AI220" s="26">
        <f>IFERROR($AC220*HDF_Limited_Col!AI220/HDF_Limited_Col!$AH220," ")</f>
        <v>0</v>
      </c>
      <c r="AJ220" s="26">
        <f>IFERROR($AC220*HDF_Limited_Col!AJ220/HDF_Limited_Col!$AH220," ")</f>
        <v>23638.808911204309</v>
      </c>
      <c r="AK220" s="26">
        <f>IFERROR($AC220*HDF_Limited_Col!AK220/HDF_Limited_Col!$AH220," ")</f>
        <v>0</v>
      </c>
      <c r="AL220" s="26">
        <f>IFERROR($AC220*HDF_Limited_Col!AL220/HDF_Limited_Col!$AH220," ")</f>
        <v>0</v>
      </c>
      <c r="AM220" s="26">
        <f>IFERROR($AC220*HDF_Limited_Col!AM220/HDF_Limited_Col!$AH220," ")</f>
        <v>0</v>
      </c>
      <c r="AN220" s="26">
        <f>IFERROR($AC220*HDF_Limited_Col!AN220/HDF_Limited_Col!$AH220," ")</f>
        <v>0</v>
      </c>
      <c r="AO220" s="26">
        <f>IFERROR($AC220*HDF_Limited_Col!AO220/HDF_Limited_Col!$AH220," ")</f>
        <v>0</v>
      </c>
      <c r="AP220" s="26">
        <f>IFERROR($AC220*HDF_Limited_Col!AP220/HDF_Limited_Col!$AH220," ")</f>
        <v>0</v>
      </c>
      <c r="AQ220" s="26">
        <f>IFERROR($AC220*HDF_Limited_Col!AQ220/HDF_Limited_Col!$AH220," ")</f>
        <v>0</v>
      </c>
      <c r="AR220" s="26">
        <f>IFERROR($AC220*HDF_Limited_Col!AR220/HDF_Limited_Col!$AH220," ")</f>
        <v>0</v>
      </c>
      <c r="AS220" s="26">
        <f>IFERROR($AC220*HDF_Limited_Col!AS220/HDF_Limited_Col!$AH220," ")</f>
        <v>0</v>
      </c>
      <c r="AT220" s="26">
        <f>IFERROR($AC220*HDF_Limited_Col!AT220/HDF_Limited_Col!$AH220," ")</f>
        <v>0</v>
      </c>
      <c r="AU220" s="26">
        <f>IFERROR($AC220*HDF_Limited_Col!AU220/HDF_Limited_Col!$AH220," ")</f>
        <v>0</v>
      </c>
      <c r="AV220" s="26">
        <f>IFERROR($AC220*HDF_Limited_Col!AV220/HDF_Limited_Col!$AH220," ")</f>
        <v>0</v>
      </c>
      <c r="AW220" s="26">
        <f>IFERROR($AC220*HDF_Limited_Col!AW220/HDF_Limited_Col!$AH220," ")</f>
        <v>0</v>
      </c>
      <c r="AX220" s="26">
        <f>IFERROR($AC220*HDF_Limited_Col!AX220/HDF_Limited_Col!$AH220," ")</f>
        <v>233.87206473332358</v>
      </c>
      <c r="AY220" s="26">
        <f>IFERROR($AC220*HDF_Limited_Col!AY220/HDF_Limited_Col!$AH220," ")</f>
        <v>622.2516668175432</v>
      </c>
      <c r="AZ220" s="26">
        <f>IFERROR($AC220*HDF_Limited_Col!AZ220/HDF_Limited_Col!$AH220," ")</f>
        <v>69.317315937205294</v>
      </c>
      <c r="BA220" s="26">
        <f>IFERROR($AC220*HDF_Limited_Col!BA220/HDF_Limited_Col!$AH220," ")</f>
        <v>1555.2070153024624</v>
      </c>
      <c r="BB220" s="26">
        <f>IFERROR($AC220*HDF_Limited_Col!BB220/HDF_Limited_Col!$AH220," ")</f>
        <v>0</v>
      </c>
      <c r="BC220" s="26">
        <f>IFERROR($AC220*HDF_Limited_Col!BC220/HDF_Limited_Col!$AH220," ")</f>
        <v>92.029079624304231</v>
      </c>
      <c r="BD220" s="26">
        <f>IFERROR($AC220*HDF_Limited_Col!BD220/HDF_Limited_Col!$AH220," ")</f>
        <v>0</v>
      </c>
      <c r="BE220" s="26">
        <f>IFERROR($AC220*HDF_Limited_Col!BE220/HDF_Limited_Col!$AH220," ")</f>
        <v>0</v>
      </c>
      <c r="BF220" s="26">
        <f>IFERROR($AC220*HDF_Limited_Col!BF220/HDF_Limited_Col!$AH220," ")</f>
        <v>0</v>
      </c>
      <c r="BG220" s="26">
        <f>IFERROR($AC220*HDF_Limited_Col!BG220/HDF_Limited_Col!$AH220," ")</f>
        <v>0</v>
      </c>
      <c r="BH220" s="26">
        <f>IFERROR($AC220*HDF_Limited_Col!BH220/HDF_Limited_Col!$AH220," ")</f>
        <v>0</v>
      </c>
      <c r="BI220" s="26">
        <f>IFERROR($AC220*HDF_Limited_Col!BI220/HDF_Limited_Col!$AH220," ")</f>
        <v>7972.7577880027957</v>
      </c>
      <c r="BJ220" s="26">
        <f>IFERROR($AC220*HDF_Limited_Col!BJ220/HDF_Limited_Col!$AH220," ")</f>
        <v>0</v>
      </c>
      <c r="BK220" s="26">
        <f>IFERROR($AC220*HDF_Limited_Col!BK220/HDF_Limited_Col!$AH220," ")</f>
        <v>354.60746277254839</v>
      </c>
      <c r="BL220" s="26">
        <f>IFERROR($AC220*HDF_Limited_Col!BL220/HDF_Limited_Col!$AH220," ")</f>
        <v>368.11631849721692</v>
      </c>
      <c r="BM220" s="26">
        <f>IFERROR($AC220*HDF_Limited_Col!BM220/HDF_Limited_Col!$AH220," ")</f>
        <v>28.706318414920585</v>
      </c>
      <c r="BN220" s="26">
        <f>IFERROR($AC220*HDF_Limited_Col!BN220/HDF_Limited_Col!$AH220," ")</f>
        <v>82.995032358432169</v>
      </c>
      <c r="BO220" s="26">
        <f>IFERROR($AC220*HDF_Limited_Col!BO220/HDF_Limited_Col!$AH220," ")</f>
        <v>23.724927866449072</v>
      </c>
      <c r="BP220" s="26">
        <f>IFERROR($AC220*HDF_Limited_Col!BP220/HDF_Limited_Col!$AH220," ")</f>
        <v>7.4214276137397617</v>
      </c>
      <c r="BQ220" s="26">
        <f>IFERROR($AC220*HDF_Limited_Col!BQ220/HDF_Limited_Col!$AH220," ")</f>
        <v>29.466191549433187</v>
      </c>
      <c r="BR220" s="26">
        <f>IFERROR($AC220*HDF_Limited_Col!BR220/HDF_Limited_Col!$AH220," ")</f>
        <v>15.450753735089609</v>
      </c>
      <c r="BS220" s="26">
        <f>IFERROR($AC220*HDF_Limited_Col!BS220/HDF_Limited_Col!$AH220," ")</f>
        <v>2.7777584583849624</v>
      </c>
      <c r="BT220" s="26">
        <f>IFERROR($AC220*HDF_Limited_Col!BT220/HDF_Limited_Col!$AH220," ")</f>
        <v>7.4129845789118445</v>
      </c>
      <c r="BU220" s="26">
        <f>IFERROR($AC220*HDF_Limited_Col!BU220/HDF_Limited_Col!$AH220," ")</f>
        <v>0</v>
      </c>
      <c r="BV220" s="26">
        <f>IFERROR($AC220*HDF_Limited_Col!BV220/HDF_Limited_Col!$AH220," ")</f>
        <v>3.5038594535858949</v>
      </c>
      <c r="BW220" s="26">
        <f>IFERROR($AC220*HDF_Limited_Col!BW220/HDF_Limited_Col!$AH220," ")</f>
        <v>0.70246049768276242</v>
      </c>
      <c r="BX220" s="26">
        <f>IFERROR($AC220*HDF_Limited_Col!BX220/HDF_Limited_Col!$AH220," ")</f>
        <v>49.222893046760881</v>
      </c>
      <c r="BY220" s="26">
        <f>IFERROR($AC220*HDF_Limited_Col!BY220/HDF_Limited_Col!$AH220," ")</f>
        <v>4.1877452746472379</v>
      </c>
      <c r="BZ220" s="26">
        <f>IFERROR($AC220*HDF_Limited_Col!BZ220/HDF_Limited_Col!$AH220," ")</f>
        <v>0</v>
      </c>
      <c r="CA220" s="26">
        <f>IFERROR($AC220*HDF_Limited_Col!CA220/HDF_Limited_Col!$AH220," ")</f>
        <v>0</v>
      </c>
      <c r="CB220" s="26">
        <f>IFERROR($AC220*HDF_Limited_Col!CB220/HDF_Limited_Col!$AH220," ")</f>
        <v>67.966430364738443</v>
      </c>
      <c r="CC220" s="26">
        <f>IFERROR($AC220*HDF_Limited_Col!CC220/HDF_Limited_Col!$AH220," ")</f>
        <v>13.508855724668511</v>
      </c>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row>
    <row r="221" spans="1:109">
      <c r="A221" s="26" t="s">
        <v>836</v>
      </c>
      <c r="B221" s="26" t="s">
        <v>24</v>
      </c>
      <c r="C221" s="156" t="s">
        <v>541</v>
      </c>
      <c r="D221" s="26" t="s">
        <v>1705</v>
      </c>
      <c r="E221" s="26" t="s">
        <v>237</v>
      </c>
      <c r="F221" s="26" t="s">
        <v>163</v>
      </c>
      <c r="G221" s="26" t="s">
        <v>595</v>
      </c>
      <c r="H221" s="30">
        <v>355</v>
      </c>
      <c r="I221" s="26" t="s">
        <v>1148</v>
      </c>
      <c r="J221" s="153" t="s">
        <v>635</v>
      </c>
      <c r="K221" s="26" t="s">
        <v>128</v>
      </c>
      <c r="L221" s="26" t="s">
        <v>1509</v>
      </c>
      <c r="M221" s="26" t="s">
        <v>381</v>
      </c>
      <c r="N221" s="26">
        <v>16</v>
      </c>
      <c r="O221" s="95">
        <v>58.494655738404347</v>
      </c>
      <c r="P221" s="95">
        <v>2.1534847574926257</v>
      </c>
      <c r="Q221" s="95">
        <v>8.7141011117143456</v>
      </c>
      <c r="R221" s="95">
        <v>8.9344576915507989</v>
      </c>
      <c r="S221" s="95">
        <v>3.9864508534049534</v>
      </c>
      <c r="T221" s="95">
        <v>1.4924150179832614</v>
      </c>
      <c r="U221" s="95">
        <v>1.7328040141684848</v>
      </c>
      <c r="V221" s="95">
        <v>0.35056728610345067</v>
      </c>
      <c r="W221" s="95">
        <v>12.119611891005009</v>
      </c>
      <c r="X221" s="95">
        <v>1.3622043117162657</v>
      </c>
      <c r="Y221" s="95">
        <v>0.8513776948226659</v>
      </c>
      <c r="Z221" s="95">
        <v>100.19213036836622</v>
      </c>
      <c r="AA221" s="26"/>
      <c r="AB221" s="26"/>
      <c r="AC221" s="26">
        <f t="shared" si="4"/>
        <v>100609.41949332577</v>
      </c>
      <c r="AD221" s="26" t="str">
        <f>IFERROR($AC221*HDF_Limited_Col!AD221/HDF_Limited_Col!$AH221," ")</f>
        <v xml:space="preserve"> </v>
      </c>
      <c r="AE221" s="26" t="str">
        <f>IFERROR($AC221*HDF_Limited_Col!AE221/HDF_Limited_Col!$AH221," ")</f>
        <v xml:space="preserve"> </v>
      </c>
      <c r="AF221" s="26" t="str">
        <f>IFERROR($AC221*HDF_Limited_Col!AF221/HDF_Limited_Col!$AH221," ")</f>
        <v xml:space="preserve"> </v>
      </c>
      <c r="AG221" s="26" t="str">
        <f>IFERROR($AC221*HDF_Limited_Col!AG221/HDF_Limited_Col!$AH221," ")</f>
        <v xml:space="preserve"> </v>
      </c>
      <c r="AH221" s="26" t="str">
        <f>IFERROR($AC221*HDF_Limited_Col!AH221/HDF_Limited_Col!$AH221," ")</f>
        <v xml:space="preserve"> </v>
      </c>
      <c r="AI221" s="26" t="str">
        <f>IFERROR($AC221*HDF_Limited_Col!AI221/HDF_Limited_Col!$AH221," ")</f>
        <v xml:space="preserve"> </v>
      </c>
      <c r="AJ221" s="26" t="str">
        <f>IFERROR($AC221*HDF_Limited_Col!AJ221/HDF_Limited_Col!$AH221," ")</f>
        <v xml:space="preserve"> </v>
      </c>
      <c r="AK221" s="26" t="str">
        <f>IFERROR($AC221*HDF_Limited_Col!AK221/HDF_Limited_Col!$AH221," ")</f>
        <v xml:space="preserve"> </v>
      </c>
      <c r="AL221" s="26" t="str">
        <f>IFERROR($AC221*HDF_Limited_Col!AL221/HDF_Limited_Col!$AH221," ")</f>
        <v xml:space="preserve"> </v>
      </c>
      <c r="AM221" s="26" t="str">
        <f>IFERROR($AC221*HDF_Limited_Col!AM221/HDF_Limited_Col!$AH221," ")</f>
        <v xml:space="preserve"> </v>
      </c>
      <c r="AN221" s="26" t="str">
        <f>IFERROR($AC221*HDF_Limited_Col!AN221/HDF_Limited_Col!$AH221," ")</f>
        <v xml:space="preserve"> </v>
      </c>
      <c r="AO221" s="26" t="str">
        <f>IFERROR($AC221*HDF_Limited_Col!AO221/HDF_Limited_Col!$AH221," ")</f>
        <v xml:space="preserve"> </v>
      </c>
      <c r="AP221" s="26" t="str">
        <f>IFERROR($AC221*HDF_Limited_Col!AP221/HDF_Limited_Col!$AH221," ")</f>
        <v xml:space="preserve"> </v>
      </c>
      <c r="AQ221" s="26" t="str">
        <f>IFERROR($AC221*HDF_Limited_Col!AQ221/HDF_Limited_Col!$AH221," ")</f>
        <v xml:space="preserve"> </v>
      </c>
      <c r="AR221" s="26" t="str">
        <f>IFERROR($AC221*HDF_Limited_Col!AR221/HDF_Limited_Col!$AH221," ")</f>
        <v xml:space="preserve"> </v>
      </c>
      <c r="AS221" s="26" t="str">
        <f>IFERROR($AC221*HDF_Limited_Col!AS221/HDF_Limited_Col!$AH221," ")</f>
        <v xml:space="preserve"> </v>
      </c>
      <c r="AT221" s="26" t="str">
        <f>IFERROR($AC221*HDF_Limited_Col!AT221/HDF_Limited_Col!$AH221," ")</f>
        <v xml:space="preserve"> </v>
      </c>
      <c r="AU221" s="26" t="str">
        <f>IFERROR($AC221*HDF_Limited_Col!AU221/HDF_Limited_Col!$AH221," ")</f>
        <v xml:space="preserve"> </v>
      </c>
      <c r="AV221" s="26" t="str">
        <f>IFERROR($AC221*HDF_Limited_Col!AV221/HDF_Limited_Col!$AH221," ")</f>
        <v xml:space="preserve"> </v>
      </c>
      <c r="AW221" s="26" t="str">
        <f>IFERROR($AC221*HDF_Limited_Col!AW221/HDF_Limited_Col!$AH221," ")</f>
        <v xml:space="preserve"> </v>
      </c>
      <c r="AX221" s="26" t="str">
        <f>IFERROR($AC221*HDF_Limited_Col!AX221/HDF_Limited_Col!$AH221," ")</f>
        <v xml:space="preserve"> </v>
      </c>
      <c r="AY221" s="26" t="str">
        <f>IFERROR($AC221*HDF_Limited_Col!AY221/HDF_Limited_Col!$AH221," ")</f>
        <v xml:space="preserve"> </v>
      </c>
      <c r="AZ221" s="26" t="str">
        <f>IFERROR($AC221*HDF_Limited_Col!AZ221/HDF_Limited_Col!$AH221," ")</f>
        <v xml:space="preserve"> </v>
      </c>
      <c r="BA221" s="26" t="str">
        <f>IFERROR($AC221*HDF_Limited_Col!BA221/HDF_Limited_Col!$AH221," ")</f>
        <v xml:space="preserve"> </v>
      </c>
      <c r="BB221" s="26" t="str">
        <f>IFERROR($AC221*HDF_Limited_Col!BB221/HDF_Limited_Col!$AH221," ")</f>
        <v xml:space="preserve"> </v>
      </c>
      <c r="BC221" s="26" t="str">
        <f>IFERROR($AC221*HDF_Limited_Col!BC221/HDF_Limited_Col!$AH221," ")</f>
        <v xml:space="preserve"> </v>
      </c>
      <c r="BD221" s="26" t="str">
        <f>IFERROR($AC221*HDF_Limited_Col!BD221/HDF_Limited_Col!$AH221," ")</f>
        <v xml:space="preserve"> </v>
      </c>
      <c r="BE221" s="26" t="str">
        <f>IFERROR($AC221*HDF_Limited_Col!BE221/HDF_Limited_Col!$AH221," ")</f>
        <v xml:space="preserve"> </v>
      </c>
      <c r="BF221" s="26" t="str">
        <f>IFERROR($AC221*HDF_Limited_Col!BF221/HDF_Limited_Col!$AH221," ")</f>
        <v xml:space="preserve"> </v>
      </c>
      <c r="BG221" s="26" t="str">
        <f>IFERROR($AC221*HDF_Limited_Col!BG221/HDF_Limited_Col!$AH221," ")</f>
        <v xml:space="preserve"> </v>
      </c>
      <c r="BH221" s="26" t="str">
        <f>IFERROR($AC221*HDF_Limited_Col!BH221/HDF_Limited_Col!$AH221," ")</f>
        <v xml:space="preserve"> </v>
      </c>
      <c r="BI221" s="26" t="str">
        <f>IFERROR($AC221*HDF_Limited_Col!BI221/HDF_Limited_Col!$AH221," ")</f>
        <v xml:space="preserve"> </v>
      </c>
      <c r="BJ221" s="26" t="str">
        <f>IFERROR($AC221*HDF_Limited_Col!BJ221/HDF_Limited_Col!$AH221," ")</f>
        <v xml:space="preserve"> </v>
      </c>
      <c r="BK221" s="26" t="str">
        <f>IFERROR($AC221*HDF_Limited_Col!BK221/HDF_Limited_Col!$AH221," ")</f>
        <v xml:space="preserve"> </v>
      </c>
      <c r="BL221" s="26" t="str">
        <f>IFERROR($AC221*HDF_Limited_Col!BL221/HDF_Limited_Col!$AH221," ")</f>
        <v xml:space="preserve"> </v>
      </c>
      <c r="BM221" s="26" t="str">
        <f>IFERROR($AC221*HDF_Limited_Col!BM221/HDF_Limited_Col!$AH221," ")</f>
        <v xml:space="preserve"> </v>
      </c>
      <c r="BN221" s="26" t="str">
        <f>IFERROR($AC221*HDF_Limited_Col!BN221/HDF_Limited_Col!$AH221," ")</f>
        <v xml:space="preserve"> </v>
      </c>
      <c r="BO221" s="26" t="str">
        <f>IFERROR($AC221*HDF_Limited_Col!BO221/HDF_Limited_Col!$AH221," ")</f>
        <v xml:space="preserve"> </v>
      </c>
      <c r="BP221" s="26" t="str">
        <f>IFERROR($AC221*HDF_Limited_Col!BP221/HDF_Limited_Col!$AH221," ")</f>
        <v xml:space="preserve"> </v>
      </c>
      <c r="BQ221" s="26" t="str">
        <f>IFERROR($AC221*HDF_Limited_Col!BQ221/HDF_Limited_Col!$AH221," ")</f>
        <v xml:space="preserve"> </v>
      </c>
      <c r="BR221" s="26" t="str">
        <f>IFERROR($AC221*HDF_Limited_Col!BR221/HDF_Limited_Col!$AH221," ")</f>
        <v xml:space="preserve"> </v>
      </c>
      <c r="BS221" s="26" t="str">
        <f>IFERROR($AC221*HDF_Limited_Col!BS221/HDF_Limited_Col!$AH221," ")</f>
        <v xml:space="preserve"> </v>
      </c>
      <c r="BT221" s="26" t="str">
        <f>IFERROR($AC221*HDF_Limited_Col!BT221/HDF_Limited_Col!$AH221," ")</f>
        <v xml:space="preserve"> </v>
      </c>
      <c r="BU221" s="26" t="str">
        <f>IFERROR($AC221*HDF_Limited_Col!BU221/HDF_Limited_Col!$AH221," ")</f>
        <v xml:space="preserve"> </v>
      </c>
      <c r="BV221" s="26" t="str">
        <f>IFERROR($AC221*HDF_Limited_Col!BV221/HDF_Limited_Col!$AH221," ")</f>
        <v xml:space="preserve"> </v>
      </c>
      <c r="BW221" s="26" t="str">
        <f>IFERROR($AC221*HDF_Limited_Col!BW221/HDF_Limited_Col!$AH221," ")</f>
        <v xml:space="preserve"> </v>
      </c>
      <c r="BX221" s="26" t="str">
        <f>IFERROR($AC221*HDF_Limited_Col!BX221/HDF_Limited_Col!$AH221," ")</f>
        <v xml:space="preserve"> </v>
      </c>
      <c r="BY221" s="26" t="str">
        <f>IFERROR($AC221*HDF_Limited_Col!BY221/HDF_Limited_Col!$AH221," ")</f>
        <v xml:space="preserve"> </v>
      </c>
      <c r="BZ221" s="26" t="str">
        <f>IFERROR($AC221*HDF_Limited_Col!BZ221/HDF_Limited_Col!$AH221," ")</f>
        <v xml:space="preserve"> </v>
      </c>
      <c r="CA221" s="26" t="str">
        <f>IFERROR($AC221*HDF_Limited_Col!CA221/HDF_Limited_Col!$AH221," ")</f>
        <v xml:space="preserve"> </v>
      </c>
      <c r="CB221" s="26" t="str">
        <f>IFERROR($AC221*HDF_Limited_Col!CB221/HDF_Limited_Col!$AH221," ")</f>
        <v xml:space="preserve"> </v>
      </c>
      <c r="CC221" s="26" t="str">
        <f>IFERROR($AC221*HDF_Limited_Col!CC221/HDF_Limited_Col!$AH221," ")</f>
        <v xml:space="preserve"> </v>
      </c>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row>
    <row r="222" spans="1:109">
      <c r="A222" s="26" t="s">
        <v>836</v>
      </c>
      <c r="B222" s="26" t="s">
        <v>24</v>
      </c>
      <c r="C222" s="156" t="s">
        <v>541</v>
      </c>
      <c r="D222" s="26" t="s">
        <v>1705</v>
      </c>
      <c r="E222" s="26" t="s">
        <v>237</v>
      </c>
      <c r="F222" s="26" t="s">
        <v>163</v>
      </c>
      <c r="G222" s="26" t="s">
        <v>595</v>
      </c>
      <c r="H222" s="30">
        <v>355</v>
      </c>
      <c r="I222" s="26" t="s">
        <v>1148</v>
      </c>
      <c r="J222" s="153" t="s">
        <v>635</v>
      </c>
      <c r="K222" s="26" t="s">
        <v>128</v>
      </c>
      <c r="L222" s="26" t="s">
        <v>1509</v>
      </c>
      <c r="M222" s="26" t="s">
        <v>384</v>
      </c>
      <c r="N222" s="26">
        <v>25</v>
      </c>
      <c r="O222" s="95">
        <v>45.295255131535285</v>
      </c>
      <c r="P222" s="95">
        <v>3.8465815333432398</v>
      </c>
      <c r="Q222" s="95">
        <v>7.5525569531961265</v>
      </c>
      <c r="R222" s="95">
        <v>10.445025573569112</v>
      </c>
      <c r="S222" s="95">
        <v>2.1191349961760406</v>
      </c>
      <c r="T222" s="95">
        <v>5.7347207716422721</v>
      </c>
      <c r="U222" s="95">
        <v>2.4907368675434034</v>
      </c>
      <c r="V222" s="95">
        <v>1.0344592635361716</v>
      </c>
      <c r="W222" s="95">
        <v>14.361910163657528</v>
      </c>
      <c r="X222" s="95">
        <v>5.8753268851326244</v>
      </c>
      <c r="Y222" s="95">
        <v>1.6069270113183247</v>
      </c>
      <c r="Z222" s="95">
        <v>100.36263515065012</v>
      </c>
      <c r="AA222" s="26"/>
      <c r="AB222" s="26"/>
      <c r="AC222" s="26">
        <f t="shared" si="4"/>
        <v>119223.57393748674</v>
      </c>
      <c r="AD222" s="26">
        <f>IFERROR($AC222*HDF_Limited_Col!AD222/HDF_Limited_Col!$AH222," ")</f>
        <v>0</v>
      </c>
      <c r="AE222" s="26">
        <f>IFERROR($AC222*HDF_Limited_Col!AE222/HDF_Limited_Col!$AH222," ")</f>
        <v>0</v>
      </c>
      <c r="AF222" s="26">
        <f>IFERROR($AC222*HDF_Limited_Col!AF222/HDF_Limited_Col!$AH222," ")</f>
        <v>0</v>
      </c>
      <c r="AG222" s="26">
        <f>IFERROR($AC222*HDF_Limited_Col!AG222/HDF_Limited_Col!$AH222," ")</f>
        <v>0</v>
      </c>
      <c r="AH222" s="26">
        <f>IFERROR($AC222*HDF_Limited_Col!AH222/HDF_Limited_Col!$AH222," ")</f>
        <v>119223.57393748673</v>
      </c>
      <c r="AI222" s="26">
        <f>IFERROR($AC222*HDF_Limited_Col!AI222/HDF_Limited_Col!$AH222," ")</f>
        <v>0</v>
      </c>
      <c r="AJ222" s="26">
        <f>IFERROR($AC222*HDF_Limited_Col!AJ222/HDF_Limited_Col!$AH222," ")</f>
        <v>24767.963925118038</v>
      </c>
      <c r="AK222" s="26">
        <f>IFERROR($AC222*HDF_Limited_Col!AK222/HDF_Limited_Col!$AH222," ")</f>
        <v>0</v>
      </c>
      <c r="AL222" s="26">
        <f>IFERROR($AC222*HDF_Limited_Col!AL222/HDF_Limited_Col!$AH222," ")</f>
        <v>0</v>
      </c>
      <c r="AM222" s="26">
        <f>IFERROR($AC222*HDF_Limited_Col!AM222/HDF_Limited_Col!$AH222," ")</f>
        <v>0</v>
      </c>
      <c r="AN222" s="26">
        <f>IFERROR($AC222*HDF_Limited_Col!AN222/HDF_Limited_Col!$AH222," ")</f>
        <v>0</v>
      </c>
      <c r="AO222" s="26">
        <f>IFERROR($AC222*HDF_Limited_Col!AO222/HDF_Limited_Col!$AH222," ")</f>
        <v>0</v>
      </c>
      <c r="AP222" s="26">
        <f>IFERROR($AC222*HDF_Limited_Col!AP222/HDF_Limited_Col!$AH222," ")</f>
        <v>0</v>
      </c>
      <c r="AQ222" s="26">
        <f>IFERROR($AC222*HDF_Limited_Col!AQ222/HDF_Limited_Col!$AH222," ")</f>
        <v>0</v>
      </c>
      <c r="AR222" s="26">
        <f>IFERROR($AC222*HDF_Limited_Col!AR222/HDF_Limited_Col!$AH222," ")</f>
        <v>0</v>
      </c>
      <c r="AS222" s="26">
        <f>IFERROR($AC222*HDF_Limited_Col!AS222/HDF_Limited_Col!$AH222," ")</f>
        <v>0</v>
      </c>
      <c r="AT222" s="26">
        <f>IFERROR($AC222*HDF_Limited_Col!AT222/HDF_Limited_Col!$AH222," ")</f>
        <v>0</v>
      </c>
      <c r="AU222" s="26">
        <f>IFERROR($AC222*HDF_Limited_Col!AU222/HDF_Limited_Col!$AH222," ")</f>
        <v>0</v>
      </c>
      <c r="AV222" s="26">
        <f>IFERROR($AC222*HDF_Limited_Col!AV222/HDF_Limited_Col!$AH222," ")</f>
        <v>0</v>
      </c>
      <c r="AW222" s="26">
        <f>IFERROR($AC222*HDF_Limited_Col!AW222/HDF_Limited_Col!$AH222," ")</f>
        <v>0</v>
      </c>
      <c r="AX222" s="26">
        <f>IFERROR($AC222*HDF_Limited_Col!AX222/HDF_Limited_Col!$AH222," ")</f>
        <v>383.24144250397546</v>
      </c>
      <c r="AY222" s="26">
        <f>IFERROR($AC222*HDF_Limited_Col!AY222/HDF_Limited_Col!$AH222," ")</f>
        <v>2935.0301419748907</v>
      </c>
      <c r="AZ222" s="26">
        <f>IFERROR($AC222*HDF_Limited_Col!AZ222/HDF_Limited_Col!$AH222," ")</f>
        <v>69.945506070170012</v>
      </c>
      <c r="BA222" s="26">
        <f>IFERROR($AC222*HDF_Limited_Col!BA222/HDF_Limited_Col!$AH222," ")</f>
        <v>622.9644847286844</v>
      </c>
      <c r="BB222" s="26">
        <f>IFERROR($AC222*HDF_Limited_Col!BB222/HDF_Limited_Col!$AH222," ")</f>
        <v>0</v>
      </c>
      <c r="BC222" s="26">
        <f>IFERROR($AC222*HDF_Limited_Col!BC222/HDF_Limited_Col!$AH222," ")</f>
        <v>162.44390361279619</v>
      </c>
      <c r="BD222" s="26">
        <f>IFERROR($AC222*HDF_Limited_Col!BD222/HDF_Limited_Col!$AH222," ")</f>
        <v>0</v>
      </c>
      <c r="BE222" s="26">
        <f>IFERROR($AC222*HDF_Limited_Col!BE222/HDF_Limited_Col!$AH222," ")</f>
        <v>0</v>
      </c>
      <c r="BF222" s="26">
        <f>IFERROR($AC222*HDF_Limited_Col!BF222/HDF_Limited_Col!$AH222," ")</f>
        <v>0</v>
      </c>
      <c r="BG222" s="26">
        <f>IFERROR($AC222*HDF_Limited_Col!BG222/HDF_Limited_Col!$AH222," ")</f>
        <v>0</v>
      </c>
      <c r="BH222" s="26">
        <f>IFERROR($AC222*HDF_Limited_Col!BH222/HDF_Limited_Col!$AH222," ")</f>
        <v>0</v>
      </c>
      <c r="BI222" s="26">
        <f>IFERROR($AC222*HDF_Limited_Col!BI222/HDF_Limited_Col!$AH222," ")</f>
        <v>8473.1055549490047</v>
      </c>
      <c r="BJ222" s="26">
        <f>IFERROR($AC222*HDF_Limited_Col!BJ222/HDF_Limited_Col!$AH222," ")</f>
        <v>0</v>
      </c>
      <c r="BK222" s="26">
        <f>IFERROR($AC222*HDF_Limited_Col!BK222/HDF_Limited_Col!$AH222," ")</f>
        <v>622.17592208978738</v>
      </c>
      <c r="BL222" s="26">
        <f>IFERROR($AC222*HDF_Limited_Col!BL222/HDF_Limited_Col!$AH222," ")</f>
        <v>1004.6288019548658</v>
      </c>
      <c r="BM222" s="26">
        <f>IFERROR($AC222*HDF_Limited_Col!BM222/HDF_Limited_Col!$AH222," ")</f>
        <v>86.741890278677573</v>
      </c>
      <c r="BN222" s="26">
        <f>IFERROR($AC222*HDF_Limited_Col!BN222/HDF_Limited_Col!$AH222," ")</f>
        <v>273.63123569728288</v>
      </c>
      <c r="BO222" s="26">
        <f>IFERROR($AC222*HDF_Limited_Col!BO222/HDF_Limited_Col!$AH222," ")</f>
        <v>100.14745513992774</v>
      </c>
      <c r="BP222" s="26">
        <f>IFERROR($AC222*HDF_Limited_Col!BP222/HDF_Limited_Col!$AH222," ")</f>
        <v>18.452365750191412</v>
      </c>
      <c r="BQ222" s="26">
        <f>IFERROR($AC222*HDF_Limited_Col!BQ222/HDF_Limited_Col!$AH222," ")</f>
        <v>36.273881389265163</v>
      </c>
      <c r="BR222" s="26">
        <f>IFERROR($AC222*HDF_Limited_Col!BR222/HDF_Limited_Col!$AH222," ")</f>
        <v>23.02602905579441</v>
      </c>
      <c r="BS222" s="26">
        <f>IFERROR($AC222*HDF_Limited_Col!BS222/HDF_Limited_Col!$AH222," ")</f>
        <v>4.0926400958757876</v>
      </c>
      <c r="BT222" s="26">
        <f>IFERROR($AC222*HDF_Limited_Col!BT222/HDF_Limited_Col!$AH222," ")</f>
        <v>8.5953327639780497</v>
      </c>
      <c r="BU222" s="26">
        <f>IFERROR($AC222*HDF_Limited_Col!BU222/HDF_Limited_Col!$AH222," ")</f>
        <v>0</v>
      </c>
      <c r="BV222" s="26">
        <f>IFERROR($AC222*HDF_Limited_Col!BV222/HDF_Limited_Col!$AH222," ")</f>
        <v>11.591870791786912</v>
      </c>
      <c r="BW222" s="26" t="str">
        <f>IFERROR($AC222*HDF_Limited_Col!BW222/HDF_Limited_Col!$AH222," ")</f>
        <v xml:space="preserve"> </v>
      </c>
      <c r="BX222" s="26">
        <f>IFERROR($AC222*HDF_Limited_Col!BX222/HDF_Limited_Col!$AH222," ")</f>
        <v>20.660341139103206</v>
      </c>
      <c r="BY222" s="26">
        <f>IFERROR($AC222*HDF_Limited_Col!BY222/HDF_Limited_Col!$AH222," ")</f>
        <v>2.9807667750309199</v>
      </c>
      <c r="BZ222" s="26">
        <f>IFERROR($AC222*HDF_Limited_Col!BZ222/HDF_Limited_Col!$AH222," ")</f>
        <v>0</v>
      </c>
      <c r="CA222" s="26">
        <f>IFERROR($AC222*HDF_Limited_Col!CA222/HDF_Limited_Col!$AH222," ")</f>
        <v>0</v>
      </c>
      <c r="CB222" s="26">
        <f>IFERROR($AC222*HDF_Limited_Col!CB222/HDF_Limited_Col!$AH222," ")</f>
        <v>86.741890278677573</v>
      </c>
      <c r="CC222" s="26">
        <f>IFERROR($AC222*HDF_Limited_Col!CC222/HDF_Limited_Col!$AH222," ")</f>
        <v>18.294653222411995</v>
      </c>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row>
    <row r="223" spans="1:109">
      <c r="A223" s="26" t="s">
        <v>836</v>
      </c>
      <c r="B223" s="26" t="s">
        <v>24</v>
      </c>
      <c r="C223" s="156" t="s">
        <v>541</v>
      </c>
      <c r="D223" s="26" t="s">
        <v>1705</v>
      </c>
      <c r="E223" s="26" t="s">
        <v>237</v>
      </c>
      <c r="F223" s="26" t="s">
        <v>163</v>
      </c>
      <c r="G223" s="26" t="s">
        <v>595</v>
      </c>
      <c r="H223" s="30">
        <v>355</v>
      </c>
      <c r="I223" s="26" t="s">
        <v>1148</v>
      </c>
      <c r="J223" s="153" t="s">
        <v>635</v>
      </c>
      <c r="K223" s="26" t="s">
        <v>128</v>
      </c>
      <c r="L223" s="26" t="s">
        <v>1509</v>
      </c>
      <c r="M223" s="26" t="s">
        <v>385</v>
      </c>
      <c r="N223" s="26">
        <v>15</v>
      </c>
      <c r="O223" s="95">
        <v>50.004614732062159</v>
      </c>
      <c r="P223" s="95">
        <v>4.7499373513020968</v>
      </c>
      <c r="Q223" s="95">
        <v>5.2810484897388283</v>
      </c>
      <c r="R223" s="95">
        <v>17.135849938241744</v>
      </c>
      <c r="S223" s="95">
        <v>8.1370234794457854</v>
      </c>
      <c r="T223" s="95">
        <v>1.9741300806044577</v>
      </c>
      <c r="U223" s="95">
        <v>0.21044026239945995</v>
      </c>
      <c r="V223" s="95">
        <v>0.62129982232221515</v>
      </c>
      <c r="W223" s="95">
        <v>9.8005036488891353</v>
      </c>
      <c r="X223" s="95">
        <v>1.2626415743967601</v>
      </c>
      <c r="Y223" s="95">
        <v>1.0622222768734648</v>
      </c>
      <c r="Z223" s="95">
        <v>100.23971165627611</v>
      </c>
      <c r="AA223" s="26"/>
      <c r="AB223" s="26"/>
      <c r="AC223" s="26">
        <f t="shared" si="4"/>
        <v>81357.636838912978</v>
      </c>
      <c r="AD223" s="26">
        <f>IFERROR($AC223*HDF_Limited_Col!AD223/HDF_Limited_Col!$AH223," ")</f>
        <v>0</v>
      </c>
      <c r="AE223" s="26">
        <f>IFERROR($AC223*HDF_Limited_Col!AE223/HDF_Limited_Col!$AH223," ")</f>
        <v>0</v>
      </c>
      <c r="AF223" s="26">
        <f>IFERROR($AC223*HDF_Limited_Col!AF223/HDF_Limited_Col!$AH223," ")</f>
        <v>0</v>
      </c>
      <c r="AG223" s="26">
        <f>IFERROR($AC223*HDF_Limited_Col!AG223/HDF_Limited_Col!$AH223," ")</f>
        <v>0</v>
      </c>
      <c r="AH223" s="26">
        <f>IFERROR($AC223*HDF_Limited_Col!AH223/HDF_Limited_Col!$AH223," ")</f>
        <v>81357.636838912978</v>
      </c>
      <c r="AI223" s="26">
        <f>IFERROR($AC223*HDF_Limited_Col!AI223/HDF_Limited_Col!$AH223," ")</f>
        <v>0</v>
      </c>
      <c r="AJ223" s="26">
        <f>IFERROR($AC223*HDF_Limited_Col!AJ223/HDF_Limited_Col!$AH223," ")</f>
        <v>8212.4451790437597</v>
      </c>
      <c r="AK223" s="26">
        <f>IFERROR($AC223*HDF_Limited_Col!AK223/HDF_Limited_Col!$AH223," ")</f>
        <v>0</v>
      </c>
      <c r="AL223" s="26">
        <f>IFERROR($AC223*HDF_Limited_Col!AL223/HDF_Limited_Col!$AH223," ")</f>
        <v>0</v>
      </c>
      <c r="AM223" s="26">
        <f>IFERROR($AC223*HDF_Limited_Col!AM223/HDF_Limited_Col!$AH223," ")</f>
        <v>0</v>
      </c>
      <c r="AN223" s="26">
        <f>IFERROR($AC223*HDF_Limited_Col!AN223/HDF_Limited_Col!$AH223," ")</f>
        <v>0</v>
      </c>
      <c r="AO223" s="26">
        <f>IFERROR($AC223*HDF_Limited_Col!AO223/HDF_Limited_Col!$AH223," ")</f>
        <v>0</v>
      </c>
      <c r="AP223" s="26">
        <f>IFERROR($AC223*HDF_Limited_Col!AP223/HDF_Limited_Col!$AH223," ")</f>
        <v>0</v>
      </c>
      <c r="AQ223" s="26">
        <f>IFERROR($AC223*HDF_Limited_Col!AQ223/HDF_Limited_Col!$AH223," ")</f>
        <v>0</v>
      </c>
      <c r="AR223" s="26">
        <f>IFERROR($AC223*HDF_Limited_Col!AR223/HDF_Limited_Col!$AH223," ")</f>
        <v>0</v>
      </c>
      <c r="AS223" s="26">
        <f>IFERROR($AC223*HDF_Limited_Col!AS223/HDF_Limited_Col!$AH223," ")</f>
        <v>0</v>
      </c>
      <c r="AT223" s="26">
        <f>IFERROR($AC223*HDF_Limited_Col!AT223/HDF_Limited_Col!$AH223," ")</f>
        <v>0</v>
      </c>
      <c r="AU223" s="26">
        <f>IFERROR($AC223*HDF_Limited_Col!AU223/HDF_Limited_Col!$AH223," ")</f>
        <v>0</v>
      </c>
      <c r="AV223" s="26">
        <f>IFERROR($AC223*HDF_Limited_Col!AV223/HDF_Limited_Col!$AH223," ")</f>
        <v>0</v>
      </c>
      <c r="AW223" s="26">
        <f>IFERROR($AC223*HDF_Limited_Col!AW223/HDF_Limited_Col!$AH223," ")</f>
        <v>0</v>
      </c>
      <c r="AX223" s="26">
        <f>IFERROR($AC223*HDF_Limited_Col!AX223/HDF_Limited_Col!$AH223," ")</f>
        <v>375.45072547388702</v>
      </c>
      <c r="AY223" s="26">
        <f>IFERROR($AC223*HDF_Limited_Col!AY223/HDF_Limited_Col!$AH223," ")</f>
        <v>916.77946543515952</v>
      </c>
      <c r="AZ223" s="26">
        <f>IFERROR($AC223*HDF_Limited_Col!AZ223/HDF_Limited_Col!$AH223," ")</f>
        <v>166.14773483614542</v>
      </c>
      <c r="BA223" s="26">
        <f>IFERROR($AC223*HDF_Limited_Col!BA223/HDF_Limited_Col!$AH223," ")</f>
        <v>1126.3521764216612</v>
      </c>
      <c r="BB223" s="26">
        <f>IFERROR($AC223*HDF_Limited_Col!BB223/HDF_Limited_Col!$AH223," ")</f>
        <v>0</v>
      </c>
      <c r="BC223" s="26">
        <f>IFERROR($AC223*HDF_Limited_Col!BC223/HDF_Limited_Col!$AH223," ")</f>
        <v>44.503857545396095</v>
      </c>
      <c r="BD223" s="26">
        <f>IFERROR($AC223*HDF_Limited_Col!BD223/HDF_Limited_Col!$AH223," ")</f>
        <v>0</v>
      </c>
      <c r="BE223" s="26">
        <f>IFERROR($AC223*HDF_Limited_Col!BE223/HDF_Limited_Col!$AH223," ")</f>
        <v>0</v>
      </c>
      <c r="BF223" s="26">
        <f>IFERROR($AC223*HDF_Limited_Col!BF223/HDF_Limited_Col!$AH223," ")</f>
        <v>0</v>
      </c>
      <c r="BG223" s="26">
        <f>IFERROR($AC223*HDF_Limited_Col!BG223/HDF_Limited_Col!$AH223," ")</f>
        <v>0</v>
      </c>
      <c r="BH223" s="26">
        <f>IFERROR($AC223*HDF_Limited_Col!BH223/HDF_Limited_Col!$AH223," ")</f>
        <v>0</v>
      </c>
      <c r="BI223" s="26">
        <f>IFERROR($AC223*HDF_Limited_Col!BI223/HDF_Limited_Col!$AH223," ")</f>
        <v>5545.7200908538734</v>
      </c>
      <c r="BJ223" s="26">
        <f>IFERROR($AC223*HDF_Limited_Col!BJ223/HDF_Limited_Col!$AH223," ")</f>
        <v>0</v>
      </c>
      <c r="BK223" s="26">
        <f>IFERROR($AC223*HDF_Limited_Col!BK223/HDF_Limited_Col!$AH223," ")</f>
        <v>308.56007898141291</v>
      </c>
      <c r="BL223" s="26">
        <f>IFERROR($AC223*HDF_Limited_Col!BL223/HDF_Limited_Col!$AH223," ")</f>
        <v>428.31591383084242</v>
      </c>
      <c r="BM223" s="26">
        <f>IFERROR($AC223*HDF_Limited_Col!BM223/HDF_Limited_Col!$AH223," ")</f>
        <v>29.129797666077444</v>
      </c>
      <c r="BN223" s="26">
        <f>IFERROR($AC223*HDF_Limited_Col!BN223/HDF_Limited_Col!$AH223," ")</f>
        <v>174.77878599646465</v>
      </c>
      <c r="BO223" s="26">
        <f>IFERROR($AC223*HDF_Limited_Col!BO223/HDF_Limited_Col!$AH223," ")</f>
        <v>48.549662776795735</v>
      </c>
      <c r="BP223" s="26">
        <f>IFERROR($AC223*HDF_Limited_Col!BP223/HDF_Limited_Col!$AH223," ")</f>
        <v>48.27994242803576</v>
      </c>
      <c r="BQ223" s="26">
        <f>IFERROR($AC223*HDF_Limited_Col!BQ223/HDF_Limited_Col!$AH223," ")</f>
        <v>54.213790100755247</v>
      </c>
      <c r="BR223" s="26">
        <f>IFERROR($AC223*HDF_Limited_Col!BR223/HDF_Limited_Col!$AH223," ")</f>
        <v>24.895188190545813</v>
      </c>
      <c r="BS223" s="26">
        <f>IFERROR($AC223*HDF_Limited_Col!BS223/HDF_Limited_Col!$AH223," ")</f>
        <v>5.9068756378434806</v>
      </c>
      <c r="BT223" s="26">
        <f>IFERROR($AC223*HDF_Limited_Col!BT223/HDF_Limited_Col!$AH223," ")</f>
        <v>13.054464879982852</v>
      </c>
      <c r="BU223" s="26">
        <f>IFERROR($AC223*HDF_Limited_Col!BU223/HDF_Limited_Col!$AH223," ")</f>
        <v>0</v>
      </c>
      <c r="BV223" s="26">
        <f>IFERROR($AC223*HDF_Limited_Col!BV223/HDF_Limited_Col!$AH223," ")</f>
        <v>3.1287560456157251</v>
      </c>
      <c r="BW223" s="26">
        <f>IFERROR($AC223*HDF_Limited_Col!BW223/HDF_Limited_Col!$AH223," ")</f>
        <v>1.4376094588906738</v>
      </c>
      <c r="BX223" s="26">
        <f>IFERROR($AC223*HDF_Limited_Col!BX223/HDF_Limited_Col!$AH223," ")</f>
        <v>86.040791254432449</v>
      </c>
      <c r="BY223" s="26">
        <f>IFERROR($AC223*HDF_Limited_Col!BY223/HDF_Limited_Col!$AH223," ")</f>
        <v>2.1658544005426097</v>
      </c>
      <c r="BZ223" s="26">
        <f>IFERROR($AC223*HDF_Limited_Col!BZ223/HDF_Limited_Col!$AH223," ")</f>
        <v>0</v>
      </c>
      <c r="CA223" s="26">
        <f>IFERROR($AC223*HDF_Limited_Col!CA223/HDF_Limited_Col!$AH223," ")</f>
        <v>0</v>
      </c>
      <c r="CB223" s="26">
        <f>IFERROR($AC223*HDF_Limited_Col!CB223/HDF_Limited_Col!$AH223," ")</f>
        <v>39.918611616476497</v>
      </c>
      <c r="CC223" s="26">
        <f>IFERROR($AC223*HDF_Limited_Col!CC223/HDF_Limited_Col!$AH223," ")</f>
        <v>6.8778688933793966</v>
      </c>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row>
    <row r="224" spans="1:109">
      <c r="A224" s="26" t="s">
        <v>836</v>
      </c>
      <c r="B224" s="26" t="s">
        <v>24</v>
      </c>
      <c r="C224" s="156" t="s">
        <v>541</v>
      </c>
      <c r="D224" s="26" t="s">
        <v>1705</v>
      </c>
      <c r="E224" s="26" t="s">
        <v>237</v>
      </c>
      <c r="F224" s="26" t="s">
        <v>163</v>
      </c>
      <c r="G224" s="26" t="s">
        <v>595</v>
      </c>
      <c r="H224" s="30">
        <v>355</v>
      </c>
      <c r="I224" s="26" t="s">
        <v>1148</v>
      </c>
      <c r="J224" s="153" t="s">
        <v>635</v>
      </c>
      <c r="K224" s="26" t="s">
        <v>128</v>
      </c>
      <c r="L224" s="26" t="s">
        <v>1509</v>
      </c>
      <c r="M224" s="26" t="s">
        <v>386</v>
      </c>
      <c r="N224" s="26">
        <v>18</v>
      </c>
      <c r="O224" s="95">
        <v>63.637536273158581</v>
      </c>
      <c r="P224" s="95">
        <v>2.8116584422574786</v>
      </c>
      <c r="Q224" s="95">
        <v>9.8057838911470778</v>
      </c>
      <c r="R224" s="95">
        <v>7.3943615260792752</v>
      </c>
      <c r="S224" s="95">
        <v>3.8322604390911534</v>
      </c>
      <c r="T224" s="95">
        <v>0.79046625244961133</v>
      </c>
      <c r="U224" s="95">
        <v>0.23013574438406403</v>
      </c>
      <c r="V224" s="95">
        <v>0.51030099841683763</v>
      </c>
      <c r="W224" s="95">
        <v>10.105960949039334</v>
      </c>
      <c r="X224" s="95">
        <v>0.61036001771425674</v>
      </c>
      <c r="Y224" s="95">
        <v>0.35020656754096702</v>
      </c>
      <c r="Z224" s="95">
        <v>100.07903110127862</v>
      </c>
      <c r="AA224" s="26"/>
      <c r="AB224" s="26"/>
      <c r="AC224" s="26">
        <f t="shared" si="4"/>
        <v>83893.351837420385</v>
      </c>
      <c r="AD224" s="26">
        <f>IFERROR($AC224*HDF_Limited_Col!AD224/HDF_Limited_Col!$AH224," ")</f>
        <v>0</v>
      </c>
      <c r="AE224" s="26">
        <f>IFERROR($AC224*HDF_Limited_Col!AE224/HDF_Limited_Col!$AH224," ")</f>
        <v>0</v>
      </c>
      <c r="AF224" s="26">
        <f>IFERROR($AC224*HDF_Limited_Col!AF224/HDF_Limited_Col!$AH224," ")</f>
        <v>0</v>
      </c>
      <c r="AG224" s="26">
        <f>IFERROR($AC224*HDF_Limited_Col!AG224/HDF_Limited_Col!$AH224," ")</f>
        <v>0</v>
      </c>
      <c r="AH224" s="26">
        <f>IFERROR($AC224*HDF_Limited_Col!AH224/HDF_Limited_Col!$AH224," ")</f>
        <v>83893.351837420385</v>
      </c>
      <c r="AI224" s="26">
        <f>IFERROR($AC224*HDF_Limited_Col!AI224/HDF_Limited_Col!$AH224," ")</f>
        <v>0</v>
      </c>
      <c r="AJ224" s="26">
        <f>IFERROR($AC224*HDF_Limited_Col!AJ224/HDF_Limited_Col!$AH224," ")</f>
        <v>15489.861472106655</v>
      </c>
      <c r="AK224" s="26">
        <f>IFERROR($AC224*HDF_Limited_Col!AK224/HDF_Limited_Col!$AH224," ")</f>
        <v>0</v>
      </c>
      <c r="AL224" s="26">
        <f>IFERROR($AC224*HDF_Limited_Col!AL224/HDF_Limited_Col!$AH224," ")</f>
        <v>0</v>
      </c>
      <c r="AM224" s="26">
        <f>IFERROR($AC224*HDF_Limited_Col!AM224/HDF_Limited_Col!$AH224," ")</f>
        <v>0</v>
      </c>
      <c r="AN224" s="26">
        <f>IFERROR($AC224*HDF_Limited_Col!AN224/HDF_Limited_Col!$AH224," ")</f>
        <v>0</v>
      </c>
      <c r="AO224" s="26">
        <f>IFERROR($AC224*HDF_Limited_Col!AO224/HDF_Limited_Col!$AH224," ")</f>
        <v>0</v>
      </c>
      <c r="AP224" s="26">
        <f>IFERROR($AC224*HDF_Limited_Col!AP224/HDF_Limited_Col!$AH224," ")</f>
        <v>0</v>
      </c>
      <c r="AQ224" s="26">
        <f>IFERROR($AC224*HDF_Limited_Col!AQ224/HDF_Limited_Col!$AH224," ")</f>
        <v>0</v>
      </c>
      <c r="AR224" s="26">
        <f>IFERROR($AC224*HDF_Limited_Col!AR224/HDF_Limited_Col!$AH224," ")</f>
        <v>0</v>
      </c>
      <c r="AS224" s="26">
        <f>IFERROR($AC224*HDF_Limited_Col!AS224/HDF_Limited_Col!$AH224," ")</f>
        <v>0</v>
      </c>
      <c r="AT224" s="26">
        <f>IFERROR($AC224*HDF_Limited_Col!AT224/HDF_Limited_Col!$AH224," ")</f>
        <v>0</v>
      </c>
      <c r="AU224" s="26">
        <f>IFERROR($AC224*HDF_Limited_Col!AU224/HDF_Limited_Col!$AH224," ")</f>
        <v>0</v>
      </c>
      <c r="AV224" s="26">
        <f>IFERROR($AC224*HDF_Limited_Col!AV224/HDF_Limited_Col!$AH224," ")</f>
        <v>0</v>
      </c>
      <c r="AW224" s="26">
        <f>IFERROR($AC224*HDF_Limited_Col!AW224/HDF_Limited_Col!$AH224," ")</f>
        <v>0</v>
      </c>
      <c r="AX224" s="26" t="str">
        <f>IFERROR($AC224*HDF_Limited_Col!AX224/HDF_Limited_Col!$AH224," ")</f>
        <v xml:space="preserve"> </v>
      </c>
      <c r="AY224" s="26">
        <f>IFERROR($AC224*HDF_Limited_Col!AY224/HDF_Limited_Col!$AH224," ")</f>
        <v>769.61073505241256</v>
      </c>
      <c r="AZ224" s="26">
        <f>IFERROR($AC224*HDF_Limited_Col!AZ224/HDF_Limited_Col!$AH224," ")</f>
        <v>30.386133362253016</v>
      </c>
      <c r="BA224" s="26">
        <f>IFERROR($AC224*HDF_Limited_Col!BA224/HDF_Limited_Col!$AH224," ")</f>
        <v>176.66356605961059</v>
      </c>
      <c r="BB224" s="26">
        <f>IFERROR($AC224*HDF_Limited_Col!BB224/HDF_Limited_Col!$AH224," ")</f>
        <v>0</v>
      </c>
      <c r="BC224" s="26">
        <f>IFERROR($AC224*HDF_Limited_Col!BC224/HDF_Limited_Col!$AH224," ")</f>
        <v>235.12314610115445</v>
      </c>
      <c r="BD224" s="26">
        <f>IFERROR($AC224*HDF_Limited_Col!BD224/HDF_Limited_Col!$AH224," ")</f>
        <v>0</v>
      </c>
      <c r="BE224" s="26">
        <f>IFERROR($AC224*HDF_Limited_Col!BE224/HDF_Limited_Col!$AH224," ")</f>
        <v>0</v>
      </c>
      <c r="BF224" s="26">
        <f>IFERROR($AC224*HDF_Limited_Col!BF224/HDF_Limited_Col!$AH224," ")</f>
        <v>0</v>
      </c>
      <c r="BG224" s="26">
        <f>IFERROR($AC224*HDF_Limited_Col!BG224/HDF_Limited_Col!$AH224," ")</f>
        <v>0</v>
      </c>
      <c r="BH224" s="26">
        <f>IFERROR($AC224*HDF_Limited_Col!BH224/HDF_Limited_Col!$AH224," ")</f>
        <v>0</v>
      </c>
      <c r="BI224" s="26">
        <f>IFERROR($AC224*HDF_Limited_Col!BI224/HDF_Limited_Col!$AH224," ")</f>
        <v>7456.4873136505457</v>
      </c>
      <c r="BJ224" s="26">
        <f>IFERROR($AC224*HDF_Limited_Col!BJ224/HDF_Limited_Col!$AH224," ")</f>
        <v>0</v>
      </c>
      <c r="BK224" s="26">
        <f>IFERROR($AC224*HDF_Limited_Col!BK224/HDF_Limited_Col!$AH224," ")</f>
        <v>324.41854858219398</v>
      </c>
      <c r="BL224" s="26">
        <f>IFERROR($AC224*HDF_Limited_Col!BL224/HDF_Limited_Col!$AH224," ")</f>
        <v>312.85511516738308</v>
      </c>
      <c r="BM224" s="26">
        <f>IFERROR($AC224*HDF_Limited_Col!BM224/HDF_Limited_Col!$AH224," ")</f>
        <v>24.861381841843382</v>
      </c>
      <c r="BN224" s="26">
        <f>IFERROR($AC224*HDF_Limited_Col!BN224/HDF_Limited_Col!$AH224," ")</f>
        <v>89.937815448529022</v>
      </c>
      <c r="BO224" s="26">
        <f>IFERROR($AC224*HDF_Limited_Col!BO224/HDF_Limited_Col!$AH224," ")</f>
        <v>20.107525882421132</v>
      </c>
      <c r="BP224" s="26">
        <f>IFERROR($AC224*HDF_Limited_Col!BP224/HDF_Limited_Col!$AH224," ")</f>
        <v>8.9295402481039545</v>
      </c>
      <c r="BQ224" s="26">
        <f>IFERROR($AC224*HDF_Limited_Col!BQ224/HDF_Limited_Col!$AH224," ")</f>
        <v>17.60211530921211</v>
      </c>
      <c r="BR224" s="26" t="str">
        <f>IFERROR($AC224*HDF_Limited_Col!BR224/HDF_Limited_Col!$AH224," ")</f>
        <v xml:space="preserve"> </v>
      </c>
      <c r="BS224" s="26">
        <f>IFERROR($AC224*HDF_Limited_Col!BS224/HDF_Limited_Col!$AH224," ")</f>
        <v>1.5803359000241528</v>
      </c>
      <c r="BT224" s="26">
        <f>IFERROR($AC224*HDF_Limited_Col!BT224/HDF_Limited_Col!$AH224," ")</f>
        <v>4.5611320691754003</v>
      </c>
      <c r="BU224" s="26">
        <f>IFERROR($AC224*HDF_Limited_Col!BU224/HDF_Limited_Col!$AH224," ")</f>
        <v>0</v>
      </c>
      <c r="BV224" s="26" t="str">
        <f>IFERROR($AC224*HDF_Limited_Col!BV224/HDF_Limited_Col!$AH224," ")</f>
        <v xml:space="preserve"> </v>
      </c>
      <c r="BW224" s="26">
        <f>IFERROR($AC224*HDF_Limited_Col!BW224/HDF_Limited_Col!$AH224," ")</f>
        <v>0.89937815448529024</v>
      </c>
      <c r="BX224" s="26">
        <f>IFERROR($AC224*HDF_Limited_Col!BX224/HDF_Limited_Col!$AH224," ")</f>
        <v>6.8095774553886255</v>
      </c>
      <c r="BY224" s="26">
        <f>IFERROR($AC224*HDF_Limited_Col!BY224/HDF_Limited_Col!$AH224," ")</f>
        <v>9.2507467318487002</v>
      </c>
      <c r="BZ224" s="26">
        <f>IFERROR($AC224*HDF_Limited_Col!BZ224/HDF_Limited_Col!$AH224," ")</f>
        <v>0</v>
      </c>
      <c r="CA224" s="26">
        <f>IFERROR($AC224*HDF_Limited_Col!CA224/HDF_Limited_Col!$AH224," ")</f>
        <v>0</v>
      </c>
      <c r="CB224" s="26">
        <f>IFERROR($AC224*HDF_Limited_Col!CB224/HDF_Limited_Col!$AH224," ")</f>
        <v>50.814865728418894</v>
      </c>
      <c r="CC224" s="26">
        <f>IFERROR($AC224*HDF_Limited_Col!CC224/HDF_Limited_Col!$AH224," ")</f>
        <v>13.040983240036709</v>
      </c>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row>
    <row r="225" spans="1:109">
      <c r="A225" s="26" t="s">
        <v>827</v>
      </c>
      <c r="B225" s="26" t="s">
        <v>24</v>
      </c>
      <c r="C225" s="156" t="s">
        <v>541</v>
      </c>
      <c r="D225" s="26" t="s">
        <v>1718</v>
      </c>
      <c r="E225" s="26" t="s">
        <v>237</v>
      </c>
      <c r="F225" s="26" t="s">
        <v>163</v>
      </c>
      <c r="G225" s="26" t="s">
        <v>595</v>
      </c>
      <c r="H225" s="30">
        <v>355</v>
      </c>
      <c r="I225" s="26" t="s">
        <v>735</v>
      </c>
      <c r="J225" s="26"/>
      <c r="K225" s="26" t="s">
        <v>115</v>
      </c>
      <c r="L225" s="26"/>
      <c r="M225" s="26" t="s">
        <v>824</v>
      </c>
      <c r="N225" s="26">
        <v>31</v>
      </c>
      <c r="O225" s="95">
        <v>65.413030589041043</v>
      </c>
      <c r="P225" s="95">
        <v>1.7055544785486161</v>
      </c>
      <c r="Q225" s="95">
        <v>13.343455626292114</v>
      </c>
      <c r="R225" s="95">
        <v>1.2039208083872583</v>
      </c>
      <c r="S225" s="95">
        <v>0.80261387225817227</v>
      </c>
      <c r="T225" s="95">
        <v>2.2071881487099736</v>
      </c>
      <c r="U225" s="95">
        <v>0.60196040419362917</v>
      </c>
      <c r="V225" s="95">
        <v>2.3075148827422449</v>
      </c>
      <c r="W225" s="95">
        <v>10.734960541453054</v>
      </c>
      <c r="X225" s="95">
        <v>0.90294060629044393</v>
      </c>
      <c r="Y225" s="95">
        <v>1.0032673403227155</v>
      </c>
      <c r="Z225" s="95">
        <v>100.22640729823927</v>
      </c>
      <c r="AA225" s="26"/>
      <c r="AB225" s="26"/>
      <c r="AC225" s="26">
        <f t="shared" si="4"/>
        <v>89114.912100521775</v>
      </c>
      <c r="AD225" s="26" t="str">
        <f>IFERROR($AC225*HDF_Limited_Col!AD225/HDF_Limited_Col!$AH225," ")</f>
        <v xml:space="preserve"> </v>
      </c>
      <c r="AE225" s="26" t="str">
        <f>IFERROR($AC225*HDF_Limited_Col!AE225/HDF_Limited_Col!$AH225," ")</f>
        <v xml:space="preserve"> </v>
      </c>
      <c r="AF225" s="26" t="str">
        <f>IFERROR($AC225*HDF_Limited_Col!AF225/HDF_Limited_Col!$AH225," ")</f>
        <v xml:space="preserve"> </v>
      </c>
      <c r="AG225" s="26" t="str">
        <f>IFERROR($AC225*HDF_Limited_Col!AG225/HDF_Limited_Col!$AH225," ")</f>
        <v xml:space="preserve"> </v>
      </c>
      <c r="AH225" s="26" t="str">
        <f>IFERROR($AC225*HDF_Limited_Col!AH225/HDF_Limited_Col!$AH225," ")</f>
        <v xml:space="preserve"> </v>
      </c>
      <c r="AI225" s="26" t="str">
        <f>IFERROR($AC225*HDF_Limited_Col!AI225/HDF_Limited_Col!$AH225," ")</f>
        <v xml:space="preserve"> </v>
      </c>
      <c r="AJ225" s="26" t="str">
        <f>IFERROR($AC225*HDF_Limited_Col!AJ225/HDF_Limited_Col!$AH225," ")</f>
        <v xml:space="preserve"> </v>
      </c>
      <c r="AK225" s="26" t="str">
        <f>IFERROR($AC225*HDF_Limited_Col!AK225/HDF_Limited_Col!$AH225," ")</f>
        <v xml:space="preserve"> </v>
      </c>
      <c r="AL225" s="26" t="str">
        <f>IFERROR($AC225*HDF_Limited_Col!AL225/HDF_Limited_Col!$AH225," ")</f>
        <v xml:space="preserve"> </v>
      </c>
      <c r="AM225" s="26" t="str">
        <f>IFERROR($AC225*HDF_Limited_Col!AM225/HDF_Limited_Col!$AH225," ")</f>
        <v xml:space="preserve"> </v>
      </c>
      <c r="AN225" s="26" t="str">
        <f>IFERROR($AC225*HDF_Limited_Col!AN225/HDF_Limited_Col!$AH225," ")</f>
        <v xml:space="preserve"> </v>
      </c>
      <c r="AO225" s="26" t="str">
        <f>IFERROR($AC225*HDF_Limited_Col!AO225/HDF_Limited_Col!$AH225," ")</f>
        <v xml:space="preserve"> </v>
      </c>
      <c r="AP225" s="26" t="str">
        <f>IFERROR($AC225*HDF_Limited_Col!AP225/HDF_Limited_Col!$AH225," ")</f>
        <v xml:space="preserve"> </v>
      </c>
      <c r="AQ225" s="26" t="str">
        <f>IFERROR($AC225*HDF_Limited_Col!AQ225/HDF_Limited_Col!$AH225," ")</f>
        <v xml:space="preserve"> </v>
      </c>
      <c r="AR225" s="26" t="str">
        <f>IFERROR($AC225*HDF_Limited_Col!AR225/HDF_Limited_Col!$AH225," ")</f>
        <v xml:space="preserve"> </v>
      </c>
      <c r="AS225" s="26" t="str">
        <f>IFERROR($AC225*HDF_Limited_Col!AS225/HDF_Limited_Col!$AH225," ")</f>
        <v xml:space="preserve"> </v>
      </c>
      <c r="AT225" s="26" t="str">
        <f>IFERROR($AC225*HDF_Limited_Col!AT225/HDF_Limited_Col!$AH225," ")</f>
        <v xml:space="preserve"> </v>
      </c>
      <c r="AU225" s="26" t="str">
        <f>IFERROR($AC225*HDF_Limited_Col!AU225/HDF_Limited_Col!$AH225," ")</f>
        <v xml:space="preserve"> </v>
      </c>
      <c r="AV225" s="26" t="str">
        <f>IFERROR($AC225*HDF_Limited_Col!AV225/HDF_Limited_Col!$AH225," ")</f>
        <v xml:space="preserve"> </v>
      </c>
      <c r="AW225" s="26" t="str">
        <f>IFERROR($AC225*HDF_Limited_Col!AW225/HDF_Limited_Col!$AH225," ")</f>
        <v xml:space="preserve"> </v>
      </c>
      <c r="AX225" s="26" t="str">
        <f>IFERROR($AC225*HDF_Limited_Col!AX225/HDF_Limited_Col!$AH225," ")</f>
        <v xml:space="preserve"> </v>
      </c>
      <c r="AY225" s="26" t="str">
        <f>IFERROR($AC225*HDF_Limited_Col!AY225/HDF_Limited_Col!$AH225," ")</f>
        <v xml:space="preserve"> </v>
      </c>
      <c r="AZ225" s="26" t="str">
        <f>IFERROR($AC225*HDF_Limited_Col!AZ225/HDF_Limited_Col!$AH225," ")</f>
        <v xml:space="preserve"> </v>
      </c>
      <c r="BA225" s="26" t="str">
        <f>IFERROR($AC225*HDF_Limited_Col!BA225/HDF_Limited_Col!$AH225," ")</f>
        <v xml:space="preserve"> </v>
      </c>
      <c r="BB225" s="26" t="str">
        <f>IFERROR($AC225*HDF_Limited_Col!BB225/HDF_Limited_Col!$AH225," ")</f>
        <v xml:space="preserve"> </v>
      </c>
      <c r="BC225" s="26" t="str">
        <f>IFERROR($AC225*HDF_Limited_Col!BC225/HDF_Limited_Col!$AH225," ")</f>
        <v xml:space="preserve"> </v>
      </c>
      <c r="BD225" s="26" t="str">
        <f>IFERROR($AC225*HDF_Limited_Col!BD225/HDF_Limited_Col!$AH225," ")</f>
        <v xml:space="preserve"> </v>
      </c>
      <c r="BE225" s="26" t="str">
        <f>IFERROR($AC225*HDF_Limited_Col!BE225/HDF_Limited_Col!$AH225," ")</f>
        <v xml:space="preserve"> </v>
      </c>
      <c r="BF225" s="26" t="str">
        <f>IFERROR($AC225*HDF_Limited_Col!BF225/HDF_Limited_Col!$AH225," ")</f>
        <v xml:space="preserve"> </v>
      </c>
      <c r="BG225" s="26" t="str">
        <f>IFERROR($AC225*HDF_Limited_Col!BG225/HDF_Limited_Col!$AH225," ")</f>
        <v xml:space="preserve"> </v>
      </c>
      <c r="BH225" s="26" t="str">
        <f>IFERROR($AC225*HDF_Limited_Col!BH225/HDF_Limited_Col!$AH225," ")</f>
        <v xml:space="preserve"> </v>
      </c>
      <c r="BI225" s="26" t="str">
        <f>IFERROR($AC225*HDF_Limited_Col!BI225/HDF_Limited_Col!$AH225," ")</f>
        <v xml:space="preserve"> </v>
      </c>
      <c r="BJ225" s="26" t="str">
        <f>IFERROR($AC225*HDF_Limited_Col!BJ225/HDF_Limited_Col!$AH225," ")</f>
        <v xml:space="preserve"> </v>
      </c>
      <c r="BK225" s="26" t="str">
        <f>IFERROR($AC225*HDF_Limited_Col!BK225/HDF_Limited_Col!$AH225," ")</f>
        <v xml:space="preserve"> </v>
      </c>
      <c r="BL225" s="26" t="str">
        <f>IFERROR($AC225*HDF_Limited_Col!BL225/HDF_Limited_Col!$AH225," ")</f>
        <v xml:space="preserve"> </v>
      </c>
      <c r="BM225" s="26" t="str">
        <f>IFERROR($AC225*HDF_Limited_Col!BM225/HDF_Limited_Col!$AH225," ")</f>
        <v xml:space="preserve"> </v>
      </c>
      <c r="BN225" s="26" t="str">
        <f>IFERROR($AC225*HDF_Limited_Col!BN225/HDF_Limited_Col!$AH225," ")</f>
        <v xml:space="preserve"> </v>
      </c>
      <c r="BO225" s="26" t="str">
        <f>IFERROR($AC225*HDF_Limited_Col!BO225/HDF_Limited_Col!$AH225," ")</f>
        <v xml:space="preserve"> </v>
      </c>
      <c r="BP225" s="26" t="str">
        <f>IFERROR($AC225*HDF_Limited_Col!BP225/HDF_Limited_Col!$AH225," ")</f>
        <v xml:space="preserve"> </v>
      </c>
      <c r="BQ225" s="26" t="str">
        <f>IFERROR($AC225*HDF_Limited_Col!BQ225/HDF_Limited_Col!$AH225," ")</f>
        <v xml:space="preserve"> </v>
      </c>
      <c r="BR225" s="26" t="str">
        <f>IFERROR($AC225*HDF_Limited_Col!BR225/HDF_Limited_Col!$AH225," ")</f>
        <v xml:space="preserve"> </v>
      </c>
      <c r="BS225" s="26" t="str">
        <f>IFERROR($AC225*HDF_Limited_Col!BS225/HDF_Limited_Col!$AH225," ")</f>
        <v xml:space="preserve"> </v>
      </c>
      <c r="BT225" s="26" t="str">
        <f>IFERROR($AC225*HDF_Limited_Col!BT225/HDF_Limited_Col!$AH225," ")</f>
        <v xml:space="preserve"> </v>
      </c>
      <c r="BU225" s="26" t="str">
        <f>IFERROR($AC225*HDF_Limited_Col!BU225/HDF_Limited_Col!$AH225," ")</f>
        <v xml:space="preserve"> </v>
      </c>
      <c r="BV225" s="26" t="str">
        <f>IFERROR($AC225*HDF_Limited_Col!BV225/HDF_Limited_Col!$AH225," ")</f>
        <v xml:space="preserve"> </v>
      </c>
      <c r="BW225" s="26" t="str">
        <f>IFERROR($AC225*HDF_Limited_Col!BW225/HDF_Limited_Col!$AH225," ")</f>
        <v xml:space="preserve"> </v>
      </c>
      <c r="BX225" s="26" t="str">
        <f>IFERROR($AC225*HDF_Limited_Col!BX225/HDF_Limited_Col!$AH225," ")</f>
        <v xml:space="preserve"> </v>
      </c>
      <c r="BY225" s="26" t="str">
        <f>IFERROR($AC225*HDF_Limited_Col!BY225/HDF_Limited_Col!$AH225," ")</f>
        <v xml:space="preserve"> </v>
      </c>
      <c r="BZ225" s="26" t="str">
        <f>IFERROR($AC225*HDF_Limited_Col!BZ225/HDF_Limited_Col!$AH225," ")</f>
        <v xml:space="preserve"> </v>
      </c>
      <c r="CA225" s="26" t="str">
        <f>IFERROR($AC225*HDF_Limited_Col!CA225/HDF_Limited_Col!$AH225," ")</f>
        <v xml:space="preserve"> </v>
      </c>
      <c r="CB225" s="26" t="str">
        <f>IFERROR($AC225*HDF_Limited_Col!CB225/HDF_Limited_Col!$AH225," ")</f>
        <v xml:space="preserve"> </v>
      </c>
      <c r="CC225" s="26" t="str">
        <f>IFERROR($AC225*HDF_Limited_Col!CC225/HDF_Limited_Col!$AH225," ")</f>
        <v xml:space="preserve"> </v>
      </c>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row>
    <row r="226" spans="1:109">
      <c r="A226" s="26" t="s">
        <v>827</v>
      </c>
      <c r="B226" s="26" t="s">
        <v>24</v>
      </c>
      <c r="C226" s="156" t="s">
        <v>541</v>
      </c>
      <c r="D226" s="26" t="s">
        <v>1718</v>
      </c>
      <c r="E226" s="26" t="s">
        <v>237</v>
      </c>
      <c r="F226" s="26" t="s">
        <v>163</v>
      </c>
      <c r="G226" s="26" t="s">
        <v>595</v>
      </c>
      <c r="H226" s="30">
        <v>355</v>
      </c>
      <c r="I226" s="26" t="s">
        <v>735</v>
      </c>
      <c r="J226" s="26" t="s">
        <v>596</v>
      </c>
      <c r="K226" s="26" t="s">
        <v>115</v>
      </c>
      <c r="L226" s="26"/>
      <c r="M226" s="26" t="s">
        <v>592</v>
      </c>
      <c r="N226" s="26">
        <v>17</v>
      </c>
      <c r="O226" s="95">
        <v>62.858523146867753</v>
      </c>
      <c r="P226" s="95">
        <v>0.60055913834587027</v>
      </c>
      <c r="Q226" s="95">
        <v>12.511648715538964</v>
      </c>
      <c r="R226" s="95">
        <v>2.9027025020050399</v>
      </c>
      <c r="S226" s="95">
        <v>1.6014910355889878</v>
      </c>
      <c r="T226" s="95">
        <v>3.4031684506265982</v>
      </c>
      <c r="U226" s="95">
        <v>0</v>
      </c>
      <c r="V226" s="95">
        <v>1.0009318972431172E-2</v>
      </c>
      <c r="W226" s="95">
        <v>15.11407164837107</v>
      </c>
      <c r="X226" s="95">
        <v>0.30027956917293513</v>
      </c>
      <c r="Y226" s="95">
        <v>0.90083870751880546</v>
      </c>
      <c r="Z226" s="95">
        <v>100.20329223300845</v>
      </c>
      <c r="AA226" s="26"/>
      <c r="AB226" s="26"/>
      <c r="AC226" s="26">
        <f t="shared" si="4"/>
        <v>125467.54701375596</v>
      </c>
      <c r="AD226" s="26">
        <f>IFERROR($AC226*HDF_Limited_Col!AD226/HDF_Limited_Col!$AH226," ")</f>
        <v>20868.841491131821</v>
      </c>
      <c r="AE226" s="26">
        <f>IFERROR($AC226*HDF_Limited_Col!AE226/HDF_Limited_Col!$AH226," ")</f>
        <v>0</v>
      </c>
      <c r="AF226" s="26">
        <f>IFERROR($AC226*HDF_Limited_Col!AF226/HDF_Limited_Col!$AH226," ")</f>
        <v>0</v>
      </c>
      <c r="AG226" s="26">
        <f>IFERROR($AC226*HDF_Limited_Col!AG226/HDF_Limited_Col!$AH226," ")</f>
        <v>0</v>
      </c>
      <c r="AH226" s="26">
        <f>IFERROR($AC226*HDF_Limited_Col!AH226/HDF_Limited_Col!$AH226," ")</f>
        <v>125467.54701375596</v>
      </c>
      <c r="AI226" s="26">
        <f>IFERROR($AC226*HDF_Limited_Col!AI226/HDF_Limited_Col!$AH226," ")</f>
        <v>0</v>
      </c>
      <c r="AJ226" s="26">
        <f>IFERROR($AC226*HDF_Limited_Col!AJ226/HDF_Limited_Col!$AH226," ")</f>
        <v>0</v>
      </c>
      <c r="AK226" s="26">
        <f>IFERROR($AC226*HDF_Limited_Col!AK226/HDF_Limited_Col!$AH226," ")</f>
        <v>1267.4003734858109</v>
      </c>
      <c r="AL226" s="26">
        <f>IFERROR($AC226*HDF_Limited_Col!AL226/HDF_Limited_Col!$AH226," ")</f>
        <v>0</v>
      </c>
      <c r="AM226" s="26">
        <f>IFERROR($AC226*HDF_Limited_Col!AM226/HDF_Limited_Col!$AH226," ")</f>
        <v>42755.675250123735</v>
      </c>
      <c r="AN226" s="26">
        <f>IFERROR($AC226*HDF_Limited_Col!AN226/HDF_Limited_Col!$AH226," ")</f>
        <v>0</v>
      </c>
      <c r="AO226" s="26">
        <f>IFERROR($AC226*HDF_Limited_Col!AO226/HDF_Limited_Col!$AH226," ")</f>
        <v>0</v>
      </c>
      <c r="AP226" s="26">
        <f>IFERROR($AC226*HDF_Limited_Col!AP226/HDF_Limited_Col!$AH226," ")</f>
        <v>155.24382084866357</v>
      </c>
      <c r="AQ226" s="26">
        <f>IFERROR($AC226*HDF_Limited_Col!AQ226/HDF_Limited_Col!$AH226," ")</f>
        <v>61.58853220553538</v>
      </c>
      <c r="AR226" s="26">
        <f>IFERROR($AC226*HDF_Limited_Col!AR226/HDF_Limited_Col!$AH226," ")</f>
        <v>0</v>
      </c>
      <c r="AS226" s="26">
        <f>IFERROR($AC226*HDF_Limited_Col!AS226/HDF_Limited_Col!$AH226," ")</f>
        <v>6.3624516741255563</v>
      </c>
      <c r="AT226" s="26">
        <f>IFERROR($AC226*HDF_Limited_Col!AT226/HDF_Limited_Col!$AH226," ")</f>
        <v>0</v>
      </c>
      <c r="AU226" s="26">
        <f>IFERROR($AC226*HDF_Limited_Col!AU226/HDF_Limited_Col!$AH226," ")</f>
        <v>15.778880151831379</v>
      </c>
      <c r="AV226" s="26">
        <f>IFERROR($AC226*HDF_Limited_Col!AV226/HDF_Limited_Col!$AH226," ")</f>
        <v>0</v>
      </c>
      <c r="AW226" s="26">
        <f>IFERROR($AC226*HDF_Limited_Col!AW226/HDF_Limited_Col!$AH226," ")</f>
        <v>156.77080925045371</v>
      </c>
      <c r="AX226" s="26">
        <f>IFERROR($AC226*HDF_Limited_Col!AX226/HDF_Limited_Col!$AH226," ")</f>
        <v>130.30301028609139</v>
      </c>
      <c r="AY226" s="26">
        <f>IFERROR($AC226*HDF_Limited_Col!AY226/HDF_Limited_Col!$AH226," ")</f>
        <v>7024.1466482346132</v>
      </c>
      <c r="AZ226" s="26">
        <f>IFERROR($AC226*HDF_Limited_Col!AZ226/HDF_Limited_Col!$AH226," ")</f>
        <v>0</v>
      </c>
      <c r="BA226" s="26" t="str">
        <f>IFERROR($AC226*HDF_Limited_Col!BA226/HDF_Limited_Col!$AH226," ")</f>
        <v xml:space="preserve"> </v>
      </c>
      <c r="BB226" s="26" t="str">
        <f>IFERROR($AC226*HDF_Limited_Col!BB226/HDF_Limited_Col!$AH226," ")</f>
        <v xml:space="preserve"> </v>
      </c>
      <c r="BC226" s="26">
        <f>IFERROR($AC226*HDF_Limited_Col!BC226/HDF_Limited_Col!$AH226," ")</f>
        <v>0</v>
      </c>
      <c r="BD226" s="26">
        <f>IFERROR($AC226*HDF_Limited_Col!BD226/HDF_Limited_Col!$AH226," ")</f>
        <v>0</v>
      </c>
      <c r="BE226" s="26">
        <f>IFERROR($AC226*HDF_Limited_Col!BE226/HDF_Limited_Col!$AH226," ")</f>
        <v>0</v>
      </c>
      <c r="BF226" s="26">
        <f>IFERROR($AC226*HDF_Limited_Col!BF226/HDF_Limited_Col!$AH226," ")</f>
        <v>0</v>
      </c>
      <c r="BG226" s="26">
        <f>IFERROR($AC226*HDF_Limited_Col!BG226/HDF_Limited_Col!$AH226," ")</f>
        <v>0</v>
      </c>
      <c r="BH226" s="26">
        <f>IFERROR($AC226*HDF_Limited_Col!BH226/HDF_Limited_Col!$AH226," ")</f>
        <v>4.2246679116193695</v>
      </c>
      <c r="BI226" s="26">
        <f>IFERROR($AC226*HDF_Limited_Col!BI226/HDF_Limited_Col!$AH226," ")</f>
        <v>5802.5559268025063</v>
      </c>
      <c r="BJ226" s="26">
        <f>IFERROR($AC226*HDF_Limited_Col!BJ226/HDF_Limited_Col!$AH226," ")</f>
        <v>0</v>
      </c>
      <c r="BK226" s="26">
        <f>IFERROR($AC226*HDF_Limited_Col!BK226/HDF_Limited_Col!$AH226," ")</f>
        <v>458.09652053704002</v>
      </c>
      <c r="BL226" s="26">
        <f>IFERROR($AC226*HDF_Limited_Col!BL226/HDF_Limited_Col!$AH226," ")</f>
        <v>661.69497410905785</v>
      </c>
      <c r="BM226" s="26">
        <f>IFERROR($AC226*HDF_Limited_Col!BM226/HDF_Limited_Col!$AH226," ")</f>
        <v>0</v>
      </c>
      <c r="BN226" s="26">
        <f>IFERROR($AC226*HDF_Limited_Col!BN226/HDF_Limited_Col!$AH226," ")</f>
        <v>162.87876285761425</v>
      </c>
      <c r="BO226" s="26">
        <f>IFERROR($AC226*HDF_Limited_Col!BO226/HDF_Limited_Col!$AH226," ")</f>
        <v>39.192702312613427</v>
      </c>
      <c r="BP226" s="26">
        <f>IFERROR($AC226*HDF_Limited_Col!BP226/HDF_Limited_Col!$AH226," ")</f>
        <v>7.1259458750206228</v>
      </c>
      <c r="BQ226" s="26">
        <f>IFERROR($AC226*HDF_Limited_Col!BQ226/HDF_Limited_Col!$AH226," ")</f>
        <v>18.83285695541165</v>
      </c>
      <c r="BR226" s="26">
        <f>IFERROR($AC226*HDF_Limited_Col!BR226/HDF_Limited_Col!$AH226," ")</f>
        <v>0</v>
      </c>
      <c r="BS226" s="26">
        <f>IFERROR($AC226*HDF_Limited_Col!BS226/HDF_Limited_Col!$AH226," ")</f>
        <v>0</v>
      </c>
      <c r="BT226" s="26">
        <f>IFERROR($AC226*HDF_Limited_Col!BT226/HDF_Limited_Col!$AH226," ")</f>
        <v>0</v>
      </c>
      <c r="BU226" s="26">
        <f>IFERROR($AC226*HDF_Limited_Col!BU226/HDF_Limited_Col!$AH226," ")</f>
        <v>0</v>
      </c>
      <c r="BV226" s="26">
        <f>IFERROR($AC226*HDF_Limited_Col!BV226/HDF_Limited_Col!$AH226," ")</f>
        <v>5.0899613393004453</v>
      </c>
      <c r="BW226" s="26" t="str">
        <f>IFERROR($AC226*HDF_Limited_Col!BW226/HDF_Limited_Col!$AH226," ")</f>
        <v xml:space="preserve"> </v>
      </c>
      <c r="BX226" s="26">
        <f>IFERROR($AC226*HDF_Limited_Col!BX226/HDF_Limited_Col!$AH226," ")</f>
        <v>10.943416879495956</v>
      </c>
      <c r="BY226" s="26" t="str">
        <f>IFERROR($AC226*HDF_Limited_Col!BY226/HDF_Limited_Col!$AH226," ")</f>
        <v xml:space="preserve"> </v>
      </c>
      <c r="BZ226" s="26">
        <f>IFERROR($AC226*HDF_Limited_Col!BZ226/HDF_Limited_Col!$AH226," ")</f>
        <v>0</v>
      </c>
      <c r="CA226" s="26">
        <f>IFERROR($AC226*HDF_Limited_Col!CA226/HDF_Limited_Col!$AH226," ")</f>
        <v>0</v>
      </c>
      <c r="CB226" s="26">
        <f>IFERROR($AC226*HDF_Limited_Col!CB226/HDF_Limited_Col!$AH226," ")</f>
        <v>47.336640455494141</v>
      </c>
      <c r="CC226" s="26" t="str">
        <f>IFERROR($AC226*HDF_Limited_Col!CC226/HDF_Limited_Col!$AH226," ")</f>
        <v xml:space="preserve"> </v>
      </c>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row>
    <row r="227" spans="1:109">
      <c r="A227" s="26" t="s">
        <v>670</v>
      </c>
      <c r="B227" s="26" t="s">
        <v>24</v>
      </c>
      <c r="C227" s="156" t="s">
        <v>541</v>
      </c>
      <c r="D227" s="26" t="s">
        <v>1708</v>
      </c>
      <c r="E227" s="26" t="s">
        <v>237</v>
      </c>
      <c r="F227" s="26" t="s">
        <v>661</v>
      </c>
      <c r="G227" s="26" t="s">
        <v>595</v>
      </c>
      <c r="H227" s="30">
        <v>376</v>
      </c>
      <c r="I227" s="26" t="s">
        <v>712</v>
      </c>
      <c r="J227" s="26" t="s">
        <v>635</v>
      </c>
      <c r="K227" s="26" t="s">
        <v>662</v>
      </c>
      <c r="L227" s="26"/>
      <c r="M227" s="26" t="s">
        <v>660</v>
      </c>
      <c r="N227" s="26">
        <v>15</v>
      </c>
      <c r="O227" s="95">
        <v>50.071862348613116</v>
      </c>
      <c r="P227" s="95">
        <v>3.0469693112746317</v>
      </c>
      <c r="Q227" s="95">
        <v>7.2213172677208783</v>
      </c>
      <c r="R227" s="95">
        <v>6.0329992363237714</v>
      </c>
      <c r="S227" s="95">
        <v>8.7752716164709401</v>
      </c>
      <c r="T227" s="95">
        <v>5.9314335926146162</v>
      </c>
      <c r="U227" s="95">
        <v>1.035969565833375</v>
      </c>
      <c r="V227" s="95">
        <v>4.2860701645263148</v>
      </c>
      <c r="W227" s="95">
        <v>8.4096352991179835</v>
      </c>
      <c r="X227" s="95">
        <v>4.5907670956537787</v>
      </c>
      <c r="Y227" s="95">
        <v>0.77189889218957342</v>
      </c>
      <c r="Z227" s="95">
        <v>100.17419439033895</v>
      </c>
      <c r="AA227" s="26"/>
      <c r="AB227" s="26"/>
      <c r="AC227" s="26">
        <f t="shared" si="4"/>
        <v>69811.519808055513</v>
      </c>
      <c r="AD227" s="26">
        <f>IFERROR($AC227*HDF_Limited_Col!AD227/HDF_Limited_Col!$AH227," ")</f>
        <v>0</v>
      </c>
      <c r="AE227" s="26">
        <f>IFERROR($AC227*HDF_Limited_Col!AE227/HDF_Limited_Col!$AH227," ")</f>
        <v>0</v>
      </c>
      <c r="AF227" s="26">
        <f>IFERROR($AC227*HDF_Limited_Col!AF227/HDF_Limited_Col!$AH227," ")</f>
        <v>0</v>
      </c>
      <c r="AG227" s="26">
        <f>IFERROR($AC227*HDF_Limited_Col!AG227/HDF_Limited_Col!$AH227," ")</f>
        <v>0</v>
      </c>
      <c r="AH227" s="26">
        <f>IFERROR($AC227*HDF_Limited_Col!AH227/HDF_Limited_Col!$AH227," ")</f>
        <v>69811.519808055513</v>
      </c>
      <c r="AI227" s="26">
        <f>IFERROR($AC227*HDF_Limited_Col!AI227/HDF_Limited_Col!$AH227," ")</f>
        <v>0</v>
      </c>
      <c r="AJ227" s="26">
        <f>IFERROR($AC227*HDF_Limited_Col!AJ227/HDF_Limited_Col!$AH227," ")</f>
        <v>16401.884123795542</v>
      </c>
      <c r="AK227" s="26">
        <f>IFERROR($AC227*HDF_Limited_Col!AK227/HDF_Limited_Col!$AH227," ")</f>
        <v>0</v>
      </c>
      <c r="AL227" s="26">
        <f>IFERROR($AC227*HDF_Limited_Col!AL227/HDF_Limited_Col!$AH227," ")</f>
        <v>0</v>
      </c>
      <c r="AM227" s="26">
        <f>IFERROR($AC227*HDF_Limited_Col!AM227/HDF_Limited_Col!$AH227," ")</f>
        <v>0</v>
      </c>
      <c r="AN227" s="26">
        <f>IFERROR($AC227*HDF_Limited_Col!AN227/HDF_Limited_Col!$AH227," ")</f>
        <v>0</v>
      </c>
      <c r="AO227" s="26">
        <f>IFERROR($AC227*HDF_Limited_Col!AO227/HDF_Limited_Col!$AH227," ")</f>
        <v>0</v>
      </c>
      <c r="AP227" s="26">
        <f>IFERROR($AC227*HDF_Limited_Col!AP227/HDF_Limited_Col!$AH227," ")</f>
        <v>0</v>
      </c>
      <c r="AQ227" s="26">
        <f>IFERROR($AC227*HDF_Limited_Col!AQ227/HDF_Limited_Col!$AH227," ")</f>
        <v>0</v>
      </c>
      <c r="AR227" s="26">
        <f>IFERROR($AC227*HDF_Limited_Col!AR227/HDF_Limited_Col!$AH227," ")</f>
        <v>0</v>
      </c>
      <c r="AS227" s="26">
        <f>IFERROR($AC227*HDF_Limited_Col!AS227/HDF_Limited_Col!$AH227," ")</f>
        <v>0</v>
      </c>
      <c r="AT227" s="26">
        <f>IFERROR($AC227*HDF_Limited_Col!AT227/HDF_Limited_Col!$AH227," ")</f>
        <v>0</v>
      </c>
      <c r="AU227" s="26">
        <f>IFERROR($AC227*HDF_Limited_Col!AU227/HDF_Limited_Col!$AH227," ")</f>
        <v>0</v>
      </c>
      <c r="AV227" s="26">
        <f>IFERROR($AC227*HDF_Limited_Col!AV227/HDF_Limited_Col!$AH227," ")</f>
        <v>0</v>
      </c>
      <c r="AW227" s="26">
        <f>IFERROR($AC227*HDF_Limited_Col!AW227/HDF_Limited_Col!$AH227," ")</f>
        <v>0</v>
      </c>
      <c r="AX227" s="26">
        <f>IFERROR($AC227*HDF_Limited_Col!AX227/HDF_Limited_Col!$AH227," ")</f>
        <v>245.86277729529206</v>
      </c>
      <c r="AY227" s="26">
        <f>IFERROR($AC227*HDF_Limited_Col!AY227/HDF_Limited_Col!$AH227," ")</f>
        <v>3733.8720683746551</v>
      </c>
      <c r="AZ227" s="26">
        <f>IFERROR($AC227*HDF_Limited_Col!AZ227/HDF_Limited_Col!$AH227," ")</f>
        <v>35.123253899327437</v>
      </c>
      <c r="BA227" s="26">
        <f>IFERROR($AC227*HDF_Limited_Col!BA227/HDF_Limited_Col!$AH227," ")</f>
        <v>672.74540161019479</v>
      </c>
      <c r="BB227" s="26">
        <f>IFERROR($AC227*HDF_Limited_Col!BB227/HDF_Limited_Col!$AH227," ")</f>
        <v>0</v>
      </c>
      <c r="BC227" s="26">
        <f>IFERROR($AC227*HDF_Limited_Col!BC227/HDF_Limited_Col!$AH227," ")</f>
        <v>64.842930275681425</v>
      </c>
      <c r="BD227" s="26">
        <f>IFERROR($AC227*HDF_Limited_Col!BD227/HDF_Limited_Col!$AH227," ")</f>
        <v>0</v>
      </c>
      <c r="BE227" s="26">
        <f>IFERROR($AC227*HDF_Limited_Col!BE227/HDF_Limited_Col!$AH227," ")</f>
        <v>0</v>
      </c>
      <c r="BF227" s="26">
        <f>IFERROR($AC227*HDF_Limited_Col!BF227/HDF_Limited_Col!$AH227," ")</f>
        <v>0</v>
      </c>
      <c r="BG227" s="26">
        <f>IFERROR($AC227*HDF_Limited_Col!BG227/HDF_Limited_Col!$AH227," ")</f>
        <v>0</v>
      </c>
      <c r="BH227" s="26">
        <f>IFERROR($AC227*HDF_Limited_Col!BH227/HDF_Limited_Col!$AH227," ")</f>
        <v>2.7017887614867262</v>
      </c>
      <c r="BI227" s="26">
        <f>IFERROR($AC227*HDF_Limited_Col!BI227/HDF_Limited_Col!$AH227," ")</f>
        <v>2909.1510489308321</v>
      </c>
      <c r="BJ227" s="26">
        <f>IFERROR($AC227*HDF_Limited_Col!BJ227/HDF_Limited_Col!$AH227," ")</f>
        <v>0</v>
      </c>
      <c r="BK227" s="26">
        <f>IFERROR($AC227*HDF_Limited_Col!BK227/HDF_Limited_Col!$AH227," ")</f>
        <v>223.57302001302656</v>
      </c>
      <c r="BL227" s="26">
        <f>IFERROR($AC227*HDF_Limited_Col!BL227/HDF_Limited_Col!$AH227," ")</f>
        <v>360.68879965847793</v>
      </c>
      <c r="BM227" s="26">
        <f>IFERROR($AC227*HDF_Limited_Col!BM227/HDF_Limited_Col!$AH227," ")</f>
        <v>39.85138423192921</v>
      </c>
      <c r="BN227" s="26">
        <f>IFERROR($AC227*HDF_Limited_Col!BN227/HDF_Limited_Col!$AH227," ")</f>
        <v>169.53724478329207</v>
      </c>
      <c r="BO227" s="26">
        <f>IFERROR($AC227*HDF_Limited_Col!BO227/HDF_Limited_Col!$AH227," ")</f>
        <v>32.421465137840713</v>
      </c>
      <c r="BP227" s="26">
        <f>IFERROR($AC227*HDF_Limited_Col!BP227/HDF_Limited_Col!$AH227," ")</f>
        <v>6.0790247133451336</v>
      </c>
      <c r="BQ227" s="26">
        <f>IFERROR($AC227*HDF_Limited_Col!BQ227/HDF_Limited_Col!$AH227," ")</f>
        <v>16.210732568920356</v>
      </c>
      <c r="BR227" s="26">
        <f>IFERROR($AC227*HDF_Limited_Col!BR227/HDF_Limited_Col!$AH227," ")</f>
        <v>8.7808134748318594</v>
      </c>
      <c r="BS227" s="26">
        <f>IFERROR($AC227*HDF_Limited_Col!BS227/HDF_Limited_Col!$AH227," ")</f>
        <v>1.3508943807433631</v>
      </c>
      <c r="BT227" s="26">
        <f>IFERROR($AC227*HDF_Limited_Col!BT227/HDF_Limited_Col!$AH227," ")</f>
        <v>3.3772359518584074</v>
      </c>
      <c r="BU227" s="26">
        <f>IFERROR($AC227*HDF_Limited_Col!BU227/HDF_Limited_Col!$AH227," ")</f>
        <v>0</v>
      </c>
      <c r="BV227" s="26">
        <f>IFERROR($AC227*HDF_Limited_Col!BV227/HDF_Limited_Col!$AH227," ")</f>
        <v>8.1053662844601782</v>
      </c>
      <c r="BW227" s="26" t="str">
        <f>IFERROR($AC227*HDF_Limited_Col!BW227/HDF_Limited_Col!$AH227," ")</f>
        <v xml:space="preserve"> </v>
      </c>
      <c r="BX227" s="26">
        <f>IFERROR($AC227*HDF_Limited_Col!BX227/HDF_Limited_Col!$AH227," ")</f>
        <v>13.50894380743363</v>
      </c>
      <c r="BY227" s="26">
        <f>IFERROR($AC227*HDF_Limited_Col!BY227/HDF_Limited_Col!$AH227," ")</f>
        <v>4.0526831422300891</v>
      </c>
      <c r="BZ227" s="26">
        <f>IFERROR($AC227*HDF_Limited_Col!BZ227/HDF_Limited_Col!$AH227," ")</f>
        <v>0</v>
      </c>
      <c r="CA227" s="26">
        <f>IFERROR($AC227*HDF_Limited_Col!CA227/HDF_Limited_Col!$AH227," ")</f>
        <v>0</v>
      </c>
      <c r="CB227" s="26">
        <f>IFERROR($AC227*HDF_Limited_Col!CB227/HDF_Limited_Col!$AH227," ")</f>
        <v>12.833496617061948</v>
      </c>
      <c r="CC227" s="26">
        <f>IFERROR($AC227*HDF_Limited_Col!CC227/HDF_Limited_Col!$AH227," ")</f>
        <v>2.0263415711150445</v>
      </c>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row>
    <row r="228" spans="1:109">
      <c r="A228" s="26" t="s">
        <v>1164</v>
      </c>
      <c r="B228" s="26" t="s">
        <v>24</v>
      </c>
      <c r="C228" s="156" t="s">
        <v>541</v>
      </c>
      <c r="D228" s="26" t="s">
        <v>110</v>
      </c>
      <c r="E228" s="26" t="s">
        <v>171</v>
      </c>
      <c r="F228" s="26" t="s">
        <v>113</v>
      </c>
      <c r="G228" s="26" t="s">
        <v>595</v>
      </c>
      <c r="H228" s="30" t="s">
        <v>805</v>
      </c>
      <c r="I228" s="26" t="s">
        <v>735</v>
      </c>
      <c r="J228" s="26" t="s">
        <v>1311</v>
      </c>
      <c r="K228" s="26" t="s">
        <v>115</v>
      </c>
      <c r="L228" s="26" t="s">
        <v>114</v>
      </c>
      <c r="M228" s="26" t="s">
        <v>116</v>
      </c>
      <c r="N228" s="26">
        <v>20</v>
      </c>
      <c r="O228" s="95">
        <v>50.041642551629707</v>
      </c>
      <c r="P228" s="95">
        <v>2.8023319828912636</v>
      </c>
      <c r="Q228" s="95">
        <v>6.4053302466086022</v>
      </c>
      <c r="R228" s="95">
        <v>4.5037478296466729</v>
      </c>
      <c r="S228" s="95">
        <v>2.902415267994523</v>
      </c>
      <c r="T228" s="95">
        <v>5.4044973955760085</v>
      </c>
      <c r="U228" s="95">
        <v>3.1025818382010417</v>
      </c>
      <c r="V228" s="95">
        <v>3.2026651233043011</v>
      </c>
      <c r="W228" s="95">
        <v>14.411993054869354</v>
      </c>
      <c r="X228" s="95">
        <v>3.5029149786140792</v>
      </c>
      <c r="Y228" s="95">
        <v>4.8039976849564514</v>
      </c>
      <c r="Z228" s="95">
        <v>101.08411795429201</v>
      </c>
      <c r="AA228" s="26"/>
      <c r="AB228" s="26"/>
      <c r="AC228" s="26">
        <f t="shared" si="4"/>
        <v>119639.33070071354</v>
      </c>
      <c r="AD228" s="26" t="str">
        <f>IFERROR($AC228*HDF_Limited_Col!AD228/HDF_Limited_Col!$AH228," ")</f>
        <v xml:space="preserve"> </v>
      </c>
      <c r="AE228" s="26" t="str">
        <f>IFERROR($AC228*HDF_Limited_Col!AE228/HDF_Limited_Col!$AH228," ")</f>
        <v xml:space="preserve"> </v>
      </c>
      <c r="AF228" s="26" t="str">
        <f>IFERROR($AC228*HDF_Limited_Col!AF228/HDF_Limited_Col!$AH228," ")</f>
        <v xml:space="preserve"> </v>
      </c>
      <c r="AG228" s="26" t="str">
        <f>IFERROR($AC228*HDF_Limited_Col!AG228/HDF_Limited_Col!$AH228," ")</f>
        <v xml:space="preserve"> </v>
      </c>
      <c r="AH228" s="26" t="str">
        <f>IFERROR($AC228*HDF_Limited_Col!AH228/HDF_Limited_Col!$AH228," ")</f>
        <v xml:space="preserve"> </v>
      </c>
      <c r="AI228" s="26" t="str">
        <f>IFERROR($AC228*HDF_Limited_Col!AI228/HDF_Limited_Col!$AH228," ")</f>
        <v xml:space="preserve"> </v>
      </c>
      <c r="AJ228" s="26" t="str">
        <f>IFERROR($AC228*HDF_Limited_Col!AJ228/HDF_Limited_Col!$AH228," ")</f>
        <v xml:space="preserve"> </v>
      </c>
      <c r="AK228" s="26" t="str">
        <f>IFERROR($AC228*HDF_Limited_Col!AK228/HDF_Limited_Col!$AH228," ")</f>
        <v xml:space="preserve"> </v>
      </c>
      <c r="AL228" s="26" t="str">
        <f>IFERROR($AC228*HDF_Limited_Col!AL228/HDF_Limited_Col!$AH228," ")</f>
        <v xml:space="preserve"> </v>
      </c>
      <c r="AM228" s="26" t="str">
        <f>IFERROR($AC228*HDF_Limited_Col!AM228/HDF_Limited_Col!$AH228," ")</f>
        <v xml:space="preserve"> </v>
      </c>
      <c r="AN228" s="26" t="str">
        <f>IFERROR($AC228*HDF_Limited_Col!AN228/HDF_Limited_Col!$AH228," ")</f>
        <v xml:space="preserve"> </v>
      </c>
      <c r="AO228" s="26" t="str">
        <f>IFERROR($AC228*HDF_Limited_Col!AO228/HDF_Limited_Col!$AH228," ")</f>
        <v xml:space="preserve"> </v>
      </c>
      <c r="AP228" s="26" t="str">
        <f>IFERROR($AC228*HDF_Limited_Col!AP228/HDF_Limited_Col!$AH228," ")</f>
        <v xml:space="preserve"> </v>
      </c>
      <c r="AQ228" s="26" t="str">
        <f>IFERROR($AC228*HDF_Limited_Col!AQ228/HDF_Limited_Col!$AH228," ")</f>
        <v xml:space="preserve"> </v>
      </c>
      <c r="AR228" s="26" t="str">
        <f>IFERROR($AC228*HDF_Limited_Col!AR228/HDF_Limited_Col!$AH228," ")</f>
        <v xml:space="preserve"> </v>
      </c>
      <c r="AS228" s="26" t="str">
        <f>IFERROR($AC228*HDF_Limited_Col!AS228/HDF_Limited_Col!$AH228," ")</f>
        <v xml:space="preserve"> </v>
      </c>
      <c r="AT228" s="26" t="str">
        <f>IFERROR($AC228*HDF_Limited_Col!AT228/HDF_Limited_Col!$AH228," ")</f>
        <v xml:space="preserve"> </v>
      </c>
      <c r="AU228" s="26" t="str">
        <f>IFERROR($AC228*HDF_Limited_Col!AU228/HDF_Limited_Col!$AH228," ")</f>
        <v xml:space="preserve"> </v>
      </c>
      <c r="AV228" s="26" t="str">
        <f>IFERROR($AC228*HDF_Limited_Col!AV228/HDF_Limited_Col!$AH228," ")</f>
        <v xml:space="preserve"> </v>
      </c>
      <c r="AW228" s="26" t="str">
        <f>IFERROR($AC228*HDF_Limited_Col!AW228/HDF_Limited_Col!$AH228," ")</f>
        <v xml:space="preserve"> </v>
      </c>
      <c r="AX228" s="26" t="str">
        <f>IFERROR($AC228*HDF_Limited_Col!AX228/HDF_Limited_Col!$AH228," ")</f>
        <v xml:space="preserve"> </v>
      </c>
      <c r="AY228" s="26" t="str">
        <f>IFERROR($AC228*HDF_Limited_Col!AY228/HDF_Limited_Col!$AH228," ")</f>
        <v xml:space="preserve"> </v>
      </c>
      <c r="AZ228" s="26" t="str">
        <f>IFERROR($AC228*HDF_Limited_Col!AZ228/HDF_Limited_Col!$AH228," ")</f>
        <v xml:space="preserve"> </v>
      </c>
      <c r="BA228" s="26" t="str">
        <f>IFERROR($AC228*HDF_Limited_Col!BA228/HDF_Limited_Col!$AH228," ")</f>
        <v xml:space="preserve"> </v>
      </c>
      <c r="BB228" s="26" t="str">
        <f>IFERROR($AC228*HDF_Limited_Col!BB228/HDF_Limited_Col!$AH228," ")</f>
        <v xml:space="preserve"> </v>
      </c>
      <c r="BC228" s="26" t="str">
        <f>IFERROR($AC228*HDF_Limited_Col!BC228/HDF_Limited_Col!$AH228," ")</f>
        <v xml:space="preserve"> </v>
      </c>
      <c r="BD228" s="26" t="str">
        <f>IFERROR($AC228*HDF_Limited_Col!BD228/HDF_Limited_Col!$AH228," ")</f>
        <v xml:space="preserve"> </v>
      </c>
      <c r="BE228" s="26" t="str">
        <f>IFERROR($AC228*HDF_Limited_Col!BE228/HDF_Limited_Col!$AH228," ")</f>
        <v xml:space="preserve"> </v>
      </c>
      <c r="BF228" s="26" t="str">
        <f>IFERROR($AC228*HDF_Limited_Col!BF228/HDF_Limited_Col!$AH228," ")</f>
        <v xml:space="preserve"> </v>
      </c>
      <c r="BG228" s="26" t="str">
        <f>IFERROR($AC228*HDF_Limited_Col!BG228/HDF_Limited_Col!$AH228," ")</f>
        <v xml:space="preserve"> </v>
      </c>
      <c r="BH228" s="26" t="str">
        <f>IFERROR($AC228*HDF_Limited_Col!BH228/HDF_Limited_Col!$AH228," ")</f>
        <v xml:space="preserve"> </v>
      </c>
      <c r="BI228" s="26" t="str">
        <f>IFERROR($AC228*HDF_Limited_Col!BI228/HDF_Limited_Col!$AH228," ")</f>
        <v xml:space="preserve"> </v>
      </c>
      <c r="BJ228" s="26" t="str">
        <f>IFERROR($AC228*HDF_Limited_Col!BJ228/HDF_Limited_Col!$AH228," ")</f>
        <v xml:space="preserve"> </v>
      </c>
      <c r="BK228" s="26" t="str">
        <f>IFERROR($AC228*HDF_Limited_Col!BK228/HDF_Limited_Col!$AH228," ")</f>
        <v xml:space="preserve"> </v>
      </c>
      <c r="BL228" s="26" t="str">
        <f>IFERROR($AC228*HDF_Limited_Col!BL228/HDF_Limited_Col!$AH228," ")</f>
        <v xml:space="preserve"> </v>
      </c>
      <c r="BM228" s="26" t="str">
        <f>IFERROR($AC228*HDF_Limited_Col!BM228/HDF_Limited_Col!$AH228," ")</f>
        <v xml:space="preserve"> </v>
      </c>
      <c r="BN228" s="26" t="str">
        <f>IFERROR($AC228*HDF_Limited_Col!BN228/HDF_Limited_Col!$AH228," ")</f>
        <v xml:space="preserve"> </v>
      </c>
      <c r="BO228" s="26" t="str">
        <f>IFERROR($AC228*HDF_Limited_Col!BO228/HDF_Limited_Col!$AH228," ")</f>
        <v xml:space="preserve"> </v>
      </c>
      <c r="BP228" s="26" t="str">
        <f>IFERROR($AC228*HDF_Limited_Col!BP228/HDF_Limited_Col!$AH228," ")</f>
        <v xml:space="preserve"> </v>
      </c>
      <c r="BQ228" s="26" t="str">
        <f>IFERROR($AC228*HDF_Limited_Col!BQ228/HDF_Limited_Col!$AH228," ")</f>
        <v xml:space="preserve"> </v>
      </c>
      <c r="BR228" s="26" t="str">
        <f>IFERROR($AC228*HDF_Limited_Col!BR228/HDF_Limited_Col!$AH228," ")</f>
        <v xml:space="preserve"> </v>
      </c>
      <c r="BS228" s="26" t="str">
        <f>IFERROR($AC228*HDF_Limited_Col!BS228/HDF_Limited_Col!$AH228," ")</f>
        <v xml:space="preserve"> </v>
      </c>
      <c r="BT228" s="26" t="str">
        <f>IFERROR($AC228*HDF_Limited_Col!BT228/HDF_Limited_Col!$AH228," ")</f>
        <v xml:space="preserve"> </v>
      </c>
      <c r="BU228" s="26" t="str">
        <f>IFERROR($AC228*HDF_Limited_Col!BU228/HDF_Limited_Col!$AH228," ")</f>
        <v xml:space="preserve"> </v>
      </c>
      <c r="BV228" s="26" t="str">
        <f>IFERROR($AC228*HDF_Limited_Col!BV228/HDF_Limited_Col!$AH228," ")</f>
        <v xml:space="preserve"> </v>
      </c>
      <c r="BW228" s="26" t="str">
        <f>IFERROR($AC228*HDF_Limited_Col!BW228/HDF_Limited_Col!$AH228," ")</f>
        <v xml:space="preserve"> </v>
      </c>
      <c r="BX228" s="26" t="str">
        <f>IFERROR($AC228*HDF_Limited_Col!BX228/HDF_Limited_Col!$AH228," ")</f>
        <v xml:space="preserve"> </v>
      </c>
      <c r="BY228" s="26" t="str">
        <f>IFERROR($AC228*HDF_Limited_Col!BY228/HDF_Limited_Col!$AH228," ")</f>
        <v xml:space="preserve"> </v>
      </c>
      <c r="BZ228" s="26" t="str">
        <f>IFERROR($AC228*HDF_Limited_Col!BZ228/HDF_Limited_Col!$AH228," ")</f>
        <v xml:space="preserve"> </v>
      </c>
      <c r="CA228" s="26" t="str">
        <f>IFERROR($AC228*HDF_Limited_Col!CA228/HDF_Limited_Col!$AH228," ")</f>
        <v xml:space="preserve"> </v>
      </c>
      <c r="CB228" s="26" t="str">
        <f>IFERROR($AC228*HDF_Limited_Col!CB228/HDF_Limited_Col!$AH228," ")</f>
        <v xml:space="preserve"> </v>
      </c>
      <c r="CC228" s="26" t="str">
        <f>IFERROR($AC228*HDF_Limited_Col!CC228/HDF_Limited_Col!$AH228," ")</f>
        <v xml:space="preserve"> </v>
      </c>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row>
    <row r="229" spans="1:109">
      <c r="A229" s="26" t="s">
        <v>1164</v>
      </c>
      <c r="B229" s="26" t="s">
        <v>24</v>
      </c>
      <c r="C229" s="156" t="s">
        <v>541</v>
      </c>
      <c r="D229" s="26" t="s">
        <v>110</v>
      </c>
      <c r="E229" s="26" t="s">
        <v>171</v>
      </c>
      <c r="F229" s="26" t="s">
        <v>113</v>
      </c>
      <c r="G229" s="26" t="s">
        <v>595</v>
      </c>
      <c r="H229" s="30" t="s">
        <v>805</v>
      </c>
      <c r="I229" s="26" t="s">
        <v>735</v>
      </c>
      <c r="J229" s="26" t="s">
        <v>1311</v>
      </c>
      <c r="K229" s="26" t="s">
        <v>117</v>
      </c>
      <c r="L229" s="26" t="s">
        <v>114</v>
      </c>
      <c r="M229" s="26" t="s">
        <v>118</v>
      </c>
      <c r="N229" s="26">
        <v>20</v>
      </c>
      <c r="O229" s="95">
        <v>43.719362312787325</v>
      </c>
      <c r="P229" s="95">
        <v>2.2009747617421538</v>
      </c>
      <c r="Q229" s="95">
        <v>5.6024812117072997</v>
      </c>
      <c r="R229" s="95">
        <v>5.9026141337630493</v>
      </c>
      <c r="S229" s="95">
        <v>2.501107683797902</v>
      </c>
      <c r="T229" s="95">
        <v>4.8021267528919713</v>
      </c>
      <c r="U229" s="95">
        <v>6.1027027484668803</v>
      </c>
      <c r="V229" s="95">
        <v>2.0008861470383215</v>
      </c>
      <c r="W229" s="95">
        <v>18.208063938048724</v>
      </c>
      <c r="X229" s="95">
        <v>4.0017722940766429</v>
      </c>
      <c r="Y229" s="95">
        <v>6.402835670522629</v>
      </c>
      <c r="Z229" s="95">
        <v>101.4449276548429</v>
      </c>
      <c r="AA229" s="26"/>
      <c r="AB229" s="26"/>
      <c r="AC229" s="26">
        <f t="shared" si="4"/>
        <v>151151.93121522741</v>
      </c>
      <c r="AD229" s="26" t="str">
        <f>IFERROR($AC229*HDF_Limited_Col!AD229/HDF_Limited_Col!$AH229," ")</f>
        <v xml:space="preserve"> </v>
      </c>
      <c r="AE229" s="26" t="str">
        <f>IFERROR($AC229*HDF_Limited_Col!AE229/HDF_Limited_Col!$AH229," ")</f>
        <v xml:space="preserve"> </v>
      </c>
      <c r="AF229" s="26" t="str">
        <f>IFERROR($AC229*HDF_Limited_Col!AF229/HDF_Limited_Col!$AH229," ")</f>
        <v xml:space="preserve"> </v>
      </c>
      <c r="AG229" s="26" t="str">
        <f>IFERROR($AC229*HDF_Limited_Col!AG229/HDF_Limited_Col!$AH229," ")</f>
        <v xml:space="preserve"> </v>
      </c>
      <c r="AH229" s="26" t="str">
        <f>IFERROR($AC229*HDF_Limited_Col!AH229/HDF_Limited_Col!$AH229," ")</f>
        <v xml:space="preserve"> </v>
      </c>
      <c r="AI229" s="26" t="str">
        <f>IFERROR($AC229*HDF_Limited_Col!AI229/HDF_Limited_Col!$AH229," ")</f>
        <v xml:space="preserve"> </v>
      </c>
      <c r="AJ229" s="26" t="str">
        <f>IFERROR($AC229*HDF_Limited_Col!AJ229/HDF_Limited_Col!$AH229," ")</f>
        <v xml:space="preserve"> </v>
      </c>
      <c r="AK229" s="26" t="str">
        <f>IFERROR($AC229*HDF_Limited_Col!AK229/HDF_Limited_Col!$AH229," ")</f>
        <v xml:space="preserve"> </v>
      </c>
      <c r="AL229" s="26" t="str">
        <f>IFERROR($AC229*HDF_Limited_Col!AL229/HDF_Limited_Col!$AH229," ")</f>
        <v xml:space="preserve"> </v>
      </c>
      <c r="AM229" s="26" t="str">
        <f>IFERROR($AC229*HDF_Limited_Col!AM229/HDF_Limited_Col!$AH229," ")</f>
        <v xml:space="preserve"> </v>
      </c>
      <c r="AN229" s="26" t="str">
        <f>IFERROR($AC229*HDF_Limited_Col!AN229/HDF_Limited_Col!$AH229," ")</f>
        <v xml:space="preserve"> </v>
      </c>
      <c r="AO229" s="26" t="str">
        <f>IFERROR($AC229*HDF_Limited_Col!AO229/HDF_Limited_Col!$AH229," ")</f>
        <v xml:space="preserve"> </v>
      </c>
      <c r="AP229" s="26" t="str">
        <f>IFERROR($AC229*HDF_Limited_Col!AP229/HDF_Limited_Col!$AH229," ")</f>
        <v xml:space="preserve"> </v>
      </c>
      <c r="AQ229" s="26" t="str">
        <f>IFERROR($AC229*HDF_Limited_Col!AQ229/HDF_Limited_Col!$AH229," ")</f>
        <v xml:space="preserve"> </v>
      </c>
      <c r="AR229" s="26" t="str">
        <f>IFERROR($AC229*HDF_Limited_Col!AR229/HDF_Limited_Col!$AH229," ")</f>
        <v xml:space="preserve"> </v>
      </c>
      <c r="AS229" s="26" t="str">
        <f>IFERROR($AC229*HDF_Limited_Col!AS229/HDF_Limited_Col!$AH229," ")</f>
        <v xml:space="preserve"> </v>
      </c>
      <c r="AT229" s="26" t="str">
        <f>IFERROR($AC229*HDF_Limited_Col!AT229/HDF_Limited_Col!$AH229," ")</f>
        <v xml:space="preserve"> </v>
      </c>
      <c r="AU229" s="26" t="str">
        <f>IFERROR($AC229*HDF_Limited_Col!AU229/HDF_Limited_Col!$AH229," ")</f>
        <v xml:space="preserve"> </v>
      </c>
      <c r="AV229" s="26" t="str">
        <f>IFERROR($AC229*HDF_Limited_Col!AV229/HDF_Limited_Col!$AH229," ")</f>
        <v xml:space="preserve"> </v>
      </c>
      <c r="AW229" s="26" t="str">
        <f>IFERROR($AC229*HDF_Limited_Col!AW229/HDF_Limited_Col!$AH229," ")</f>
        <v xml:space="preserve"> </v>
      </c>
      <c r="AX229" s="26" t="str">
        <f>IFERROR($AC229*HDF_Limited_Col!AX229/HDF_Limited_Col!$AH229," ")</f>
        <v xml:space="preserve"> </v>
      </c>
      <c r="AY229" s="26" t="str">
        <f>IFERROR($AC229*HDF_Limited_Col!AY229/HDF_Limited_Col!$AH229," ")</f>
        <v xml:space="preserve"> </v>
      </c>
      <c r="AZ229" s="26" t="str">
        <f>IFERROR($AC229*HDF_Limited_Col!AZ229/HDF_Limited_Col!$AH229," ")</f>
        <v xml:space="preserve"> </v>
      </c>
      <c r="BA229" s="26" t="str">
        <f>IFERROR($AC229*HDF_Limited_Col!BA229/HDF_Limited_Col!$AH229," ")</f>
        <v xml:space="preserve"> </v>
      </c>
      <c r="BB229" s="26" t="str">
        <f>IFERROR($AC229*HDF_Limited_Col!BB229/HDF_Limited_Col!$AH229," ")</f>
        <v xml:space="preserve"> </v>
      </c>
      <c r="BC229" s="26" t="str">
        <f>IFERROR($AC229*HDF_Limited_Col!BC229/HDF_Limited_Col!$AH229," ")</f>
        <v xml:space="preserve"> </v>
      </c>
      <c r="BD229" s="26" t="str">
        <f>IFERROR($AC229*HDF_Limited_Col!BD229/HDF_Limited_Col!$AH229," ")</f>
        <v xml:space="preserve"> </v>
      </c>
      <c r="BE229" s="26" t="str">
        <f>IFERROR($AC229*HDF_Limited_Col!BE229/HDF_Limited_Col!$AH229," ")</f>
        <v xml:space="preserve"> </v>
      </c>
      <c r="BF229" s="26" t="str">
        <f>IFERROR($AC229*HDF_Limited_Col!BF229/HDF_Limited_Col!$AH229," ")</f>
        <v xml:space="preserve"> </v>
      </c>
      <c r="BG229" s="26" t="str">
        <f>IFERROR($AC229*HDF_Limited_Col!BG229/HDF_Limited_Col!$AH229," ")</f>
        <v xml:space="preserve"> </v>
      </c>
      <c r="BH229" s="26" t="str">
        <f>IFERROR($AC229*HDF_Limited_Col!BH229/HDF_Limited_Col!$AH229," ")</f>
        <v xml:space="preserve"> </v>
      </c>
      <c r="BI229" s="26" t="str">
        <f>IFERROR($AC229*HDF_Limited_Col!BI229/HDF_Limited_Col!$AH229," ")</f>
        <v xml:space="preserve"> </v>
      </c>
      <c r="BJ229" s="26" t="str">
        <f>IFERROR($AC229*HDF_Limited_Col!BJ229/HDF_Limited_Col!$AH229," ")</f>
        <v xml:space="preserve"> </v>
      </c>
      <c r="BK229" s="26" t="str">
        <f>IFERROR($AC229*HDF_Limited_Col!BK229/HDF_Limited_Col!$AH229," ")</f>
        <v xml:space="preserve"> </v>
      </c>
      <c r="BL229" s="26" t="str">
        <f>IFERROR($AC229*HDF_Limited_Col!BL229/HDF_Limited_Col!$AH229," ")</f>
        <v xml:space="preserve"> </v>
      </c>
      <c r="BM229" s="26" t="str">
        <f>IFERROR($AC229*HDF_Limited_Col!BM229/HDF_Limited_Col!$AH229," ")</f>
        <v xml:space="preserve"> </v>
      </c>
      <c r="BN229" s="26" t="str">
        <f>IFERROR($AC229*HDF_Limited_Col!BN229/HDF_Limited_Col!$AH229," ")</f>
        <v xml:space="preserve"> </v>
      </c>
      <c r="BO229" s="26" t="str">
        <f>IFERROR($AC229*HDF_Limited_Col!BO229/HDF_Limited_Col!$AH229," ")</f>
        <v xml:space="preserve"> </v>
      </c>
      <c r="BP229" s="26" t="str">
        <f>IFERROR($AC229*HDF_Limited_Col!BP229/HDF_Limited_Col!$AH229," ")</f>
        <v xml:space="preserve"> </v>
      </c>
      <c r="BQ229" s="26" t="str">
        <f>IFERROR($AC229*HDF_Limited_Col!BQ229/HDF_Limited_Col!$AH229," ")</f>
        <v xml:space="preserve"> </v>
      </c>
      <c r="BR229" s="26" t="str">
        <f>IFERROR($AC229*HDF_Limited_Col!BR229/HDF_Limited_Col!$AH229," ")</f>
        <v xml:space="preserve"> </v>
      </c>
      <c r="BS229" s="26" t="str">
        <f>IFERROR($AC229*HDF_Limited_Col!BS229/HDF_Limited_Col!$AH229," ")</f>
        <v xml:space="preserve"> </v>
      </c>
      <c r="BT229" s="26" t="str">
        <f>IFERROR($AC229*HDF_Limited_Col!BT229/HDF_Limited_Col!$AH229," ")</f>
        <v xml:space="preserve"> </v>
      </c>
      <c r="BU229" s="26" t="str">
        <f>IFERROR($AC229*HDF_Limited_Col!BU229/HDF_Limited_Col!$AH229," ")</f>
        <v xml:space="preserve"> </v>
      </c>
      <c r="BV229" s="26" t="str">
        <f>IFERROR($AC229*HDF_Limited_Col!BV229/HDF_Limited_Col!$AH229," ")</f>
        <v xml:space="preserve"> </v>
      </c>
      <c r="BW229" s="26" t="str">
        <f>IFERROR($AC229*HDF_Limited_Col!BW229/HDF_Limited_Col!$AH229," ")</f>
        <v xml:space="preserve"> </v>
      </c>
      <c r="BX229" s="26" t="str">
        <f>IFERROR($AC229*HDF_Limited_Col!BX229/HDF_Limited_Col!$AH229," ")</f>
        <v xml:space="preserve"> </v>
      </c>
      <c r="BY229" s="26" t="str">
        <f>IFERROR($AC229*HDF_Limited_Col!BY229/HDF_Limited_Col!$AH229," ")</f>
        <v xml:space="preserve"> </v>
      </c>
      <c r="BZ229" s="26" t="str">
        <f>IFERROR($AC229*HDF_Limited_Col!BZ229/HDF_Limited_Col!$AH229," ")</f>
        <v xml:space="preserve"> </v>
      </c>
      <c r="CA229" s="26" t="str">
        <f>IFERROR($AC229*HDF_Limited_Col!CA229/HDF_Limited_Col!$AH229," ")</f>
        <v xml:space="preserve"> </v>
      </c>
      <c r="CB229" s="26" t="str">
        <f>IFERROR($AC229*HDF_Limited_Col!CB229/HDF_Limited_Col!$AH229," ")</f>
        <v xml:space="preserve"> </v>
      </c>
      <c r="CC229" s="26" t="str">
        <f>IFERROR($AC229*HDF_Limited_Col!CC229/HDF_Limited_Col!$AH229," ")</f>
        <v xml:space="preserve"> </v>
      </c>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row>
    <row r="230" spans="1:109">
      <c r="A230" s="26" t="s">
        <v>1362</v>
      </c>
      <c r="B230" s="26" t="s">
        <v>24</v>
      </c>
      <c r="C230" s="156" t="s">
        <v>541</v>
      </c>
      <c r="D230" s="26" t="s">
        <v>1265</v>
      </c>
      <c r="E230" s="26" t="s">
        <v>171</v>
      </c>
      <c r="F230" s="26" t="s">
        <v>1266</v>
      </c>
      <c r="G230" s="26" t="s">
        <v>595</v>
      </c>
      <c r="H230" s="30">
        <v>540</v>
      </c>
      <c r="I230" s="26" t="s">
        <v>735</v>
      </c>
      <c r="J230" s="26" t="s">
        <v>1311</v>
      </c>
      <c r="K230" s="26" t="s">
        <v>115</v>
      </c>
      <c r="L230" s="26"/>
      <c r="M230" s="26" t="s">
        <v>1495</v>
      </c>
      <c r="N230" s="26">
        <v>21</v>
      </c>
      <c r="O230" s="95">
        <v>50.401944803339745</v>
      </c>
      <c r="P230" s="95">
        <v>1.5580917603874882</v>
      </c>
      <c r="Q230" s="95">
        <v>4.626766130786943</v>
      </c>
      <c r="R230" s="95">
        <v>6.368554365524087</v>
      </c>
      <c r="S230" s="95">
        <v>5.4776410531881492</v>
      </c>
      <c r="T230" s="95">
        <v>3.5923033228979988</v>
      </c>
      <c r="U230" s="95">
        <v>1.2362494950015306</v>
      </c>
      <c r="V230" s="95">
        <v>2.4809982773866022</v>
      </c>
      <c r="W230" s="95">
        <v>20.465139590970079</v>
      </c>
      <c r="X230" s="95">
        <v>1.2373975635509284</v>
      </c>
      <c r="Y230" s="95">
        <v>3.2995150612189441</v>
      </c>
      <c r="Z230" s="95">
        <v>100.74460142425251</v>
      </c>
      <c r="AA230" s="26"/>
      <c r="AB230" s="26"/>
      <c r="AC230" s="26">
        <f t="shared" si="4"/>
        <v>169888.75820565884</v>
      </c>
      <c r="AD230" s="26" t="str">
        <f>IFERROR($AC230*HDF_Limited_Col!AD230/HDF_Limited_Col!$AH230," ")</f>
        <v xml:space="preserve"> </v>
      </c>
      <c r="AE230" s="26" t="str">
        <f>IFERROR($AC230*HDF_Limited_Col!AE230/HDF_Limited_Col!$AH230," ")</f>
        <v xml:space="preserve"> </v>
      </c>
      <c r="AF230" s="26" t="str">
        <f>IFERROR($AC230*HDF_Limited_Col!AF230/HDF_Limited_Col!$AH230," ")</f>
        <v xml:space="preserve"> </v>
      </c>
      <c r="AG230" s="26" t="str">
        <f>IFERROR($AC230*HDF_Limited_Col!AG230/HDF_Limited_Col!$AH230," ")</f>
        <v xml:space="preserve"> </v>
      </c>
      <c r="AH230" s="26" t="str">
        <f>IFERROR($AC230*HDF_Limited_Col!AH230/HDF_Limited_Col!$AH230," ")</f>
        <v xml:space="preserve"> </v>
      </c>
      <c r="AI230" s="26" t="str">
        <f>IFERROR($AC230*HDF_Limited_Col!AI230/HDF_Limited_Col!$AH230," ")</f>
        <v xml:space="preserve"> </v>
      </c>
      <c r="AJ230" s="26" t="str">
        <f>IFERROR($AC230*HDF_Limited_Col!AJ230/HDF_Limited_Col!$AH230," ")</f>
        <v xml:space="preserve"> </v>
      </c>
      <c r="AK230" s="26" t="str">
        <f>IFERROR($AC230*HDF_Limited_Col!AK230/HDF_Limited_Col!$AH230," ")</f>
        <v xml:space="preserve"> </v>
      </c>
      <c r="AL230" s="26" t="str">
        <f>IFERROR($AC230*HDF_Limited_Col!AL230/HDF_Limited_Col!$AH230," ")</f>
        <v xml:space="preserve"> </v>
      </c>
      <c r="AM230" s="26" t="str">
        <f>IFERROR($AC230*HDF_Limited_Col!AM230/HDF_Limited_Col!$AH230," ")</f>
        <v xml:space="preserve"> </v>
      </c>
      <c r="AN230" s="26" t="str">
        <f>IFERROR($AC230*HDF_Limited_Col!AN230/HDF_Limited_Col!$AH230," ")</f>
        <v xml:space="preserve"> </v>
      </c>
      <c r="AO230" s="26" t="str">
        <f>IFERROR($AC230*HDF_Limited_Col!AO230/HDF_Limited_Col!$AH230," ")</f>
        <v xml:space="preserve"> </v>
      </c>
      <c r="AP230" s="26" t="str">
        <f>IFERROR($AC230*HDF_Limited_Col!AP230/HDF_Limited_Col!$AH230," ")</f>
        <v xml:space="preserve"> </v>
      </c>
      <c r="AQ230" s="26" t="str">
        <f>IFERROR($AC230*HDF_Limited_Col!AQ230/HDF_Limited_Col!$AH230," ")</f>
        <v xml:space="preserve"> </v>
      </c>
      <c r="AR230" s="26" t="str">
        <f>IFERROR($AC230*HDF_Limited_Col!AR230/HDF_Limited_Col!$AH230," ")</f>
        <v xml:space="preserve"> </v>
      </c>
      <c r="AS230" s="26" t="str">
        <f>IFERROR($AC230*HDF_Limited_Col!AS230/HDF_Limited_Col!$AH230," ")</f>
        <v xml:space="preserve"> </v>
      </c>
      <c r="AT230" s="26" t="str">
        <f>IFERROR($AC230*HDF_Limited_Col!AT230/HDF_Limited_Col!$AH230," ")</f>
        <v xml:space="preserve"> </v>
      </c>
      <c r="AU230" s="26" t="str">
        <f>IFERROR($AC230*HDF_Limited_Col!AU230/HDF_Limited_Col!$AH230," ")</f>
        <v xml:space="preserve"> </v>
      </c>
      <c r="AV230" s="26" t="str">
        <f>IFERROR($AC230*HDF_Limited_Col!AV230/HDF_Limited_Col!$AH230," ")</f>
        <v xml:space="preserve"> </v>
      </c>
      <c r="AW230" s="26" t="str">
        <f>IFERROR($AC230*HDF_Limited_Col!AW230/HDF_Limited_Col!$AH230," ")</f>
        <v xml:space="preserve"> </v>
      </c>
      <c r="AX230" s="26" t="str">
        <f>IFERROR($AC230*HDF_Limited_Col!AX230/HDF_Limited_Col!$AH230," ")</f>
        <v xml:space="preserve"> </v>
      </c>
      <c r="AY230" s="26" t="str">
        <f>IFERROR($AC230*HDF_Limited_Col!AY230/HDF_Limited_Col!$AH230," ")</f>
        <v xml:space="preserve"> </v>
      </c>
      <c r="AZ230" s="26" t="str">
        <f>IFERROR($AC230*HDF_Limited_Col!AZ230/HDF_Limited_Col!$AH230," ")</f>
        <v xml:space="preserve"> </v>
      </c>
      <c r="BA230" s="26" t="str">
        <f>IFERROR($AC230*HDF_Limited_Col!BA230/HDF_Limited_Col!$AH230," ")</f>
        <v xml:space="preserve"> </v>
      </c>
      <c r="BB230" s="26" t="str">
        <f>IFERROR($AC230*HDF_Limited_Col!BB230/HDF_Limited_Col!$AH230," ")</f>
        <v xml:space="preserve"> </v>
      </c>
      <c r="BC230" s="26" t="str">
        <f>IFERROR($AC230*HDF_Limited_Col!BC230/HDF_Limited_Col!$AH230," ")</f>
        <v xml:space="preserve"> </v>
      </c>
      <c r="BD230" s="26" t="str">
        <f>IFERROR($AC230*HDF_Limited_Col!BD230/HDF_Limited_Col!$AH230," ")</f>
        <v xml:space="preserve"> </v>
      </c>
      <c r="BE230" s="26" t="str">
        <f>IFERROR($AC230*HDF_Limited_Col!BE230/HDF_Limited_Col!$AH230," ")</f>
        <v xml:space="preserve"> </v>
      </c>
      <c r="BF230" s="26" t="str">
        <f>IFERROR($AC230*HDF_Limited_Col!BF230/HDF_Limited_Col!$AH230," ")</f>
        <v xml:space="preserve"> </v>
      </c>
      <c r="BG230" s="26" t="str">
        <f>IFERROR($AC230*HDF_Limited_Col!BG230/HDF_Limited_Col!$AH230," ")</f>
        <v xml:space="preserve"> </v>
      </c>
      <c r="BH230" s="26" t="str">
        <f>IFERROR($AC230*HDF_Limited_Col!BH230/HDF_Limited_Col!$AH230," ")</f>
        <v xml:space="preserve"> </v>
      </c>
      <c r="BI230" s="26" t="str">
        <f>IFERROR($AC230*HDF_Limited_Col!BI230/HDF_Limited_Col!$AH230," ")</f>
        <v xml:space="preserve"> </v>
      </c>
      <c r="BJ230" s="26" t="str">
        <f>IFERROR($AC230*HDF_Limited_Col!BJ230/HDF_Limited_Col!$AH230," ")</f>
        <v xml:space="preserve"> </v>
      </c>
      <c r="BK230" s="26" t="str">
        <f>IFERROR($AC230*HDF_Limited_Col!BK230/HDF_Limited_Col!$AH230," ")</f>
        <v xml:space="preserve"> </v>
      </c>
      <c r="BL230" s="26" t="str">
        <f>IFERROR($AC230*HDF_Limited_Col!BL230/HDF_Limited_Col!$AH230," ")</f>
        <v xml:space="preserve"> </v>
      </c>
      <c r="BM230" s="26" t="str">
        <f>IFERROR($AC230*HDF_Limited_Col!BM230/HDF_Limited_Col!$AH230," ")</f>
        <v xml:space="preserve"> </v>
      </c>
      <c r="BN230" s="26" t="str">
        <f>IFERROR($AC230*HDF_Limited_Col!BN230/HDF_Limited_Col!$AH230," ")</f>
        <v xml:space="preserve"> </v>
      </c>
      <c r="BO230" s="26" t="str">
        <f>IFERROR($AC230*HDF_Limited_Col!BO230/HDF_Limited_Col!$AH230," ")</f>
        <v xml:space="preserve"> </v>
      </c>
      <c r="BP230" s="26" t="str">
        <f>IFERROR($AC230*HDF_Limited_Col!BP230/HDF_Limited_Col!$AH230," ")</f>
        <v xml:space="preserve"> </v>
      </c>
      <c r="BQ230" s="26" t="str">
        <f>IFERROR($AC230*HDF_Limited_Col!BQ230/HDF_Limited_Col!$AH230," ")</f>
        <v xml:space="preserve"> </v>
      </c>
      <c r="BR230" s="26" t="str">
        <f>IFERROR($AC230*HDF_Limited_Col!BR230/HDF_Limited_Col!$AH230," ")</f>
        <v xml:space="preserve"> </v>
      </c>
      <c r="BS230" s="26" t="str">
        <f>IFERROR($AC230*HDF_Limited_Col!BS230/HDF_Limited_Col!$AH230," ")</f>
        <v xml:space="preserve"> </v>
      </c>
      <c r="BT230" s="26" t="str">
        <f>IFERROR($AC230*HDF_Limited_Col!BT230/HDF_Limited_Col!$AH230," ")</f>
        <v xml:space="preserve"> </v>
      </c>
      <c r="BU230" s="26" t="str">
        <f>IFERROR($AC230*HDF_Limited_Col!BU230/HDF_Limited_Col!$AH230," ")</f>
        <v xml:space="preserve"> </v>
      </c>
      <c r="BV230" s="26" t="str">
        <f>IFERROR($AC230*HDF_Limited_Col!BV230/HDF_Limited_Col!$AH230," ")</f>
        <v xml:space="preserve"> </v>
      </c>
      <c r="BW230" s="26" t="str">
        <f>IFERROR($AC230*HDF_Limited_Col!BW230/HDF_Limited_Col!$AH230," ")</f>
        <v xml:space="preserve"> </v>
      </c>
      <c r="BX230" s="26" t="str">
        <f>IFERROR($AC230*HDF_Limited_Col!BX230/HDF_Limited_Col!$AH230," ")</f>
        <v xml:space="preserve"> </v>
      </c>
      <c r="BY230" s="26" t="str">
        <f>IFERROR($AC230*HDF_Limited_Col!BY230/HDF_Limited_Col!$AH230," ")</f>
        <v xml:space="preserve"> </v>
      </c>
      <c r="BZ230" s="26" t="str">
        <f>IFERROR($AC230*HDF_Limited_Col!BZ230/HDF_Limited_Col!$AH230," ")</f>
        <v xml:space="preserve"> </v>
      </c>
      <c r="CA230" s="26" t="str">
        <f>IFERROR($AC230*HDF_Limited_Col!CA230/HDF_Limited_Col!$AH230," ")</f>
        <v xml:space="preserve"> </v>
      </c>
      <c r="CB230" s="26" t="str">
        <f>IFERROR($AC230*HDF_Limited_Col!CB230/HDF_Limited_Col!$AH230," ")</f>
        <v xml:space="preserve"> </v>
      </c>
      <c r="CC230" s="26" t="str">
        <f>IFERROR($AC230*HDF_Limited_Col!CC230/HDF_Limited_Col!$AH230," ")</f>
        <v xml:space="preserve"> </v>
      </c>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row>
    <row r="231" spans="1:109">
      <c r="A231" s="26" t="s">
        <v>1362</v>
      </c>
      <c r="B231" s="26" t="s">
        <v>24</v>
      </c>
      <c r="C231" s="156" t="s">
        <v>541</v>
      </c>
      <c r="D231" s="26" t="s">
        <v>1265</v>
      </c>
      <c r="E231" s="26" t="s">
        <v>171</v>
      </c>
      <c r="F231" s="26" t="s">
        <v>1266</v>
      </c>
      <c r="G231" s="26" t="s">
        <v>595</v>
      </c>
      <c r="H231" s="30">
        <v>540</v>
      </c>
      <c r="I231" s="26" t="s">
        <v>735</v>
      </c>
      <c r="J231" s="26" t="s">
        <v>1311</v>
      </c>
      <c r="K231" s="26" t="s">
        <v>115</v>
      </c>
      <c r="L231" s="26"/>
      <c r="M231" s="26" t="s">
        <v>1261</v>
      </c>
      <c r="N231" s="26">
        <v>34</v>
      </c>
      <c r="O231" s="95">
        <v>52.240379182328347</v>
      </c>
      <c r="P231" s="95">
        <v>3.0580330381686567</v>
      </c>
      <c r="Q231" s="95">
        <v>6.7070249675079934</v>
      </c>
      <c r="R231" s="95">
        <v>3.8546135180865928</v>
      </c>
      <c r="S231" s="95">
        <v>3.0804397950403182</v>
      </c>
      <c r="T231" s="95">
        <v>4.4692244796214027</v>
      </c>
      <c r="U231" s="95">
        <v>0.24866256477705939</v>
      </c>
      <c r="V231" s="95">
        <v>2.0606035476466036</v>
      </c>
      <c r="W231" s="95">
        <v>20.451835242357753</v>
      </c>
      <c r="X231" s="95">
        <v>2.3031640669897375</v>
      </c>
      <c r="Y231" s="95">
        <v>1.9707611923682022</v>
      </c>
      <c r="Z231" s="95">
        <v>100.44474159489268</v>
      </c>
      <c r="AA231" s="26"/>
      <c r="AB231" s="26"/>
      <c r="AC231" s="26">
        <f t="shared" si="4"/>
        <v>169778.31384467924</v>
      </c>
      <c r="AD231" s="26" t="str">
        <f>IFERROR($AC231*HDF_Limited_Col!AD231/HDF_Limited_Col!$AH231," ")</f>
        <v xml:space="preserve"> </v>
      </c>
      <c r="AE231" s="26" t="str">
        <f>IFERROR($AC231*HDF_Limited_Col!AE231/HDF_Limited_Col!$AH231," ")</f>
        <v xml:space="preserve"> </v>
      </c>
      <c r="AF231" s="26" t="str">
        <f>IFERROR($AC231*HDF_Limited_Col!AF231/HDF_Limited_Col!$AH231," ")</f>
        <v xml:space="preserve"> </v>
      </c>
      <c r="AG231" s="26" t="str">
        <f>IFERROR($AC231*HDF_Limited_Col!AG231/HDF_Limited_Col!$AH231," ")</f>
        <v xml:space="preserve"> </v>
      </c>
      <c r="AH231" s="26" t="str">
        <f>IFERROR($AC231*HDF_Limited_Col!AH231/HDF_Limited_Col!$AH231," ")</f>
        <v xml:space="preserve"> </v>
      </c>
      <c r="AI231" s="26" t="str">
        <f>IFERROR($AC231*HDF_Limited_Col!AI231/HDF_Limited_Col!$AH231," ")</f>
        <v xml:space="preserve"> </v>
      </c>
      <c r="AJ231" s="26" t="str">
        <f>IFERROR($AC231*HDF_Limited_Col!AJ231/HDF_Limited_Col!$AH231," ")</f>
        <v xml:space="preserve"> </v>
      </c>
      <c r="AK231" s="26" t="str">
        <f>IFERROR($AC231*HDF_Limited_Col!AK231/HDF_Limited_Col!$AH231," ")</f>
        <v xml:space="preserve"> </v>
      </c>
      <c r="AL231" s="26" t="str">
        <f>IFERROR($AC231*HDF_Limited_Col!AL231/HDF_Limited_Col!$AH231," ")</f>
        <v xml:space="preserve"> </v>
      </c>
      <c r="AM231" s="26" t="str">
        <f>IFERROR($AC231*HDF_Limited_Col!AM231/HDF_Limited_Col!$AH231," ")</f>
        <v xml:space="preserve"> </v>
      </c>
      <c r="AN231" s="26" t="str">
        <f>IFERROR($AC231*HDF_Limited_Col!AN231/HDF_Limited_Col!$AH231," ")</f>
        <v xml:space="preserve"> </v>
      </c>
      <c r="AO231" s="26" t="str">
        <f>IFERROR($AC231*HDF_Limited_Col!AO231/HDF_Limited_Col!$AH231," ")</f>
        <v xml:space="preserve"> </v>
      </c>
      <c r="AP231" s="26" t="str">
        <f>IFERROR($AC231*HDF_Limited_Col!AP231/HDF_Limited_Col!$AH231," ")</f>
        <v xml:space="preserve"> </v>
      </c>
      <c r="AQ231" s="26" t="str">
        <f>IFERROR($AC231*HDF_Limited_Col!AQ231/HDF_Limited_Col!$AH231," ")</f>
        <v xml:space="preserve"> </v>
      </c>
      <c r="AR231" s="26" t="str">
        <f>IFERROR($AC231*HDF_Limited_Col!AR231/HDF_Limited_Col!$AH231," ")</f>
        <v xml:space="preserve"> </v>
      </c>
      <c r="AS231" s="26" t="str">
        <f>IFERROR($AC231*HDF_Limited_Col!AS231/HDF_Limited_Col!$AH231," ")</f>
        <v xml:space="preserve"> </v>
      </c>
      <c r="AT231" s="26" t="str">
        <f>IFERROR($AC231*HDF_Limited_Col!AT231/HDF_Limited_Col!$AH231," ")</f>
        <v xml:space="preserve"> </v>
      </c>
      <c r="AU231" s="26" t="str">
        <f>IFERROR($AC231*HDF_Limited_Col!AU231/HDF_Limited_Col!$AH231," ")</f>
        <v xml:space="preserve"> </v>
      </c>
      <c r="AV231" s="26" t="str">
        <f>IFERROR($AC231*HDF_Limited_Col!AV231/HDF_Limited_Col!$AH231," ")</f>
        <v xml:space="preserve"> </v>
      </c>
      <c r="AW231" s="26" t="str">
        <f>IFERROR($AC231*HDF_Limited_Col!AW231/HDF_Limited_Col!$AH231," ")</f>
        <v xml:space="preserve"> </v>
      </c>
      <c r="AX231" s="26" t="str">
        <f>IFERROR($AC231*HDF_Limited_Col!AX231/HDF_Limited_Col!$AH231," ")</f>
        <v xml:space="preserve"> </v>
      </c>
      <c r="AY231" s="26" t="str">
        <f>IFERROR($AC231*HDF_Limited_Col!AY231/HDF_Limited_Col!$AH231," ")</f>
        <v xml:space="preserve"> </v>
      </c>
      <c r="AZ231" s="26" t="str">
        <f>IFERROR($AC231*HDF_Limited_Col!AZ231/HDF_Limited_Col!$AH231," ")</f>
        <v xml:space="preserve"> </v>
      </c>
      <c r="BA231" s="26" t="str">
        <f>IFERROR($AC231*HDF_Limited_Col!BA231/HDF_Limited_Col!$AH231," ")</f>
        <v xml:space="preserve"> </v>
      </c>
      <c r="BB231" s="26" t="str">
        <f>IFERROR($AC231*HDF_Limited_Col!BB231/HDF_Limited_Col!$AH231," ")</f>
        <v xml:space="preserve"> </v>
      </c>
      <c r="BC231" s="26" t="str">
        <f>IFERROR($AC231*HDF_Limited_Col!BC231/HDF_Limited_Col!$AH231," ")</f>
        <v xml:space="preserve"> </v>
      </c>
      <c r="BD231" s="26" t="str">
        <f>IFERROR($AC231*HDF_Limited_Col!BD231/HDF_Limited_Col!$AH231," ")</f>
        <v xml:space="preserve"> </v>
      </c>
      <c r="BE231" s="26" t="str">
        <f>IFERROR($AC231*HDF_Limited_Col!BE231/HDF_Limited_Col!$AH231," ")</f>
        <v xml:space="preserve"> </v>
      </c>
      <c r="BF231" s="26" t="str">
        <f>IFERROR($AC231*HDF_Limited_Col!BF231/HDF_Limited_Col!$AH231," ")</f>
        <v xml:space="preserve"> </v>
      </c>
      <c r="BG231" s="26" t="str">
        <f>IFERROR($AC231*HDF_Limited_Col!BG231/HDF_Limited_Col!$AH231," ")</f>
        <v xml:space="preserve"> </v>
      </c>
      <c r="BH231" s="26" t="str">
        <f>IFERROR($AC231*HDF_Limited_Col!BH231/HDF_Limited_Col!$AH231," ")</f>
        <v xml:space="preserve"> </v>
      </c>
      <c r="BI231" s="26" t="str">
        <f>IFERROR($AC231*HDF_Limited_Col!BI231/HDF_Limited_Col!$AH231," ")</f>
        <v xml:space="preserve"> </v>
      </c>
      <c r="BJ231" s="26" t="str">
        <f>IFERROR($AC231*HDF_Limited_Col!BJ231/HDF_Limited_Col!$AH231," ")</f>
        <v xml:space="preserve"> </v>
      </c>
      <c r="BK231" s="26" t="str">
        <f>IFERROR($AC231*HDF_Limited_Col!BK231/HDF_Limited_Col!$AH231," ")</f>
        <v xml:space="preserve"> </v>
      </c>
      <c r="BL231" s="26" t="str">
        <f>IFERROR($AC231*HDF_Limited_Col!BL231/HDF_Limited_Col!$AH231," ")</f>
        <v xml:space="preserve"> </v>
      </c>
      <c r="BM231" s="26" t="str">
        <f>IFERROR($AC231*HDF_Limited_Col!BM231/HDF_Limited_Col!$AH231," ")</f>
        <v xml:space="preserve"> </v>
      </c>
      <c r="BN231" s="26" t="str">
        <f>IFERROR($AC231*HDF_Limited_Col!BN231/HDF_Limited_Col!$AH231," ")</f>
        <v xml:space="preserve"> </v>
      </c>
      <c r="BO231" s="26" t="str">
        <f>IFERROR($AC231*HDF_Limited_Col!BO231/HDF_Limited_Col!$AH231," ")</f>
        <v xml:space="preserve"> </v>
      </c>
      <c r="BP231" s="26" t="str">
        <f>IFERROR($AC231*HDF_Limited_Col!BP231/HDF_Limited_Col!$AH231," ")</f>
        <v xml:space="preserve"> </v>
      </c>
      <c r="BQ231" s="26" t="str">
        <f>IFERROR($AC231*HDF_Limited_Col!BQ231/HDF_Limited_Col!$AH231," ")</f>
        <v xml:space="preserve"> </v>
      </c>
      <c r="BR231" s="26" t="str">
        <f>IFERROR($AC231*HDF_Limited_Col!BR231/HDF_Limited_Col!$AH231," ")</f>
        <v xml:space="preserve"> </v>
      </c>
      <c r="BS231" s="26" t="str">
        <f>IFERROR($AC231*HDF_Limited_Col!BS231/HDF_Limited_Col!$AH231," ")</f>
        <v xml:space="preserve"> </v>
      </c>
      <c r="BT231" s="26" t="str">
        <f>IFERROR($AC231*HDF_Limited_Col!BT231/HDF_Limited_Col!$AH231," ")</f>
        <v xml:space="preserve"> </v>
      </c>
      <c r="BU231" s="26" t="str">
        <f>IFERROR($AC231*HDF_Limited_Col!BU231/HDF_Limited_Col!$AH231," ")</f>
        <v xml:space="preserve"> </v>
      </c>
      <c r="BV231" s="26" t="str">
        <f>IFERROR($AC231*HDF_Limited_Col!BV231/HDF_Limited_Col!$AH231," ")</f>
        <v xml:space="preserve"> </v>
      </c>
      <c r="BW231" s="26" t="str">
        <f>IFERROR($AC231*HDF_Limited_Col!BW231/HDF_Limited_Col!$AH231," ")</f>
        <v xml:space="preserve"> </v>
      </c>
      <c r="BX231" s="26" t="str">
        <f>IFERROR($AC231*HDF_Limited_Col!BX231/HDF_Limited_Col!$AH231," ")</f>
        <v xml:space="preserve"> </v>
      </c>
      <c r="BY231" s="26" t="str">
        <f>IFERROR($AC231*HDF_Limited_Col!BY231/HDF_Limited_Col!$AH231," ")</f>
        <v xml:space="preserve"> </v>
      </c>
      <c r="BZ231" s="26" t="str">
        <f>IFERROR($AC231*HDF_Limited_Col!BZ231/HDF_Limited_Col!$AH231," ")</f>
        <v xml:space="preserve"> </v>
      </c>
      <c r="CA231" s="26" t="str">
        <f>IFERROR($AC231*HDF_Limited_Col!CA231/HDF_Limited_Col!$AH231," ")</f>
        <v xml:space="preserve"> </v>
      </c>
      <c r="CB231" s="26" t="str">
        <f>IFERROR($AC231*HDF_Limited_Col!CB231/HDF_Limited_Col!$AH231," ")</f>
        <v xml:space="preserve"> </v>
      </c>
      <c r="CC231" s="26" t="str">
        <f>IFERROR($AC231*HDF_Limited_Col!CC231/HDF_Limited_Col!$AH231," ")</f>
        <v xml:space="preserve"> </v>
      </c>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row>
    <row r="232" spans="1:109">
      <c r="A232" s="26" t="s">
        <v>1181</v>
      </c>
      <c r="B232" s="26" t="s">
        <v>24</v>
      </c>
      <c r="C232" s="156" t="s">
        <v>541</v>
      </c>
      <c r="D232" s="26" t="s">
        <v>110</v>
      </c>
      <c r="E232" s="26" t="s">
        <v>801</v>
      </c>
      <c r="F232" s="26" t="s">
        <v>800</v>
      </c>
      <c r="G232" s="26" t="s">
        <v>829</v>
      </c>
      <c r="H232" s="30"/>
      <c r="I232" s="26" t="s">
        <v>712</v>
      </c>
      <c r="J232" s="26" t="s">
        <v>635</v>
      </c>
      <c r="K232" s="26" t="s">
        <v>1169</v>
      </c>
      <c r="L232" s="26" t="s">
        <v>789</v>
      </c>
      <c r="M232" s="26" t="s">
        <v>786</v>
      </c>
      <c r="N232" s="26">
        <v>52</v>
      </c>
      <c r="O232" s="95">
        <v>51.912466275998057</v>
      </c>
      <c r="P232" s="95">
        <v>1.7627921002551357</v>
      </c>
      <c r="Q232" s="95">
        <v>7.3328161755591079</v>
      </c>
      <c r="R232" s="95">
        <v>4.3048358693344131</v>
      </c>
      <c r="S232" s="95">
        <v>2.0894380815242886</v>
      </c>
      <c r="T232" s="95">
        <v>5.7629971100864408</v>
      </c>
      <c r="U232" s="95">
        <v>3.6252957381380293</v>
      </c>
      <c r="V232" s="95">
        <v>3.5228193529466747</v>
      </c>
      <c r="W232" s="95">
        <v>15.056479647334839</v>
      </c>
      <c r="X232" s="95">
        <v>3.096517839100962</v>
      </c>
      <c r="Y232" s="95">
        <v>1.9804756704789122</v>
      </c>
      <c r="Z232" s="95">
        <v>100.44693386075687</v>
      </c>
      <c r="AA232" s="26"/>
      <c r="AB232" s="26"/>
      <c r="AC232" s="26">
        <f t="shared" si="4"/>
        <v>124989.45432862513</v>
      </c>
      <c r="AD232" s="26">
        <f>IFERROR($AC232*HDF_Limited_Col!AD232/HDF_Limited_Col!$AH232," ")</f>
        <v>0</v>
      </c>
      <c r="AE232" s="26">
        <f>IFERROR($AC232*HDF_Limited_Col!AE232/HDF_Limited_Col!$AH232," ")</f>
        <v>0</v>
      </c>
      <c r="AF232" s="26">
        <f>IFERROR($AC232*HDF_Limited_Col!AF232/HDF_Limited_Col!$AH232," ")</f>
        <v>0</v>
      </c>
      <c r="AG232" s="26">
        <f>IFERROR($AC232*HDF_Limited_Col!AG232/HDF_Limited_Col!$AH232," ")</f>
        <v>0</v>
      </c>
      <c r="AH232" s="26">
        <f>IFERROR($AC232*HDF_Limited_Col!AH232/HDF_Limited_Col!$AH232," ")</f>
        <v>124989.45432862514</v>
      </c>
      <c r="AI232" s="26">
        <f>IFERROR($AC232*HDF_Limited_Col!AI232/HDF_Limited_Col!$AH232," ")</f>
        <v>0</v>
      </c>
      <c r="AJ232" s="26">
        <f>IFERROR($AC232*HDF_Limited_Col!AJ232/HDF_Limited_Col!$AH232," ")</f>
        <v>9977.2283718463914</v>
      </c>
      <c r="AK232" s="26">
        <f>IFERROR($AC232*HDF_Limited_Col!AK232/HDF_Limited_Col!$AH232," ")</f>
        <v>0</v>
      </c>
      <c r="AL232" s="26">
        <f>IFERROR($AC232*HDF_Limited_Col!AL232/HDF_Limited_Col!$AH232," ")</f>
        <v>0</v>
      </c>
      <c r="AM232" s="26">
        <f>IFERROR($AC232*HDF_Limited_Col!AM232/HDF_Limited_Col!$AH232," ")</f>
        <v>0</v>
      </c>
      <c r="AN232" s="26">
        <f>IFERROR($AC232*HDF_Limited_Col!AN232/HDF_Limited_Col!$AH232," ")</f>
        <v>0</v>
      </c>
      <c r="AO232" s="26">
        <f>IFERROR($AC232*HDF_Limited_Col!AO232/HDF_Limited_Col!$AH232," ")</f>
        <v>0</v>
      </c>
      <c r="AP232" s="26">
        <f>IFERROR($AC232*HDF_Limited_Col!AP232/HDF_Limited_Col!$AH232," ")</f>
        <v>0</v>
      </c>
      <c r="AQ232" s="26">
        <f>IFERROR($AC232*HDF_Limited_Col!AQ232/HDF_Limited_Col!$AH232," ")</f>
        <v>0</v>
      </c>
      <c r="AR232" s="26">
        <f>IFERROR($AC232*HDF_Limited_Col!AR232/HDF_Limited_Col!$AH232," ")</f>
        <v>0</v>
      </c>
      <c r="AS232" s="26">
        <f>IFERROR($AC232*HDF_Limited_Col!AS232/HDF_Limited_Col!$AH232," ")</f>
        <v>0</v>
      </c>
      <c r="AT232" s="26">
        <f>IFERROR($AC232*HDF_Limited_Col!AT232/HDF_Limited_Col!$AH232," ")</f>
        <v>0</v>
      </c>
      <c r="AU232" s="26">
        <f>IFERROR($AC232*HDF_Limited_Col!AU232/HDF_Limited_Col!$AH232," ")</f>
        <v>0</v>
      </c>
      <c r="AV232" s="26">
        <f>IFERROR($AC232*HDF_Limited_Col!AV232/HDF_Limited_Col!$AH232," ")</f>
        <v>0</v>
      </c>
      <c r="AW232" s="26">
        <f>IFERROR($AC232*HDF_Limited_Col!AW232/HDF_Limited_Col!$AH232," ")</f>
        <v>0</v>
      </c>
      <c r="AX232" s="26">
        <f>IFERROR($AC232*HDF_Limited_Col!AX232/HDF_Limited_Col!$AH232," ")</f>
        <v>317.95562943246739</v>
      </c>
      <c r="AY232" s="26">
        <f>IFERROR($AC232*HDF_Limited_Col!AY232/HDF_Limited_Col!$AH232," ")</f>
        <v>3289.1961665427666</v>
      </c>
      <c r="AZ232" s="26">
        <f>IFERROR($AC232*HDF_Limited_Col!AZ232/HDF_Limited_Col!$AH232," ")</f>
        <v>16.445980832713833</v>
      </c>
      <c r="BA232" s="26">
        <f>IFERROR($AC232*HDF_Limited_Col!BA232/HDF_Limited_Col!$AH232," ")</f>
        <v>668.80322053036252</v>
      </c>
      <c r="BB232" s="26">
        <f>IFERROR($AC232*HDF_Limited_Col!BB232/HDF_Limited_Col!$AH232," ")</f>
        <v>0</v>
      </c>
      <c r="BC232" s="26">
        <f>IFERROR($AC232*HDF_Limited_Col!BC232/HDF_Limited_Col!$AH232," ")</f>
        <v>131.56784666171066</v>
      </c>
      <c r="BD232" s="26">
        <f>IFERROR($AC232*HDF_Limited_Col!BD232/HDF_Limited_Col!$AH232," ")</f>
        <v>0</v>
      </c>
      <c r="BE232" s="26">
        <f>IFERROR($AC232*HDF_Limited_Col!BE232/HDF_Limited_Col!$AH232," ")</f>
        <v>0</v>
      </c>
      <c r="BF232" s="26">
        <f>IFERROR($AC232*HDF_Limited_Col!BF232/HDF_Limited_Col!$AH232," ")</f>
        <v>0</v>
      </c>
      <c r="BG232" s="26">
        <f>IFERROR($AC232*HDF_Limited_Col!BG232/HDF_Limited_Col!$AH232," ")</f>
        <v>0</v>
      </c>
      <c r="BH232" s="26">
        <f>IFERROR($AC232*HDF_Limited_Col!BH232/HDF_Limited_Col!$AH232," ")</f>
        <v>9.8675884996282992</v>
      </c>
      <c r="BI232" s="26">
        <f>IFERROR($AC232*HDF_Limited_Col!BI232/HDF_Limited_Col!$AH232," ")</f>
        <v>28506.366776703977</v>
      </c>
      <c r="BJ232" s="26">
        <f>IFERROR($AC232*HDF_Limited_Col!BJ232/HDF_Limited_Col!$AH232," ")</f>
        <v>0</v>
      </c>
      <c r="BK232" s="26">
        <f>IFERROR($AC232*HDF_Limited_Col!BK232/HDF_Limited_Col!$AH232," ")</f>
        <v>1282.786504951679</v>
      </c>
      <c r="BL232" s="26">
        <f>IFERROR($AC232*HDF_Limited_Col!BL232/HDF_Limited_Col!$AH232," ")</f>
        <v>1436.2823260570083</v>
      </c>
      <c r="BM232" s="26">
        <f>IFERROR($AC232*HDF_Limited_Col!BM232/HDF_Limited_Col!$AH232," ")</f>
        <v>127.18225177298699</v>
      </c>
      <c r="BN232" s="26">
        <f>IFERROR($AC232*HDF_Limited_Col!BN232/HDF_Limited_Col!$AH232," ")</f>
        <v>394.70353998513195</v>
      </c>
      <c r="BO232" s="26">
        <f>IFERROR($AC232*HDF_Limited_Col!BO232/HDF_Limited_Col!$AH232," ")</f>
        <v>29.602765498884899</v>
      </c>
      <c r="BP232" s="26">
        <f>IFERROR($AC232*HDF_Limited_Col!BP232/HDF_Limited_Col!$AH232," ")</f>
        <v>7.6747910552664553</v>
      </c>
      <c r="BQ232" s="26">
        <f>IFERROR($AC232*HDF_Limited_Col!BQ232/HDF_Limited_Col!$AH232," ")</f>
        <v>23.024373165799368</v>
      </c>
      <c r="BR232" s="26">
        <f>IFERROR($AC232*HDF_Limited_Col!BR232/HDF_Limited_Col!$AH232," ")</f>
        <v>7.6747910552664553</v>
      </c>
      <c r="BS232" s="26">
        <f>IFERROR($AC232*HDF_Limited_Col!BS232/HDF_Limited_Col!$AH232," ")</f>
        <v>2.1927974443618443</v>
      </c>
      <c r="BT232" s="26">
        <f>IFERROR($AC232*HDF_Limited_Col!BT232/HDF_Limited_Col!$AH232," ")</f>
        <v>0</v>
      </c>
      <c r="BU232" s="26">
        <f>IFERROR($AC232*HDF_Limited_Col!BU232/HDF_Limited_Col!$AH232," ")</f>
        <v>0</v>
      </c>
      <c r="BV232" s="26">
        <f>IFERROR($AC232*HDF_Limited_Col!BV232/HDF_Limited_Col!$AH232," ")</f>
        <v>0</v>
      </c>
      <c r="BW232" s="26">
        <f>IFERROR($AC232*HDF_Limited_Col!BW232/HDF_Limited_Col!$AH232," ")</f>
        <v>1.0963987221809222</v>
      </c>
      <c r="BX232" s="26">
        <f>IFERROR($AC232*HDF_Limited_Col!BX232/HDF_Limited_Col!$AH232," ")</f>
        <v>17.542379554894755</v>
      </c>
      <c r="BY232" s="26">
        <f>IFERROR($AC232*HDF_Limited_Col!BY232/HDF_Limited_Col!$AH232," ")</f>
        <v>3.2891961665427667</v>
      </c>
      <c r="BZ232" s="26">
        <f>IFERROR($AC232*HDF_Limited_Col!BZ232/HDF_Limited_Col!$AH232," ")</f>
        <v>0</v>
      </c>
      <c r="CA232" s="26">
        <f>IFERROR($AC232*HDF_Limited_Col!CA232/HDF_Limited_Col!$AH232," ")</f>
        <v>0</v>
      </c>
      <c r="CB232" s="26">
        <f>IFERROR($AC232*HDF_Limited_Col!CB232/HDF_Limited_Col!$AH232," ")</f>
        <v>252.1717061016121</v>
      </c>
      <c r="CC232" s="26">
        <f>IFERROR($AC232*HDF_Limited_Col!CC232/HDF_Limited_Col!$AH232," ")</f>
        <v>43.855948887236885</v>
      </c>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row>
    <row r="233" spans="1:109">
      <c r="A233" s="26" t="s">
        <v>1181</v>
      </c>
      <c r="B233" s="26" t="s">
        <v>24</v>
      </c>
      <c r="C233" s="156" t="s">
        <v>541</v>
      </c>
      <c r="D233" s="26" t="s">
        <v>110</v>
      </c>
      <c r="E233" s="26" t="s">
        <v>801</v>
      </c>
      <c r="F233" s="26" t="s">
        <v>800</v>
      </c>
      <c r="G233" s="26" t="s">
        <v>829</v>
      </c>
      <c r="H233" s="30"/>
      <c r="I233" s="26" t="s">
        <v>712</v>
      </c>
      <c r="J233" s="26" t="s">
        <v>635</v>
      </c>
      <c r="K233" s="26" t="s">
        <v>1169</v>
      </c>
      <c r="L233" s="26" t="s">
        <v>99</v>
      </c>
      <c r="M233" s="26" t="s">
        <v>786</v>
      </c>
      <c r="N233" s="26">
        <v>83</v>
      </c>
      <c r="O233" s="95">
        <v>44.977044173763218</v>
      </c>
      <c r="P233" s="95">
        <v>1.6628597195859705</v>
      </c>
      <c r="Q233" s="95">
        <v>7.1145192079708517</v>
      </c>
      <c r="R233" s="95">
        <v>4.5421135110241933</v>
      </c>
      <c r="S233" s="95">
        <v>1.723302072436405</v>
      </c>
      <c r="T233" s="95">
        <v>7.2544187676531564</v>
      </c>
      <c r="U233" s="95">
        <v>4.5250624178192416</v>
      </c>
      <c r="V233" s="95">
        <v>4.0723616859143421</v>
      </c>
      <c r="W233" s="95">
        <v>17.199583306526005</v>
      </c>
      <c r="X233" s="95">
        <v>2.9026190902618416</v>
      </c>
      <c r="Y233" s="95">
        <v>5.1994832010104739</v>
      </c>
      <c r="Z233" s="95">
        <v>101.1733671539657</v>
      </c>
      <c r="AA233" s="26"/>
      <c r="AB233" s="26"/>
      <c r="AC233" s="26">
        <f t="shared" si="4"/>
        <v>142780.15728218033</v>
      </c>
      <c r="AD233" s="26">
        <f>IFERROR($AC233*HDF_Limited_Col!AD233/HDF_Limited_Col!$AH233," ")</f>
        <v>0</v>
      </c>
      <c r="AE233" s="26">
        <f>IFERROR($AC233*HDF_Limited_Col!AE233/HDF_Limited_Col!$AH233," ")</f>
        <v>0</v>
      </c>
      <c r="AF233" s="26">
        <f>IFERROR($AC233*HDF_Limited_Col!AF233/HDF_Limited_Col!$AH233," ")</f>
        <v>0</v>
      </c>
      <c r="AG233" s="26">
        <f>IFERROR($AC233*HDF_Limited_Col!AG233/HDF_Limited_Col!$AH233," ")</f>
        <v>0</v>
      </c>
      <c r="AH233" s="26">
        <f>IFERROR($AC233*HDF_Limited_Col!AH233/HDF_Limited_Col!$AH233," ")</f>
        <v>142780.15728218033</v>
      </c>
      <c r="AI233" s="26">
        <f>IFERROR($AC233*HDF_Limited_Col!AI233/HDF_Limited_Col!$AH233," ")</f>
        <v>0</v>
      </c>
      <c r="AJ233" s="26">
        <f>IFERROR($AC233*HDF_Limited_Col!AJ233/HDF_Limited_Col!$AH233," ")</f>
        <v>8321.5429090841299</v>
      </c>
      <c r="AK233" s="26">
        <f>IFERROR($AC233*HDF_Limited_Col!AK233/HDF_Limited_Col!$AH233," ")</f>
        <v>0</v>
      </c>
      <c r="AL233" s="26">
        <f>IFERROR($AC233*HDF_Limited_Col!AL233/HDF_Limited_Col!$AH233," ")</f>
        <v>0</v>
      </c>
      <c r="AM233" s="26">
        <f>IFERROR($AC233*HDF_Limited_Col!AM233/HDF_Limited_Col!$AH233," ")</f>
        <v>0</v>
      </c>
      <c r="AN233" s="26">
        <f>IFERROR($AC233*HDF_Limited_Col!AN233/HDF_Limited_Col!$AH233," ")</f>
        <v>0</v>
      </c>
      <c r="AO233" s="26">
        <f>IFERROR($AC233*HDF_Limited_Col!AO233/HDF_Limited_Col!$AH233," ")</f>
        <v>0</v>
      </c>
      <c r="AP233" s="26">
        <f>IFERROR($AC233*HDF_Limited_Col!AP233/HDF_Limited_Col!$AH233," ")</f>
        <v>0</v>
      </c>
      <c r="AQ233" s="26">
        <f>IFERROR($AC233*HDF_Limited_Col!AQ233/HDF_Limited_Col!$AH233," ")</f>
        <v>0</v>
      </c>
      <c r="AR233" s="26">
        <f>IFERROR($AC233*HDF_Limited_Col!AR233/HDF_Limited_Col!$AH233," ")</f>
        <v>0</v>
      </c>
      <c r="AS233" s="26">
        <f>IFERROR($AC233*HDF_Limited_Col!AS233/HDF_Limited_Col!$AH233," ")</f>
        <v>0</v>
      </c>
      <c r="AT233" s="26">
        <f>IFERROR($AC233*HDF_Limited_Col!AT233/HDF_Limited_Col!$AH233," ")</f>
        <v>0</v>
      </c>
      <c r="AU233" s="26">
        <f>IFERROR($AC233*HDF_Limited_Col!AU233/HDF_Limited_Col!$AH233," ")</f>
        <v>0</v>
      </c>
      <c r="AV233" s="26">
        <f>IFERROR($AC233*HDF_Limited_Col!AV233/HDF_Limited_Col!$AH233," ")</f>
        <v>0</v>
      </c>
      <c r="AW233" s="26">
        <f>IFERROR($AC233*HDF_Limited_Col!AW233/HDF_Limited_Col!$AH233," ")</f>
        <v>0</v>
      </c>
      <c r="AX233" s="26">
        <f>IFERROR($AC233*HDF_Limited_Col!AX233/HDF_Limited_Col!$AH233," ")</f>
        <v>347.75289841119996</v>
      </c>
      <c r="AY233" s="26">
        <f>IFERROR($AC233*HDF_Limited_Col!AY233/HDF_Limited_Col!$AH233," ")</f>
        <v>3854.1882947337022</v>
      </c>
      <c r="AZ233" s="26">
        <f>IFERROR($AC233*HDF_Limited_Col!AZ233/HDF_Limited_Col!$AH233," ")</f>
        <v>16.643085818168259</v>
      </c>
      <c r="BA233" s="26">
        <f>IFERROR($AC233*HDF_Limited_Col!BA233/HDF_Limited_Col!$AH233," ")</f>
        <v>586.88776306172281</v>
      </c>
      <c r="BB233" s="26">
        <f>IFERROR($AC233*HDF_Limited_Col!BB233/HDF_Limited_Col!$AH233," ")</f>
        <v>0</v>
      </c>
      <c r="BC233" s="26">
        <f>IFERROR($AC233*HDF_Limited_Col!BC233/HDF_Limited_Col!$AH233," ")</f>
        <v>17.519037703335009</v>
      </c>
      <c r="BD233" s="26">
        <f>IFERROR($AC233*HDF_Limited_Col!BD233/HDF_Limited_Col!$AH233," ")</f>
        <v>0</v>
      </c>
      <c r="BE233" s="26">
        <f>IFERROR($AC233*HDF_Limited_Col!BE233/HDF_Limited_Col!$AH233," ")</f>
        <v>0</v>
      </c>
      <c r="BF233" s="26">
        <f>IFERROR($AC233*HDF_Limited_Col!BF233/HDF_Limited_Col!$AH233," ")</f>
        <v>0</v>
      </c>
      <c r="BG233" s="26">
        <f>IFERROR($AC233*HDF_Limited_Col!BG233/HDF_Limited_Col!$AH233," ")</f>
        <v>0</v>
      </c>
      <c r="BH233" s="26">
        <f>IFERROR($AC233*HDF_Limited_Col!BH233/HDF_Limited_Col!$AH233," ")</f>
        <v>11.387374507167756</v>
      </c>
      <c r="BI233" s="26">
        <f>IFERROR($AC233*HDF_Limited_Col!BI233/HDF_Limited_Col!$AH233," ")</f>
        <v>40293.786717670526</v>
      </c>
      <c r="BJ233" s="26">
        <f>IFERROR($AC233*HDF_Limited_Col!BJ233/HDF_Limited_Col!$AH233," ")</f>
        <v>0</v>
      </c>
      <c r="BK233" s="26">
        <f>IFERROR($AC233*HDF_Limited_Col!BK233/HDF_Limited_Col!$AH233," ")</f>
        <v>1287.6492711951232</v>
      </c>
      <c r="BL233" s="26">
        <f>IFERROR($AC233*HDF_Limited_Col!BL233/HDF_Limited_Col!$AH233," ")</f>
        <v>1313.9278277501257</v>
      </c>
      <c r="BM233" s="26">
        <f>IFERROR($AC233*HDF_Limited_Col!BM233/HDF_Limited_Col!$AH233," ")</f>
        <v>108.61803376067705</v>
      </c>
      <c r="BN233" s="26">
        <f>IFERROR($AC233*HDF_Limited_Col!BN233/HDF_Limited_Col!$AH233," ")</f>
        <v>367.89979177003522</v>
      </c>
      <c r="BO233" s="26">
        <f>IFERROR($AC233*HDF_Limited_Col!BO233/HDF_Limited_Col!$AH233," ")</f>
        <v>32.410219751169763</v>
      </c>
      <c r="BP233" s="26">
        <f>IFERROR($AC233*HDF_Limited_Col!BP233/HDF_Limited_Col!$AH233," ")</f>
        <v>6.1316631961672536</v>
      </c>
      <c r="BQ233" s="26">
        <f>IFERROR($AC233*HDF_Limited_Col!BQ233/HDF_Limited_Col!$AH233," ")</f>
        <v>18.394989588501762</v>
      </c>
      <c r="BR233" s="26">
        <f>IFERROR($AC233*HDF_Limited_Col!BR233/HDF_Limited_Col!$AH233," ")</f>
        <v>7.8835669665007542</v>
      </c>
      <c r="BS233" s="26">
        <f>IFERROR($AC233*HDF_Limited_Col!BS233/HDF_Limited_Col!$AH233," ")</f>
        <v>1.7519037703335012</v>
      </c>
      <c r="BT233" s="26">
        <f>IFERROR($AC233*HDF_Limited_Col!BT233/HDF_Limited_Col!$AH233," ")</f>
        <v>7.8835669665007542</v>
      </c>
      <c r="BU233" s="26">
        <f>IFERROR($AC233*HDF_Limited_Col!BU233/HDF_Limited_Col!$AH233," ")</f>
        <v>0</v>
      </c>
      <c r="BV233" s="26">
        <f>IFERROR($AC233*HDF_Limited_Col!BV233/HDF_Limited_Col!$AH233," ")</f>
        <v>7.8835669665007542</v>
      </c>
      <c r="BW233" s="26">
        <f>IFERROR($AC233*HDF_Limited_Col!BW233/HDF_Limited_Col!$AH233," ")</f>
        <v>0</v>
      </c>
      <c r="BX233" s="26">
        <f>IFERROR($AC233*HDF_Limited_Col!BX233/HDF_Limited_Col!$AH233," ")</f>
        <v>20.146893358835261</v>
      </c>
      <c r="BY233" s="26">
        <f>IFERROR($AC233*HDF_Limited_Col!BY233/HDF_Limited_Col!$AH233," ")</f>
        <v>2.6278556555002517</v>
      </c>
      <c r="BZ233" s="26">
        <f>IFERROR($AC233*HDF_Limited_Col!BZ233/HDF_Limited_Col!$AH233," ")</f>
        <v>0</v>
      </c>
      <c r="CA233" s="26">
        <f>IFERROR($AC233*HDF_Limited_Col!CA233/HDF_Limited_Col!$AH233," ")</f>
        <v>0</v>
      </c>
      <c r="CB233" s="26">
        <f>IFERROR($AC233*HDF_Limited_Col!CB233/HDF_Limited_Col!$AH233," ")</f>
        <v>376.65931062170267</v>
      </c>
      <c r="CC233" s="26">
        <f>IFERROR($AC233*HDF_Limited_Col!CC233/HDF_Limited_Col!$AH233," ")</f>
        <v>64.820439502339525</v>
      </c>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row>
    <row r="234" spans="1:109">
      <c r="A234" s="53" t="s">
        <v>1651</v>
      </c>
      <c r="B234" s="53" t="s">
        <v>24</v>
      </c>
      <c r="C234" s="156" t="s">
        <v>541</v>
      </c>
      <c r="D234" s="53" t="s">
        <v>1717</v>
      </c>
      <c r="E234" s="53" t="s">
        <v>1394</v>
      </c>
      <c r="F234" s="53" t="s">
        <v>1628</v>
      </c>
      <c r="G234" s="53" t="s">
        <v>595</v>
      </c>
      <c r="H234" s="52">
        <v>132</v>
      </c>
      <c r="I234" s="53" t="s">
        <v>735</v>
      </c>
      <c r="J234" s="53"/>
      <c r="K234" s="53" t="s">
        <v>1648</v>
      </c>
      <c r="L234" s="53"/>
      <c r="M234" s="53" t="s">
        <v>1640</v>
      </c>
      <c r="N234" s="53">
        <v>18</v>
      </c>
      <c r="O234" s="95">
        <v>42.322476544543747</v>
      </c>
      <c r="P234" s="95">
        <v>3.317438779025994</v>
      </c>
      <c r="Q234" s="95">
        <v>4.4232517053679929</v>
      </c>
      <c r="R234" s="95">
        <v>14.476096490295248</v>
      </c>
      <c r="S234" s="95">
        <v>6.433820662353444</v>
      </c>
      <c r="T234" s="95">
        <v>7.539633588695442</v>
      </c>
      <c r="U234" s="95">
        <v>1.2063413741912707</v>
      </c>
      <c r="V234" s="95">
        <v>2.6137396440810865</v>
      </c>
      <c r="W234" s="95">
        <v>14.777681833843065</v>
      </c>
      <c r="X234" s="95">
        <v>2.1110974048347235</v>
      </c>
      <c r="Y234" s="95">
        <v>1.0052844784927255</v>
      </c>
      <c r="Z234" s="95">
        <v>100.22686250572472</v>
      </c>
      <c r="AA234" s="53"/>
      <c r="AB234" s="53"/>
      <c r="AC234" s="26">
        <f t="shared" si="4"/>
        <v>122675.04967411354</v>
      </c>
      <c r="AD234" s="26" t="str">
        <f>IFERROR($AC234*HDF_Limited_Col!AD234/HDF_Limited_Col!$AH234," ")</f>
        <v xml:space="preserve"> </v>
      </c>
      <c r="AE234" s="26" t="str">
        <f>IFERROR($AC234*HDF_Limited_Col!AE234/HDF_Limited_Col!$AH234," ")</f>
        <v xml:space="preserve"> </v>
      </c>
      <c r="AF234" s="26" t="str">
        <f>IFERROR($AC234*HDF_Limited_Col!AF234/HDF_Limited_Col!$AH234," ")</f>
        <v xml:space="preserve"> </v>
      </c>
      <c r="AG234" s="26" t="str">
        <f>IFERROR($AC234*HDF_Limited_Col!AG234/HDF_Limited_Col!$AH234," ")</f>
        <v xml:space="preserve"> </v>
      </c>
      <c r="AH234" s="26" t="str">
        <f>IFERROR($AC234*HDF_Limited_Col!AH234/HDF_Limited_Col!$AH234," ")</f>
        <v xml:space="preserve"> </v>
      </c>
      <c r="AI234" s="26" t="str">
        <f>IFERROR($AC234*HDF_Limited_Col!AI234/HDF_Limited_Col!$AH234," ")</f>
        <v xml:space="preserve"> </v>
      </c>
      <c r="AJ234" s="26" t="str">
        <f>IFERROR($AC234*HDF_Limited_Col!AJ234/HDF_Limited_Col!$AH234," ")</f>
        <v xml:space="preserve"> </v>
      </c>
      <c r="AK234" s="26" t="str">
        <f>IFERROR($AC234*HDF_Limited_Col!AK234/HDF_Limited_Col!$AH234," ")</f>
        <v xml:space="preserve"> </v>
      </c>
      <c r="AL234" s="26" t="str">
        <f>IFERROR($AC234*HDF_Limited_Col!AL234/HDF_Limited_Col!$AH234," ")</f>
        <v xml:space="preserve"> </v>
      </c>
      <c r="AM234" s="26" t="str">
        <f>IFERROR($AC234*HDF_Limited_Col!AM234/HDF_Limited_Col!$AH234," ")</f>
        <v xml:space="preserve"> </v>
      </c>
      <c r="AN234" s="26" t="str">
        <f>IFERROR($AC234*HDF_Limited_Col!AN234/HDF_Limited_Col!$AH234," ")</f>
        <v xml:space="preserve"> </v>
      </c>
      <c r="AO234" s="26" t="str">
        <f>IFERROR($AC234*HDF_Limited_Col!AO234/HDF_Limited_Col!$AH234," ")</f>
        <v xml:space="preserve"> </v>
      </c>
      <c r="AP234" s="26" t="str">
        <f>IFERROR($AC234*HDF_Limited_Col!AP234/HDF_Limited_Col!$AH234," ")</f>
        <v xml:space="preserve"> </v>
      </c>
      <c r="AQ234" s="26" t="str">
        <f>IFERROR($AC234*HDF_Limited_Col!AQ234/HDF_Limited_Col!$AH234," ")</f>
        <v xml:space="preserve"> </v>
      </c>
      <c r="AR234" s="26" t="str">
        <f>IFERROR($AC234*HDF_Limited_Col!AR234/HDF_Limited_Col!$AH234," ")</f>
        <v xml:space="preserve"> </v>
      </c>
      <c r="AS234" s="26" t="str">
        <f>IFERROR($AC234*HDF_Limited_Col!AS234/HDF_Limited_Col!$AH234," ")</f>
        <v xml:space="preserve"> </v>
      </c>
      <c r="AT234" s="26" t="str">
        <f>IFERROR($AC234*HDF_Limited_Col!AT234/HDF_Limited_Col!$AH234," ")</f>
        <v xml:space="preserve"> </v>
      </c>
      <c r="AU234" s="26" t="str">
        <f>IFERROR($AC234*HDF_Limited_Col!AU234/HDF_Limited_Col!$AH234," ")</f>
        <v xml:space="preserve"> </v>
      </c>
      <c r="AV234" s="26" t="str">
        <f>IFERROR($AC234*HDF_Limited_Col!AV234/HDF_Limited_Col!$AH234," ")</f>
        <v xml:space="preserve"> </v>
      </c>
      <c r="AW234" s="26" t="str">
        <f>IFERROR($AC234*HDF_Limited_Col!AW234/HDF_Limited_Col!$AH234," ")</f>
        <v xml:space="preserve"> </v>
      </c>
      <c r="AX234" s="26" t="str">
        <f>IFERROR($AC234*HDF_Limited_Col!AX234/HDF_Limited_Col!$AH234," ")</f>
        <v xml:space="preserve"> </v>
      </c>
      <c r="AY234" s="26" t="str">
        <f>IFERROR($AC234*HDF_Limited_Col!AY234/HDF_Limited_Col!$AH234," ")</f>
        <v xml:space="preserve"> </v>
      </c>
      <c r="AZ234" s="26" t="str">
        <f>IFERROR($AC234*HDF_Limited_Col!AZ234/HDF_Limited_Col!$AH234," ")</f>
        <v xml:space="preserve"> </v>
      </c>
      <c r="BA234" s="26" t="str">
        <f>IFERROR($AC234*HDF_Limited_Col!BA234/HDF_Limited_Col!$AH234," ")</f>
        <v xml:space="preserve"> </v>
      </c>
      <c r="BB234" s="26" t="str">
        <f>IFERROR($AC234*HDF_Limited_Col!BB234/HDF_Limited_Col!$AH234," ")</f>
        <v xml:space="preserve"> </v>
      </c>
      <c r="BC234" s="26" t="str">
        <f>IFERROR($AC234*HDF_Limited_Col!BC234/HDF_Limited_Col!$AH234," ")</f>
        <v xml:space="preserve"> </v>
      </c>
      <c r="BD234" s="26" t="str">
        <f>IFERROR($AC234*HDF_Limited_Col!BD234/HDF_Limited_Col!$AH234," ")</f>
        <v xml:space="preserve"> </v>
      </c>
      <c r="BE234" s="26" t="str">
        <f>IFERROR($AC234*HDF_Limited_Col!BE234/HDF_Limited_Col!$AH234," ")</f>
        <v xml:space="preserve"> </v>
      </c>
      <c r="BF234" s="26" t="str">
        <f>IFERROR($AC234*HDF_Limited_Col!BF234/HDF_Limited_Col!$AH234," ")</f>
        <v xml:space="preserve"> </v>
      </c>
      <c r="BG234" s="26" t="str">
        <f>IFERROR($AC234*HDF_Limited_Col!BG234/HDF_Limited_Col!$AH234," ")</f>
        <v xml:space="preserve"> </v>
      </c>
      <c r="BH234" s="26" t="str">
        <f>IFERROR($AC234*HDF_Limited_Col!BH234/HDF_Limited_Col!$AH234," ")</f>
        <v xml:space="preserve"> </v>
      </c>
      <c r="BI234" s="26" t="str">
        <f>IFERROR($AC234*HDF_Limited_Col!BI234/HDF_Limited_Col!$AH234," ")</f>
        <v xml:space="preserve"> </v>
      </c>
      <c r="BJ234" s="26" t="str">
        <f>IFERROR($AC234*HDF_Limited_Col!BJ234/HDF_Limited_Col!$AH234," ")</f>
        <v xml:space="preserve"> </v>
      </c>
      <c r="BK234" s="26" t="str">
        <f>IFERROR($AC234*HDF_Limited_Col!BK234/HDF_Limited_Col!$AH234," ")</f>
        <v xml:space="preserve"> </v>
      </c>
      <c r="BL234" s="26" t="str">
        <f>IFERROR($AC234*HDF_Limited_Col!BL234/HDF_Limited_Col!$AH234," ")</f>
        <v xml:space="preserve"> </v>
      </c>
      <c r="BM234" s="26" t="str">
        <f>IFERROR($AC234*HDF_Limited_Col!BM234/HDF_Limited_Col!$AH234," ")</f>
        <v xml:space="preserve"> </v>
      </c>
      <c r="BN234" s="26" t="str">
        <f>IFERROR($AC234*HDF_Limited_Col!BN234/HDF_Limited_Col!$AH234," ")</f>
        <v xml:space="preserve"> </v>
      </c>
      <c r="BO234" s="26" t="str">
        <f>IFERROR($AC234*HDF_Limited_Col!BO234/HDF_Limited_Col!$AH234," ")</f>
        <v xml:space="preserve"> </v>
      </c>
      <c r="BP234" s="26" t="str">
        <f>IFERROR($AC234*HDF_Limited_Col!BP234/HDF_Limited_Col!$AH234," ")</f>
        <v xml:space="preserve"> </v>
      </c>
      <c r="BQ234" s="26" t="str">
        <f>IFERROR($AC234*HDF_Limited_Col!BQ234/HDF_Limited_Col!$AH234," ")</f>
        <v xml:space="preserve"> </v>
      </c>
      <c r="BR234" s="26" t="str">
        <f>IFERROR($AC234*HDF_Limited_Col!BR234/HDF_Limited_Col!$AH234," ")</f>
        <v xml:space="preserve"> </v>
      </c>
      <c r="BS234" s="26" t="str">
        <f>IFERROR($AC234*HDF_Limited_Col!BS234/HDF_Limited_Col!$AH234," ")</f>
        <v xml:space="preserve"> </v>
      </c>
      <c r="BT234" s="26" t="str">
        <f>IFERROR($AC234*HDF_Limited_Col!BT234/HDF_Limited_Col!$AH234," ")</f>
        <v xml:space="preserve"> </v>
      </c>
      <c r="BU234" s="26" t="str">
        <f>IFERROR($AC234*HDF_Limited_Col!BU234/HDF_Limited_Col!$AH234," ")</f>
        <v xml:space="preserve"> </v>
      </c>
      <c r="BV234" s="26" t="str">
        <f>IFERROR($AC234*HDF_Limited_Col!BV234/HDF_Limited_Col!$AH234," ")</f>
        <v xml:space="preserve"> </v>
      </c>
      <c r="BW234" s="26" t="str">
        <f>IFERROR($AC234*HDF_Limited_Col!BW234/HDF_Limited_Col!$AH234," ")</f>
        <v xml:space="preserve"> </v>
      </c>
      <c r="BX234" s="26" t="str">
        <f>IFERROR($AC234*HDF_Limited_Col!BX234/HDF_Limited_Col!$AH234," ")</f>
        <v xml:space="preserve"> </v>
      </c>
      <c r="BY234" s="26" t="str">
        <f>IFERROR($AC234*HDF_Limited_Col!BY234/HDF_Limited_Col!$AH234," ")</f>
        <v xml:space="preserve"> </v>
      </c>
      <c r="BZ234" s="26" t="str">
        <f>IFERROR($AC234*HDF_Limited_Col!BZ234/HDF_Limited_Col!$AH234," ")</f>
        <v xml:space="preserve"> </v>
      </c>
      <c r="CA234" s="26" t="str">
        <f>IFERROR($AC234*HDF_Limited_Col!CA234/HDF_Limited_Col!$AH234," ")</f>
        <v xml:space="preserve"> </v>
      </c>
      <c r="CB234" s="26" t="str">
        <f>IFERROR($AC234*HDF_Limited_Col!CB234/HDF_Limited_Col!$AH234," ")</f>
        <v xml:space="preserve"> </v>
      </c>
      <c r="CC234" s="26" t="str">
        <f>IFERROR($AC234*HDF_Limited_Col!CC234/HDF_Limited_Col!$AH234," ")</f>
        <v xml:space="preserve"> </v>
      </c>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row>
    <row r="235" spans="1:109">
      <c r="A235" s="53" t="s">
        <v>1651</v>
      </c>
      <c r="B235" s="53" t="s">
        <v>24</v>
      </c>
      <c r="C235" s="156" t="s">
        <v>541</v>
      </c>
      <c r="D235" s="53" t="s">
        <v>1717</v>
      </c>
      <c r="E235" s="53" t="s">
        <v>1394</v>
      </c>
      <c r="F235" s="53" t="s">
        <v>1628</v>
      </c>
      <c r="G235" s="53" t="s">
        <v>595</v>
      </c>
      <c r="H235" s="52">
        <v>132</v>
      </c>
      <c r="I235" s="53" t="s">
        <v>735</v>
      </c>
      <c r="J235" s="53"/>
      <c r="K235" s="53" t="s">
        <v>1276</v>
      </c>
      <c r="L235" s="53"/>
      <c r="M235" s="53" t="s">
        <v>1641</v>
      </c>
      <c r="N235" s="53">
        <v>58</v>
      </c>
      <c r="O235" s="95">
        <v>41.497378368491646</v>
      </c>
      <c r="P235" s="95">
        <v>4.5769167318189314</v>
      </c>
      <c r="Q235" s="95">
        <v>3.8649519068693197</v>
      </c>
      <c r="R235" s="95">
        <v>13.934168716870968</v>
      </c>
      <c r="S235" s="95">
        <v>6.5093926852535926</v>
      </c>
      <c r="T235" s="95">
        <v>8.0350315958599019</v>
      </c>
      <c r="U235" s="95">
        <v>0.71196482494961155</v>
      </c>
      <c r="V235" s="95">
        <v>3.2546963426267963</v>
      </c>
      <c r="W235" s="95">
        <v>14.849552063234755</v>
      </c>
      <c r="X235" s="95">
        <v>2.1358944748488349</v>
      </c>
      <c r="Y235" s="95">
        <v>0.81367408565669908</v>
      </c>
      <c r="Z235" s="95">
        <v>100.18362179648108</v>
      </c>
      <c r="AA235" s="53"/>
      <c r="AB235" s="53"/>
      <c r="AC235" s="26">
        <f t="shared" si="4"/>
        <v>123271.67125927475</v>
      </c>
      <c r="AD235" s="26" t="str">
        <f>IFERROR($AC235*HDF_Limited_Col!AD235/HDF_Limited_Col!$AH235," ")</f>
        <v xml:space="preserve"> </v>
      </c>
      <c r="AE235" s="26" t="str">
        <f>IFERROR($AC235*HDF_Limited_Col!AE235/HDF_Limited_Col!$AH235," ")</f>
        <v xml:space="preserve"> </v>
      </c>
      <c r="AF235" s="26" t="str">
        <f>IFERROR($AC235*HDF_Limited_Col!AF235/HDF_Limited_Col!$AH235," ")</f>
        <v xml:space="preserve"> </v>
      </c>
      <c r="AG235" s="26" t="str">
        <f>IFERROR($AC235*HDF_Limited_Col!AG235/HDF_Limited_Col!$AH235," ")</f>
        <v xml:space="preserve"> </v>
      </c>
      <c r="AH235" s="26" t="str">
        <f>IFERROR($AC235*HDF_Limited_Col!AH235/HDF_Limited_Col!$AH235," ")</f>
        <v xml:space="preserve"> </v>
      </c>
      <c r="AI235" s="26" t="str">
        <f>IFERROR($AC235*HDF_Limited_Col!AI235/HDF_Limited_Col!$AH235," ")</f>
        <v xml:space="preserve"> </v>
      </c>
      <c r="AJ235" s="26" t="str">
        <f>IFERROR($AC235*HDF_Limited_Col!AJ235/HDF_Limited_Col!$AH235," ")</f>
        <v xml:space="preserve"> </v>
      </c>
      <c r="AK235" s="26" t="str">
        <f>IFERROR($AC235*HDF_Limited_Col!AK235/HDF_Limited_Col!$AH235," ")</f>
        <v xml:space="preserve"> </v>
      </c>
      <c r="AL235" s="26" t="str">
        <f>IFERROR($AC235*HDF_Limited_Col!AL235/HDF_Limited_Col!$AH235," ")</f>
        <v xml:space="preserve"> </v>
      </c>
      <c r="AM235" s="26" t="str">
        <f>IFERROR($AC235*HDF_Limited_Col!AM235/HDF_Limited_Col!$AH235," ")</f>
        <v xml:space="preserve"> </v>
      </c>
      <c r="AN235" s="26" t="str">
        <f>IFERROR($AC235*HDF_Limited_Col!AN235/HDF_Limited_Col!$AH235," ")</f>
        <v xml:space="preserve"> </v>
      </c>
      <c r="AO235" s="26" t="str">
        <f>IFERROR($AC235*HDF_Limited_Col!AO235/HDF_Limited_Col!$AH235," ")</f>
        <v xml:space="preserve"> </v>
      </c>
      <c r="AP235" s="26" t="str">
        <f>IFERROR($AC235*HDF_Limited_Col!AP235/HDF_Limited_Col!$AH235," ")</f>
        <v xml:space="preserve"> </v>
      </c>
      <c r="AQ235" s="26" t="str">
        <f>IFERROR($AC235*HDF_Limited_Col!AQ235/HDF_Limited_Col!$AH235," ")</f>
        <v xml:space="preserve"> </v>
      </c>
      <c r="AR235" s="26" t="str">
        <f>IFERROR($AC235*HDF_Limited_Col!AR235/HDF_Limited_Col!$AH235," ")</f>
        <v xml:space="preserve"> </v>
      </c>
      <c r="AS235" s="26" t="str">
        <f>IFERROR($AC235*HDF_Limited_Col!AS235/HDF_Limited_Col!$AH235," ")</f>
        <v xml:space="preserve"> </v>
      </c>
      <c r="AT235" s="26" t="str">
        <f>IFERROR($AC235*HDF_Limited_Col!AT235/HDF_Limited_Col!$AH235," ")</f>
        <v xml:space="preserve"> </v>
      </c>
      <c r="AU235" s="26" t="str">
        <f>IFERROR($AC235*HDF_Limited_Col!AU235/HDF_Limited_Col!$AH235," ")</f>
        <v xml:space="preserve"> </v>
      </c>
      <c r="AV235" s="26" t="str">
        <f>IFERROR($AC235*HDF_Limited_Col!AV235/HDF_Limited_Col!$AH235," ")</f>
        <v xml:space="preserve"> </v>
      </c>
      <c r="AW235" s="26" t="str">
        <f>IFERROR($AC235*HDF_Limited_Col!AW235/HDF_Limited_Col!$AH235," ")</f>
        <v xml:space="preserve"> </v>
      </c>
      <c r="AX235" s="26" t="str">
        <f>IFERROR($AC235*HDF_Limited_Col!AX235/HDF_Limited_Col!$AH235," ")</f>
        <v xml:space="preserve"> </v>
      </c>
      <c r="AY235" s="26" t="str">
        <f>IFERROR($AC235*HDF_Limited_Col!AY235/HDF_Limited_Col!$AH235," ")</f>
        <v xml:space="preserve"> </v>
      </c>
      <c r="AZ235" s="26" t="str">
        <f>IFERROR($AC235*HDF_Limited_Col!AZ235/HDF_Limited_Col!$AH235," ")</f>
        <v xml:space="preserve"> </v>
      </c>
      <c r="BA235" s="26" t="str">
        <f>IFERROR($AC235*HDF_Limited_Col!BA235/HDF_Limited_Col!$AH235," ")</f>
        <v xml:space="preserve"> </v>
      </c>
      <c r="BB235" s="26" t="str">
        <f>IFERROR($AC235*HDF_Limited_Col!BB235/HDF_Limited_Col!$AH235," ")</f>
        <v xml:space="preserve"> </v>
      </c>
      <c r="BC235" s="26" t="str">
        <f>IFERROR($AC235*HDF_Limited_Col!BC235/HDF_Limited_Col!$AH235," ")</f>
        <v xml:space="preserve"> </v>
      </c>
      <c r="BD235" s="26" t="str">
        <f>IFERROR($AC235*HDF_Limited_Col!BD235/HDF_Limited_Col!$AH235," ")</f>
        <v xml:space="preserve"> </v>
      </c>
      <c r="BE235" s="26" t="str">
        <f>IFERROR($AC235*HDF_Limited_Col!BE235/HDF_Limited_Col!$AH235," ")</f>
        <v xml:space="preserve"> </v>
      </c>
      <c r="BF235" s="26" t="str">
        <f>IFERROR($AC235*HDF_Limited_Col!BF235/HDF_Limited_Col!$AH235," ")</f>
        <v xml:space="preserve"> </v>
      </c>
      <c r="BG235" s="26" t="str">
        <f>IFERROR($AC235*HDF_Limited_Col!BG235/HDF_Limited_Col!$AH235," ")</f>
        <v xml:space="preserve"> </v>
      </c>
      <c r="BH235" s="26" t="str">
        <f>IFERROR($AC235*HDF_Limited_Col!BH235/HDF_Limited_Col!$AH235," ")</f>
        <v xml:space="preserve"> </v>
      </c>
      <c r="BI235" s="26" t="str">
        <f>IFERROR($AC235*HDF_Limited_Col!BI235/HDF_Limited_Col!$AH235," ")</f>
        <v xml:space="preserve"> </v>
      </c>
      <c r="BJ235" s="26" t="str">
        <f>IFERROR($AC235*HDF_Limited_Col!BJ235/HDF_Limited_Col!$AH235," ")</f>
        <v xml:space="preserve"> </v>
      </c>
      <c r="BK235" s="26" t="str">
        <f>IFERROR($AC235*HDF_Limited_Col!BK235/HDF_Limited_Col!$AH235," ")</f>
        <v xml:space="preserve"> </v>
      </c>
      <c r="BL235" s="26" t="str">
        <f>IFERROR($AC235*HDF_Limited_Col!BL235/HDF_Limited_Col!$AH235," ")</f>
        <v xml:space="preserve"> </v>
      </c>
      <c r="BM235" s="26" t="str">
        <f>IFERROR($AC235*HDF_Limited_Col!BM235/HDF_Limited_Col!$AH235," ")</f>
        <v xml:space="preserve"> </v>
      </c>
      <c r="BN235" s="26" t="str">
        <f>IFERROR($AC235*HDF_Limited_Col!BN235/HDF_Limited_Col!$AH235," ")</f>
        <v xml:space="preserve"> </v>
      </c>
      <c r="BO235" s="26" t="str">
        <f>IFERROR($AC235*HDF_Limited_Col!BO235/HDF_Limited_Col!$AH235," ")</f>
        <v xml:space="preserve"> </v>
      </c>
      <c r="BP235" s="26" t="str">
        <f>IFERROR($AC235*HDF_Limited_Col!BP235/HDF_Limited_Col!$AH235," ")</f>
        <v xml:space="preserve"> </v>
      </c>
      <c r="BQ235" s="26" t="str">
        <f>IFERROR($AC235*HDF_Limited_Col!BQ235/HDF_Limited_Col!$AH235," ")</f>
        <v xml:space="preserve"> </v>
      </c>
      <c r="BR235" s="26" t="str">
        <f>IFERROR($AC235*HDF_Limited_Col!BR235/HDF_Limited_Col!$AH235," ")</f>
        <v xml:space="preserve"> </v>
      </c>
      <c r="BS235" s="26" t="str">
        <f>IFERROR($AC235*HDF_Limited_Col!BS235/HDF_Limited_Col!$AH235," ")</f>
        <v xml:space="preserve"> </v>
      </c>
      <c r="BT235" s="26" t="str">
        <f>IFERROR($AC235*HDF_Limited_Col!BT235/HDF_Limited_Col!$AH235," ")</f>
        <v xml:space="preserve"> </v>
      </c>
      <c r="BU235" s="26" t="str">
        <f>IFERROR($AC235*HDF_Limited_Col!BU235/HDF_Limited_Col!$AH235," ")</f>
        <v xml:space="preserve"> </v>
      </c>
      <c r="BV235" s="26" t="str">
        <f>IFERROR($AC235*HDF_Limited_Col!BV235/HDF_Limited_Col!$AH235," ")</f>
        <v xml:space="preserve"> </v>
      </c>
      <c r="BW235" s="26" t="str">
        <f>IFERROR($AC235*HDF_Limited_Col!BW235/HDF_Limited_Col!$AH235," ")</f>
        <v xml:space="preserve"> </v>
      </c>
      <c r="BX235" s="26" t="str">
        <f>IFERROR($AC235*HDF_Limited_Col!BX235/HDF_Limited_Col!$AH235," ")</f>
        <v xml:space="preserve"> </v>
      </c>
      <c r="BY235" s="26" t="str">
        <f>IFERROR($AC235*HDF_Limited_Col!BY235/HDF_Limited_Col!$AH235," ")</f>
        <v xml:space="preserve"> </v>
      </c>
      <c r="BZ235" s="26" t="str">
        <f>IFERROR($AC235*HDF_Limited_Col!BZ235/HDF_Limited_Col!$AH235," ")</f>
        <v xml:space="preserve"> </v>
      </c>
      <c r="CA235" s="26" t="str">
        <f>IFERROR($AC235*HDF_Limited_Col!CA235/HDF_Limited_Col!$AH235," ")</f>
        <v xml:space="preserve"> </v>
      </c>
      <c r="CB235" s="26" t="str">
        <f>IFERROR($AC235*HDF_Limited_Col!CB235/HDF_Limited_Col!$AH235," ")</f>
        <v xml:space="preserve"> </v>
      </c>
      <c r="CC235" s="26" t="str">
        <f>IFERROR($AC235*HDF_Limited_Col!CC235/HDF_Limited_Col!$AH235," ")</f>
        <v xml:space="preserve"> </v>
      </c>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row>
    <row r="236" spans="1:109">
      <c r="A236" s="53" t="s">
        <v>1651</v>
      </c>
      <c r="B236" s="53" t="s">
        <v>24</v>
      </c>
      <c r="C236" s="156" t="s">
        <v>541</v>
      </c>
      <c r="D236" s="53" t="s">
        <v>1717</v>
      </c>
      <c r="E236" s="53" t="s">
        <v>1394</v>
      </c>
      <c r="F236" s="53" t="s">
        <v>1628</v>
      </c>
      <c r="G236" s="53" t="s">
        <v>595</v>
      </c>
      <c r="H236" s="52">
        <v>132</v>
      </c>
      <c r="I236" s="53" t="s">
        <v>735</v>
      </c>
      <c r="J236" s="53"/>
      <c r="K236" s="53" t="s">
        <v>1648</v>
      </c>
      <c r="L236" s="53"/>
      <c r="M236" s="53" t="s">
        <v>1643</v>
      </c>
      <c r="N236" s="53">
        <v>59</v>
      </c>
      <c r="O236" s="95">
        <v>41.897448318528284</v>
      </c>
      <c r="P236" s="95">
        <v>4.5518215457166535</v>
      </c>
      <c r="Q236" s="95">
        <v>4.2414700766905176</v>
      </c>
      <c r="R236" s="95">
        <v>11.689905333317769</v>
      </c>
      <c r="S236" s="95">
        <v>6.6208313392242228</v>
      </c>
      <c r="T236" s="95">
        <v>8.1725886843549009</v>
      </c>
      <c r="U236" s="95">
        <v>0.72415342772764935</v>
      </c>
      <c r="V236" s="95">
        <v>2.6897127315598408</v>
      </c>
      <c r="W236" s="95">
        <v>16.44862785838518</v>
      </c>
      <c r="X236" s="95">
        <v>2.4828117522090838</v>
      </c>
      <c r="Y236" s="95">
        <v>0.62070293805227095</v>
      </c>
      <c r="Z236" s="95">
        <v>100.14007400576638</v>
      </c>
      <c r="AA236" s="53"/>
      <c r="AB236" s="53"/>
      <c r="AC236" s="26">
        <f t="shared" si="4"/>
        <v>136546.19596540966</v>
      </c>
      <c r="AD236" s="26" t="str">
        <f>IFERROR($AC236*HDF_Limited_Col!AD236/HDF_Limited_Col!$AH236," ")</f>
        <v xml:space="preserve"> </v>
      </c>
      <c r="AE236" s="26" t="str">
        <f>IFERROR($AC236*HDF_Limited_Col!AE236/HDF_Limited_Col!$AH236," ")</f>
        <v xml:space="preserve"> </v>
      </c>
      <c r="AF236" s="26" t="str">
        <f>IFERROR($AC236*HDF_Limited_Col!AF236/HDF_Limited_Col!$AH236," ")</f>
        <v xml:space="preserve"> </v>
      </c>
      <c r="AG236" s="26" t="str">
        <f>IFERROR($AC236*HDF_Limited_Col!AG236/HDF_Limited_Col!$AH236," ")</f>
        <v xml:space="preserve"> </v>
      </c>
      <c r="AH236" s="26" t="str">
        <f>IFERROR($AC236*HDF_Limited_Col!AH236/HDF_Limited_Col!$AH236," ")</f>
        <v xml:space="preserve"> </v>
      </c>
      <c r="AI236" s="26" t="str">
        <f>IFERROR($AC236*HDF_Limited_Col!AI236/HDF_Limited_Col!$AH236," ")</f>
        <v xml:space="preserve"> </v>
      </c>
      <c r="AJ236" s="26" t="str">
        <f>IFERROR($AC236*HDF_Limited_Col!AJ236/HDF_Limited_Col!$AH236," ")</f>
        <v xml:space="preserve"> </v>
      </c>
      <c r="AK236" s="26" t="str">
        <f>IFERROR($AC236*HDF_Limited_Col!AK236/HDF_Limited_Col!$AH236," ")</f>
        <v xml:space="preserve"> </v>
      </c>
      <c r="AL236" s="26" t="str">
        <f>IFERROR($AC236*HDF_Limited_Col!AL236/HDF_Limited_Col!$AH236," ")</f>
        <v xml:space="preserve"> </v>
      </c>
      <c r="AM236" s="26" t="str">
        <f>IFERROR($AC236*HDF_Limited_Col!AM236/HDF_Limited_Col!$AH236," ")</f>
        <v xml:space="preserve"> </v>
      </c>
      <c r="AN236" s="26" t="str">
        <f>IFERROR($AC236*HDF_Limited_Col!AN236/HDF_Limited_Col!$AH236," ")</f>
        <v xml:space="preserve"> </v>
      </c>
      <c r="AO236" s="26" t="str">
        <f>IFERROR($AC236*HDF_Limited_Col!AO236/HDF_Limited_Col!$AH236," ")</f>
        <v xml:space="preserve"> </v>
      </c>
      <c r="AP236" s="26" t="str">
        <f>IFERROR($AC236*HDF_Limited_Col!AP236/HDF_Limited_Col!$AH236," ")</f>
        <v xml:space="preserve"> </v>
      </c>
      <c r="AQ236" s="26" t="str">
        <f>IFERROR($AC236*HDF_Limited_Col!AQ236/HDF_Limited_Col!$AH236," ")</f>
        <v xml:space="preserve"> </v>
      </c>
      <c r="AR236" s="26" t="str">
        <f>IFERROR($AC236*HDF_Limited_Col!AR236/HDF_Limited_Col!$AH236," ")</f>
        <v xml:space="preserve"> </v>
      </c>
      <c r="AS236" s="26" t="str">
        <f>IFERROR($AC236*HDF_Limited_Col!AS236/HDF_Limited_Col!$AH236," ")</f>
        <v xml:space="preserve"> </v>
      </c>
      <c r="AT236" s="26" t="str">
        <f>IFERROR($AC236*HDF_Limited_Col!AT236/HDF_Limited_Col!$AH236," ")</f>
        <v xml:space="preserve"> </v>
      </c>
      <c r="AU236" s="26" t="str">
        <f>IFERROR($AC236*HDF_Limited_Col!AU236/HDF_Limited_Col!$AH236," ")</f>
        <v xml:space="preserve"> </v>
      </c>
      <c r="AV236" s="26" t="str">
        <f>IFERROR($AC236*HDF_Limited_Col!AV236/HDF_Limited_Col!$AH236," ")</f>
        <v xml:space="preserve"> </v>
      </c>
      <c r="AW236" s="26" t="str">
        <f>IFERROR($AC236*HDF_Limited_Col!AW236/HDF_Limited_Col!$AH236," ")</f>
        <v xml:space="preserve"> </v>
      </c>
      <c r="AX236" s="26" t="str">
        <f>IFERROR($AC236*HDF_Limited_Col!AX236/HDF_Limited_Col!$AH236," ")</f>
        <v xml:space="preserve"> </v>
      </c>
      <c r="AY236" s="26" t="str">
        <f>IFERROR($AC236*HDF_Limited_Col!AY236/HDF_Limited_Col!$AH236," ")</f>
        <v xml:space="preserve"> </v>
      </c>
      <c r="AZ236" s="26" t="str">
        <f>IFERROR($AC236*HDF_Limited_Col!AZ236/HDF_Limited_Col!$AH236," ")</f>
        <v xml:space="preserve"> </v>
      </c>
      <c r="BA236" s="26" t="str">
        <f>IFERROR($AC236*HDF_Limited_Col!BA236/HDF_Limited_Col!$AH236," ")</f>
        <v xml:space="preserve"> </v>
      </c>
      <c r="BB236" s="26" t="str">
        <f>IFERROR($AC236*HDF_Limited_Col!BB236/HDF_Limited_Col!$AH236," ")</f>
        <v xml:space="preserve"> </v>
      </c>
      <c r="BC236" s="26" t="str">
        <f>IFERROR($AC236*HDF_Limited_Col!BC236/HDF_Limited_Col!$AH236," ")</f>
        <v xml:space="preserve"> </v>
      </c>
      <c r="BD236" s="26" t="str">
        <f>IFERROR($AC236*HDF_Limited_Col!BD236/HDF_Limited_Col!$AH236," ")</f>
        <v xml:space="preserve"> </v>
      </c>
      <c r="BE236" s="26" t="str">
        <f>IFERROR($AC236*HDF_Limited_Col!BE236/HDF_Limited_Col!$AH236," ")</f>
        <v xml:space="preserve"> </v>
      </c>
      <c r="BF236" s="26" t="str">
        <f>IFERROR($AC236*HDF_Limited_Col!BF236/HDF_Limited_Col!$AH236," ")</f>
        <v xml:space="preserve"> </v>
      </c>
      <c r="BG236" s="26" t="str">
        <f>IFERROR($AC236*HDF_Limited_Col!BG236/HDF_Limited_Col!$AH236," ")</f>
        <v xml:space="preserve"> </v>
      </c>
      <c r="BH236" s="26" t="str">
        <f>IFERROR($AC236*HDF_Limited_Col!BH236/HDF_Limited_Col!$AH236," ")</f>
        <v xml:space="preserve"> </v>
      </c>
      <c r="BI236" s="26" t="str">
        <f>IFERROR($AC236*HDF_Limited_Col!BI236/HDF_Limited_Col!$AH236," ")</f>
        <v xml:space="preserve"> </v>
      </c>
      <c r="BJ236" s="26" t="str">
        <f>IFERROR($AC236*HDF_Limited_Col!BJ236/HDF_Limited_Col!$AH236," ")</f>
        <v xml:space="preserve"> </v>
      </c>
      <c r="BK236" s="26" t="str">
        <f>IFERROR($AC236*HDF_Limited_Col!BK236/HDF_Limited_Col!$AH236," ")</f>
        <v xml:space="preserve"> </v>
      </c>
      <c r="BL236" s="26" t="str">
        <f>IFERROR($AC236*HDF_Limited_Col!BL236/HDF_Limited_Col!$AH236," ")</f>
        <v xml:space="preserve"> </v>
      </c>
      <c r="BM236" s="26" t="str">
        <f>IFERROR($AC236*HDF_Limited_Col!BM236/HDF_Limited_Col!$AH236," ")</f>
        <v xml:space="preserve"> </v>
      </c>
      <c r="BN236" s="26" t="str">
        <f>IFERROR($AC236*HDF_Limited_Col!BN236/HDF_Limited_Col!$AH236," ")</f>
        <v xml:space="preserve"> </v>
      </c>
      <c r="BO236" s="26" t="str">
        <f>IFERROR($AC236*HDF_Limited_Col!BO236/HDF_Limited_Col!$AH236," ")</f>
        <v xml:space="preserve"> </v>
      </c>
      <c r="BP236" s="26" t="str">
        <f>IFERROR($AC236*HDF_Limited_Col!BP236/HDF_Limited_Col!$AH236," ")</f>
        <v xml:space="preserve"> </v>
      </c>
      <c r="BQ236" s="26" t="str">
        <f>IFERROR($AC236*HDF_Limited_Col!BQ236/HDF_Limited_Col!$AH236," ")</f>
        <v xml:space="preserve"> </v>
      </c>
      <c r="BR236" s="26" t="str">
        <f>IFERROR($AC236*HDF_Limited_Col!BR236/HDF_Limited_Col!$AH236," ")</f>
        <v xml:space="preserve"> </v>
      </c>
      <c r="BS236" s="26" t="str">
        <f>IFERROR($AC236*HDF_Limited_Col!BS236/HDF_Limited_Col!$AH236," ")</f>
        <v xml:space="preserve"> </v>
      </c>
      <c r="BT236" s="26" t="str">
        <f>IFERROR($AC236*HDF_Limited_Col!BT236/HDF_Limited_Col!$AH236," ")</f>
        <v xml:space="preserve"> </v>
      </c>
      <c r="BU236" s="26" t="str">
        <f>IFERROR($AC236*HDF_Limited_Col!BU236/HDF_Limited_Col!$AH236," ")</f>
        <v xml:space="preserve"> </v>
      </c>
      <c r="BV236" s="26" t="str">
        <f>IFERROR($AC236*HDF_Limited_Col!BV236/HDF_Limited_Col!$AH236," ")</f>
        <v xml:space="preserve"> </v>
      </c>
      <c r="BW236" s="26" t="str">
        <f>IFERROR($AC236*HDF_Limited_Col!BW236/HDF_Limited_Col!$AH236," ")</f>
        <v xml:space="preserve"> </v>
      </c>
      <c r="BX236" s="26" t="str">
        <f>IFERROR($AC236*HDF_Limited_Col!BX236/HDF_Limited_Col!$AH236," ")</f>
        <v xml:space="preserve"> </v>
      </c>
      <c r="BY236" s="26" t="str">
        <f>IFERROR($AC236*HDF_Limited_Col!BY236/HDF_Limited_Col!$AH236," ")</f>
        <v xml:space="preserve"> </v>
      </c>
      <c r="BZ236" s="26" t="str">
        <f>IFERROR($AC236*HDF_Limited_Col!BZ236/HDF_Limited_Col!$AH236," ")</f>
        <v xml:space="preserve"> </v>
      </c>
      <c r="CA236" s="26" t="str">
        <f>IFERROR($AC236*HDF_Limited_Col!CA236/HDF_Limited_Col!$AH236," ")</f>
        <v xml:space="preserve"> </v>
      </c>
      <c r="CB236" s="26" t="str">
        <f>IFERROR($AC236*HDF_Limited_Col!CB236/HDF_Limited_Col!$AH236," ")</f>
        <v xml:space="preserve"> </v>
      </c>
      <c r="CC236" s="26" t="str">
        <f>IFERROR($AC236*HDF_Limited_Col!CC236/HDF_Limited_Col!$AH236," ")</f>
        <v xml:space="preserve"> </v>
      </c>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row>
    <row r="237" spans="1:109">
      <c r="A237" s="26" t="s">
        <v>1656</v>
      </c>
      <c r="B237" s="53" t="s">
        <v>24</v>
      </c>
      <c r="C237" s="156" t="s">
        <v>541</v>
      </c>
      <c r="D237" s="53" t="s">
        <v>1724</v>
      </c>
      <c r="E237" s="53" t="s">
        <v>237</v>
      </c>
      <c r="F237" s="53" t="s">
        <v>849</v>
      </c>
      <c r="G237" s="53" t="s">
        <v>595</v>
      </c>
      <c r="H237" s="52">
        <v>364</v>
      </c>
      <c r="I237" s="53" t="s">
        <v>1148</v>
      </c>
      <c r="J237" s="53" t="s">
        <v>635</v>
      </c>
      <c r="K237" s="53" t="s">
        <v>128</v>
      </c>
      <c r="L237" s="53"/>
      <c r="M237" s="53" t="s">
        <v>1657</v>
      </c>
      <c r="N237" s="53">
        <v>49</v>
      </c>
      <c r="O237" s="95">
        <v>50.797883117090286</v>
      </c>
      <c r="P237" s="95">
        <v>1.3926835805277213</v>
      </c>
      <c r="Q237" s="95">
        <v>18.836295909295803</v>
      </c>
      <c r="R237" s="95">
        <v>3.0659077384279336</v>
      </c>
      <c r="S237" s="95">
        <v>1.1321816158246942</v>
      </c>
      <c r="T237" s="95">
        <v>2.4547300520092934</v>
      </c>
      <c r="U237" s="95">
        <v>0.34065641538088154</v>
      </c>
      <c r="V237" s="95">
        <v>1.1822781474983535</v>
      </c>
      <c r="W237" s="95">
        <v>15.630117882181622</v>
      </c>
      <c r="X237" s="95">
        <v>4.4686106252903874</v>
      </c>
      <c r="Y237" s="95">
        <v>0.90173757012586286</v>
      </c>
      <c r="Z237" s="95">
        <v>100.20308265365283</v>
      </c>
      <c r="AA237" s="53"/>
      <c r="AB237" s="26"/>
      <c r="AC237" s="26">
        <f t="shared" si="4"/>
        <v>129751.43931016937</v>
      </c>
      <c r="AD237" s="26" t="str">
        <f>IFERROR($AC237*HDF_Limited_Col!AD237/HDF_Limited_Col!$AH237," ")</f>
        <v xml:space="preserve"> </v>
      </c>
      <c r="AE237" s="26" t="str">
        <f>IFERROR($AC237*HDF_Limited_Col!AE237/HDF_Limited_Col!$AH237," ")</f>
        <v xml:space="preserve"> </v>
      </c>
      <c r="AF237" s="26" t="str">
        <f>IFERROR($AC237*HDF_Limited_Col!AF237/HDF_Limited_Col!$AH237," ")</f>
        <v xml:space="preserve"> </v>
      </c>
      <c r="AG237" s="26" t="str">
        <f>IFERROR($AC237*HDF_Limited_Col!AG237/HDF_Limited_Col!$AH237," ")</f>
        <v xml:space="preserve"> </v>
      </c>
      <c r="AH237" s="26" t="str">
        <f>IFERROR($AC237*HDF_Limited_Col!AH237/HDF_Limited_Col!$AH237," ")</f>
        <v xml:space="preserve"> </v>
      </c>
      <c r="AI237" s="26" t="str">
        <f>IFERROR($AC237*HDF_Limited_Col!AI237/HDF_Limited_Col!$AH237," ")</f>
        <v xml:space="preserve"> </v>
      </c>
      <c r="AJ237" s="26" t="str">
        <f>IFERROR($AC237*HDF_Limited_Col!AJ237/HDF_Limited_Col!$AH237," ")</f>
        <v xml:space="preserve"> </v>
      </c>
      <c r="AK237" s="26" t="str">
        <f>IFERROR($AC237*HDF_Limited_Col!AK237/HDF_Limited_Col!$AH237," ")</f>
        <v xml:space="preserve"> </v>
      </c>
      <c r="AL237" s="26" t="str">
        <f>IFERROR($AC237*HDF_Limited_Col!AL237/HDF_Limited_Col!$AH237," ")</f>
        <v xml:space="preserve"> </v>
      </c>
      <c r="AM237" s="26" t="str">
        <f>IFERROR($AC237*HDF_Limited_Col!AM237/HDF_Limited_Col!$AH237," ")</f>
        <v xml:space="preserve"> </v>
      </c>
      <c r="AN237" s="26" t="str">
        <f>IFERROR($AC237*HDF_Limited_Col!AN237/HDF_Limited_Col!$AH237," ")</f>
        <v xml:space="preserve"> </v>
      </c>
      <c r="AO237" s="26" t="str">
        <f>IFERROR($AC237*HDF_Limited_Col!AO237/HDF_Limited_Col!$AH237," ")</f>
        <v xml:space="preserve"> </v>
      </c>
      <c r="AP237" s="26" t="str">
        <f>IFERROR($AC237*HDF_Limited_Col!AP237/HDF_Limited_Col!$AH237," ")</f>
        <v xml:space="preserve"> </v>
      </c>
      <c r="AQ237" s="26" t="str">
        <f>IFERROR($AC237*HDF_Limited_Col!AQ237/HDF_Limited_Col!$AH237," ")</f>
        <v xml:space="preserve"> </v>
      </c>
      <c r="AR237" s="26" t="str">
        <f>IFERROR($AC237*HDF_Limited_Col!AR237/HDF_Limited_Col!$AH237," ")</f>
        <v xml:space="preserve"> </v>
      </c>
      <c r="AS237" s="26" t="str">
        <f>IFERROR($AC237*HDF_Limited_Col!AS237/HDF_Limited_Col!$AH237," ")</f>
        <v xml:space="preserve"> </v>
      </c>
      <c r="AT237" s="26" t="str">
        <f>IFERROR($AC237*HDF_Limited_Col!AT237/HDF_Limited_Col!$AH237," ")</f>
        <v xml:space="preserve"> </v>
      </c>
      <c r="AU237" s="26" t="str">
        <f>IFERROR($AC237*HDF_Limited_Col!AU237/HDF_Limited_Col!$AH237," ")</f>
        <v xml:space="preserve"> </v>
      </c>
      <c r="AV237" s="26" t="str">
        <f>IFERROR($AC237*HDF_Limited_Col!AV237/HDF_Limited_Col!$AH237," ")</f>
        <v xml:space="preserve"> </v>
      </c>
      <c r="AW237" s="26" t="str">
        <f>IFERROR($AC237*HDF_Limited_Col!AW237/HDF_Limited_Col!$AH237," ")</f>
        <v xml:space="preserve"> </v>
      </c>
      <c r="AX237" s="26" t="str">
        <f>IFERROR($AC237*HDF_Limited_Col!AX237/HDF_Limited_Col!$AH237," ")</f>
        <v xml:space="preserve"> </v>
      </c>
      <c r="AY237" s="26" t="str">
        <f>IFERROR($AC237*HDF_Limited_Col!AY237/HDF_Limited_Col!$AH237," ")</f>
        <v xml:space="preserve"> </v>
      </c>
      <c r="AZ237" s="26" t="str">
        <f>IFERROR($AC237*HDF_Limited_Col!AZ237/HDF_Limited_Col!$AH237," ")</f>
        <v xml:space="preserve"> </v>
      </c>
      <c r="BA237" s="26" t="str">
        <f>IFERROR($AC237*HDF_Limited_Col!BA237/HDF_Limited_Col!$AH237," ")</f>
        <v xml:space="preserve"> </v>
      </c>
      <c r="BB237" s="26" t="str">
        <f>IFERROR($AC237*HDF_Limited_Col!BB237/HDF_Limited_Col!$AH237," ")</f>
        <v xml:space="preserve"> </v>
      </c>
      <c r="BC237" s="26" t="str">
        <f>IFERROR($AC237*HDF_Limited_Col!BC237/HDF_Limited_Col!$AH237," ")</f>
        <v xml:space="preserve"> </v>
      </c>
      <c r="BD237" s="26" t="str">
        <f>IFERROR($AC237*HDF_Limited_Col!BD237/HDF_Limited_Col!$AH237," ")</f>
        <v xml:space="preserve"> </v>
      </c>
      <c r="BE237" s="26" t="str">
        <f>IFERROR($AC237*HDF_Limited_Col!BE237/HDF_Limited_Col!$AH237," ")</f>
        <v xml:space="preserve"> </v>
      </c>
      <c r="BF237" s="26" t="str">
        <f>IFERROR($AC237*HDF_Limited_Col!BF237/HDF_Limited_Col!$AH237," ")</f>
        <v xml:space="preserve"> </v>
      </c>
      <c r="BG237" s="26" t="str">
        <f>IFERROR($AC237*HDF_Limited_Col!BG237/HDF_Limited_Col!$AH237," ")</f>
        <v xml:space="preserve"> </v>
      </c>
      <c r="BH237" s="26" t="str">
        <f>IFERROR($AC237*HDF_Limited_Col!BH237/HDF_Limited_Col!$AH237," ")</f>
        <v xml:space="preserve"> </v>
      </c>
      <c r="BI237" s="26" t="str">
        <f>IFERROR($AC237*HDF_Limited_Col!BI237/HDF_Limited_Col!$AH237," ")</f>
        <v xml:space="preserve"> </v>
      </c>
      <c r="BJ237" s="26" t="str">
        <f>IFERROR($AC237*HDF_Limited_Col!BJ237/HDF_Limited_Col!$AH237," ")</f>
        <v xml:space="preserve"> </v>
      </c>
      <c r="BK237" s="26" t="str">
        <f>IFERROR($AC237*HDF_Limited_Col!BK237/HDF_Limited_Col!$AH237," ")</f>
        <v xml:space="preserve"> </v>
      </c>
      <c r="BL237" s="26" t="str">
        <f>IFERROR($AC237*HDF_Limited_Col!BL237/HDF_Limited_Col!$AH237," ")</f>
        <v xml:space="preserve"> </v>
      </c>
      <c r="BM237" s="26" t="str">
        <f>IFERROR($AC237*HDF_Limited_Col!BM237/HDF_Limited_Col!$AH237," ")</f>
        <v xml:space="preserve"> </v>
      </c>
      <c r="BN237" s="26" t="str">
        <f>IFERROR($AC237*HDF_Limited_Col!BN237/HDF_Limited_Col!$AH237," ")</f>
        <v xml:space="preserve"> </v>
      </c>
      <c r="BO237" s="26" t="str">
        <f>IFERROR($AC237*HDF_Limited_Col!BO237/HDF_Limited_Col!$AH237," ")</f>
        <v xml:space="preserve"> </v>
      </c>
      <c r="BP237" s="26" t="str">
        <f>IFERROR($AC237*HDF_Limited_Col!BP237/HDF_Limited_Col!$AH237," ")</f>
        <v xml:space="preserve"> </v>
      </c>
      <c r="BQ237" s="26" t="str">
        <f>IFERROR($AC237*HDF_Limited_Col!BQ237/HDF_Limited_Col!$AH237," ")</f>
        <v xml:space="preserve"> </v>
      </c>
      <c r="BR237" s="26" t="str">
        <f>IFERROR($AC237*HDF_Limited_Col!BR237/HDF_Limited_Col!$AH237," ")</f>
        <v xml:space="preserve"> </v>
      </c>
      <c r="BS237" s="26" t="str">
        <f>IFERROR($AC237*HDF_Limited_Col!BS237/HDF_Limited_Col!$AH237," ")</f>
        <v xml:space="preserve"> </v>
      </c>
      <c r="BT237" s="26" t="str">
        <f>IFERROR($AC237*HDF_Limited_Col!BT237/HDF_Limited_Col!$AH237," ")</f>
        <v xml:space="preserve"> </v>
      </c>
      <c r="BU237" s="26" t="str">
        <f>IFERROR($AC237*HDF_Limited_Col!BU237/HDF_Limited_Col!$AH237," ")</f>
        <v xml:space="preserve"> </v>
      </c>
      <c r="BV237" s="26" t="str">
        <f>IFERROR($AC237*HDF_Limited_Col!BV237/HDF_Limited_Col!$AH237," ")</f>
        <v xml:space="preserve"> </v>
      </c>
      <c r="BW237" s="26" t="str">
        <f>IFERROR($AC237*HDF_Limited_Col!BW237/HDF_Limited_Col!$AH237," ")</f>
        <v xml:space="preserve"> </v>
      </c>
      <c r="BX237" s="26" t="str">
        <f>IFERROR($AC237*HDF_Limited_Col!BX237/HDF_Limited_Col!$AH237," ")</f>
        <v xml:space="preserve"> </v>
      </c>
      <c r="BY237" s="26" t="str">
        <f>IFERROR($AC237*HDF_Limited_Col!BY237/HDF_Limited_Col!$AH237," ")</f>
        <v xml:space="preserve"> </v>
      </c>
      <c r="BZ237" s="26" t="str">
        <f>IFERROR($AC237*HDF_Limited_Col!BZ237/HDF_Limited_Col!$AH237," ")</f>
        <v xml:space="preserve"> </v>
      </c>
      <c r="CA237" s="26" t="str">
        <f>IFERROR($AC237*HDF_Limited_Col!CA237/HDF_Limited_Col!$AH237," ")</f>
        <v xml:space="preserve"> </v>
      </c>
      <c r="CB237" s="26" t="str">
        <f>IFERROR($AC237*HDF_Limited_Col!CB237/HDF_Limited_Col!$AH237," ")</f>
        <v xml:space="preserve"> </v>
      </c>
      <c r="CC237" s="26" t="str">
        <f>IFERROR($AC237*HDF_Limited_Col!CC237/HDF_Limited_Col!$AH237," ")</f>
        <v xml:space="preserve"> </v>
      </c>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row>
    <row r="238" spans="1:109">
      <c r="A238" s="26" t="s">
        <v>1656</v>
      </c>
      <c r="B238" s="53" t="s">
        <v>24</v>
      </c>
      <c r="C238" s="156" t="s">
        <v>541</v>
      </c>
      <c r="D238" s="53" t="s">
        <v>1724</v>
      </c>
      <c r="E238" s="53" t="s">
        <v>237</v>
      </c>
      <c r="F238" s="53" t="s">
        <v>849</v>
      </c>
      <c r="G238" s="53" t="s">
        <v>595</v>
      </c>
      <c r="H238" s="52">
        <v>364</v>
      </c>
      <c r="I238" s="53" t="s">
        <v>1148</v>
      </c>
      <c r="J238" s="53" t="s">
        <v>635</v>
      </c>
      <c r="K238" s="53" t="s">
        <v>128</v>
      </c>
      <c r="L238" s="53"/>
      <c r="M238" s="53" t="s">
        <v>1659</v>
      </c>
      <c r="N238" s="53">
        <v>30</v>
      </c>
      <c r="O238" s="95">
        <v>46.553442245170288</v>
      </c>
      <c r="P238" s="95">
        <v>1.7156548758457153</v>
      </c>
      <c r="Q238" s="95">
        <v>13.745305145664501</v>
      </c>
      <c r="R238" s="95">
        <v>3.1202845987603363</v>
      </c>
      <c r="S238" s="95">
        <v>1.073538431084746</v>
      </c>
      <c r="T238" s="95">
        <v>1.615324181351814</v>
      </c>
      <c r="U238" s="95">
        <v>0.86284397264755275</v>
      </c>
      <c r="V238" s="95">
        <v>1.8260186397890068</v>
      </c>
      <c r="W238" s="95">
        <v>22.474075566633932</v>
      </c>
      <c r="X238" s="95">
        <v>5.8392464195450655</v>
      </c>
      <c r="Y238" s="95">
        <v>1.5149934868579122</v>
      </c>
      <c r="Z238" s="95">
        <v>100.34072756335087</v>
      </c>
      <c r="AA238" s="53"/>
      <c r="AB238" s="26"/>
      <c r="AC238" s="26">
        <f t="shared" si="4"/>
        <v>186565.68516738829</v>
      </c>
      <c r="AD238" s="26" t="str">
        <f>IFERROR($AC238*HDF_Limited_Col!AD238/HDF_Limited_Col!$AH238," ")</f>
        <v xml:space="preserve"> </v>
      </c>
      <c r="AE238" s="26" t="str">
        <f>IFERROR($AC238*HDF_Limited_Col!AE238/HDF_Limited_Col!$AH238," ")</f>
        <v xml:space="preserve"> </v>
      </c>
      <c r="AF238" s="26" t="str">
        <f>IFERROR($AC238*HDF_Limited_Col!AF238/HDF_Limited_Col!$AH238," ")</f>
        <v xml:space="preserve"> </v>
      </c>
      <c r="AG238" s="26" t="str">
        <f>IFERROR($AC238*HDF_Limited_Col!AG238/HDF_Limited_Col!$AH238," ")</f>
        <v xml:space="preserve"> </v>
      </c>
      <c r="AH238" s="26" t="str">
        <f>IFERROR($AC238*HDF_Limited_Col!AH238/HDF_Limited_Col!$AH238," ")</f>
        <v xml:space="preserve"> </v>
      </c>
      <c r="AI238" s="26" t="str">
        <f>IFERROR($AC238*HDF_Limited_Col!AI238/HDF_Limited_Col!$AH238," ")</f>
        <v xml:space="preserve"> </v>
      </c>
      <c r="AJ238" s="26" t="str">
        <f>IFERROR($AC238*HDF_Limited_Col!AJ238/HDF_Limited_Col!$AH238," ")</f>
        <v xml:space="preserve"> </v>
      </c>
      <c r="AK238" s="26" t="str">
        <f>IFERROR($AC238*HDF_Limited_Col!AK238/HDF_Limited_Col!$AH238," ")</f>
        <v xml:space="preserve"> </v>
      </c>
      <c r="AL238" s="26" t="str">
        <f>IFERROR($AC238*HDF_Limited_Col!AL238/HDF_Limited_Col!$AH238," ")</f>
        <v xml:space="preserve"> </v>
      </c>
      <c r="AM238" s="26" t="str">
        <f>IFERROR($AC238*HDF_Limited_Col!AM238/HDF_Limited_Col!$AH238," ")</f>
        <v xml:space="preserve"> </v>
      </c>
      <c r="AN238" s="26" t="str">
        <f>IFERROR($AC238*HDF_Limited_Col!AN238/HDF_Limited_Col!$AH238," ")</f>
        <v xml:space="preserve"> </v>
      </c>
      <c r="AO238" s="26" t="str">
        <f>IFERROR($AC238*HDF_Limited_Col!AO238/HDF_Limited_Col!$AH238," ")</f>
        <v xml:space="preserve"> </v>
      </c>
      <c r="AP238" s="26" t="str">
        <f>IFERROR($AC238*HDF_Limited_Col!AP238/HDF_Limited_Col!$AH238," ")</f>
        <v xml:space="preserve"> </v>
      </c>
      <c r="AQ238" s="26" t="str">
        <f>IFERROR($AC238*HDF_Limited_Col!AQ238/HDF_Limited_Col!$AH238," ")</f>
        <v xml:space="preserve"> </v>
      </c>
      <c r="AR238" s="26" t="str">
        <f>IFERROR($AC238*HDF_Limited_Col!AR238/HDF_Limited_Col!$AH238," ")</f>
        <v xml:space="preserve"> </v>
      </c>
      <c r="AS238" s="26" t="str">
        <f>IFERROR($AC238*HDF_Limited_Col!AS238/HDF_Limited_Col!$AH238," ")</f>
        <v xml:space="preserve"> </v>
      </c>
      <c r="AT238" s="26" t="str">
        <f>IFERROR($AC238*HDF_Limited_Col!AT238/HDF_Limited_Col!$AH238," ")</f>
        <v xml:space="preserve"> </v>
      </c>
      <c r="AU238" s="26" t="str">
        <f>IFERROR($AC238*HDF_Limited_Col!AU238/HDF_Limited_Col!$AH238," ")</f>
        <v xml:space="preserve"> </v>
      </c>
      <c r="AV238" s="26" t="str">
        <f>IFERROR($AC238*HDF_Limited_Col!AV238/HDF_Limited_Col!$AH238," ")</f>
        <v xml:space="preserve"> </v>
      </c>
      <c r="AW238" s="26" t="str">
        <f>IFERROR($AC238*HDF_Limited_Col!AW238/HDF_Limited_Col!$AH238," ")</f>
        <v xml:space="preserve"> </v>
      </c>
      <c r="AX238" s="26" t="str">
        <f>IFERROR($AC238*HDF_Limited_Col!AX238/HDF_Limited_Col!$AH238," ")</f>
        <v xml:space="preserve"> </v>
      </c>
      <c r="AY238" s="26" t="str">
        <f>IFERROR($AC238*HDF_Limited_Col!AY238/HDF_Limited_Col!$AH238," ")</f>
        <v xml:space="preserve"> </v>
      </c>
      <c r="AZ238" s="26" t="str">
        <f>IFERROR($AC238*HDF_Limited_Col!AZ238/HDF_Limited_Col!$AH238," ")</f>
        <v xml:space="preserve"> </v>
      </c>
      <c r="BA238" s="26" t="str">
        <f>IFERROR($AC238*HDF_Limited_Col!BA238/HDF_Limited_Col!$AH238," ")</f>
        <v xml:space="preserve"> </v>
      </c>
      <c r="BB238" s="26" t="str">
        <f>IFERROR($AC238*HDF_Limited_Col!BB238/HDF_Limited_Col!$AH238," ")</f>
        <v xml:space="preserve"> </v>
      </c>
      <c r="BC238" s="26" t="str">
        <f>IFERROR($AC238*HDF_Limited_Col!BC238/HDF_Limited_Col!$AH238," ")</f>
        <v xml:space="preserve"> </v>
      </c>
      <c r="BD238" s="26" t="str">
        <f>IFERROR($AC238*HDF_Limited_Col!BD238/HDF_Limited_Col!$AH238," ")</f>
        <v xml:space="preserve"> </v>
      </c>
      <c r="BE238" s="26" t="str">
        <f>IFERROR($AC238*HDF_Limited_Col!BE238/HDF_Limited_Col!$AH238," ")</f>
        <v xml:space="preserve"> </v>
      </c>
      <c r="BF238" s="26" t="str">
        <f>IFERROR($AC238*HDF_Limited_Col!BF238/HDF_Limited_Col!$AH238," ")</f>
        <v xml:space="preserve"> </v>
      </c>
      <c r="BG238" s="26" t="str">
        <f>IFERROR($AC238*HDF_Limited_Col!BG238/HDF_Limited_Col!$AH238," ")</f>
        <v xml:space="preserve"> </v>
      </c>
      <c r="BH238" s="26" t="str">
        <f>IFERROR($AC238*HDF_Limited_Col!BH238/HDF_Limited_Col!$AH238," ")</f>
        <v xml:space="preserve"> </v>
      </c>
      <c r="BI238" s="26" t="str">
        <f>IFERROR($AC238*HDF_Limited_Col!BI238/HDF_Limited_Col!$AH238," ")</f>
        <v xml:space="preserve"> </v>
      </c>
      <c r="BJ238" s="26" t="str">
        <f>IFERROR($AC238*HDF_Limited_Col!BJ238/HDF_Limited_Col!$AH238," ")</f>
        <v xml:space="preserve"> </v>
      </c>
      <c r="BK238" s="26" t="str">
        <f>IFERROR($AC238*HDF_Limited_Col!BK238/HDF_Limited_Col!$AH238," ")</f>
        <v xml:space="preserve"> </v>
      </c>
      <c r="BL238" s="26" t="str">
        <f>IFERROR($AC238*HDF_Limited_Col!BL238/HDF_Limited_Col!$AH238," ")</f>
        <v xml:space="preserve"> </v>
      </c>
      <c r="BM238" s="26" t="str">
        <f>IFERROR($AC238*HDF_Limited_Col!BM238/HDF_Limited_Col!$AH238," ")</f>
        <v xml:space="preserve"> </v>
      </c>
      <c r="BN238" s="26" t="str">
        <f>IFERROR($AC238*HDF_Limited_Col!BN238/HDF_Limited_Col!$AH238," ")</f>
        <v xml:space="preserve"> </v>
      </c>
      <c r="BO238" s="26" t="str">
        <f>IFERROR($AC238*HDF_Limited_Col!BO238/HDF_Limited_Col!$AH238," ")</f>
        <v xml:space="preserve"> </v>
      </c>
      <c r="BP238" s="26" t="str">
        <f>IFERROR($AC238*HDF_Limited_Col!BP238/HDF_Limited_Col!$AH238," ")</f>
        <v xml:space="preserve"> </v>
      </c>
      <c r="BQ238" s="26" t="str">
        <f>IFERROR($AC238*HDF_Limited_Col!BQ238/HDF_Limited_Col!$AH238," ")</f>
        <v xml:space="preserve"> </v>
      </c>
      <c r="BR238" s="26" t="str">
        <f>IFERROR($AC238*HDF_Limited_Col!BR238/HDF_Limited_Col!$AH238," ")</f>
        <v xml:space="preserve"> </v>
      </c>
      <c r="BS238" s="26" t="str">
        <f>IFERROR($AC238*HDF_Limited_Col!BS238/HDF_Limited_Col!$AH238," ")</f>
        <v xml:space="preserve"> </v>
      </c>
      <c r="BT238" s="26" t="str">
        <f>IFERROR($AC238*HDF_Limited_Col!BT238/HDF_Limited_Col!$AH238," ")</f>
        <v xml:space="preserve"> </v>
      </c>
      <c r="BU238" s="26" t="str">
        <f>IFERROR($AC238*HDF_Limited_Col!BU238/HDF_Limited_Col!$AH238," ")</f>
        <v xml:space="preserve"> </v>
      </c>
      <c r="BV238" s="26" t="str">
        <f>IFERROR($AC238*HDF_Limited_Col!BV238/HDF_Limited_Col!$AH238," ")</f>
        <v xml:space="preserve"> </v>
      </c>
      <c r="BW238" s="26" t="str">
        <f>IFERROR($AC238*HDF_Limited_Col!BW238/HDF_Limited_Col!$AH238," ")</f>
        <v xml:space="preserve"> </v>
      </c>
      <c r="BX238" s="26" t="str">
        <f>IFERROR($AC238*HDF_Limited_Col!BX238/HDF_Limited_Col!$AH238," ")</f>
        <v xml:space="preserve"> </v>
      </c>
      <c r="BY238" s="26" t="str">
        <f>IFERROR($AC238*HDF_Limited_Col!BY238/HDF_Limited_Col!$AH238," ")</f>
        <v xml:space="preserve"> </v>
      </c>
      <c r="BZ238" s="26" t="str">
        <f>IFERROR($AC238*HDF_Limited_Col!BZ238/HDF_Limited_Col!$AH238," ")</f>
        <v xml:space="preserve"> </v>
      </c>
      <c r="CA238" s="26" t="str">
        <f>IFERROR($AC238*HDF_Limited_Col!CA238/HDF_Limited_Col!$AH238," ")</f>
        <v xml:space="preserve"> </v>
      </c>
      <c r="CB238" s="26" t="str">
        <f>IFERROR($AC238*HDF_Limited_Col!CB238/HDF_Limited_Col!$AH238," ")</f>
        <v xml:space="preserve"> </v>
      </c>
      <c r="CC238" s="26" t="str">
        <f>IFERROR($AC238*HDF_Limited_Col!CC238/HDF_Limited_Col!$AH238," ")</f>
        <v xml:space="preserve"> </v>
      </c>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row>
    <row r="239" spans="1:109">
      <c r="A239" s="26" t="s">
        <v>1656</v>
      </c>
      <c r="B239" s="53" t="s">
        <v>24</v>
      </c>
      <c r="C239" s="156" t="s">
        <v>541</v>
      </c>
      <c r="D239" s="53" t="s">
        <v>1724</v>
      </c>
      <c r="E239" s="53" t="s">
        <v>237</v>
      </c>
      <c r="F239" s="53" t="s">
        <v>849</v>
      </c>
      <c r="G239" s="53" t="s">
        <v>595</v>
      </c>
      <c r="H239" s="52">
        <v>364</v>
      </c>
      <c r="I239" s="53" t="s">
        <v>1148</v>
      </c>
      <c r="J239" s="53" t="s">
        <v>635</v>
      </c>
      <c r="K239" s="53" t="s">
        <v>128</v>
      </c>
      <c r="L239" s="53"/>
      <c r="M239" s="53" t="s">
        <v>1660</v>
      </c>
      <c r="N239" s="53">
        <v>34</v>
      </c>
      <c r="O239" s="95">
        <v>50.536670369064666</v>
      </c>
      <c r="P239" s="95">
        <v>2.7119678554488162</v>
      </c>
      <c r="Q239" s="95">
        <v>17.512707553636265</v>
      </c>
      <c r="R239" s="95">
        <v>5.6941317702965923</v>
      </c>
      <c r="S239" s="95">
        <v>2.3016701356207663</v>
      </c>
      <c r="T239" s="95">
        <v>1.0407551917589553</v>
      </c>
      <c r="U239" s="95">
        <v>0</v>
      </c>
      <c r="V239" s="95">
        <v>0.88063900841142384</v>
      </c>
      <c r="W239" s="95">
        <v>16.71212663689861</v>
      </c>
      <c r="X239" s="95">
        <v>2.5318371491828433</v>
      </c>
      <c r="Y239" s="95">
        <v>0.10007261459220725</v>
      </c>
      <c r="Z239" s="95">
        <v>100.02257828491115</v>
      </c>
      <c r="AA239" s="53"/>
      <c r="AB239" s="26"/>
      <c r="AC239" s="26">
        <f t="shared" si="4"/>
        <v>138733.59762330537</v>
      </c>
      <c r="AD239" s="26" t="str">
        <f>IFERROR($AC239*HDF_Limited_Col!AD239/HDF_Limited_Col!$AH239," ")</f>
        <v xml:space="preserve"> </v>
      </c>
      <c r="AE239" s="26" t="str">
        <f>IFERROR($AC239*HDF_Limited_Col!AE239/HDF_Limited_Col!$AH239," ")</f>
        <v xml:space="preserve"> </v>
      </c>
      <c r="AF239" s="26" t="str">
        <f>IFERROR($AC239*HDF_Limited_Col!AF239/HDF_Limited_Col!$AH239," ")</f>
        <v xml:space="preserve"> </v>
      </c>
      <c r="AG239" s="26" t="str">
        <f>IFERROR($AC239*HDF_Limited_Col!AG239/HDF_Limited_Col!$AH239," ")</f>
        <v xml:space="preserve"> </v>
      </c>
      <c r="AH239" s="26" t="str">
        <f>IFERROR($AC239*HDF_Limited_Col!AH239/HDF_Limited_Col!$AH239," ")</f>
        <v xml:space="preserve"> </v>
      </c>
      <c r="AI239" s="26" t="str">
        <f>IFERROR($AC239*HDF_Limited_Col!AI239/HDF_Limited_Col!$AH239," ")</f>
        <v xml:space="preserve"> </v>
      </c>
      <c r="AJ239" s="26" t="str">
        <f>IFERROR($AC239*HDF_Limited_Col!AJ239/HDF_Limited_Col!$AH239," ")</f>
        <v xml:space="preserve"> </v>
      </c>
      <c r="AK239" s="26" t="str">
        <f>IFERROR($AC239*HDF_Limited_Col!AK239/HDF_Limited_Col!$AH239," ")</f>
        <v xml:space="preserve"> </v>
      </c>
      <c r="AL239" s="26" t="str">
        <f>IFERROR($AC239*HDF_Limited_Col!AL239/HDF_Limited_Col!$AH239," ")</f>
        <v xml:space="preserve"> </v>
      </c>
      <c r="AM239" s="26" t="str">
        <f>IFERROR($AC239*HDF_Limited_Col!AM239/HDF_Limited_Col!$AH239," ")</f>
        <v xml:space="preserve"> </v>
      </c>
      <c r="AN239" s="26" t="str">
        <f>IFERROR($AC239*HDF_Limited_Col!AN239/HDF_Limited_Col!$AH239," ")</f>
        <v xml:space="preserve"> </v>
      </c>
      <c r="AO239" s="26" t="str">
        <f>IFERROR($AC239*HDF_Limited_Col!AO239/HDF_Limited_Col!$AH239," ")</f>
        <v xml:space="preserve"> </v>
      </c>
      <c r="AP239" s="26" t="str">
        <f>IFERROR($AC239*HDF_Limited_Col!AP239/HDF_Limited_Col!$AH239," ")</f>
        <v xml:space="preserve"> </v>
      </c>
      <c r="AQ239" s="26" t="str">
        <f>IFERROR($AC239*HDF_Limited_Col!AQ239/HDF_Limited_Col!$AH239," ")</f>
        <v xml:space="preserve"> </v>
      </c>
      <c r="AR239" s="26" t="str">
        <f>IFERROR($AC239*HDF_Limited_Col!AR239/HDF_Limited_Col!$AH239," ")</f>
        <v xml:space="preserve"> </v>
      </c>
      <c r="AS239" s="26" t="str">
        <f>IFERROR($AC239*HDF_Limited_Col!AS239/HDF_Limited_Col!$AH239," ")</f>
        <v xml:space="preserve"> </v>
      </c>
      <c r="AT239" s="26" t="str">
        <f>IFERROR($AC239*HDF_Limited_Col!AT239/HDF_Limited_Col!$AH239," ")</f>
        <v xml:space="preserve"> </v>
      </c>
      <c r="AU239" s="26" t="str">
        <f>IFERROR($AC239*HDF_Limited_Col!AU239/HDF_Limited_Col!$AH239," ")</f>
        <v xml:space="preserve"> </v>
      </c>
      <c r="AV239" s="26" t="str">
        <f>IFERROR($AC239*HDF_Limited_Col!AV239/HDF_Limited_Col!$AH239," ")</f>
        <v xml:space="preserve"> </v>
      </c>
      <c r="AW239" s="26" t="str">
        <f>IFERROR($AC239*HDF_Limited_Col!AW239/HDF_Limited_Col!$AH239," ")</f>
        <v xml:space="preserve"> </v>
      </c>
      <c r="AX239" s="26" t="str">
        <f>IFERROR($AC239*HDF_Limited_Col!AX239/HDF_Limited_Col!$AH239," ")</f>
        <v xml:space="preserve"> </v>
      </c>
      <c r="AY239" s="26" t="str">
        <f>IFERROR($AC239*HDF_Limited_Col!AY239/HDF_Limited_Col!$AH239," ")</f>
        <v xml:space="preserve"> </v>
      </c>
      <c r="AZ239" s="26" t="str">
        <f>IFERROR($AC239*HDF_Limited_Col!AZ239/HDF_Limited_Col!$AH239," ")</f>
        <v xml:space="preserve"> </v>
      </c>
      <c r="BA239" s="26" t="str">
        <f>IFERROR($AC239*HDF_Limited_Col!BA239/HDF_Limited_Col!$AH239," ")</f>
        <v xml:space="preserve"> </v>
      </c>
      <c r="BB239" s="26" t="str">
        <f>IFERROR($AC239*HDF_Limited_Col!BB239/HDF_Limited_Col!$AH239," ")</f>
        <v xml:space="preserve"> </v>
      </c>
      <c r="BC239" s="26" t="str">
        <f>IFERROR($AC239*HDF_Limited_Col!BC239/HDF_Limited_Col!$AH239," ")</f>
        <v xml:space="preserve"> </v>
      </c>
      <c r="BD239" s="26" t="str">
        <f>IFERROR($AC239*HDF_Limited_Col!BD239/HDF_Limited_Col!$AH239," ")</f>
        <v xml:space="preserve"> </v>
      </c>
      <c r="BE239" s="26" t="str">
        <f>IFERROR($AC239*HDF_Limited_Col!BE239/HDF_Limited_Col!$AH239," ")</f>
        <v xml:space="preserve"> </v>
      </c>
      <c r="BF239" s="26" t="str">
        <f>IFERROR($AC239*HDF_Limited_Col!BF239/HDF_Limited_Col!$AH239," ")</f>
        <v xml:space="preserve"> </v>
      </c>
      <c r="BG239" s="26" t="str">
        <f>IFERROR($AC239*HDF_Limited_Col!BG239/HDF_Limited_Col!$AH239," ")</f>
        <v xml:space="preserve"> </v>
      </c>
      <c r="BH239" s="26" t="str">
        <f>IFERROR($AC239*HDF_Limited_Col!BH239/HDF_Limited_Col!$AH239," ")</f>
        <v xml:space="preserve"> </v>
      </c>
      <c r="BI239" s="26" t="str">
        <f>IFERROR($AC239*HDF_Limited_Col!BI239/HDF_Limited_Col!$AH239," ")</f>
        <v xml:space="preserve"> </v>
      </c>
      <c r="BJ239" s="26" t="str">
        <f>IFERROR($AC239*HDF_Limited_Col!BJ239/HDF_Limited_Col!$AH239," ")</f>
        <v xml:space="preserve"> </v>
      </c>
      <c r="BK239" s="26" t="str">
        <f>IFERROR($AC239*HDF_Limited_Col!BK239/HDF_Limited_Col!$AH239," ")</f>
        <v xml:space="preserve"> </v>
      </c>
      <c r="BL239" s="26" t="str">
        <f>IFERROR($AC239*HDF_Limited_Col!BL239/HDF_Limited_Col!$AH239," ")</f>
        <v xml:space="preserve"> </v>
      </c>
      <c r="BM239" s="26" t="str">
        <f>IFERROR($AC239*HDF_Limited_Col!BM239/HDF_Limited_Col!$AH239," ")</f>
        <v xml:space="preserve"> </v>
      </c>
      <c r="BN239" s="26" t="str">
        <f>IFERROR($AC239*HDF_Limited_Col!BN239/HDF_Limited_Col!$AH239," ")</f>
        <v xml:space="preserve"> </v>
      </c>
      <c r="BO239" s="26" t="str">
        <f>IFERROR($AC239*HDF_Limited_Col!BO239/HDF_Limited_Col!$AH239," ")</f>
        <v xml:space="preserve"> </v>
      </c>
      <c r="BP239" s="26" t="str">
        <f>IFERROR($AC239*HDF_Limited_Col!BP239/HDF_Limited_Col!$AH239," ")</f>
        <v xml:space="preserve"> </v>
      </c>
      <c r="BQ239" s="26" t="str">
        <f>IFERROR($AC239*HDF_Limited_Col!BQ239/HDF_Limited_Col!$AH239," ")</f>
        <v xml:space="preserve"> </v>
      </c>
      <c r="BR239" s="26" t="str">
        <f>IFERROR($AC239*HDF_Limited_Col!BR239/HDF_Limited_Col!$AH239," ")</f>
        <v xml:space="preserve"> </v>
      </c>
      <c r="BS239" s="26" t="str">
        <f>IFERROR($AC239*HDF_Limited_Col!BS239/HDF_Limited_Col!$AH239," ")</f>
        <v xml:space="preserve"> </v>
      </c>
      <c r="BT239" s="26" t="str">
        <f>IFERROR($AC239*HDF_Limited_Col!BT239/HDF_Limited_Col!$AH239," ")</f>
        <v xml:space="preserve"> </v>
      </c>
      <c r="BU239" s="26" t="str">
        <f>IFERROR($AC239*HDF_Limited_Col!BU239/HDF_Limited_Col!$AH239," ")</f>
        <v xml:space="preserve"> </v>
      </c>
      <c r="BV239" s="26" t="str">
        <f>IFERROR($AC239*HDF_Limited_Col!BV239/HDF_Limited_Col!$AH239," ")</f>
        <v xml:space="preserve"> </v>
      </c>
      <c r="BW239" s="26" t="str">
        <f>IFERROR($AC239*HDF_Limited_Col!BW239/HDF_Limited_Col!$AH239," ")</f>
        <v xml:space="preserve"> </v>
      </c>
      <c r="BX239" s="26" t="str">
        <f>IFERROR($AC239*HDF_Limited_Col!BX239/HDF_Limited_Col!$AH239," ")</f>
        <v xml:space="preserve"> </v>
      </c>
      <c r="BY239" s="26" t="str">
        <f>IFERROR($AC239*HDF_Limited_Col!BY239/HDF_Limited_Col!$AH239," ")</f>
        <v xml:space="preserve"> </v>
      </c>
      <c r="BZ239" s="26" t="str">
        <f>IFERROR($AC239*HDF_Limited_Col!BZ239/HDF_Limited_Col!$AH239," ")</f>
        <v xml:space="preserve"> </v>
      </c>
      <c r="CA239" s="26" t="str">
        <f>IFERROR($AC239*HDF_Limited_Col!CA239/HDF_Limited_Col!$AH239," ")</f>
        <v xml:space="preserve"> </v>
      </c>
      <c r="CB239" s="26" t="str">
        <f>IFERROR($AC239*HDF_Limited_Col!CB239/HDF_Limited_Col!$AH239," ")</f>
        <v xml:space="preserve"> </v>
      </c>
      <c r="CC239" s="26" t="str">
        <f>IFERROR($AC239*HDF_Limited_Col!CC239/HDF_Limited_Col!$AH239," ")</f>
        <v xml:space="preserve"> </v>
      </c>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row>
    <row r="240" spans="1:109">
      <c r="A240" s="26" t="s">
        <v>1656</v>
      </c>
      <c r="B240" s="53" t="s">
        <v>24</v>
      </c>
      <c r="C240" s="156" t="s">
        <v>541</v>
      </c>
      <c r="D240" s="53" t="s">
        <v>1724</v>
      </c>
      <c r="E240" s="53" t="s">
        <v>237</v>
      </c>
      <c r="F240" s="53" t="s">
        <v>849</v>
      </c>
      <c r="G240" s="53" t="s">
        <v>595</v>
      </c>
      <c r="H240" s="52">
        <v>364</v>
      </c>
      <c r="I240" s="53" t="s">
        <v>1148</v>
      </c>
      <c r="J240" s="53" t="s">
        <v>635</v>
      </c>
      <c r="K240" s="53" t="s">
        <v>128</v>
      </c>
      <c r="L240" s="53"/>
      <c r="M240" s="53" t="s">
        <v>1661</v>
      </c>
      <c r="N240" s="53">
        <v>30</v>
      </c>
      <c r="O240" s="95">
        <v>50.331250671848316</v>
      </c>
      <c r="P240" s="95">
        <v>1.0911657860498367</v>
      </c>
      <c r="Q240" s="95">
        <v>18.481006106069305</v>
      </c>
      <c r="R240" s="95">
        <v>6.2225940772031221</v>
      </c>
      <c r="S240" s="95">
        <v>1.6220031954794867</v>
      </c>
      <c r="T240" s="95">
        <v>3.2440063909589734</v>
      </c>
      <c r="U240" s="95">
        <v>0</v>
      </c>
      <c r="V240" s="95">
        <v>3.1260425221968293</v>
      </c>
      <c r="W240" s="95">
        <v>11.599780428277542</v>
      </c>
      <c r="X240" s="95">
        <v>3.558576707658025</v>
      </c>
      <c r="Y240" s="95">
        <v>0.93388062770031044</v>
      </c>
      <c r="Z240" s="95">
        <v>100.21030651344174</v>
      </c>
      <c r="AA240" s="53"/>
      <c r="AB240" s="26"/>
      <c r="AC240" s="26">
        <f t="shared" si="4"/>
        <v>96294.104599604369</v>
      </c>
      <c r="AD240" s="26" t="str">
        <f>IFERROR($AC240*HDF_Limited_Col!AD240/HDF_Limited_Col!$AH240," ")</f>
        <v xml:space="preserve"> </v>
      </c>
      <c r="AE240" s="26" t="str">
        <f>IFERROR($AC240*HDF_Limited_Col!AE240/HDF_Limited_Col!$AH240," ")</f>
        <v xml:space="preserve"> </v>
      </c>
      <c r="AF240" s="26" t="str">
        <f>IFERROR($AC240*HDF_Limited_Col!AF240/HDF_Limited_Col!$AH240," ")</f>
        <v xml:space="preserve"> </v>
      </c>
      <c r="AG240" s="26" t="str">
        <f>IFERROR($AC240*HDF_Limited_Col!AG240/HDF_Limited_Col!$AH240," ")</f>
        <v xml:space="preserve"> </v>
      </c>
      <c r="AH240" s="26" t="str">
        <f>IFERROR($AC240*HDF_Limited_Col!AH240/HDF_Limited_Col!$AH240," ")</f>
        <v xml:space="preserve"> </v>
      </c>
      <c r="AI240" s="26" t="str">
        <f>IFERROR($AC240*HDF_Limited_Col!AI240/HDF_Limited_Col!$AH240," ")</f>
        <v xml:space="preserve"> </v>
      </c>
      <c r="AJ240" s="26" t="str">
        <f>IFERROR($AC240*HDF_Limited_Col!AJ240/HDF_Limited_Col!$AH240," ")</f>
        <v xml:space="preserve"> </v>
      </c>
      <c r="AK240" s="26" t="str">
        <f>IFERROR($AC240*HDF_Limited_Col!AK240/HDF_Limited_Col!$AH240," ")</f>
        <v xml:space="preserve"> </v>
      </c>
      <c r="AL240" s="26" t="str">
        <f>IFERROR($AC240*HDF_Limited_Col!AL240/HDF_Limited_Col!$AH240," ")</f>
        <v xml:space="preserve"> </v>
      </c>
      <c r="AM240" s="26" t="str">
        <f>IFERROR($AC240*HDF_Limited_Col!AM240/HDF_Limited_Col!$AH240," ")</f>
        <v xml:space="preserve"> </v>
      </c>
      <c r="AN240" s="26" t="str">
        <f>IFERROR($AC240*HDF_Limited_Col!AN240/HDF_Limited_Col!$AH240," ")</f>
        <v xml:space="preserve"> </v>
      </c>
      <c r="AO240" s="26" t="str">
        <f>IFERROR($AC240*HDF_Limited_Col!AO240/HDF_Limited_Col!$AH240," ")</f>
        <v xml:space="preserve"> </v>
      </c>
      <c r="AP240" s="26" t="str">
        <f>IFERROR($AC240*HDF_Limited_Col!AP240/HDF_Limited_Col!$AH240," ")</f>
        <v xml:space="preserve"> </v>
      </c>
      <c r="AQ240" s="26" t="str">
        <f>IFERROR($AC240*HDF_Limited_Col!AQ240/HDF_Limited_Col!$AH240," ")</f>
        <v xml:space="preserve"> </v>
      </c>
      <c r="AR240" s="26" t="str">
        <f>IFERROR($AC240*HDF_Limited_Col!AR240/HDF_Limited_Col!$AH240," ")</f>
        <v xml:space="preserve"> </v>
      </c>
      <c r="AS240" s="26" t="str">
        <f>IFERROR($AC240*HDF_Limited_Col!AS240/HDF_Limited_Col!$AH240," ")</f>
        <v xml:space="preserve"> </v>
      </c>
      <c r="AT240" s="26" t="str">
        <f>IFERROR($AC240*HDF_Limited_Col!AT240/HDF_Limited_Col!$AH240," ")</f>
        <v xml:space="preserve"> </v>
      </c>
      <c r="AU240" s="26" t="str">
        <f>IFERROR($AC240*HDF_Limited_Col!AU240/HDF_Limited_Col!$AH240," ")</f>
        <v xml:space="preserve"> </v>
      </c>
      <c r="AV240" s="26" t="str">
        <f>IFERROR($AC240*HDF_Limited_Col!AV240/HDF_Limited_Col!$AH240," ")</f>
        <v xml:space="preserve"> </v>
      </c>
      <c r="AW240" s="26" t="str">
        <f>IFERROR($AC240*HDF_Limited_Col!AW240/HDF_Limited_Col!$AH240," ")</f>
        <v xml:space="preserve"> </v>
      </c>
      <c r="AX240" s="26" t="str">
        <f>IFERROR($AC240*HDF_Limited_Col!AX240/HDF_Limited_Col!$AH240," ")</f>
        <v xml:space="preserve"> </v>
      </c>
      <c r="AY240" s="26" t="str">
        <f>IFERROR($AC240*HDF_Limited_Col!AY240/HDF_Limited_Col!$AH240," ")</f>
        <v xml:space="preserve"> </v>
      </c>
      <c r="AZ240" s="26" t="str">
        <f>IFERROR($AC240*HDF_Limited_Col!AZ240/HDF_Limited_Col!$AH240," ")</f>
        <v xml:space="preserve"> </v>
      </c>
      <c r="BA240" s="26" t="str">
        <f>IFERROR($AC240*HDF_Limited_Col!BA240/HDF_Limited_Col!$AH240," ")</f>
        <v xml:space="preserve"> </v>
      </c>
      <c r="BB240" s="26" t="str">
        <f>IFERROR($AC240*HDF_Limited_Col!BB240/HDF_Limited_Col!$AH240," ")</f>
        <v xml:space="preserve"> </v>
      </c>
      <c r="BC240" s="26" t="str">
        <f>IFERROR($AC240*HDF_Limited_Col!BC240/HDF_Limited_Col!$AH240," ")</f>
        <v xml:space="preserve"> </v>
      </c>
      <c r="BD240" s="26" t="str">
        <f>IFERROR($AC240*HDF_Limited_Col!BD240/HDF_Limited_Col!$AH240," ")</f>
        <v xml:space="preserve"> </v>
      </c>
      <c r="BE240" s="26" t="str">
        <f>IFERROR($AC240*HDF_Limited_Col!BE240/HDF_Limited_Col!$AH240," ")</f>
        <v xml:space="preserve"> </v>
      </c>
      <c r="BF240" s="26" t="str">
        <f>IFERROR($AC240*HDF_Limited_Col!BF240/HDF_Limited_Col!$AH240," ")</f>
        <v xml:space="preserve"> </v>
      </c>
      <c r="BG240" s="26" t="str">
        <f>IFERROR($AC240*HDF_Limited_Col!BG240/HDF_Limited_Col!$AH240," ")</f>
        <v xml:space="preserve"> </v>
      </c>
      <c r="BH240" s="26" t="str">
        <f>IFERROR($AC240*HDF_Limited_Col!BH240/HDF_Limited_Col!$AH240," ")</f>
        <v xml:space="preserve"> </v>
      </c>
      <c r="BI240" s="26" t="str">
        <f>IFERROR($AC240*HDF_Limited_Col!BI240/HDF_Limited_Col!$AH240," ")</f>
        <v xml:space="preserve"> </v>
      </c>
      <c r="BJ240" s="26" t="str">
        <f>IFERROR($AC240*HDF_Limited_Col!BJ240/HDF_Limited_Col!$AH240," ")</f>
        <v xml:space="preserve"> </v>
      </c>
      <c r="BK240" s="26" t="str">
        <f>IFERROR($AC240*HDF_Limited_Col!BK240/HDF_Limited_Col!$AH240," ")</f>
        <v xml:space="preserve"> </v>
      </c>
      <c r="BL240" s="26" t="str">
        <f>IFERROR($AC240*HDF_Limited_Col!BL240/HDF_Limited_Col!$AH240," ")</f>
        <v xml:space="preserve"> </v>
      </c>
      <c r="BM240" s="26" t="str">
        <f>IFERROR($AC240*HDF_Limited_Col!BM240/HDF_Limited_Col!$AH240," ")</f>
        <v xml:space="preserve"> </v>
      </c>
      <c r="BN240" s="26" t="str">
        <f>IFERROR($AC240*HDF_Limited_Col!BN240/HDF_Limited_Col!$AH240," ")</f>
        <v xml:space="preserve"> </v>
      </c>
      <c r="BO240" s="26" t="str">
        <f>IFERROR($AC240*HDF_Limited_Col!BO240/HDF_Limited_Col!$AH240," ")</f>
        <v xml:space="preserve"> </v>
      </c>
      <c r="BP240" s="26" t="str">
        <f>IFERROR($AC240*HDF_Limited_Col!BP240/HDF_Limited_Col!$AH240," ")</f>
        <v xml:space="preserve"> </v>
      </c>
      <c r="BQ240" s="26" t="str">
        <f>IFERROR($AC240*HDF_Limited_Col!BQ240/HDF_Limited_Col!$AH240," ")</f>
        <v xml:space="preserve"> </v>
      </c>
      <c r="BR240" s="26" t="str">
        <f>IFERROR($AC240*HDF_Limited_Col!BR240/HDF_Limited_Col!$AH240," ")</f>
        <v xml:space="preserve"> </v>
      </c>
      <c r="BS240" s="26" t="str">
        <f>IFERROR($AC240*HDF_Limited_Col!BS240/HDF_Limited_Col!$AH240," ")</f>
        <v xml:space="preserve"> </v>
      </c>
      <c r="BT240" s="26" t="str">
        <f>IFERROR($AC240*HDF_Limited_Col!BT240/HDF_Limited_Col!$AH240," ")</f>
        <v xml:space="preserve"> </v>
      </c>
      <c r="BU240" s="26" t="str">
        <f>IFERROR($AC240*HDF_Limited_Col!BU240/HDF_Limited_Col!$AH240," ")</f>
        <v xml:space="preserve"> </v>
      </c>
      <c r="BV240" s="26" t="str">
        <f>IFERROR($AC240*HDF_Limited_Col!BV240/HDF_Limited_Col!$AH240," ")</f>
        <v xml:space="preserve"> </v>
      </c>
      <c r="BW240" s="26" t="str">
        <f>IFERROR($AC240*HDF_Limited_Col!BW240/HDF_Limited_Col!$AH240," ")</f>
        <v xml:space="preserve"> </v>
      </c>
      <c r="BX240" s="26" t="str">
        <f>IFERROR($AC240*HDF_Limited_Col!BX240/HDF_Limited_Col!$AH240," ")</f>
        <v xml:space="preserve"> </v>
      </c>
      <c r="BY240" s="26" t="str">
        <f>IFERROR($AC240*HDF_Limited_Col!BY240/HDF_Limited_Col!$AH240," ")</f>
        <v xml:space="preserve"> </v>
      </c>
      <c r="BZ240" s="26" t="str">
        <f>IFERROR($AC240*HDF_Limited_Col!BZ240/HDF_Limited_Col!$AH240," ")</f>
        <v xml:space="preserve"> </v>
      </c>
      <c r="CA240" s="26" t="str">
        <f>IFERROR($AC240*HDF_Limited_Col!CA240/HDF_Limited_Col!$AH240," ")</f>
        <v xml:space="preserve"> </v>
      </c>
      <c r="CB240" s="26" t="str">
        <f>IFERROR($AC240*HDF_Limited_Col!CB240/HDF_Limited_Col!$AH240," ")</f>
        <v xml:space="preserve"> </v>
      </c>
      <c r="CC240" s="26" t="str">
        <f>IFERROR($AC240*HDF_Limited_Col!CC240/HDF_Limited_Col!$AH240," ")</f>
        <v xml:space="preserve"> </v>
      </c>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row>
    <row r="241" spans="1:109">
      <c r="A241" s="26" t="s">
        <v>1656</v>
      </c>
      <c r="B241" s="53" t="s">
        <v>24</v>
      </c>
      <c r="C241" s="156" t="s">
        <v>541</v>
      </c>
      <c r="D241" s="53" t="s">
        <v>1724</v>
      </c>
      <c r="E241" s="53" t="s">
        <v>237</v>
      </c>
      <c r="F241" s="53" t="s">
        <v>849</v>
      </c>
      <c r="G241" s="53" t="s">
        <v>595</v>
      </c>
      <c r="H241" s="52">
        <v>364</v>
      </c>
      <c r="I241" s="53" t="s">
        <v>1148</v>
      </c>
      <c r="J241" s="53" t="s">
        <v>635</v>
      </c>
      <c r="K241" s="53" t="s">
        <v>128</v>
      </c>
      <c r="L241" s="53"/>
      <c r="M241" s="53" t="s">
        <v>1663</v>
      </c>
      <c r="N241" s="53">
        <v>32</v>
      </c>
      <c r="O241" s="95">
        <v>42.960881336497074</v>
      </c>
      <c r="P241" s="95">
        <v>1.5722280582354409</v>
      </c>
      <c r="Q241" s="95">
        <v>10.51490102641537</v>
      </c>
      <c r="R241" s="95">
        <v>7.7209416108249993</v>
      </c>
      <c r="S241" s="95">
        <v>3.2546122224619003</v>
      </c>
      <c r="T241" s="95">
        <v>5.5879188311807395</v>
      </c>
      <c r="U241" s="95">
        <v>0</v>
      </c>
      <c r="V241" s="95">
        <v>2.8240019899515563</v>
      </c>
      <c r="W241" s="95">
        <v>21.830937369129053</v>
      </c>
      <c r="X241" s="95">
        <v>3.3146973711842738</v>
      </c>
      <c r="Y241" s="95">
        <v>0.5407663385013618</v>
      </c>
      <c r="Z241" s="95">
        <v>100.12188615438177</v>
      </c>
      <c r="AA241" s="53"/>
      <c r="AB241" s="26"/>
      <c r="AC241" s="26">
        <f t="shared" si="4"/>
        <v>181226.75506905955</v>
      </c>
      <c r="AD241" s="26" t="str">
        <f>IFERROR($AC241*HDF_Limited_Col!AD241/HDF_Limited_Col!$AH241," ")</f>
        <v xml:space="preserve"> </v>
      </c>
      <c r="AE241" s="26" t="str">
        <f>IFERROR($AC241*HDF_Limited_Col!AE241/HDF_Limited_Col!$AH241," ")</f>
        <v xml:space="preserve"> </v>
      </c>
      <c r="AF241" s="26" t="str">
        <f>IFERROR($AC241*HDF_Limited_Col!AF241/HDF_Limited_Col!$AH241," ")</f>
        <v xml:space="preserve"> </v>
      </c>
      <c r="AG241" s="26" t="str">
        <f>IFERROR($AC241*HDF_Limited_Col!AG241/HDF_Limited_Col!$AH241," ")</f>
        <v xml:space="preserve"> </v>
      </c>
      <c r="AH241" s="26" t="str">
        <f>IFERROR($AC241*HDF_Limited_Col!AH241/HDF_Limited_Col!$AH241," ")</f>
        <v xml:space="preserve"> </v>
      </c>
      <c r="AI241" s="26" t="str">
        <f>IFERROR($AC241*HDF_Limited_Col!AI241/HDF_Limited_Col!$AH241," ")</f>
        <v xml:space="preserve"> </v>
      </c>
      <c r="AJ241" s="26" t="str">
        <f>IFERROR($AC241*HDF_Limited_Col!AJ241/HDF_Limited_Col!$AH241," ")</f>
        <v xml:space="preserve"> </v>
      </c>
      <c r="AK241" s="26" t="str">
        <f>IFERROR($AC241*HDF_Limited_Col!AK241/HDF_Limited_Col!$AH241," ")</f>
        <v xml:space="preserve"> </v>
      </c>
      <c r="AL241" s="26" t="str">
        <f>IFERROR($AC241*HDF_Limited_Col!AL241/HDF_Limited_Col!$AH241," ")</f>
        <v xml:space="preserve"> </v>
      </c>
      <c r="AM241" s="26" t="str">
        <f>IFERROR($AC241*HDF_Limited_Col!AM241/HDF_Limited_Col!$AH241," ")</f>
        <v xml:space="preserve"> </v>
      </c>
      <c r="AN241" s="26" t="str">
        <f>IFERROR($AC241*HDF_Limited_Col!AN241/HDF_Limited_Col!$AH241," ")</f>
        <v xml:space="preserve"> </v>
      </c>
      <c r="AO241" s="26" t="str">
        <f>IFERROR($AC241*HDF_Limited_Col!AO241/HDF_Limited_Col!$AH241," ")</f>
        <v xml:space="preserve"> </v>
      </c>
      <c r="AP241" s="26" t="str">
        <f>IFERROR($AC241*HDF_Limited_Col!AP241/HDF_Limited_Col!$AH241," ")</f>
        <v xml:space="preserve"> </v>
      </c>
      <c r="AQ241" s="26" t="str">
        <f>IFERROR($AC241*HDF_Limited_Col!AQ241/HDF_Limited_Col!$AH241," ")</f>
        <v xml:space="preserve"> </v>
      </c>
      <c r="AR241" s="26" t="str">
        <f>IFERROR($AC241*HDF_Limited_Col!AR241/HDF_Limited_Col!$AH241," ")</f>
        <v xml:space="preserve"> </v>
      </c>
      <c r="AS241" s="26" t="str">
        <f>IFERROR($AC241*HDF_Limited_Col!AS241/HDF_Limited_Col!$AH241," ")</f>
        <v xml:space="preserve"> </v>
      </c>
      <c r="AT241" s="26" t="str">
        <f>IFERROR($AC241*HDF_Limited_Col!AT241/HDF_Limited_Col!$AH241," ")</f>
        <v xml:space="preserve"> </v>
      </c>
      <c r="AU241" s="26" t="str">
        <f>IFERROR($AC241*HDF_Limited_Col!AU241/HDF_Limited_Col!$AH241," ")</f>
        <v xml:space="preserve"> </v>
      </c>
      <c r="AV241" s="26" t="str">
        <f>IFERROR($AC241*HDF_Limited_Col!AV241/HDF_Limited_Col!$AH241," ")</f>
        <v xml:space="preserve"> </v>
      </c>
      <c r="AW241" s="26" t="str">
        <f>IFERROR($AC241*HDF_Limited_Col!AW241/HDF_Limited_Col!$AH241," ")</f>
        <v xml:space="preserve"> </v>
      </c>
      <c r="AX241" s="26" t="str">
        <f>IFERROR($AC241*HDF_Limited_Col!AX241/HDF_Limited_Col!$AH241," ")</f>
        <v xml:space="preserve"> </v>
      </c>
      <c r="AY241" s="26" t="str">
        <f>IFERROR($AC241*HDF_Limited_Col!AY241/HDF_Limited_Col!$AH241," ")</f>
        <v xml:space="preserve"> </v>
      </c>
      <c r="AZ241" s="26" t="str">
        <f>IFERROR($AC241*HDF_Limited_Col!AZ241/HDF_Limited_Col!$AH241," ")</f>
        <v xml:space="preserve"> </v>
      </c>
      <c r="BA241" s="26" t="str">
        <f>IFERROR($AC241*HDF_Limited_Col!BA241/HDF_Limited_Col!$AH241," ")</f>
        <v xml:space="preserve"> </v>
      </c>
      <c r="BB241" s="26" t="str">
        <f>IFERROR($AC241*HDF_Limited_Col!BB241/HDF_Limited_Col!$AH241," ")</f>
        <v xml:space="preserve"> </v>
      </c>
      <c r="BC241" s="26" t="str">
        <f>IFERROR($AC241*HDF_Limited_Col!BC241/HDF_Limited_Col!$AH241," ")</f>
        <v xml:space="preserve"> </v>
      </c>
      <c r="BD241" s="26" t="str">
        <f>IFERROR($AC241*HDF_Limited_Col!BD241/HDF_Limited_Col!$AH241," ")</f>
        <v xml:space="preserve"> </v>
      </c>
      <c r="BE241" s="26" t="str">
        <f>IFERROR($AC241*HDF_Limited_Col!BE241/HDF_Limited_Col!$AH241," ")</f>
        <v xml:space="preserve"> </v>
      </c>
      <c r="BF241" s="26" t="str">
        <f>IFERROR($AC241*HDF_Limited_Col!BF241/HDF_Limited_Col!$AH241," ")</f>
        <v xml:space="preserve"> </v>
      </c>
      <c r="BG241" s="26" t="str">
        <f>IFERROR($AC241*HDF_Limited_Col!BG241/HDF_Limited_Col!$AH241," ")</f>
        <v xml:space="preserve"> </v>
      </c>
      <c r="BH241" s="26" t="str">
        <f>IFERROR($AC241*HDF_Limited_Col!BH241/HDF_Limited_Col!$AH241," ")</f>
        <v xml:space="preserve"> </v>
      </c>
      <c r="BI241" s="26" t="str">
        <f>IFERROR($AC241*HDF_Limited_Col!BI241/HDF_Limited_Col!$AH241," ")</f>
        <v xml:space="preserve"> </v>
      </c>
      <c r="BJ241" s="26" t="str">
        <f>IFERROR($AC241*HDF_Limited_Col!BJ241/HDF_Limited_Col!$AH241," ")</f>
        <v xml:space="preserve"> </v>
      </c>
      <c r="BK241" s="26" t="str">
        <f>IFERROR($AC241*HDF_Limited_Col!BK241/HDF_Limited_Col!$AH241," ")</f>
        <v xml:space="preserve"> </v>
      </c>
      <c r="BL241" s="26" t="str">
        <f>IFERROR($AC241*HDF_Limited_Col!BL241/HDF_Limited_Col!$AH241," ")</f>
        <v xml:space="preserve"> </v>
      </c>
      <c r="BM241" s="26" t="str">
        <f>IFERROR($AC241*HDF_Limited_Col!BM241/HDF_Limited_Col!$AH241," ")</f>
        <v xml:space="preserve"> </v>
      </c>
      <c r="BN241" s="26" t="str">
        <f>IFERROR($AC241*HDF_Limited_Col!BN241/HDF_Limited_Col!$AH241," ")</f>
        <v xml:space="preserve"> </v>
      </c>
      <c r="BO241" s="26" t="str">
        <f>IFERROR($AC241*HDF_Limited_Col!BO241/HDF_Limited_Col!$AH241," ")</f>
        <v xml:space="preserve"> </v>
      </c>
      <c r="BP241" s="26" t="str">
        <f>IFERROR($AC241*HDF_Limited_Col!BP241/HDF_Limited_Col!$AH241," ")</f>
        <v xml:space="preserve"> </v>
      </c>
      <c r="BQ241" s="26" t="str">
        <f>IFERROR($AC241*HDF_Limited_Col!BQ241/HDF_Limited_Col!$AH241," ")</f>
        <v xml:space="preserve"> </v>
      </c>
      <c r="BR241" s="26" t="str">
        <f>IFERROR($AC241*HDF_Limited_Col!BR241/HDF_Limited_Col!$AH241," ")</f>
        <v xml:space="preserve"> </v>
      </c>
      <c r="BS241" s="26" t="str">
        <f>IFERROR($AC241*HDF_Limited_Col!BS241/HDF_Limited_Col!$AH241," ")</f>
        <v xml:space="preserve"> </v>
      </c>
      <c r="BT241" s="26" t="str">
        <f>IFERROR($AC241*HDF_Limited_Col!BT241/HDF_Limited_Col!$AH241," ")</f>
        <v xml:space="preserve"> </v>
      </c>
      <c r="BU241" s="26" t="str">
        <f>IFERROR($AC241*HDF_Limited_Col!BU241/HDF_Limited_Col!$AH241," ")</f>
        <v xml:space="preserve"> </v>
      </c>
      <c r="BV241" s="26" t="str">
        <f>IFERROR($AC241*HDF_Limited_Col!BV241/HDF_Limited_Col!$AH241," ")</f>
        <v xml:space="preserve"> </v>
      </c>
      <c r="BW241" s="26" t="str">
        <f>IFERROR($AC241*HDF_Limited_Col!BW241/HDF_Limited_Col!$AH241," ")</f>
        <v xml:space="preserve"> </v>
      </c>
      <c r="BX241" s="26" t="str">
        <f>IFERROR($AC241*HDF_Limited_Col!BX241/HDF_Limited_Col!$AH241," ")</f>
        <v xml:space="preserve"> </v>
      </c>
      <c r="BY241" s="26" t="str">
        <f>IFERROR($AC241*HDF_Limited_Col!BY241/HDF_Limited_Col!$AH241," ")</f>
        <v xml:space="preserve"> </v>
      </c>
      <c r="BZ241" s="26" t="str">
        <f>IFERROR($AC241*HDF_Limited_Col!BZ241/HDF_Limited_Col!$AH241," ")</f>
        <v xml:space="preserve"> </v>
      </c>
      <c r="CA241" s="26" t="str">
        <f>IFERROR($AC241*HDF_Limited_Col!CA241/HDF_Limited_Col!$AH241," ")</f>
        <v xml:space="preserve"> </v>
      </c>
      <c r="CB241" s="26" t="str">
        <f>IFERROR($AC241*HDF_Limited_Col!CB241/HDF_Limited_Col!$AH241," ")</f>
        <v xml:space="preserve"> </v>
      </c>
      <c r="CC241" s="26" t="str">
        <f>IFERROR($AC241*HDF_Limited_Col!CC241/HDF_Limited_Col!$AH241," ")</f>
        <v xml:space="preserve"> </v>
      </c>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row>
    <row r="242" spans="1:109">
      <c r="A242" s="26" t="s">
        <v>1656</v>
      </c>
      <c r="B242" s="53" t="s">
        <v>24</v>
      </c>
      <c r="C242" s="156" t="s">
        <v>541</v>
      </c>
      <c r="D242" s="53" t="s">
        <v>1724</v>
      </c>
      <c r="E242" s="53" t="s">
        <v>237</v>
      </c>
      <c r="F242" s="53" t="s">
        <v>849</v>
      </c>
      <c r="G242" s="53" t="s">
        <v>595</v>
      </c>
      <c r="H242" s="52">
        <v>364</v>
      </c>
      <c r="I242" s="53" t="s">
        <v>1148</v>
      </c>
      <c r="J242" s="53" t="s">
        <v>635</v>
      </c>
      <c r="K242" s="53" t="s">
        <v>128</v>
      </c>
      <c r="L242" s="53"/>
      <c r="M242" s="53" t="s">
        <v>1664</v>
      </c>
      <c r="N242" s="53">
        <v>39</v>
      </c>
      <c r="O242" s="95">
        <v>42.301563750422261</v>
      </c>
      <c r="P242" s="95">
        <v>1.8387615596976896</v>
      </c>
      <c r="Q242" s="95">
        <v>9.9775422337694284</v>
      </c>
      <c r="R242" s="95">
        <v>6.3703542560018311</v>
      </c>
      <c r="S242" s="95">
        <v>3.989007318032693</v>
      </c>
      <c r="T242" s="95">
        <v>0.87416533165955723</v>
      </c>
      <c r="U242" s="95">
        <v>3.7679540157739542</v>
      </c>
      <c r="V242" s="95">
        <v>3.3861346755088602</v>
      </c>
      <c r="W242" s="95">
        <v>19.191445787008675</v>
      </c>
      <c r="X242" s="95">
        <v>7.0335141627780473</v>
      </c>
      <c r="Y242" s="95">
        <v>1.6378040121897453</v>
      </c>
      <c r="Z242" s="95">
        <v>100.36824710284273</v>
      </c>
      <c r="AA242" s="53"/>
      <c r="AB242" s="26"/>
      <c r="AC242" s="26">
        <f t="shared" si="4"/>
        <v>159315.35079119285</v>
      </c>
      <c r="AD242" s="26" t="str">
        <f>IFERROR($AC242*HDF_Limited_Col!AD242/HDF_Limited_Col!$AH242," ")</f>
        <v xml:space="preserve"> </v>
      </c>
      <c r="AE242" s="26" t="str">
        <f>IFERROR($AC242*HDF_Limited_Col!AE242/HDF_Limited_Col!$AH242," ")</f>
        <v xml:space="preserve"> </v>
      </c>
      <c r="AF242" s="26" t="str">
        <f>IFERROR($AC242*HDF_Limited_Col!AF242/HDF_Limited_Col!$AH242," ")</f>
        <v xml:space="preserve"> </v>
      </c>
      <c r="AG242" s="26" t="str">
        <f>IFERROR($AC242*HDF_Limited_Col!AG242/HDF_Limited_Col!$AH242," ")</f>
        <v xml:space="preserve"> </v>
      </c>
      <c r="AH242" s="26" t="str">
        <f>IFERROR($AC242*HDF_Limited_Col!AH242/HDF_Limited_Col!$AH242," ")</f>
        <v xml:space="preserve"> </v>
      </c>
      <c r="AI242" s="26" t="str">
        <f>IFERROR($AC242*HDF_Limited_Col!AI242/HDF_Limited_Col!$AH242," ")</f>
        <v xml:space="preserve"> </v>
      </c>
      <c r="AJ242" s="26" t="str">
        <f>IFERROR($AC242*HDF_Limited_Col!AJ242/HDF_Limited_Col!$AH242," ")</f>
        <v xml:space="preserve"> </v>
      </c>
      <c r="AK242" s="26" t="str">
        <f>IFERROR($AC242*HDF_Limited_Col!AK242/HDF_Limited_Col!$AH242," ")</f>
        <v xml:space="preserve"> </v>
      </c>
      <c r="AL242" s="26" t="str">
        <f>IFERROR($AC242*HDF_Limited_Col!AL242/HDF_Limited_Col!$AH242," ")</f>
        <v xml:space="preserve"> </v>
      </c>
      <c r="AM242" s="26" t="str">
        <f>IFERROR($AC242*HDF_Limited_Col!AM242/HDF_Limited_Col!$AH242," ")</f>
        <v xml:space="preserve"> </v>
      </c>
      <c r="AN242" s="26" t="str">
        <f>IFERROR($AC242*HDF_Limited_Col!AN242/HDF_Limited_Col!$AH242," ")</f>
        <v xml:space="preserve"> </v>
      </c>
      <c r="AO242" s="26" t="str">
        <f>IFERROR($AC242*HDF_Limited_Col!AO242/HDF_Limited_Col!$AH242," ")</f>
        <v xml:space="preserve"> </v>
      </c>
      <c r="AP242" s="26" t="str">
        <f>IFERROR($AC242*HDF_Limited_Col!AP242/HDF_Limited_Col!$AH242," ")</f>
        <v xml:space="preserve"> </v>
      </c>
      <c r="AQ242" s="26" t="str">
        <f>IFERROR($AC242*HDF_Limited_Col!AQ242/HDF_Limited_Col!$AH242," ")</f>
        <v xml:space="preserve"> </v>
      </c>
      <c r="AR242" s="26" t="str">
        <f>IFERROR($AC242*HDF_Limited_Col!AR242/HDF_Limited_Col!$AH242," ")</f>
        <v xml:space="preserve"> </v>
      </c>
      <c r="AS242" s="26" t="str">
        <f>IFERROR($AC242*HDF_Limited_Col!AS242/HDF_Limited_Col!$AH242," ")</f>
        <v xml:space="preserve"> </v>
      </c>
      <c r="AT242" s="26" t="str">
        <f>IFERROR($AC242*HDF_Limited_Col!AT242/HDF_Limited_Col!$AH242," ")</f>
        <v xml:space="preserve"> </v>
      </c>
      <c r="AU242" s="26" t="str">
        <f>IFERROR($AC242*HDF_Limited_Col!AU242/HDF_Limited_Col!$AH242," ")</f>
        <v xml:space="preserve"> </v>
      </c>
      <c r="AV242" s="26" t="str">
        <f>IFERROR($AC242*HDF_Limited_Col!AV242/HDF_Limited_Col!$AH242," ")</f>
        <v xml:space="preserve"> </v>
      </c>
      <c r="AW242" s="26" t="str">
        <f>IFERROR($AC242*HDF_Limited_Col!AW242/HDF_Limited_Col!$AH242," ")</f>
        <v xml:space="preserve"> </v>
      </c>
      <c r="AX242" s="26" t="str">
        <f>IFERROR($AC242*HDF_Limited_Col!AX242/HDF_Limited_Col!$AH242," ")</f>
        <v xml:space="preserve"> </v>
      </c>
      <c r="AY242" s="26" t="str">
        <f>IFERROR($AC242*HDF_Limited_Col!AY242/HDF_Limited_Col!$AH242," ")</f>
        <v xml:space="preserve"> </v>
      </c>
      <c r="AZ242" s="26" t="str">
        <f>IFERROR($AC242*HDF_Limited_Col!AZ242/HDF_Limited_Col!$AH242," ")</f>
        <v xml:space="preserve"> </v>
      </c>
      <c r="BA242" s="26" t="str">
        <f>IFERROR($AC242*HDF_Limited_Col!BA242/HDF_Limited_Col!$AH242," ")</f>
        <v xml:space="preserve"> </v>
      </c>
      <c r="BB242" s="26" t="str">
        <f>IFERROR($AC242*HDF_Limited_Col!BB242/HDF_Limited_Col!$AH242," ")</f>
        <v xml:space="preserve"> </v>
      </c>
      <c r="BC242" s="26" t="str">
        <f>IFERROR($AC242*HDF_Limited_Col!BC242/HDF_Limited_Col!$AH242," ")</f>
        <v xml:space="preserve"> </v>
      </c>
      <c r="BD242" s="26" t="str">
        <f>IFERROR($AC242*HDF_Limited_Col!BD242/HDF_Limited_Col!$AH242," ")</f>
        <v xml:space="preserve"> </v>
      </c>
      <c r="BE242" s="26" t="str">
        <f>IFERROR($AC242*HDF_Limited_Col!BE242/HDF_Limited_Col!$AH242," ")</f>
        <v xml:space="preserve"> </v>
      </c>
      <c r="BF242" s="26" t="str">
        <f>IFERROR($AC242*HDF_Limited_Col!BF242/HDF_Limited_Col!$AH242," ")</f>
        <v xml:space="preserve"> </v>
      </c>
      <c r="BG242" s="26" t="str">
        <f>IFERROR($AC242*HDF_Limited_Col!BG242/HDF_Limited_Col!$AH242," ")</f>
        <v xml:space="preserve"> </v>
      </c>
      <c r="BH242" s="26" t="str">
        <f>IFERROR($AC242*HDF_Limited_Col!BH242/HDF_Limited_Col!$AH242," ")</f>
        <v xml:space="preserve"> </v>
      </c>
      <c r="BI242" s="26" t="str">
        <f>IFERROR($AC242*HDF_Limited_Col!BI242/HDF_Limited_Col!$AH242," ")</f>
        <v xml:space="preserve"> </v>
      </c>
      <c r="BJ242" s="26" t="str">
        <f>IFERROR($AC242*HDF_Limited_Col!BJ242/HDF_Limited_Col!$AH242," ")</f>
        <v xml:space="preserve"> </v>
      </c>
      <c r="BK242" s="26" t="str">
        <f>IFERROR($AC242*HDF_Limited_Col!BK242/HDF_Limited_Col!$AH242," ")</f>
        <v xml:space="preserve"> </v>
      </c>
      <c r="BL242" s="26" t="str">
        <f>IFERROR($AC242*HDF_Limited_Col!BL242/HDF_Limited_Col!$AH242," ")</f>
        <v xml:space="preserve"> </v>
      </c>
      <c r="BM242" s="26" t="str">
        <f>IFERROR($AC242*HDF_Limited_Col!BM242/HDF_Limited_Col!$AH242," ")</f>
        <v xml:space="preserve"> </v>
      </c>
      <c r="BN242" s="26" t="str">
        <f>IFERROR($AC242*HDF_Limited_Col!BN242/HDF_Limited_Col!$AH242," ")</f>
        <v xml:space="preserve"> </v>
      </c>
      <c r="BO242" s="26" t="str">
        <f>IFERROR($AC242*HDF_Limited_Col!BO242/HDF_Limited_Col!$AH242," ")</f>
        <v xml:space="preserve"> </v>
      </c>
      <c r="BP242" s="26" t="str">
        <f>IFERROR($AC242*HDF_Limited_Col!BP242/HDF_Limited_Col!$AH242," ")</f>
        <v xml:space="preserve"> </v>
      </c>
      <c r="BQ242" s="26" t="str">
        <f>IFERROR($AC242*HDF_Limited_Col!BQ242/HDF_Limited_Col!$AH242," ")</f>
        <v xml:space="preserve"> </v>
      </c>
      <c r="BR242" s="26" t="str">
        <f>IFERROR($AC242*HDF_Limited_Col!BR242/HDF_Limited_Col!$AH242," ")</f>
        <v xml:space="preserve"> </v>
      </c>
      <c r="BS242" s="26" t="str">
        <f>IFERROR($AC242*HDF_Limited_Col!BS242/HDF_Limited_Col!$AH242," ")</f>
        <v xml:space="preserve"> </v>
      </c>
      <c r="BT242" s="26" t="str">
        <f>IFERROR($AC242*HDF_Limited_Col!BT242/HDF_Limited_Col!$AH242," ")</f>
        <v xml:space="preserve"> </v>
      </c>
      <c r="BU242" s="26" t="str">
        <f>IFERROR($AC242*HDF_Limited_Col!BU242/HDF_Limited_Col!$AH242," ")</f>
        <v xml:space="preserve"> </v>
      </c>
      <c r="BV242" s="26" t="str">
        <f>IFERROR($AC242*HDF_Limited_Col!BV242/HDF_Limited_Col!$AH242," ")</f>
        <v xml:space="preserve"> </v>
      </c>
      <c r="BW242" s="26" t="str">
        <f>IFERROR($AC242*HDF_Limited_Col!BW242/HDF_Limited_Col!$AH242," ")</f>
        <v xml:space="preserve"> </v>
      </c>
      <c r="BX242" s="26" t="str">
        <f>IFERROR($AC242*HDF_Limited_Col!BX242/HDF_Limited_Col!$AH242," ")</f>
        <v xml:space="preserve"> </v>
      </c>
      <c r="BY242" s="26" t="str">
        <f>IFERROR($AC242*HDF_Limited_Col!BY242/HDF_Limited_Col!$AH242," ")</f>
        <v xml:space="preserve"> </v>
      </c>
      <c r="BZ242" s="26" t="str">
        <f>IFERROR($AC242*HDF_Limited_Col!BZ242/HDF_Limited_Col!$AH242," ")</f>
        <v xml:space="preserve"> </v>
      </c>
      <c r="CA242" s="26" t="str">
        <f>IFERROR($AC242*HDF_Limited_Col!CA242/HDF_Limited_Col!$AH242," ")</f>
        <v xml:space="preserve"> </v>
      </c>
      <c r="CB242" s="26" t="str">
        <f>IFERROR($AC242*HDF_Limited_Col!CB242/HDF_Limited_Col!$AH242," ")</f>
        <v xml:space="preserve"> </v>
      </c>
      <c r="CC242" s="26" t="str">
        <f>IFERROR($AC242*HDF_Limited_Col!CC242/HDF_Limited_Col!$AH242," ")</f>
        <v xml:space="preserve"> </v>
      </c>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row>
    <row r="243" spans="1:109">
      <c r="A243" s="26" t="s">
        <v>1656</v>
      </c>
      <c r="B243" s="53" t="s">
        <v>24</v>
      </c>
      <c r="C243" s="156" t="s">
        <v>541</v>
      </c>
      <c r="D243" s="53" t="s">
        <v>1724</v>
      </c>
      <c r="E243" s="53" t="s">
        <v>237</v>
      </c>
      <c r="F243" s="53" t="s">
        <v>849</v>
      </c>
      <c r="G243" s="53" t="s">
        <v>595</v>
      </c>
      <c r="H243" s="52">
        <v>364</v>
      </c>
      <c r="I243" s="53" t="s">
        <v>1148</v>
      </c>
      <c r="J243" s="53" t="s">
        <v>635</v>
      </c>
      <c r="K243" s="53" t="s">
        <v>1667</v>
      </c>
      <c r="L243" s="53"/>
      <c r="M243" s="53" t="s">
        <v>1668</v>
      </c>
      <c r="N243" s="53">
        <v>28</v>
      </c>
      <c r="O243" s="95">
        <v>43.426743844528815</v>
      </c>
      <c r="P243" s="95">
        <v>1.3708442181337441</v>
      </c>
      <c r="Q243" s="95">
        <v>13.30819569429109</v>
      </c>
      <c r="R243" s="95">
        <v>8.4652132010302719</v>
      </c>
      <c r="S243" s="95">
        <v>3.9424278974065339</v>
      </c>
      <c r="T243" s="95">
        <v>3.151941085489995</v>
      </c>
      <c r="U243" s="95">
        <v>0</v>
      </c>
      <c r="V243" s="95">
        <v>0.97059773108739522</v>
      </c>
      <c r="W243" s="95">
        <v>21.113002191694886</v>
      </c>
      <c r="X243" s="95">
        <v>4.142551140929708</v>
      </c>
      <c r="Y243" s="95">
        <v>0.14008627046622202</v>
      </c>
      <c r="Z243" s="95">
        <v>100.03160327505867</v>
      </c>
      <c r="AA243" s="53"/>
      <c r="AB243" s="26"/>
      <c r="AC243" s="26">
        <f t="shared" si="4"/>
        <v>175266.9073375412</v>
      </c>
      <c r="AD243" s="26" t="str">
        <f>IFERROR($AC243*HDF_Limited_Col!AD243/HDF_Limited_Col!$AH243," ")</f>
        <v xml:space="preserve"> </v>
      </c>
      <c r="AE243" s="26" t="str">
        <f>IFERROR($AC243*HDF_Limited_Col!AE243/HDF_Limited_Col!$AH243," ")</f>
        <v xml:space="preserve"> </v>
      </c>
      <c r="AF243" s="26" t="str">
        <f>IFERROR($AC243*HDF_Limited_Col!AF243/HDF_Limited_Col!$AH243," ")</f>
        <v xml:space="preserve"> </v>
      </c>
      <c r="AG243" s="26" t="str">
        <f>IFERROR($AC243*HDF_Limited_Col!AG243/HDF_Limited_Col!$AH243," ")</f>
        <v xml:space="preserve"> </v>
      </c>
      <c r="AH243" s="26" t="str">
        <f>IFERROR($AC243*HDF_Limited_Col!AH243/HDF_Limited_Col!$AH243," ")</f>
        <v xml:space="preserve"> </v>
      </c>
      <c r="AI243" s="26" t="str">
        <f>IFERROR($AC243*HDF_Limited_Col!AI243/HDF_Limited_Col!$AH243," ")</f>
        <v xml:space="preserve"> </v>
      </c>
      <c r="AJ243" s="26" t="str">
        <f>IFERROR($AC243*HDF_Limited_Col!AJ243/HDF_Limited_Col!$AH243," ")</f>
        <v xml:space="preserve"> </v>
      </c>
      <c r="AK243" s="26" t="str">
        <f>IFERROR($AC243*HDF_Limited_Col!AK243/HDF_Limited_Col!$AH243," ")</f>
        <v xml:space="preserve"> </v>
      </c>
      <c r="AL243" s="26" t="str">
        <f>IFERROR($AC243*HDF_Limited_Col!AL243/HDF_Limited_Col!$AH243," ")</f>
        <v xml:space="preserve"> </v>
      </c>
      <c r="AM243" s="26" t="str">
        <f>IFERROR($AC243*HDF_Limited_Col!AM243/HDF_Limited_Col!$AH243," ")</f>
        <v xml:space="preserve"> </v>
      </c>
      <c r="AN243" s="26" t="str">
        <f>IFERROR($AC243*HDF_Limited_Col!AN243/HDF_Limited_Col!$AH243," ")</f>
        <v xml:space="preserve"> </v>
      </c>
      <c r="AO243" s="26" t="str">
        <f>IFERROR($AC243*HDF_Limited_Col!AO243/HDF_Limited_Col!$AH243," ")</f>
        <v xml:space="preserve"> </v>
      </c>
      <c r="AP243" s="26" t="str">
        <f>IFERROR($AC243*HDF_Limited_Col!AP243/HDF_Limited_Col!$AH243," ")</f>
        <v xml:space="preserve"> </v>
      </c>
      <c r="AQ243" s="26" t="str">
        <f>IFERROR($AC243*HDF_Limited_Col!AQ243/HDF_Limited_Col!$AH243," ")</f>
        <v xml:space="preserve"> </v>
      </c>
      <c r="AR243" s="26" t="str">
        <f>IFERROR($AC243*HDF_Limited_Col!AR243/HDF_Limited_Col!$AH243," ")</f>
        <v xml:space="preserve"> </v>
      </c>
      <c r="AS243" s="26" t="str">
        <f>IFERROR($AC243*HDF_Limited_Col!AS243/HDF_Limited_Col!$AH243," ")</f>
        <v xml:space="preserve"> </v>
      </c>
      <c r="AT243" s="26" t="str">
        <f>IFERROR($AC243*HDF_Limited_Col!AT243/HDF_Limited_Col!$AH243," ")</f>
        <v xml:space="preserve"> </v>
      </c>
      <c r="AU243" s="26" t="str">
        <f>IFERROR($AC243*HDF_Limited_Col!AU243/HDF_Limited_Col!$AH243," ")</f>
        <v xml:space="preserve"> </v>
      </c>
      <c r="AV243" s="26" t="str">
        <f>IFERROR($AC243*HDF_Limited_Col!AV243/HDF_Limited_Col!$AH243," ")</f>
        <v xml:space="preserve"> </v>
      </c>
      <c r="AW243" s="26" t="str">
        <f>IFERROR($AC243*HDF_Limited_Col!AW243/HDF_Limited_Col!$AH243," ")</f>
        <v xml:space="preserve"> </v>
      </c>
      <c r="AX243" s="26" t="str">
        <f>IFERROR($AC243*HDF_Limited_Col!AX243/HDF_Limited_Col!$AH243," ")</f>
        <v xml:space="preserve"> </v>
      </c>
      <c r="AY243" s="26" t="str">
        <f>IFERROR($AC243*HDF_Limited_Col!AY243/HDF_Limited_Col!$AH243," ")</f>
        <v xml:space="preserve"> </v>
      </c>
      <c r="AZ243" s="26" t="str">
        <f>IFERROR($AC243*HDF_Limited_Col!AZ243/HDF_Limited_Col!$AH243," ")</f>
        <v xml:space="preserve"> </v>
      </c>
      <c r="BA243" s="26" t="str">
        <f>IFERROR($AC243*HDF_Limited_Col!BA243/HDF_Limited_Col!$AH243," ")</f>
        <v xml:space="preserve"> </v>
      </c>
      <c r="BB243" s="26" t="str">
        <f>IFERROR($AC243*HDF_Limited_Col!BB243/HDF_Limited_Col!$AH243," ")</f>
        <v xml:space="preserve"> </v>
      </c>
      <c r="BC243" s="26" t="str">
        <f>IFERROR($AC243*HDF_Limited_Col!BC243/HDF_Limited_Col!$AH243," ")</f>
        <v xml:space="preserve"> </v>
      </c>
      <c r="BD243" s="26" t="str">
        <f>IFERROR($AC243*HDF_Limited_Col!BD243/HDF_Limited_Col!$AH243," ")</f>
        <v xml:space="preserve"> </v>
      </c>
      <c r="BE243" s="26" t="str">
        <f>IFERROR($AC243*HDF_Limited_Col!BE243/HDF_Limited_Col!$AH243," ")</f>
        <v xml:space="preserve"> </v>
      </c>
      <c r="BF243" s="26" t="str">
        <f>IFERROR($AC243*HDF_Limited_Col!BF243/HDF_Limited_Col!$AH243," ")</f>
        <v xml:space="preserve"> </v>
      </c>
      <c r="BG243" s="26" t="str">
        <f>IFERROR($AC243*HDF_Limited_Col!BG243/HDF_Limited_Col!$AH243," ")</f>
        <v xml:space="preserve"> </v>
      </c>
      <c r="BH243" s="26" t="str">
        <f>IFERROR($AC243*HDF_Limited_Col!BH243/HDF_Limited_Col!$AH243," ")</f>
        <v xml:space="preserve"> </v>
      </c>
      <c r="BI243" s="26" t="str">
        <f>IFERROR($AC243*HDF_Limited_Col!BI243/HDF_Limited_Col!$AH243," ")</f>
        <v xml:space="preserve"> </v>
      </c>
      <c r="BJ243" s="26" t="str">
        <f>IFERROR($AC243*HDF_Limited_Col!BJ243/HDF_Limited_Col!$AH243," ")</f>
        <v xml:space="preserve"> </v>
      </c>
      <c r="BK243" s="26" t="str">
        <f>IFERROR($AC243*HDF_Limited_Col!BK243/HDF_Limited_Col!$AH243," ")</f>
        <v xml:space="preserve"> </v>
      </c>
      <c r="BL243" s="26" t="str">
        <f>IFERROR($AC243*HDF_Limited_Col!BL243/HDF_Limited_Col!$AH243," ")</f>
        <v xml:space="preserve"> </v>
      </c>
      <c r="BM243" s="26" t="str">
        <f>IFERROR($AC243*HDF_Limited_Col!BM243/HDF_Limited_Col!$AH243," ")</f>
        <v xml:space="preserve"> </v>
      </c>
      <c r="BN243" s="26" t="str">
        <f>IFERROR($AC243*HDF_Limited_Col!BN243/HDF_Limited_Col!$AH243," ")</f>
        <v xml:space="preserve"> </v>
      </c>
      <c r="BO243" s="26" t="str">
        <f>IFERROR($AC243*HDF_Limited_Col!BO243/HDF_Limited_Col!$AH243," ")</f>
        <v xml:space="preserve"> </v>
      </c>
      <c r="BP243" s="26" t="str">
        <f>IFERROR($AC243*HDF_Limited_Col!BP243/HDF_Limited_Col!$AH243," ")</f>
        <v xml:space="preserve"> </v>
      </c>
      <c r="BQ243" s="26" t="str">
        <f>IFERROR($AC243*HDF_Limited_Col!BQ243/HDF_Limited_Col!$AH243," ")</f>
        <v xml:space="preserve"> </v>
      </c>
      <c r="BR243" s="26" t="str">
        <f>IFERROR($AC243*HDF_Limited_Col!BR243/HDF_Limited_Col!$AH243," ")</f>
        <v xml:space="preserve"> </v>
      </c>
      <c r="BS243" s="26" t="str">
        <f>IFERROR($AC243*HDF_Limited_Col!BS243/HDF_Limited_Col!$AH243," ")</f>
        <v xml:space="preserve"> </v>
      </c>
      <c r="BT243" s="26" t="str">
        <f>IFERROR($AC243*HDF_Limited_Col!BT243/HDF_Limited_Col!$AH243," ")</f>
        <v xml:space="preserve"> </v>
      </c>
      <c r="BU243" s="26" t="str">
        <f>IFERROR($AC243*HDF_Limited_Col!BU243/HDF_Limited_Col!$AH243," ")</f>
        <v xml:space="preserve"> </v>
      </c>
      <c r="BV243" s="26" t="str">
        <f>IFERROR($AC243*HDF_Limited_Col!BV243/HDF_Limited_Col!$AH243," ")</f>
        <v xml:space="preserve"> </v>
      </c>
      <c r="BW243" s="26" t="str">
        <f>IFERROR($AC243*HDF_Limited_Col!BW243/HDF_Limited_Col!$AH243," ")</f>
        <v xml:space="preserve"> </v>
      </c>
      <c r="BX243" s="26" t="str">
        <f>IFERROR($AC243*HDF_Limited_Col!BX243/HDF_Limited_Col!$AH243," ")</f>
        <v xml:space="preserve"> </v>
      </c>
      <c r="BY243" s="26" t="str">
        <f>IFERROR($AC243*HDF_Limited_Col!BY243/HDF_Limited_Col!$AH243," ")</f>
        <v xml:space="preserve"> </v>
      </c>
      <c r="BZ243" s="26" t="str">
        <f>IFERROR($AC243*HDF_Limited_Col!BZ243/HDF_Limited_Col!$AH243," ")</f>
        <v xml:space="preserve"> </v>
      </c>
      <c r="CA243" s="26" t="str">
        <f>IFERROR($AC243*HDF_Limited_Col!CA243/HDF_Limited_Col!$AH243," ")</f>
        <v xml:space="preserve"> </v>
      </c>
      <c r="CB243" s="26" t="str">
        <f>IFERROR($AC243*HDF_Limited_Col!CB243/HDF_Limited_Col!$AH243," ")</f>
        <v xml:space="preserve"> </v>
      </c>
      <c r="CC243" s="26" t="str">
        <f>IFERROR($AC243*HDF_Limited_Col!CC243/HDF_Limited_Col!$AH243," ")</f>
        <v xml:space="preserve"> </v>
      </c>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row>
    <row r="244" spans="1:109">
      <c r="A244" s="26" t="s">
        <v>1656</v>
      </c>
      <c r="B244" s="53" t="s">
        <v>24</v>
      </c>
      <c r="C244" s="156" t="s">
        <v>541</v>
      </c>
      <c r="D244" s="53" t="s">
        <v>1724</v>
      </c>
      <c r="E244" s="53" t="s">
        <v>237</v>
      </c>
      <c r="F244" s="53" t="s">
        <v>849</v>
      </c>
      <c r="G244" s="53" t="s">
        <v>595</v>
      </c>
      <c r="H244" s="52">
        <v>364</v>
      </c>
      <c r="I244" s="53" t="s">
        <v>1148</v>
      </c>
      <c r="J244" s="53" t="s">
        <v>635</v>
      </c>
      <c r="K244" s="53" t="s">
        <v>1667</v>
      </c>
      <c r="L244" s="53"/>
      <c r="M244" s="53" t="s">
        <v>1671</v>
      </c>
      <c r="N244" s="53">
        <v>22</v>
      </c>
      <c r="O244" s="95">
        <v>47.837885837650205</v>
      </c>
      <c r="P244" s="95">
        <v>2.17171992191843</v>
      </c>
      <c r="Q244" s="95">
        <v>10.708480720980276</v>
      </c>
      <c r="R244" s="95">
        <v>7.5759999119458596</v>
      </c>
      <c r="S244" s="95">
        <v>4.1032496220578629</v>
      </c>
      <c r="T244" s="95">
        <v>1.7513870338051856</v>
      </c>
      <c r="U244" s="95">
        <v>0</v>
      </c>
      <c r="V244" s="95">
        <v>2.9423302167927119</v>
      </c>
      <c r="W244" s="95">
        <v>20.816485887513061</v>
      </c>
      <c r="X244" s="95">
        <v>1.7513870338051856</v>
      </c>
      <c r="Y244" s="95">
        <v>0.44034873992816093</v>
      </c>
      <c r="Z244" s="95">
        <v>100.09927492639693</v>
      </c>
      <c r="AA244" s="53"/>
      <c r="AB244" s="26"/>
      <c r="AC244" s="26">
        <f t="shared" si="4"/>
        <v>172805.41488197987</v>
      </c>
      <c r="AD244" s="26" t="str">
        <f>IFERROR($AC244*HDF_Limited_Col!AD244/HDF_Limited_Col!$AH244," ")</f>
        <v xml:space="preserve"> </v>
      </c>
      <c r="AE244" s="26" t="str">
        <f>IFERROR($AC244*HDF_Limited_Col!AE244/HDF_Limited_Col!$AH244," ")</f>
        <v xml:space="preserve"> </v>
      </c>
      <c r="AF244" s="26" t="str">
        <f>IFERROR($AC244*HDF_Limited_Col!AF244/HDF_Limited_Col!$AH244," ")</f>
        <v xml:space="preserve"> </v>
      </c>
      <c r="AG244" s="26" t="str">
        <f>IFERROR($AC244*HDF_Limited_Col!AG244/HDF_Limited_Col!$AH244," ")</f>
        <v xml:space="preserve"> </v>
      </c>
      <c r="AH244" s="26" t="str">
        <f>IFERROR($AC244*HDF_Limited_Col!AH244/HDF_Limited_Col!$AH244," ")</f>
        <v xml:space="preserve"> </v>
      </c>
      <c r="AI244" s="26" t="str">
        <f>IFERROR($AC244*HDF_Limited_Col!AI244/HDF_Limited_Col!$AH244," ")</f>
        <v xml:space="preserve"> </v>
      </c>
      <c r="AJ244" s="26" t="str">
        <f>IFERROR($AC244*HDF_Limited_Col!AJ244/HDF_Limited_Col!$AH244," ")</f>
        <v xml:space="preserve"> </v>
      </c>
      <c r="AK244" s="26" t="str">
        <f>IFERROR($AC244*HDF_Limited_Col!AK244/HDF_Limited_Col!$AH244," ")</f>
        <v xml:space="preserve"> </v>
      </c>
      <c r="AL244" s="26" t="str">
        <f>IFERROR($AC244*HDF_Limited_Col!AL244/HDF_Limited_Col!$AH244," ")</f>
        <v xml:space="preserve"> </v>
      </c>
      <c r="AM244" s="26" t="str">
        <f>IFERROR($AC244*HDF_Limited_Col!AM244/HDF_Limited_Col!$AH244," ")</f>
        <v xml:space="preserve"> </v>
      </c>
      <c r="AN244" s="26" t="str">
        <f>IFERROR($AC244*HDF_Limited_Col!AN244/HDF_Limited_Col!$AH244," ")</f>
        <v xml:space="preserve"> </v>
      </c>
      <c r="AO244" s="26" t="str">
        <f>IFERROR($AC244*HDF_Limited_Col!AO244/HDF_Limited_Col!$AH244," ")</f>
        <v xml:space="preserve"> </v>
      </c>
      <c r="AP244" s="26" t="str">
        <f>IFERROR($AC244*HDF_Limited_Col!AP244/HDF_Limited_Col!$AH244," ")</f>
        <v xml:space="preserve"> </v>
      </c>
      <c r="AQ244" s="26" t="str">
        <f>IFERROR($AC244*HDF_Limited_Col!AQ244/HDF_Limited_Col!$AH244," ")</f>
        <v xml:space="preserve"> </v>
      </c>
      <c r="AR244" s="26" t="str">
        <f>IFERROR($AC244*HDF_Limited_Col!AR244/HDF_Limited_Col!$AH244," ")</f>
        <v xml:space="preserve"> </v>
      </c>
      <c r="AS244" s="26" t="str">
        <f>IFERROR($AC244*HDF_Limited_Col!AS244/HDF_Limited_Col!$AH244," ")</f>
        <v xml:space="preserve"> </v>
      </c>
      <c r="AT244" s="26" t="str">
        <f>IFERROR($AC244*HDF_Limited_Col!AT244/HDF_Limited_Col!$AH244," ")</f>
        <v xml:space="preserve"> </v>
      </c>
      <c r="AU244" s="26" t="str">
        <f>IFERROR($AC244*HDF_Limited_Col!AU244/HDF_Limited_Col!$AH244," ")</f>
        <v xml:space="preserve"> </v>
      </c>
      <c r="AV244" s="26" t="str">
        <f>IFERROR($AC244*HDF_Limited_Col!AV244/HDF_Limited_Col!$AH244," ")</f>
        <v xml:space="preserve"> </v>
      </c>
      <c r="AW244" s="26" t="str">
        <f>IFERROR($AC244*HDF_Limited_Col!AW244/HDF_Limited_Col!$AH244," ")</f>
        <v xml:space="preserve"> </v>
      </c>
      <c r="AX244" s="26" t="str">
        <f>IFERROR($AC244*HDF_Limited_Col!AX244/HDF_Limited_Col!$AH244," ")</f>
        <v xml:space="preserve"> </v>
      </c>
      <c r="AY244" s="26" t="str">
        <f>IFERROR($AC244*HDF_Limited_Col!AY244/HDF_Limited_Col!$AH244," ")</f>
        <v xml:space="preserve"> </v>
      </c>
      <c r="AZ244" s="26" t="str">
        <f>IFERROR($AC244*HDF_Limited_Col!AZ244/HDF_Limited_Col!$AH244," ")</f>
        <v xml:space="preserve"> </v>
      </c>
      <c r="BA244" s="26" t="str">
        <f>IFERROR($AC244*HDF_Limited_Col!BA244/HDF_Limited_Col!$AH244," ")</f>
        <v xml:space="preserve"> </v>
      </c>
      <c r="BB244" s="26" t="str">
        <f>IFERROR($AC244*HDF_Limited_Col!BB244/HDF_Limited_Col!$AH244," ")</f>
        <v xml:space="preserve"> </v>
      </c>
      <c r="BC244" s="26" t="str">
        <f>IFERROR($AC244*HDF_Limited_Col!BC244/HDF_Limited_Col!$AH244," ")</f>
        <v xml:space="preserve"> </v>
      </c>
      <c r="BD244" s="26" t="str">
        <f>IFERROR($AC244*HDF_Limited_Col!BD244/HDF_Limited_Col!$AH244," ")</f>
        <v xml:space="preserve"> </v>
      </c>
      <c r="BE244" s="26" t="str">
        <f>IFERROR($AC244*HDF_Limited_Col!BE244/HDF_Limited_Col!$AH244," ")</f>
        <v xml:space="preserve"> </v>
      </c>
      <c r="BF244" s="26" t="str">
        <f>IFERROR($AC244*HDF_Limited_Col!BF244/HDF_Limited_Col!$AH244," ")</f>
        <v xml:space="preserve"> </v>
      </c>
      <c r="BG244" s="26" t="str">
        <f>IFERROR($AC244*HDF_Limited_Col!BG244/HDF_Limited_Col!$AH244," ")</f>
        <v xml:space="preserve"> </v>
      </c>
      <c r="BH244" s="26" t="str">
        <f>IFERROR($AC244*HDF_Limited_Col!BH244/HDF_Limited_Col!$AH244," ")</f>
        <v xml:space="preserve"> </v>
      </c>
      <c r="BI244" s="26" t="str">
        <f>IFERROR($AC244*HDF_Limited_Col!BI244/HDF_Limited_Col!$AH244," ")</f>
        <v xml:space="preserve"> </v>
      </c>
      <c r="BJ244" s="26" t="str">
        <f>IFERROR($AC244*HDF_Limited_Col!BJ244/HDF_Limited_Col!$AH244," ")</f>
        <v xml:space="preserve"> </v>
      </c>
      <c r="BK244" s="26" t="str">
        <f>IFERROR($AC244*HDF_Limited_Col!BK244/HDF_Limited_Col!$AH244," ")</f>
        <v xml:space="preserve"> </v>
      </c>
      <c r="BL244" s="26" t="str">
        <f>IFERROR($AC244*HDF_Limited_Col!BL244/HDF_Limited_Col!$AH244," ")</f>
        <v xml:space="preserve"> </v>
      </c>
      <c r="BM244" s="26" t="str">
        <f>IFERROR($AC244*HDF_Limited_Col!BM244/HDF_Limited_Col!$AH244," ")</f>
        <v xml:space="preserve"> </v>
      </c>
      <c r="BN244" s="26" t="str">
        <f>IFERROR($AC244*HDF_Limited_Col!BN244/HDF_Limited_Col!$AH244," ")</f>
        <v xml:space="preserve"> </v>
      </c>
      <c r="BO244" s="26" t="str">
        <f>IFERROR($AC244*HDF_Limited_Col!BO244/HDF_Limited_Col!$AH244," ")</f>
        <v xml:space="preserve"> </v>
      </c>
      <c r="BP244" s="26" t="str">
        <f>IFERROR($AC244*HDF_Limited_Col!BP244/HDF_Limited_Col!$AH244," ")</f>
        <v xml:space="preserve"> </v>
      </c>
      <c r="BQ244" s="26" t="str">
        <f>IFERROR($AC244*HDF_Limited_Col!BQ244/HDF_Limited_Col!$AH244," ")</f>
        <v xml:space="preserve"> </v>
      </c>
      <c r="BR244" s="26" t="str">
        <f>IFERROR($AC244*HDF_Limited_Col!BR244/HDF_Limited_Col!$AH244," ")</f>
        <v xml:space="preserve"> </v>
      </c>
      <c r="BS244" s="26" t="str">
        <f>IFERROR($AC244*HDF_Limited_Col!BS244/HDF_Limited_Col!$AH244," ")</f>
        <v xml:space="preserve"> </v>
      </c>
      <c r="BT244" s="26" t="str">
        <f>IFERROR($AC244*HDF_Limited_Col!BT244/HDF_Limited_Col!$AH244," ")</f>
        <v xml:space="preserve"> </v>
      </c>
      <c r="BU244" s="26" t="str">
        <f>IFERROR($AC244*HDF_Limited_Col!BU244/HDF_Limited_Col!$AH244," ")</f>
        <v xml:space="preserve"> </v>
      </c>
      <c r="BV244" s="26" t="str">
        <f>IFERROR($AC244*HDF_Limited_Col!BV244/HDF_Limited_Col!$AH244," ")</f>
        <v xml:space="preserve"> </v>
      </c>
      <c r="BW244" s="26" t="str">
        <f>IFERROR($AC244*HDF_Limited_Col!BW244/HDF_Limited_Col!$AH244," ")</f>
        <v xml:space="preserve"> </v>
      </c>
      <c r="BX244" s="26" t="str">
        <f>IFERROR($AC244*HDF_Limited_Col!BX244/HDF_Limited_Col!$AH244," ")</f>
        <v xml:space="preserve"> </v>
      </c>
      <c r="BY244" s="26" t="str">
        <f>IFERROR($AC244*HDF_Limited_Col!BY244/HDF_Limited_Col!$AH244," ")</f>
        <v xml:space="preserve"> </v>
      </c>
      <c r="BZ244" s="26" t="str">
        <f>IFERROR($AC244*HDF_Limited_Col!BZ244/HDF_Limited_Col!$AH244," ")</f>
        <v xml:space="preserve"> </v>
      </c>
      <c r="CA244" s="26" t="str">
        <f>IFERROR($AC244*HDF_Limited_Col!CA244/HDF_Limited_Col!$AH244," ")</f>
        <v xml:space="preserve"> </v>
      </c>
      <c r="CB244" s="26" t="str">
        <f>IFERROR($AC244*HDF_Limited_Col!CB244/HDF_Limited_Col!$AH244," ")</f>
        <v xml:space="preserve"> </v>
      </c>
      <c r="CC244" s="26" t="str">
        <f>IFERROR($AC244*HDF_Limited_Col!CC244/HDF_Limited_Col!$AH244," ")</f>
        <v xml:space="preserve"> </v>
      </c>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row>
    <row r="245" spans="1:109">
      <c r="A245" s="26" t="s">
        <v>1656</v>
      </c>
      <c r="B245" s="53" t="s">
        <v>24</v>
      </c>
      <c r="C245" s="156" t="s">
        <v>541</v>
      </c>
      <c r="D245" s="53" t="s">
        <v>1724</v>
      </c>
      <c r="E245" s="53" t="s">
        <v>237</v>
      </c>
      <c r="F245" s="53" t="s">
        <v>849</v>
      </c>
      <c r="G245" s="53" t="s">
        <v>595</v>
      </c>
      <c r="H245" s="52">
        <v>364</v>
      </c>
      <c r="I245" s="53" t="s">
        <v>1148</v>
      </c>
      <c r="J245" s="53" t="s">
        <v>635</v>
      </c>
      <c r="K245" s="53" t="s">
        <v>1667</v>
      </c>
      <c r="L245" s="53"/>
      <c r="M245" s="53" t="s">
        <v>1676</v>
      </c>
      <c r="N245" s="53">
        <v>30</v>
      </c>
      <c r="O245" s="95">
        <v>41.867877643460169</v>
      </c>
      <c r="P245" s="95">
        <v>1.3353543708825426</v>
      </c>
      <c r="Q245" s="95">
        <v>15.96401090002438</v>
      </c>
      <c r="R245" s="95">
        <v>3.6144930339677845</v>
      </c>
      <c r="S245" s="95">
        <v>1.1245089439010885</v>
      </c>
      <c r="T245" s="95">
        <v>5.4418200678070532</v>
      </c>
      <c r="U245" s="95">
        <v>0</v>
      </c>
      <c r="V245" s="95">
        <v>1.1144686854734003</v>
      </c>
      <c r="W245" s="95">
        <v>22.791386630852415</v>
      </c>
      <c r="X245" s="95">
        <v>6.2249602251667397</v>
      </c>
      <c r="Y245" s="95">
        <v>0.6726973146551154</v>
      </c>
      <c r="Z245" s="95">
        <v>100.15157781619068</v>
      </c>
      <c r="AA245" s="53"/>
      <c r="AB245" s="26"/>
      <c r="AC245" s="26">
        <f t="shared" si="4"/>
        <v>189199.80268343887</v>
      </c>
      <c r="AD245" s="26" t="str">
        <f>IFERROR($AC245*HDF_Limited_Col!AD245/HDF_Limited_Col!$AH245," ")</f>
        <v xml:space="preserve"> </v>
      </c>
      <c r="AE245" s="26" t="str">
        <f>IFERROR($AC245*HDF_Limited_Col!AE245/HDF_Limited_Col!$AH245," ")</f>
        <v xml:space="preserve"> </v>
      </c>
      <c r="AF245" s="26" t="str">
        <f>IFERROR($AC245*HDF_Limited_Col!AF245/HDF_Limited_Col!$AH245," ")</f>
        <v xml:space="preserve"> </v>
      </c>
      <c r="AG245" s="26" t="str">
        <f>IFERROR($AC245*HDF_Limited_Col!AG245/HDF_Limited_Col!$AH245," ")</f>
        <v xml:space="preserve"> </v>
      </c>
      <c r="AH245" s="26" t="str">
        <f>IFERROR($AC245*HDF_Limited_Col!AH245/HDF_Limited_Col!$AH245," ")</f>
        <v xml:space="preserve"> </v>
      </c>
      <c r="AI245" s="26" t="str">
        <f>IFERROR($AC245*HDF_Limited_Col!AI245/HDF_Limited_Col!$AH245," ")</f>
        <v xml:space="preserve"> </v>
      </c>
      <c r="AJ245" s="26" t="str">
        <f>IFERROR($AC245*HDF_Limited_Col!AJ245/HDF_Limited_Col!$AH245," ")</f>
        <v xml:space="preserve"> </v>
      </c>
      <c r="AK245" s="26" t="str">
        <f>IFERROR($AC245*HDF_Limited_Col!AK245/HDF_Limited_Col!$AH245," ")</f>
        <v xml:space="preserve"> </v>
      </c>
      <c r="AL245" s="26" t="str">
        <f>IFERROR($AC245*HDF_Limited_Col!AL245/HDF_Limited_Col!$AH245," ")</f>
        <v xml:space="preserve"> </v>
      </c>
      <c r="AM245" s="26" t="str">
        <f>IFERROR($AC245*HDF_Limited_Col!AM245/HDF_Limited_Col!$AH245," ")</f>
        <v xml:space="preserve"> </v>
      </c>
      <c r="AN245" s="26" t="str">
        <f>IFERROR($AC245*HDF_Limited_Col!AN245/HDF_Limited_Col!$AH245," ")</f>
        <v xml:space="preserve"> </v>
      </c>
      <c r="AO245" s="26" t="str">
        <f>IFERROR($AC245*HDF_Limited_Col!AO245/HDF_Limited_Col!$AH245," ")</f>
        <v xml:space="preserve"> </v>
      </c>
      <c r="AP245" s="26" t="str">
        <f>IFERROR($AC245*HDF_Limited_Col!AP245/HDF_Limited_Col!$AH245," ")</f>
        <v xml:space="preserve"> </v>
      </c>
      <c r="AQ245" s="26" t="str">
        <f>IFERROR($AC245*HDF_Limited_Col!AQ245/HDF_Limited_Col!$AH245," ")</f>
        <v xml:space="preserve"> </v>
      </c>
      <c r="AR245" s="26" t="str">
        <f>IFERROR($AC245*HDF_Limited_Col!AR245/HDF_Limited_Col!$AH245," ")</f>
        <v xml:space="preserve"> </v>
      </c>
      <c r="AS245" s="26" t="str">
        <f>IFERROR($AC245*HDF_Limited_Col!AS245/HDF_Limited_Col!$AH245," ")</f>
        <v xml:space="preserve"> </v>
      </c>
      <c r="AT245" s="26" t="str">
        <f>IFERROR($AC245*HDF_Limited_Col!AT245/HDF_Limited_Col!$AH245," ")</f>
        <v xml:space="preserve"> </v>
      </c>
      <c r="AU245" s="26" t="str">
        <f>IFERROR($AC245*HDF_Limited_Col!AU245/HDF_Limited_Col!$AH245," ")</f>
        <v xml:space="preserve"> </v>
      </c>
      <c r="AV245" s="26" t="str">
        <f>IFERROR($AC245*HDF_Limited_Col!AV245/HDF_Limited_Col!$AH245," ")</f>
        <v xml:space="preserve"> </v>
      </c>
      <c r="AW245" s="26" t="str">
        <f>IFERROR($AC245*HDF_Limited_Col!AW245/HDF_Limited_Col!$AH245," ")</f>
        <v xml:space="preserve"> </v>
      </c>
      <c r="AX245" s="26" t="str">
        <f>IFERROR($AC245*HDF_Limited_Col!AX245/HDF_Limited_Col!$AH245," ")</f>
        <v xml:space="preserve"> </v>
      </c>
      <c r="AY245" s="26" t="str">
        <f>IFERROR($AC245*HDF_Limited_Col!AY245/HDF_Limited_Col!$AH245," ")</f>
        <v xml:space="preserve"> </v>
      </c>
      <c r="AZ245" s="26" t="str">
        <f>IFERROR($AC245*HDF_Limited_Col!AZ245/HDF_Limited_Col!$AH245," ")</f>
        <v xml:space="preserve"> </v>
      </c>
      <c r="BA245" s="26" t="str">
        <f>IFERROR($AC245*HDF_Limited_Col!BA245/HDF_Limited_Col!$AH245," ")</f>
        <v xml:space="preserve"> </v>
      </c>
      <c r="BB245" s="26" t="str">
        <f>IFERROR($AC245*HDF_Limited_Col!BB245/HDF_Limited_Col!$AH245," ")</f>
        <v xml:space="preserve"> </v>
      </c>
      <c r="BC245" s="26" t="str">
        <f>IFERROR($AC245*HDF_Limited_Col!BC245/HDF_Limited_Col!$AH245," ")</f>
        <v xml:space="preserve"> </v>
      </c>
      <c r="BD245" s="26" t="str">
        <f>IFERROR($AC245*HDF_Limited_Col!BD245/HDF_Limited_Col!$AH245," ")</f>
        <v xml:space="preserve"> </v>
      </c>
      <c r="BE245" s="26" t="str">
        <f>IFERROR($AC245*HDF_Limited_Col!BE245/HDF_Limited_Col!$AH245," ")</f>
        <v xml:space="preserve"> </v>
      </c>
      <c r="BF245" s="26" t="str">
        <f>IFERROR($AC245*HDF_Limited_Col!BF245/HDF_Limited_Col!$AH245," ")</f>
        <v xml:space="preserve"> </v>
      </c>
      <c r="BG245" s="26" t="str">
        <f>IFERROR($AC245*HDF_Limited_Col!BG245/HDF_Limited_Col!$AH245," ")</f>
        <v xml:space="preserve"> </v>
      </c>
      <c r="BH245" s="26" t="str">
        <f>IFERROR($AC245*HDF_Limited_Col!BH245/HDF_Limited_Col!$AH245," ")</f>
        <v xml:space="preserve"> </v>
      </c>
      <c r="BI245" s="26" t="str">
        <f>IFERROR($AC245*HDF_Limited_Col!BI245/HDF_Limited_Col!$AH245," ")</f>
        <v xml:space="preserve"> </v>
      </c>
      <c r="BJ245" s="26" t="str">
        <f>IFERROR($AC245*HDF_Limited_Col!BJ245/HDF_Limited_Col!$AH245," ")</f>
        <v xml:space="preserve"> </v>
      </c>
      <c r="BK245" s="26" t="str">
        <f>IFERROR($AC245*HDF_Limited_Col!BK245/HDF_Limited_Col!$AH245," ")</f>
        <v xml:space="preserve"> </v>
      </c>
      <c r="BL245" s="26" t="str">
        <f>IFERROR($AC245*HDF_Limited_Col!BL245/HDF_Limited_Col!$AH245," ")</f>
        <v xml:space="preserve"> </v>
      </c>
      <c r="BM245" s="26" t="str">
        <f>IFERROR($AC245*HDF_Limited_Col!BM245/HDF_Limited_Col!$AH245," ")</f>
        <v xml:space="preserve"> </v>
      </c>
      <c r="BN245" s="26" t="str">
        <f>IFERROR($AC245*HDF_Limited_Col!BN245/HDF_Limited_Col!$AH245," ")</f>
        <v xml:space="preserve"> </v>
      </c>
      <c r="BO245" s="26" t="str">
        <f>IFERROR($AC245*HDF_Limited_Col!BO245/HDF_Limited_Col!$AH245," ")</f>
        <v xml:space="preserve"> </v>
      </c>
      <c r="BP245" s="26" t="str">
        <f>IFERROR($AC245*HDF_Limited_Col!BP245/HDF_Limited_Col!$AH245," ")</f>
        <v xml:space="preserve"> </v>
      </c>
      <c r="BQ245" s="26" t="str">
        <f>IFERROR($AC245*HDF_Limited_Col!BQ245/HDF_Limited_Col!$AH245," ")</f>
        <v xml:space="preserve"> </v>
      </c>
      <c r="BR245" s="26" t="str">
        <f>IFERROR($AC245*HDF_Limited_Col!BR245/HDF_Limited_Col!$AH245," ")</f>
        <v xml:space="preserve"> </v>
      </c>
      <c r="BS245" s="26" t="str">
        <f>IFERROR($AC245*HDF_Limited_Col!BS245/HDF_Limited_Col!$AH245," ")</f>
        <v xml:space="preserve"> </v>
      </c>
      <c r="BT245" s="26" t="str">
        <f>IFERROR($AC245*HDF_Limited_Col!BT245/HDF_Limited_Col!$AH245," ")</f>
        <v xml:space="preserve"> </v>
      </c>
      <c r="BU245" s="26" t="str">
        <f>IFERROR($AC245*HDF_Limited_Col!BU245/HDF_Limited_Col!$AH245," ")</f>
        <v xml:space="preserve"> </v>
      </c>
      <c r="BV245" s="26" t="str">
        <f>IFERROR($AC245*HDF_Limited_Col!BV245/HDF_Limited_Col!$AH245," ")</f>
        <v xml:space="preserve"> </v>
      </c>
      <c r="BW245" s="26" t="str">
        <f>IFERROR($AC245*HDF_Limited_Col!BW245/HDF_Limited_Col!$AH245," ")</f>
        <v xml:space="preserve"> </v>
      </c>
      <c r="BX245" s="26" t="str">
        <f>IFERROR($AC245*HDF_Limited_Col!BX245/HDF_Limited_Col!$AH245," ")</f>
        <v xml:space="preserve"> </v>
      </c>
      <c r="BY245" s="26" t="str">
        <f>IFERROR($AC245*HDF_Limited_Col!BY245/HDF_Limited_Col!$AH245," ")</f>
        <v xml:space="preserve"> </v>
      </c>
      <c r="BZ245" s="26" t="str">
        <f>IFERROR($AC245*HDF_Limited_Col!BZ245/HDF_Limited_Col!$AH245," ")</f>
        <v xml:space="preserve"> </v>
      </c>
      <c r="CA245" s="26" t="str">
        <f>IFERROR($AC245*HDF_Limited_Col!CA245/HDF_Limited_Col!$AH245," ")</f>
        <v xml:space="preserve"> </v>
      </c>
      <c r="CB245" s="26" t="str">
        <f>IFERROR($AC245*HDF_Limited_Col!CB245/HDF_Limited_Col!$AH245," ")</f>
        <v xml:space="preserve"> </v>
      </c>
      <c r="CC245" s="26" t="str">
        <f>IFERROR($AC245*HDF_Limited_Col!CC245/HDF_Limited_Col!$AH245," ")</f>
        <v xml:space="preserve"> </v>
      </c>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row>
    <row r="246" spans="1:109">
      <c r="A246" s="26" t="s">
        <v>905</v>
      </c>
      <c r="B246" s="26" t="s">
        <v>24</v>
      </c>
      <c r="C246" s="157" t="s">
        <v>1722</v>
      </c>
      <c r="D246" s="26" t="s">
        <v>71</v>
      </c>
      <c r="E246" s="26" t="s">
        <v>1627</v>
      </c>
      <c r="F246" s="26" t="s">
        <v>102</v>
      </c>
      <c r="G246" s="26"/>
      <c r="H246" s="30"/>
      <c r="I246" s="26" t="s">
        <v>712</v>
      </c>
      <c r="J246" s="26"/>
      <c r="K246" s="26" t="s">
        <v>48</v>
      </c>
      <c r="L246" s="26"/>
      <c r="M246" s="26" t="s">
        <v>906</v>
      </c>
      <c r="N246" s="26">
        <v>41</v>
      </c>
      <c r="O246" s="95">
        <v>25.643970137992188</v>
      </c>
      <c r="P246" s="95">
        <v>2.9673585839381649</v>
      </c>
      <c r="Q246" s="95">
        <v>2.8444698464310334</v>
      </c>
      <c r="R246" s="95">
        <v>13.183621296509207</v>
      </c>
      <c r="S246" s="95">
        <v>7.0760476028863835</v>
      </c>
      <c r="T246" s="95">
        <v>16.205420830515425</v>
      </c>
      <c r="U246" s="95">
        <v>4.1045237860082695</v>
      </c>
      <c r="V246" s="95">
        <v>3.9122240651379094</v>
      </c>
      <c r="W246" s="95">
        <v>15.226608070884447</v>
      </c>
      <c r="X246" s="95">
        <v>5.1213488128810241</v>
      </c>
      <c r="Y246" s="95">
        <v>4.7969299443943445</v>
      </c>
      <c r="Z246" s="95">
        <v>101.08252297757841</v>
      </c>
      <c r="AA246" s="26"/>
      <c r="AB246" s="26"/>
      <c r="AC246" s="26">
        <f t="shared" si="4"/>
        <v>126401.75383842578</v>
      </c>
      <c r="AD246" s="26" t="str">
        <f>IFERROR($AC246*HDF_Limited_Col!AD246/HDF_Limited_Col!$AH246," ")</f>
        <v xml:space="preserve"> </v>
      </c>
      <c r="AE246" s="26" t="str">
        <f>IFERROR($AC246*HDF_Limited_Col!AE246/HDF_Limited_Col!$AH246," ")</f>
        <v xml:space="preserve"> </v>
      </c>
      <c r="AF246" s="26" t="str">
        <f>IFERROR($AC246*HDF_Limited_Col!AF246/HDF_Limited_Col!$AH246," ")</f>
        <v xml:space="preserve"> </v>
      </c>
      <c r="AG246" s="26" t="str">
        <f>IFERROR($AC246*HDF_Limited_Col!AG246/HDF_Limited_Col!$AH246," ")</f>
        <v xml:space="preserve"> </v>
      </c>
      <c r="AH246" s="26" t="str">
        <f>IFERROR($AC246*HDF_Limited_Col!AH246/HDF_Limited_Col!$AH246," ")</f>
        <v xml:space="preserve"> </v>
      </c>
      <c r="AI246" s="26" t="str">
        <f>IFERROR($AC246*HDF_Limited_Col!AI246/HDF_Limited_Col!$AH246," ")</f>
        <v xml:space="preserve"> </v>
      </c>
      <c r="AJ246" s="26" t="str">
        <f>IFERROR($AC246*HDF_Limited_Col!AJ246/HDF_Limited_Col!$AH246," ")</f>
        <v xml:space="preserve"> </v>
      </c>
      <c r="AK246" s="26" t="str">
        <f>IFERROR($AC246*HDF_Limited_Col!AK246/HDF_Limited_Col!$AH246," ")</f>
        <v xml:space="preserve"> </v>
      </c>
      <c r="AL246" s="26" t="str">
        <f>IFERROR($AC246*HDF_Limited_Col!AL246/HDF_Limited_Col!$AH246," ")</f>
        <v xml:space="preserve"> </v>
      </c>
      <c r="AM246" s="26" t="str">
        <f>IFERROR($AC246*HDF_Limited_Col!AM246/HDF_Limited_Col!$AH246," ")</f>
        <v xml:space="preserve"> </v>
      </c>
      <c r="AN246" s="26" t="str">
        <f>IFERROR($AC246*HDF_Limited_Col!AN246/HDF_Limited_Col!$AH246," ")</f>
        <v xml:space="preserve"> </v>
      </c>
      <c r="AO246" s="26" t="str">
        <f>IFERROR($AC246*HDF_Limited_Col!AO246/HDF_Limited_Col!$AH246," ")</f>
        <v xml:space="preserve"> </v>
      </c>
      <c r="AP246" s="26" t="str">
        <f>IFERROR($AC246*HDF_Limited_Col!AP246/HDF_Limited_Col!$AH246," ")</f>
        <v xml:space="preserve"> </v>
      </c>
      <c r="AQ246" s="26" t="str">
        <f>IFERROR($AC246*HDF_Limited_Col!AQ246/HDF_Limited_Col!$AH246," ")</f>
        <v xml:space="preserve"> </v>
      </c>
      <c r="AR246" s="26" t="str">
        <f>IFERROR($AC246*HDF_Limited_Col!AR246/HDF_Limited_Col!$AH246," ")</f>
        <v xml:space="preserve"> </v>
      </c>
      <c r="AS246" s="26" t="str">
        <f>IFERROR($AC246*HDF_Limited_Col!AS246/HDF_Limited_Col!$AH246," ")</f>
        <v xml:space="preserve"> </v>
      </c>
      <c r="AT246" s="26" t="str">
        <f>IFERROR($AC246*HDF_Limited_Col!AT246/HDF_Limited_Col!$AH246," ")</f>
        <v xml:space="preserve"> </v>
      </c>
      <c r="AU246" s="26" t="str">
        <f>IFERROR($AC246*HDF_Limited_Col!AU246/HDF_Limited_Col!$AH246," ")</f>
        <v xml:space="preserve"> </v>
      </c>
      <c r="AV246" s="26" t="str">
        <f>IFERROR($AC246*HDF_Limited_Col!AV246/HDF_Limited_Col!$AH246," ")</f>
        <v xml:space="preserve"> </v>
      </c>
      <c r="AW246" s="26" t="str">
        <f>IFERROR($AC246*HDF_Limited_Col!AW246/HDF_Limited_Col!$AH246," ")</f>
        <v xml:space="preserve"> </v>
      </c>
      <c r="AX246" s="26" t="str">
        <f>IFERROR($AC246*HDF_Limited_Col!AX246/HDF_Limited_Col!$AH246," ")</f>
        <v xml:space="preserve"> </v>
      </c>
      <c r="AY246" s="26" t="str">
        <f>IFERROR($AC246*HDF_Limited_Col!AY246/HDF_Limited_Col!$AH246," ")</f>
        <v xml:space="preserve"> </v>
      </c>
      <c r="AZ246" s="26" t="str">
        <f>IFERROR($AC246*HDF_Limited_Col!AZ246/HDF_Limited_Col!$AH246," ")</f>
        <v xml:space="preserve"> </v>
      </c>
      <c r="BA246" s="26" t="str">
        <f>IFERROR($AC246*HDF_Limited_Col!BA246/HDF_Limited_Col!$AH246," ")</f>
        <v xml:space="preserve"> </v>
      </c>
      <c r="BB246" s="26" t="str">
        <f>IFERROR($AC246*HDF_Limited_Col!BB246/HDF_Limited_Col!$AH246," ")</f>
        <v xml:space="preserve"> </v>
      </c>
      <c r="BC246" s="26" t="str">
        <f>IFERROR($AC246*HDF_Limited_Col!BC246/HDF_Limited_Col!$AH246," ")</f>
        <v xml:space="preserve"> </v>
      </c>
      <c r="BD246" s="26" t="str">
        <f>IFERROR($AC246*HDF_Limited_Col!BD246/HDF_Limited_Col!$AH246," ")</f>
        <v xml:space="preserve"> </v>
      </c>
      <c r="BE246" s="26" t="str">
        <f>IFERROR($AC246*HDF_Limited_Col!BE246/HDF_Limited_Col!$AH246," ")</f>
        <v xml:space="preserve"> </v>
      </c>
      <c r="BF246" s="26" t="str">
        <f>IFERROR($AC246*HDF_Limited_Col!BF246/HDF_Limited_Col!$AH246," ")</f>
        <v xml:space="preserve"> </v>
      </c>
      <c r="BG246" s="26" t="str">
        <f>IFERROR($AC246*HDF_Limited_Col!BG246/HDF_Limited_Col!$AH246," ")</f>
        <v xml:space="preserve"> </v>
      </c>
      <c r="BH246" s="26" t="str">
        <f>IFERROR($AC246*HDF_Limited_Col!BH246/HDF_Limited_Col!$AH246," ")</f>
        <v xml:space="preserve"> </v>
      </c>
      <c r="BI246" s="26" t="str">
        <f>IFERROR($AC246*HDF_Limited_Col!BI246/HDF_Limited_Col!$AH246," ")</f>
        <v xml:space="preserve"> </v>
      </c>
      <c r="BJ246" s="26" t="str">
        <f>IFERROR($AC246*HDF_Limited_Col!BJ246/HDF_Limited_Col!$AH246," ")</f>
        <v xml:space="preserve"> </v>
      </c>
      <c r="BK246" s="26" t="str">
        <f>IFERROR($AC246*HDF_Limited_Col!BK246/HDF_Limited_Col!$AH246," ")</f>
        <v xml:space="preserve"> </v>
      </c>
      <c r="BL246" s="26" t="str">
        <f>IFERROR($AC246*HDF_Limited_Col!BL246/HDF_Limited_Col!$AH246," ")</f>
        <v xml:space="preserve"> </v>
      </c>
      <c r="BM246" s="26" t="str">
        <f>IFERROR($AC246*HDF_Limited_Col!BM246/HDF_Limited_Col!$AH246," ")</f>
        <v xml:space="preserve"> </v>
      </c>
      <c r="BN246" s="26" t="str">
        <f>IFERROR($AC246*HDF_Limited_Col!BN246/HDF_Limited_Col!$AH246," ")</f>
        <v xml:space="preserve"> </v>
      </c>
      <c r="BO246" s="26" t="str">
        <f>IFERROR($AC246*HDF_Limited_Col!BO246/HDF_Limited_Col!$AH246," ")</f>
        <v xml:space="preserve"> </v>
      </c>
      <c r="BP246" s="26" t="str">
        <f>IFERROR($AC246*HDF_Limited_Col!BP246/HDF_Limited_Col!$AH246," ")</f>
        <v xml:space="preserve"> </v>
      </c>
      <c r="BQ246" s="26" t="str">
        <f>IFERROR($AC246*HDF_Limited_Col!BQ246/HDF_Limited_Col!$AH246," ")</f>
        <v xml:space="preserve"> </v>
      </c>
      <c r="BR246" s="26" t="str">
        <f>IFERROR($AC246*HDF_Limited_Col!BR246/HDF_Limited_Col!$AH246," ")</f>
        <v xml:space="preserve"> </v>
      </c>
      <c r="BS246" s="26" t="str">
        <f>IFERROR($AC246*HDF_Limited_Col!BS246/HDF_Limited_Col!$AH246," ")</f>
        <v xml:space="preserve"> </v>
      </c>
      <c r="BT246" s="26" t="str">
        <f>IFERROR($AC246*HDF_Limited_Col!BT246/HDF_Limited_Col!$AH246," ")</f>
        <v xml:space="preserve"> </v>
      </c>
      <c r="BU246" s="26" t="str">
        <f>IFERROR($AC246*HDF_Limited_Col!BU246/HDF_Limited_Col!$AH246," ")</f>
        <v xml:space="preserve"> </v>
      </c>
      <c r="BV246" s="26" t="str">
        <f>IFERROR($AC246*HDF_Limited_Col!BV246/HDF_Limited_Col!$AH246," ")</f>
        <v xml:space="preserve"> </v>
      </c>
      <c r="BW246" s="26" t="str">
        <f>IFERROR($AC246*HDF_Limited_Col!BW246/HDF_Limited_Col!$AH246," ")</f>
        <v xml:space="preserve"> </v>
      </c>
      <c r="BX246" s="26" t="str">
        <f>IFERROR($AC246*HDF_Limited_Col!BX246/HDF_Limited_Col!$AH246," ")</f>
        <v xml:space="preserve"> </v>
      </c>
      <c r="BY246" s="26" t="str">
        <f>IFERROR($AC246*HDF_Limited_Col!BY246/HDF_Limited_Col!$AH246," ")</f>
        <v xml:space="preserve"> </v>
      </c>
      <c r="BZ246" s="26" t="str">
        <f>IFERROR($AC246*HDF_Limited_Col!BZ246/HDF_Limited_Col!$AH246," ")</f>
        <v xml:space="preserve"> </v>
      </c>
      <c r="CA246" s="26" t="str">
        <f>IFERROR($AC246*HDF_Limited_Col!CA246/HDF_Limited_Col!$AH246," ")</f>
        <v xml:space="preserve"> </v>
      </c>
      <c r="CB246" s="26" t="str">
        <f>IFERROR($AC246*HDF_Limited_Col!CB246/HDF_Limited_Col!$AH246," ")</f>
        <v xml:space="preserve"> </v>
      </c>
      <c r="CC246" s="26" t="str">
        <f>IFERROR($AC246*HDF_Limited_Col!CC246/HDF_Limited_Col!$AH246," ")</f>
        <v xml:space="preserve"> </v>
      </c>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row>
    <row r="247" spans="1:109">
      <c r="A247" s="26" t="s">
        <v>905</v>
      </c>
      <c r="B247" s="26" t="s">
        <v>24</v>
      </c>
      <c r="C247" s="157" t="s">
        <v>1722</v>
      </c>
      <c r="D247" s="26" t="s">
        <v>71</v>
      </c>
      <c r="E247" s="26" t="s">
        <v>1627</v>
      </c>
      <c r="F247" s="26" t="s">
        <v>102</v>
      </c>
      <c r="G247" s="26"/>
      <c r="H247" s="30"/>
      <c r="I247" s="26" t="s">
        <v>712</v>
      </c>
      <c r="J247" s="26"/>
      <c r="K247" s="26" t="s">
        <v>48</v>
      </c>
      <c r="L247" s="26" t="s">
        <v>773</v>
      </c>
      <c r="M247" s="26" t="s">
        <v>907</v>
      </c>
      <c r="N247" s="26">
        <v>23</v>
      </c>
      <c r="O247" s="95">
        <v>25.406357304550927</v>
      </c>
      <c r="P247" s="95">
        <v>3.1185653909974222</v>
      </c>
      <c r="Q247" s="95">
        <v>2.5930785957868614</v>
      </c>
      <c r="R247" s="95">
        <v>13.483761596502545</v>
      </c>
      <c r="S247" s="95">
        <v>6.9912527359296011</v>
      </c>
      <c r="T247" s="95">
        <v>16.893372559075726</v>
      </c>
      <c r="U247" s="95">
        <v>2.1663605725008654</v>
      </c>
      <c r="V247" s="95">
        <v>4.5377372186040734</v>
      </c>
      <c r="W247" s="95">
        <v>15.700670279957105</v>
      </c>
      <c r="X247" s="95">
        <v>5.3722403173285285</v>
      </c>
      <c r="Y247" s="95">
        <v>4.8255953205743563</v>
      </c>
      <c r="Z247" s="95">
        <v>101.08899189180801</v>
      </c>
      <c r="AA247" s="26">
        <v>0</v>
      </c>
      <c r="AB247" s="26">
        <v>0</v>
      </c>
      <c r="AC247" s="26">
        <f t="shared" si="4"/>
        <v>130337.12108347117</v>
      </c>
      <c r="AD247" s="26" t="str">
        <f>IFERROR($AC247*HDF_Limited_Col!AD247/HDF_Limited_Col!$AH247," ")</f>
        <v xml:space="preserve"> </v>
      </c>
      <c r="AE247" s="26" t="str">
        <f>IFERROR($AC247*HDF_Limited_Col!AE247/HDF_Limited_Col!$AH247," ")</f>
        <v xml:space="preserve"> </v>
      </c>
      <c r="AF247" s="26" t="str">
        <f>IFERROR($AC247*HDF_Limited_Col!AF247/HDF_Limited_Col!$AH247," ")</f>
        <v xml:space="preserve"> </v>
      </c>
      <c r="AG247" s="26" t="str">
        <f>IFERROR($AC247*HDF_Limited_Col!AG247/HDF_Limited_Col!$AH247," ")</f>
        <v xml:space="preserve"> </v>
      </c>
      <c r="AH247" s="26" t="str">
        <f>IFERROR($AC247*HDF_Limited_Col!AH247/HDF_Limited_Col!$AH247," ")</f>
        <v xml:space="preserve"> </v>
      </c>
      <c r="AI247" s="26" t="str">
        <f>IFERROR($AC247*HDF_Limited_Col!AI247/HDF_Limited_Col!$AH247," ")</f>
        <v xml:space="preserve"> </v>
      </c>
      <c r="AJ247" s="26" t="str">
        <f>IFERROR($AC247*HDF_Limited_Col!AJ247/HDF_Limited_Col!$AH247," ")</f>
        <v xml:space="preserve"> </v>
      </c>
      <c r="AK247" s="26" t="str">
        <f>IFERROR($AC247*HDF_Limited_Col!AK247/HDF_Limited_Col!$AH247," ")</f>
        <v xml:space="preserve"> </v>
      </c>
      <c r="AL247" s="26" t="str">
        <f>IFERROR($AC247*HDF_Limited_Col!AL247/HDF_Limited_Col!$AH247," ")</f>
        <v xml:space="preserve"> </v>
      </c>
      <c r="AM247" s="26" t="str">
        <f>IFERROR($AC247*HDF_Limited_Col!AM247/HDF_Limited_Col!$AH247," ")</f>
        <v xml:space="preserve"> </v>
      </c>
      <c r="AN247" s="26" t="str">
        <f>IFERROR($AC247*HDF_Limited_Col!AN247/HDF_Limited_Col!$AH247," ")</f>
        <v xml:space="preserve"> </v>
      </c>
      <c r="AO247" s="26" t="str">
        <f>IFERROR($AC247*HDF_Limited_Col!AO247/HDF_Limited_Col!$AH247," ")</f>
        <v xml:space="preserve"> </v>
      </c>
      <c r="AP247" s="26" t="str">
        <f>IFERROR($AC247*HDF_Limited_Col!AP247/HDF_Limited_Col!$AH247," ")</f>
        <v xml:space="preserve"> </v>
      </c>
      <c r="AQ247" s="26" t="str">
        <f>IFERROR($AC247*HDF_Limited_Col!AQ247/HDF_Limited_Col!$AH247," ")</f>
        <v xml:space="preserve"> </v>
      </c>
      <c r="AR247" s="26" t="str">
        <f>IFERROR($AC247*HDF_Limited_Col!AR247/HDF_Limited_Col!$AH247," ")</f>
        <v xml:space="preserve"> </v>
      </c>
      <c r="AS247" s="26" t="str">
        <f>IFERROR($AC247*HDF_Limited_Col!AS247/HDF_Limited_Col!$AH247," ")</f>
        <v xml:space="preserve"> </v>
      </c>
      <c r="AT247" s="26" t="str">
        <f>IFERROR($AC247*HDF_Limited_Col!AT247/HDF_Limited_Col!$AH247," ")</f>
        <v xml:space="preserve"> </v>
      </c>
      <c r="AU247" s="26" t="str">
        <f>IFERROR($AC247*HDF_Limited_Col!AU247/HDF_Limited_Col!$AH247," ")</f>
        <v xml:space="preserve"> </v>
      </c>
      <c r="AV247" s="26" t="str">
        <f>IFERROR($AC247*HDF_Limited_Col!AV247/HDF_Limited_Col!$AH247," ")</f>
        <v xml:space="preserve"> </v>
      </c>
      <c r="AW247" s="26" t="str">
        <f>IFERROR($AC247*HDF_Limited_Col!AW247/HDF_Limited_Col!$AH247," ")</f>
        <v xml:space="preserve"> </v>
      </c>
      <c r="AX247" s="26" t="str">
        <f>IFERROR($AC247*HDF_Limited_Col!AX247/HDF_Limited_Col!$AH247," ")</f>
        <v xml:space="preserve"> </v>
      </c>
      <c r="AY247" s="26" t="str">
        <f>IFERROR($AC247*HDF_Limited_Col!AY247/HDF_Limited_Col!$AH247," ")</f>
        <v xml:space="preserve"> </v>
      </c>
      <c r="AZ247" s="26" t="str">
        <f>IFERROR($AC247*HDF_Limited_Col!AZ247/HDF_Limited_Col!$AH247," ")</f>
        <v xml:space="preserve"> </v>
      </c>
      <c r="BA247" s="26" t="str">
        <f>IFERROR($AC247*HDF_Limited_Col!BA247/HDF_Limited_Col!$AH247," ")</f>
        <v xml:space="preserve"> </v>
      </c>
      <c r="BB247" s="26" t="str">
        <f>IFERROR($AC247*HDF_Limited_Col!BB247/HDF_Limited_Col!$AH247," ")</f>
        <v xml:space="preserve"> </v>
      </c>
      <c r="BC247" s="26" t="str">
        <f>IFERROR($AC247*HDF_Limited_Col!BC247/HDF_Limited_Col!$AH247," ")</f>
        <v xml:space="preserve"> </v>
      </c>
      <c r="BD247" s="26" t="str">
        <f>IFERROR($AC247*HDF_Limited_Col!BD247/HDF_Limited_Col!$AH247," ")</f>
        <v xml:space="preserve"> </v>
      </c>
      <c r="BE247" s="26" t="str">
        <f>IFERROR($AC247*HDF_Limited_Col!BE247/HDF_Limited_Col!$AH247," ")</f>
        <v xml:space="preserve"> </v>
      </c>
      <c r="BF247" s="26" t="str">
        <f>IFERROR($AC247*HDF_Limited_Col!BF247/HDF_Limited_Col!$AH247," ")</f>
        <v xml:space="preserve"> </v>
      </c>
      <c r="BG247" s="26" t="str">
        <f>IFERROR($AC247*HDF_Limited_Col!BG247/HDF_Limited_Col!$AH247," ")</f>
        <v xml:space="preserve"> </v>
      </c>
      <c r="BH247" s="26" t="str">
        <f>IFERROR($AC247*HDF_Limited_Col!BH247/HDF_Limited_Col!$AH247," ")</f>
        <v xml:space="preserve"> </v>
      </c>
      <c r="BI247" s="26" t="str">
        <f>IFERROR($AC247*HDF_Limited_Col!BI247/HDF_Limited_Col!$AH247," ")</f>
        <v xml:space="preserve"> </v>
      </c>
      <c r="BJ247" s="26" t="str">
        <f>IFERROR($AC247*HDF_Limited_Col!BJ247/HDF_Limited_Col!$AH247," ")</f>
        <v xml:space="preserve"> </v>
      </c>
      <c r="BK247" s="26" t="str">
        <f>IFERROR($AC247*HDF_Limited_Col!BK247/HDF_Limited_Col!$AH247," ")</f>
        <v xml:space="preserve"> </v>
      </c>
      <c r="BL247" s="26" t="str">
        <f>IFERROR($AC247*HDF_Limited_Col!BL247/HDF_Limited_Col!$AH247," ")</f>
        <v xml:space="preserve"> </v>
      </c>
      <c r="BM247" s="26" t="str">
        <f>IFERROR($AC247*HDF_Limited_Col!BM247/HDF_Limited_Col!$AH247," ")</f>
        <v xml:space="preserve"> </v>
      </c>
      <c r="BN247" s="26" t="str">
        <f>IFERROR($AC247*HDF_Limited_Col!BN247/HDF_Limited_Col!$AH247," ")</f>
        <v xml:space="preserve"> </v>
      </c>
      <c r="BO247" s="26" t="str">
        <f>IFERROR($AC247*HDF_Limited_Col!BO247/HDF_Limited_Col!$AH247," ")</f>
        <v xml:space="preserve"> </v>
      </c>
      <c r="BP247" s="26" t="str">
        <f>IFERROR($AC247*HDF_Limited_Col!BP247/HDF_Limited_Col!$AH247," ")</f>
        <v xml:space="preserve"> </v>
      </c>
      <c r="BQ247" s="26" t="str">
        <f>IFERROR($AC247*HDF_Limited_Col!BQ247/HDF_Limited_Col!$AH247," ")</f>
        <v xml:space="preserve"> </v>
      </c>
      <c r="BR247" s="26" t="str">
        <f>IFERROR($AC247*HDF_Limited_Col!BR247/HDF_Limited_Col!$AH247," ")</f>
        <v xml:space="preserve"> </v>
      </c>
      <c r="BS247" s="26" t="str">
        <f>IFERROR($AC247*HDF_Limited_Col!BS247/HDF_Limited_Col!$AH247," ")</f>
        <v xml:space="preserve"> </v>
      </c>
      <c r="BT247" s="26" t="str">
        <f>IFERROR($AC247*HDF_Limited_Col!BT247/HDF_Limited_Col!$AH247," ")</f>
        <v xml:space="preserve"> </v>
      </c>
      <c r="BU247" s="26" t="str">
        <f>IFERROR($AC247*HDF_Limited_Col!BU247/HDF_Limited_Col!$AH247," ")</f>
        <v xml:space="preserve"> </v>
      </c>
      <c r="BV247" s="26" t="str">
        <f>IFERROR($AC247*HDF_Limited_Col!BV247/HDF_Limited_Col!$AH247," ")</f>
        <v xml:space="preserve"> </v>
      </c>
      <c r="BW247" s="26" t="str">
        <f>IFERROR($AC247*HDF_Limited_Col!BW247/HDF_Limited_Col!$AH247," ")</f>
        <v xml:space="preserve"> </v>
      </c>
      <c r="BX247" s="26" t="str">
        <f>IFERROR($AC247*HDF_Limited_Col!BX247/HDF_Limited_Col!$AH247," ")</f>
        <v xml:space="preserve"> </v>
      </c>
      <c r="BY247" s="26" t="str">
        <f>IFERROR($AC247*HDF_Limited_Col!BY247/HDF_Limited_Col!$AH247," ")</f>
        <v xml:space="preserve"> </v>
      </c>
      <c r="BZ247" s="26" t="str">
        <f>IFERROR($AC247*HDF_Limited_Col!BZ247/HDF_Limited_Col!$AH247," ")</f>
        <v xml:space="preserve"> </v>
      </c>
      <c r="CA247" s="26" t="str">
        <f>IFERROR($AC247*HDF_Limited_Col!CA247/HDF_Limited_Col!$AH247," ")</f>
        <v xml:space="preserve"> </v>
      </c>
      <c r="CB247" s="26" t="str">
        <f>IFERROR($AC247*HDF_Limited_Col!CB247/HDF_Limited_Col!$AH247," ")</f>
        <v xml:space="preserve"> </v>
      </c>
      <c r="CC247" s="26" t="str">
        <f>IFERROR($AC247*HDF_Limited_Col!CC247/HDF_Limited_Col!$AH247," ")</f>
        <v xml:space="preserve"> </v>
      </c>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row>
    <row r="248" spans="1:109">
      <c r="A248" s="26" t="s">
        <v>905</v>
      </c>
      <c r="B248" s="26" t="s">
        <v>24</v>
      </c>
      <c r="C248" s="157" t="s">
        <v>1722</v>
      </c>
      <c r="D248" s="26" t="s">
        <v>71</v>
      </c>
      <c r="E248" s="26" t="s">
        <v>1627</v>
      </c>
      <c r="F248" s="26" t="s">
        <v>102</v>
      </c>
      <c r="G248" s="26"/>
      <c r="H248" s="30"/>
      <c r="I248" s="26" t="s">
        <v>712</v>
      </c>
      <c r="J248" s="26"/>
      <c r="K248" s="26" t="s">
        <v>48</v>
      </c>
      <c r="L248" s="26"/>
      <c r="M248" s="26" t="s">
        <v>103</v>
      </c>
      <c r="N248" s="26">
        <v>84</v>
      </c>
      <c r="O248" s="95">
        <v>38.66485331516769</v>
      </c>
      <c r="P248" s="95">
        <v>2.3927750604230393</v>
      </c>
      <c r="Q248" s="95">
        <v>7.4021697208321813</v>
      </c>
      <c r="R248" s="95">
        <v>6.4247970658666791</v>
      </c>
      <c r="S248" s="95">
        <v>3.0113029279030248</v>
      </c>
      <c r="T248" s="95">
        <v>11.708547325343268</v>
      </c>
      <c r="U248" s="95">
        <v>3.0746086660389866</v>
      </c>
      <c r="V248" s="95">
        <v>3.1071130477863136</v>
      </c>
      <c r="W248" s="95">
        <v>16.128010661657573</v>
      </c>
      <c r="X248" s="95">
        <v>4.3014742670748527</v>
      </c>
      <c r="Y248" s="95">
        <v>4.887254445922828</v>
      </c>
      <c r="Z248" s="95">
        <v>101.10290650401643</v>
      </c>
      <c r="AA248" s="26">
        <v>0</v>
      </c>
      <c r="AB248" s="26">
        <v>0</v>
      </c>
      <c r="AC248" s="26">
        <f t="shared" si="4"/>
        <v>133884.63301005773</v>
      </c>
      <c r="AD248" s="26" t="str">
        <f>IFERROR($AC248*HDF_Limited_Col!AD248/HDF_Limited_Col!$AH248," ")</f>
        <v xml:space="preserve"> </v>
      </c>
      <c r="AE248" s="26" t="str">
        <f>IFERROR($AC248*HDF_Limited_Col!AE248/HDF_Limited_Col!$AH248," ")</f>
        <v xml:space="preserve"> </v>
      </c>
      <c r="AF248" s="26" t="str">
        <f>IFERROR($AC248*HDF_Limited_Col!AF248/HDF_Limited_Col!$AH248," ")</f>
        <v xml:space="preserve"> </v>
      </c>
      <c r="AG248" s="26" t="str">
        <f>IFERROR($AC248*HDF_Limited_Col!AG248/HDF_Limited_Col!$AH248," ")</f>
        <v xml:space="preserve"> </v>
      </c>
      <c r="AH248" s="26" t="str">
        <f>IFERROR($AC248*HDF_Limited_Col!AH248/HDF_Limited_Col!$AH248," ")</f>
        <v xml:space="preserve"> </v>
      </c>
      <c r="AI248" s="26" t="str">
        <f>IFERROR($AC248*HDF_Limited_Col!AI248/HDF_Limited_Col!$AH248," ")</f>
        <v xml:space="preserve"> </v>
      </c>
      <c r="AJ248" s="26" t="str">
        <f>IFERROR($AC248*HDF_Limited_Col!AJ248/HDF_Limited_Col!$AH248," ")</f>
        <v xml:space="preserve"> </v>
      </c>
      <c r="AK248" s="26" t="str">
        <f>IFERROR($AC248*HDF_Limited_Col!AK248/HDF_Limited_Col!$AH248," ")</f>
        <v xml:space="preserve"> </v>
      </c>
      <c r="AL248" s="26" t="str">
        <f>IFERROR($AC248*HDF_Limited_Col!AL248/HDF_Limited_Col!$AH248," ")</f>
        <v xml:space="preserve"> </v>
      </c>
      <c r="AM248" s="26" t="str">
        <f>IFERROR($AC248*HDF_Limited_Col!AM248/HDF_Limited_Col!$AH248," ")</f>
        <v xml:space="preserve"> </v>
      </c>
      <c r="AN248" s="26" t="str">
        <f>IFERROR($AC248*HDF_Limited_Col!AN248/HDF_Limited_Col!$AH248," ")</f>
        <v xml:space="preserve"> </v>
      </c>
      <c r="AO248" s="26" t="str">
        <f>IFERROR($AC248*HDF_Limited_Col!AO248/HDF_Limited_Col!$AH248," ")</f>
        <v xml:space="preserve"> </v>
      </c>
      <c r="AP248" s="26" t="str">
        <f>IFERROR($AC248*HDF_Limited_Col!AP248/HDF_Limited_Col!$AH248," ")</f>
        <v xml:space="preserve"> </v>
      </c>
      <c r="AQ248" s="26" t="str">
        <f>IFERROR($AC248*HDF_Limited_Col!AQ248/HDF_Limited_Col!$AH248," ")</f>
        <v xml:space="preserve"> </v>
      </c>
      <c r="AR248" s="26" t="str">
        <f>IFERROR($AC248*HDF_Limited_Col!AR248/HDF_Limited_Col!$AH248," ")</f>
        <v xml:space="preserve"> </v>
      </c>
      <c r="AS248" s="26" t="str">
        <f>IFERROR($AC248*HDF_Limited_Col!AS248/HDF_Limited_Col!$AH248," ")</f>
        <v xml:space="preserve"> </v>
      </c>
      <c r="AT248" s="26" t="str">
        <f>IFERROR($AC248*HDF_Limited_Col!AT248/HDF_Limited_Col!$AH248," ")</f>
        <v xml:space="preserve"> </v>
      </c>
      <c r="AU248" s="26" t="str">
        <f>IFERROR($AC248*HDF_Limited_Col!AU248/HDF_Limited_Col!$AH248," ")</f>
        <v xml:space="preserve"> </v>
      </c>
      <c r="AV248" s="26" t="str">
        <f>IFERROR($AC248*HDF_Limited_Col!AV248/HDF_Limited_Col!$AH248," ")</f>
        <v xml:space="preserve"> </v>
      </c>
      <c r="AW248" s="26" t="str">
        <f>IFERROR($AC248*HDF_Limited_Col!AW248/HDF_Limited_Col!$AH248," ")</f>
        <v xml:space="preserve"> </v>
      </c>
      <c r="AX248" s="26" t="str">
        <f>IFERROR($AC248*HDF_Limited_Col!AX248/HDF_Limited_Col!$AH248," ")</f>
        <v xml:space="preserve"> </v>
      </c>
      <c r="AY248" s="26" t="str">
        <f>IFERROR($AC248*HDF_Limited_Col!AY248/HDF_Limited_Col!$AH248," ")</f>
        <v xml:space="preserve"> </v>
      </c>
      <c r="AZ248" s="26" t="str">
        <f>IFERROR($AC248*HDF_Limited_Col!AZ248/HDF_Limited_Col!$AH248," ")</f>
        <v xml:space="preserve"> </v>
      </c>
      <c r="BA248" s="26" t="str">
        <f>IFERROR($AC248*HDF_Limited_Col!BA248/HDF_Limited_Col!$AH248," ")</f>
        <v xml:space="preserve"> </v>
      </c>
      <c r="BB248" s="26" t="str">
        <f>IFERROR($AC248*HDF_Limited_Col!BB248/HDF_Limited_Col!$AH248," ")</f>
        <v xml:space="preserve"> </v>
      </c>
      <c r="BC248" s="26" t="str">
        <f>IFERROR($AC248*HDF_Limited_Col!BC248/HDF_Limited_Col!$AH248," ")</f>
        <v xml:space="preserve"> </v>
      </c>
      <c r="BD248" s="26" t="str">
        <f>IFERROR($AC248*HDF_Limited_Col!BD248/HDF_Limited_Col!$AH248," ")</f>
        <v xml:space="preserve"> </v>
      </c>
      <c r="BE248" s="26" t="str">
        <f>IFERROR($AC248*HDF_Limited_Col!BE248/HDF_Limited_Col!$AH248," ")</f>
        <v xml:space="preserve"> </v>
      </c>
      <c r="BF248" s="26" t="str">
        <f>IFERROR($AC248*HDF_Limited_Col!BF248/HDF_Limited_Col!$AH248," ")</f>
        <v xml:space="preserve"> </v>
      </c>
      <c r="BG248" s="26" t="str">
        <f>IFERROR($AC248*HDF_Limited_Col!BG248/HDF_Limited_Col!$AH248," ")</f>
        <v xml:space="preserve"> </v>
      </c>
      <c r="BH248" s="26" t="str">
        <f>IFERROR($AC248*HDF_Limited_Col!BH248/HDF_Limited_Col!$AH248," ")</f>
        <v xml:space="preserve"> </v>
      </c>
      <c r="BI248" s="26" t="str">
        <f>IFERROR($AC248*HDF_Limited_Col!BI248/HDF_Limited_Col!$AH248," ")</f>
        <v xml:space="preserve"> </v>
      </c>
      <c r="BJ248" s="26" t="str">
        <f>IFERROR($AC248*HDF_Limited_Col!BJ248/HDF_Limited_Col!$AH248," ")</f>
        <v xml:space="preserve"> </v>
      </c>
      <c r="BK248" s="26" t="str">
        <f>IFERROR($AC248*HDF_Limited_Col!BK248/HDF_Limited_Col!$AH248," ")</f>
        <v xml:space="preserve"> </v>
      </c>
      <c r="BL248" s="26" t="str">
        <f>IFERROR($AC248*HDF_Limited_Col!BL248/HDF_Limited_Col!$AH248," ")</f>
        <v xml:space="preserve"> </v>
      </c>
      <c r="BM248" s="26" t="str">
        <f>IFERROR($AC248*HDF_Limited_Col!BM248/HDF_Limited_Col!$AH248," ")</f>
        <v xml:space="preserve"> </v>
      </c>
      <c r="BN248" s="26" t="str">
        <f>IFERROR($AC248*HDF_Limited_Col!BN248/HDF_Limited_Col!$AH248," ")</f>
        <v xml:space="preserve"> </v>
      </c>
      <c r="BO248" s="26" t="str">
        <f>IFERROR($AC248*HDF_Limited_Col!BO248/HDF_Limited_Col!$AH248," ")</f>
        <v xml:space="preserve"> </v>
      </c>
      <c r="BP248" s="26" t="str">
        <f>IFERROR($AC248*HDF_Limited_Col!BP248/HDF_Limited_Col!$AH248," ")</f>
        <v xml:space="preserve"> </v>
      </c>
      <c r="BQ248" s="26" t="str">
        <f>IFERROR($AC248*HDF_Limited_Col!BQ248/HDF_Limited_Col!$AH248," ")</f>
        <v xml:space="preserve"> </v>
      </c>
      <c r="BR248" s="26" t="str">
        <f>IFERROR($AC248*HDF_Limited_Col!BR248/HDF_Limited_Col!$AH248," ")</f>
        <v xml:space="preserve"> </v>
      </c>
      <c r="BS248" s="26" t="str">
        <f>IFERROR($AC248*HDF_Limited_Col!BS248/HDF_Limited_Col!$AH248," ")</f>
        <v xml:space="preserve"> </v>
      </c>
      <c r="BT248" s="26" t="str">
        <f>IFERROR($AC248*HDF_Limited_Col!BT248/HDF_Limited_Col!$AH248," ")</f>
        <v xml:space="preserve"> </v>
      </c>
      <c r="BU248" s="26" t="str">
        <f>IFERROR($AC248*HDF_Limited_Col!BU248/HDF_Limited_Col!$AH248," ")</f>
        <v xml:space="preserve"> </v>
      </c>
      <c r="BV248" s="26" t="str">
        <f>IFERROR($AC248*HDF_Limited_Col!BV248/HDF_Limited_Col!$AH248," ")</f>
        <v xml:space="preserve"> </v>
      </c>
      <c r="BW248" s="26" t="str">
        <f>IFERROR($AC248*HDF_Limited_Col!BW248/HDF_Limited_Col!$AH248," ")</f>
        <v xml:space="preserve"> </v>
      </c>
      <c r="BX248" s="26" t="str">
        <f>IFERROR($AC248*HDF_Limited_Col!BX248/HDF_Limited_Col!$AH248," ")</f>
        <v xml:space="preserve"> </v>
      </c>
      <c r="BY248" s="26" t="str">
        <f>IFERROR($AC248*HDF_Limited_Col!BY248/HDF_Limited_Col!$AH248," ")</f>
        <v xml:space="preserve"> </v>
      </c>
      <c r="BZ248" s="26" t="str">
        <f>IFERROR($AC248*HDF_Limited_Col!BZ248/HDF_Limited_Col!$AH248," ")</f>
        <v xml:space="preserve"> </v>
      </c>
      <c r="CA248" s="26" t="str">
        <f>IFERROR($AC248*HDF_Limited_Col!CA248/HDF_Limited_Col!$AH248," ")</f>
        <v xml:space="preserve"> </v>
      </c>
      <c r="CB248" s="26" t="str">
        <f>IFERROR($AC248*HDF_Limited_Col!CB248/HDF_Limited_Col!$AH248," ")</f>
        <v xml:space="preserve"> </v>
      </c>
      <c r="CC248" s="26" t="str">
        <f>IFERROR($AC248*HDF_Limited_Col!CC248/HDF_Limited_Col!$AH248," ")</f>
        <v xml:space="preserve"> </v>
      </c>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row>
    <row r="249" spans="1:109">
      <c r="A249" s="26" t="s">
        <v>838</v>
      </c>
      <c r="B249" s="26" t="s">
        <v>24</v>
      </c>
      <c r="C249" s="157" t="s">
        <v>1722</v>
      </c>
      <c r="D249" s="26" t="s">
        <v>1719</v>
      </c>
      <c r="E249" s="26" t="s">
        <v>388</v>
      </c>
      <c r="F249" s="26" t="s">
        <v>342</v>
      </c>
      <c r="G249" s="26" t="s">
        <v>829</v>
      </c>
      <c r="H249" s="30"/>
      <c r="I249" s="26" t="s">
        <v>735</v>
      </c>
      <c r="J249" s="26"/>
      <c r="K249" s="26" t="s">
        <v>903</v>
      </c>
      <c r="L249" s="26"/>
      <c r="M249" s="26">
        <v>8</v>
      </c>
      <c r="N249" s="26">
        <v>40</v>
      </c>
      <c r="O249" s="95">
        <v>37.249927831875048</v>
      </c>
      <c r="P249" s="95">
        <v>2.6651191459822199</v>
      </c>
      <c r="Q249" s="95">
        <v>5.9167703047867821</v>
      </c>
      <c r="R249" s="95">
        <v>9.055231075151946</v>
      </c>
      <c r="S249" s="95">
        <v>5.5977792100939299</v>
      </c>
      <c r="T249" s="95">
        <v>12.769933823026777</v>
      </c>
      <c r="U249" s="95">
        <v>2.0168469212838422</v>
      </c>
      <c r="V249" s="95">
        <v>3.7455728538128499</v>
      </c>
      <c r="W249" s="95">
        <v>12.667033469900051</v>
      </c>
      <c r="X249" s="95">
        <v>5.813869951660056</v>
      </c>
      <c r="Y249" s="95">
        <v>3.2310710881792168</v>
      </c>
      <c r="Z249" s="95">
        <v>100.72915567575271</v>
      </c>
      <c r="AA249" s="26"/>
      <c r="AB249" s="26"/>
      <c r="AC249" s="26">
        <f t="shared" si="4"/>
        <v>105153.77023376708</v>
      </c>
      <c r="AD249" s="26" t="str">
        <f>IFERROR($AC249*HDF_Limited_Col!AD249/HDF_Limited_Col!$AH249," ")</f>
        <v xml:space="preserve"> </v>
      </c>
      <c r="AE249" s="26" t="str">
        <f>IFERROR($AC249*HDF_Limited_Col!AE249/HDF_Limited_Col!$AH249," ")</f>
        <v xml:space="preserve"> </v>
      </c>
      <c r="AF249" s="26" t="str">
        <f>IFERROR($AC249*HDF_Limited_Col!AF249/HDF_Limited_Col!$AH249," ")</f>
        <v xml:space="preserve"> </v>
      </c>
      <c r="AG249" s="26" t="str">
        <f>IFERROR($AC249*HDF_Limited_Col!AG249/HDF_Limited_Col!$AH249," ")</f>
        <v xml:space="preserve"> </v>
      </c>
      <c r="AH249" s="26" t="str">
        <f>IFERROR($AC249*HDF_Limited_Col!AH249/HDF_Limited_Col!$AH249," ")</f>
        <v xml:space="preserve"> </v>
      </c>
      <c r="AI249" s="26" t="str">
        <f>IFERROR($AC249*HDF_Limited_Col!AI249/HDF_Limited_Col!$AH249," ")</f>
        <v xml:space="preserve"> </v>
      </c>
      <c r="AJ249" s="26" t="str">
        <f>IFERROR($AC249*HDF_Limited_Col!AJ249/HDF_Limited_Col!$AH249," ")</f>
        <v xml:space="preserve"> </v>
      </c>
      <c r="AK249" s="26" t="str">
        <f>IFERROR($AC249*HDF_Limited_Col!AK249/HDF_Limited_Col!$AH249," ")</f>
        <v xml:space="preserve"> </v>
      </c>
      <c r="AL249" s="26" t="str">
        <f>IFERROR($AC249*HDF_Limited_Col!AL249/HDF_Limited_Col!$AH249," ")</f>
        <v xml:space="preserve"> </v>
      </c>
      <c r="AM249" s="26" t="str">
        <f>IFERROR($AC249*HDF_Limited_Col!AM249/HDF_Limited_Col!$AH249," ")</f>
        <v xml:space="preserve"> </v>
      </c>
      <c r="AN249" s="26" t="str">
        <f>IFERROR($AC249*HDF_Limited_Col!AN249/HDF_Limited_Col!$AH249," ")</f>
        <v xml:space="preserve"> </v>
      </c>
      <c r="AO249" s="26" t="str">
        <f>IFERROR($AC249*HDF_Limited_Col!AO249/HDF_Limited_Col!$AH249," ")</f>
        <v xml:space="preserve"> </v>
      </c>
      <c r="AP249" s="26" t="str">
        <f>IFERROR($AC249*HDF_Limited_Col!AP249/HDF_Limited_Col!$AH249," ")</f>
        <v xml:space="preserve"> </v>
      </c>
      <c r="AQ249" s="26" t="str">
        <f>IFERROR($AC249*HDF_Limited_Col!AQ249/HDF_Limited_Col!$AH249," ")</f>
        <v xml:space="preserve"> </v>
      </c>
      <c r="AR249" s="26" t="str">
        <f>IFERROR($AC249*HDF_Limited_Col!AR249/HDF_Limited_Col!$AH249," ")</f>
        <v xml:space="preserve"> </v>
      </c>
      <c r="AS249" s="26" t="str">
        <f>IFERROR($AC249*HDF_Limited_Col!AS249/HDF_Limited_Col!$AH249," ")</f>
        <v xml:space="preserve"> </v>
      </c>
      <c r="AT249" s="26" t="str">
        <f>IFERROR($AC249*HDF_Limited_Col!AT249/HDF_Limited_Col!$AH249," ")</f>
        <v xml:space="preserve"> </v>
      </c>
      <c r="AU249" s="26" t="str">
        <f>IFERROR($AC249*HDF_Limited_Col!AU249/HDF_Limited_Col!$AH249," ")</f>
        <v xml:space="preserve"> </v>
      </c>
      <c r="AV249" s="26" t="str">
        <f>IFERROR($AC249*HDF_Limited_Col!AV249/HDF_Limited_Col!$AH249," ")</f>
        <v xml:space="preserve"> </v>
      </c>
      <c r="AW249" s="26" t="str">
        <f>IFERROR($AC249*HDF_Limited_Col!AW249/HDF_Limited_Col!$AH249," ")</f>
        <v xml:space="preserve"> </v>
      </c>
      <c r="AX249" s="26" t="str">
        <f>IFERROR($AC249*HDF_Limited_Col!AX249/HDF_Limited_Col!$AH249," ")</f>
        <v xml:space="preserve"> </v>
      </c>
      <c r="AY249" s="26" t="str">
        <f>IFERROR($AC249*HDF_Limited_Col!AY249/HDF_Limited_Col!$AH249," ")</f>
        <v xml:space="preserve"> </v>
      </c>
      <c r="AZ249" s="26" t="str">
        <f>IFERROR($AC249*HDF_Limited_Col!AZ249/HDF_Limited_Col!$AH249," ")</f>
        <v xml:space="preserve"> </v>
      </c>
      <c r="BA249" s="26" t="str">
        <f>IFERROR($AC249*HDF_Limited_Col!BA249/HDF_Limited_Col!$AH249," ")</f>
        <v xml:space="preserve"> </v>
      </c>
      <c r="BB249" s="26" t="str">
        <f>IFERROR($AC249*HDF_Limited_Col!BB249/HDF_Limited_Col!$AH249," ")</f>
        <v xml:space="preserve"> </v>
      </c>
      <c r="BC249" s="26" t="str">
        <f>IFERROR($AC249*HDF_Limited_Col!BC249/HDF_Limited_Col!$AH249," ")</f>
        <v xml:space="preserve"> </v>
      </c>
      <c r="BD249" s="26" t="str">
        <f>IFERROR($AC249*HDF_Limited_Col!BD249/HDF_Limited_Col!$AH249," ")</f>
        <v xml:space="preserve"> </v>
      </c>
      <c r="BE249" s="26" t="str">
        <f>IFERROR($AC249*HDF_Limited_Col!BE249/HDF_Limited_Col!$AH249," ")</f>
        <v xml:space="preserve"> </v>
      </c>
      <c r="BF249" s="26" t="str">
        <f>IFERROR($AC249*HDF_Limited_Col!BF249/HDF_Limited_Col!$AH249," ")</f>
        <v xml:space="preserve"> </v>
      </c>
      <c r="BG249" s="26" t="str">
        <f>IFERROR($AC249*HDF_Limited_Col!BG249/HDF_Limited_Col!$AH249," ")</f>
        <v xml:space="preserve"> </v>
      </c>
      <c r="BH249" s="26" t="str">
        <f>IFERROR($AC249*HDF_Limited_Col!BH249/HDF_Limited_Col!$AH249," ")</f>
        <v xml:space="preserve"> </v>
      </c>
      <c r="BI249" s="26" t="str">
        <f>IFERROR($AC249*HDF_Limited_Col!BI249/HDF_Limited_Col!$AH249," ")</f>
        <v xml:space="preserve"> </v>
      </c>
      <c r="BJ249" s="26" t="str">
        <f>IFERROR($AC249*HDF_Limited_Col!BJ249/HDF_Limited_Col!$AH249," ")</f>
        <v xml:space="preserve"> </v>
      </c>
      <c r="BK249" s="26" t="str">
        <f>IFERROR($AC249*HDF_Limited_Col!BK249/HDF_Limited_Col!$AH249," ")</f>
        <v xml:space="preserve"> </v>
      </c>
      <c r="BL249" s="26" t="str">
        <f>IFERROR($AC249*HDF_Limited_Col!BL249/HDF_Limited_Col!$AH249," ")</f>
        <v xml:space="preserve"> </v>
      </c>
      <c r="BM249" s="26" t="str">
        <f>IFERROR($AC249*HDF_Limited_Col!BM249/HDF_Limited_Col!$AH249," ")</f>
        <v xml:space="preserve"> </v>
      </c>
      <c r="BN249" s="26" t="str">
        <f>IFERROR($AC249*HDF_Limited_Col!BN249/HDF_Limited_Col!$AH249," ")</f>
        <v xml:space="preserve"> </v>
      </c>
      <c r="BO249" s="26" t="str">
        <f>IFERROR($AC249*HDF_Limited_Col!BO249/HDF_Limited_Col!$AH249," ")</f>
        <v xml:space="preserve"> </v>
      </c>
      <c r="BP249" s="26" t="str">
        <f>IFERROR($AC249*HDF_Limited_Col!BP249/HDF_Limited_Col!$AH249," ")</f>
        <v xml:space="preserve"> </v>
      </c>
      <c r="BQ249" s="26" t="str">
        <f>IFERROR($AC249*HDF_Limited_Col!BQ249/HDF_Limited_Col!$AH249," ")</f>
        <v xml:space="preserve"> </v>
      </c>
      <c r="BR249" s="26" t="str">
        <f>IFERROR($AC249*HDF_Limited_Col!BR249/HDF_Limited_Col!$AH249," ")</f>
        <v xml:space="preserve"> </v>
      </c>
      <c r="BS249" s="26" t="str">
        <f>IFERROR($AC249*HDF_Limited_Col!BS249/HDF_Limited_Col!$AH249," ")</f>
        <v xml:space="preserve"> </v>
      </c>
      <c r="BT249" s="26" t="str">
        <f>IFERROR($AC249*HDF_Limited_Col!BT249/HDF_Limited_Col!$AH249," ")</f>
        <v xml:space="preserve"> </v>
      </c>
      <c r="BU249" s="26" t="str">
        <f>IFERROR($AC249*HDF_Limited_Col!BU249/HDF_Limited_Col!$AH249," ")</f>
        <v xml:space="preserve"> </v>
      </c>
      <c r="BV249" s="26" t="str">
        <f>IFERROR($AC249*HDF_Limited_Col!BV249/HDF_Limited_Col!$AH249," ")</f>
        <v xml:space="preserve"> </v>
      </c>
      <c r="BW249" s="26" t="str">
        <f>IFERROR($AC249*HDF_Limited_Col!BW249/HDF_Limited_Col!$AH249," ")</f>
        <v xml:space="preserve"> </v>
      </c>
      <c r="BX249" s="26" t="str">
        <f>IFERROR($AC249*HDF_Limited_Col!BX249/HDF_Limited_Col!$AH249," ")</f>
        <v xml:space="preserve"> </v>
      </c>
      <c r="BY249" s="26" t="str">
        <f>IFERROR($AC249*HDF_Limited_Col!BY249/HDF_Limited_Col!$AH249," ")</f>
        <v xml:space="preserve"> </v>
      </c>
      <c r="BZ249" s="26" t="str">
        <f>IFERROR($AC249*HDF_Limited_Col!BZ249/HDF_Limited_Col!$AH249," ")</f>
        <v xml:space="preserve"> </v>
      </c>
      <c r="CA249" s="26" t="str">
        <f>IFERROR($AC249*HDF_Limited_Col!CA249/HDF_Limited_Col!$AH249," ")</f>
        <v xml:space="preserve"> </v>
      </c>
      <c r="CB249" s="26" t="str">
        <f>IFERROR($AC249*HDF_Limited_Col!CB249/HDF_Limited_Col!$AH249," ")</f>
        <v xml:space="preserve"> </v>
      </c>
      <c r="CC249" s="26" t="str">
        <f>IFERROR($AC249*HDF_Limited_Col!CC249/HDF_Limited_Col!$AH249," ")</f>
        <v xml:space="preserve"> </v>
      </c>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row>
    <row r="250" spans="1:109">
      <c r="A250" s="26" t="s">
        <v>838</v>
      </c>
      <c r="B250" s="26" t="s">
        <v>24</v>
      </c>
      <c r="C250" s="157" t="s">
        <v>1722</v>
      </c>
      <c r="D250" s="26" t="s">
        <v>1719</v>
      </c>
      <c r="E250" s="26" t="s">
        <v>388</v>
      </c>
      <c r="F250" s="26" t="s">
        <v>342</v>
      </c>
      <c r="G250" s="26" t="s">
        <v>829</v>
      </c>
      <c r="H250" s="30"/>
      <c r="I250" s="26" t="s">
        <v>735</v>
      </c>
      <c r="J250" s="26"/>
      <c r="K250" s="26" t="s">
        <v>903</v>
      </c>
      <c r="L250" s="26"/>
      <c r="M250" s="26">
        <v>9</v>
      </c>
      <c r="N250" s="26">
        <v>39</v>
      </c>
      <c r="O250" s="95">
        <v>35.565457670659342</v>
      </c>
      <c r="P250" s="95">
        <v>2.164311057781493</v>
      </c>
      <c r="Q250" s="95">
        <v>6.1287462165062463</v>
      </c>
      <c r="R250" s="95">
        <v>7.471035285995729</v>
      </c>
      <c r="S250" s="95">
        <v>4.0788939165881981</v>
      </c>
      <c r="T250" s="95">
        <v>12.226276408140645</v>
      </c>
      <c r="U250" s="95">
        <v>2.7886315552184624</v>
      </c>
      <c r="V250" s="95">
        <v>3.8603817424852589</v>
      </c>
      <c r="W250" s="95">
        <v>16.513277157207831</v>
      </c>
      <c r="X250" s="95">
        <v>5.5772631104369248</v>
      </c>
      <c r="Y250" s="95">
        <v>4.6824037307772679</v>
      </c>
      <c r="Z250" s="95">
        <v>101.05667785179739</v>
      </c>
      <c r="AA250" s="26"/>
      <c r="AB250" s="26"/>
      <c r="AC250" s="26">
        <f t="shared" si="4"/>
        <v>137082.87391217006</v>
      </c>
      <c r="AD250" s="26" t="str">
        <f>IFERROR($AC250*HDF_Limited_Col!AD250/HDF_Limited_Col!$AH250," ")</f>
        <v xml:space="preserve"> </v>
      </c>
      <c r="AE250" s="26" t="str">
        <f>IFERROR($AC250*HDF_Limited_Col!AE250/HDF_Limited_Col!$AH250," ")</f>
        <v xml:space="preserve"> </v>
      </c>
      <c r="AF250" s="26" t="str">
        <f>IFERROR($AC250*HDF_Limited_Col!AF250/HDF_Limited_Col!$AH250," ")</f>
        <v xml:space="preserve"> </v>
      </c>
      <c r="AG250" s="26" t="str">
        <f>IFERROR($AC250*HDF_Limited_Col!AG250/HDF_Limited_Col!$AH250," ")</f>
        <v xml:space="preserve"> </v>
      </c>
      <c r="AH250" s="26" t="str">
        <f>IFERROR($AC250*HDF_Limited_Col!AH250/HDF_Limited_Col!$AH250," ")</f>
        <v xml:space="preserve"> </v>
      </c>
      <c r="AI250" s="26" t="str">
        <f>IFERROR($AC250*HDF_Limited_Col!AI250/HDF_Limited_Col!$AH250," ")</f>
        <v xml:space="preserve"> </v>
      </c>
      <c r="AJ250" s="26" t="str">
        <f>IFERROR($AC250*HDF_Limited_Col!AJ250/HDF_Limited_Col!$AH250," ")</f>
        <v xml:space="preserve"> </v>
      </c>
      <c r="AK250" s="26" t="str">
        <f>IFERROR($AC250*HDF_Limited_Col!AK250/HDF_Limited_Col!$AH250," ")</f>
        <v xml:space="preserve"> </v>
      </c>
      <c r="AL250" s="26" t="str">
        <f>IFERROR($AC250*HDF_Limited_Col!AL250/HDF_Limited_Col!$AH250," ")</f>
        <v xml:space="preserve"> </v>
      </c>
      <c r="AM250" s="26" t="str">
        <f>IFERROR($AC250*HDF_Limited_Col!AM250/HDF_Limited_Col!$AH250," ")</f>
        <v xml:space="preserve"> </v>
      </c>
      <c r="AN250" s="26" t="str">
        <f>IFERROR($AC250*HDF_Limited_Col!AN250/HDF_Limited_Col!$AH250," ")</f>
        <v xml:space="preserve"> </v>
      </c>
      <c r="AO250" s="26" t="str">
        <f>IFERROR($AC250*HDF_Limited_Col!AO250/HDF_Limited_Col!$AH250," ")</f>
        <v xml:space="preserve"> </v>
      </c>
      <c r="AP250" s="26" t="str">
        <f>IFERROR($AC250*HDF_Limited_Col!AP250/HDF_Limited_Col!$AH250," ")</f>
        <v xml:space="preserve"> </v>
      </c>
      <c r="AQ250" s="26" t="str">
        <f>IFERROR($AC250*HDF_Limited_Col!AQ250/HDF_Limited_Col!$AH250," ")</f>
        <v xml:space="preserve"> </v>
      </c>
      <c r="AR250" s="26" t="str">
        <f>IFERROR($AC250*HDF_Limited_Col!AR250/HDF_Limited_Col!$AH250," ")</f>
        <v xml:space="preserve"> </v>
      </c>
      <c r="AS250" s="26" t="str">
        <f>IFERROR($AC250*HDF_Limited_Col!AS250/HDF_Limited_Col!$AH250," ")</f>
        <v xml:space="preserve"> </v>
      </c>
      <c r="AT250" s="26" t="str">
        <f>IFERROR($AC250*HDF_Limited_Col!AT250/HDF_Limited_Col!$AH250," ")</f>
        <v xml:space="preserve"> </v>
      </c>
      <c r="AU250" s="26" t="str">
        <f>IFERROR($AC250*HDF_Limited_Col!AU250/HDF_Limited_Col!$AH250," ")</f>
        <v xml:space="preserve"> </v>
      </c>
      <c r="AV250" s="26" t="str">
        <f>IFERROR($AC250*HDF_Limited_Col!AV250/HDF_Limited_Col!$AH250," ")</f>
        <v xml:space="preserve"> </v>
      </c>
      <c r="AW250" s="26" t="str">
        <f>IFERROR($AC250*HDF_Limited_Col!AW250/HDF_Limited_Col!$AH250," ")</f>
        <v xml:space="preserve"> </v>
      </c>
      <c r="AX250" s="26" t="str">
        <f>IFERROR($AC250*HDF_Limited_Col!AX250/HDF_Limited_Col!$AH250," ")</f>
        <v xml:space="preserve"> </v>
      </c>
      <c r="AY250" s="26" t="str">
        <f>IFERROR($AC250*HDF_Limited_Col!AY250/HDF_Limited_Col!$AH250," ")</f>
        <v xml:space="preserve"> </v>
      </c>
      <c r="AZ250" s="26" t="str">
        <f>IFERROR($AC250*HDF_Limited_Col!AZ250/HDF_Limited_Col!$AH250," ")</f>
        <v xml:space="preserve"> </v>
      </c>
      <c r="BA250" s="26" t="str">
        <f>IFERROR($AC250*HDF_Limited_Col!BA250/HDF_Limited_Col!$AH250," ")</f>
        <v xml:space="preserve"> </v>
      </c>
      <c r="BB250" s="26" t="str">
        <f>IFERROR($AC250*HDF_Limited_Col!BB250/HDF_Limited_Col!$AH250," ")</f>
        <v xml:space="preserve"> </v>
      </c>
      <c r="BC250" s="26" t="str">
        <f>IFERROR($AC250*HDF_Limited_Col!BC250/HDF_Limited_Col!$AH250," ")</f>
        <v xml:space="preserve"> </v>
      </c>
      <c r="BD250" s="26" t="str">
        <f>IFERROR($AC250*HDF_Limited_Col!BD250/HDF_Limited_Col!$AH250," ")</f>
        <v xml:space="preserve"> </v>
      </c>
      <c r="BE250" s="26" t="str">
        <f>IFERROR($AC250*HDF_Limited_Col!BE250/HDF_Limited_Col!$AH250," ")</f>
        <v xml:space="preserve"> </v>
      </c>
      <c r="BF250" s="26" t="str">
        <f>IFERROR($AC250*HDF_Limited_Col!BF250/HDF_Limited_Col!$AH250," ")</f>
        <v xml:space="preserve"> </v>
      </c>
      <c r="BG250" s="26" t="str">
        <f>IFERROR($AC250*HDF_Limited_Col!BG250/HDF_Limited_Col!$AH250," ")</f>
        <v xml:space="preserve"> </v>
      </c>
      <c r="BH250" s="26" t="str">
        <f>IFERROR($AC250*HDF_Limited_Col!BH250/HDF_Limited_Col!$AH250," ")</f>
        <v xml:space="preserve"> </v>
      </c>
      <c r="BI250" s="26" t="str">
        <f>IFERROR($AC250*HDF_Limited_Col!BI250/HDF_Limited_Col!$AH250," ")</f>
        <v xml:space="preserve"> </v>
      </c>
      <c r="BJ250" s="26" t="str">
        <f>IFERROR($AC250*HDF_Limited_Col!BJ250/HDF_Limited_Col!$AH250," ")</f>
        <v xml:space="preserve"> </v>
      </c>
      <c r="BK250" s="26" t="str">
        <f>IFERROR($AC250*HDF_Limited_Col!BK250/HDF_Limited_Col!$AH250," ")</f>
        <v xml:space="preserve"> </v>
      </c>
      <c r="BL250" s="26" t="str">
        <f>IFERROR($AC250*HDF_Limited_Col!BL250/HDF_Limited_Col!$AH250," ")</f>
        <v xml:space="preserve"> </v>
      </c>
      <c r="BM250" s="26" t="str">
        <f>IFERROR($AC250*HDF_Limited_Col!BM250/HDF_Limited_Col!$AH250," ")</f>
        <v xml:space="preserve"> </v>
      </c>
      <c r="BN250" s="26" t="str">
        <f>IFERROR($AC250*HDF_Limited_Col!BN250/HDF_Limited_Col!$AH250," ")</f>
        <v xml:space="preserve"> </v>
      </c>
      <c r="BO250" s="26" t="str">
        <f>IFERROR($AC250*HDF_Limited_Col!BO250/HDF_Limited_Col!$AH250," ")</f>
        <v xml:space="preserve"> </v>
      </c>
      <c r="BP250" s="26" t="str">
        <f>IFERROR($AC250*HDF_Limited_Col!BP250/HDF_Limited_Col!$AH250," ")</f>
        <v xml:space="preserve"> </v>
      </c>
      <c r="BQ250" s="26" t="str">
        <f>IFERROR($AC250*HDF_Limited_Col!BQ250/HDF_Limited_Col!$AH250," ")</f>
        <v xml:space="preserve"> </v>
      </c>
      <c r="BR250" s="26" t="str">
        <f>IFERROR($AC250*HDF_Limited_Col!BR250/HDF_Limited_Col!$AH250," ")</f>
        <v xml:space="preserve"> </v>
      </c>
      <c r="BS250" s="26" t="str">
        <f>IFERROR($AC250*HDF_Limited_Col!BS250/HDF_Limited_Col!$AH250," ")</f>
        <v xml:space="preserve"> </v>
      </c>
      <c r="BT250" s="26" t="str">
        <f>IFERROR($AC250*HDF_Limited_Col!BT250/HDF_Limited_Col!$AH250," ")</f>
        <v xml:space="preserve"> </v>
      </c>
      <c r="BU250" s="26" t="str">
        <f>IFERROR($AC250*HDF_Limited_Col!BU250/HDF_Limited_Col!$AH250," ")</f>
        <v xml:space="preserve"> </v>
      </c>
      <c r="BV250" s="26" t="str">
        <f>IFERROR($AC250*HDF_Limited_Col!BV250/HDF_Limited_Col!$AH250," ")</f>
        <v xml:space="preserve"> </v>
      </c>
      <c r="BW250" s="26" t="str">
        <f>IFERROR($AC250*HDF_Limited_Col!BW250/HDF_Limited_Col!$AH250," ")</f>
        <v xml:space="preserve"> </v>
      </c>
      <c r="BX250" s="26" t="str">
        <f>IFERROR($AC250*HDF_Limited_Col!BX250/HDF_Limited_Col!$AH250," ")</f>
        <v xml:space="preserve"> </v>
      </c>
      <c r="BY250" s="26" t="str">
        <f>IFERROR($AC250*HDF_Limited_Col!BY250/HDF_Limited_Col!$AH250," ")</f>
        <v xml:space="preserve"> </v>
      </c>
      <c r="BZ250" s="26" t="str">
        <f>IFERROR($AC250*HDF_Limited_Col!BZ250/HDF_Limited_Col!$AH250," ")</f>
        <v xml:space="preserve"> </v>
      </c>
      <c r="CA250" s="26" t="str">
        <f>IFERROR($AC250*HDF_Limited_Col!CA250/HDF_Limited_Col!$AH250," ")</f>
        <v xml:space="preserve"> </v>
      </c>
      <c r="CB250" s="26" t="str">
        <f>IFERROR($AC250*HDF_Limited_Col!CB250/HDF_Limited_Col!$AH250," ")</f>
        <v xml:space="preserve"> </v>
      </c>
      <c r="CC250" s="26" t="str">
        <f>IFERROR($AC250*HDF_Limited_Col!CC250/HDF_Limited_Col!$AH250," ")</f>
        <v xml:space="preserve"> </v>
      </c>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row>
    <row r="251" spans="1:109">
      <c r="A251" s="26" t="s">
        <v>838</v>
      </c>
      <c r="B251" s="26" t="s">
        <v>24</v>
      </c>
      <c r="C251" s="157" t="s">
        <v>1722</v>
      </c>
      <c r="D251" s="26" t="s">
        <v>1719</v>
      </c>
      <c r="E251" s="26" t="s">
        <v>388</v>
      </c>
      <c r="F251" s="26" t="s">
        <v>342</v>
      </c>
      <c r="G251" s="26" t="s">
        <v>829</v>
      </c>
      <c r="H251" s="30"/>
      <c r="I251" s="26" t="s">
        <v>735</v>
      </c>
      <c r="J251" s="26"/>
      <c r="K251" s="26" t="s">
        <v>903</v>
      </c>
      <c r="L251" s="26"/>
      <c r="M251" s="26">
        <v>10</v>
      </c>
      <c r="N251" s="26">
        <v>50</v>
      </c>
      <c r="O251" s="95">
        <v>32.160147729348189</v>
      </c>
      <c r="P251" s="95">
        <v>2.2845439136120764</v>
      </c>
      <c r="Q251" s="95">
        <v>4.5898564082569902</v>
      </c>
      <c r="R251" s="95">
        <v>9.7612330854334175</v>
      </c>
      <c r="S251" s="95">
        <v>4.9740751573644753</v>
      </c>
      <c r="T251" s="95">
        <v>13.582651995475437</v>
      </c>
      <c r="U251" s="95">
        <v>2.9802913782121179</v>
      </c>
      <c r="V251" s="95">
        <v>3.0633657023434666</v>
      </c>
      <c r="W251" s="95">
        <v>16.448716178006951</v>
      </c>
      <c r="X251" s="95">
        <v>6.6251773494750212</v>
      </c>
      <c r="Y251" s="95">
        <v>4.5587035367077346</v>
      </c>
      <c r="Z251" s="95">
        <v>101.02876243423587</v>
      </c>
      <c r="AA251" s="26"/>
      <c r="AB251" s="26"/>
      <c r="AC251" s="26">
        <f t="shared" si="4"/>
        <v>136546.92913953736</v>
      </c>
      <c r="AD251" s="26" t="str">
        <f>IFERROR($AC251*HDF_Limited_Col!AD251/HDF_Limited_Col!$AH251," ")</f>
        <v xml:space="preserve"> </v>
      </c>
      <c r="AE251" s="26" t="str">
        <f>IFERROR($AC251*HDF_Limited_Col!AE251/HDF_Limited_Col!$AH251," ")</f>
        <v xml:space="preserve"> </v>
      </c>
      <c r="AF251" s="26" t="str">
        <f>IFERROR($AC251*HDF_Limited_Col!AF251/HDF_Limited_Col!$AH251," ")</f>
        <v xml:space="preserve"> </v>
      </c>
      <c r="AG251" s="26" t="str">
        <f>IFERROR($AC251*HDF_Limited_Col!AG251/HDF_Limited_Col!$AH251," ")</f>
        <v xml:space="preserve"> </v>
      </c>
      <c r="AH251" s="26" t="str">
        <f>IFERROR($AC251*HDF_Limited_Col!AH251/HDF_Limited_Col!$AH251," ")</f>
        <v xml:space="preserve"> </v>
      </c>
      <c r="AI251" s="26" t="str">
        <f>IFERROR($AC251*HDF_Limited_Col!AI251/HDF_Limited_Col!$AH251," ")</f>
        <v xml:space="preserve"> </v>
      </c>
      <c r="AJ251" s="26" t="str">
        <f>IFERROR($AC251*HDF_Limited_Col!AJ251/HDF_Limited_Col!$AH251," ")</f>
        <v xml:space="preserve"> </v>
      </c>
      <c r="AK251" s="26" t="str">
        <f>IFERROR($AC251*HDF_Limited_Col!AK251/HDF_Limited_Col!$AH251," ")</f>
        <v xml:space="preserve"> </v>
      </c>
      <c r="AL251" s="26" t="str">
        <f>IFERROR($AC251*HDF_Limited_Col!AL251/HDF_Limited_Col!$AH251," ")</f>
        <v xml:space="preserve"> </v>
      </c>
      <c r="AM251" s="26" t="str">
        <f>IFERROR($AC251*HDF_Limited_Col!AM251/HDF_Limited_Col!$AH251," ")</f>
        <v xml:space="preserve"> </v>
      </c>
      <c r="AN251" s="26" t="str">
        <f>IFERROR($AC251*HDF_Limited_Col!AN251/HDF_Limited_Col!$AH251," ")</f>
        <v xml:space="preserve"> </v>
      </c>
      <c r="AO251" s="26" t="str">
        <f>IFERROR($AC251*HDF_Limited_Col!AO251/HDF_Limited_Col!$AH251," ")</f>
        <v xml:space="preserve"> </v>
      </c>
      <c r="AP251" s="26" t="str">
        <f>IFERROR($AC251*HDF_Limited_Col!AP251/HDF_Limited_Col!$AH251," ")</f>
        <v xml:space="preserve"> </v>
      </c>
      <c r="AQ251" s="26" t="str">
        <f>IFERROR($AC251*HDF_Limited_Col!AQ251/HDF_Limited_Col!$AH251," ")</f>
        <v xml:space="preserve"> </v>
      </c>
      <c r="AR251" s="26" t="str">
        <f>IFERROR($AC251*HDF_Limited_Col!AR251/HDF_Limited_Col!$AH251," ")</f>
        <v xml:space="preserve"> </v>
      </c>
      <c r="AS251" s="26" t="str">
        <f>IFERROR($AC251*HDF_Limited_Col!AS251/HDF_Limited_Col!$AH251," ")</f>
        <v xml:space="preserve"> </v>
      </c>
      <c r="AT251" s="26" t="str">
        <f>IFERROR($AC251*HDF_Limited_Col!AT251/HDF_Limited_Col!$AH251," ")</f>
        <v xml:space="preserve"> </v>
      </c>
      <c r="AU251" s="26" t="str">
        <f>IFERROR($AC251*HDF_Limited_Col!AU251/HDF_Limited_Col!$AH251," ")</f>
        <v xml:space="preserve"> </v>
      </c>
      <c r="AV251" s="26" t="str">
        <f>IFERROR($AC251*HDF_Limited_Col!AV251/HDF_Limited_Col!$AH251," ")</f>
        <v xml:space="preserve"> </v>
      </c>
      <c r="AW251" s="26" t="str">
        <f>IFERROR($AC251*HDF_Limited_Col!AW251/HDF_Limited_Col!$AH251," ")</f>
        <v xml:space="preserve"> </v>
      </c>
      <c r="AX251" s="26" t="str">
        <f>IFERROR($AC251*HDF_Limited_Col!AX251/HDF_Limited_Col!$AH251," ")</f>
        <v xml:space="preserve"> </v>
      </c>
      <c r="AY251" s="26" t="str">
        <f>IFERROR($AC251*HDF_Limited_Col!AY251/HDF_Limited_Col!$AH251," ")</f>
        <v xml:space="preserve"> </v>
      </c>
      <c r="AZ251" s="26" t="str">
        <f>IFERROR($AC251*HDF_Limited_Col!AZ251/HDF_Limited_Col!$AH251," ")</f>
        <v xml:space="preserve"> </v>
      </c>
      <c r="BA251" s="26" t="str">
        <f>IFERROR($AC251*HDF_Limited_Col!BA251/HDF_Limited_Col!$AH251," ")</f>
        <v xml:space="preserve"> </v>
      </c>
      <c r="BB251" s="26" t="str">
        <f>IFERROR($AC251*HDF_Limited_Col!BB251/HDF_Limited_Col!$AH251," ")</f>
        <v xml:space="preserve"> </v>
      </c>
      <c r="BC251" s="26" t="str">
        <f>IFERROR($AC251*HDF_Limited_Col!BC251/HDF_Limited_Col!$AH251," ")</f>
        <v xml:space="preserve"> </v>
      </c>
      <c r="BD251" s="26" t="str">
        <f>IFERROR($AC251*HDF_Limited_Col!BD251/HDF_Limited_Col!$AH251," ")</f>
        <v xml:space="preserve"> </v>
      </c>
      <c r="BE251" s="26" t="str">
        <f>IFERROR($AC251*HDF_Limited_Col!BE251/HDF_Limited_Col!$AH251," ")</f>
        <v xml:space="preserve"> </v>
      </c>
      <c r="BF251" s="26" t="str">
        <f>IFERROR($AC251*HDF_Limited_Col!BF251/HDF_Limited_Col!$AH251," ")</f>
        <v xml:space="preserve"> </v>
      </c>
      <c r="BG251" s="26" t="str">
        <f>IFERROR($AC251*HDF_Limited_Col!BG251/HDF_Limited_Col!$AH251," ")</f>
        <v xml:space="preserve"> </v>
      </c>
      <c r="BH251" s="26" t="str">
        <f>IFERROR($AC251*HDF_Limited_Col!BH251/HDF_Limited_Col!$AH251," ")</f>
        <v xml:space="preserve"> </v>
      </c>
      <c r="BI251" s="26" t="str">
        <f>IFERROR($AC251*HDF_Limited_Col!BI251/HDF_Limited_Col!$AH251," ")</f>
        <v xml:space="preserve"> </v>
      </c>
      <c r="BJ251" s="26" t="str">
        <f>IFERROR($AC251*HDF_Limited_Col!BJ251/HDF_Limited_Col!$AH251," ")</f>
        <v xml:space="preserve"> </v>
      </c>
      <c r="BK251" s="26" t="str">
        <f>IFERROR($AC251*HDF_Limited_Col!BK251/HDF_Limited_Col!$AH251," ")</f>
        <v xml:space="preserve"> </v>
      </c>
      <c r="BL251" s="26" t="str">
        <f>IFERROR($AC251*HDF_Limited_Col!BL251/HDF_Limited_Col!$AH251," ")</f>
        <v xml:space="preserve"> </v>
      </c>
      <c r="BM251" s="26" t="str">
        <f>IFERROR($AC251*HDF_Limited_Col!BM251/HDF_Limited_Col!$AH251," ")</f>
        <v xml:space="preserve"> </v>
      </c>
      <c r="BN251" s="26" t="str">
        <f>IFERROR($AC251*HDF_Limited_Col!BN251/HDF_Limited_Col!$AH251," ")</f>
        <v xml:space="preserve"> </v>
      </c>
      <c r="BO251" s="26" t="str">
        <f>IFERROR($AC251*HDF_Limited_Col!BO251/HDF_Limited_Col!$AH251," ")</f>
        <v xml:space="preserve"> </v>
      </c>
      <c r="BP251" s="26" t="str">
        <f>IFERROR($AC251*HDF_Limited_Col!BP251/HDF_Limited_Col!$AH251," ")</f>
        <v xml:space="preserve"> </v>
      </c>
      <c r="BQ251" s="26" t="str">
        <f>IFERROR($AC251*HDF_Limited_Col!BQ251/HDF_Limited_Col!$AH251," ")</f>
        <v xml:space="preserve"> </v>
      </c>
      <c r="BR251" s="26" t="str">
        <f>IFERROR($AC251*HDF_Limited_Col!BR251/HDF_Limited_Col!$AH251," ")</f>
        <v xml:space="preserve"> </v>
      </c>
      <c r="BS251" s="26" t="str">
        <f>IFERROR($AC251*HDF_Limited_Col!BS251/HDF_Limited_Col!$AH251," ")</f>
        <v xml:space="preserve"> </v>
      </c>
      <c r="BT251" s="26" t="str">
        <f>IFERROR($AC251*HDF_Limited_Col!BT251/HDF_Limited_Col!$AH251," ")</f>
        <v xml:space="preserve"> </v>
      </c>
      <c r="BU251" s="26" t="str">
        <f>IFERROR($AC251*HDF_Limited_Col!BU251/HDF_Limited_Col!$AH251," ")</f>
        <v xml:space="preserve"> </v>
      </c>
      <c r="BV251" s="26" t="str">
        <f>IFERROR($AC251*HDF_Limited_Col!BV251/HDF_Limited_Col!$AH251," ")</f>
        <v xml:space="preserve"> </v>
      </c>
      <c r="BW251" s="26" t="str">
        <f>IFERROR($AC251*HDF_Limited_Col!BW251/HDF_Limited_Col!$AH251," ")</f>
        <v xml:space="preserve"> </v>
      </c>
      <c r="BX251" s="26" t="str">
        <f>IFERROR($AC251*HDF_Limited_Col!BX251/HDF_Limited_Col!$AH251," ")</f>
        <v xml:space="preserve"> </v>
      </c>
      <c r="BY251" s="26" t="str">
        <f>IFERROR($AC251*HDF_Limited_Col!BY251/HDF_Limited_Col!$AH251," ")</f>
        <v xml:space="preserve"> </v>
      </c>
      <c r="BZ251" s="26" t="str">
        <f>IFERROR($AC251*HDF_Limited_Col!BZ251/HDF_Limited_Col!$AH251," ")</f>
        <v xml:space="preserve"> </v>
      </c>
      <c r="CA251" s="26" t="str">
        <f>IFERROR($AC251*HDF_Limited_Col!CA251/HDF_Limited_Col!$AH251," ")</f>
        <v xml:space="preserve"> </v>
      </c>
      <c r="CB251" s="26" t="str">
        <f>IFERROR($AC251*HDF_Limited_Col!CB251/HDF_Limited_Col!$AH251," ")</f>
        <v xml:space="preserve"> </v>
      </c>
      <c r="CC251" s="26" t="str">
        <f>IFERROR($AC251*HDF_Limited_Col!CC251/HDF_Limited_Col!$AH251," ")</f>
        <v xml:space="preserve"> </v>
      </c>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row>
    <row r="252" spans="1:109">
      <c r="A252" s="26" t="s">
        <v>838</v>
      </c>
      <c r="B252" s="26" t="s">
        <v>24</v>
      </c>
      <c r="C252" s="157" t="s">
        <v>1722</v>
      </c>
      <c r="D252" s="26" t="s">
        <v>1719</v>
      </c>
      <c r="E252" s="26" t="s">
        <v>388</v>
      </c>
      <c r="F252" s="26" t="s">
        <v>342</v>
      </c>
      <c r="G252" s="26" t="s">
        <v>829</v>
      </c>
      <c r="H252" s="30"/>
      <c r="I252" s="26" t="s">
        <v>735</v>
      </c>
      <c r="J252" s="26"/>
      <c r="K252" s="26" t="s">
        <v>903</v>
      </c>
      <c r="L252" s="26"/>
      <c r="M252" s="26">
        <v>11</v>
      </c>
      <c r="N252" s="26">
        <v>39</v>
      </c>
      <c r="O252" s="95">
        <v>38.692664239361505</v>
      </c>
      <c r="P252" s="95">
        <v>1.549359219408496</v>
      </c>
      <c r="Q252" s="95">
        <v>5.5570350669451392</v>
      </c>
      <c r="R252" s="95">
        <v>7.2819883312199307</v>
      </c>
      <c r="S252" s="95">
        <v>3.3776030983105212</v>
      </c>
      <c r="T252" s="95">
        <v>10.422023015887817</v>
      </c>
      <c r="U252" s="95">
        <v>3.8940561714466866</v>
      </c>
      <c r="V252" s="95">
        <v>3.2329962378323946</v>
      </c>
      <c r="W252" s="95">
        <v>16.691763323760863</v>
      </c>
      <c r="X252" s="95">
        <v>5.3814410220788433</v>
      </c>
      <c r="Y252" s="95">
        <v>5.061240116734421</v>
      </c>
      <c r="Z252" s="95">
        <v>101.14216984298663</v>
      </c>
      <c r="AA252" s="26"/>
      <c r="AB252" s="26"/>
      <c r="AC252" s="26">
        <f t="shared" si="4"/>
        <v>138564.55416447396</v>
      </c>
      <c r="AD252" s="26" t="str">
        <f>IFERROR($AC252*HDF_Limited_Col!AD252/HDF_Limited_Col!$AH252," ")</f>
        <v xml:space="preserve"> </v>
      </c>
      <c r="AE252" s="26" t="str">
        <f>IFERROR($AC252*HDF_Limited_Col!AE252/HDF_Limited_Col!$AH252," ")</f>
        <v xml:space="preserve"> </v>
      </c>
      <c r="AF252" s="26" t="str">
        <f>IFERROR($AC252*HDF_Limited_Col!AF252/HDF_Limited_Col!$AH252," ")</f>
        <v xml:space="preserve"> </v>
      </c>
      <c r="AG252" s="26" t="str">
        <f>IFERROR($AC252*HDF_Limited_Col!AG252/HDF_Limited_Col!$AH252," ")</f>
        <v xml:space="preserve"> </v>
      </c>
      <c r="AH252" s="26" t="str">
        <f>IFERROR($AC252*HDF_Limited_Col!AH252/HDF_Limited_Col!$AH252," ")</f>
        <v xml:space="preserve"> </v>
      </c>
      <c r="AI252" s="26" t="str">
        <f>IFERROR($AC252*HDF_Limited_Col!AI252/HDF_Limited_Col!$AH252," ")</f>
        <v xml:space="preserve"> </v>
      </c>
      <c r="AJ252" s="26" t="str">
        <f>IFERROR($AC252*HDF_Limited_Col!AJ252/HDF_Limited_Col!$AH252," ")</f>
        <v xml:space="preserve"> </v>
      </c>
      <c r="AK252" s="26" t="str">
        <f>IFERROR($AC252*HDF_Limited_Col!AK252/HDF_Limited_Col!$AH252," ")</f>
        <v xml:space="preserve"> </v>
      </c>
      <c r="AL252" s="26" t="str">
        <f>IFERROR($AC252*HDF_Limited_Col!AL252/HDF_Limited_Col!$AH252," ")</f>
        <v xml:space="preserve"> </v>
      </c>
      <c r="AM252" s="26" t="str">
        <f>IFERROR($AC252*HDF_Limited_Col!AM252/HDF_Limited_Col!$AH252," ")</f>
        <v xml:space="preserve"> </v>
      </c>
      <c r="AN252" s="26" t="str">
        <f>IFERROR($AC252*HDF_Limited_Col!AN252/HDF_Limited_Col!$AH252," ")</f>
        <v xml:space="preserve"> </v>
      </c>
      <c r="AO252" s="26" t="str">
        <f>IFERROR($AC252*HDF_Limited_Col!AO252/HDF_Limited_Col!$AH252," ")</f>
        <v xml:space="preserve"> </v>
      </c>
      <c r="AP252" s="26" t="str">
        <f>IFERROR($AC252*HDF_Limited_Col!AP252/HDF_Limited_Col!$AH252," ")</f>
        <v xml:space="preserve"> </v>
      </c>
      <c r="AQ252" s="26" t="str">
        <f>IFERROR($AC252*HDF_Limited_Col!AQ252/HDF_Limited_Col!$AH252," ")</f>
        <v xml:space="preserve"> </v>
      </c>
      <c r="AR252" s="26" t="str">
        <f>IFERROR($AC252*HDF_Limited_Col!AR252/HDF_Limited_Col!$AH252," ")</f>
        <v xml:space="preserve"> </v>
      </c>
      <c r="AS252" s="26" t="str">
        <f>IFERROR($AC252*HDF_Limited_Col!AS252/HDF_Limited_Col!$AH252," ")</f>
        <v xml:space="preserve"> </v>
      </c>
      <c r="AT252" s="26" t="str">
        <f>IFERROR($AC252*HDF_Limited_Col!AT252/HDF_Limited_Col!$AH252," ")</f>
        <v xml:space="preserve"> </v>
      </c>
      <c r="AU252" s="26" t="str">
        <f>IFERROR($AC252*HDF_Limited_Col!AU252/HDF_Limited_Col!$AH252," ")</f>
        <v xml:space="preserve"> </v>
      </c>
      <c r="AV252" s="26" t="str">
        <f>IFERROR($AC252*HDF_Limited_Col!AV252/HDF_Limited_Col!$AH252," ")</f>
        <v xml:space="preserve"> </v>
      </c>
      <c r="AW252" s="26" t="str">
        <f>IFERROR($AC252*HDF_Limited_Col!AW252/HDF_Limited_Col!$AH252," ")</f>
        <v xml:space="preserve"> </v>
      </c>
      <c r="AX252" s="26" t="str">
        <f>IFERROR($AC252*HDF_Limited_Col!AX252/HDF_Limited_Col!$AH252," ")</f>
        <v xml:space="preserve"> </v>
      </c>
      <c r="AY252" s="26" t="str">
        <f>IFERROR($AC252*HDF_Limited_Col!AY252/HDF_Limited_Col!$AH252," ")</f>
        <v xml:space="preserve"> </v>
      </c>
      <c r="AZ252" s="26" t="str">
        <f>IFERROR($AC252*HDF_Limited_Col!AZ252/HDF_Limited_Col!$AH252," ")</f>
        <v xml:space="preserve"> </v>
      </c>
      <c r="BA252" s="26" t="str">
        <f>IFERROR($AC252*HDF_Limited_Col!BA252/HDF_Limited_Col!$AH252," ")</f>
        <v xml:space="preserve"> </v>
      </c>
      <c r="BB252" s="26" t="str">
        <f>IFERROR($AC252*HDF_Limited_Col!BB252/HDF_Limited_Col!$AH252," ")</f>
        <v xml:space="preserve"> </v>
      </c>
      <c r="BC252" s="26" t="str">
        <f>IFERROR($AC252*HDF_Limited_Col!BC252/HDF_Limited_Col!$AH252," ")</f>
        <v xml:space="preserve"> </v>
      </c>
      <c r="BD252" s="26" t="str">
        <f>IFERROR($AC252*HDF_Limited_Col!BD252/HDF_Limited_Col!$AH252," ")</f>
        <v xml:space="preserve"> </v>
      </c>
      <c r="BE252" s="26" t="str">
        <f>IFERROR($AC252*HDF_Limited_Col!BE252/HDF_Limited_Col!$AH252," ")</f>
        <v xml:space="preserve"> </v>
      </c>
      <c r="BF252" s="26" t="str">
        <f>IFERROR($AC252*HDF_Limited_Col!BF252/HDF_Limited_Col!$AH252," ")</f>
        <v xml:space="preserve"> </v>
      </c>
      <c r="BG252" s="26" t="str">
        <f>IFERROR($AC252*HDF_Limited_Col!BG252/HDF_Limited_Col!$AH252," ")</f>
        <v xml:space="preserve"> </v>
      </c>
      <c r="BH252" s="26" t="str">
        <f>IFERROR($AC252*HDF_Limited_Col!BH252/HDF_Limited_Col!$AH252," ")</f>
        <v xml:space="preserve"> </v>
      </c>
      <c r="BI252" s="26" t="str">
        <f>IFERROR($AC252*HDF_Limited_Col!BI252/HDF_Limited_Col!$AH252," ")</f>
        <v xml:space="preserve"> </v>
      </c>
      <c r="BJ252" s="26" t="str">
        <f>IFERROR($AC252*HDF_Limited_Col!BJ252/HDF_Limited_Col!$AH252," ")</f>
        <v xml:space="preserve"> </v>
      </c>
      <c r="BK252" s="26" t="str">
        <f>IFERROR($AC252*HDF_Limited_Col!BK252/HDF_Limited_Col!$AH252," ")</f>
        <v xml:space="preserve"> </v>
      </c>
      <c r="BL252" s="26" t="str">
        <f>IFERROR($AC252*HDF_Limited_Col!BL252/HDF_Limited_Col!$AH252," ")</f>
        <v xml:space="preserve"> </v>
      </c>
      <c r="BM252" s="26" t="str">
        <f>IFERROR($AC252*HDF_Limited_Col!BM252/HDF_Limited_Col!$AH252," ")</f>
        <v xml:space="preserve"> </v>
      </c>
      <c r="BN252" s="26" t="str">
        <f>IFERROR($AC252*HDF_Limited_Col!BN252/HDF_Limited_Col!$AH252," ")</f>
        <v xml:space="preserve"> </v>
      </c>
      <c r="BO252" s="26" t="str">
        <f>IFERROR($AC252*HDF_Limited_Col!BO252/HDF_Limited_Col!$AH252," ")</f>
        <v xml:space="preserve"> </v>
      </c>
      <c r="BP252" s="26" t="str">
        <f>IFERROR($AC252*HDF_Limited_Col!BP252/HDF_Limited_Col!$AH252," ")</f>
        <v xml:space="preserve"> </v>
      </c>
      <c r="BQ252" s="26" t="str">
        <f>IFERROR($AC252*HDF_Limited_Col!BQ252/HDF_Limited_Col!$AH252," ")</f>
        <v xml:space="preserve"> </v>
      </c>
      <c r="BR252" s="26" t="str">
        <f>IFERROR($AC252*HDF_Limited_Col!BR252/HDF_Limited_Col!$AH252," ")</f>
        <v xml:space="preserve"> </v>
      </c>
      <c r="BS252" s="26" t="str">
        <f>IFERROR($AC252*HDF_Limited_Col!BS252/HDF_Limited_Col!$AH252," ")</f>
        <v xml:space="preserve"> </v>
      </c>
      <c r="BT252" s="26" t="str">
        <f>IFERROR($AC252*HDF_Limited_Col!BT252/HDF_Limited_Col!$AH252," ")</f>
        <v xml:space="preserve"> </v>
      </c>
      <c r="BU252" s="26" t="str">
        <f>IFERROR($AC252*HDF_Limited_Col!BU252/HDF_Limited_Col!$AH252," ")</f>
        <v xml:space="preserve"> </v>
      </c>
      <c r="BV252" s="26" t="str">
        <f>IFERROR($AC252*HDF_Limited_Col!BV252/HDF_Limited_Col!$AH252," ")</f>
        <v xml:space="preserve"> </v>
      </c>
      <c r="BW252" s="26" t="str">
        <f>IFERROR($AC252*HDF_Limited_Col!BW252/HDF_Limited_Col!$AH252," ")</f>
        <v xml:space="preserve"> </v>
      </c>
      <c r="BX252" s="26" t="str">
        <f>IFERROR($AC252*HDF_Limited_Col!BX252/HDF_Limited_Col!$AH252," ")</f>
        <v xml:space="preserve"> </v>
      </c>
      <c r="BY252" s="26" t="str">
        <f>IFERROR($AC252*HDF_Limited_Col!BY252/HDF_Limited_Col!$AH252," ")</f>
        <v xml:space="preserve"> </v>
      </c>
      <c r="BZ252" s="26" t="str">
        <f>IFERROR($AC252*HDF_Limited_Col!BZ252/HDF_Limited_Col!$AH252," ")</f>
        <v xml:space="preserve"> </v>
      </c>
      <c r="CA252" s="26" t="str">
        <f>IFERROR($AC252*HDF_Limited_Col!CA252/HDF_Limited_Col!$AH252," ")</f>
        <v xml:space="preserve"> </v>
      </c>
      <c r="CB252" s="26" t="str">
        <f>IFERROR($AC252*HDF_Limited_Col!CB252/HDF_Limited_Col!$AH252," ")</f>
        <v xml:space="preserve"> </v>
      </c>
      <c r="CC252" s="26" t="str">
        <f>IFERROR($AC252*HDF_Limited_Col!CC252/HDF_Limited_Col!$AH252," ")</f>
        <v xml:space="preserve"> </v>
      </c>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row>
    <row r="253" spans="1:109">
      <c r="A253" s="26" t="s">
        <v>838</v>
      </c>
      <c r="B253" s="26" t="s">
        <v>24</v>
      </c>
      <c r="C253" s="157" t="s">
        <v>1722</v>
      </c>
      <c r="D253" s="26" t="s">
        <v>1719</v>
      </c>
      <c r="E253" s="26" t="s">
        <v>388</v>
      </c>
      <c r="F253" s="26" t="s">
        <v>342</v>
      </c>
      <c r="G253" s="26" t="s">
        <v>829</v>
      </c>
      <c r="H253" s="30"/>
      <c r="I253" s="26" t="s">
        <v>735</v>
      </c>
      <c r="J253" s="26"/>
      <c r="K253" s="26" t="s">
        <v>903</v>
      </c>
      <c r="L253" s="26"/>
      <c r="M253" s="26">
        <v>15</v>
      </c>
      <c r="N253" s="26">
        <v>60</v>
      </c>
      <c r="O253" s="95">
        <v>36.704652154864966</v>
      </c>
      <c r="P253" s="95">
        <v>2.2857498144814437</v>
      </c>
      <c r="Q253" s="95">
        <v>4.7347674728544185</v>
      </c>
      <c r="R253" s="95">
        <v>10.245057204193612</v>
      </c>
      <c r="S253" s="95">
        <v>6.6531646385799155</v>
      </c>
      <c r="T253" s="95">
        <v>11.132826105353818</v>
      </c>
      <c r="U253" s="95">
        <v>2.0612565291305875</v>
      </c>
      <c r="V253" s="95">
        <v>3.836794331450994</v>
      </c>
      <c r="W253" s="95">
        <v>13.020610550349652</v>
      </c>
      <c r="X253" s="95">
        <v>6.9388833653900956</v>
      </c>
      <c r="Y253" s="95">
        <v>3.0816805534526606</v>
      </c>
      <c r="Z253" s="95">
        <v>100.69544272010216</v>
      </c>
      <c r="AA253" s="26"/>
      <c r="AB253" s="26"/>
      <c r="AC253" s="26">
        <f t="shared" si="4"/>
        <v>108088.94547948441</v>
      </c>
      <c r="AD253" s="26" t="str">
        <f>IFERROR($AC253*HDF_Limited_Col!AD253/HDF_Limited_Col!$AH253," ")</f>
        <v xml:space="preserve"> </v>
      </c>
      <c r="AE253" s="26" t="str">
        <f>IFERROR($AC253*HDF_Limited_Col!AE253/HDF_Limited_Col!$AH253," ")</f>
        <v xml:space="preserve"> </v>
      </c>
      <c r="AF253" s="26" t="str">
        <f>IFERROR($AC253*HDF_Limited_Col!AF253/HDF_Limited_Col!$AH253," ")</f>
        <v xml:space="preserve"> </v>
      </c>
      <c r="AG253" s="26" t="str">
        <f>IFERROR($AC253*HDF_Limited_Col!AG253/HDF_Limited_Col!$AH253," ")</f>
        <v xml:space="preserve"> </v>
      </c>
      <c r="AH253" s="26" t="str">
        <f>IFERROR($AC253*HDF_Limited_Col!AH253/HDF_Limited_Col!$AH253," ")</f>
        <v xml:space="preserve"> </v>
      </c>
      <c r="AI253" s="26" t="str">
        <f>IFERROR($AC253*HDF_Limited_Col!AI253/HDF_Limited_Col!$AH253," ")</f>
        <v xml:space="preserve"> </v>
      </c>
      <c r="AJ253" s="26" t="str">
        <f>IFERROR($AC253*HDF_Limited_Col!AJ253/HDF_Limited_Col!$AH253," ")</f>
        <v xml:space="preserve"> </v>
      </c>
      <c r="AK253" s="26" t="str">
        <f>IFERROR($AC253*HDF_Limited_Col!AK253/HDF_Limited_Col!$AH253," ")</f>
        <v xml:space="preserve"> </v>
      </c>
      <c r="AL253" s="26" t="str">
        <f>IFERROR($AC253*HDF_Limited_Col!AL253/HDF_Limited_Col!$AH253," ")</f>
        <v xml:space="preserve"> </v>
      </c>
      <c r="AM253" s="26" t="str">
        <f>IFERROR($AC253*HDF_Limited_Col!AM253/HDF_Limited_Col!$AH253," ")</f>
        <v xml:space="preserve"> </v>
      </c>
      <c r="AN253" s="26" t="str">
        <f>IFERROR($AC253*HDF_Limited_Col!AN253/HDF_Limited_Col!$AH253," ")</f>
        <v xml:space="preserve"> </v>
      </c>
      <c r="AO253" s="26" t="str">
        <f>IFERROR($AC253*HDF_Limited_Col!AO253/HDF_Limited_Col!$AH253," ")</f>
        <v xml:space="preserve"> </v>
      </c>
      <c r="AP253" s="26" t="str">
        <f>IFERROR($AC253*HDF_Limited_Col!AP253/HDF_Limited_Col!$AH253," ")</f>
        <v xml:space="preserve"> </v>
      </c>
      <c r="AQ253" s="26" t="str">
        <f>IFERROR($AC253*HDF_Limited_Col!AQ253/HDF_Limited_Col!$AH253," ")</f>
        <v xml:space="preserve"> </v>
      </c>
      <c r="AR253" s="26" t="str">
        <f>IFERROR($AC253*HDF_Limited_Col!AR253/HDF_Limited_Col!$AH253," ")</f>
        <v xml:space="preserve"> </v>
      </c>
      <c r="AS253" s="26" t="str">
        <f>IFERROR($AC253*HDF_Limited_Col!AS253/HDF_Limited_Col!$AH253," ")</f>
        <v xml:space="preserve"> </v>
      </c>
      <c r="AT253" s="26" t="str">
        <f>IFERROR($AC253*HDF_Limited_Col!AT253/HDF_Limited_Col!$AH253," ")</f>
        <v xml:space="preserve"> </v>
      </c>
      <c r="AU253" s="26" t="str">
        <f>IFERROR($AC253*HDF_Limited_Col!AU253/HDF_Limited_Col!$AH253," ")</f>
        <v xml:space="preserve"> </v>
      </c>
      <c r="AV253" s="26" t="str">
        <f>IFERROR($AC253*HDF_Limited_Col!AV253/HDF_Limited_Col!$AH253," ")</f>
        <v xml:space="preserve"> </v>
      </c>
      <c r="AW253" s="26" t="str">
        <f>IFERROR($AC253*HDF_Limited_Col!AW253/HDF_Limited_Col!$AH253," ")</f>
        <v xml:space="preserve"> </v>
      </c>
      <c r="AX253" s="26" t="str">
        <f>IFERROR($AC253*HDF_Limited_Col!AX253/HDF_Limited_Col!$AH253," ")</f>
        <v xml:space="preserve"> </v>
      </c>
      <c r="AY253" s="26" t="str">
        <f>IFERROR($AC253*HDF_Limited_Col!AY253/HDF_Limited_Col!$AH253," ")</f>
        <v xml:space="preserve"> </v>
      </c>
      <c r="AZ253" s="26" t="str">
        <f>IFERROR($AC253*HDF_Limited_Col!AZ253/HDF_Limited_Col!$AH253," ")</f>
        <v xml:space="preserve"> </v>
      </c>
      <c r="BA253" s="26" t="str">
        <f>IFERROR($AC253*HDF_Limited_Col!BA253/HDF_Limited_Col!$AH253," ")</f>
        <v xml:space="preserve"> </v>
      </c>
      <c r="BB253" s="26" t="str">
        <f>IFERROR($AC253*HDF_Limited_Col!BB253/HDF_Limited_Col!$AH253," ")</f>
        <v xml:space="preserve"> </v>
      </c>
      <c r="BC253" s="26" t="str">
        <f>IFERROR($AC253*HDF_Limited_Col!BC253/HDF_Limited_Col!$AH253," ")</f>
        <v xml:space="preserve"> </v>
      </c>
      <c r="BD253" s="26" t="str">
        <f>IFERROR($AC253*HDF_Limited_Col!BD253/HDF_Limited_Col!$AH253," ")</f>
        <v xml:space="preserve"> </v>
      </c>
      <c r="BE253" s="26" t="str">
        <f>IFERROR($AC253*HDF_Limited_Col!BE253/HDF_Limited_Col!$AH253," ")</f>
        <v xml:space="preserve"> </v>
      </c>
      <c r="BF253" s="26" t="str">
        <f>IFERROR($AC253*HDF_Limited_Col!BF253/HDF_Limited_Col!$AH253," ")</f>
        <v xml:space="preserve"> </v>
      </c>
      <c r="BG253" s="26" t="str">
        <f>IFERROR($AC253*HDF_Limited_Col!BG253/HDF_Limited_Col!$AH253," ")</f>
        <v xml:space="preserve"> </v>
      </c>
      <c r="BH253" s="26" t="str">
        <f>IFERROR($AC253*HDF_Limited_Col!BH253/HDF_Limited_Col!$AH253," ")</f>
        <v xml:space="preserve"> </v>
      </c>
      <c r="BI253" s="26" t="str">
        <f>IFERROR($AC253*HDF_Limited_Col!BI253/HDF_Limited_Col!$AH253," ")</f>
        <v xml:space="preserve"> </v>
      </c>
      <c r="BJ253" s="26" t="str">
        <f>IFERROR($AC253*HDF_Limited_Col!BJ253/HDF_Limited_Col!$AH253," ")</f>
        <v xml:space="preserve"> </v>
      </c>
      <c r="BK253" s="26" t="str">
        <f>IFERROR($AC253*HDF_Limited_Col!BK253/HDF_Limited_Col!$AH253," ")</f>
        <v xml:space="preserve"> </v>
      </c>
      <c r="BL253" s="26" t="str">
        <f>IFERROR($AC253*HDF_Limited_Col!BL253/HDF_Limited_Col!$AH253," ")</f>
        <v xml:space="preserve"> </v>
      </c>
      <c r="BM253" s="26" t="str">
        <f>IFERROR($AC253*HDF_Limited_Col!BM253/HDF_Limited_Col!$AH253," ")</f>
        <v xml:space="preserve"> </v>
      </c>
      <c r="BN253" s="26" t="str">
        <f>IFERROR($AC253*HDF_Limited_Col!BN253/HDF_Limited_Col!$AH253," ")</f>
        <v xml:space="preserve"> </v>
      </c>
      <c r="BO253" s="26" t="str">
        <f>IFERROR($AC253*HDF_Limited_Col!BO253/HDF_Limited_Col!$AH253," ")</f>
        <v xml:space="preserve"> </v>
      </c>
      <c r="BP253" s="26" t="str">
        <f>IFERROR($AC253*HDF_Limited_Col!BP253/HDF_Limited_Col!$AH253," ")</f>
        <v xml:space="preserve"> </v>
      </c>
      <c r="BQ253" s="26" t="str">
        <f>IFERROR($AC253*HDF_Limited_Col!BQ253/HDF_Limited_Col!$AH253," ")</f>
        <v xml:space="preserve"> </v>
      </c>
      <c r="BR253" s="26" t="str">
        <f>IFERROR($AC253*HDF_Limited_Col!BR253/HDF_Limited_Col!$AH253," ")</f>
        <v xml:space="preserve"> </v>
      </c>
      <c r="BS253" s="26" t="str">
        <f>IFERROR($AC253*HDF_Limited_Col!BS253/HDF_Limited_Col!$AH253," ")</f>
        <v xml:space="preserve"> </v>
      </c>
      <c r="BT253" s="26" t="str">
        <f>IFERROR($AC253*HDF_Limited_Col!BT253/HDF_Limited_Col!$AH253," ")</f>
        <v xml:space="preserve"> </v>
      </c>
      <c r="BU253" s="26" t="str">
        <f>IFERROR($AC253*HDF_Limited_Col!BU253/HDF_Limited_Col!$AH253," ")</f>
        <v xml:space="preserve"> </v>
      </c>
      <c r="BV253" s="26" t="str">
        <f>IFERROR($AC253*HDF_Limited_Col!BV253/HDF_Limited_Col!$AH253," ")</f>
        <v xml:space="preserve"> </v>
      </c>
      <c r="BW253" s="26" t="str">
        <f>IFERROR($AC253*HDF_Limited_Col!BW253/HDF_Limited_Col!$AH253," ")</f>
        <v xml:space="preserve"> </v>
      </c>
      <c r="BX253" s="26" t="str">
        <f>IFERROR($AC253*HDF_Limited_Col!BX253/HDF_Limited_Col!$AH253," ")</f>
        <v xml:space="preserve"> </v>
      </c>
      <c r="BY253" s="26" t="str">
        <f>IFERROR($AC253*HDF_Limited_Col!BY253/HDF_Limited_Col!$AH253," ")</f>
        <v xml:space="preserve"> </v>
      </c>
      <c r="BZ253" s="26" t="str">
        <f>IFERROR($AC253*HDF_Limited_Col!BZ253/HDF_Limited_Col!$AH253," ")</f>
        <v xml:space="preserve"> </v>
      </c>
      <c r="CA253" s="26" t="str">
        <f>IFERROR($AC253*HDF_Limited_Col!CA253/HDF_Limited_Col!$AH253," ")</f>
        <v xml:space="preserve"> </v>
      </c>
      <c r="CB253" s="26" t="str">
        <f>IFERROR($AC253*HDF_Limited_Col!CB253/HDF_Limited_Col!$AH253," ")</f>
        <v xml:space="preserve"> </v>
      </c>
      <c r="CC253" s="26" t="str">
        <f>IFERROR($AC253*HDF_Limited_Col!CC253/HDF_Limited_Col!$AH253," ")</f>
        <v xml:space="preserve"> </v>
      </c>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row>
    <row r="254" spans="1:109">
      <c r="A254" s="26" t="s">
        <v>838</v>
      </c>
      <c r="B254" s="26" t="s">
        <v>24</v>
      </c>
      <c r="C254" s="157" t="s">
        <v>1722</v>
      </c>
      <c r="D254" s="26" t="s">
        <v>1719</v>
      </c>
      <c r="E254" s="26" t="s">
        <v>388</v>
      </c>
      <c r="F254" s="26" t="s">
        <v>342</v>
      </c>
      <c r="G254" s="26" t="s">
        <v>829</v>
      </c>
      <c r="H254" s="30"/>
      <c r="I254" s="26" t="s">
        <v>735</v>
      </c>
      <c r="J254" s="26"/>
      <c r="K254" s="26" t="s">
        <v>903</v>
      </c>
      <c r="L254" s="26"/>
      <c r="M254" s="26">
        <v>16</v>
      </c>
      <c r="N254" s="26">
        <v>50</v>
      </c>
      <c r="O254" s="95">
        <v>28.961233979309988</v>
      </c>
      <c r="P254" s="95">
        <v>2.1047708342640674</v>
      </c>
      <c r="Q254" s="95">
        <v>4.4365267584977888</v>
      </c>
      <c r="R254" s="95">
        <v>9.1825786396814717</v>
      </c>
      <c r="S254" s="95">
        <v>5.1071645243172226</v>
      </c>
      <c r="T254" s="95">
        <v>13.092912689613243</v>
      </c>
      <c r="U254" s="95">
        <v>3.7968415049469453</v>
      </c>
      <c r="V254" s="95">
        <v>3.3738238372762255</v>
      </c>
      <c r="W254" s="95">
        <v>18.602459873422124</v>
      </c>
      <c r="X254" s="95">
        <v>7.0674903013278723</v>
      </c>
      <c r="Y254" s="95">
        <v>5.5198646878984121</v>
      </c>
      <c r="Z254" s="95">
        <v>101.24566763055535</v>
      </c>
      <c r="AA254" s="26"/>
      <c r="AB254" s="26"/>
      <c r="AC254" s="26">
        <f t="shared" si="4"/>
        <v>154425.95900302273</v>
      </c>
      <c r="AD254" s="26" t="str">
        <f>IFERROR($AC254*HDF_Limited_Col!AD254/HDF_Limited_Col!$AH254," ")</f>
        <v xml:space="preserve"> </v>
      </c>
      <c r="AE254" s="26" t="str">
        <f>IFERROR($AC254*HDF_Limited_Col!AE254/HDF_Limited_Col!$AH254," ")</f>
        <v xml:space="preserve"> </v>
      </c>
      <c r="AF254" s="26" t="str">
        <f>IFERROR($AC254*HDF_Limited_Col!AF254/HDF_Limited_Col!$AH254," ")</f>
        <v xml:space="preserve"> </v>
      </c>
      <c r="AG254" s="26" t="str">
        <f>IFERROR($AC254*HDF_Limited_Col!AG254/HDF_Limited_Col!$AH254," ")</f>
        <v xml:space="preserve"> </v>
      </c>
      <c r="AH254" s="26" t="str">
        <f>IFERROR($AC254*HDF_Limited_Col!AH254/HDF_Limited_Col!$AH254," ")</f>
        <v xml:space="preserve"> </v>
      </c>
      <c r="AI254" s="26" t="str">
        <f>IFERROR($AC254*HDF_Limited_Col!AI254/HDF_Limited_Col!$AH254," ")</f>
        <v xml:space="preserve"> </v>
      </c>
      <c r="AJ254" s="26" t="str">
        <f>IFERROR($AC254*HDF_Limited_Col!AJ254/HDF_Limited_Col!$AH254," ")</f>
        <v xml:space="preserve"> </v>
      </c>
      <c r="AK254" s="26" t="str">
        <f>IFERROR($AC254*HDF_Limited_Col!AK254/HDF_Limited_Col!$AH254," ")</f>
        <v xml:space="preserve"> </v>
      </c>
      <c r="AL254" s="26" t="str">
        <f>IFERROR($AC254*HDF_Limited_Col!AL254/HDF_Limited_Col!$AH254," ")</f>
        <v xml:space="preserve"> </v>
      </c>
      <c r="AM254" s="26" t="str">
        <f>IFERROR($AC254*HDF_Limited_Col!AM254/HDF_Limited_Col!$AH254," ")</f>
        <v xml:space="preserve"> </v>
      </c>
      <c r="AN254" s="26" t="str">
        <f>IFERROR($AC254*HDF_Limited_Col!AN254/HDF_Limited_Col!$AH254," ")</f>
        <v xml:space="preserve"> </v>
      </c>
      <c r="AO254" s="26" t="str">
        <f>IFERROR($AC254*HDF_Limited_Col!AO254/HDF_Limited_Col!$AH254," ")</f>
        <v xml:space="preserve"> </v>
      </c>
      <c r="AP254" s="26" t="str">
        <f>IFERROR($AC254*HDF_Limited_Col!AP254/HDF_Limited_Col!$AH254," ")</f>
        <v xml:space="preserve"> </v>
      </c>
      <c r="AQ254" s="26" t="str">
        <f>IFERROR($AC254*HDF_Limited_Col!AQ254/HDF_Limited_Col!$AH254," ")</f>
        <v xml:space="preserve"> </v>
      </c>
      <c r="AR254" s="26" t="str">
        <f>IFERROR($AC254*HDF_Limited_Col!AR254/HDF_Limited_Col!$AH254," ")</f>
        <v xml:space="preserve"> </v>
      </c>
      <c r="AS254" s="26" t="str">
        <f>IFERROR($AC254*HDF_Limited_Col!AS254/HDF_Limited_Col!$AH254," ")</f>
        <v xml:space="preserve"> </v>
      </c>
      <c r="AT254" s="26" t="str">
        <f>IFERROR($AC254*HDF_Limited_Col!AT254/HDF_Limited_Col!$AH254," ")</f>
        <v xml:space="preserve"> </v>
      </c>
      <c r="AU254" s="26" t="str">
        <f>IFERROR($AC254*HDF_Limited_Col!AU254/HDF_Limited_Col!$AH254," ")</f>
        <v xml:space="preserve"> </v>
      </c>
      <c r="AV254" s="26" t="str">
        <f>IFERROR($AC254*HDF_Limited_Col!AV254/HDF_Limited_Col!$AH254," ")</f>
        <v xml:space="preserve"> </v>
      </c>
      <c r="AW254" s="26" t="str">
        <f>IFERROR($AC254*HDF_Limited_Col!AW254/HDF_Limited_Col!$AH254," ")</f>
        <v xml:space="preserve"> </v>
      </c>
      <c r="AX254" s="26" t="str">
        <f>IFERROR($AC254*HDF_Limited_Col!AX254/HDF_Limited_Col!$AH254," ")</f>
        <v xml:space="preserve"> </v>
      </c>
      <c r="AY254" s="26" t="str">
        <f>IFERROR($AC254*HDF_Limited_Col!AY254/HDF_Limited_Col!$AH254," ")</f>
        <v xml:space="preserve"> </v>
      </c>
      <c r="AZ254" s="26" t="str">
        <f>IFERROR($AC254*HDF_Limited_Col!AZ254/HDF_Limited_Col!$AH254," ")</f>
        <v xml:space="preserve"> </v>
      </c>
      <c r="BA254" s="26" t="str">
        <f>IFERROR($AC254*HDF_Limited_Col!BA254/HDF_Limited_Col!$AH254," ")</f>
        <v xml:space="preserve"> </v>
      </c>
      <c r="BB254" s="26" t="str">
        <f>IFERROR($AC254*HDF_Limited_Col!BB254/HDF_Limited_Col!$AH254," ")</f>
        <v xml:space="preserve"> </v>
      </c>
      <c r="BC254" s="26" t="str">
        <f>IFERROR($AC254*HDF_Limited_Col!BC254/HDF_Limited_Col!$AH254," ")</f>
        <v xml:space="preserve"> </v>
      </c>
      <c r="BD254" s="26" t="str">
        <f>IFERROR($AC254*HDF_Limited_Col!BD254/HDF_Limited_Col!$AH254," ")</f>
        <v xml:space="preserve"> </v>
      </c>
      <c r="BE254" s="26" t="str">
        <f>IFERROR($AC254*HDF_Limited_Col!BE254/HDF_Limited_Col!$AH254," ")</f>
        <v xml:space="preserve"> </v>
      </c>
      <c r="BF254" s="26" t="str">
        <f>IFERROR($AC254*HDF_Limited_Col!BF254/HDF_Limited_Col!$AH254," ")</f>
        <v xml:space="preserve"> </v>
      </c>
      <c r="BG254" s="26" t="str">
        <f>IFERROR($AC254*HDF_Limited_Col!BG254/HDF_Limited_Col!$AH254," ")</f>
        <v xml:space="preserve"> </v>
      </c>
      <c r="BH254" s="26" t="str">
        <f>IFERROR($AC254*HDF_Limited_Col!BH254/HDF_Limited_Col!$AH254," ")</f>
        <v xml:space="preserve"> </v>
      </c>
      <c r="BI254" s="26" t="str">
        <f>IFERROR($AC254*HDF_Limited_Col!BI254/HDF_Limited_Col!$AH254," ")</f>
        <v xml:space="preserve"> </v>
      </c>
      <c r="BJ254" s="26" t="str">
        <f>IFERROR($AC254*HDF_Limited_Col!BJ254/HDF_Limited_Col!$AH254," ")</f>
        <v xml:space="preserve"> </v>
      </c>
      <c r="BK254" s="26" t="str">
        <f>IFERROR($AC254*HDF_Limited_Col!BK254/HDF_Limited_Col!$AH254," ")</f>
        <v xml:space="preserve"> </v>
      </c>
      <c r="BL254" s="26" t="str">
        <f>IFERROR($AC254*HDF_Limited_Col!BL254/HDF_Limited_Col!$AH254," ")</f>
        <v xml:space="preserve"> </v>
      </c>
      <c r="BM254" s="26" t="str">
        <f>IFERROR($AC254*HDF_Limited_Col!BM254/HDF_Limited_Col!$AH254," ")</f>
        <v xml:space="preserve"> </v>
      </c>
      <c r="BN254" s="26" t="str">
        <f>IFERROR($AC254*HDF_Limited_Col!BN254/HDF_Limited_Col!$AH254," ")</f>
        <v xml:space="preserve"> </v>
      </c>
      <c r="BO254" s="26" t="str">
        <f>IFERROR($AC254*HDF_Limited_Col!BO254/HDF_Limited_Col!$AH254," ")</f>
        <v xml:space="preserve"> </v>
      </c>
      <c r="BP254" s="26" t="str">
        <f>IFERROR($AC254*HDF_Limited_Col!BP254/HDF_Limited_Col!$AH254," ")</f>
        <v xml:space="preserve"> </v>
      </c>
      <c r="BQ254" s="26" t="str">
        <f>IFERROR($AC254*HDF_Limited_Col!BQ254/HDF_Limited_Col!$AH254," ")</f>
        <v xml:space="preserve"> </v>
      </c>
      <c r="BR254" s="26" t="str">
        <f>IFERROR($AC254*HDF_Limited_Col!BR254/HDF_Limited_Col!$AH254," ")</f>
        <v xml:space="preserve"> </v>
      </c>
      <c r="BS254" s="26" t="str">
        <f>IFERROR($AC254*HDF_Limited_Col!BS254/HDF_Limited_Col!$AH254," ")</f>
        <v xml:space="preserve"> </v>
      </c>
      <c r="BT254" s="26" t="str">
        <f>IFERROR($AC254*HDF_Limited_Col!BT254/HDF_Limited_Col!$AH254," ")</f>
        <v xml:space="preserve"> </v>
      </c>
      <c r="BU254" s="26" t="str">
        <f>IFERROR($AC254*HDF_Limited_Col!BU254/HDF_Limited_Col!$AH254," ")</f>
        <v xml:space="preserve"> </v>
      </c>
      <c r="BV254" s="26" t="str">
        <f>IFERROR($AC254*HDF_Limited_Col!BV254/HDF_Limited_Col!$AH254," ")</f>
        <v xml:space="preserve"> </v>
      </c>
      <c r="BW254" s="26" t="str">
        <f>IFERROR($AC254*HDF_Limited_Col!BW254/HDF_Limited_Col!$AH254," ")</f>
        <v xml:space="preserve"> </v>
      </c>
      <c r="BX254" s="26" t="str">
        <f>IFERROR($AC254*HDF_Limited_Col!BX254/HDF_Limited_Col!$AH254," ")</f>
        <v xml:space="preserve"> </v>
      </c>
      <c r="BY254" s="26" t="str">
        <f>IFERROR($AC254*HDF_Limited_Col!BY254/HDF_Limited_Col!$AH254," ")</f>
        <v xml:space="preserve"> </v>
      </c>
      <c r="BZ254" s="26" t="str">
        <f>IFERROR($AC254*HDF_Limited_Col!BZ254/HDF_Limited_Col!$AH254," ")</f>
        <v xml:space="preserve"> </v>
      </c>
      <c r="CA254" s="26" t="str">
        <f>IFERROR($AC254*HDF_Limited_Col!CA254/HDF_Limited_Col!$AH254," ")</f>
        <v xml:space="preserve"> </v>
      </c>
      <c r="CB254" s="26" t="str">
        <f>IFERROR($AC254*HDF_Limited_Col!CB254/HDF_Limited_Col!$AH254," ")</f>
        <v xml:space="preserve"> </v>
      </c>
      <c r="CC254" s="26" t="str">
        <f>IFERROR($AC254*HDF_Limited_Col!CC254/HDF_Limited_Col!$AH254," ")</f>
        <v xml:space="preserve"> </v>
      </c>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row>
    <row r="255" spans="1:109">
      <c r="A255" s="26" t="s">
        <v>838</v>
      </c>
      <c r="B255" s="26" t="s">
        <v>24</v>
      </c>
      <c r="C255" s="157" t="s">
        <v>1722</v>
      </c>
      <c r="D255" s="26" t="s">
        <v>1719</v>
      </c>
      <c r="E255" s="26" t="s">
        <v>388</v>
      </c>
      <c r="F255" s="26" t="s">
        <v>342</v>
      </c>
      <c r="G255" s="26" t="s">
        <v>829</v>
      </c>
      <c r="H255" s="30"/>
      <c r="I255" s="26" t="s">
        <v>735</v>
      </c>
      <c r="J255" s="26"/>
      <c r="K255" s="26" t="s">
        <v>903</v>
      </c>
      <c r="L255" s="26"/>
      <c r="M255" s="26">
        <v>19</v>
      </c>
      <c r="N255" s="26">
        <v>42</v>
      </c>
      <c r="O255" s="95">
        <v>39.599998901151487</v>
      </c>
      <c r="P255" s="95">
        <v>1.9579600802795583</v>
      </c>
      <c r="Q255" s="95">
        <v>6.2121665374314787</v>
      </c>
      <c r="R255" s="95">
        <v>7.4012941254546663</v>
      </c>
      <c r="S255" s="95">
        <v>4.4387262552934494</v>
      </c>
      <c r="T255" s="95">
        <v>9.6770383025335249</v>
      </c>
      <c r="U255" s="95">
        <v>2.8088013717099427</v>
      </c>
      <c r="V255" s="95">
        <v>3.4956250647923008</v>
      </c>
      <c r="W255" s="95">
        <v>15.868702640171501</v>
      </c>
      <c r="X255" s="95">
        <v>5.5868494437296308</v>
      </c>
      <c r="Y255" s="95">
        <v>3.8134091615916006</v>
      </c>
      <c r="Z255" s="95">
        <v>100.86057188413918</v>
      </c>
      <c r="AA255" s="26"/>
      <c r="AB255" s="26"/>
      <c r="AC255" s="26">
        <f t="shared" si="4"/>
        <v>131732.02038959588</v>
      </c>
      <c r="AD255" s="26" t="str">
        <f>IFERROR($AC255*HDF_Limited_Col!AD255/HDF_Limited_Col!$AH255," ")</f>
        <v xml:space="preserve"> </v>
      </c>
      <c r="AE255" s="26" t="str">
        <f>IFERROR($AC255*HDF_Limited_Col!AE255/HDF_Limited_Col!$AH255," ")</f>
        <v xml:space="preserve"> </v>
      </c>
      <c r="AF255" s="26" t="str">
        <f>IFERROR($AC255*HDF_Limited_Col!AF255/HDF_Limited_Col!$AH255," ")</f>
        <v xml:space="preserve"> </v>
      </c>
      <c r="AG255" s="26" t="str">
        <f>IFERROR($AC255*HDF_Limited_Col!AG255/HDF_Limited_Col!$AH255," ")</f>
        <v xml:space="preserve"> </v>
      </c>
      <c r="AH255" s="26" t="str">
        <f>IFERROR($AC255*HDF_Limited_Col!AH255/HDF_Limited_Col!$AH255," ")</f>
        <v xml:space="preserve"> </v>
      </c>
      <c r="AI255" s="26" t="str">
        <f>IFERROR($AC255*HDF_Limited_Col!AI255/HDF_Limited_Col!$AH255," ")</f>
        <v xml:space="preserve"> </v>
      </c>
      <c r="AJ255" s="26" t="str">
        <f>IFERROR($AC255*HDF_Limited_Col!AJ255/HDF_Limited_Col!$AH255," ")</f>
        <v xml:space="preserve"> </v>
      </c>
      <c r="AK255" s="26" t="str">
        <f>IFERROR($AC255*HDF_Limited_Col!AK255/HDF_Limited_Col!$AH255," ")</f>
        <v xml:space="preserve"> </v>
      </c>
      <c r="AL255" s="26" t="str">
        <f>IFERROR($AC255*HDF_Limited_Col!AL255/HDF_Limited_Col!$AH255," ")</f>
        <v xml:space="preserve"> </v>
      </c>
      <c r="AM255" s="26" t="str">
        <f>IFERROR($AC255*HDF_Limited_Col!AM255/HDF_Limited_Col!$AH255," ")</f>
        <v xml:space="preserve"> </v>
      </c>
      <c r="AN255" s="26" t="str">
        <f>IFERROR($AC255*HDF_Limited_Col!AN255/HDF_Limited_Col!$AH255," ")</f>
        <v xml:space="preserve"> </v>
      </c>
      <c r="AO255" s="26" t="str">
        <f>IFERROR($AC255*HDF_Limited_Col!AO255/HDF_Limited_Col!$AH255," ")</f>
        <v xml:space="preserve"> </v>
      </c>
      <c r="AP255" s="26" t="str">
        <f>IFERROR($AC255*HDF_Limited_Col!AP255/HDF_Limited_Col!$AH255," ")</f>
        <v xml:space="preserve"> </v>
      </c>
      <c r="AQ255" s="26" t="str">
        <f>IFERROR($AC255*HDF_Limited_Col!AQ255/HDF_Limited_Col!$AH255," ")</f>
        <v xml:space="preserve"> </v>
      </c>
      <c r="AR255" s="26" t="str">
        <f>IFERROR($AC255*HDF_Limited_Col!AR255/HDF_Limited_Col!$AH255," ")</f>
        <v xml:space="preserve"> </v>
      </c>
      <c r="AS255" s="26" t="str">
        <f>IFERROR($AC255*HDF_Limited_Col!AS255/HDF_Limited_Col!$AH255," ")</f>
        <v xml:space="preserve"> </v>
      </c>
      <c r="AT255" s="26" t="str">
        <f>IFERROR($AC255*HDF_Limited_Col!AT255/HDF_Limited_Col!$AH255," ")</f>
        <v xml:space="preserve"> </v>
      </c>
      <c r="AU255" s="26" t="str">
        <f>IFERROR($AC255*HDF_Limited_Col!AU255/HDF_Limited_Col!$AH255," ")</f>
        <v xml:space="preserve"> </v>
      </c>
      <c r="AV255" s="26" t="str">
        <f>IFERROR($AC255*HDF_Limited_Col!AV255/HDF_Limited_Col!$AH255," ")</f>
        <v xml:space="preserve"> </v>
      </c>
      <c r="AW255" s="26" t="str">
        <f>IFERROR($AC255*HDF_Limited_Col!AW255/HDF_Limited_Col!$AH255," ")</f>
        <v xml:space="preserve"> </v>
      </c>
      <c r="AX255" s="26" t="str">
        <f>IFERROR($AC255*HDF_Limited_Col!AX255/HDF_Limited_Col!$AH255," ")</f>
        <v xml:space="preserve"> </v>
      </c>
      <c r="AY255" s="26" t="str">
        <f>IFERROR($AC255*HDF_Limited_Col!AY255/HDF_Limited_Col!$AH255," ")</f>
        <v xml:space="preserve"> </v>
      </c>
      <c r="AZ255" s="26" t="str">
        <f>IFERROR($AC255*HDF_Limited_Col!AZ255/HDF_Limited_Col!$AH255," ")</f>
        <v xml:space="preserve"> </v>
      </c>
      <c r="BA255" s="26" t="str">
        <f>IFERROR($AC255*HDF_Limited_Col!BA255/HDF_Limited_Col!$AH255," ")</f>
        <v xml:space="preserve"> </v>
      </c>
      <c r="BB255" s="26" t="str">
        <f>IFERROR($AC255*HDF_Limited_Col!BB255/HDF_Limited_Col!$AH255," ")</f>
        <v xml:space="preserve"> </v>
      </c>
      <c r="BC255" s="26" t="str">
        <f>IFERROR($AC255*HDF_Limited_Col!BC255/HDF_Limited_Col!$AH255," ")</f>
        <v xml:space="preserve"> </v>
      </c>
      <c r="BD255" s="26" t="str">
        <f>IFERROR($AC255*HDF_Limited_Col!BD255/HDF_Limited_Col!$AH255," ")</f>
        <v xml:space="preserve"> </v>
      </c>
      <c r="BE255" s="26" t="str">
        <f>IFERROR($AC255*HDF_Limited_Col!BE255/HDF_Limited_Col!$AH255," ")</f>
        <v xml:space="preserve"> </v>
      </c>
      <c r="BF255" s="26" t="str">
        <f>IFERROR($AC255*HDF_Limited_Col!BF255/HDF_Limited_Col!$AH255," ")</f>
        <v xml:space="preserve"> </v>
      </c>
      <c r="BG255" s="26" t="str">
        <f>IFERROR($AC255*HDF_Limited_Col!BG255/HDF_Limited_Col!$AH255," ")</f>
        <v xml:space="preserve"> </v>
      </c>
      <c r="BH255" s="26" t="str">
        <f>IFERROR($AC255*HDF_Limited_Col!BH255/HDF_Limited_Col!$AH255," ")</f>
        <v xml:space="preserve"> </v>
      </c>
      <c r="BI255" s="26" t="str">
        <f>IFERROR($AC255*HDF_Limited_Col!BI255/HDF_Limited_Col!$AH255," ")</f>
        <v xml:space="preserve"> </v>
      </c>
      <c r="BJ255" s="26" t="str">
        <f>IFERROR($AC255*HDF_Limited_Col!BJ255/HDF_Limited_Col!$AH255," ")</f>
        <v xml:space="preserve"> </v>
      </c>
      <c r="BK255" s="26" t="str">
        <f>IFERROR($AC255*HDF_Limited_Col!BK255/HDF_Limited_Col!$AH255," ")</f>
        <v xml:space="preserve"> </v>
      </c>
      <c r="BL255" s="26" t="str">
        <f>IFERROR($AC255*HDF_Limited_Col!BL255/HDF_Limited_Col!$AH255," ")</f>
        <v xml:space="preserve"> </v>
      </c>
      <c r="BM255" s="26" t="str">
        <f>IFERROR($AC255*HDF_Limited_Col!BM255/HDF_Limited_Col!$AH255," ")</f>
        <v xml:space="preserve"> </v>
      </c>
      <c r="BN255" s="26" t="str">
        <f>IFERROR($AC255*HDF_Limited_Col!BN255/HDF_Limited_Col!$AH255," ")</f>
        <v xml:space="preserve"> </v>
      </c>
      <c r="BO255" s="26" t="str">
        <f>IFERROR($AC255*HDF_Limited_Col!BO255/HDF_Limited_Col!$AH255," ")</f>
        <v xml:space="preserve"> </v>
      </c>
      <c r="BP255" s="26" t="str">
        <f>IFERROR($AC255*HDF_Limited_Col!BP255/HDF_Limited_Col!$AH255," ")</f>
        <v xml:space="preserve"> </v>
      </c>
      <c r="BQ255" s="26" t="str">
        <f>IFERROR($AC255*HDF_Limited_Col!BQ255/HDF_Limited_Col!$AH255," ")</f>
        <v xml:space="preserve"> </v>
      </c>
      <c r="BR255" s="26" t="str">
        <f>IFERROR($AC255*HDF_Limited_Col!BR255/HDF_Limited_Col!$AH255," ")</f>
        <v xml:space="preserve"> </v>
      </c>
      <c r="BS255" s="26" t="str">
        <f>IFERROR($AC255*HDF_Limited_Col!BS255/HDF_Limited_Col!$AH255," ")</f>
        <v xml:space="preserve"> </v>
      </c>
      <c r="BT255" s="26" t="str">
        <f>IFERROR($AC255*HDF_Limited_Col!BT255/HDF_Limited_Col!$AH255," ")</f>
        <v xml:space="preserve"> </v>
      </c>
      <c r="BU255" s="26" t="str">
        <f>IFERROR($AC255*HDF_Limited_Col!BU255/HDF_Limited_Col!$AH255," ")</f>
        <v xml:space="preserve"> </v>
      </c>
      <c r="BV255" s="26" t="str">
        <f>IFERROR($AC255*HDF_Limited_Col!BV255/HDF_Limited_Col!$AH255," ")</f>
        <v xml:space="preserve"> </v>
      </c>
      <c r="BW255" s="26" t="str">
        <f>IFERROR($AC255*HDF_Limited_Col!BW255/HDF_Limited_Col!$AH255," ")</f>
        <v xml:space="preserve"> </v>
      </c>
      <c r="BX255" s="26" t="str">
        <f>IFERROR($AC255*HDF_Limited_Col!BX255/HDF_Limited_Col!$AH255," ")</f>
        <v xml:space="preserve"> </v>
      </c>
      <c r="BY255" s="26" t="str">
        <f>IFERROR($AC255*HDF_Limited_Col!BY255/HDF_Limited_Col!$AH255," ")</f>
        <v xml:space="preserve"> </v>
      </c>
      <c r="BZ255" s="26" t="str">
        <f>IFERROR($AC255*HDF_Limited_Col!BZ255/HDF_Limited_Col!$AH255," ")</f>
        <v xml:space="preserve"> </v>
      </c>
      <c r="CA255" s="26" t="str">
        <f>IFERROR($AC255*HDF_Limited_Col!CA255/HDF_Limited_Col!$AH255," ")</f>
        <v xml:space="preserve"> </v>
      </c>
      <c r="CB255" s="26" t="str">
        <f>IFERROR($AC255*HDF_Limited_Col!CB255/HDF_Limited_Col!$AH255," ")</f>
        <v xml:space="preserve"> </v>
      </c>
      <c r="CC255" s="26" t="str">
        <f>IFERROR($AC255*HDF_Limited_Col!CC255/HDF_Limited_Col!$AH255," ")</f>
        <v xml:space="preserve"> </v>
      </c>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row>
    <row r="256" spans="1:109">
      <c r="A256" s="26" t="s">
        <v>838</v>
      </c>
      <c r="B256" s="26" t="s">
        <v>24</v>
      </c>
      <c r="C256" s="157" t="s">
        <v>1722</v>
      </c>
      <c r="D256" s="26" t="s">
        <v>1719</v>
      </c>
      <c r="E256" s="26" t="s">
        <v>388</v>
      </c>
      <c r="F256" s="26" t="s">
        <v>342</v>
      </c>
      <c r="G256" s="26" t="s">
        <v>829</v>
      </c>
      <c r="H256" s="30"/>
      <c r="I256" s="26" t="s">
        <v>735</v>
      </c>
      <c r="J256" s="26"/>
      <c r="K256" s="26" t="s">
        <v>903</v>
      </c>
      <c r="L256" s="26"/>
      <c r="M256" s="26">
        <v>22</v>
      </c>
      <c r="N256" s="26">
        <v>39</v>
      </c>
      <c r="O256" s="95">
        <v>37.458630213559104</v>
      </c>
      <c r="P256" s="95">
        <v>2.1731567157165164</v>
      </c>
      <c r="Q256" s="95">
        <v>6.0868986681917603</v>
      </c>
      <c r="R256" s="95">
        <v>8.1673614955601792</v>
      </c>
      <c r="S256" s="95">
        <v>4.7479869476081245</v>
      </c>
      <c r="T256" s="95">
        <v>11.30865437846794</v>
      </c>
      <c r="U256" s="95">
        <v>2.9456057852839987</v>
      </c>
      <c r="V256" s="95">
        <v>3.2133881294007258</v>
      </c>
      <c r="W256" s="95">
        <v>15.31509021929128</v>
      </c>
      <c r="X256" s="95">
        <v>5.3453475614069772</v>
      </c>
      <c r="Y256" s="95">
        <v>4.1815242965919701</v>
      </c>
      <c r="Z256" s="95">
        <v>100.94364441107858</v>
      </c>
      <c r="AA256" s="26"/>
      <c r="AB256" s="26"/>
      <c r="AC256" s="26">
        <f t="shared" si="4"/>
        <v>127136.27716035994</v>
      </c>
      <c r="AD256" s="26" t="str">
        <f>IFERROR($AC256*HDF_Limited_Col!AD256/HDF_Limited_Col!$AH256," ")</f>
        <v xml:space="preserve"> </v>
      </c>
      <c r="AE256" s="26" t="str">
        <f>IFERROR($AC256*HDF_Limited_Col!AE256/HDF_Limited_Col!$AH256," ")</f>
        <v xml:space="preserve"> </v>
      </c>
      <c r="AF256" s="26" t="str">
        <f>IFERROR($AC256*HDF_Limited_Col!AF256/HDF_Limited_Col!$AH256," ")</f>
        <v xml:space="preserve"> </v>
      </c>
      <c r="AG256" s="26" t="str">
        <f>IFERROR($AC256*HDF_Limited_Col!AG256/HDF_Limited_Col!$AH256," ")</f>
        <v xml:space="preserve"> </v>
      </c>
      <c r="AH256" s="26" t="str">
        <f>IFERROR($AC256*HDF_Limited_Col!AH256/HDF_Limited_Col!$AH256," ")</f>
        <v xml:space="preserve"> </v>
      </c>
      <c r="AI256" s="26" t="str">
        <f>IFERROR($AC256*HDF_Limited_Col!AI256/HDF_Limited_Col!$AH256," ")</f>
        <v xml:space="preserve"> </v>
      </c>
      <c r="AJ256" s="26" t="str">
        <f>IFERROR($AC256*HDF_Limited_Col!AJ256/HDF_Limited_Col!$AH256," ")</f>
        <v xml:space="preserve"> </v>
      </c>
      <c r="AK256" s="26" t="str">
        <f>IFERROR($AC256*HDF_Limited_Col!AK256/HDF_Limited_Col!$AH256," ")</f>
        <v xml:space="preserve"> </v>
      </c>
      <c r="AL256" s="26" t="str">
        <f>IFERROR($AC256*HDF_Limited_Col!AL256/HDF_Limited_Col!$AH256," ")</f>
        <v xml:space="preserve"> </v>
      </c>
      <c r="AM256" s="26" t="str">
        <f>IFERROR($AC256*HDF_Limited_Col!AM256/HDF_Limited_Col!$AH256," ")</f>
        <v xml:space="preserve"> </v>
      </c>
      <c r="AN256" s="26" t="str">
        <f>IFERROR($AC256*HDF_Limited_Col!AN256/HDF_Limited_Col!$AH256," ")</f>
        <v xml:space="preserve"> </v>
      </c>
      <c r="AO256" s="26" t="str">
        <f>IFERROR($AC256*HDF_Limited_Col!AO256/HDF_Limited_Col!$AH256," ")</f>
        <v xml:space="preserve"> </v>
      </c>
      <c r="AP256" s="26" t="str">
        <f>IFERROR($AC256*HDF_Limited_Col!AP256/HDF_Limited_Col!$AH256," ")</f>
        <v xml:space="preserve"> </v>
      </c>
      <c r="AQ256" s="26" t="str">
        <f>IFERROR($AC256*HDF_Limited_Col!AQ256/HDF_Limited_Col!$AH256," ")</f>
        <v xml:space="preserve"> </v>
      </c>
      <c r="AR256" s="26" t="str">
        <f>IFERROR($AC256*HDF_Limited_Col!AR256/HDF_Limited_Col!$AH256," ")</f>
        <v xml:space="preserve"> </v>
      </c>
      <c r="AS256" s="26" t="str">
        <f>IFERROR($AC256*HDF_Limited_Col!AS256/HDF_Limited_Col!$AH256," ")</f>
        <v xml:space="preserve"> </v>
      </c>
      <c r="AT256" s="26" t="str">
        <f>IFERROR($AC256*HDF_Limited_Col!AT256/HDF_Limited_Col!$AH256," ")</f>
        <v xml:space="preserve"> </v>
      </c>
      <c r="AU256" s="26" t="str">
        <f>IFERROR($AC256*HDF_Limited_Col!AU256/HDF_Limited_Col!$AH256," ")</f>
        <v xml:space="preserve"> </v>
      </c>
      <c r="AV256" s="26" t="str">
        <f>IFERROR($AC256*HDF_Limited_Col!AV256/HDF_Limited_Col!$AH256," ")</f>
        <v xml:space="preserve"> </v>
      </c>
      <c r="AW256" s="26" t="str">
        <f>IFERROR($AC256*HDF_Limited_Col!AW256/HDF_Limited_Col!$AH256," ")</f>
        <v xml:space="preserve"> </v>
      </c>
      <c r="AX256" s="26" t="str">
        <f>IFERROR($AC256*HDF_Limited_Col!AX256/HDF_Limited_Col!$AH256," ")</f>
        <v xml:space="preserve"> </v>
      </c>
      <c r="AY256" s="26" t="str">
        <f>IFERROR($AC256*HDF_Limited_Col!AY256/HDF_Limited_Col!$AH256," ")</f>
        <v xml:space="preserve"> </v>
      </c>
      <c r="AZ256" s="26" t="str">
        <f>IFERROR($AC256*HDF_Limited_Col!AZ256/HDF_Limited_Col!$AH256," ")</f>
        <v xml:space="preserve"> </v>
      </c>
      <c r="BA256" s="26" t="str">
        <f>IFERROR($AC256*HDF_Limited_Col!BA256/HDF_Limited_Col!$AH256," ")</f>
        <v xml:space="preserve"> </v>
      </c>
      <c r="BB256" s="26" t="str">
        <f>IFERROR($AC256*HDF_Limited_Col!BB256/HDF_Limited_Col!$AH256," ")</f>
        <v xml:space="preserve"> </v>
      </c>
      <c r="BC256" s="26" t="str">
        <f>IFERROR($AC256*HDF_Limited_Col!BC256/HDF_Limited_Col!$AH256," ")</f>
        <v xml:space="preserve"> </v>
      </c>
      <c r="BD256" s="26" t="str">
        <f>IFERROR($AC256*HDF_Limited_Col!BD256/HDF_Limited_Col!$AH256," ")</f>
        <v xml:space="preserve"> </v>
      </c>
      <c r="BE256" s="26" t="str">
        <f>IFERROR($AC256*HDF_Limited_Col!BE256/HDF_Limited_Col!$AH256," ")</f>
        <v xml:space="preserve"> </v>
      </c>
      <c r="BF256" s="26" t="str">
        <f>IFERROR($AC256*HDF_Limited_Col!BF256/HDF_Limited_Col!$AH256," ")</f>
        <v xml:space="preserve"> </v>
      </c>
      <c r="BG256" s="26" t="str">
        <f>IFERROR($AC256*HDF_Limited_Col!BG256/HDF_Limited_Col!$AH256," ")</f>
        <v xml:space="preserve"> </v>
      </c>
      <c r="BH256" s="26" t="str">
        <f>IFERROR($AC256*HDF_Limited_Col!BH256/HDF_Limited_Col!$AH256," ")</f>
        <v xml:space="preserve"> </v>
      </c>
      <c r="BI256" s="26" t="str">
        <f>IFERROR($AC256*HDF_Limited_Col!BI256/HDF_Limited_Col!$AH256," ")</f>
        <v xml:space="preserve"> </v>
      </c>
      <c r="BJ256" s="26" t="str">
        <f>IFERROR($AC256*HDF_Limited_Col!BJ256/HDF_Limited_Col!$AH256," ")</f>
        <v xml:space="preserve"> </v>
      </c>
      <c r="BK256" s="26" t="str">
        <f>IFERROR($AC256*HDF_Limited_Col!BK256/HDF_Limited_Col!$AH256," ")</f>
        <v xml:space="preserve"> </v>
      </c>
      <c r="BL256" s="26" t="str">
        <f>IFERROR($AC256*HDF_Limited_Col!BL256/HDF_Limited_Col!$AH256," ")</f>
        <v xml:space="preserve"> </v>
      </c>
      <c r="BM256" s="26" t="str">
        <f>IFERROR($AC256*HDF_Limited_Col!BM256/HDF_Limited_Col!$AH256," ")</f>
        <v xml:space="preserve"> </v>
      </c>
      <c r="BN256" s="26" t="str">
        <f>IFERROR($AC256*HDF_Limited_Col!BN256/HDF_Limited_Col!$AH256," ")</f>
        <v xml:space="preserve"> </v>
      </c>
      <c r="BO256" s="26" t="str">
        <f>IFERROR($AC256*HDF_Limited_Col!BO256/HDF_Limited_Col!$AH256," ")</f>
        <v xml:space="preserve"> </v>
      </c>
      <c r="BP256" s="26" t="str">
        <f>IFERROR($AC256*HDF_Limited_Col!BP256/HDF_Limited_Col!$AH256," ")</f>
        <v xml:space="preserve"> </v>
      </c>
      <c r="BQ256" s="26" t="str">
        <f>IFERROR($AC256*HDF_Limited_Col!BQ256/HDF_Limited_Col!$AH256," ")</f>
        <v xml:space="preserve"> </v>
      </c>
      <c r="BR256" s="26" t="str">
        <f>IFERROR($AC256*HDF_Limited_Col!BR256/HDF_Limited_Col!$AH256," ")</f>
        <v xml:space="preserve"> </v>
      </c>
      <c r="BS256" s="26" t="str">
        <f>IFERROR($AC256*HDF_Limited_Col!BS256/HDF_Limited_Col!$AH256," ")</f>
        <v xml:space="preserve"> </v>
      </c>
      <c r="BT256" s="26" t="str">
        <f>IFERROR($AC256*HDF_Limited_Col!BT256/HDF_Limited_Col!$AH256," ")</f>
        <v xml:space="preserve"> </v>
      </c>
      <c r="BU256" s="26" t="str">
        <f>IFERROR($AC256*HDF_Limited_Col!BU256/HDF_Limited_Col!$AH256," ")</f>
        <v xml:space="preserve"> </v>
      </c>
      <c r="BV256" s="26" t="str">
        <f>IFERROR($AC256*HDF_Limited_Col!BV256/HDF_Limited_Col!$AH256," ")</f>
        <v xml:space="preserve"> </v>
      </c>
      <c r="BW256" s="26" t="str">
        <f>IFERROR($AC256*HDF_Limited_Col!BW256/HDF_Limited_Col!$AH256," ")</f>
        <v xml:space="preserve"> </v>
      </c>
      <c r="BX256" s="26" t="str">
        <f>IFERROR($AC256*HDF_Limited_Col!BX256/HDF_Limited_Col!$AH256," ")</f>
        <v xml:space="preserve"> </v>
      </c>
      <c r="BY256" s="26" t="str">
        <f>IFERROR($AC256*HDF_Limited_Col!BY256/HDF_Limited_Col!$AH256," ")</f>
        <v xml:space="preserve"> </v>
      </c>
      <c r="BZ256" s="26" t="str">
        <f>IFERROR($AC256*HDF_Limited_Col!BZ256/HDF_Limited_Col!$AH256," ")</f>
        <v xml:space="preserve"> </v>
      </c>
      <c r="CA256" s="26" t="str">
        <f>IFERROR($AC256*HDF_Limited_Col!CA256/HDF_Limited_Col!$AH256," ")</f>
        <v xml:space="preserve"> </v>
      </c>
      <c r="CB256" s="26" t="str">
        <f>IFERROR($AC256*HDF_Limited_Col!CB256/HDF_Limited_Col!$AH256," ")</f>
        <v xml:space="preserve"> </v>
      </c>
      <c r="CC256" s="26" t="str">
        <f>IFERROR($AC256*HDF_Limited_Col!CC256/HDF_Limited_Col!$AH256," ")</f>
        <v xml:space="preserve"> </v>
      </c>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row>
    <row r="257" spans="1:109">
      <c r="A257" s="26" t="s">
        <v>838</v>
      </c>
      <c r="B257" s="26" t="s">
        <v>24</v>
      </c>
      <c r="C257" s="157" t="s">
        <v>1722</v>
      </c>
      <c r="D257" s="26" t="s">
        <v>1719</v>
      </c>
      <c r="E257" s="26" t="s">
        <v>388</v>
      </c>
      <c r="F257" s="26" t="s">
        <v>342</v>
      </c>
      <c r="G257" s="26" t="s">
        <v>829</v>
      </c>
      <c r="H257" s="30"/>
      <c r="I257" s="26" t="s">
        <v>735</v>
      </c>
      <c r="J257" s="26"/>
      <c r="K257" s="26" t="s">
        <v>903</v>
      </c>
      <c r="L257" s="26"/>
      <c r="M257" s="26">
        <v>24</v>
      </c>
      <c r="N257" s="26">
        <v>42</v>
      </c>
      <c r="O257" s="95">
        <v>27.315694721595207</v>
      </c>
      <c r="P257" s="95">
        <v>2.2745281374901407</v>
      </c>
      <c r="Q257" s="95">
        <v>5.2218040339562384</v>
      </c>
      <c r="R257" s="95">
        <v>6.9944409861786019</v>
      </c>
      <c r="S257" s="95">
        <v>3.9830938745719364</v>
      </c>
      <c r="T257" s="95">
        <v>18.142832420637315</v>
      </c>
      <c r="U257" s="95">
        <v>6.2255864044917937</v>
      </c>
      <c r="V257" s="95">
        <v>3.3637387948797857</v>
      </c>
      <c r="W257" s="95">
        <v>15.676090637725476</v>
      </c>
      <c r="X257" s="95">
        <v>4.9975547809642524</v>
      </c>
      <c r="Y257" s="95">
        <v>7.4963321714463795</v>
      </c>
      <c r="Z257" s="95">
        <v>101.69169696393712</v>
      </c>
      <c r="AA257" s="26"/>
      <c r="AB257" s="26"/>
      <c r="AC257" s="26">
        <f t="shared" si="4"/>
        <v>130133.07630394211</v>
      </c>
      <c r="AD257" s="26" t="str">
        <f>IFERROR($AC257*HDF_Limited_Col!AD257/HDF_Limited_Col!$AH257," ")</f>
        <v xml:space="preserve"> </v>
      </c>
      <c r="AE257" s="26" t="str">
        <f>IFERROR($AC257*HDF_Limited_Col!AE257/HDF_Limited_Col!$AH257," ")</f>
        <v xml:space="preserve"> </v>
      </c>
      <c r="AF257" s="26" t="str">
        <f>IFERROR($AC257*HDF_Limited_Col!AF257/HDF_Limited_Col!$AH257," ")</f>
        <v xml:space="preserve"> </v>
      </c>
      <c r="AG257" s="26" t="str">
        <f>IFERROR($AC257*HDF_Limited_Col!AG257/HDF_Limited_Col!$AH257," ")</f>
        <v xml:space="preserve"> </v>
      </c>
      <c r="AH257" s="26" t="str">
        <f>IFERROR($AC257*HDF_Limited_Col!AH257/HDF_Limited_Col!$AH257," ")</f>
        <v xml:space="preserve"> </v>
      </c>
      <c r="AI257" s="26" t="str">
        <f>IFERROR($AC257*HDF_Limited_Col!AI257/HDF_Limited_Col!$AH257," ")</f>
        <v xml:space="preserve"> </v>
      </c>
      <c r="AJ257" s="26" t="str">
        <f>IFERROR($AC257*HDF_Limited_Col!AJ257/HDF_Limited_Col!$AH257," ")</f>
        <v xml:space="preserve"> </v>
      </c>
      <c r="AK257" s="26" t="str">
        <f>IFERROR($AC257*HDF_Limited_Col!AK257/HDF_Limited_Col!$AH257," ")</f>
        <v xml:space="preserve"> </v>
      </c>
      <c r="AL257" s="26" t="str">
        <f>IFERROR($AC257*HDF_Limited_Col!AL257/HDF_Limited_Col!$AH257," ")</f>
        <v xml:space="preserve"> </v>
      </c>
      <c r="AM257" s="26" t="str">
        <f>IFERROR($AC257*HDF_Limited_Col!AM257/HDF_Limited_Col!$AH257," ")</f>
        <v xml:space="preserve"> </v>
      </c>
      <c r="AN257" s="26" t="str">
        <f>IFERROR($AC257*HDF_Limited_Col!AN257/HDF_Limited_Col!$AH257," ")</f>
        <v xml:space="preserve"> </v>
      </c>
      <c r="AO257" s="26" t="str">
        <f>IFERROR($AC257*HDF_Limited_Col!AO257/HDF_Limited_Col!$AH257," ")</f>
        <v xml:space="preserve"> </v>
      </c>
      <c r="AP257" s="26" t="str">
        <f>IFERROR($AC257*HDF_Limited_Col!AP257/HDF_Limited_Col!$AH257," ")</f>
        <v xml:space="preserve"> </v>
      </c>
      <c r="AQ257" s="26" t="str">
        <f>IFERROR($AC257*HDF_Limited_Col!AQ257/HDF_Limited_Col!$AH257," ")</f>
        <v xml:space="preserve"> </v>
      </c>
      <c r="AR257" s="26" t="str">
        <f>IFERROR($AC257*HDF_Limited_Col!AR257/HDF_Limited_Col!$AH257," ")</f>
        <v xml:space="preserve"> </v>
      </c>
      <c r="AS257" s="26" t="str">
        <f>IFERROR($AC257*HDF_Limited_Col!AS257/HDF_Limited_Col!$AH257," ")</f>
        <v xml:space="preserve"> </v>
      </c>
      <c r="AT257" s="26" t="str">
        <f>IFERROR($AC257*HDF_Limited_Col!AT257/HDF_Limited_Col!$AH257," ")</f>
        <v xml:space="preserve"> </v>
      </c>
      <c r="AU257" s="26" t="str">
        <f>IFERROR($AC257*HDF_Limited_Col!AU257/HDF_Limited_Col!$AH257," ")</f>
        <v xml:space="preserve"> </v>
      </c>
      <c r="AV257" s="26" t="str">
        <f>IFERROR($AC257*HDF_Limited_Col!AV257/HDF_Limited_Col!$AH257," ")</f>
        <v xml:space="preserve"> </v>
      </c>
      <c r="AW257" s="26" t="str">
        <f>IFERROR($AC257*HDF_Limited_Col!AW257/HDF_Limited_Col!$AH257," ")</f>
        <v xml:space="preserve"> </v>
      </c>
      <c r="AX257" s="26" t="str">
        <f>IFERROR($AC257*HDF_Limited_Col!AX257/HDF_Limited_Col!$AH257," ")</f>
        <v xml:space="preserve"> </v>
      </c>
      <c r="AY257" s="26" t="str">
        <f>IFERROR($AC257*HDF_Limited_Col!AY257/HDF_Limited_Col!$AH257," ")</f>
        <v xml:space="preserve"> </v>
      </c>
      <c r="AZ257" s="26" t="str">
        <f>IFERROR($AC257*HDF_Limited_Col!AZ257/HDF_Limited_Col!$AH257," ")</f>
        <v xml:space="preserve"> </v>
      </c>
      <c r="BA257" s="26" t="str">
        <f>IFERROR($AC257*HDF_Limited_Col!BA257/HDF_Limited_Col!$AH257," ")</f>
        <v xml:space="preserve"> </v>
      </c>
      <c r="BB257" s="26" t="str">
        <f>IFERROR($AC257*HDF_Limited_Col!BB257/HDF_Limited_Col!$AH257," ")</f>
        <v xml:space="preserve"> </v>
      </c>
      <c r="BC257" s="26" t="str">
        <f>IFERROR($AC257*HDF_Limited_Col!BC257/HDF_Limited_Col!$AH257," ")</f>
        <v xml:space="preserve"> </v>
      </c>
      <c r="BD257" s="26" t="str">
        <f>IFERROR($AC257*HDF_Limited_Col!BD257/HDF_Limited_Col!$AH257," ")</f>
        <v xml:space="preserve"> </v>
      </c>
      <c r="BE257" s="26" t="str">
        <f>IFERROR($AC257*HDF_Limited_Col!BE257/HDF_Limited_Col!$AH257," ")</f>
        <v xml:space="preserve"> </v>
      </c>
      <c r="BF257" s="26" t="str">
        <f>IFERROR($AC257*HDF_Limited_Col!BF257/HDF_Limited_Col!$AH257," ")</f>
        <v xml:space="preserve"> </v>
      </c>
      <c r="BG257" s="26" t="str">
        <f>IFERROR($AC257*HDF_Limited_Col!BG257/HDF_Limited_Col!$AH257," ")</f>
        <v xml:space="preserve"> </v>
      </c>
      <c r="BH257" s="26" t="str">
        <f>IFERROR($AC257*HDF_Limited_Col!BH257/HDF_Limited_Col!$AH257," ")</f>
        <v xml:space="preserve"> </v>
      </c>
      <c r="BI257" s="26" t="str">
        <f>IFERROR($AC257*HDF_Limited_Col!BI257/HDF_Limited_Col!$AH257," ")</f>
        <v xml:space="preserve"> </v>
      </c>
      <c r="BJ257" s="26" t="str">
        <f>IFERROR($AC257*HDF_Limited_Col!BJ257/HDF_Limited_Col!$AH257," ")</f>
        <v xml:space="preserve"> </v>
      </c>
      <c r="BK257" s="26" t="str">
        <f>IFERROR($AC257*HDF_Limited_Col!BK257/HDF_Limited_Col!$AH257," ")</f>
        <v xml:space="preserve"> </v>
      </c>
      <c r="BL257" s="26" t="str">
        <f>IFERROR($AC257*HDF_Limited_Col!BL257/HDF_Limited_Col!$AH257," ")</f>
        <v xml:space="preserve"> </v>
      </c>
      <c r="BM257" s="26" t="str">
        <f>IFERROR($AC257*HDF_Limited_Col!BM257/HDF_Limited_Col!$AH257," ")</f>
        <v xml:space="preserve"> </v>
      </c>
      <c r="BN257" s="26" t="str">
        <f>IFERROR($AC257*HDF_Limited_Col!BN257/HDF_Limited_Col!$AH257," ")</f>
        <v xml:space="preserve"> </v>
      </c>
      <c r="BO257" s="26" t="str">
        <f>IFERROR($AC257*HDF_Limited_Col!BO257/HDF_Limited_Col!$AH257," ")</f>
        <v xml:space="preserve"> </v>
      </c>
      <c r="BP257" s="26" t="str">
        <f>IFERROR($AC257*HDF_Limited_Col!BP257/HDF_Limited_Col!$AH257," ")</f>
        <v xml:space="preserve"> </v>
      </c>
      <c r="BQ257" s="26" t="str">
        <f>IFERROR($AC257*HDF_Limited_Col!BQ257/HDF_Limited_Col!$AH257," ")</f>
        <v xml:space="preserve"> </v>
      </c>
      <c r="BR257" s="26" t="str">
        <f>IFERROR($AC257*HDF_Limited_Col!BR257/HDF_Limited_Col!$AH257," ")</f>
        <v xml:space="preserve"> </v>
      </c>
      <c r="BS257" s="26" t="str">
        <f>IFERROR($AC257*HDF_Limited_Col!BS257/HDF_Limited_Col!$AH257," ")</f>
        <v xml:space="preserve"> </v>
      </c>
      <c r="BT257" s="26" t="str">
        <f>IFERROR($AC257*HDF_Limited_Col!BT257/HDF_Limited_Col!$AH257," ")</f>
        <v xml:space="preserve"> </v>
      </c>
      <c r="BU257" s="26" t="str">
        <f>IFERROR($AC257*HDF_Limited_Col!BU257/HDF_Limited_Col!$AH257," ")</f>
        <v xml:space="preserve"> </v>
      </c>
      <c r="BV257" s="26" t="str">
        <f>IFERROR($AC257*HDF_Limited_Col!BV257/HDF_Limited_Col!$AH257," ")</f>
        <v xml:space="preserve"> </v>
      </c>
      <c r="BW257" s="26" t="str">
        <f>IFERROR($AC257*HDF_Limited_Col!BW257/HDF_Limited_Col!$AH257," ")</f>
        <v xml:space="preserve"> </v>
      </c>
      <c r="BX257" s="26" t="str">
        <f>IFERROR($AC257*HDF_Limited_Col!BX257/HDF_Limited_Col!$AH257," ")</f>
        <v xml:space="preserve"> </v>
      </c>
      <c r="BY257" s="26" t="str">
        <f>IFERROR($AC257*HDF_Limited_Col!BY257/HDF_Limited_Col!$AH257," ")</f>
        <v xml:space="preserve"> </v>
      </c>
      <c r="BZ257" s="26" t="str">
        <f>IFERROR($AC257*HDF_Limited_Col!BZ257/HDF_Limited_Col!$AH257," ")</f>
        <v xml:space="preserve"> </v>
      </c>
      <c r="CA257" s="26" t="str">
        <f>IFERROR($AC257*HDF_Limited_Col!CA257/HDF_Limited_Col!$AH257," ")</f>
        <v xml:space="preserve"> </v>
      </c>
      <c r="CB257" s="26" t="str">
        <f>IFERROR($AC257*HDF_Limited_Col!CB257/HDF_Limited_Col!$AH257," ")</f>
        <v xml:space="preserve"> </v>
      </c>
      <c r="CC257" s="26" t="str">
        <f>IFERROR($AC257*HDF_Limited_Col!CC257/HDF_Limited_Col!$AH257," ")</f>
        <v xml:space="preserve"> </v>
      </c>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row>
    <row r="258" spans="1:109">
      <c r="A258" s="26" t="s">
        <v>838</v>
      </c>
      <c r="B258" s="26" t="s">
        <v>24</v>
      </c>
      <c r="C258" s="157" t="s">
        <v>1722</v>
      </c>
      <c r="D258" s="26" t="s">
        <v>1719</v>
      </c>
      <c r="E258" s="26" t="s">
        <v>388</v>
      </c>
      <c r="F258" s="26" t="s">
        <v>342</v>
      </c>
      <c r="G258" s="26" t="s">
        <v>829</v>
      </c>
      <c r="H258" s="30"/>
      <c r="I258" s="26" t="s">
        <v>735</v>
      </c>
      <c r="J258" s="26"/>
      <c r="K258" s="26" t="s">
        <v>903</v>
      </c>
      <c r="L258" s="26"/>
      <c r="M258" s="26" t="s">
        <v>101</v>
      </c>
      <c r="N258" s="26">
        <v>22</v>
      </c>
      <c r="O258" s="95">
        <v>21.458558800299794</v>
      </c>
      <c r="P258" s="95">
        <v>2.1023588013807233</v>
      </c>
      <c r="Q258" s="95">
        <v>3.3969147135609714</v>
      </c>
      <c r="R258" s="95">
        <v>17.036355804292068</v>
      </c>
      <c r="S258" s="95">
        <v>9.3725848041849993</v>
      </c>
      <c r="T258" s="95">
        <v>17.595603958353937</v>
      </c>
      <c r="U258" s="95">
        <v>2.2473490635449114</v>
      </c>
      <c r="V258" s="95">
        <v>6.8145423217168277</v>
      </c>
      <c r="W258" s="95">
        <v>12.39666741503806</v>
      </c>
      <c r="X258" s="95">
        <v>4.8364608879054085</v>
      </c>
      <c r="Y258" s="95">
        <v>3.5419049757251595</v>
      </c>
      <c r="Z258" s="95">
        <v>100.79930154600285</v>
      </c>
      <c r="AA258" s="26"/>
      <c r="AB258" s="26"/>
      <c r="AC258" s="26">
        <f t="shared" ref="AC258:AC321" si="5">W258*10000/1.20462</f>
        <v>102909.36075308446</v>
      </c>
      <c r="AD258" s="26" t="str">
        <f>IFERROR($AC258*HDF_Limited_Col!AD258/HDF_Limited_Col!$AH258," ")</f>
        <v xml:space="preserve"> </v>
      </c>
      <c r="AE258" s="26" t="str">
        <f>IFERROR($AC258*HDF_Limited_Col!AE258/HDF_Limited_Col!$AH258," ")</f>
        <v xml:space="preserve"> </v>
      </c>
      <c r="AF258" s="26" t="str">
        <f>IFERROR($AC258*HDF_Limited_Col!AF258/HDF_Limited_Col!$AH258," ")</f>
        <v xml:space="preserve"> </v>
      </c>
      <c r="AG258" s="26" t="str">
        <f>IFERROR($AC258*HDF_Limited_Col!AG258/HDF_Limited_Col!$AH258," ")</f>
        <v xml:space="preserve"> </v>
      </c>
      <c r="AH258" s="26" t="str">
        <f>IFERROR($AC258*HDF_Limited_Col!AH258/HDF_Limited_Col!$AH258," ")</f>
        <v xml:space="preserve"> </v>
      </c>
      <c r="AI258" s="26" t="str">
        <f>IFERROR($AC258*HDF_Limited_Col!AI258/HDF_Limited_Col!$AH258," ")</f>
        <v xml:space="preserve"> </v>
      </c>
      <c r="AJ258" s="26" t="str">
        <f>IFERROR($AC258*HDF_Limited_Col!AJ258/HDF_Limited_Col!$AH258," ")</f>
        <v xml:space="preserve"> </v>
      </c>
      <c r="AK258" s="26" t="str">
        <f>IFERROR($AC258*HDF_Limited_Col!AK258/HDF_Limited_Col!$AH258," ")</f>
        <v xml:space="preserve"> </v>
      </c>
      <c r="AL258" s="26" t="str">
        <f>IFERROR($AC258*HDF_Limited_Col!AL258/HDF_Limited_Col!$AH258," ")</f>
        <v xml:space="preserve"> </v>
      </c>
      <c r="AM258" s="26" t="str">
        <f>IFERROR($AC258*HDF_Limited_Col!AM258/HDF_Limited_Col!$AH258," ")</f>
        <v xml:space="preserve"> </v>
      </c>
      <c r="AN258" s="26" t="str">
        <f>IFERROR($AC258*HDF_Limited_Col!AN258/HDF_Limited_Col!$AH258," ")</f>
        <v xml:space="preserve"> </v>
      </c>
      <c r="AO258" s="26" t="str">
        <f>IFERROR($AC258*HDF_Limited_Col!AO258/HDF_Limited_Col!$AH258," ")</f>
        <v xml:space="preserve"> </v>
      </c>
      <c r="AP258" s="26" t="str">
        <f>IFERROR($AC258*HDF_Limited_Col!AP258/HDF_Limited_Col!$AH258," ")</f>
        <v xml:space="preserve"> </v>
      </c>
      <c r="AQ258" s="26" t="str">
        <f>IFERROR($AC258*HDF_Limited_Col!AQ258/HDF_Limited_Col!$AH258," ")</f>
        <v xml:space="preserve"> </v>
      </c>
      <c r="AR258" s="26" t="str">
        <f>IFERROR($AC258*HDF_Limited_Col!AR258/HDF_Limited_Col!$AH258," ")</f>
        <v xml:space="preserve"> </v>
      </c>
      <c r="AS258" s="26" t="str">
        <f>IFERROR($AC258*HDF_Limited_Col!AS258/HDF_Limited_Col!$AH258," ")</f>
        <v xml:space="preserve"> </v>
      </c>
      <c r="AT258" s="26" t="str">
        <f>IFERROR($AC258*HDF_Limited_Col!AT258/HDF_Limited_Col!$AH258," ")</f>
        <v xml:space="preserve"> </v>
      </c>
      <c r="AU258" s="26" t="str">
        <f>IFERROR($AC258*HDF_Limited_Col!AU258/HDF_Limited_Col!$AH258," ")</f>
        <v xml:space="preserve"> </v>
      </c>
      <c r="AV258" s="26" t="str">
        <f>IFERROR($AC258*HDF_Limited_Col!AV258/HDF_Limited_Col!$AH258," ")</f>
        <v xml:space="preserve"> </v>
      </c>
      <c r="AW258" s="26" t="str">
        <f>IFERROR($AC258*HDF_Limited_Col!AW258/HDF_Limited_Col!$AH258," ")</f>
        <v xml:space="preserve"> </v>
      </c>
      <c r="AX258" s="26" t="str">
        <f>IFERROR($AC258*HDF_Limited_Col!AX258/HDF_Limited_Col!$AH258," ")</f>
        <v xml:space="preserve"> </v>
      </c>
      <c r="AY258" s="26" t="str">
        <f>IFERROR($AC258*HDF_Limited_Col!AY258/HDF_Limited_Col!$AH258," ")</f>
        <v xml:space="preserve"> </v>
      </c>
      <c r="AZ258" s="26" t="str">
        <f>IFERROR($AC258*HDF_Limited_Col!AZ258/HDF_Limited_Col!$AH258," ")</f>
        <v xml:space="preserve"> </v>
      </c>
      <c r="BA258" s="26" t="str">
        <f>IFERROR($AC258*HDF_Limited_Col!BA258/HDF_Limited_Col!$AH258," ")</f>
        <v xml:space="preserve"> </v>
      </c>
      <c r="BB258" s="26" t="str">
        <f>IFERROR($AC258*HDF_Limited_Col!BB258/HDF_Limited_Col!$AH258," ")</f>
        <v xml:space="preserve"> </v>
      </c>
      <c r="BC258" s="26" t="str">
        <f>IFERROR($AC258*HDF_Limited_Col!BC258/HDF_Limited_Col!$AH258," ")</f>
        <v xml:space="preserve"> </v>
      </c>
      <c r="BD258" s="26" t="str">
        <f>IFERROR($AC258*HDF_Limited_Col!BD258/HDF_Limited_Col!$AH258," ")</f>
        <v xml:space="preserve"> </v>
      </c>
      <c r="BE258" s="26" t="str">
        <f>IFERROR($AC258*HDF_Limited_Col!BE258/HDF_Limited_Col!$AH258," ")</f>
        <v xml:space="preserve"> </v>
      </c>
      <c r="BF258" s="26" t="str">
        <f>IFERROR($AC258*HDF_Limited_Col!BF258/HDF_Limited_Col!$AH258," ")</f>
        <v xml:space="preserve"> </v>
      </c>
      <c r="BG258" s="26" t="str">
        <f>IFERROR($AC258*HDF_Limited_Col!BG258/HDF_Limited_Col!$AH258," ")</f>
        <v xml:space="preserve"> </v>
      </c>
      <c r="BH258" s="26" t="str">
        <f>IFERROR($AC258*HDF_Limited_Col!BH258/HDF_Limited_Col!$AH258," ")</f>
        <v xml:space="preserve"> </v>
      </c>
      <c r="BI258" s="26" t="str">
        <f>IFERROR($AC258*HDF_Limited_Col!BI258/HDF_Limited_Col!$AH258," ")</f>
        <v xml:space="preserve"> </v>
      </c>
      <c r="BJ258" s="26" t="str">
        <f>IFERROR($AC258*HDF_Limited_Col!BJ258/HDF_Limited_Col!$AH258," ")</f>
        <v xml:space="preserve"> </v>
      </c>
      <c r="BK258" s="26" t="str">
        <f>IFERROR($AC258*HDF_Limited_Col!BK258/HDF_Limited_Col!$AH258," ")</f>
        <v xml:space="preserve"> </v>
      </c>
      <c r="BL258" s="26" t="str">
        <f>IFERROR($AC258*HDF_Limited_Col!BL258/HDF_Limited_Col!$AH258," ")</f>
        <v xml:space="preserve"> </v>
      </c>
      <c r="BM258" s="26" t="str">
        <f>IFERROR($AC258*HDF_Limited_Col!BM258/HDF_Limited_Col!$AH258," ")</f>
        <v xml:space="preserve"> </v>
      </c>
      <c r="BN258" s="26" t="str">
        <f>IFERROR($AC258*HDF_Limited_Col!BN258/HDF_Limited_Col!$AH258," ")</f>
        <v xml:space="preserve"> </v>
      </c>
      <c r="BO258" s="26" t="str">
        <f>IFERROR($AC258*HDF_Limited_Col!BO258/HDF_Limited_Col!$AH258," ")</f>
        <v xml:space="preserve"> </v>
      </c>
      <c r="BP258" s="26" t="str">
        <f>IFERROR($AC258*HDF_Limited_Col!BP258/HDF_Limited_Col!$AH258," ")</f>
        <v xml:space="preserve"> </v>
      </c>
      <c r="BQ258" s="26" t="str">
        <f>IFERROR($AC258*HDF_Limited_Col!BQ258/HDF_Limited_Col!$AH258," ")</f>
        <v xml:space="preserve"> </v>
      </c>
      <c r="BR258" s="26" t="str">
        <f>IFERROR($AC258*HDF_Limited_Col!BR258/HDF_Limited_Col!$AH258," ")</f>
        <v xml:space="preserve"> </v>
      </c>
      <c r="BS258" s="26" t="str">
        <f>IFERROR($AC258*HDF_Limited_Col!BS258/HDF_Limited_Col!$AH258," ")</f>
        <v xml:space="preserve"> </v>
      </c>
      <c r="BT258" s="26" t="str">
        <f>IFERROR($AC258*HDF_Limited_Col!BT258/HDF_Limited_Col!$AH258," ")</f>
        <v xml:space="preserve"> </v>
      </c>
      <c r="BU258" s="26" t="str">
        <f>IFERROR($AC258*HDF_Limited_Col!BU258/HDF_Limited_Col!$AH258," ")</f>
        <v xml:space="preserve"> </v>
      </c>
      <c r="BV258" s="26" t="str">
        <f>IFERROR($AC258*HDF_Limited_Col!BV258/HDF_Limited_Col!$AH258," ")</f>
        <v xml:space="preserve"> </v>
      </c>
      <c r="BW258" s="26" t="str">
        <f>IFERROR($AC258*HDF_Limited_Col!BW258/HDF_Limited_Col!$AH258," ")</f>
        <v xml:space="preserve"> </v>
      </c>
      <c r="BX258" s="26" t="str">
        <f>IFERROR($AC258*HDF_Limited_Col!BX258/HDF_Limited_Col!$AH258," ")</f>
        <v xml:space="preserve"> </v>
      </c>
      <c r="BY258" s="26" t="str">
        <f>IFERROR($AC258*HDF_Limited_Col!BY258/HDF_Limited_Col!$AH258," ")</f>
        <v xml:space="preserve"> </v>
      </c>
      <c r="BZ258" s="26" t="str">
        <f>IFERROR($AC258*HDF_Limited_Col!BZ258/HDF_Limited_Col!$AH258," ")</f>
        <v xml:space="preserve"> </v>
      </c>
      <c r="CA258" s="26" t="str">
        <f>IFERROR($AC258*HDF_Limited_Col!CA258/HDF_Limited_Col!$AH258," ")</f>
        <v xml:space="preserve"> </v>
      </c>
      <c r="CB258" s="26" t="str">
        <f>IFERROR($AC258*HDF_Limited_Col!CB258/HDF_Limited_Col!$AH258," ")</f>
        <v xml:space="preserve"> </v>
      </c>
      <c r="CC258" s="26" t="str">
        <f>IFERROR($AC258*HDF_Limited_Col!CC258/HDF_Limited_Col!$AH258," ")</f>
        <v xml:space="preserve"> </v>
      </c>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row>
    <row r="259" spans="1:109">
      <c r="A259" s="26" t="s">
        <v>838</v>
      </c>
      <c r="B259" s="26" t="s">
        <v>24</v>
      </c>
      <c r="C259" s="157" t="s">
        <v>1722</v>
      </c>
      <c r="D259" s="26" t="s">
        <v>1719</v>
      </c>
      <c r="E259" s="26" t="s">
        <v>388</v>
      </c>
      <c r="F259" s="26" t="s">
        <v>342</v>
      </c>
      <c r="G259" s="26" t="s">
        <v>829</v>
      </c>
      <c r="H259" s="30"/>
      <c r="I259" s="26" t="s">
        <v>735</v>
      </c>
      <c r="J259" s="26"/>
      <c r="K259" s="26" t="s">
        <v>903</v>
      </c>
      <c r="L259" s="26"/>
      <c r="M259" s="26" t="s">
        <v>173</v>
      </c>
      <c r="N259" s="26">
        <v>32</v>
      </c>
      <c r="O259" s="95">
        <v>29.572977851799681</v>
      </c>
      <c r="P259" s="95">
        <v>1.6678450674261363</v>
      </c>
      <c r="Q259" s="95">
        <v>4.6908142521360077</v>
      </c>
      <c r="R259" s="95">
        <v>9.3399323775863632</v>
      </c>
      <c r="S259" s="95">
        <v>4.6908142521360077</v>
      </c>
      <c r="T259" s="95">
        <v>11.070321635040978</v>
      </c>
      <c r="U259" s="95">
        <v>4.9097189172356881</v>
      </c>
      <c r="V259" s="95">
        <v>3.6484110849946729</v>
      </c>
      <c r="W259" s="95">
        <v>19.22191440208622</v>
      </c>
      <c r="X259" s="95">
        <v>5.9729701477198507</v>
      </c>
      <c r="Y259" s="95">
        <v>6.733924459733025</v>
      </c>
      <c r="Z259" s="95">
        <v>101.51964444789465</v>
      </c>
      <c r="AA259" s="26"/>
      <c r="AB259" s="26"/>
      <c r="AC259" s="26">
        <f t="shared" si="5"/>
        <v>159568.28213118014</v>
      </c>
      <c r="AD259" s="26" t="str">
        <f>IFERROR($AC259*HDF_Limited_Col!AD259/HDF_Limited_Col!$AH259," ")</f>
        <v xml:space="preserve"> </v>
      </c>
      <c r="AE259" s="26" t="str">
        <f>IFERROR($AC259*HDF_Limited_Col!AE259/HDF_Limited_Col!$AH259," ")</f>
        <v xml:space="preserve"> </v>
      </c>
      <c r="AF259" s="26" t="str">
        <f>IFERROR($AC259*HDF_Limited_Col!AF259/HDF_Limited_Col!$AH259," ")</f>
        <v xml:space="preserve"> </v>
      </c>
      <c r="AG259" s="26" t="str">
        <f>IFERROR($AC259*HDF_Limited_Col!AG259/HDF_Limited_Col!$AH259," ")</f>
        <v xml:space="preserve"> </v>
      </c>
      <c r="AH259" s="26" t="str">
        <f>IFERROR($AC259*HDF_Limited_Col!AH259/HDF_Limited_Col!$AH259," ")</f>
        <v xml:space="preserve"> </v>
      </c>
      <c r="AI259" s="26" t="str">
        <f>IFERROR($AC259*HDF_Limited_Col!AI259/HDF_Limited_Col!$AH259," ")</f>
        <v xml:space="preserve"> </v>
      </c>
      <c r="AJ259" s="26" t="str">
        <f>IFERROR($AC259*HDF_Limited_Col!AJ259/HDF_Limited_Col!$AH259," ")</f>
        <v xml:space="preserve"> </v>
      </c>
      <c r="AK259" s="26" t="str">
        <f>IFERROR($AC259*HDF_Limited_Col!AK259/HDF_Limited_Col!$AH259," ")</f>
        <v xml:space="preserve"> </v>
      </c>
      <c r="AL259" s="26" t="str">
        <f>IFERROR($AC259*HDF_Limited_Col!AL259/HDF_Limited_Col!$AH259," ")</f>
        <v xml:space="preserve"> </v>
      </c>
      <c r="AM259" s="26" t="str">
        <f>IFERROR($AC259*HDF_Limited_Col!AM259/HDF_Limited_Col!$AH259," ")</f>
        <v xml:space="preserve"> </v>
      </c>
      <c r="AN259" s="26" t="str">
        <f>IFERROR($AC259*HDF_Limited_Col!AN259/HDF_Limited_Col!$AH259," ")</f>
        <v xml:space="preserve"> </v>
      </c>
      <c r="AO259" s="26" t="str">
        <f>IFERROR($AC259*HDF_Limited_Col!AO259/HDF_Limited_Col!$AH259," ")</f>
        <v xml:space="preserve"> </v>
      </c>
      <c r="AP259" s="26" t="str">
        <f>IFERROR($AC259*HDF_Limited_Col!AP259/HDF_Limited_Col!$AH259," ")</f>
        <v xml:space="preserve"> </v>
      </c>
      <c r="AQ259" s="26" t="str">
        <f>IFERROR($AC259*HDF_Limited_Col!AQ259/HDF_Limited_Col!$AH259," ")</f>
        <v xml:space="preserve"> </v>
      </c>
      <c r="AR259" s="26" t="str">
        <f>IFERROR($AC259*HDF_Limited_Col!AR259/HDF_Limited_Col!$AH259," ")</f>
        <v xml:space="preserve"> </v>
      </c>
      <c r="AS259" s="26" t="str">
        <f>IFERROR($AC259*HDF_Limited_Col!AS259/HDF_Limited_Col!$AH259," ")</f>
        <v xml:space="preserve"> </v>
      </c>
      <c r="AT259" s="26" t="str">
        <f>IFERROR($AC259*HDF_Limited_Col!AT259/HDF_Limited_Col!$AH259," ")</f>
        <v xml:space="preserve"> </v>
      </c>
      <c r="AU259" s="26" t="str">
        <f>IFERROR($AC259*HDF_Limited_Col!AU259/HDF_Limited_Col!$AH259," ")</f>
        <v xml:space="preserve"> </v>
      </c>
      <c r="AV259" s="26" t="str">
        <f>IFERROR($AC259*HDF_Limited_Col!AV259/HDF_Limited_Col!$AH259," ")</f>
        <v xml:space="preserve"> </v>
      </c>
      <c r="AW259" s="26" t="str">
        <f>IFERROR($AC259*HDF_Limited_Col!AW259/HDF_Limited_Col!$AH259," ")</f>
        <v xml:space="preserve"> </v>
      </c>
      <c r="AX259" s="26" t="str">
        <f>IFERROR($AC259*HDF_Limited_Col!AX259/HDF_Limited_Col!$AH259," ")</f>
        <v xml:space="preserve"> </v>
      </c>
      <c r="AY259" s="26" t="str">
        <f>IFERROR($AC259*HDF_Limited_Col!AY259/HDF_Limited_Col!$AH259," ")</f>
        <v xml:space="preserve"> </v>
      </c>
      <c r="AZ259" s="26" t="str">
        <f>IFERROR($AC259*HDF_Limited_Col!AZ259/HDF_Limited_Col!$AH259," ")</f>
        <v xml:space="preserve"> </v>
      </c>
      <c r="BA259" s="26" t="str">
        <f>IFERROR($AC259*HDF_Limited_Col!BA259/HDF_Limited_Col!$AH259," ")</f>
        <v xml:space="preserve"> </v>
      </c>
      <c r="BB259" s="26" t="str">
        <f>IFERROR($AC259*HDF_Limited_Col!BB259/HDF_Limited_Col!$AH259," ")</f>
        <v xml:space="preserve"> </v>
      </c>
      <c r="BC259" s="26" t="str">
        <f>IFERROR($AC259*HDF_Limited_Col!BC259/HDF_Limited_Col!$AH259," ")</f>
        <v xml:space="preserve"> </v>
      </c>
      <c r="BD259" s="26" t="str">
        <f>IFERROR($AC259*HDF_Limited_Col!BD259/HDF_Limited_Col!$AH259," ")</f>
        <v xml:space="preserve"> </v>
      </c>
      <c r="BE259" s="26" t="str">
        <f>IFERROR($AC259*HDF_Limited_Col!BE259/HDF_Limited_Col!$AH259," ")</f>
        <v xml:space="preserve"> </v>
      </c>
      <c r="BF259" s="26" t="str">
        <f>IFERROR($AC259*HDF_Limited_Col!BF259/HDF_Limited_Col!$AH259," ")</f>
        <v xml:space="preserve"> </v>
      </c>
      <c r="BG259" s="26" t="str">
        <f>IFERROR($AC259*HDF_Limited_Col!BG259/HDF_Limited_Col!$AH259," ")</f>
        <v xml:space="preserve"> </v>
      </c>
      <c r="BH259" s="26" t="str">
        <f>IFERROR($AC259*HDF_Limited_Col!BH259/HDF_Limited_Col!$AH259," ")</f>
        <v xml:space="preserve"> </v>
      </c>
      <c r="BI259" s="26" t="str">
        <f>IFERROR($AC259*HDF_Limited_Col!BI259/HDF_Limited_Col!$AH259," ")</f>
        <v xml:space="preserve"> </v>
      </c>
      <c r="BJ259" s="26" t="str">
        <f>IFERROR($AC259*HDF_Limited_Col!BJ259/HDF_Limited_Col!$AH259," ")</f>
        <v xml:space="preserve"> </v>
      </c>
      <c r="BK259" s="26" t="str">
        <f>IFERROR($AC259*HDF_Limited_Col!BK259/HDF_Limited_Col!$AH259," ")</f>
        <v xml:space="preserve"> </v>
      </c>
      <c r="BL259" s="26" t="str">
        <f>IFERROR($AC259*HDF_Limited_Col!BL259/HDF_Limited_Col!$AH259," ")</f>
        <v xml:space="preserve"> </v>
      </c>
      <c r="BM259" s="26" t="str">
        <f>IFERROR($AC259*HDF_Limited_Col!BM259/HDF_Limited_Col!$AH259," ")</f>
        <v xml:space="preserve"> </v>
      </c>
      <c r="BN259" s="26" t="str">
        <f>IFERROR($AC259*HDF_Limited_Col!BN259/HDF_Limited_Col!$AH259," ")</f>
        <v xml:space="preserve"> </v>
      </c>
      <c r="BO259" s="26" t="str">
        <f>IFERROR($AC259*HDF_Limited_Col!BO259/HDF_Limited_Col!$AH259," ")</f>
        <v xml:space="preserve"> </v>
      </c>
      <c r="BP259" s="26" t="str">
        <f>IFERROR($AC259*HDF_Limited_Col!BP259/HDF_Limited_Col!$AH259," ")</f>
        <v xml:space="preserve"> </v>
      </c>
      <c r="BQ259" s="26" t="str">
        <f>IFERROR($AC259*HDF_Limited_Col!BQ259/HDF_Limited_Col!$AH259," ")</f>
        <v xml:space="preserve"> </v>
      </c>
      <c r="BR259" s="26" t="str">
        <f>IFERROR($AC259*HDF_Limited_Col!BR259/HDF_Limited_Col!$AH259," ")</f>
        <v xml:space="preserve"> </v>
      </c>
      <c r="BS259" s="26" t="str">
        <f>IFERROR($AC259*HDF_Limited_Col!BS259/HDF_Limited_Col!$AH259," ")</f>
        <v xml:space="preserve"> </v>
      </c>
      <c r="BT259" s="26" t="str">
        <f>IFERROR($AC259*HDF_Limited_Col!BT259/HDF_Limited_Col!$AH259," ")</f>
        <v xml:space="preserve"> </v>
      </c>
      <c r="BU259" s="26" t="str">
        <f>IFERROR($AC259*HDF_Limited_Col!BU259/HDF_Limited_Col!$AH259," ")</f>
        <v xml:space="preserve"> </v>
      </c>
      <c r="BV259" s="26" t="str">
        <f>IFERROR($AC259*HDF_Limited_Col!BV259/HDF_Limited_Col!$AH259," ")</f>
        <v xml:space="preserve"> </v>
      </c>
      <c r="BW259" s="26" t="str">
        <f>IFERROR($AC259*HDF_Limited_Col!BW259/HDF_Limited_Col!$AH259," ")</f>
        <v xml:space="preserve"> </v>
      </c>
      <c r="BX259" s="26" t="str">
        <f>IFERROR($AC259*HDF_Limited_Col!BX259/HDF_Limited_Col!$AH259," ")</f>
        <v xml:space="preserve"> </v>
      </c>
      <c r="BY259" s="26" t="str">
        <f>IFERROR($AC259*HDF_Limited_Col!BY259/HDF_Limited_Col!$AH259," ")</f>
        <v xml:space="preserve"> </v>
      </c>
      <c r="BZ259" s="26" t="str">
        <f>IFERROR($AC259*HDF_Limited_Col!BZ259/HDF_Limited_Col!$AH259," ")</f>
        <v xml:space="preserve"> </v>
      </c>
      <c r="CA259" s="26" t="str">
        <f>IFERROR($AC259*HDF_Limited_Col!CA259/HDF_Limited_Col!$AH259," ")</f>
        <v xml:space="preserve"> </v>
      </c>
      <c r="CB259" s="26" t="str">
        <f>IFERROR($AC259*HDF_Limited_Col!CB259/HDF_Limited_Col!$AH259," ")</f>
        <v xml:space="preserve"> </v>
      </c>
      <c r="CC259" s="26" t="str">
        <f>IFERROR($AC259*HDF_Limited_Col!CC259/HDF_Limited_Col!$AH259," ")</f>
        <v xml:space="preserve"> </v>
      </c>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row>
    <row r="260" spans="1:109">
      <c r="A260" s="26" t="s">
        <v>838</v>
      </c>
      <c r="B260" s="26" t="s">
        <v>24</v>
      </c>
      <c r="C260" s="157" t="s">
        <v>1722</v>
      </c>
      <c r="D260" s="26" t="s">
        <v>1719</v>
      </c>
      <c r="E260" s="26" t="s">
        <v>388</v>
      </c>
      <c r="F260" s="26" t="s">
        <v>342</v>
      </c>
      <c r="G260" s="26" t="s">
        <v>829</v>
      </c>
      <c r="H260" s="30"/>
      <c r="I260" s="26" t="s">
        <v>735</v>
      </c>
      <c r="J260" s="26"/>
      <c r="K260" s="26" t="s">
        <v>903</v>
      </c>
      <c r="L260" s="26"/>
      <c r="M260" s="26">
        <v>29</v>
      </c>
      <c r="N260" s="26">
        <v>37</v>
      </c>
      <c r="O260" s="95">
        <v>38.548518142487801</v>
      </c>
      <c r="P260" s="95">
        <v>1.863127748415486</v>
      </c>
      <c r="Q260" s="95">
        <v>5.2046068624215192</v>
      </c>
      <c r="R260" s="95">
        <v>12.839380353211064</v>
      </c>
      <c r="S260" s="95">
        <v>7.0171061394126708</v>
      </c>
      <c r="T260" s="95">
        <v>11.786308147584922</v>
      </c>
      <c r="U260" s="95">
        <v>1.2454603970386127</v>
      </c>
      <c r="V260" s="95">
        <v>5.6703887995253908</v>
      </c>
      <c r="W260" s="95">
        <v>6.9057235022791374</v>
      </c>
      <c r="X260" s="95">
        <v>7.3512540508132744</v>
      </c>
      <c r="Y260" s="95">
        <v>2.0251388569733542</v>
      </c>
      <c r="Z260" s="95">
        <v>100.45701300016323</v>
      </c>
      <c r="AA260" s="26"/>
      <c r="AB260" s="26"/>
      <c r="AC260" s="26">
        <f t="shared" si="5"/>
        <v>57326.986952558793</v>
      </c>
      <c r="AD260" s="26" t="str">
        <f>IFERROR($AC260*HDF_Limited_Col!AD260/HDF_Limited_Col!$AH260," ")</f>
        <v xml:space="preserve"> </v>
      </c>
      <c r="AE260" s="26" t="str">
        <f>IFERROR($AC260*HDF_Limited_Col!AE260/HDF_Limited_Col!$AH260," ")</f>
        <v xml:space="preserve"> </v>
      </c>
      <c r="AF260" s="26" t="str">
        <f>IFERROR($AC260*HDF_Limited_Col!AF260/HDF_Limited_Col!$AH260," ")</f>
        <v xml:space="preserve"> </v>
      </c>
      <c r="AG260" s="26" t="str">
        <f>IFERROR($AC260*HDF_Limited_Col!AG260/HDF_Limited_Col!$AH260," ")</f>
        <v xml:space="preserve"> </v>
      </c>
      <c r="AH260" s="26" t="str">
        <f>IFERROR($AC260*HDF_Limited_Col!AH260/HDF_Limited_Col!$AH260," ")</f>
        <v xml:space="preserve"> </v>
      </c>
      <c r="AI260" s="26" t="str">
        <f>IFERROR($AC260*HDF_Limited_Col!AI260/HDF_Limited_Col!$AH260," ")</f>
        <v xml:space="preserve"> </v>
      </c>
      <c r="AJ260" s="26" t="str">
        <f>IFERROR($AC260*HDF_Limited_Col!AJ260/HDF_Limited_Col!$AH260," ")</f>
        <v xml:space="preserve"> </v>
      </c>
      <c r="AK260" s="26" t="str">
        <f>IFERROR($AC260*HDF_Limited_Col!AK260/HDF_Limited_Col!$AH260," ")</f>
        <v xml:space="preserve"> </v>
      </c>
      <c r="AL260" s="26" t="str">
        <f>IFERROR($AC260*HDF_Limited_Col!AL260/HDF_Limited_Col!$AH260," ")</f>
        <v xml:space="preserve"> </v>
      </c>
      <c r="AM260" s="26" t="str">
        <f>IFERROR($AC260*HDF_Limited_Col!AM260/HDF_Limited_Col!$AH260," ")</f>
        <v xml:space="preserve"> </v>
      </c>
      <c r="AN260" s="26" t="str">
        <f>IFERROR($AC260*HDF_Limited_Col!AN260/HDF_Limited_Col!$AH260," ")</f>
        <v xml:space="preserve"> </v>
      </c>
      <c r="AO260" s="26" t="str">
        <f>IFERROR($AC260*HDF_Limited_Col!AO260/HDF_Limited_Col!$AH260," ")</f>
        <v xml:space="preserve"> </v>
      </c>
      <c r="AP260" s="26" t="str">
        <f>IFERROR($AC260*HDF_Limited_Col!AP260/HDF_Limited_Col!$AH260," ")</f>
        <v xml:space="preserve"> </v>
      </c>
      <c r="AQ260" s="26" t="str">
        <f>IFERROR($AC260*HDF_Limited_Col!AQ260/HDF_Limited_Col!$AH260," ")</f>
        <v xml:space="preserve"> </v>
      </c>
      <c r="AR260" s="26" t="str">
        <f>IFERROR($AC260*HDF_Limited_Col!AR260/HDF_Limited_Col!$AH260," ")</f>
        <v xml:space="preserve"> </v>
      </c>
      <c r="AS260" s="26" t="str">
        <f>IFERROR($AC260*HDF_Limited_Col!AS260/HDF_Limited_Col!$AH260," ")</f>
        <v xml:space="preserve"> </v>
      </c>
      <c r="AT260" s="26" t="str">
        <f>IFERROR($AC260*HDF_Limited_Col!AT260/HDF_Limited_Col!$AH260," ")</f>
        <v xml:space="preserve"> </v>
      </c>
      <c r="AU260" s="26" t="str">
        <f>IFERROR($AC260*HDF_Limited_Col!AU260/HDF_Limited_Col!$AH260," ")</f>
        <v xml:space="preserve"> </v>
      </c>
      <c r="AV260" s="26" t="str">
        <f>IFERROR($AC260*HDF_Limited_Col!AV260/HDF_Limited_Col!$AH260," ")</f>
        <v xml:space="preserve"> </v>
      </c>
      <c r="AW260" s="26" t="str">
        <f>IFERROR($AC260*HDF_Limited_Col!AW260/HDF_Limited_Col!$AH260," ")</f>
        <v xml:space="preserve"> </v>
      </c>
      <c r="AX260" s="26" t="str">
        <f>IFERROR($AC260*HDF_Limited_Col!AX260/HDF_Limited_Col!$AH260," ")</f>
        <v xml:space="preserve"> </v>
      </c>
      <c r="AY260" s="26" t="str">
        <f>IFERROR($AC260*HDF_Limited_Col!AY260/HDF_Limited_Col!$AH260," ")</f>
        <v xml:space="preserve"> </v>
      </c>
      <c r="AZ260" s="26" t="str">
        <f>IFERROR($AC260*HDF_Limited_Col!AZ260/HDF_Limited_Col!$AH260," ")</f>
        <v xml:space="preserve"> </v>
      </c>
      <c r="BA260" s="26" t="str">
        <f>IFERROR($AC260*HDF_Limited_Col!BA260/HDF_Limited_Col!$AH260," ")</f>
        <v xml:space="preserve"> </v>
      </c>
      <c r="BB260" s="26" t="str">
        <f>IFERROR($AC260*HDF_Limited_Col!BB260/HDF_Limited_Col!$AH260," ")</f>
        <v xml:space="preserve"> </v>
      </c>
      <c r="BC260" s="26" t="str">
        <f>IFERROR($AC260*HDF_Limited_Col!BC260/HDF_Limited_Col!$AH260," ")</f>
        <v xml:space="preserve"> </v>
      </c>
      <c r="BD260" s="26" t="str">
        <f>IFERROR($AC260*HDF_Limited_Col!BD260/HDF_Limited_Col!$AH260," ")</f>
        <v xml:space="preserve"> </v>
      </c>
      <c r="BE260" s="26" t="str">
        <f>IFERROR($AC260*HDF_Limited_Col!BE260/HDF_Limited_Col!$AH260," ")</f>
        <v xml:space="preserve"> </v>
      </c>
      <c r="BF260" s="26" t="str">
        <f>IFERROR($AC260*HDF_Limited_Col!BF260/HDF_Limited_Col!$AH260," ")</f>
        <v xml:space="preserve"> </v>
      </c>
      <c r="BG260" s="26" t="str">
        <f>IFERROR($AC260*HDF_Limited_Col!BG260/HDF_Limited_Col!$AH260," ")</f>
        <v xml:space="preserve"> </v>
      </c>
      <c r="BH260" s="26" t="str">
        <f>IFERROR($AC260*HDF_Limited_Col!BH260/HDF_Limited_Col!$AH260," ")</f>
        <v xml:space="preserve"> </v>
      </c>
      <c r="BI260" s="26" t="str">
        <f>IFERROR($AC260*HDF_Limited_Col!BI260/HDF_Limited_Col!$AH260," ")</f>
        <v xml:space="preserve"> </v>
      </c>
      <c r="BJ260" s="26" t="str">
        <f>IFERROR($AC260*HDF_Limited_Col!BJ260/HDF_Limited_Col!$AH260," ")</f>
        <v xml:space="preserve"> </v>
      </c>
      <c r="BK260" s="26" t="str">
        <f>IFERROR($AC260*HDF_Limited_Col!BK260/HDF_Limited_Col!$AH260," ")</f>
        <v xml:space="preserve"> </v>
      </c>
      <c r="BL260" s="26" t="str">
        <f>IFERROR($AC260*HDF_Limited_Col!BL260/HDF_Limited_Col!$AH260," ")</f>
        <v xml:space="preserve"> </v>
      </c>
      <c r="BM260" s="26" t="str">
        <f>IFERROR($AC260*HDF_Limited_Col!BM260/HDF_Limited_Col!$AH260," ")</f>
        <v xml:space="preserve"> </v>
      </c>
      <c r="BN260" s="26" t="str">
        <f>IFERROR($AC260*HDF_Limited_Col!BN260/HDF_Limited_Col!$AH260," ")</f>
        <v xml:space="preserve"> </v>
      </c>
      <c r="BO260" s="26" t="str">
        <f>IFERROR($AC260*HDF_Limited_Col!BO260/HDF_Limited_Col!$AH260," ")</f>
        <v xml:space="preserve"> </v>
      </c>
      <c r="BP260" s="26" t="str">
        <f>IFERROR($AC260*HDF_Limited_Col!BP260/HDF_Limited_Col!$AH260," ")</f>
        <v xml:space="preserve"> </v>
      </c>
      <c r="BQ260" s="26" t="str">
        <f>IFERROR($AC260*HDF_Limited_Col!BQ260/HDF_Limited_Col!$AH260," ")</f>
        <v xml:space="preserve"> </v>
      </c>
      <c r="BR260" s="26" t="str">
        <f>IFERROR($AC260*HDF_Limited_Col!BR260/HDF_Limited_Col!$AH260," ")</f>
        <v xml:space="preserve"> </v>
      </c>
      <c r="BS260" s="26" t="str">
        <f>IFERROR($AC260*HDF_Limited_Col!BS260/HDF_Limited_Col!$AH260," ")</f>
        <v xml:space="preserve"> </v>
      </c>
      <c r="BT260" s="26" t="str">
        <f>IFERROR($AC260*HDF_Limited_Col!BT260/HDF_Limited_Col!$AH260," ")</f>
        <v xml:space="preserve"> </v>
      </c>
      <c r="BU260" s="26" t="str">
        <f>IFERROR($AC260*HDF_Limited_Col!BU260/HDF_Limited_Col!$AH260," ")</f>
        <v xml:space="preserve"> </v>
      </c>
      <c r="BV260" s="26" t="str">
        <f>IFERROR($AC260*HDF_Limited_Col!BV260/HDF_Limited_Col!$AH260," ")</f>
        <v xml:space="preserve"> </v>
      </c>
      <c r="BW260" s="26" t="str">
        <f>IFERROR($AC260*HDF_Limited_Col!BW260/HDF_Limited_Col!$AH260," ")</f>
        <v xml:space="preserve"> </v>
      </c>
      <c r="BX260" s="26" t="str">
        <f>IFERROR($AC260*HDF_Limited_Col!BX260/HDF_Limited_Col!$AH260," ")</f>
        <v xml:space="preserve"> </v>
      </c>
      <c r="BY260" s="26" t="str">
        <f>IFERROR($AC260*HDF_Limited_Col!BY260/HDF_Limited_Col!$AH260," ")</f>
        <v xml:space="preserve"> </v>
      </c>
      <c r="BZ260" s="26" t="str">
        <f>IFERROR($AC260*HDF_Limited_Col!BZ260/HDF_Limited_Col!$AH260," ")</f>
        <v xml:space="preserve"> </v>
      </c>
      <c r="CA260" s="26" t="str">
        <f>IFERROR($AC260*HDF_Limited_Col!CA260/HDF_Limited_Col!$AH260," ")</f>
        <v xml:space="preserve"> </v>
      </c>
      <c r="CB260" s="26" t="str">
        <f>IFERROR($AC260*HDF_Limited_Col!CB260/HDF_Limited_Col!$AH260," ")</f>
        <v xml:space="preserve"> </v>
      </c>
      <c r="CC260" s="26" t="str">
        <f>IFERROR($AC260*HDF_Limited_Col!CC260/HDF_Limited_Col!$AH260," ")</f>
        <v xml:space="preserve"> </v>
      </c>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row>
    <row r="261" spans="1:109">
      <c r="A261" s="26" t="s">
        <v>838</v>
      </c>
      <c r="B261" s="26" t="s">
        <v>24</v>
      </c>
      <c r="C261" s="157" t="s">
        <v>1722</v>
      </c>
      <c r="D261" s="26" t="s">
        <v>1719</v>
      </c>
      <c r="E261" s="26" t="s">
        <v>388</v>
      </c>
      <c r="F261" s="26" t="s">
        <v>342</v>
      </c>
      <c r="G261" s="26" t="s">
        <v>829</v>
      </c>
      <c r="H261" s="30"/>
      <c r="I261" s="26" t="s">
        <v>735</v>
      </c>
      <c r="J261" s="26"/>
      <c r="K261" s="26" t="s">
        <v>903</v>
      </c>
      <c r="L261" s="26"/>
      <c r="M261" s="26">
        <v>75</v>
      </c>
      <c r="N261" s="26">
        <v>47</v>
      </c>
      <c r="O261" s="95">
        <v>27.825599588373656</v>
      </c>
      <c r="P261" s="95">
        <v>3.2571772093413975</v>
      </c>
      <c r="Q261" s="95">
        <v>2.9986710816158899</v>
      </c>
      <c r="R261" s="95">
        <v>11.974003836245521</v>
      </c>
      <c r="S261" s="95">
        <v>10.836576874253286</v>
      </c>
      <c r="T261" s="95">
        <v>13.30789545530914</v>
      </c>
      <c r="U261" s="95">
        <v>1.5613770114620669</v>
      </c>
      <c r="V261" s="95">
        <v>3.4743223566308239</v>
      </c>
      <c r="W261" s="95">
        <v>21.331925659908901</v>
      </c>
      <c r="X261" s="95">
        <v>2.5437002968189968</v>
      </c>
      <c r="Y261" s="95">
        <v>1.1477672071012546</v>
      </c>
      <c r="Z261" s="95">
        <v>100.25901657706093</v>
      </c>
      <c r="AA261" s="26"/>
      <c r="AB261" s="26"/>
      <c r="AC261" s="26">
        <f t="shared" si="5"/>
        <v>177084.27271595108</v>
      </c>
      <c r="AD261" s="26" t="str">
        <f>IFERROR($AC261*HDF_Limited_Col!AD261/HDF_Limited_Col!$AH261," ")</f>
        <v xml:space="preserve"> </v>
      </c>
      <c r="AE261" s="26" t="str">
        <f>IFERROR($AC261*HDF_Limited_Col!AE261/HDF_Limited_Col!$AH261," ")</f>
        <v xml:space="preserve"> </v>
      </c>
      <c r="AF261" s="26" t="str">
        <f>IFERROR($AC261*HDF_Limited_Col!AF261/HDF_Limited_Col!$AH261," ")</f>
        <v xml:space="preserve"> </v>
      </c>
      <c r="AG261" s="26" t="str">
        <f>IFERROR($AC261*HDF_Limited_Col!AG261/HDF_Limited_Col!$AH261," ")</f>
        <v xml:space="preserve"> </v>
      </c>
      <c r="AH261" s="26" t="str">
        <f>IFERROR($AC261*HDF_Limited_Col!AH261/HDF_Limited_Col!$AH261," ")</f>
        <v xml:space="preserve"> </v>
      </c>
      <c r="AI261" s="26" t="str">
        <f>IFERROR($AC261*HDF_Limited_Col!AI261/HDF_Limited_Col!$AH261," ")</f>
        <v xml:space="preserve"> </v>
      </c>
      <c r="AJ261" s="26" t="str">
        <f>IFERROR($AC261*HDF_Limited_Col!AJ261/HDF_Limited_Col!$AH261," ")</f>
        <v xml:space="preserve"> </v>
      </c>
      <c r="AK261" s="26" t="str">
        <f>IFERROR($AC261*HDF_Limited_Col!AK261/HDF_Limited_Col!$AH261," ")</f>
        <v xml:space="preserve"> </v>
      </c>
      <c r="AL261" s="26" t="str">
        <f>IFERROR($AC261*HDF_Limited_Col!AL261/HDF_Limited_Col!$AH261," ")</f>
        <v xml:space="preserve"> </v>
      </c>
      <c r="AM261" s="26" t="str">
        <f>IFERROR($AC261*HDF_Limited_Col!AM261/HDF_Limited_Col!$AH261," ")</f>
        <v xml:space="preserve"> </v>
      </c>
      <c r="AN261" s="26" t="str">
        <f>IFERROR($AC261*HDF_Limited_Col!AN261/HDF_Limited_Col!$AH261," ")</f>
        <v xml:space="preserve"> </v>
      </c>
      <c r="AO261" s="26" t="str">
        <f>IFERROR($AC261*HDF_Limited_Col!AO261/HDF_Limited_Col!$AH261," ")</f>
        <v xml:space="preserve"> </v>
      </c>
      <c r="AP261" s="26" t="str">
        <f>IFERROR($AC261*HDF_Limited_Col!AP261/HDF_Limited_Col!$AH261," ")</f>
        <v xml:space="preserve"> </v>
      </c>
      <c r="AQ261" s="26" t="str">
        <f>IFERROR($AC261*HDF_Limited_Col!AQ261/HDF_Limited_Col!$AH261," ")</f>
        <v xml:space="preserve"> </v>
      </c>
      <c r="AR261" s="26" t="str">
        <f>IFERROR($AC261*HDF_Limited_Col!AR261/HDF_Limited_Col!$AH261," ")</f>
        <v xml:space="preserve"> </v>
      </c>
      <c r="AS261" s="26" t="str">
        <f>IFERROR($AC261*HDF_Limited_Col!AS261/HDF_Limited_Col!$AH261," ")</f>
        <v xml:space="preserve"> </v>
      </c>
      <c r="AT261" s="26" t="str">
        <f>IFERROR($AC261*HDF_Limited_Col!AT261/HDF_Limited_Col!$AH261," ")</f>
        <v xml:space="preserve"> </v>
      </c>
      <c r="AU261" s="26" t="str">
        <f>IFERROR($AC261*HDF_Limited_Col!AU261/HDF_Limited_Col!$AH261," ")</f>
        <v xml:space="preserve"> </v>
      </c>
      <c r="AV261" s="26" t="str">
        <f>IFERROR($AC261*HDF_Limited_Col!AV261/HDF_Limited_Col!$AH261," ")</f>
        <v xml:space="preserve"> </v>
      </c>
      <c r="AW261" s="26" t="str">
        <f>IFERROR($AC261*HDF_Limited_Col!AW261/HDF_Limited_Col!$AH261," ")</f>
        <v xml:space="preserve"> </v>
      </c>
      <c r="AX261" s="26" t="str">
        <f>IFERROR($AC261*HDF_Limited_Col!AX261/HDF_Limited_Col!$AH261," ")</f>
        <v xml:space="preserve"> </v>
      </c>
      <c r="AY261" s="26" t="str">
        <f>IFERROR($AC261*HDF_Limited_Col!AY261/HDF_Limited_Col!$AH261," ")</f>
        <v xml:space="preserve"> </v>
      </c>
      <c r="AZ261" s="26" t="str">
        <f>IFERROR($AC261*HDF_Limited_Col!AZ261/HDF_Limited_Col!$AH261," ")</f>
        <v xml:space="preserve"> </v>
      </c>
      <c r="BA261" s="26" t="str">
        <f>IFERROR($AC261*HDF_Limited_Col!BA261/HDF_Limited_Col!$AH261," ")</f>
        <v xml:space="preserve"> </v>
      </c>
      <c r="BB261" s="26" t="str">
        <f>IFERROR($AC261*HDF_Limited_Col!BB261/HDF_Limited_Col!$AH261," ")</f>
        <v xml:space="preserve"> </v>
      </c>
      <c r="BC261" s="26" t="str">
        <f>IFERROR($AC261*HDF_Limited_Col!BC261/HDF_Limited_Col!$AH261," ")</f>
        <v xml:space="preserve"> </v>
      </c>
      <c r="BD261" s="26" t="str">
        <f>IFERROR($AC261*HDF_Limited_Col!BD261/HDF_Limited_Col!$AH261," ")</f>
        <v xml:space="preserve"> </v>
      </c>
      <c r="BE261" s="26" t="str">
        <f>IFERROR($AC261*HDF_Limited_Col!BE261/HDF_Limited_Col!$AH261," ")</f>
        <v xml:space="preserve"> </v>
      </c>
      <c r="BF261" s="26" t="str">
        <f>IFERROR($AC261*HDF_Limited_Col!BF261/HDF_Limited_Col!$AH261," ")</f>
        <v xml:space="preserve"> </v>
      </c>
      <c r="BG261" s="26" t="str">
        <f>IFERROR($AC261*HDF_Limited_Col!BG261/HDF_Limited_Col!$AH261," ")</f>
        <v xml:space="preserve"> </v>
      </c>
      <c r="BH261" s="26" t="str">
        <f>IFERROR($AC261*HDF_Limited_Col!BH261/HDF_Limited_Col!$AH261," ")</f>
        <v xml:space="preserve"> </v>
      </c>
      <c r="BI261" s="26" t="str">
        <f>IFERROR($AC261*HDF_Limited_Col!BI261/HDF_Limited_Col!$AH261," ")</f>
        <v xml:space="preserve"> </v>
      </c>
      <c r="BJ261" s="26" t="str">
        <f>IFERROR($AC261*HDF_Limited_Col!BJ261/HDF_Limited_Col!$AH261," ")</f>
        <v xml:space="preserve"> </v>
      </c>
      <c r="BK261" s="26" t="str">
        <f>IFERROR($AC261*HDF_Limited_Col!BK261/HDF_Limited_Col!$AH261," ")</f>
        <v xml:space="preserve"> </v>
      </c>
      <c r="BL261" s="26" t="str">
        <f>IFERROR($AC261*HDF_Limited_Col!BL261/HDF_Limited_Col!$AH261," ")</f>
        <v xml:space="preserve"> </v>
      </c>
      <c r="BM261" s="26" t="str">
        <f>IFERROR($AC261*HDF_Limited_Col!BM261/HDF_Limited_Col!$AH261," ")</f>
        <v xml:space="preserve"> </v>
      </c>
      <c r="BN261" s="26" t="str">
        <f>IFERROR($AC261*HDF_Limited_Col!BN261/HDF_Limited_Col!$AH261," ")</f>
        <v xml:space="preserve"> </v>
      </c>
      <c r="BO261" s="26" t="str">
        <f>IFERROR($AC261*HDF_Limited_Col!BO261/HDF_Limited_Col!$AH261," ")</f>
        <v xml:space="preserve"> </v>
      </c>
      <c r="BP261" s="26" t="str">
        <f>IFERROR($AC261*HDF_Limited_Col!BP261/HDF_Limited_Col!$AH261," ")</f>
        <v xml:space="preserve"> </v>
      </c>
      <c r="BQ261" s="26" t="str">
        <f>IFERROR($AC261*HDF_Limited_Col!BQ261/HDF_Limited_Col!$AH261," ")</f>
        <v xml:space="preserve"> </v>
      </c>
      <c r="BR261" s="26" t="str">
        <f>IFERROR($AC261*HDF_Limited_Col!BR261/HDF_Limited_Col!$AH261," ")</f>
        <v xml:space="preserve"> </v>
      </c>
      <c r="BS261" s="26" t="str">
        <f>IFERROR($AC261*HDF_Limited_Col!BS261/HDF_Limited_Col!$AH261," ")</f>
        <v xml:space="preserve"> </v>
      </c>
      <c r="BT261" s="26" t="str">
        <f>IFERROR($AC261*HDF_Limited_Col!BT261/HDF_Limited_Col!$AH261," ")</f>
        <v xml:space="preserve"> </v>
      </c>
      <c r="BU261" s="26" t="str">
        <f>IFERROR($AC261*HDF_Limited_Col!BU261/HDF_Limited_Col!$AH261," ")</f>
        <v xml:space="preserve"> </v>
      </c>
      <c r="BV261" s="26" t="str">
        <f>IFERROR($AC261*HDF_Limited_Col!BV261/HDF_Limited_Col!$AH261," ")</f>
        <v xml:space="preserve"> </v>
      </c>
      <c r="BW261" s="26" t="str">
        <f>IFERROR($AC261*HDF_Limited_Col!BW261/HDF_Limited_Col!$AH261," ")</f>
        <v xml:space="preserve"> </v>
      </c>
      <c r="BX261" s="26" t="str">
        <f>IFERROR($AC261*HDF_Limited_Col!BX261/HDF_Limited_Col!$AH261," ")</f>
        <v xml:space="preserve"> </v>
      </c>
      <c r="BY261" s="26" t="str">
        <f>IFERROR($AC261*HDF_Limited_Col!BY261/HDF_Limited_Col!$AH261," ")</f>
        <v xml:space="preserve"> </v>
      </c>
      <c r="BZ261" s="26" t="str">
        <f>IFERROR($AC261*HDF_Limited_Col!BZ261/HDF_Limited_Col!$AH261," ")</f>
        <v xml:space="preserve"> </v>
      </c>
      <c r="CA261" s="26" t="str">
        <f>IFERROR($AC261*HDF_Limited_Col!CA261/HDF_Limited_Col!$AH261," ")</f>
        <v xml:space="preserve"> </v>
      </c>
      <c r="CB261" s="26" t="str">
        <f>IFERROR($AC261*HDF_Limited_Col!CB261/HDF_Limited_Col!$AH261," ")</f>
        <v xml:space="preserve"> </v>
      </c>
      <c r="CC261" s="26" t="str">
        <f>IFERROR($AC261*HDF_Limited_Col!CC261/HDF_Limited_Col!$AH261," ")</f>
        <v xml:space="preserve"> </v>
      </c>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row>
    <row r="262" spans="1:109">
      <c r="A262" s="26" t="s">
        <v>838</v>
      </c>
      <c r="B262" s="26" t="s">
        <v>24</v>
      </c>
      <c r="C262" s="157" t="s">
        <v>1722</v>
      </c>
      <c r="D262" s="26" t="s">
        <v>1719</v>
      </c>
      <c r="E262" s="26" t="s">
        <v>388</v>
      </c>
      <c r="F262" s="26" t="s">
        <v>342</v>
      </c>
      <c r="G262" s="26" t="s">
        <v>829</v>
      </c>
      <c r="H262" s="30"/>
      <c r="I262" s="26" t="s">
        <v>735</v>
      </c>
      <c r="J262" s="26"/>
      <c r="K262" s="26" t="s">
        <v>903</v>
      </c>
      <c r="L262" s="26"/>
      <c r="M262" s="26">
        <v>76</v>
      </c>
      <c r="N262" s="26">
        <v>39</v>
      </c>
      <c r="O262" s="95">
        <v>31.535869535000433</v>
      </c>
      <c r="P262" s="95">
        <v>2.8008831494901703</v>
      </c>
      <c r="Q262" s="95">
        <v>4.6681385824836168</v>
      </c>
      <c r="R262" s="95">
        <v>13.496107324024859</v>
      </c>
      <c r="S262" s="95">
        <v>6.8673505368981216</v>
      </c>
      <c r="T262" s="95">
        <v>13.547975530496897</v>
      </c>
      <c r="U262" s="95">
        <v>2.676399453957274</v>
      </c>
      <c r="V262" s="95">
        <v>4.3673029849457841</v>
      </c>
      <c r="W262" s="95">
        <v>12.095665749279773</v>
      </c>
      <c r="X262" s="95">
        <v>5.44616167956422</v>
      </c>
      <c r="Y262" s="95">
        <v>3.2262024425609002</v>
      </c>
      <c r="Z262" s="95">
        <v>100.72805696870203</v>
      </c>
      <c r="AA262" s="26"/>
      <c r="AB262" s="26"/>
      <c r="AC262" s="26">
        <f t="shared" si="5"/>
        <v>100410.63363782581</v>
      </c>
      <c r="AD262" s="26" t="str">
        <f>IFERROR($AC262*HDF_Limited_Col!AD262/HDF_Limited_Col!$AH262," ")</f>
        <v xml:space="preserve"> </v>
      </c>
      <c r="AE262" s="26" t="str">
        <f>IFERROR($AC262*HDF_Limited_Col!AE262/HDF_Limited_Col!$AH262," ")</f>
        <v xml:space="preserve"> </v>
      </c>
      <c r="AF262" s="26" t="str">
        <f>IFERROR($AC262*HDF_Limited_Col!AF262/HDF_Limited_Col!$AH262," ")</f>
        <v xml:space="preserve"> </v>
      </c>
      <c r="AG262" s="26" t="str">
        <f>IFERROR($AC262*HDF_Limited_Col!AG262/HDF_Limited_Col!$AH262," ")</f>
        <v xml:space="preserve"> </v>
      </c>
      <c r="AH262" s="26" t="str">
        <f>IFERROR($AC262*HDF_Limited_Col!AH262/HDF_Limited_Col!$AH262," ")</f>
        <v xml:space="preserve"> </v>
      </c>
      <c r="AI262" s="26" t="str">
        <f>IFERROR($AC262*HDF_Limited_Col!AI262/HDF_Limited_Col!$AH262," ")</f>
        <v xml:space="preserve"> </v>
      </c>
      <c r="AJ262" s="26" t="str">
        <f>IFERROR($AC262*HDF_Limited_Col!AJ262/HDF_Limited_Col!$AH262," ")</f>
        <v xml:space="preserve"> </v>
      </c>
      <c r="AK262" s="26" t="str">
        <f>IFERROR($AC262*HDF_Limited_Col!AK262/HDF_Limited_Col!$AH262," ")</f>
        <v xml:space="preserve"> </v>
      </c>
      <c r="AL262" s="26" t="str">
        <f>IFERROR($AC262*HDF_Limited_Col!AL262/HDF_Limited_Col!$AH262," ")</f>
        <v xml:space="preserve"> </v>
      </c>
      <c r="AM262" s="26" t="str">
        <f>IFERROR($AC262*HDF_Limited_Col!AM262/HDF_Limited_Col!$AH262," ")</f>
        <v xml:space="preserve"> </v>
      </c>
      <c r="AN262" s="26" t="str">
        <f>IFERROR($AC262*HDF_Limited_Col!AN262/HDF_Limited_Col!$AH262," ")</f>
        <v xml:space="preserve"> </v>
      </c>
      <c r="AO262" s="26" t="str">
        <f>IFERROR($AC262*HDF_Limited_Col!AO262/HDF_Limited_Col!$AH262," ")</f>
        <v xml:space="preserve"> </v>
      </c>
      <c r="AP262" s="26" t="str">
        <f>IFERROR($AC262*HDF_Limited_Col!AP262/HDF_Limited_Col!$AH262," ")</f>
        <v xml:space="preserve"> </v>
      </c>
      <c r="AQ262" s="26" t="str">
        <f>IFERROR($AC262*HDF_Limited_Col!AQ262/HDF_Limited_Col!$AH262," ")</f>
        <v xml:space="preserve"> </v>
      </c>
      <c r="AR262" s="26" t="str">
        <f>IFERROR($AC262*HDF_Limited_Col!AR262/HDF_Limited_Col!$AH262," ")</f>
        <v xml:space="preserve"> </v>
      </c>
      <c r="AS262" s="26" t="str">
        <f>IFERROR($AC262*HDF_Limited_Col!AS262/HDF_Limited_Col!$AH262," ")</f>
        <v xml:space="preserve"> </v>
      </c>
      <c r="AT262" s="26" t="str">
        <f>IFERROR($AC262*HDF_Limited_Col!AT262/HDF_Limited_Col!$AH262," ")</f>
        <v xml:space="preserve"> </v>
      </c>
      <c r="AU262" s="26" t="str">
        <f>IFERROR($AC262*HDF_Limited_Col!AU262/HDF_Limited_Col!$AH262," ")</f>
        <v xml:space="preserve"> </v>
      </c>
      <c r="AV262" s="26" t="str">
        <f>IFERROR($AC262*HDF_Limited_Col!AV262/HDF_Limited_Col!$AH262," ")</f>
        <v xml:space="preserve"> </v>
      </c>
      <c r="AW262" s="26" t="str">
        <f>IFERROR($AC262*HDF_Limited_Col!AW262/HDF_Limited_Col!$AH262," ")</f>
        <v xml:space="preserve"> </v>
      </c>
      <c r="AX262" s="26" t="str">
        <f>IFERROR($AC262*HDF_Limited_Col!AX262/HDF_Limited_Col!$AH262," ")</f>
        <v xml:space="preserve"> </v>
      </c>
      <c r="AY262" s="26" t="str">
        <f>IFERROR($AC262*HDF_Limited_Col!AY262/HDF_Limited_Col!$AH262," ")</f>
        <v xml:space="preserve"> </v>
      </c>
      <c r="AZ262" s="26" t="str">
        <f>IFERROR($AC262*HDF_Limited_Col!AZ262/HDF_Limited_Col!$AH262," ")</f>
        <v xml:space="preserve"> </v>
      </c>
      <c r="BA262" s="26" t="str">
        <f>IFERROR($AC262*HDF_Limited_Col!BA262/HDF_Limited_Col!$AH262," ")</f>
        <v xml:space="preserve"> </v>
      </c>
      <c r="BB262" s="26" t="str">
        <f>IFERROR($AC262*HDF_Limited_Col!BB262/HDF_Limited_Col!$AH262," ")</f>
        <v xml:space="preserve"> </v>
      </c>
      <c r="BC262" s="26" t="str">
        <f>IFERROR($AC262*HDF_Limited_Col!BC262/HDF_Limited_Col!$AH262," ")</f>
        <v xml:space="preserve"> </v>
      </c>
      <c r="BD262" s="26" t="str">
        <f>IFERROR($AC262*HDF_Limited_Col!BD262/HDF_Limited_Col!$AH262," ")</f>
        <v xml:space="preserve"> </v>
      </c>
      <c r="BE262" s="26" t="str">
        <f>IFERROR($AC262*HDF_Limited_Col!BE262/HDF_Limited_Col!$AH262," ")</f>
        <v xml:space="preserve"> </v>
      </c>
      <c r="BF262" s="26" t="str">
        <f>IFERROR($AC262*HDF_Limited_Col!BF262/HDF_Limited_Col!$AH262," ")</f>
        <v xml:space="preserve"> </v>
      </c>
      <c r="BG262" s="26" t="str">
        <f>IFERROR($AC262*HDF_Limited_Col!BG262/HDF_Limited_Col!$AH262," ")</f>
        <v xml:space="preserve"> </v>
      </c>
      <c r="BH262" s="26" t="str">
        <f>IFERROR($AC262*HDF_Limited_Col!BH262/HDF_Limited_Col!$AH262," ")</f>
        <v xml:space="preserve"> </v>
      </c>
      <c r="BI262" s="26" t="str">
        <f>IFERROR($AC262*HDF_Limited_Col!BI262/HDF_Limited_Col!$AH262," ")</f>
        <v xml:space="preserve"> </v>
      </c>
      <c r="BJ262" s="26" t="str">
        <f>IFERROR($AC262*HDF_Limited_Col!BJ262/HDF_Limited_Col!$AH262," ")</f>
        <v xml:space="preserve"> </v>
      </c>
      <c r="BK262" s="26" t="str">
        <f>IFERROR($AC262*HDF_Limited_Col!BK262/HDF_Limited_Col!$AH262," ")</f>
        <v xml:space="preserve"> </v>
      </c>
      <c r="BL262" s="26" t="str">
        <f>IFERROR($AC262*HDF_Limited_Col!BL262/HDF_Limited_Col!$AH262," ")</f>
        <v xml:space="preserve"> </v>
      </c>
      <c r="BM262" s="26" t="str">
        <f>IFERROR($AC262*HDF_Limited_Col!BM262/HDF_Limited_Col!$AH262," ")</f>
        <v xml:space="preserve"> </v>
      </c>
      <c r="BN262" s="26" t="str">
        <f>IFERROR($AC262*HDF_Limited_Col!BN262/HDF_Limited_Col!$AH262," ")</f>
        <v xml:space="preserve"> </v>
      </c>
      <c r="BO262" s="26" t="str">
        <f>IFERROR($AC262*HDF_Limited_Col!BO262/HDF_Limited_Col!$AH262," ")</f>
        <v xml:space="preserve"> </v>
      </c>
      <c r="BP262" s="26" t="str">
        <f>IFERROR($AC262*HDF_Limited_Col!BP262/HDF_Limited_Col!$AH262," ")</f>
        <v xml:space="preserve"> </v>
      </c>
      <c r="BQ262" s="26" t="str">
        <f>IFERROR($AC262*HDF_Limited_Col!BQ262/HDF_Limited_Col!$AH262," ")</f>
        <v xml:space="preserve"> </v>
      </c>
      <c r="BR262" s="26" t="str">
        <f>IFERROR($AC262*HDF_Limited_Col!BR262/HDF_Limited_Col!$AH262," ")</f>
        <v xml:space="preserve"> </v>
      </c>
      <c r="BS262" s="26" t="str">
        <f>IFERROR($AC262*HDF_Limited_Col!BS262/HDF_Limited_Col!$AH262," ")</f>
        <v xml:space="preserve"> </v>
      </c>
      <c r="BT262" s="26" t="str">
        <f>IFERROR($AC262*HDF_Limited_Col!BT262/HDF_Limited_Col!$AH262," ")</f>
        <v xml:space="preserve"> </v>
      </c>
      <c r="BU262" s="26" t="str">
        <f>IFERROR($AC262*HDF_Limited_Col!BU262/HDF_Limited_Col!$AH262," ")</f>
        <v xml:space="preserve"> </v>
      </c>
      <c r="BV262" s="26" t="str">
        <f>IFERROR($AC262*HDF_Limited_Col!BV262/HDF_Limited_Col!$AH262," ")</f>
        <v xml:space="preserve"> </v>
      </c>
      <c r="BW262" s="26" t="str">
        <f>IFERROR($AC262*HDF_Limited_Col!BW262/HDF_Limited_Col!$AH262," ")</f>
        <v xml:space="preserve"> </v>
      </c>
      <c r="BX262" s="26" t="str">
        <f>IFERROR($AC262*HDF_Limited_Col!BX262/HDF_Limited_Col!$AH262," ")</f>
        <v xml:space="preserve"> </v>
      </c>
      <c r="BY262" s="26" t="str">
        <f>IFERROR($AC262*HDF_Limited_Col!BY262/HDF_Limited_Col!$AH262," ")</f>
        <v xml:space="preserve"> </v>
      </c>
      <c r="BZ262" s="26" t="str">
        <f>IFERROR($AC262*HDF_Limited_Col!BZ262/HDF_Limited_Col!$AH262," ")</f>
        <v xml:space="preserve"> </v>
      </c>
      <c r="CA262" s="26" t="str">
        <f>IFERROR($AC262*HDF_Limited_Col!CA262/HDF_Limited_Col!$AH262," ")</f>
        <v xml:space="preserve"> </v>
      </c>
      <c r="CB262" s="26" t="str">
        <f>IFERROR($AC262*HDF_Limited_Col!CB262/HDF_Limited_Col!$AH262," ")</f>
        <v xml:space="preserve"> </v>
      </c>
      <c r="CC262" s="26" t="str">
        <f>IFERROR($AC262*HDF_Limited_Col!CC262/HDF_Limited_Col!$AH262," ")</f>
        <v xml:space="preserve"> </v>
      </c>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row>
    <row r="263" spans="1:109">
      <c r="A263" s="26" t="s">
        <v>838</v>
      </c>
      <c r="B263" s="26" t="s">
        <v>24</v>
      </c>
      <c r="C263" s="157" t="s">
        <v>1722</v>
      </c>
      <c r="D263" s="26" t="s">
        <v>1719</v>
      </c>
      <c r="E263" s="26" t="s">
        <v>388</v>
      </c>
      <c r="F263" s="26" t="s">
        <v>342</v>
      </c>
      <c r="G263" s="26" t="s">
        <v>829</v>
      </c>
      <c r="H263" s="30"/>
      <c r="I263" s="26" t="s">
        <v>735</v>
      </c>
      <c r="J263" s="26"/>
      <c r="K263" s="26" t="s">
        <v>903</v>
      </c>
      <c r="L263" s="26"/>
      <c r="M263" s="26">
        <v>79</v>
      </c>
      <c r="N263" s="26">
        <v>39</v>
      </c>
      <c r="O263" s="95">
        <v>28.089304393305444</v>
      </c>
      <c r="P263" s="95">
        <v>1.7201737563923756</v>
      </c>
      <c r="Q263" s="95">
        <v>4.2025801952580197</v>
      </c>
      <c r="R263" s="95">
        <v>31.509051022780106</v>
      </c>
      <c r="S263" s="95">
        <v>4.2952841701534172</v>
      </c>
      <c r="T263" s="95">
        <v>9.3218996978149704</v>
      </c>
      <c r="U263" s="95">
        <v>2.1115905392840539</v>
      </c>
      <c r="V263" s="95">
        <v>3.5639528126452809</v>
      </c>
      <c r="W263" s="95">
        <v>9.6000116225011638</v>
      </c>
      <c r="X263" s="95">
        <v>3.7596612040911208</v>
      </c>
      <c r="Y263" s="95">
        <v>2.3588011390051138</v>
      </c>
      <c r="Z263" s="95">
        <v>100.53231055323106</v>
      </c>
      <c r="AA263" s="26"/>
      <c r="AB263" s="26"/>
      <c r="AC263" s="26">
        <f t="shared" si="5"/>
        <v>79693.277734897012</v>
      </c>
      <c r="AD263" s="26" t="str">
        <f>IFERROR($AC263*HDF_Limited_Col!AD263/HDF_Limited_Col!$AH263," ")</f>
        <v xml:space="preserve"> </v>
      </c>
      <c r="AE263" s="26" t="str">
        <f>IFERROR($AC263*HDF_Limited_Col!AE263/HDF_Limited_Col!$AH263," ")</f>
        <v xml:space="preserve"> </v>
      </c>
      <c r="AF263" s="26" t="str">
        <f>IFERROR($AC263*HDF_Limited_Col!AF263/HDF_Limited_Col!$AH263," ")</f>
        <v xml:space="preserve"> </v>
      </c>
      <c r="AG263" s="26" t="str">
        <f>IFERROR($AC263*HDF_Limited_Col!AG263/HDF_Limited_Col!$AH263," ")</f>
        <v xml:space="preserve"> </v>
      </c>
      <c r="AH263" s="26" t="str">
        <f>IFERROR($AC263*HDF_Limited_Col!AH263/HDF_Limited_Col!$AH263," ")</f>
        <v xml:space="preserve"> </v>
      </c>
      <c r="AI263" s="26" t="str">
        <f>IFERROR($AC263*HDF_Limited_Col!AI263/HDF_Limited_Col!$AH263," ")</f>
        <v xml:space="preserve"> </v>
      </c>
      <c r="AJ263" s="26" t="str">
        <f>IFERROR($AC263*HDF_Limited_Col!AJ263/HDF_Limited_Col!$AH263," ")</f>
        <v xml:space="preserve"> </v>
      </c>
      <c r="AK263" s="26" t="str">
        <f>IFERROR($AC263*HDF_Limited_Col!AK263/HDF_Limited_Col!$AH263," ")</f>
        <v xml:space="preserve"> </v>
      </c>
      <c r="AL263" s="26" t="str">
        <f>IFERROR($AC263*HDF_Limited_Col!AL263/HDF_Limited_Col!$AH263," ")</f>
        <v xml:space="preserve"> </v>
      </c>
      <c r="AM263" s="26" t="str">
        <f>IFERROR($AC263*HDF_Limited_Col!AM263/HDF_Limited_Col!$AH263," ")</f>
        <v xml:space="preserve"> </v>
      </c>
      <c r="AN263" s="26" t="str">
        <f>IFERROR($AC263*HDF_Limited_Col!AN263/HDF_Limited_Col!$AH263," ")</f>
        <v xml:space="preserve"> </v>
      </c>
      <c r="AO263" s="26" t="str">
        <f>IFERROR($AC263*HDF_Limited_Col!AO263/HDF_Limited_Col!$AH263," ")</f>
        <v xml:space="preserve"> </v>
      </c>
      <c r="AP263" s="26" t="str">
        <f>IFERROR($AC263*HDF_Limited_Col!AP263/HDF_Limited_Col!$AH263," ")</f>
        <v xml:space="preserve"> </v>
      </c>
      <c r="AQ263" s="26" t="str">
        <f>IFERROR($AC263*HDF_Limited_Col!AQ263/HDF_Limited_Col!$AH263," ")</f>
        <v xml:space="preserve"> </v>
      </c>
      <c r="AR263" s="26" t="str">
        <f>IFERROR($AC263*HDF_Limited_Col!AR263/HDF_Limited_Col!$AH263," ")</f>
        <v xml:space="preserve"> </v>
      </c>
      <c r="AS263" s="26" t="str">
        <f>IFERROR($AC263*HDF_Limited_Col!AS263/HDF_Limited_Col!$AH263," ")</f>
        <v xml:space="preserve"> </v>
      </c>
      <c r="AT263" s="26" t="str">
        <f>IFERROR($AC263*HDF_Limited_Col!AT263/HDF_Limited_Col!$AH263," ")</f>
        <v xml:space="preserve"> </v>
      </c>
      <c r="AU263" s="26" t="str">
        <f>IFERROR($AC263*HDF_Limited_Col!AU263/HDF_Limited_Col!$AH263," ")</f>
        <v xml:space="preserve"> </v>
      </c>
      <c r="AV263" s="26" t="str">
        <f>IFERROR($AC263*HDF_Limited_Col!AV263/HDF_Limited_Col!$AH263," ")</f>
        <v xml:space="preserve"> </v>
      </c>
      <c r="AW263" s="26" t="str">
        <f>IFERROR($AC263*HDF_Limited_Col!AW263/HDF_Limited_Col!$AH263," ")</f>
        <v xml:space="preserve"> </v>
      </c>
      <c r="AX263" s="26" t="str">
        <f>IFERROR($AC263*HDF_Limited_Col!AX263/HDF_Limited_Col!$AH263," ")</f>
        <v xml:space="preserve"> </v>
      </c>
      <c r="AY263" s="26" t="str">
        <f>IFERROR($AC263*HDF_Limited_Col!AY263/HDF_Limited_Col!$AH263," ")</f>
        <v xml:space="preserve"> </v>
      </c>
      <c r="AZ263" s="26" t="str">
        <f>IFERROR($AC263*HDF_Limited_Col!AZ263/HDF_Limited_Col!$AH263," ")</f>
        <v xml:space="preserve"> </v>
      </c>
      <c r="BA263" s="26" t="str">
        <f>IFERROR($AC263*HDF_Limited_Col!BA263/HDF_Limited_Col!$AH263," ")</f>
        <v xml:space="preserve"> </v>
      </c>
      <c r="BB263" s="26" t="str">
        <f>IFERROR($AC263*HDF_Limited_Col!BB263/HDF_Limited_Col!$AH263," ")</f>
        <v xml:space="preserve"> </v>
      </c>
      <c r="BC263" s="26" t="str">
        <f>IFERROR($AC263*HDF_Limited_Col!BC263/HDF_Limited_Col!$AH263," ")</f>
        <v xml:space="preserve"> </v>
      </c>
      <c r="BD263" s="26" t="str">
        <f>IFERROR($AC263*HDF_Limited_Col!BD263/HDF_Limited_Col!$AH263," ")</f>
        <v xml:space="preserve"> </v>
      </c>
      <c r="BE263" s="26" t="str">
        <f>IFERROR($AC263*HDF_Limited_Col!BE263/HDF_Limited_Col!$AH263," ")</f>
        <v xml:space="preserve"> </v>
      </c>
      <c r="BF263" s="26" t="str">
        <f>IFERROR($AC263*HDF_Limited_Col!BF263/HDF_Limited_Col!$AH263," ")</f>
        <v xml:space="preserve"> </v>
      </c>
      <c r="BG263" s="26" t="str">
        <f>IFERROR($AC263*HDF_Limited_Col!BG263/HDF_Limited_Col!$AH263," ")</f>
        <v xml:space="preserve"> </v>
      </c>
      <c r="BH263" s="26" t="str">
        <f>IFERROR($AC263*HDF_Limited_Col!BH263/HDF_Limited_Col!$AH263," ")</f>
        <v xml:space="preserve"> </v>
      </c>
      <c r="BI263" s="26" t="str">
        <f>IFERROR($AC263*HDF_Limited_Col!BI263/HDF_Limited_Col!$AH263," ")</f>
        <v xml:space="preserve"> </v>
      </c>
      <c r="BJ263" s="26" t="str">
        <f>IFERROR($AC263*HDF_Limited_Col!BJ263/HDF_Limited_Col!$AH263," ")</f>
        <v xml:space="preserve"> </v>
      </c>
      <c r="BK263" s="26" t="str">
        <f>IFERROR($AC263*HDF_Limited_Col!BK263/HDF_Limited_Col!$AH263," ")</f>
        <v xml:space="preserve"> </v>
      </c>
      <c r="BL263" s="26" t="str">
        <f>IFERROR($AC263*HDF_Limited_Col!BL263/HDF_Limited_Col!$AH263," ")</f>
        <v xml:space="preserve"> </v>
      </c>
      <c r="BM263" s="26" t="str">
        <f>IFERROR($AC263*HDF_Limited_Col!BM263/HDF_Limited_Col!$AH263," ")</f>
        <v xml:space="preserve"> </v>
      </c>
      <c r="BN263" s="26" t="str">
        <f>IFERROR($AC263*HDF_Limited_Col!BN263/HDF_Limited_Col!$AH263," ")</f>
        <v xml:space="preserve"> </v>
      </c>
      <c r="BO263" s="26" t="str">
        <f>IFERROR($AC263*HDF_Limited_Col!BO263/HDF_Limited_Col!$AH263," ")</f>
        <v xml:space="preserve"> </v>
      </c>
      <c r="BP263" s="26" t="str">
        <f>IFERROR($AC263*HDF_Limited_Col!BP263/HDF_Limited_Col!$AH263," ")</f>
        <v xml:space="preserve"> </v>
      </c>
      <c r="BQ263" s="26" t="str">
        <f>IFERROR($AC263*HDF_Limited_Col!BQ263/HDF_Limited_Col!$AH263," ")</f>
        <v xml:space="preserve"> </v>
      </c>
      <c r="BR263" s="26" t="str">
        <f>IFERROR($AC263*HDF_Limited_Col!BR263/HDF_Limited_Col!$AH263," ")</f>
        <v xml:space="preserve"> </v>
      </c>
      <c r="BS263" s="26" t="str">
        <f>IFERROR($AC263*HDF_Limited_Col!BS263/HDF_Limited_Col!$AH263," ")</f>
        <v xml:space="preserve"> </v>
      </c>
      <c r="BT263" s="26" t="str">
        <f>IFERROR($AC263*HDF_Limited_Col!BT263/HDF_Limited_Col!$AH263," ")</f>
        <v xml:space="preserve"> </v>
      </c>
      <c r="BU263" s="26" t="str">
        <f>IFERROR($AC263*HDF_Limited_Col!BU263/HDF_Limited_Col!$AH263," ")</f>
        <v xml:space="preserve"> </v>
      </c>
      <c r="BV263" s="26" t="str">
        <f>IFERROR($AC263*HDF_Limited_Col!BV263/HDF_Limited_Col!$AH263," ")</f>
        <v xml:space="preserve"> </v>
      </c>
      <c r="BW263" s="26" t="str">
        <f>IFERROR($AC263*HDF_Limited_Col!BW263/HDF_Limited_Col!$AH263," ")</f>
        <v xml:space="preserve"> </v>
      </c>
      <c r="BX263" s="26" t="str">
        <f>IFERROR($AC263*HDF_Limited_Col!BX263/HDF_Limited_Col!$AH263," ")</f>
        <v xml:space="preserve"> </v>
      </c>
      <c r="BY263" s="26" t="str">
        <f>IFERROR($AC263*HDF_Limited_Col!BY263/HDF_Limited_Col!$AH263," ")</f>
        <v xml:space="preserve"> </v>
      </c>
      <c r="BZ263" s="26" t="str">
        <f>IFERROR($AC263*HDF_Limited_Col!BZ263/HDF_Limited_Col!$AH263," ")</f>
        <v xml:space="preserve"> </v>
      </c>
      <c r="CA263" s="26" t="str">
        <f>IFERROR($AC263*HDF_Limited_Col!CA263/HDF_Limited_Col!$AH263," ")</f>
        <v xml:space="preserve"> </v>
      </c>
      <c r="CB263" s="26" t="str">
        <f>IFERROR($AC263*HDF_Limited_Col!CB263/HDF_Limited_Col!$AH263," ")</f>
        <v xml:space="preserve"> </v>
      </c>
      <c r="CC263" s="26" t="str">
        <f>IFERROR($AC263*HDF_Limited_Col!CC263/HDF_Limited_Col!$AH263," ")</f>
        <v xml:space="preserve"> </v>
      </c>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row>
    <row r="264" spans="1:109">
      <c r="A264" s="26" t="s">
        <v>838</v>
      </c>
      <c r="B264" s="26" t="s">
        <v>24</v>
      </c>
      <c r="C264" s="157" t="s">
        <v>1722</v>
      </c>
      <c r="D264" s="26" t="s">
        <v>1719</v>
      </c>
      <c r="E264" s="26" t="s">
        <v>388</v>
      </c>
      <c r="F264" s="26" t="s">
        <v>342</v>
      </c>
      <c r="G264" s="26" t="s">
        <v>829</v>
      </c>
      <c r="H264" s="30"/>
      <c r="I264" s="26" t="s">
        <v>735</v>
      </c>
      <c r="J264" s="26"/>
      <c r="K264" s="26" t="s">
        <v>903</v>
      </c>
      <c r="L264" s="26"/>
      <c r="M264" s="26">
        <v>81</v>
      </c>
      <c r="N264" s="26">
        <v>32</v>
      </c>
      <c r="O264" s="95">
        <v>33.932934424868108</v>
      </c>
      <c r="P264" s="95">
        <v>2.7786786484899606</v>
      </c>
      <c r="Q264" s="95">
        <v>4.4624132942292309</v>
      </c>
      <c r="R264" s="95">
        <v>9.3070240233808725</v>
      </c>
      <c r="S264" s="95">
        <v>4.9892259747979599</v>
      </c>
      <c r="T264" s="95">
        <v>10.660209536214275</v>
      </c>
      <c r="U264" s="95">
        <v>3.253843027042147</v>
      </c>
      <c r="V264" s="95">
        <v>3.2331837062355304</v>
      </c>
      <c r="W264" s="95">
        <v>18.221520951436027</v>
      </c>
      <c r="X264" s="95">
        <v>6.0015326943221821</v>
      </c>
      <c r="Y264" s="95">
        <v>4.0802158593068194</v>
      </c>
      <c r="Z264" s="95">
        <v>100.92078214032311</v>
      </c>
      <c r="AA264" s="26"/>
      <c r="AB264" s="26"/>
      <c r="AC264" s="26">
        <f t="shared" si="5"/>
        <v>151263.64290345524</v>
      </c>
      <c r="AD264" s="26" t="str">
        <f>IFERROR($AC264*HDF_Limited_Col!AD264/HDF_Limited_Col!$AH264," ")</f>
        <v xml:space="preserve"> </v>
      </c>
      <c r="AE264" s="26" t="str">
        <f>IFERROR($AC264*HDF_Limited_Col!AE264/HDF_Limited_Col!$AH264," ")</f>
        <v xml:space="preserve"> </v>
      </c>
      <c r="AF264" s="26" t="str">
        <f>IFERROR($AC264*HDF_Limited_Col!AF264/HDF_Limited_Col!$AH264," ")</f>
        <v xml:space="preserve"> </v>
      </c>
      <c r="AG264" s="26" t="str">
        <f>IFERROR($AC264*HDF_Limited_Col!AG264/HDF_Limited_Col!$AH264," ")</f>
        <v xml:space="preserve"> </v>
      </c>
      <c r="AH264" s="26" t="str">
        <f>IFERROR($AC264*HDF_Limited_Col!AH264/HDF_Limited_Col!$AH264," ")</f>
        <v xml:space="preserve"> </v>
      </c>
      <c r="AI264" s="26" t="str">
        <f>IFERROR($AC264*HDF_Limited_Col!AI264/HDF_Limited_Col!$AH264," ")</f>
        <v xml:space="preserve"> </v>
      </c>
      <c r="AJ264" s="26" t="str">
        <f>IFERROR($AC264*HDF_Limited_Col!AJ264/HDF_Limited_Col!$AH264," ")</f>
        <v xml:space="preserve"> </v>
      </c>
      <c r="AK264" s="26" t="str">
        <f>IFERROR($AC264*HDF_Limited_Col!AK264/HDF_Limited_Col!$AH264," ")</f>
        <v xml:space="preserve"> </v>
      </c>
      <c r="AL264" s="26" t="str">
        <f>IFERROR($AC264*HDF_Limited_Col!AL264/HDF_Limited_Col!$AH264," ")</f>
        <v xml:space="preserve"> </v>
      </c>
      <c r="AM264" s="26" t="str">
        <f>IFERROR($AC264*HDF_Limited_Col!AM264/HDF_Limited_Col!$AH264," ")</f>
        <v xml:space="preserve"> </v>
      </c>
      <c r="AN264" s="26" t="str">
        <f>IFERROR($AC264*HDF_Limited_Col!AN264/HDF_Limited_Col!$AH264," ")</f>
        <v xml:space="preserve"> </v>
      </c>
      <c r="AO264" s="26" t="str">
        <f>IFERROR($AC264*HDF_Limited_Col!AO264/HDF_Limited_Col!$AH264," ")</f>
        <v xml:space="preserve"> </v>
      </c>
      <c r="AP264" s="26" t="str">
        <f>IFERROR($AC264*HDF_Limited_Col!AP264/HDF_Limited_Col!$AH264," ")</f>
        <v xml:space="preserve"> </v>
      </c>
      <c r="AQ264" s="26" t="str">
        <f>IFERROR($AC264*HDF_Limited_Col!AQ264/HDF_Limited_Col!$AH264," ")</f>
        <v xml:space="preserve"> </v>
      </c>
      <c r="AR264" s="26" t="str">
        <f>IFERROR($AC264*HDF_Limited_Col!AR264/HDF_Limited_Col!$AH264," ")</f>
        <v xml:space="preserve"> </v>
      </c>
      <c r="AS264" s="26" t="str">
        <f>IFERROR($AC264*HDF_Limited_Col!AS264/HDF_Limited_Col!$AH264," ")</f>
        <v xml:space="preserve"> </v>
      </c>
      <c r="AT264" s="26" t="str">
        <f>IFERROR($AC264*HDF_Limited_Col!AT264/HDF_Limited_Col!$AH264," ")</f>
        <v xml:space="preserve"> </v>
      </c>
      <c r="AU264" s="26" t="str">
        <f>IFERROR($AC264*HDF_Limited_Col!AU264/HDF_Limited_Col!$AH264," ")</f>
        <v xml:space="preserve"> </v>
      </c>
      <c r="AV264" s="26" t="str">
        <f>IFERROR($AC264*HDF_Limited_Col!AV264/HDF_Limited_Col!$AH264," ")</f>
        <v xml:space="preserve"> </v>
      </c>
      <c r="AW264" s="26" t="str">
        <f>IFERROR($AC264*HDF_Limited_Col!AW264/HDF_Limited_Col!$AH264," ")</f>
        <v xml:space="preserve"> </v>
      </c>
      <c r="AX264" s="26" t="str">
        <f>IFERROR($AC264*HDF_Limited_Col!AX264/HDF_Limited_Col!$AH264," ")</f>
        <v xml:space="preserve"> </v>
      </c>
      <c r="AY264" s="26" t="str">
        <f>IFERROR($AC264*HDF_Limited_Col!AY264/HDF_Limited_Col!$AH264," ")</f>
        <v xml:space="preserve"> </v>
      </c>
      <c r="AZ264" s="26" t="str">
        <f>IFERROR($AC264*HDF_Limited_Col!AZ264/HDF_Limited_Col!$AH264," ")</f>
        <v xml:space="preserve"> </v>
      </c>
      <c r="BA264" s="26" t="str">
        <f>IFERROR($AC264*HDF_Limited_Col!BA264/HDF_Limited_Col!$AH264," ")</f>
        <v xml:space="preserve"> </v>
      </c>
      <c r="BB264" s="26" t="str">
        <f>IFERROR($AC264*HDF_Limited_Col!BB264/HDF_Limited_Col!$AH264," ")</f>
        <v xml:space="preserve"> </v>
      </c>
      <c r="BC264" s="26" t="str">
        <f>IFERROR($AC264*HDF_Limited_Col!BC264/HDF_Limited_Col!$AH264," ")</f>
        <v xml:space="preserve"> </v>
      </c>
      <c r="BD264" s="26" t="str">
        <f>IFERROR($AC264*HDF_Limited_Col!BD264/HDF_Limited_Col!$AH264," ")</f>
        <v xml:space="preserve"> </v>
      </c>
      <c r="BE264" s="26" t="str">
        <f>IFERROR($AC264*HDF_Limited_Col!BE264/HDF_Limited_Col!$AH264," ")</f>
        <v xml:space="preserve"> </v>
      </c>
      <c r="BF264" s="26" t="str">
        <f>IFERROR($AC264*HDF_Limited_Col!BF264/HDF_Limited_Col!$AH264," ")</f>
        <v xml:space="preserve"> </v>
      </c>
      <c r="BG264" s="26" t="str">
        <f>IFERROR($AC264*HDF_Limited_Col!BG264/HDF_Limited_Col!$AH264," ")</f>
        <v xml:space="preserve"> </v>
      </c>
      <c r="BH264" s="26" t="str">
        <f>IFERROR($AC264*HDF_Limited_Col!BH264/HDF_Limited_Col!$AH264," ")</f>
        <v xml:space="preserve"> </v>
      </c>
      <c r="BI264" s="26" t="str">
        <f>IFERROR($AC264*HDF_Limited_Col!BI264/HDF_Limited_Col!$AH264," ")</f>
        <v xml:space="preserve"> </v>
      </c>
      <c r="BJ264" s="26" t="str">
        <f>IFERROR($AC264*HDF_Limited_Col!BJ264/HDF_Limited_Col!$AH264," ")</f>
        <v xml:space="preserve"> </v>
      </c>
      <c r="BK264" s="26" t="str">
        <f>IFERROR($AC264*HDF_Limited_Col!BK264/HDF_Limited_Col!$AH264," ")</f>
        <v xml:space="preserve"> </v>
      </c>
      <c r="BL264" s="26" t="str">
        <f>IFERROR($AC264*HDF_Limited_Col!BL264/HDF_Limited_Col!$AH264," ")</f>
        <v xml:space="preserve"> </v>
      </c>
      <c r="BM264" s="26" t="str">
        <f>IFERROR($AC264*HDF_Limited_Col!BM264/HDF_Limited_Col!$AH264," ")</f>
        <v xml:space="preserve"> </v>
      </c>
      <c r="BN264" s="26" t="str">
        <f>IFERROR($AC264*HDF_Limited_Col!BN264/HDF_Limited_Col!$AH264," ")</f>
        <v xml:space="preserve"> </v>
      </c>
      <c r="BO264" s="26" t="str">
        <f>IFERROR($AC264*HDF_Limited_Col!BO264/HDF_Limited_Col!$AH264," ")</f>
        <v xml:space="preserve"> </v>
      </c>
      <c r="BP264" s="26" t="str">
        <f>IFERROR($AC264*HDF_Limited_Col!BP264/HDF_Limited_Col!$AH264," ")</f>
        <v xml:space="preserve"> </v>
      </c>
      <c r="BQ264" s="26" t="str">
        <f>IFERROR($AC264*HDF_Limited_Col!BQ264/HDF_Limited_Col!$AH264," ")</f>
        <v xml:space="preserve"> </v>
      </c>
      <c r="BR264" s="26" t="str">
        <f>IFERROR($AC264*HDF_Limited_Col!BR264/HDF_Limited_Col!$AH264," ")</f>
        <v xml:space="preserve"> </v>
      </c>
      <c r="BS264" s="26" t="str">
        <f>IFERROR($AC264*HDF_Limited_Col!BS264/HDF_Limited_Col!$AH264," ")</f>
        <v xml:space="preserve"> </v>
      </c>
      <c r="BT264" s="26" t="str">
        <f>IFERROR($AC264*HDF_Limited_Col!BT264/HDF_Limited_Col!$AH264," ")</f>
        <v xml:space="preserve"> </v>
      </c>
      <c r="BU264" s="26" t="str">
        <f>IFERROR($AC264*HDF_Limited_Col!BU264/HDF_Limited_Col!$AH264," ")</f>
        <v xml:space="preserve"> </v>
      </c>
      <c r="BV264" s="26" t="str">
        <f>IFERROR($AC264*HDF_Limited_Col!BV264/HDF_Limited_Col!$AH264," ")</f>
        <v xml:space="preserve"> </v>
      </c>
      <c r="BW264" s="26" t="str">
        <f>IFERROR($AC264*HDF_Limited_Col!BW264/HDF_Limited_Col!$AH264," ")</f>
        <v xml:space="preserve"> </v>
      </c>
      <c r="BX264" s="26" t="str">
        <f>IFERROR($AC264*HDF_Limited_Col!BX264/HDF_Limited_Col!$AH264," ")</f>
        <v xml:space="preserve"> </v>
      </c>
      <c r="BY264" s="26" t="str">
        <f>IFERROR($AC264*HDF_Limited_Col!BY264/HDF_Limited_Col!$AH264," ")</f>
        <v xml:space="preserve"> </v>
      </c>
      <c r="BZ264" s="26" t="str">
        <f>IFERROR($AC264*HDF_Limited_Col!BZ264/HDF_Limited_Col!$AH264," ")</f>
        <v xml:space="preserve"> </v>
      </c>
      <c r="CA264" s="26" t="str">
        <f>IFERROR($AC264*HDF_Limited_Col!CA264/HDF_Limited_Col!$AH264," ")</f>
        <v xml:space="preserve"> </v>
      </c>
      <c r="CB264" s="26" t="str">
        <f>IFERROR($AC264*HDF_Limited_Col!CB264/HDF_Limited_Col!$AH264," ")</f>
        <v xml:space="preserve"> </v>
      </c>
      <c r="CC264" s="26" t="str">
        <f>IFERROR($AC264*HDF_Limited_Col!CC264/HDF_Limited_Col!$AH264," ")</f>
        <v xml:space="preserve"> </v>
      </c>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row>
    <row r="265" spans="1:109">
      <c r="A265" s="26" t="s">
        <v>838</v>
      </c>
      <c r="B265" s="26" t="s">
        <v>24</v>
      </c>
      <c r="C265" s="157" t="s">
        <v>1722</v>
      </c>
      <c r="D265" s="26" t="s">
        <v>1719</v>
      </c>
      <c r="E265" s="26" t="s">
        <v>388</v>
      </c>
      <c r="F265" s="26" t="s">
        <v>342</v>
      </c>
      <c r="G265" s="26" t="s">
        <v>829</v>
      </c>
      <c r="H265" s="30"/>
      <c r="I265" s="26" t="s">
        <v>735</v>
      </c>
      <c r="J265" s="26"/>
      <c r="K265" s="26" t="s">
        <v>903</v>
      </c>
      <c r="L265" s="26"/>
      <c r="M265" s="26">
        <v>85</v>
      </c>
      <c r="N265" s="26">
        <v>36</v>
      </c>
      <c r="O265" s="95">
        <v>39.410697225427462</v>
      </c>
      <c r="P265" s="95">
        <v>2.7920667773610717</v>
      </c>
      <c r="Q265" s="95">
        <v>6.0096902010857267</v>
      </c>
      <c r="R265" s="95">
        <v>7.9298848249214071</v>
      </c>
      <c r="S265" s="95">
        <v>4.0375984252544868</v>
      </c>
      <c r="T265" s="95">
        <v>9.4764199543890655</v>
      </c>
      <c r="U265" s="95">
        <v>1.8475386110418985</v>
      </c>
      <c r="V265" s="95">
        <v>3.1034496893344254</v>
      </c>
      <c r="W265" s="95">
        <v>16.617468068977978</v>
      </c>
      <c r="X265" s="95">
        <v>5.6567895675159265</v>
      </c>
      <c r="Y265" s="95">
        <v>4.0272189948553745</v>
      </c>
      <c r="Z265" s="95">
        <v>100.90882234016482</v>
      </c>
      <c r="AA265" s="26"/>
      <c r="AB265" s="26"/>
      <c r="AC265" s="26">
        <f t="shared" si="5"/>
        <v>137947.80153889174</v>
      </c>
      <c r="AD265" s="26" t="str">
        <f>IFERROR($AC265*HDF_Limited_Col!AD265/HDF_Limited_Col!$AH265," ")</f>
        <v xml:space="preserve"> </v>
      </c>
      <c r="AE265" s="26" t="str">
        <f>IFERROR($AC265*HDF_Limited_Col!AE265/HDF_Limited_Col!$AH265," ")</f>
        <v xml:space="preserve"> </v>
      </c>
      <c r="AF265" s="26" t="str">
        <f>IFERROR($AC265*HDF_Limited_Col!AF265/HDF_Limited_Col!$AH265," ")</f>
        <v xml:space="preserve"> </v>
      </c>
      <c r="AG265" s="26" t="str">
        <f>IFERROR($AC265*HDF_Limited_Col!AG265/HDF_Limited_Col!$AH265," ")</f>
        <v xml:space="preserve"> </v>
      </c>
      <c r="AH265" s="26" t="str">
        <f>IFERROR($AC265*HDF_Limited_Col!AH265/HDF_Limited_Col!$AH265," ")</f>
        <v xml:space="preserve"> </v>
      </c>
      <c r="AI265" s="26" t="str">
        <f>IFERROR($AC265*HDF_Limited_Col!AI265/HDF_Limited_Col!$AH265," ")</f>
        <v xml:space="preserve"> </v>
      </c>
      <c r="AJ265" s="26" t="str">
        <f>IFERROR($AC265*HDF_Limited_Col!AJ265/HDF_Limited_Col!$AH265," ")</f>
        <v xml:space="preserve"> </v>
      </c>
      <c r="AK265" s="26" t="str">
        <f>IFERROR($AC265*HDF_Limited_Col!AK265/HDF_Limited_Col!$AH265," ")</f>
        <v xml:space="preserve"> </v>
      </c>
      <c r="AL265" s="26" t="str">
        <f>IFERROR($AC265*HDF_Limited_Col!AL265/HDF_Limited_Col!$AH265," ")</f>
        <v xml:space="preserve"> </v>
      </c>
      <c r="AM265" s="26" t="str">
        <f>IFERROR($AC265*HDF_Limited_Col!AM265/HDF_Limited_Col!$AH265," ")</f>
        <v xml:space="preserve"> </v>
      </c>
      <c r="AN265" s="26" t="str">
        <f>IFERROR($AC265*HDF_Limited_Col!AN265/HDF_Limited_Col!$AH265," ")</f>
        <v xml:space="preserve"> </v>
      </c>
      <c r="AO265" s="26" t="str">
        <f>IFERROR($AC265*HDF_Limited_Col!AO265/HDF_Limited_Col!$AH265," ")</f>
        <v xml:space="preserve"> </v>
      </c>
      <c r="AP265" s="26" t="str">
        <f>IFERROR($AC265*HDF_Limited_Col!AP265/HDF_Limited_Col!$AH265," ")</f>
        <v xml:space="preserve"> </v>
      </c>
      <c r="AQ265" s="26" t="str">
        <f>IFERROR($AC265*HDF_Limited_Col!AQ265/HDF_Limited_Col!$AH265," ")</f>
        <v xml:space="preserve"> </v>
      </c>
      <c r="AR265" s="26" t="str">
        <f>IFERROR($AC265*HDF_Limited_Col!AR265/HDF_Limited_Col!$AH265," ")</f>
        <v xml:space="preserve"> </v>
      </c>
      <c r="AS265" s="26" t="str">
        <f>IFERROR($AC265*HDF_Limited_Col!AS265/HDF_Limited_Col!$AH265," ")</f>
        <v xml:space="preserve"> </v>
      </c>
      <c r="AT265" s="26" t="str">
        <f>IFERROR($AC265*HDF_Limited_Col!AT265/HDF_Limited_Col!$AH265," ")</f>
        <v xml:space="preserve"> </v>
      </c>
      <c r="AU265" s="26" t="str">
        <f>IFERROR($AC265*HDF_Limited_Col!AU265/HDF_Limited_Col!$AH265," ")</f>
        <v xml:space="preserve"> </v>
      </c>
      <c r="AV265" s="26" t="str">
        <f>IFERROR($AC265*HDF_Limited_Col!AV265/HDF_Limited_Col!$AH265," ")</f>
        <v xml:space="preserve"> </v>
      </c>
      <c r="AW265" s="26" t="str">
        <f>IFERROR($AC265*HDF_Limited_Col!AW265/HDF_Limited_Col!$AH265," ")</f>
        <v xml:space="preserve"> </v>
      </c>
      <c r="AX265" s="26" t="str">
        <f>IFERROR($AC265*HDF_Limited_Col!AX265/HDF_Limited_Col!$AH265," ")</f>
        <v xml:space="preserve"> </v>
      </c>
      <c r="AY265" s="26" t="str">
        <f>IFERROR($AC265*HDF_Limited_Col!AY265/HDF_Limited_Col!$AH265," ")</f>
        <v xml:space="preserve"> </v>
      </c>
      <c r="AZ265" s="26" t="str">
        <f>IFERROR($AC265*HDF_Limited_Col!AZ265/HDF_Limited_Col!$AH265," ")</f>
        <v xml:space="preserve"> </v>
      </c>
      <c r="BA265" s="26" t="str">
        <f>IFERROR($AC265*HDF_Limited_Col!BA265/HDF_Limited_Col!$AH265," ")</f>
        <v xml:space="preserve"> </v>
      </c>
      <c r="BB265" s="26" t="str">
        <f>IFERROR($AC265*HDF_Limited_Col!BB265/HDF_Limited_Col!$AH265," ")</f>
        <v xml:space="preserve"> </v>
      </c>
      <c r="BC265" s="26" t="str">
        <f>IFERROR($AC265*HDF_Limited_Col!BC265/HDF_Limited_Col!$AH265," ")</f>
        <v xml:space="preserve"> </v>
      </c>
      <c r="BD265" s="26" t="str">
        <f>IFERROR($AC265*HDF_Limited_Col!BD265/HDF_Limited_Col!$AH265," ")</f>
        <v xml:space="preserve"> </v>
      </c>
      <c r="BE265" s="26" t="str">
        <f>IFERROR($AC265*HDF_Limited_Col!BE265/HDF_Limited_Col!$AH265," ")</f>
        <v xml:space="preserve"> </v>
      </c>
      <c r="BF265" s="26" t="str">
        <f>IFERROR($AC265*HDF_Limited_Col!BF265/HDF_Limited_Col!$AH265," ")</f>
        <v xml:space="preserve"> </v>
      </c>
      <c r="BG265" s="26" t="str">
        <f>IFERROR($AC265*HDF_Limited_Col!BG265/HDF_Limited_Col!$AH265," ")</f>
        <v xml:space="preserve"> </v>
      </c>
      <c r="BH265" s="26" t="str">
        <f>IFERROR($AC265*HDF_Limited_Col!BH265/HDF_Limited_Col!$AH265," ")</f>
        <v xml:space="preserve"> </v>
      </c>
      <c r="BI265" s="26" t="str">
        <f>IFERROR($AC265*HDF_Limited_Col!BI265/HDF_Limited_Col!$AH265," ")</f>
        <v xml:space="preserve"> </v>
      </c>
      <c r="BJ265" s="26" t="str">
        <f>IFERROR($AC265*HDF_Limited_Col!BJ265/HDF_Limited_Col!$AH265," ")</f>
        <v xml:space="preserve"> </v>
      </c>
      <c r="BK265" s="26" t="str">
        <f>IFERROR($AC265*HDF_Limited_Col!BK265/HDF_Limited_Col!$AH265," ")</f>
        <v xml:space="preserve"> </v>
      </c>
      <c r="BL265" s="26" t="str">
        <f>IFERROR($AC265*HDF_Limited_Col!BL265/HDF_Limited_Col!$AH265," ")</f>
        <v xml:space="preserve"> </v>
      </c>
      <c r="BM265" s="26" t="str">
        <f>IFERROR($AC265*HDF_Limited_Col!BM265/HDF_Limited_Col!$AH265," ")</f>
        <v xml:space="preserve"> </v>
      </c>
      <c r="BN265" s="26" t="str">
        <f>IFERROR($AC265*HDF_Limited_Col!BN265/HDF_Limited_Col!$AH265," ")</f>
        <v xml:space="preserve"> </v>
      </c>
      <c r="BO265" s="26" t="str">
        <f>IFERROR($AC265*HDF_Limited_Col!BO265/HDF_Limited_Col!$AH265," ")</f>
        <v xml:space="preserve"> </v>
      </c>
      <c r="BP265" s="26" t="str">
        <f>IFERROR($AC265*HDF_Limited_Col!BP265/HDF_Limited_Col!$AH265," ")</f>
        <v xml:space="preserve"> </v>
      </c>
      <c r="BQ265" s="26" t="str">
        <f>IFERROR($AC265*HDF_Limited_Col!BQ265/HDF_Limited_Col!$AH265," ")</f>
        <v xml:space="preserve"> </v>
      </c>
      <c r="BR265" s="26" t="str">
        <f>IFERROR($AC265*HDF_Limited_Col!BR265/HDF_Limited_Col!$AH265," ")</f>
        <v xml:space="preserve"> </v>
      </c>
      <c r="BS265" s="26" t="str">
        <f>IFERROR($AC265*HDF_Limited_Col!BS265/HDF_Limited_Col!$AH265," ")</f>
        <v xml:space="preserve"> </v>
      </c>
      <c r="BT265" s="26" t="str">
        <f>IFERROR($AC265*HDF_Limited_Col!BT265/HDF_Limited_Col!$AH265," ")</f>
        <v xml:space="preserve"> </v>
      </c>
      <c r="BU265" s="26" t="str">
        <f>IFERROR($AC265*HDF_Limited_Col!BU265/HDF_Limited_Col!$AH265," ")</f>
        <v xml:space="preserve"> </v>
      </c>
      <c r="BV265" s="26" t="str">
        <f>IFERROR($AC265*HDF_Limited_Col!BV265/HDF_Limited_Col!$AH265," ")</f>
        <v xml:space="preserve"> </v>
      </c>
      <c r="BW265" s="26" t="str">
        <f>IFERROR($AC265*HDF_Limited_Col!BW265/HDF_Limited_Col!$AH265," ")</f>
        <v xml:space="preserve"> </v>
      </c>
      <c r="BX265" s="26" t="str">
        <f>IFERROR($AC265*HDF_Limited_Col!BX265/HDF_Limited_Col!$AH265," ")</f>
        <v xml:space="preserve"> </v>
      </c>
      <c r="BY265" s="26" t="str">
        <f>IFERROR($AC265*HDF_Limited_Col!BY265/HDF_Limited_Col!$AH265," ")</f>
        <v xml:space="preserve"> </v>
      </c>
      <c r="BZ265" s="26" t="str">
        <f>IFERROR($AC265*HDF_Limited_Col!BZ265/HDF_Limited_Col!$AH265," ")</f>
        <v xml:space="preserve"> </v>
      </c>
      <c r="CA265" s="26" t="str">
        <f>IFERROR($AC265*HDF_Limited_Col!CA265/HDF_Limited_Col!$AH265," ")</f>
        <v xml:space="preserve"> </v>
      </c>
      <c r="CB265" s="26" t="str">
        <f>IFERROR($AC265*HDF_Limited_Col!CB265/HDF_Limited_Col!$AH265," ")</f>
        <v xml:space="preserve"> </v>
      </c>
      <c r="CC265" s="26" t="str">
        <f>IFERROR($AC265*HDF_Limited_Col!CC265/HDF_Limited_Col!$AH265," ")</f>
        <v xml:space="preserve"> </v>
      </c>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row>
    <row r="266" spans="1:109">
      <c r="A266" s="26" t="s">
        <v>846</v>
      </c>
      <c r="B266" s="26" t="s">
        <v>24</v>
      </c>
      <c r="C266" s="157" t="s">
        <v>1722</v>
      </c>
      <c r="D266" s="26" t="s">
        <v>1722</v>
      </c>
      <c r="E266" s="26" t="s">
        <v>388</v>
      </c>
      <c r="F266" s="26" t="s">
        <v>1789</v>
      </c>
      <c r="G266" s="26" t="s">
        <v>640</v>
      </c>
      <c r="H266" s="30"/>
      <c r="I266" s="26" t="s">
        <v>1148</v>
      </c>
      <c r="J266" s="26"/>
      <c r="K266" s="26"/>
      <c r="L266" s="26"/>
      <c r="M266" s="26" t="s">
        <v>514</v>
      </c>
      <c r="N266" s="26">
        <v>21</v>
      </c>
      <c r="O266" s="95">
        <v>31.259897231555104</v>
      </c>
      <c r="P266" s="95">
        <v>2.0016138050914081</v>
      </c>
      <c r="Q266" s="95">
        <v>6.8933128491668398</v>
      </c>
      <c r="R266" s="95">
        <v>6.7911896958458495</v>
      </c>
      <c r="S266" s="95">
        <v>5.0959453507174128</v>
      </c>
      <c r="T266" s="95">
        <v>19.127666617021468</v>
      </c>
      <c r="U266" s="95">
        <v>0</v>
      </c>
      <c r="V266" s="95">
        <v>3.2270916449432909</v>
      </c>
      <c r="W266" s="95">
        <v>14.756795654883087</v>
      </c>
      <c r="X266" s="95">
        <v>6.9954360024878302</v>
      </c>
      <c r="Y266" s="95">
        <v>4.9733975667322241</v>
      </c>
      <c r="Z266" s="95">
        <v>101.12234641844452</v>
      </c>
      <c r="AA266" s="26"/>
      <c r="AB266" s="26"/>
      <c r="AC266" s="26">
        <f t="shared" si="5"/>
        <v>122501.66571103822</v>
      </c>
      <c r="AD266" s="26" t="str">
        <f>IFERROR($AC266*HDF_Limited_Col!AD266/HDF_Limited_Col!$AH266," ")</f>
        <v xml:space="preserve"> </v>
      </c>
      <c r="AE266" s="26" t="str">
        <f>IFERROR($AC266*HDF_Limited_Col!AE266/HDF_Limited_Col!$AH266," ")</f>
        <v xml:space="preserve"> </v>
      </c>
      <c r="AF266" s="26" t="str">
        <f>IFERROR($AC266*HDF_Limited_Col!AF266/HDF_Limited_Col!$AH266," ")</f>
        <v xml:space="preserve"> </v>
      </c>
      <c r="AG266" s="26" t="str">
        <f>IFERROR($AC266*HDF_Limited_Col!AG266/HDF_Limited_Col!$AH266," ")</f>
        <v xml:space="preserve"> </v>
      </c>
      <c r="AH266" s="26" t="str">
        <f>IFERROR($AC266*HDF_Limited_Col!AH266/HDF_Limited_Col!$AH266," ")</f>
        <v xml:space="preserve"> </v>
      </c>
      <c r="AI266" s="26" t="str">
        <f>IFERROR($AC266*HDF_Limited_Col!AI266/HDF_Limited_Col!$AH266," ")</f>
        <v xml:space="preserve"> </v>
      </c>
      <c r="AJ266" s="26" t="str">
        <f>IFERROR($AC266*HDF_Limited_Col!AJ266/HDF_Limited_Col!$AH266," ")</f>
        <v xml:space="preserve"> </v>
      </c>
      <c r="AK266" s="26" t="str">
        <f>IFERROR($AC266*HDF_Limited_Col!AK266/HDF_Limited_Col!$AH266," ")</f>
        <v xml:space="preserve"> </v>
      </c>
      <c r="AL266" s="26" t="str">
        <f>IFERROR($AC266*HDF_Limited_Col!AL266/HDF_Limited_Col!$AH266," ")</f>
        <v xml:space="preserve"> </v>
      </c>
      <c r="AM266" s="26" t="str">
        <f>IFERROR($AC266*HDF_Limited_Col!AM266/HDF_Limited_Col!$AH266," ")</f>
        <v xml:space="preserve"> </v>
      </c>
      <c r="AN266" s="26" t="str">
        <f>IFERROR($AC266*HDF_Limited_Col!AN266/HDF_Limited_Col!$AH266," ")</f>
        <v xml:space="preserve"> </v>
      </c>
      <c r="AO266" s="26" t="str">
        <f>IFERROR($AC266*HDF_Limited_Col!AO266/HDF_Limited_Col!$AH266," ")</f>
        <v xml:space="preserve"> </v>
      </c>
      <c r="AP266" s="26" t="str">
        <f>IFERROR($AC266*HDF_Limited_Col!AP266/HDF_Limited_Col!$AH266," ")</f>
        <v xml:space="preserve"> </v>
      </c>
      <c r="AQ266" s="26" t="str">
        <f>IFERROR($AC266*HDF_Limited_Col!AQ266/HDF_Limited_Col!$AH266," ")</f>
        <v xml:space="preserve"> </v>
      </c>
      <c r="AR266" s="26" t="str">
        <f>IFERROR($AC266*HDF_Limited_Col!AR266/HDF_Limited_Col!$AH266," ")</f>
        <v xml:space="preserve"> </v>
      </c>
      <c r="AS266" s="26" t="str">
        <f>IFERROR($AC266*HDF_Limited_Col!AS266/HDF_Limited_Col!$AH266," ")</f>
        <v xml:space="preserve"> </v>
      </c>
      <c r="AT266" s="26" t="str">
        <f>IFERROR($AC266*HDF_Limited_Col!AT266/HDF_Limited_Col!$AH266," ")</f>
        <v xml:space="preserve"> </v>
      </c>
      <c r="AU266" s="26" t="str">
        <f>IFERROR($AC266*HDF_Limited_Col!AU266/HDF_Limited_Col!$AH266," ")</f>
        <v xml:space="preserve"> </v>
      </c>
      <c r="AV266" s="26" t="str">
        <f>IFERROR($AC266*HDF_Limited_Col!AV266/HDF_Limited_Col!$AH266," ")</f>
        <v xml:space="preserve"> </v>
      </c>
      <c r="AW266" s="26" t="str">
        <f>IFERROR($AC266*HDF_Limited_Col!AW266/HDF_Limited_Col!$AH266," ")</f>
        <v xml:space="preserve"> </v>
      </c>
      <c r="AX266" s="26" t="str">
        <f>IFERROR($AC266*HDF_Limited_Col!AX266/HDF_Limited_Col!$AH266," ")</f>
        <v xml:space="preserve"> </v>
      </c>
      <c r="AY266" s="26" t="str">
        <f>IFERROR($AC266*HDF_Limited_Col!AY266/HDF_Limited_Col!$AH266," ")</f>
        <v xml:space="preserve"> </v>
      </c>
      <c r="AZ266" s="26" t="str">
        <f>IFERROR($AC266*HDF_Limited_Col!AZ266/HDF_Limited_Col!$AH266," ")</f>
        <v xml:space="preserve"> </v>
      </c>
      <c r="BA266" s="26" t="str">
        <f>IFERROR($AC266*HDF_Limited_Col!BA266/HDF_Limited_Col!$AH266," ")</f>
        <v xml:space="preserve"> </v>
      </c>
      <c r="BB266" s="26" t="str">
        <f>IFERROR($AC266*HDF_Limited_Col!BB266/HDF_Limited_Col!$AH266," ")</f>
        <v xml:space="preserve"> </v>
      </c>
      <c r="BC266" s="26" t="str">
        <f>IFERROR($AC266*HDF_Limited_Col!BC266/HDF_Limited_Col!$AH266," ")</f>
        <v xml:space="preserve"> </v>
      </c>
      <c r="BD266" s="26" t="str">
        <f>IFERROR($AC266*HDF_Limited_Col!BD266/HDF_Limited_Col!$AH266," ")</f>
        <v xml:space="preserve"> </v>
      </c>
      <c r="BE266" s="26" t="str">
        <f>IFERROR($AC266*HDF_Limited_Col!BE266/HDF_Limited_Col!$AH266," ")</f>
        <v xml:space="preserve"> </v>
      </c>
      <c r="BF266" s="26" t="str">
        <f>IFERROR($AC266*HDF_Limited_Col!BF266/HDF_Limited_Col!$AH266," ")</f>
        <v xml:space="preserve"> </v>
      </c>
      <c r="BG266" s="26" t="str">
        <f>IFERROR($AC266*HDF_Limited_Col!BG266/HDF_Limited_Col!$AH266," ")</f>
        <v xml:space="preserve"> </v>
      </c>
      <c r="BH266" s="26" t="str">
        <f>IFERROR($AC266*HDF_Limited_Col!BH266/HDF_Limited_Col!$AH266," ")</f>
        <v xml:space="preserve"> </v>
      </c>
      <c r="BI266" s="26" t="str">
        <f>IFERROR($AC266*HDF_Limited_Col!BI266/HDF_Limited_Col!$AH266," ")</f>
        <v xml:space="preserve"> </v>
      </c>
      <c r="BJ266" s="26" t="str">
        <f>IFERROR($AC266*HDF_Limited_Col!BJ266/HDF_Limited_Col!$AH266," ")</f>
        <v xml:space="preserve"> </v>
      </c>
      <c r="BK266" s="26" t="str">
        <f>IFERROR($AC266*HDF_Limited_Col!BK266/HDF_Limited_Col!$AH266," ")</f>
        <v xml:space="preserve"> </v>
      </c>
      <c r="BL266" s="26" t="str">
        <f>IFERROR($AC266*HDF_Limited_Col!BL266/HDF_Limited_Col!$AH266," ")</f>
        <v xml:space="preserve"> </v>
      </c>
      <c r="BM266" s="26" t="str">
        <f>IFERROR($AC266*HDF_Limited_Col!BM266/HDF_Limited_Col!$AH266," ")</f>
        <v xml:space="preserve"> </v>
      </c>
      <c r="BN266" s="26" t="str">
        <f>IFERROR($AC266*HDF_Limited_Col!BN266/HDF_Limited_Col!$AH266," ")</f>
        <v xml:space="preserve"> </v>
      </c>
      <c r="BO266" s="26" t="str">
        <f>IFERROR($AC266*HDF_Limited_Col!BO266/HDF_Limited_Col!$AH266," ")</f>
        <v xml:space="preserve"> </v>
      </c>
      <c r="BP266" s="26" t="str">
        <f>IFERROR($AC266*HDF_Limited_Col!BP266/HDF_Limited_Col!$AH266," ")</f>
        <v xml:space="preserve"> </v>
      </c>
      <c r="BQ266" s="26" t="str">
        <f>IFERROR($AC266*HDF_Limited_Col!BQ266/HDF_Limited_Col!$AH266," ")</f>
        <v xml:space="preserve"> </v>
      </c>
      <c r="BR266" s="26" t="str">
        <f>IFERROR($AC266*HDF_Limited_Col!BR266/HDF_Limited_Col!$AH266," ")</f>
        <v xml:space="preserve"> </v>
      </c>
      <c r="BS266" s="26" t="str">
        <f>IFERROR($AC266*HDF_Limited_Col!BS266/HDF_Limited_Col!$AH266," ")</f>
        <v xml:space="preserve"> </v>
      </c>
      <c r="BT266" s="26" t="str">
        <f>IFERROR($AC266*HDF_Limited_Col!BT266/HDF_Limited_Col!$AH266," ")</f>
        <v xml:space="preserve"> </v>
      </c>
      <c r="BU266" s="26" t="str">
        <f>IFERROR($AC266*HDF_Limited_Col!BU266/HDF_Limited_Col!$AH266," ")</f>
        <v xml:space="preserve"> </v>
      </c>
      <c r="BV266" s="26" t="str">
        <f>IFERROR($AC266*HDF_Limited_Col!BV266/HDF_Limited_Col!$AH266," ")</f>
        <v xml:space="preserve"> </v>
      </c>
      <c r="BW266" s="26" t="str">
        <f>IFERROR($AC266*HDF_Limited_Col!BW266/HDF_Limited_Col!$AH266," ")</f>
        <v xml:space="preserve"> </v>
      </c>
      <c r="BX266" s="26" t="str">
        <f>IFERROR($AC266*HDF_Limited_Col!BX266/HDF_Limited_Col!$AH266," ")</f>
        <v xml:space="preserve"> </v>
      </c>
      <c r="BY266" s="26" t="str">
        <f>IFERROR($AC266*HDF_Limited_Col!BY266/HDF_Limited_Col!$AH266," ")</f>
        <v xml:space="preserve"> </v>
      </c>
      <c r="BZ266" s="26" t="str">
        <f>IFERROR($AC266*HDF_Limited_Col!BZ266/HDF_Limited_Col!$AH266," ")</f>
        <v xml:space="preserve"> </v>
      </c>
      <c r="CA266" s="26" t="str">
        <f>IFERROR($AC266*HDF_Limited_Col!CA266/HDF_Limited_Col!$AH266," ")</f>
        <v xml:space="preserve"> </v>
      </c>
      <c r="CB266" s="26" t="str">
        <f>IFERROR($AC266*HDF_Limited_Col!CB266/HDF_Limited_Col!$AH266," ")</f>
        <v xml:space="preserve"> </v>
      </c>
      <c r="CC266" s="26" t="str">
        <f>IFERROR($AC266*HDF_Limited_Col!CC266/HDF_Limited_Col!$AH266," ")</f>
        <v xml:space="preserve"> </v>
      </c>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row>
    <row r="267" spans="1:109">
      <c r="A267" s="26" t="s">
        <v>846</v>
      </c>
      <c r="B267" s="26" t="s">
        <v>24</v>
      </c>
      <c r="C267" s="157" t="s">
        <v>1722</v>
      </c>
      <c r="D267" s="26" t="s">
        <v>1722</v>
      </c>
      <c r="E267" s="26" t="s">
        <v>388</v>
      </c>
      <c r="F267" s="26" t="s">
        <v>1789</v>
      </c>
      <c r="G267" s="26" t="s">
        <v>640</v>
      </c>
      <c r="H267" s="30"/>
      <c r="I267" s="26" t="s">
        <v>1148</v>
      </c>
      <c r="J267" s="26"/>
      <c r="K267" s="26"/>
      <c r="L267" s="26"/>
      <c r="M267" s="26" t="s">
        <v>520</v>
      </c>
      <c r="N267" s="26">
        <v>24</v>
      </c>
      <c r="O267" s="95">
        <v>28.031578410366293</v>
      </c>
      <c r="P267" s="95">
        <v>1.7381588046571212</v>
      </c>
      <c r="Q267" s="95">
        <v>5.3651838247797841</v>
      </c>
      <c r="R267" s="95">
        <v>10.961452346132482</v>
      </c>
      <c r="S267" s="95">
        <v>8.9922088449024482</v>
      </c>
      <c r="T267" s="95">
        <v>20.898094298767703</v>
      </c>
      <c r="U267" s="95">
        <v>0</v>
      </c>
      <c r="V267" s="95">
        <v>3.5366005736376112</v>
      </c>
      <c r="W267" s="95">
        <v>11.413574578557744</v>
      </c>
      <c r="X267" s="95">
        <v>7.444946093935993</v>
      </c>
      <c r="Y267" s="95">
        <v>2.0898094298767704</v>
      </c>
      <c r="Z267" s="95">
        <v>100.47160720561395</v>
      </c>
      <c r="AA267" s="26"/>
      <c r="AB267" s="26"/>
      <c r="AC267" s="26">
        <f t="shared" si="5"/>
        <v>94748.340377527711</v>
      </c>
      <c r="AD267" s="26" t="str">
        <f>IFERROR($AC267*HDF_Limited_Col!AD267/HDF_Limited_Col!$AH267," ")</f>
        <v xml:space="preserve"> </v>
      </c>
      <c r="AE267" s="26" t="str">
        <f>IFERROR($AC267*HDF_Limited_Col!AE267/HDF_Limited_Col!$AH267," ")</f>
        <v xml:space="preserve"> </v>
      </c>
      <c r="AF267" s="26" t="str">
        <f>IFERROR($AC267*HDF_Limited_Col!AF267/HDF_Limited_Col!$AH267," ")</f>
        <v xml:space="preserve"> </v>
      </c>
      <c r="AG267" s="26" t="str">
        <f>IFERROR($AC267*HDF_Limited_Col!AG267/HDF_Limited_Col!$AH267," ")</f>
        <v xml:space="preserve"> </v>
      </c>
      <c r="AH267" s="26" t="str">
        <f>IFERROR($AC267*HDF_Limited_Col!AH267/HDF_Limited_Col!$AH267," ")</f>
        <v xml:space="preserve"> </v>
      </c>
      <c r="AI267" s="26" t="str">
        <f>IFERROR($AC267*HDF_Limited_Col!AI267/HDF_Limited_Col!$AH267," ")</f>
        <v xml:space="preserve"> </v>
      </c>
      <c r="AJ267" s="26" t="str">
        <f>IFERROR($AC267*HDF_Limited_Col!AJ267/HDF_Limited_Col!$AH267," ")</f>
        <v xml:space="preserve"> </v>
      </c>
      <c r="AK267" s="26" t="str">
        <f>IFERROR($AC267*HDF_Limited_Col!AK267/HDF_Limited_Col!$AH267," ")</f>
        <v xml:space="preserve"> </v>
      </c>
      <c r="AL267" s="26" t="str">
        <f>IFERROR($AC267*HDF_Limited_Col!AL267/HDF_Limited_Col!$AH267," ")</f>
        <v xml:space="preserve"> </v>
      </c>
      <c r="AM267" s="26" t="str">
        <f>IFERROR($AC267*HDF_Limited_Col!AM267/HDF_Limited_Col!$AH267," ")</f>
        <v xml:space="preserve"> </v>
      </c>
      <c r="AN267" s="26" t="str">
        <f>IFERROR($AC267*HDF_Limited_Col!AN267/HDF_Limited_Col!$AH267," ")</f>
        <v xml:space="preserve"> </v>
      </c>
      <c r="AO267" s="26" t="str">
        <f>IFERROR($AC267*HDF_Limited_Col!AO267/HDF_Limited_Col!$AH267," ")</f>
        <v xml:space="preserve"> </v>
      </c>
      <c r="AP267" s="26" t="str">
        <f>IFERROR($AC267*HDF_Limited_Col!AP267/HDF_Limited_Col!$AH267," ")</f>
        <v xml:space="preserve"> </v>
      </c>
      <c r="AQ267" s="26" t="str">
        <f>IFERROR($AC267*HDF_Limited_Col!AQ267/HDF_Limited_Col!$AH267," ")</f>
        <v xml:space="preserve"> </v>
      </c>
      <c r="AR267" s="26" t="str">
        <f>IFERROR($AC267*HDF_Limited_Col!AR267/HDF_Limited_Col!$AH267," ")</f>
        <v xml:space="preserve"> </v>
      </c>
      <c r="AS267" s="26" t="str">
        <f>IFERROR($AC267*HDF_Limited_Col!AS267/HDF_Limited_Col!$AH267," ")</f>
        <v xml:space="preserve"> </v>
      </c>
      <c r="AT267" s="26" t="str">
        <f>IFERROR($AC267*HDF_Limited_Col!AT267/HDF_Limited_Col!$AH267," ")</f>
        <v xml:space="preserve"> </v>
      </c>
      <c r="AU267" s="26" t="str">
        <f>IFERROR($AC267*HDF_Limited_Col!AU267/HDF_Limited_Col!$AH267," ")</f>
        <v xml:space="preserve"> </v>
      </c>
      <c r="AV267" s="26" t="str">
        <f>IFERROR($AC267*HDF_Limited_Col!AV267/HDF_Limited_Col!$AH267," ")</f>
        <v xml:space="preserve"> </v>
      </c>
      <c r="AW267" s="26" t="str">
        <f>IFERROR($AC267*HDF_Limited_Col!AW267/HDF_Limited_Col!$AH267," ")</f>
        <v xml:space="preserve"> </v>
      </c>
      <c r="AX267" s="26" t="str">
        <f>IFERROR($AC267*HDF_Limited_Col!AX267/HDF_Limited_Col!$AH267," ")</f>
        <v xml:space="preserve"> </v>
      </c>
      <c r="AY267" s="26" t="str">
        <f>IFERROR($AC267*HDF_Limited_Col!AY267/HDF_Limited_Col!$AH267," ")</f>
        <v xml:space="preserve"> </v>
      </c>
      <c r="AZ267" s="26" t="str">
        <f>IFERROR($AC267*HDF_Limited_Col!AZ267/HDF_Limited_Col!$AH267," ")</f>
        <v xml:space="preserve"> </v>
      </c>
      <c r="BA267" s="26" t="str">
        <f>IFERROR($AC267*HDF_Limited_Col!BA267/HDF_Limited_Col!$AH267," ")</f>
        <v xml:space="preserve"> </v>
      </c>
      <c r="BB267" s="26" t="str">
        <f>IFERROR($AC267*HDF_Limited_Col!BB267/HDF_Limited_Col!$AH267," ")</f>
        <v xml:space="preserve"> </v>
      </c>
      <c r="BC267" s="26" t="str">
        <f>IFERROR($AC267*HDF_Limited_Col!BC267/HDF_Limited_Col!$AH267," ")</f>
        <v xml:space="preserve"> </v>
      </c>
      <c r="BD267" s="26" t="str">
        <f>IFERROR($AC267*HDF_Limited_Col!BD267/HDF_Limited_Col!$AH267," ")</f>
        <v xml:space="preserve"> </v>
      </c>
      <c r="BE267" s="26" t="str">
        <f>IFERROR($AC267*HDF_Limited_Col!BE267/HDF_Limited_Col!$AH267," ")</f>
        <v xml:space="preserve"> </v>
      </c>
      <c r="BF267" s="26" t="str">
        <f>IFERROR($AC267*HDF_Limited_Col!BF267/HDF_Limited_Col!$AH267," ")</f>
        <v xml:space="preserve"> </v>
      </c>
      <c r="BG267" s="26" t="str">
        <f>IFERROR($AC267*HDF_Limited_Col!BG267/HDF_Limited_Col!$AH267," ")</f>
        <v xml:space="preserve"> </v>
      </c>
      <c r="BH267" s="26" t="str">
        <f>IFERROR($AC267*HDF_Limited_Col!BH267/HDF_Limited_Col!$AH267," ")</f>
        <v xml:space="preserve"> </v>
      </c>
      <c r="BI267" s="26" t="str">
        <f>IFERROR($AC267*HDF_Limited_Col!BI267/HDF_Limited_Col!$AH267," ")</f>
        <v xml:space="preserve"> </v>
      </c>
      <c r="BJ267" s="26" t="str">
        <f>IFERROR($AC267*HDF_Limited_Col!BJ267/HDF_Limited_Col!$AH267," ")</f>
        <v xml:space="preserve"> </v>
      </c>
      <c r="BK267" s="26" t="str">
        <f>IFERROR($AC267*HDF_Limited_Col!BK267/HDF_Limited_Col!$AH267," ")</f>
        <v xml:space="preserve"> </v>
      </c>
      <c r="BL267" s="26" t="str">
        <f>IFERROR($AC267*HDF_Limited_Col!BL267/HDF_Limited_Col!$AH267," ")</f>
        <v xml:space="preserve"> </v>
      </c>
      <c r="BM267" s="26" t="str">
        <f>IFERROR($AC267*HDF_Limited_Col!BM267/HDF_Limited_Col!$AH267," ")</f>
        <v xml:space="preserve"> </v>
      </c>
      <c r="BN267" s="26" t="str">
        <f>IFERROR($AC267*HDF_Limited_Col!BN267/HDF_Limited_Col!$AH267," ")</f>
        <v xml:space="preserve"> </v>
      </c>
      <c r="BO267" s="26" t="str">
        <f>IFERROR($AC267*HDF_Limited_Col!BO267/HDF_Limited_Col!$AH267," ")</f>
        <v xml:space="preserve"> </v>
      </c>
      <c r="BP267" s="26" t="str">
        <f>IFERROR($AC267*HDF_Limited_Col!BP267/HDF_Limited_Col!$AH267," ")</f>
        <v xml:space="preserve"> </v>
      </c>
      <c r="BQ267" s="26" t="str">
        <f>IFERROR($AC267*HDF_Limited_Col!BQ267/HDF_Limited_Col!$AH267," ")</f>
        <v xml:space="preserve"> </v>
      </c>
      <c r="BR267" s="26" t="str">
        <f>IFERROR($AC267*HDF_Limited_Col!BR267/HDF_Limited_Col!$AH267," ")</f>
        <v xml:space="preserve"> </v>
      </c>
      <c r="BS267" s="26" t="str">
        <f>IFERROR($AC267*HDF_Limited_Col!BS267/HDF_Limited_Col!$AH267," ")</f>
        <v xml:space="preserve"> </v>
      </c>
      <c r="BT267" s="26" t="str">
        <f>IFERROR($AC267*HDF_Limited_Col!BT267/HDF_Limited_Col!$AH267," ")</f>
        <v xml:space="preserve"> </v>
      </c>
      <c r="BU267" s="26" t="str">
        <f>IFERROR($AC267*HDF_Limited_Col!BU267/HDF_Limited_Col!$AH267," ")</f>
        <v xml:space="preserve"> </v>
      </c>
      <c r="BV267" s="26" t="str">
        <f>IFERROR($AC267*HDF_Limited_Col!BV267/HDF_Limited_Col!$AH267," ")</f>
        <v xml:space="preserve"> </v>
      </c>
      <c r="BW267" s="26" t="str">
        <f>IFERROR($AC267*HDF_Limited_Col!BW267/HDF_Limited_Col!$AH267," ")</f>
        <v xml:space="preserve"> </v>
      </c>
      <c r="BX267" s="26" t="str">
        <f>IFERROR($AC267*HDF_Limited_Col!BX267/HDF_Limited_Col!$AH267," ")</f>
        <v xml:space="preserve"> </v>
      </c>
      <c r="BY267" s="26" t="str">
        <f>IFERROR($AC267*HDF_Limited_Col!BY267/HDF_Limited_Col!$AH267," ")</f>
        <v xml:space="preserve"> </v>
      </c>
      <c r="BZ267" s="26" t="str">
        <f>IFERROR($AC267*HDF_Limited_Col!BZ267/HDF_Limited_Col!$AH267," ")</f>
        <v xml:space="preserve"> </v>
      </c>
      <c r="CA267" s="26" t="str">
        <f>IFERROR($AC267*HDF_Limited_Col!CA267/HDF_Limited_Col!$AH267," ")</f>
        <v xml:space="preserve"> </v>
      </c>
      <c r="CB267" s="26" t="str">
        <f>IFERROR($AC267*HDF_Limited_Col!CB267/HDF_Limited_Col!$AH267," ")</f>
        <v xml:space="preserve"> </v>
      </c>
      <c r="CC267" s="26" t="str">
        <f>IFERROR($AC267*HDF_Limited_Col!CC267/HDF_Limited_Col!$AH267," ")</f>
        <v xml:space="preserve"> </v>
      </c>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row>
    <row r="268" spans="1:109">
      <c r="A268" s="26" t="s">
        <v>1178</v>
      </c>
      <c r="B268" s="26" t="s">
        <v>24</v>
      </c>
      <c r="C268" s="157" t="s">
        <v>1722</v>
      </c>
      <c r="D268" s="26" t="s">
        <v>1720</v>
      </c>
      <c r="E268" s="26" t="s">
        <v>1394</v>
      </c>
      <c r="F268" s="26" t="s">
        <v>104</v>
      </c>
      <c r="G268" s="26" t="s">
        <v>595</v>
      </c>
      <c r="H268" s="30">
        <v>240</v>
      </c>
      <c r="I268" s="26" t="s">
        <v>736</v>
      </c>
      <c r="J268" s="26" t="s">
        <v>596</v>
      </c>
      <c r="K268" s="26" t="s">
        <v>48</v>
      </c>
      <c r="L268" s="26"/>
      <c r="M268" s="26" t="s">
        <v>740</v>
      </c>
      <c r="N268" s="26">
        <v>16</v>
      </c>
      <c r="O268" s="95">
        <v>28.711124926388493</v>
      </c>
      <c r="P268" s="95">
        <v>4.9536800049050571</v>
      </c>
      <c r="Q268" s="95">
        <v>2.2241012266920666</v>
      </c>
      <c r="R268" s="95">
        <v>15.06323103532354</v>
      </c>
      <c r="S268" s="95">
        <v>10.716124092243593</v>
      </c>
      <c r="T268" s="95">
        <v>12.738034298327289</v>
      </c>
      <c r="U268" s="95">
        <v>0</v>
      </c>
      <c r="V268" s="95">
        <v>3.0328653091255453</v>
      </c>
      <c r="W268" s="95">
        <v>18.601573895970009</v>
      </c>
      <c r="X268" s="95">
        <v>2.6284832679088059</v>
      </c>
      <c r="Y268" s="95">
        <v>1.7186236751711423</v>
      </c>
      <c r="Z268" s="95">
        <v>100.38784173205553</v>
      </c>
      <c r="AA268" s="26"/>
      <c r="AB268" s="26"/>
      <c r="AC268" s="26">
        <f t="shared" si="5"/>
        <v>154418.60417368141</v>
      </c>
      <c r="AD268" s="26">
        <f>IFERROR($AC268*HDF_Limited_Col!AD268/HDF_Limited_Col!$AH268," ")</f>
        <v>29256.439579991205</v>
      </c>
      <c r="AE268" s="26">
        <f>IFERROR($AC268*HDF_Limited_Col!AE268/HDF_Limited_Col!$AH268," ")</f>
        <v>0</v>
      </c>
      <c r="AF268" s="26">
        <f>IFERROR($AC268*HDF_Limited_Col!AF268/HDF_Limited_Col!$AH268," ")</f>
        <v>0</v>
      </c>
      <c r="AG268" s="26">
        <f>IFERROR($AC268*HDF_Limited_Col!AG268/HDF_Limited_Col!$AH268," ")</f>
        <v>0</v>
      </c>
      <c r="AH268" s="26">
        <f>IFERROR($AC268*HDF_Limited_Col!AH268/HDF_Limited_Col!$AH268," ")</f>
        <v>154418.60417368141</v>
      </c>
      <c r="AI268" s="26">
        <f>IFERROR($AC268*HDF_Limited_Col!AI268/HDF_Limited_Col!$AH268," ")</f>
        <v>0</v>
      </c>
      <c r="AJ268" s="26">
        <f>IFERROR($AC268*HDF_Limited_Col!AJ268/HDF_Limited_Col!$AH268," ")</f>
        <v>0</v>
      </c>
      <c r="AK268" s="26">
        <f>IFERROR($AC268*HDF_Limited_Col!AK268/HDF_Limited_Col!$AH268," ")</f>
        <v>533.19428346966231</v>
      </c>
      <c r="AL268" s="26">
        <f>IFERROR($AC268*HDF_Limited_Col!AL268/HDF_Limited_Col!$AH268," ")</f>
        <v>0</v>
      </c>
      <c r="AM268" s="26">
        <f>IFERROR($AC268*HDF_Limited_Col!AM268/HDF_Limited_Col!$AH268," ")</f>
        <v>267635.83189743437</v>
      </c>
      <c r="AN268" s="26">
        <f>IFERROR($AC268*HDF_Limited_Col!AN268/HDF_Limited_Col!$AH268," ")</f>
        <v>16619.04260165181</v>
      </c>
      <c r="AO268" s="26">
        <f>IFERROR($AC268*HDF_Limited_Col!AO268/HDF_Limited_Col!$AH268," ")</f>
        <v>0</v>
      </c>
      <c r="AP268" s="26">
        <f>IFERROR($AC268*HDF_Limited_Col!AP268/HDF_Limited_Col!$AH268," ")</f>
        <v>2354.3643685673401</v>
      </c>
      <c r="AQ268" s="26">
        <f>IFERROR($AC268*HDF_Limited_Col!AQ268/HDF_Limited_Col!$AH268," ")</f>
        <v>1236.0412934978535</v>
      </c>
      <c r="AR268" s="26">
        <f>IFERROR($AC268*HDF_Limited_Col!AR268/HDF_Limited_Col!$AH268," ")</f>
        <v>0</v>
      </c>
      <c r="AS268" s="26">
        <f>IFERROR($AC268*HDF_Limited_Col!AS268/HDF_Limited_Col!$AH268," ")</f>
        <v>143.68547249344795</v>
      </c>
      <c r="AT268" s="26">
        <f>IFERROR($AC268*HDF_Limited_Col!AT268/HDF_Limited_Col!$AH268," ")</f>
        <v>0</v>
      </c>
      <c r="AU268" s="26">
        <f>IFERROR($AC268*HDF_Limited_Col!AU268/HDF_Limited_Col!$AH268," ")</f>
        <v>27.005944227684193</v>
      </c>
      <c r="AV268" s="26">
        <f>IFERROR($AC268*HDF_Limited_Col!AV268/HDF_Limited_Col!$AH268," ")</f>
        <v>0</v>
      </c>
      <c r="AW268" s="26">
        <f>IFERROR($AC268*HDF_Limited_Col!AW268/HDF_Limited_Col!$AH268," ")</f>
        <v>49.510897750754346</v>
      </c>
      <c r="AX268" s="26">
        <f>IFERROR($AC268*HDF_Limited_Col!AX268/HDF_Limited_Col!$AH268," ")</f>
        <v>3150.6934932298223</v>
      </c>
      <c r="AY268" s="26">
        <f>IFERROR($AC268*HDF_Limited_Col!AY268/HDF_Limited_Col!$AH268," ")</f>
        <v>59551.569322585645</v>
      </c>
      <c r="AZ268" s="26">
        <f>IFERROR($AC268*HDF_Limited_Col!AZ268/HDF_Limited_Col!$AH268," ")</f>
        <v>0</v>
      </c>
      <c r="BA268" s="26">
        <f>IFERROR($AC268*HDF_Limited_Col!BA268/HDF_Limited_Col!$AH268," ")</f>
        <v>9209.7194417487117</v>
      </c>
      <c r="BB268" s="26">
        <f>IFERROR($AC268*HDF_Limited_Col!BB268/HDF_Limited_Col!$AH268," ")</f>
        <v>38.085305962118731</v>
      </c>
      <c r="BC268" s="26">
        <f>IFERROR($AC268*HDF_Limited_Col!BC268/HDF_Limited_Col!$AH268," ")</f>
        <v>0</v>
      </c>
      <c r="BD268" s="26">
        <f>IFERROR($AC268*HDF_Limited_Col!BD268/HDF_Limited_Col!$AH268," ")</f>
        <v>0</v>
      </c>
      <c r="BE268" s="26">
        <f>IFERROR($AC268*HDF_Limited_Col!BE268/HDF_Limited_Col!$AH268," ")</f>
        <v>0</v>
      </c>
      <c r="BF268" s="26">
        <f>IFERROR($AC268*HDF_Limited_Col!BF268/HDF_Limited_Col!$AH268," ")</f>
        <v>0</v>
      </c>
      <c r="BG268" s="26">
        <f>IFERROR($AC268*HDF_Limited_Col!BG268/HDF_Limited_Col!$AH268," ")</f>
        <v>0</v>
      </c>
      <c r="BH268" s="26">
        <f>IFERROR($AC268*HDF_Limited_Col!BH268/HDF_Limited_Col!$AH268," ")</f>
        <v>55.39680867217271</v>
      </c>
      <c r="BI268" s="26">
        <f>IFERROR($AC268*HDF_Limited_Col!BI268/HDF_Limited_Col!$AH268," ")</f>
        <v>33238.085203303621</v>
      </c>
      <c r="BJ268" s="26">
        <f>IFERROR($AC268*HDF_Limited_Col!BJ268/HDF_Limited_Col!$AH268," ")</f>
        <v>0</v>
      </c>
      <c r="BK268" s="26">
        <f>IFERROR($AC268*HDF_Limited_Col!BK268/HDF_Limited_Col!$AH268," ")</f>
        <v>2115.4656311685953</v>
      </c>
      <c r="BL268" s="26">
        <f>IFERROR($AC268*HDF_Limited_Col!BL268/HDF_Limited_Col!$AH268," ")</f>
        <v>3670.0385745314416</v>
      </c>
      <c r="BM268" s="26">
        <f>IFERROR($AC268*HDF_Limited_Col!BM268/HDF_Limited_Col!$AH268," ")</f>
        <v>0</v>
      </c>
      <c r="BN268" s="26" t="str">
        <f>IFERROR($AC268*HDF_Limited_Col!BN268/HDF_Limited_Col!$AH268," ")</f>
        <v xml:space="preserve"> </v>
      </c>
      <c r="BO268" s="26">
        <f>IFERROR($AC268*HDF_Limited_Col!BO268/HDF_Limited_Col!$AH268," ")</f>
        <v>304.68244769694985</v>
      </c>
      <c r="BP268" s="26">
        <f>IFERROR($AC268*HDF_Limited_Col!BP268/HDF_Limited_Col!$AH268," ")</f>
        <v>115.98706815736161</v>
      </c>
      <c r="BQ268" s="26">
        <f>IFERROR($AC268*HDF_Limited_Col!BQ268/HDF_Limited_Col!$AH268," ")</f>
        <v>346.23005420107938</v>
      </c>
      <c r="BR268" s="26">
        <f>IFERROR($AC268*HDF_Limited_Col!BR268/HDF_Limited_Col!$AH268," ")</f>
        <v>0</v>
      </c>
      <c r="BS268" s="26">
        <f>IFERROR($AC268*HDF_Limited_Col!BS268/HDF_Limited_Col!$AH268," ")</f>
        <v>0</v>
      </c>
      <c r="BT268" s="26">
        <f>IFERROR($AC268*HDF_Limited_Col!BT268/HDF_Limited_Col!$AH268," ")</f>
        <v>0</v>
      </c>
      <c r="BU268" s="26">
        <f>IFERROR($AC268*HDF_Limited_Col!BU268/HDF_Limited_Col!$AH268," ")</f>
        <v>0</v>
      </c>
      <c r="BV268" s="26">
        <f>IFERROR($AC268*HDF_Limited_Col!BV268/HDF_Limited_Col!$AH268," ")</f>
        <v>63.013869864596444</v>
      </c>
      <c r="BW268" s="26">
        <f>IFERROR($AC268*HDF_Limited_Col!BW268/HDF_Limited_Col!$AH268," ")</f>
        <v>8.655751355026986</v>
      </c>
      <c r="BX268" s="26">
        <f>IFERROR($AC268*HDF_Limited_Col!BX268/HDF_Limited_Col!$AH268," ")</f>
        <v>128.10512005439938</v>
      </c>
      <c r="BY268" s="26">
        <f>IFERROR($AC268*HDF_Limited_Col!BY268/HDF_Limited_Col!$AH268," ")</f>
        <v>10.040671571831302</v>
      </c>
      <c r="BZ268" s="26">
        <f>IFERROR($AC268*HDF_Limited_Col!BZ268/HDF_Limited_Col!$AH268," ")</f>
        <v>0</v>
      </c>
      <c r="CA268" s="26">
        <f>IFERROR($AC268*HDF_Limited_Col!CA268/HDF_Limited_Col!$AH268," ")</f>
        <v>0</v>
      </c>
      <c r="CB268" s="26">
        <f>IFERROR($AC268*HDF_Limited_Col!CB268/HDF_Limited_Col!$AH268," ")</f>
        <v>412.01376449928455</v>
      </c>
      <c r="CC268" s="26">
        <f>IFERROR($AC268*HDF_Limited_Col!CC268/HDF_Limited_Col!$AH268," ")</f>
        <v>51.934508130161909</v>
      </c>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row>
    <row r="269" spans="1:109">
      <c r="A269" s="26" t="s">
        <v>1178</v>
      </c>
      <c r="B269" s="26" t="s">
        <v>24</v>
      </c>
      <c r="C269" s="157" t="s">
        <v>1722</v>
      </c>
      <c r="D269" s="26" t="s">
        <v>1720</v>
      </c>
      <c r="E269" s="26" t="s">
        <v>1394</v>
      </c>
      <c r="F269" s="26" t="s">
        <v>104</v>
      </c>
      <c r="G269" s="26" t="s">
        <v>595</v>
      </c>
      <c r="H269" s="30">
        <v>240</v>
      </c>
      <c r="I269" s="26" t="s">
        <v>736</v>
      </c>
      <c r="J269" s="26" t="s">
        <v>596</v>
      </c>
      <c r="K269" s="26" t="s">
        <v>48</v>
      </c>
      <c r="L269" s="26"/>
      <c r="M269" s="26" t="s">
        <v>737</v>
      </c>
      <c r="N269" s="26">
        <v>70</v>
      </c>
      <c r="O269" s="95">
        <v>24.273448198804743</v>
      </c>
      <c r="P269" s="95">
        <v>4.6718770591841761</v>
      </c>
      <c r="Q269" s="95">
        <v>2.5390636191218352</v>
      </c>
      <c r="R269" s="95">
        <v>15.437506804260757</v>
      </c>
      <c r="S269" s="95">
        <v>11.070317379371202</v>
      </c>
      <c r="T269" s="95">
        <v>13.710943543257908</v>
      </c>
      <c r="U269" s="95">
        <v>0</v>
      </c>
      <c r="V269" s="95">
        <v>2.2343759848272153</v>
      </c>
      <c r="W269" s="95">
        <v>22.546884937801895</v>
      </c>
      <c r="X269" s="95">
        <v>2.335938529592088</v>
      </c>
      <c r="Y269" s="95">
        <v>1.5234381714731011</v>
      </c>
      <c r="Z269" s="95">
        <v>100.34379422769491</v>
      </c>
      <c r="AA269" s="26"/>
      <c r="AB269" s="26"/>
      <c r="AC269" s="26">
        <f t="shared" si="5"/>
        <v>187170.10291877849</v>
      </c>
      <c r="AD269" s="26">
        <f>IFERROR($AC269*HDF_Limited_Col!AD269/HDF_Limited_Col!$AH269," ")</f>
        <v>26679.948880966229</v>
      </c>
      <c r="AE269" s="26">
        <f>IFERROR($AC269*HDF_Limited_Col!AE269/HDF_Limited_Col!$AH269," ")</f>
        <v>0</v>
      </c>
      <c r="AF269" s="26">
        <f>IFERROR($AC269*HDF_Limited_Col!AF269/HDF_Limited_Col!$AH269," ")</f>
        <v>0</v>
      </c>
      <c r="AG269" s="26">
        <f>IFERROR($AC269*HDF_Limited_Col!AG269/HDF_Limited_Col!$AH269," ")</f>
        <v>0</v>
      </c>
      <c r="AH269" s="26">
        <f>IFERROR($AC269*HDF_Limited_Col!AH269/HDF_Limited_Col!$AH269," ")</f>
        <v>187170.10291877849</v>
      </c>
      <c r="AI269" s="26">
        <f>IFERROR($AC269*HDF_Limited_Col!AI269/HDF_Limited_Col!$AH269," ")</f>
        <v>0</v>
      </c>
      <c r="AJ269" s="26">
        <f>IFERROR($AC269*HDF_Limited_Col!AJ269/HDF_Limited_Col!$AH269," ")</f>
        <v>0</v>
      </c>
      <c r="AK269" s="26">
        <f>IFERROR($AC269*HDF_Limited_Col!AK269/HDF_Limited_Col!$AH269," ")</f>
        <v>418.66996705516237</v>
      </c>
      <c r="AL269" s="26">
        <f>IFERROR($AC269*HDF_Limited_Col!AL269/HDF_Limited_Col!$AH269," ")</f>
        <v>0</v>
      </c>
      <c r="AM269" s="26">
        <f>IFERROR($AC269*HDF_Limited_Col!AM269/HDF_Limited_Col!$AH269," ")</f>
        <v>307024.64250711905</v>
      </c>
      <c r="AN269" s="26">
        <f>IFERROR($AC269*HDF_Limited_Col!AN269/HDF_Limited_Col!$AH269," ")</f>
        <v>6041.9822696588135</v>
      </c>
      <c r="AO269" s="26">
        <f>IFERROR($AC269*HDF_Limited_Col!AO269/HDF_Limited_Col!$AH269," ")</f>
        <v>0</v>
      </c>
      <c r="AP269" s="26">
        <f>IFERROR($AC269*HDF_Limited_Col!AP269/HDF_Limited_Col!$AH269," ")</f>
        <v>1009.7334499565681</v>
      </c>
      <c r="AQ269" s="26">
        <f>IFERROR($AC269*HDF_Limited_Col!AQ269/HDF_Limited_Col!$AH269," ")</f>
        <v>453.96959172844072</v>
      </c>
      <c r="AR269" s="26">
        <f>IFERROR($AC269*HDF_Limited_Col!AR269/HDF_Limited_Col!$AH269," ")</f>
        <v>0</v>
      </c>
      <c r="AS269" s="26">
        <f>IFERROR($AC269*HDF_Limited_Col!AS269/HDF_Limited_Col!$AH269," ")</f>
        <v>202.76761149534335</v>
      </c>
      <c r="AT269" s="26">
        <f>IFERROR($AC269*HDF_Limited_Col!AT269/HDF_Limited_Col!$AH269," ")</f>
        <v>0</v>
      </c>
      <c r="AU269" s="26">
        <f>IFERROR($AC269*HDF_Limited_Col!AU269/HDF_Limited_Col!$AH269," ")</f>
        <v>12.313822560445953</v>
      </c>
      <c r="AV269" s="26">
        <f>IFERROR($AC269*HDF_Limited_Col!AV269/HDF_Limited_Col!$AH269," ")</f>
        <v>0</v>
      </c>
      <c r="AW269" s="26">
        <f>IFERROR($AC269*HDF_Limited_Col!AW269/HDF_Limited_Col!$AH269," ")</f>
        <v>47.038802180903545</v>
      </c>
      <c r="AX269" s="26">
        <f>IFERROR($AC269*HDF_Limited_Col!AX269/HDF_Limited_Col!$AH269," ")</f>
        <v>1584.3785027773795</v>
      </c>
      <c r="AY269" s="26">
        <f>IFERROR($AC269*HDF_Limited_Col!AY269/HDF_Limited_Col!$AH269," ")</f>
        <v>32836.860161189208</v>
      </c>
      <c r="AZ269" s="26">
        <f>IFERROR($AC269*HDF_Limited_Col!AZ269/HDF_Limited_Col!$AH269," ")</f>
        <v>0</v>
      </c>
      <c r="BA269" s="26">
        <f>IFERROR($AC269*HDF_Limited_Col!BA269/HDF_Limited_Col!$AH269," ")</f>
        <v>13134.744064475684</v>
      </c>
      <c r="BB269" s="26">
        <f>IFERROR($AC269*HDF_Limited_Col!BB269/HDF_Limited_Col!$AH269," ")</f>
        <v>5.7464505282081113</v>
      </c>
      <c r="BC269" s="26">
        <f>IFERROR($AC269*HDF_Limited_Col!BC269/HDF_Limited_Col!$AH269," ")</f>
        <v>0</v>
      </c>
      <c r="BD269" s="26">
        <f>IFERROR($AC269*HDF_Limited_Col!BD269/HDF_Limited_Col!$AH269," ")</f>
        <v>0</v>
      </c>
      <c r="BE269" s="26">
        <f>IFERROR($AC269*HDF_Limited_Col!BE269/HDF_Limited_Col!$AH269," ")</f>
        <v>0</v>
      </c>
      <c r="BF269" s="26">
        <f>IFERROR($AC269*HDF_Limited_Col!BF269/HDF_Limited_Col!$AH269," ")</f>
        <v>0</v>
      </c>
      <c r="BG269" s="26">
        <f>IFERROR($AC269*HDF_Limited_Col!BG269/HDF_Limited_Col!$AH269," ")</f>
        <v>0</v>
      </c>
      <c r="BH269" s="26">
        <f>IFERROR($AC269*HDF_Limited_Col!BH269/HDF_Limited_Col!$AH269," ")</f>
        <v>27.911331137010826</v>
      </c>
      <c r="BI269" s="26">
        <f>IFERROR($AC269*HDF_Limited_Col!BI269/HDF_Limited_Col!$AH269," ")</f>
        <v>12986.978193750332</v>
      </c>
      <c r="BJ269" s="26">
        <f>IFERROR($AC269*HDF_Limited_Col!BJ269/HDF_Limited_Col!$AH269," ")</f>
        <v>0</v>
      </c>
      <c r="BK269" s="26">
        <f>IFERROR($AC269*HDF_Limited_Col!BK269/HDF_Limited_Col!$AH269," ")</f>
        <v>2988.1542746682176</v>
      </c>
      <c r="BL269" s="26">
        <f>IFERROR($AC269*HDF_Limited_Col!BL269/HDF_Limited_Col!$AH269," ")</f>
        <v>4556.1143473650027</v>
      </c>
      <c r="BM269" s="26">
        <f>IFERROR($AC269*HDF_Limited_Col!BM269/HDF_Limited_Col!$AH269," ")</f>
        <v>0</v>
      </c>
      <c r="BN269" s="26" t="str">
        <f>IFERROR($AC269*HDF_Limited_Col!BN269/HDF_Limited_Col!$AH269," ")</f>
        <v xml:space="preserve"> </v>
      </c>
      <c r="BO269" s="26">
        <f>IFERROR($AC269*HDF_Limited_Col!BO269/HDF_Limited_Col!$AH269," ")</f>
        <v>430.98378961560832</v>
      </c>
      <c r="BP269" s="26">
        <f>IFERROR($AC269*HDF_Limited_Col!BP269/HDF_Limited_Col!$AH269," ")</f>
        <v>137.09389117296493</v>
      </c>
      <c r="BQ269" s="26">
        <f>IFERROR($AC269*HDF_Limited_Col!BQ269/HDF_Limited_Col!$AH269," ")</f>
        <v>402.25153697456778</v>
      </c>
      <c r="BR269" s="26">
        <f>IFERROR($AC269*HDF_Limited_Col!BR269/HDF_Limited_Col!$AH269," ")</f>
        <v>0</v>
      </c>
      <c r="BS269" s="26">
        <f>IFERROR($AC269*HDF_Limited_Col!BS269/HDF_Limited_Col!$AH269," ")</f>
        <v>0</v>
      </c>
      <c r="BT269" s="26">
        <f>IFERROR($AC269*HDF_Limited_Col!BT269/HDF_Limited_Col!$AH269," ")</f>
        <v>0</v>
      </c>
      <c r="BU269" s="26">
        <f>IFERROR($AC269*HDF_Limited_Col!BU269/HDF_Limited_Col!$AH269," ")</f>
        <v>0</v>
      </c>
      <c r="BV269" s="26">
        <f>IFERROR($AC269*HDF_Limited_Col!BV269/HDF_Limited_Col!$AH269," ")</f>
        <v>39.404232193427049</v>
      </c>
      <c r="BW269" s="26">
        <f>IFERROR($AC269*HDF_Limited_Col!BW269/HDF_Limited_Col!$AH269," ")</f>
        <v>6.6494641826408145</v>
      </c>
      <c r="BX269" s="26">
        <f>IFERROR($AC269*HDF_Limited_Col!BX269/HDF_Limited_Col!$AH269," ")</f>
        <v>326.72675860383259</v>
      </c>
      <c r="BY269" s="26">
        <f>IFERROR($AC269*HDF_Limited_Col!BY269/HDF_Limited_Col!$AH269," ")</f>
        <v>3.2836860161189207</v>
      </c>
      <c r="BZ269" s="26">
        <f>IFERROR($AC269*HDF_Limited_Col!BZ269/HDF_Limited_Col!$AH269," ")</f>
        <v>0</v>
      </c>
      <c r="CA269" s="26">
        <f>IFERROR($AC269*HDF_Limited_Col!CA269/HDF_Limited_Col!$AH269," ")</f>
        <v>0</v>
      </c>
      <c r="CB269" s="26">
        <f>IFERROR($AC269*HDF_Limited_Col!CB269/HDF_Limited_Col!$AH269," ")</f>
        <v>540.98727115559223</v>
      </c>
      <c r="CC269" s="26">
        <f>IFERROR($AC269*HDF_Limited_Col!CC269/HDF_Limited_Col!$AH269," ")</f>
        <v>23.806723616862175</v>
      </c>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row>
    <row r="270" spans="1:109">
      <c r="A270" s="26" t="s">
        <v>1178</v>
      </c>
      <c r="B270" s="26" t="s">
        <v>24</v>
      </c>
      <c r="C270" s="157" t="s">
        <v>1722</v>
      </c>
      <c r="D270" s="26" t="s">
        <v>1720</v>
      </c>
      <c r="E270" s="26" t="s">
        <v>1394</v>
      </c>
      <c r="F270" s="26" t="s">
        <v>104</v>
      </c>
      <c r="G270" s="26" t="s">
        <v>595</v>
      </c>
      <c r="H270" s="30">
        <v>240</v>
      </c>
      <c r="I270" s="26" t="s">
        <v>736</v>
      </c>
      <c r="J270" s="26" t="s">
        <v>596</v>
      </c>
      <c r="K270" s="26" t="s">
        <v>48</v>
      </c>
      <c r="L270" s="26"/>
      <c r="M270" s="26" t="s">
        <v>742</v>
      </c>
      <c r="N270" s="26">
        <v>70</v>
      </c>
      <c r="O270" s="95">
        <v>37.768245980688626</v>
      </c>
      <c r="P270" s="95">
        <v>4.6563590935095567</v>
      </c>
      <c r="Q270" s="95">
        <v>4.3459351539422535</v>
      </c>
      <c r="R270" s="95">
        <v>13.969077280528669</v>
      </c>
      <c r="S270" s="95">
        <v>8.0710224287498988</v>
      </c>
      <c r="T270" s="95">
        <v>9.4161928335415475</v>
      </c>
      <c r="U270" s="95">
        <v>0</v>
      </c>
      <c r="V270" s="95">
        <v>2.5868661630608649</v>
      </c>
      <c r="W270" s="95">
        <v>17.487215262291443</v>
      </c>
      <c r="X270" s="95">
        <v>1.1382211117467806</v>
      </c>
      <c r="Y270" s="95">
        <v>0.72432252565704214</v>
      </c>
      <c r="Z270" s="95">
        <v>100.16345783371668</v>
      </c>
      <c r="AA270" s="26"/>
      <c r="AB270" s="26"/>
      <c r="AC270" s="26">
        <f t="shared" si="5"/>
        <v>145167.89744725675</v>
      </c>
      <c r="AD270" s="26">
        <f>IFERROR($AC270*HDF_Limited_Col!AD270/HDF_Limited_Col!$AH270," ")</f>
        <v>19070.313605671803</v>
      </c>
      <c r="AE270" s="26">
        <f>IFERROR($AC270*HDF_Limited_Col!AE270/HDF_Limited_Col!$AH270," ")</f>
        <v>0</v>
      </c>
      <c r="AF270" s="26">
        <f>IFERROR($AC270*HDF_Limited_Col!AF270/HDF_Limited_Col!$AH270," ")</f>
        <v>0</v>
      </c>
      <c r="AG270" s="26">
        <f>IFERROR($AC270*HDF_Limited_Col!AG270/HDF_Limited_Col!$AH270," ")</f>
        <v>0</v>
      </c>
      <c r="AH270" s="26">
        <f>IFERROR($AC270*HDF_Limited_Col!AH270/HDF_Limited_Col!$AH270," ")</f>
        <v>145167.89744725675</v>
      </c>
      <c r="AI270" s="26">
        <f>IFERROR($AC270*HDF_Limited_Col!AI270/HDF_Limited_Col!$AH270," ")</f>
        <v>0</v>
      </c>
      <c r="AJ270" s="26">
        <f>IFERROR($AC270*HDF_Limited_Col!AJ270/HDF_Limited_Col!$AH270," ")</f>
        <v>0</v>
      </c>
      <c r="AK270" s="26">
        <f>IFERROR($AC270*HDF_Limited_Col!AK270/HDF_Limited_Col!$AH270," ")</f>
        <v>202.37883826427213</v>
      </c>
      <c r="AL270" s="26">
        <f>IFERROR($AC270*HDF_Limited_Col!AL270/HDF_Limited_Col!$AH270," ")</f>
        <v>0</v>
      </c>
      <c r="AM270" s="26">
        <f>IFERROR($AC270*HDF_Limited_Col!AM270/HDF_Limited_Col!$AH270," ")</f>
        <v>84843.436041560257</v>
      </c>
      <c r="AN270" s="26">
        <f>IFERROR($AC270*HDF_Limited_Col!AN270/HDF_Limited_Col!$AH270," ")</f>
        <v>1809.7338421708953</v>
      </c>
      <c r="AO270" s="26">
        <f>IFERROR($AC270*HDF_Limited_Col!AO270/HDF_Limited_Col!$AH270," ")</f>
        <v>0</v>
      </c>
      <c r="AP270" s="26">
        <f>IFERROR($AC270*HDF_Limited_Col!AP270/HDF_Limited_Col!$AH270," ")</f>
        <v>502.05519492482904</v>
      </c>
      <c r="AQ270" s="26">
        <f>IFERROR($AC270*HDF_Limited_Col!AQ270/HDF_Limited_Col!$AH270," ")</f>
        <v>77.059634569857494</v>
      </c>
      <c r="AR270" s="26">
        <f>IFERROR($AC270*HDF_Limited_Col!AR270/HDF_Limited_Col!$AH270," ")</f>
        <v>0</v>
      </c>
      <c r="AS270" s="26">
        <f>IFERROR($AC270*HDF_Limited_Col!AS270/HDF_Limited_Col!$AH270," ")</f>
        <v>46.313618756631513</v>
      </c>
      <c r="AT270" s="26">
        <f>IFERROR($AC270*HDF_Limited_Col!AT270/HDF_Limited_Col!$AH270," ")</f>
        <v>0</v>
      </c>
      <c r="AU270" s="26">
        <f>IFERROR($AC270*HDF_Limited_Col!AU270/HDF_Limited_Col!$AH270," ")</f>
        <v>23.351404415108327</v>
      </c>
      <c r="AV270" s="26">
        <f>IFERROR($AC270*HDF_Limited_Col!AV270/HDF_Limited_Col!$AH270," ")</f>
        <v>0</v>
      </c>
      <c r="AW270" s="26">
        <f>IFERROR($AC270*HDF_Limited_Col!AW270/HDF_Limited_Col!$AH270," ")</f>
        <v>23.740594488693461</v>
      </c>
      <c r="AX270" s="26">
        <f>IFERROR($AC270*HDF_Limited_Col!AX270/HDF_Limited_Col!$AH270," ")</f>
        <v>591.56891184941094</v>
      </c>
      <c r="AY270" s="26">
        <f>IFERROR($AC270*HDF_Limited_Col!AY270/HDF_Limited_Col!$AH270," ")</f>
        <v>2685.4115077374572</v>
      </c>
      <c r="AZ270" s="26">
        <f>IFERROR($AC270*HDF_Limited_Col!AZ270/HDF_Limited_Col!$AH270," ")</f>
        <v>0</v>
      </c>
      <c r="BA270" s="26">
        <f>IFERROR($AC270*HDF_Limited_Col!BA270/HDF_Limited_Col!$AH270," ")</f>
        <v>2086.058794416344</v>
      </c>
      <c r="BB270" s="26">
        <f>IFERROR($AC270*HDF_Limited_Col!BB270/HDF_Limited_Col!$AH270," ")</f>
        <v>2.7243305150959714</v>
      </c>
      <c r="BC270" s="26">
        <f>IFERROR($AC270*HDF_Limited_Col!BC270/HDF_Limited_Col!$AH270," ")</f>
        <v>0</v>
      </c>
      <c r="BD270" s="26">
        <f>IFERROR($AC270*HDF_Limited_Col!BD270/HDF_Limited_Col!$AH270," ")</f>
        <v>0</v>
      </c>
      <c r="BE270" s="26">
        <f>IFERROR($AC270*HDF_Limited_Col!BE270/HDF_Limited_Col!$AH270," ")</f>
        <v>0</v>
      </c>
      <c r="BF270" s="26">
        <f>IFERROR($AC270*HDF_Limited_Col!BF270/HDF_Limited_Col!$AH270," ")</f>
        <v>0</v>
      </c>
      <c r="BG270" s="26">
        <f>IFERROR($AC270*HDF_Limited_Col!BG270/HDF_Limited_Col!$AH270," ")</f>
        <v>0</v>
      </c>
      <c r="BH270" s="26">
        <f>IFERROR($AC270*HDF_Limited_Col!BH270/HDF_Limited_Col!$AH270," ")</f>
        <v>18.291933458501521</v>
      </c>
      <c r="BI270" s="26">
        <f>IFERROR($AC270*HDF_Limited_Col!BI270/HDF_Limited_Col!$AH270," ")</f>
        <v>3958.0630483608606</v>
      </c>
      <c r="BJ270" s="26">
        <f>IFERROR($AC270*HDF_Limited_Col!BJ270/HDF_Limited_Col!$AH270," ")</f>
        <v>0</v>
      </c>
      <c r="BK270" s="26">
        <f>IFERROR($AC270*HDF_Limited_Col!BK270/HDF_Limited_Col!$AH270," ")</f>
        <v>291.11417504168372</v>
      </c>
      <c r="BL270" s="26">
        <f>IFERROR($AC270*HDF_Limited_Col!BL270/HDF_Limited_Col!$AH270," ")</f>
        <v>525.40659933993732</v>
      </c>
      <c r="BM270" s="26">
        <f>IFERROR($AC270*HDF_Limited_Col!BM270/HDF_Limited_Col!$AH270," ")</f>
        <v>0</v>
      </c>
      <c r="BN270" s="26" t="str">
        <f>IFERROR($AC270*HDF_Limited_Col!BN270/HDF_Limited_Col!$AH270," ")</f>
        <v xml:space="preserve"> </v>
      </c>
      <c r="BO270" s="26">
        <f>IFERROR($AC270*HDF_Limited_Col!BO270/HDF_Limited_Col!$AH270," ")</f>
        <v>49.427139345312618</v>
      </c>
      <c r="BP270" s="26">
        <f>IFERROR($AC270*HDF_Limited_Col!BP270/HDF_Limited_Col!$AH270," ")</f>
        <v>18.681123532086659</v>
      </c>
      <c r="BQ270" s="26">
        <f>IFERROR($AC270*HDF_Limited_Col!BQ270/HDF_Limited_Col!$AH270," ")</f>
        <v>23.351404415108327</v>
      </c>
      <c r="BR270" s="26">
        <f>IFERROR($AC270*HDF_Limited_Col!BR270/HDF_Limited_Col!$AH270," ")</f>
        <v>0</v>
      </c>
      <c r="BS270" s="26">
        <f>IFERROR($AC270*HDF_Limited_Col!BS270/HDF_Limited_Col!$AH270," ")</f>
        <v>0</v>
      </c>
      <c r="BT270" s="26">
        <f>IFERROR($AC270*HDF_Limited_Col!BT270/HDF_Limited_Col!$AH270," ")</f>
        <v>0</v>
      </c>
      <c r="BU270" s="26">
        <f>IFERROR($AC270*HDF_Limited_Col!BU270/HDF_Limited_Col!$AH270," ")</f>
        <v>0</v>
      </c>
      <c r="BV270" s="26">
        <f>IFERROR($AC270*HDF_Limited_Col!BV270/HDF_Limited_Col!$AH270," ")</f>
        <v>15.178412869820411</v>
      </c>
      <c r="BW270" s="26">
        <f>IFERROR($AC270*HDF_Limited_Col!BW270/HDF_Limited_Col!$AH270," ")</f>
        <v>1.4400032722650133</v>
      </c>
      <c r="BX270" s="26">
        <f>IFERROR($AC270*HDF_Limited_Col!BX270/HDF_Limited_Col!$AH270," ")</f>
        <v>58.378511037770814</v>
      </c>
      <c r="BY270" s="26">
        <f>IFERROR($AC270*HDF_Limited_Col!BY270/HDF_Limited_Col!$AH270," ")</f>
        <v>5.0594709566068037</v>
      </c>
      <c r="BZ270" s="26">
        <f>IFERROR($AC270*HDF_Limited_Col!BZ270/HDF_Limited_Col!$AH270," ")</f>
        <v>0</v>
      </c>
      <c r="CA270" s="26">
        <f>IFERROR($AC270*HDF_Limited_Col!CA270/HDF_Limited_Col!$AH270," ")</f>
        <v>0</v>
      </c>
      <c r="CB270" s="26">
        <f>IFERROR($AC270*HDF_Limited_Col!CB270/HDF_Limited_Col!$AH270," ")</f>
        <v>53.319040081164005</v>
      </c>
      <c r="CC270" s="26">
        <f>IFERROR($AC270*HDF_Limited_Col!CC270/HDF_Limited_Col!$AH270," ")</f>
        <v>15.373007906612983</v>
      </c>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row>
    <row r="271" spans="1:109">
      <c r="A271" s="26" t="s">
        <v>1178</v>
      </c>
      <c r="B271" s="26" t="s">
        <v>24</v>
      </c>
      <c r="C271" s="157" t="s">
        <v>1722</v>
      </c>
      <c r="D271" s="26" t="s">
        <v>1720</v>
      </c>
      <c r="E271" s="26" t="s">
        <v>1394</v>
      </c>
      <c r="F271" s="26" t="s">
        <v>104</v>
      </c>
      <c r="G271" s="26" t="s">
        <v>595</v>
      </c>
      <c r="H271" s="30">
        <v>240</v>
      </c>
      <c r="I271" s="26" t="s">
        <v>736</v>
      </c>
      <c r="J271" s="26" t="s">
        <v>596</v>
      </c>
      <c r="K271" s="26" t="s">
        <v>48</v>
      </c>
      <c r="L271" s="26"/>
      <c r="M271" s="26" t="s">
        <v>739</v>
      </c>
      <c r="N271" s="26">
        <v>92</v>
      </c>
      <c r="O271" s="95">
        <v>26.371544350438864</v>
      </c>
      <c r="P271" s="95">
        <v>5.2537061010639912</v>
      </c>
      <c r="Q271" s="95">
        <v>2.0602769023780358</v>
      </c>
      <c r="R271" s="95">
        <v>18.027422895807817</v>
      </c>
      <c r="S271" s="95">
        <v>11.125495272841396</v>
      </c>
      <c r="T271" s="95">
        <v>16.791256754380996</v>
      </c>
      <c r="U271" s="95">
        <v>0</v>
      </c>
      <c r="V271" s="95">
        <v>2.2663045926158398</v>
      </c>
      <c r="W271" s="95">
        <v>15.864132148310878</v>
      </c>
      <c r="X271" s="95">
        <v>1.4421938316646252</v>
      </c>
      <c r="Y271" s="95">
        <v>1.0301384511890179</v>
      </c>
      <c r="Z271" s="95">
        <v>100.23247130069146</v>
      </c>
      <c r="AA271" s="26"/>
      <c r="AB271" s="26"/>
      <c r="AC271" s="26">
        <f t="shared" si="5"/>
        <v>131694.0790316521</v>
      </c>
      <c r="AD271" s="26">
        <f>IFERROR($AC271*HDF_Limited_Col!AD271/HDF_Limited_Col!$AH271," ")</f>
        <v>19928.669544185937</v>
      </c>
      <c r="AE271" s="26">
        <f>IFERROR($AC271*HDF_Limited_Col!AE271/HDF_Limited_Col!$AH271," ")</f>
        <v>0</v>
      </c>
      <c r="AF271" s="26">
        <f>IFERROR($AC271*HDF_Limited_Col!AF271/HDF_Limited_Col!$AH271," ")</f>
        <v>0</v>
      </c>
      <c r="AG271" s="26">
        <f>IFERROR($AC271*HDF_Limited_Col!AG271/HDF_Limited_Col!$AH271," ")</f>
        <v>0</v>
      </c>
      <c r="AH271" s="26">
        <f>IFERROR($AC271*HDF_Limited_Col!AH271/HDF_Limited_Col!$AH271," ")</f>
        <v>131694.0790316521</v>
      </c>
      <c r="AI271" s="26">
        <f>IFERROR($AC271*HDF_Limited_Col!AI271/HDF_Limited_Col!$AH271," ")</f>
        <v>0</v>
      </c>
      <c r="AJ271" s="26">
        <f>IFERROR($AC271*HDF_Limited_Col!AJ271/HDF_Limited_Col!$AH271," ")</f>
        <v>0</v>
      </c>
      <c r="AK271" s="26">
        <f>IFERROR($AC271*HDF_Limited_Col!AK271/HDF_Limited_Col!$AH271," ")</f>
        <v>138.67638660917711</v>
      </c>
      <c r="AL271" s="26">
        <f>IFERROR($AC271*HDF_Limited_Col!AL271/HDF_Limited_Col!$AH271," ")</f>
        <v>0</v>
      </c>
      <c r="AM271" s="26">
        <f>IFERROR($AC271*HDF_Limited_Col!AM271/HDF_Limited_Col!$AH271," ")</f>
        <v>126263.39536024374</v>
      </c>
      <c r="AN271" s="26">
        <f>IFERROR($AC271*HDF_Limited_Col!AN271/HDF_Limited_Col!$AH271," ")</f>
        <v>846.11991130424485</v>
      </c>
      <c r="AO271" s="26">
        <f>IFERROR($AC271*HDF_Limited_Col!AO271/HDF_Limited_Col!$AH271," ")</f>
        <v>0</v>
      </c>
      <c r="AP271" s="26">
        <f>IFERROR($AC271*HDF_Limited_Col!AP271/HDF_Limited_Col!$AH271," ")</f>
        <v>411.18033512091665</v>
      </c>
      <c r="AQ271" s="26">
        <f>IFERROR($AC271*HDF_Limited_Col!AQ271/HDF_Limited_Col!$AH271," ")</f>
        <v>183.77045638069271</v>
      </c>
      <c r="AR271" s="26">
        <f>IFERROR($AC271*HDF_Limited_Col!AR271/HDF_Limited_Col!$AH271," ")</f>
        <v>0</v>
      </c>
      <c r="AS271" s="26">
        <f>IFERROR($AC271*HDF_Limited_Col!AS271/HDF_Limited_Col!$AH271," ")</f>
        <v>38.596644664652082</v>
      </c>
      <c r="AT271" s="26">
        <f>IFERROR($AC271*HDF_Limited_Col!AT271/HDF_Limited_Col!$AH271," ")</f>
        <v>0</v>
      </c>
      <c r="AU271" s="26">
        <f>IFERROR($AC271*HDF_Limited_Col!AU271/HDF_Limited_Col!$AH271," ")</f>
        <v>5.3337071772760414</v>
      </c>
      <c r="AV271" s="26">
        <f>IFERROR($AC271*HDF_Limited_Col!AV271/HDF_Limited_Col!$AH271," ")</f>
        <v>0</v>
      </c>
      <c r="AW271" s="26">
        <f>IFERROR($AC271*HDF_Limited_Col!AW271/HDF_Limited_Col!$AH271," ")</f>
        <v>62.064956244666675</v>
      </c>
      <c r="AX271" s="26">
        <f>IFERROR($AC271*HDF_Limited_Col!AX271/HDF_Limited_Col!$AH271," ")</f>
        <v>827.6943774191094</v>
      </c>
      <c r="AY271" s="26">
        <f>IFERROR($AC271*HDF_Limited_Col!AY271/HDF_Limited_Col!$AH271," ")</f>
        <v>5479.1719184744798</v>
      </c>
      <c r="AZ271" s="26">
        <f>IFERROR($AC271*HDF_Limited_Col!AZ271/HDF_Limited_Col!$AH271," ")</f>
        <v>0</v>
      </c>
      <c r="BA271" s="26">
        <f>IFERROR($AC271*HDF_Limited_Col!BA271/HDF_Limited_Col!$AH271," ")</f>
        <v>2909.2948239687503</v>
      </c>
      <c r="BB271" s="26">
        <f>IFERROR($AC271*HDF_Limited_Col!BB271/HDF_Limited_Col!$AH271," ")</f>
        <v>2.133482870910417</v>
      </c>
      <c r="BC271" s="26">
        <f>IFERROR($AC271*HDF_Limited_Col!BC271/HDF_Limited_Col!$AH271," ")</f>
        <v>0</v>
      </c>
      <c r="BD271" s="26">
        <f>IFERROR($AC271*HDF_Limited_Col!BD271/HDF_Limited_Col!$AH271," ")</f>
        <v>0</v>
      </c>
      <c r="BE271" s="26">
        <f>IFERROR($AC271*HDF_Limited_Col!BE271/HDF_Limited_Col!$AH271," ")</f>
        <v>0</v>
      </c>
      <c r="BF271" s="26">
        <f>IFERROR($AC271*HDF_Limited_Col!BF271/HDF_Limited_Col!$AH271," ")</f>
        <v>0</v>
      </c>
      <c r="BG271" s="26">
        <f>IFERROR($AC271*HDF_Limited_Col!BG271/HDF_Limited_Col!$AH271," ")</f>
        <v>0</v>
      </c>
      <c r="BH271" s="26">
        <f>IFERROR($AC271*HDF_Limited_Col!BH271/HDF_Limited_Col!$AH271," ")</f>
        <v>28.220159792496879</v>
      </c>
      <c r="BI271" s="26">
        <f>IFERROR($AC271*HDF_Limited_Col!BI271/HDF_Limited_Col!$AH271," ")</f>
        <v>6073.6378275054267</v>
      </c>
      <c r="BJ271" s="26">
        <f>IFERROR($AC271*HDF_Limited_Col!BJ271/HDF_Limited_Col!$AH271," ")</f>
        <v>0</v>
      </c>
      <c r="BK271" s="26">
        <f>IFERROR($AC271*HDF_Limited_Col!BK271/HDF_Limited_Col!$AH271," ")</f>
        <v>478.09411607219795</v>
      </c>
      <c r="BL271" s="26">
        <f>IFERROR($AC271*HDF_Limited_Col!BL271/HDF_Limited_Col!$AH271," ")</f>
        <v>777.26660047031771</v>
      </c>
      <c r="BM271" s="26">
        <f>IFERROR($AC271*HDF_Limited_Col!BM271/HDF_Limited_Col!$AH271," ")</f>
        <v>0</v>
      </c>
      <c r="BN271" s="26">
        <f>IFERROR($AC271*HDF_Limited_Col!BN271/HDF_Limited_Col!$AH271," ")</f>
        <v>0</v>
      </c>
      <c r="BO271" s="26">
        <f>IFERROR($AC271*HDF_Limited_Col!BO271/HDF_Limited_Col!$AH271," ")</f>
        <v>73.265741316946361</v>
      </c>
      <c r="BP271" s="26">
        <f>IFERROR($AC271*HDF_Limited_Col!BP271/HDF_Limited_Col!$AH271," ")</f>
        <v>23.953194050676043</v>
      </c>
      <c r="BQ271" s="26">
        <f>IFERROR($AC271*HDF_Limited_Col!BQ271/HDF_Limited_Col!$AH271," ")</f>
        <v>52.367306831437503</v>
      </c>
      <c r="BR271" s="26">
        <f>IFERROR($AC271*HDF_Limited_Col!BR271/HDF_Limited_Col!$AH271," ")</f>
        <v>0</v>
      </c>
      <c r="BS271" s="26">
        <f>IFERROR($AC271*HDF_Limited_Col!BS271/HDF_Limited_Col!$AH271," ")</f>
        <v>0</v>
      </c>
      <c r="BT271" s="26">
        <f>IFERROR($AC271*HDF_Limited_Col!BT271/HDF_Limited_Col!$AH271," ")</f>
        <v>0</v>
      </c>
      <c r="BU271" s="26">
        <f>IFERROR($AC271*HDF_Limited_Col!BU271/HDF_Limited_Col!$AH271," ")</f>
        <v>0</v>
      </c>
      <c r="BV271" s="26">
        <f>IFERROR($AC271*HDF_Limited_Col!BV271/HDF_Limited_Col!$AH271," ")</f>
        <v>7.0017028763514588</v>
      </c>
      <c r="BW271" s="26">
        <f>IFERROR($AC271*HDF_Limited_Col!BW271/HDF_Limited_Col!$AH271," ")</f>
        <v>0.91642786955015632</v>
      </c>
      <c r="BX271" s="26">
        <f>IFERROR($AC271*HDF_Limited_Col!BX271/HDF_Limited_Col!$AH271," ")</f>
        <v>26.135165168652609</v>
      </c>
      <c r="BY271" s="26">
        <f>IFERROR($AC271*HDF_Limited_Col!BY271/HDF_Limited_Col!$AH271," ")</f>
        <v>6.4489368597973957</v>
      </c>
      <c r="BZ271" s="26">
        <f>IFERROR($AC271*HDF_Limited_Col!BZ271/HDF_Limited_Col!$AH271," ")</f>
        <v>0</v>
      </c>
      <c r="CA271" s="26">
        <f>IFERROR($AC271*HDF_Limited_Col!CA271/HDF_Limited_Col!$AH271," ")</f>
        <v>0</v>
      </c>
      <c r="CB271" s="26">
        <f>IFERROR($AC271*HDF_Limited_Col!CB271/HDF_Limited_Col!$AH271," ")</f>
        <v>85.339314836416676</v>
      </c>
      <c r="CC271" s="26">
        <f>IFERROR($AC271*HDF_Limited_Col!CC271/HDF_Limited_Col!$AH271," ")</f>
        <v>49.651964995733344</v>
      </c>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row>
    <row r="272" spans="1:109">
      <c r="A272" s="26" t="s">
        <v>1178</v>
      </c>
      <c r="B272" s="26" t="s">
        <v>24</v>
      </c>
      <c r="C272" s="157" t="s">
        <v>1722</v>
      </c>
      <c r="D272" s="26" t="s">
        <v>1720</v>
      </c>
      <c r="E272" s="26" t="s">
        <v>1394</v>
      </c>
      <c r="F272" s="26" t="s">
        <v>104</v>
      </c>
      <c r="G272" s="26" t="s">
        <v>595</v>
      </c>
      <c r="H272" s="30">
        <v>240</v>
      </c>
      <c r="I272" s="26" t="s">
        <v>736</v>
      </c>
      <c r="J272" s="26" t="s">
        <v>596</v>
      </c>
      <c r="K272" s="26" t="s">
        <v>48</v>
      </c>
      <c r="L272" s="26"/>
      <c r="M272" s="26" t="s">
        <v>741</v>
      </c>
      <c r="N272" s="26">
        <v>27</v>
      </c>
      <c r="O272" s="95">
        <v>30.062303498802962</v>
      </c>
      <c r="P272" s="95">
        <v>4.9081311834780346</v>
      </c>
      <c r="Q272" s="95">
        <v>2.9653292566846461</v>
      </c>
      <c r="R272" s="95">
        <v>16.462690011249244</v>
      </c>
      <c r="S272" s="95">
        <v>8.3847241051083081</v>
      </c>
      <c r="T272" s="95">
        <v>13.701866220542847</v>
      </c>
      <c r="U272" s="95">
        <v>0</v>
      </c>
      <c r="V272" s="95">
        <v>2.3518128587498919</v>
      </c>
      <c r="W272" s="95">
        <v>18.507744671031759</v>
      </c>
      <c r="X272" s="95">
        <v>1.9428019267933889</v>
      </c>
      <c r="Y272" s="95">
        <v>0.92027459690213165</v>
      </c>
      <c r="Z272" s="95">
        <v>100.20767832934322</v>
      </c>
      <c r="AA272" s="26"/>
      <c r="AB272" s="26"/>
      <c r="AC272" s="26">
        <f t="shared" si="5"/>
        <v>153639.69277474855</v>
      </c>
      <c r="AD272" s="26">
        <f>IFERROR($AC272*HDF_Limited_Col!AD272/HDF_Limited_Col!$AH272," ")</f>
        <v>17319.383549153474</v>
      </c>
      <c r="AE272" s="26">
        <f>IFERROR($AC272*HDF_Limited_Col!AE272/HDF_Limited_Col!$AH272," ")</f>
        <v>0</v>
      </c>
      <c r="AF272" s="26">
        <f>IFERROR($AC272*HDF_Limited_Col!AF272/HDF_Limited_Col!$AH272," ")</f>
        <v>0</v>
      </c>
      <c r="AG272" s="26">
        <f>IFERROR($AC272*HDF_Limited_Col!AG272/HDF_Limited_Col!$AH272," ")</f>
        <v>0</v>
      </c>
      <c r="AH272" s="26">
        <f>IFERROR($AC272*HDF_Limited_Col!AH272/HDF_Limited_Col!$AH272," ")</f>
        <v>153639.69277474855</v>
      </c>
      <c r="AI272" s="26">
        <f>IFERROR($AC272*HDF_Limited_Col!AI272/HDF_Limited_Col!$AH272," ")</f>
        <v>0</v>
      </c>
      <c r="AJ272" s="26">
        <f>IFERROR($AC272*HDF_Limited_Col!AJ272/HDF_Limited_Col!$AH272," ")</f>
        <v>0</v>
      </c>
      <c r="AK272" s="26">
        <f>IFERROR($AC272*HDF_Limited_Col!AK272/HDF_Limited_Col!$AH272," ")</f>
        <v>80.078870173505294</v>
      </c>
      <c r="AL272" s="26">
        <f>IFERROR($AC272*HDF_Limited_Col!AL272/HDF_Limited_Col!$AH272," ")</f>
        <v>0</v>
      </c>
      <c r="AM272" s="26">
        <f>IFERROR($AC272*HDF_Limited_Col!AM272/HDF_Limited_Col!$AH272," ")</f>
        <v>90693.976219760661</v>
      </c>
      <c r="AN272" s="26">
        <f>IFERROR($AC272*HDF_Limited_Col!AN272/HDF_Limited_Col!$AH272," ")</f>
        <v>1098.7565907527471</v>
      </c>
      <c r="AO272" s="26">
        <f>IFERROR($AC272*HDF_Limited_Col!AO272/HDF_Limited_Col!$AH272," ")</f>
        <v>0</v>
      </c>
      <c r="AP272" s="26">
        <f>IFERROR($AC272*HDF_Limited_Col!AP272/HDF_Limited_Col!$AH272," ")</f>
        <v>320.31548069402118</v>
      </c>
      <c r="AQ272" s="26">
        <f>IFERROR($AC272*HDF_Limited_Col!AQ272/HDF_Limited_Col!$AH272," ")</f>
        <v>83.431008924954369</v>
      </c>
      <c r="AR272" s="26">
        <f>IFERROR($AC272*HDF_Limited_Col!AR272/HDF_Limited_Col!$AH272," ")</f>
        <v>0</v>
      </c>
      <c r="AS272" s="26">
        <f>IFERROR($AC272*HDF_Limited_Col!AS272/HDF_Limited_Col!$AH272," ")</f>
        <v>27.189569872864592</v>
      </c>
      <c r="AT272" s="26">
        <f>IFERROR($AC272*HDF_Limited_Col!AT272/HDF_Limited_Col!$AH272," ")</f>
        <v>0</v>
      </c>
      <c r="AU272" s="26">
        <f>IFERROR($AC272*HDF_Limited_Col!AU272/HDF_Limited_Col!$AH272," ")</f>
        <v>2.8865639248589119</v>
      </c>
      <c r="AV272" s="26">
        <f>IFERROR($AC272*HDF_Limited_Col!AV272/HDF_Limited_Col!$AH272," ")</f>
        <v>0</v>
      </c>
      <c r="AW272" s="26">
        <f>IFERROR($AC272*HDF_Limited_Col!AW272/HDF_Limited_Col!$AH272," ")</f>
        <v>22.626936572281153</v>
      </c>
      <c r="AX272" s="26">
        <f>IFERROR($AC272*HDF_Limited_Col!AX272/HDF_Limited_Col!$AH272," ")</f>
        <v>677.87694751525419</v>
      </c>
      <c r="AY272" s="26">
        <f>IFERROR($AC272*HDF_Limited_Col!AY272/HDF_Limited_Col!$AH272," ")</f>
        <v>3491.8111994261035</v>
      </c>
      <c r="AZ272" s="26">
        <f>IFERROR($AC272*HDF_Limited_Col!AZ272/HDF_Limited_Col!$AH272," ")</f>
        <v>0</v>
      </c>
      <c r="BA272" s="26">
        <f>IFERROR($AC272*HDF_Limited_Col!BA272/HDF_Limited_Col!$AH272," ")</f>
        <v>1303.609514452412</v>
      </c>
      <c r="BB272" s="26">
        <f>IFERROR($AC272*HDF_Limited_Col!BB272/HDF_Limited_Col!$AH272," ")</f>
        <v>0.74491972254423533</v>
      </c>
      <c r="BC272" s="26">
        <f>IFERROR($AC272*HDF_Limited_Col!BC272/HDF_Limited_Col!$AH272," ")</f>
        <v>0</v>
      </c>
      <c r="BD272" s="26">
        <f>IFERROR($AC272*HDF_Limited_Col!BD272/HDF_Limited_Col!$AH272," ")</f>
        <v>0</v>
      </c>
      <c r="BE272" s="26">
        <f>IFERROR($AC272*HDF_Limited_Col!BE272/HDF_Limited_Col!$AH272," ")</f>
        <v>0</v>
      </c>
      <c r="BF272" s="26">
        <f>IFERROR($AC272*HDF_Limited_Col!BF272/HDF_Limited_Col!$AH272," ")</f>
        <v>0</v>
      </c>
      <c r="BG272" s="26">
        <f>IFERROR($AC272*HDF_Limited_Col!BG272/HDF_Limited_Col!$AH272," ")</f>
        <v>0</v>
      </c>
      <c r="BH272" s="26">
        <f>IFERROR($AC272*HDF_Limited_Col!BH272/HDF_Limited_Col!$AH272," ")</f>
        <v>8.2872319133046179</v>
      </c>
      <c r="BI272" s="26">
        <f>IFERROR($AC272*HDF_Limited_Col!BI272/HDF_Limited_Col!$AH272," ")</f>
        <v>3677.1099804089813</v>
      </c>
      <c r="BJ272" s="26">
        <f>IFERROR($AC272*HDF_Limited_Col!BJ272/HDF_Limited_Col!$AH272," ")</f>
        <v>0</v>
      </c>
      <c r="BK272" s="26">
        <f>IFERROR($AC272*HDF_Limited_Col!BK272/HDF_Limited_Col!$AH272," ")</f>
        <v>246.75465809277799</v>
      </c>
      <c r="BL272" s="26">
        <f>IFERROR($AC272*HDF_Limited_Col!BL272/HDF_Limited_Col!$AH272," ")</f>
        <v>439.50263630109885</v>
      </c>
      <c r="BM272" s="26">
        <f>IFERROR($AC272*HDF_Limited_Col!BM272/HDF_Limited_Col!$AH272," ")</f>
        <v>0</v>
      </c>
      <c r="BN272" s="26" t="str">
        <f>IFERROR($AC272*HDF_Limited_Col!BN272/HDF_Limited_Col!$AH272," ")</f>
        <v xml:space="preserve"> </v>
      </c>
      <c r="BO272" s="26">
        <f>IFERROR($AC272*HDF_Limited_Col!BO272/HDF_Limited_Col!$AH272," ")</f>
        <v>41.622389497159155</v>
      </c>
      <c r="BP272" s="26">
        <f>IFERROR($AC272*HDF_Limited_Col!BP272/HDF_Limited_Col!$AH272," ")</f>
        <v>14.246589693658503</v>
      </c>
      <c r="BQ272" s="26">
        <f>IFERROR($AC272*HDF_Limited_Col!BQ272/HDF_Limited_Col!$AH272," ")</f>
        <v>21.416442023146768</v>
      </c>
      <c r="BR272" s="26">
        <f>IFERROR($AC272*HDF_Limited_Col!BR272/HDF_Limited_Col!$AH272," ")</f>
        <v>0</v>
      </c>
      <c r="BS272" s="26">
        <f>IFERROR($AC272*HDF_Limited_Col!BS272/HDF_Limited_Col!$AH272," ")</f>
        <v>0</v>
      </c>
      <c r="BT272" s="26">
        <f>IFERROR($AC272*HDF_Limited_Col!BT272/HDF_Limited_Col!$AH272," ")</f>
        <v>0</v>
      </c>
      <c r="BU272" s="26">
        <f>IFERROR($AC272*HDF_Limited_Col!BU272/HDF_Limited_Col!$AH272," ")</f>
        <v>0</v>
      </c>
      <c r="BV272" s="26">
        <f>IFERROR($AC272*HDF_Limited_Col!BV272/HDF_Limited_Col!$AH272," ")</f>
        <v>5.0654541133008006</v>
      </c>
      <c r="BW272" s="26">
        <f>IFERROR($AC272*HDF_Limited_Col!BW272/HDF_Limited_Col!$AH272," ")</f>
        <v>0.55868979190817647</v>
      </c>
      <c r="BX272" s="26">
        <f>IFERROR($AC272*HDF_Limited_Col!BX272/HDF_Limited_Col!$AH272," ")</f>
        <v>21.323327057828738</v>
      </c>
      <c r="BY272" s="26">
        <f>IFERROR($AC272*HDF_Limited_Col!BY272/HDF_Limited_Col!$AH272," ")</f>
        <v>6.2387026763079714</v>
      </c>
      <c r="BZ272" s="26">
        <f>IFERROR($AC272*HDF_Limited_Col!BZ272/HDF_Limited_Col!$AH272," ")</f>
        <v>0</v>
      </c>
      <c r="CA272" s="26">
        <f>IFERROR($AC272*HDF_Limited_Col!CA272/HDF_Limited_Col!$AH272," ")</f>
        <v>0</v>
      </c>
      <c r="CB272" s="26">
        <f>IFERROR($AC272*HDF_Limited_Col!CB272/HDF_Limited_Col!$AH272," ")</f>
        <v>43.019113976929596</v>
      </c>
      <c r="CC272" s="26">
        <f>IFERROR($AC272*HDF_Limited_Col!CC272/HDF_Limited_Col!$AH272," ")</f>
        <v>11.173795838163532</v>
      </c>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row>
    <row r="273" spans="1:109">
      <c r="A273" s="26" t="s">
        <v>1178</v>
      </c>
      <c r="B273" s="26" t="s">
        <v>24</v>
      </c>
      <c r="C273" s="157" t="s">
        <v>1722</v>
      </c>
      <c r="D273" s="26" t="s">
        <v>1720</v>
      </c>
      <c r="E273" s="26" t="s">
        <v>1394</v>
      </c>
      <c r="F273" s="26" t="s">
        <v>104</v>
      </c>
      <c r="G273" s="26" t="s">
        <v>595</v>
      </c>
      <c r="H273" s="30">
        <v>240</v>
      </c>
      <c r="I273" s="26" t="s">
        <v>736</v>
      </c>
      <c r="J273" s="26" t="s">
        <v>596</v>
      </c>
      <c r="K273" s="26" t="s">
        <v>48</v>
      </c>
      <c r="L273" s="26"/>
      <c r="M273" s="26" t="s">
        <v>738</v>
      </c>
      <c r="N273" s="26">
        <v>50</v>
      </c>
      <c r="O273" s="95">
        <v>25.506411753998481</v>
      </c>
      <c r="P273" s="95">
        <v>4.7761010057287994</v>
      </c>
      <c r="Q273" s="95">
        <v>2.5404792583663824</v>
      </c>
      <c r="R273" s="95">
        <v>16.360686423879507</v>
      </c>
      <c r="S273" s="95">
        <v>10.263536203800184</v>
      </c>
      <c r="T273" s="95">
        <v>15.852590572206227</v>
      </c>
      <c r="U273" s="95">
        <v>0</v>
      </c>
      <c r="V273" s="95">
        <v>2.6420984287010381</v>
      </c>
      <c r="W273" s="95">
        <v>18.596308171241922</v>
      </c>
      <c r="X273" s="95">
        <v>2.4388600880317268</v>
      </c>
      <c r="Y273" s="95">
        <v>1.321049214350519</v>
      </c>
      <c r="Z273" s="95">
        <v>100.29812112030478</v>
      </c>
      <c r="AA273" s="26"/>
      <c r="AB273" s="26"/>
      <c r="AC273" s="26">
        <f t="shared" si="5"/>
        <v>154374.89142835021</v>
      </c>
      <c r="AD273" s="26">
        <f>IFERROR($AC273*HDF_Limited_Col!AD273/HDF_Limited_Col!$AH273," ")</f>
        <v>20145.923331399703</v>
      </c>
      <c r="AE273" s="26">
        <f>IFERROR($AC273*HDF_Limited_Col!AE273/HDF_Limited_Col!$AH273," ")</f>
        <v>0</v>
      </c>
      <c r="AF273" s="26">
        <f>IFERROR($AC273*HDF_Limited_Col!AF273/HDF_Limited_Col!$AH273," ")</f>
        <v>0</v>
      </c>
      <c r="AG273" s="26">
        <f>IFERROR($AC273*HDF_Limited_Col!AG273/HDF_Limited_Col!$AH273," ")</f>
        <v>0</v>
      </c>
      <c r="AH273" s="26">
        <f>IFERROR($AC273*HDF_Limited_Col!AH273/HDF_Limited_Col!$AH273," ")</f>
        <v>154374.89142835021</v>
      </c>
      <c r="AI273" s="26">
        <f>IFERROR($AC273*HDF_Limited_Col!AI273/HDF_Limited_Col!$AH273," ")</f>
        <v>0</v>
      </c>
      <c r="AJ273" s="26">
        <f>IFERROR($AC273*HDF_Limited_Col!AJ273/HDF_Limited_Col!$AH273," ")</f>
        <v>0</v>
      </c>
      <c r="AK273" s="26">
        <f>IFERROR($AC273*HDF_Limited_Col!AK273/HDF_Limited_Col!$AH273," ")</f>
        <v>126.07282799981934</v>
      </c>
      <c r="AL273" s="26">
        <f>IFERROR($AC273*HDF_Limited_Col!AL273/HDF_Limited_Col!$AH273," ")</f>
        <v>0</v>
      </c>
      <c r="AM273" s="26">
        <f>IFERROR($AC273*HDF_Limited_Col!AM273/HDF_Limited_Col!$AH273," ")</f>
        <v>99829.096456999803</v>
      </c>
      <c r="AN273" s="26">
        <f>IFERROR($AC273*HDF_Limited_Col!AN273/HDF_Limited_Col!$AH273," ")</f>
        <v>1613.2176154262597</v>
      </c>
      <c r="AO273" s="26">
        <f>IFERROR($AC273*HDF_Limited_Col!AO273/HDF_Limited_Col!$AH273," ")</f>
        <v>0</v>
      </c>
      <c r="AP273" s="26">
        <f>IFERROR($AC273*HDF_Limited_Col!AP273/HDF_Limited_Col!$AH273," ")</f>
        <v>442.54135542793728</v>
      </c>
      <c r="AQ273" s="26">
        <f>IFERROR($AC273*HDF_Limited_Col!AQ273/HDF_Limited_Col!$AH273," ")</f>
        <v>115.00929411412091</v>
      </c>
      <c r="AR273" s="26">
        <f>IFERROR($AC273*HDF_Limited_Col!AR273/HDF_Limited_Col!$AH273," ")</f>
        <v>0</v>
      </c>
      <c r="AS273" s="26">
        <f>IFERROR($AC273*HDF_Limited_Col!AS273/HDF_Limited_Col!$AH273," ")</f>
        <v>29.588520857100455</v>
      </c>
      <c r="AT273" s="26">
        <f>IFERROR($AC273*HDF_Limited_Col!AT273/HDF_Limited_Col!$AH273," ")</f>
        <v>0</v>
      </c>
      <c r="AU273" s="26">
        <f>IFERROR($AC273*HDF_Limited_Col!AU273/HDF_Limited_Col!$AH273," ")</f>
        <v>6.6895786285618426</v>
      </c>
      <c r="AV273" s="26">
        <f>IFERROR($AC273*HDF_Limited_Col!AV273/HDF_Limited_Col!$AH273," ")</f>
        <v>0</v>
      </c>
      <c r="AW273" s="26">
        <f>IFERROR($AC273*HDF_Limited_Col!AW273/HDF_Limited_Col!$AH273," ")</f>
        <v>23.156233714252529</v>
      </c>
      <c r="AX273" s="26">
        <f>IFERROR($AC273*HDF_Limited_Col!AX273/HDF_Limited_Col!$AH273," ")</f>
        <v>764.15571257033343</v>
      </c>
      <c r="AY273" s="26">
        <f>IFERROR($AC273*HDF_Limited_Col!AY273/HDF_Limited_Col!$AH273," ")</f>
        <v>4245.309514279631</v>
      </c>
      <c r="AZ273" s="26">
        <f>IFERROR($AC273*HDF_Limited_Col!AZ273/HDF_Limited_Col!$AH273," ")</f>
        <v>0</v>
      </c>
      <c r="BA273" s="26">
        <f>IFERROR($AC273*HDF_Limited_Col!BA273/HDF_Limited_Col!$AH273," ")</f>
        <v>1029.1659428556682</v>
      </c>
      <c r="BB273" s="26">
        <f>IFERROR($AC273*HDF_Limited_Col!BB273/HDF_Limited_Col!$AH273," ")</f>
        <v>0.77187445714175096</v>
      </c>
      <c r="BC273" s="26">
        <f>IFERROR($AC273*HDF_Limited_Col!BC273/HDF_Limited_Col!$AH273," ")</f>
        <v>0</v>
      </c>
      <c r="BD273" s="26">
        <f>IFERROR($AC273*HDF_Limited_Col!BD273/HDF_Limited_Col!$AH273," ")</f>
        <v>0</v>
      </c>
      <c r="BE273" s="26">
        <f>IFERROR($AC273*HDF_Limited_Col!BE273/HDF_Limited_Col!$AH273," ")</f>
        <v>0</v>
      </c>
      <c r="BF273" s="26">
        <f>IFERROR($AC273*HDF_Limited_Col!BF273/HDF_Limited_Col!$AH273," ")</f>
        <v>0</v>
      </c>
      <c r="BG273" s="26">
        <f>IFERROR($AC273*HDF_Limited_Col!BG273/HDF_Limited_Col!$AH273," ")</f>
        <v>0</v>
      </c>
      <c r="BH273" s="26">
        <f>IFERROR($AC273*HDF_Limited_Col!BH273/HDF_Limited_Col!$AH273," ")</f>
        <v>9.0052019999870954</v>
      </c>
      <c r="BI273" s="26">
        <f>IFERROR($AC273*HDF_Limited_Col!BI273/HDF_Limited_Col!$AH273," ")</f>
        <v>4947.7152702786243</v>
      </c>
      <c r="BJ273" s="26">
        <f>IFERROR($AC273*HDF_Limited_Col!BJ273/HDF_Limited_Col!$AH273," ")</f>
        <v>0</v>
      </c>
      <c r="BK273" s="26">
        <f>IFERROR($AC273*HDF_Limited_Col!BK273/HDF_Limited_Col!$AH273," ")</f>
        <v>331.906016570953</v>
      </c>
      <c r="BL273" s="26">
        <f>IFERROR($AC273*HDF_Limited_Col!BL273/HDF_Limited_Col!$AH273," ")</f>
        <v>563.46835371347834</v>
      </c>
      <c r="BM273" s="26">
        <f>IFERROR($AC273*HDF_Limited_Col!BM273/HDF_Limited_Col!$AH273," ")</f>
        <v>0</v>
      </c>
      <c r="BN273" s="26" t="str">
        <f>IFERROR($AC273*HDF_Limited_Col!BN273/HDF_Limited_Col!$AH273," ")</f>
        <v xml:space="preserve"> </v>
      </c>
      <c r="BO273" s="26">
        <f>IFERROR($AC273*HDF_Limited_Col!BO273/HDF_Limited_Col!$AH273," ")</f>
        <v>26.243731542819535</v>
      </c>
      <c r="BP273" s="26">
        <f>IFERROR($AC273*HDF_Limited_Col!BP273/HDF_Limited_Col!$AH273," ")</f>
        <v>17.495821028546356</v>
      </c>
      <c r="BQ273" s="26">
        <f>IFERROR($AC273*HDF_Limited_Col!BQ273/HDF_Limited_Col!$AH273," ")</f>
        <v>28.302063428530868</v>
      </c>
      <c r="BR273" s="26">
        <f>IFERROR($AC273*HDF_Limited_Col!BR273/HDF_Limited_Col!$AH273," ")</f>
        <v>0</v>
      </c>
      <c r="BS273" s="26">
        <f>IFERROR($AC273*HDF_Limited_Col!BS273/HDF_Limited_Col!$AH273," ")</f>
        <v>0</v>
      </c>
      <c r="BT273" s="26">
        <f>IFERROR($AC273*HDF_Limited_Col!BT273/HDF_Limited_Col!$AH273," ")</f>
        <v>0</v>
      </c>
      <c r="BU273" s="26">
        <f>IFERROR($AC273*HDF_Limited_Col!BU273/HDF_Limited_Col!$AH273," ")</f>
        <v>0</v>
      </c>
      <c r="BV273" s="26">
        <f>IFERROR($AC273*HDF_Limited_Col!BV273/HDF_Limited_Col!$AH273," ")</f>
        <v>7.9760360571314273</v>
      </c>
      <c r="BW273" s="26">
        <f>IFERROR($AC273*HDF_Limited_Col!BW273/HDF_Limited_Col!$AH273," ")</f>
        <v>0.64322871428479256</v>
      </c>
      <c r="BX273" s="26">
        <f>IFERROR($AC273*HDF_Limited_Col!BX273/HDF_Limited_Col!$AH273," ")</f>
        <v>23.928108171394285</v>
      </c>
      <c r="BY273" s="26">
        <f>IFERROR($AC273*HDF_Limited_Col!BY273/HDF_Limited_Col!$AH273," ")</f>
        <v>6.1749956571340077</v>
      </c>
      <c r="BZ273" s="26">
        <f>IFERROR($AC273*HDF_Limited_Col!BZ273/HDF_Limited_Col!$AH273," ")</f>
        <v>0</v>
      </c>
      <c r="CA273" s="26">
        <f>IFERROR($AC273*HDF_Limited_Col!CA273/HDF_Limited_Col!$AH273," ")</f>
        <v>0</v>
      </c>
      <c r="CB273" s="26">
        <f>IFERROR($AC273*HDF_Limited_Col!CB273/HDF_Limited_Col!$AH273," ")</f>
        <v>62.264539542767913</v>
      </c>
      <c r="CC273" s="26">
        <f>IFERROR($AC273*HDF_Limited_Col!CC273/HDF_Limited_Col!$AH273," ")</f>
        <v>18.010403999974191</v>
      </c>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row>
    <row r="274" spans="1:109">
      <c r="A274" s="26" t="s">
        <v>827</v>
      </c>
      <c r="B274" s="26" t="s">
        <v>24</v>
      </c>
      <c r="C274" s="157" t="s">
        <v>1722</v>
      </c>
      <c r="D274" s="26" t="s">
        <v>1718</v>
      </c>
      <c r="E274" s="26" t="s">
        <v>237</v>
      </c>
      <c r="F274" s="26" t="s">
        <v>817</v>
      </c>
      <c r="G274" s="26" t="s">
        <v>595</v>
      </c>
      <c r="H274" s="30" t="s">
        <v>1796</v>
      </c>
      <c r="I274" s="26" t="s">
        <v>735</v>
      </c>
      <c r="J274" s="26" t="s">
        <v>596</v>
      </c>
      <c r="K274" s="26" t="s">
        <v>115</v>
      </c>
      <c r="L274" s="26"/>
      <c r="M274" s="26" t="s">
        <v>590</v>
      </c>
      <c r="N274" s="26">
        <v>33</v>
      </c>
      <c r="O274" s="95">
        <v>37.638781371136346</v>
      </c>
      <c r="P274" s="95">
        <v>2.0290448178510156</v>
      </c>
      <c r="Q274" s="95">
        <v>6.695847898908351</v>
      </c>
      <c r="R274" s="95">
        <v>8.5219882349742662</v>
      </c>
      <c r="S274" s="95">
        <v>3.85518515391693</v>
      </c>
      <c r="T274" s="95">
        <v>16.94252422905598</v>
      </c>
      <c r="U274" s="95">
        <v>0</v>
      </c>
      <c r="V274" s="95">
        <v>0.60871344535530469</v>
      </c>
      <c r="W274" s="95">
        <v>17.551237674411286</v>
      </c>
      <c r="X274" s="95">
        <v>1.5217836133882616</v>
      </c>
      <c r="Y274" s="95">
        <v>5.9856822126604969</v>
      </c>
      <c r="Z274" s="95">
        <v>101.35078865165823</v>
      </c>
      <c r="AA274" s="26"/>
      <c r="AB274" s="26"/>
      <c r="AC274" s="26">
        <f t="shared" si="5"/>
        <v>145699.37137363889</v>
      </c>
      <c r="AD274" s="26">
        <f>IFERROR($AC274*HDF_Limited_Col!AD274/HDF_Limited_Col!$AH274," ")</f>
        <v>27297.306112157166</v>
      </c>
      <c r="AE274" s="26">
        <f>IFERROR($AC274*HDF_Limited_Col!AE274/HDF_Limited_Col!$AH274," ")</f>
        <v>0</v>
      </c>
      <c r="AF274" s="26">
        <f>IFERROR($AC274*HDF_Limited_Col!AF274/HDF_Limited_Col!$AH274," ")</f>
        <v>0</v>
      </c>
      <c r="AG274" s="26">
        <f>IFERROR($AC274*HDF_Limited_Col!AG274/HDF_Limited_Col!$AH274," ")</f>
        <v>0</v>
      </c>
      <c r="AH274" s="26">
        <f>IFERROR($AC274*HDF_Limited_Col!AH274/HDF_Limited_Col!$AH274," ")</f>
        <v>145699.37137363889</v>
      </c>
      <c r="AI274" s="26">
        <f>IFERROR($AC274*HDF_Limited_Col!AI274/HDF_Limited_Col!$AH274," ")</f>
        <v>0</v>
      </c>
      <c r="AJ274" s="26">
        <f>IFERROR($AC274*HDF_Limited_Col!AJ274/HDF_Limited_Col!$AH274," ")</f>
        <v>0</v>
      </c>
      <c r="AK274" s="26">
        <f>IFERROR($AC274*HDF_Limited_Col!AK274/HDF_Limited_Col!$AH274," ")</f>
        <v>450.40555085059327</v>
      </c>
      <c r="AL274" s="26">
        <f>IFERROR($AC274*HDF_Limited_Col!AL274/HDF_Limited_Col!$AH274," ")</f>
        <v>0</v>
      </c>
      <c r="AM274" s="26">
        <f>IFERROR($AC274*HDF_Limited_Col!AM274/HDF_Limited_Col!$AH274," ")</f>
        <v>79844.620378059713</v>
      </c>
      <c r="AN274" s="26">
        <f>IFERROR($AC274*HDF_Limited_Col!AN274/HDF_Limited_Col!$AH274," ")</f>
        <v>0</v>
      </c>
      <c r="AO274" s="26">
        <f>IFERROR($AC274*HDF_Limited_Col!AO274/HDF_Limited_Col!$AH274," ")</f>
        <v>0</v>
      </c>
      <c r="AP274" s="26">
        <f>IFERROR($AC274*HDF_Limited_Col!AP274/HDF_Limited_Col!$AH274," ")</f>
        <v>384.20958352861214</v>
      </c>
      <c r="AQ274" s="26">
        <f>IFERROR($AC274*HDF_Limited_Col!AQ274/HDF_Limited_Col!$AH274," ")</f>
        <v>83.256783642079355</v>
      </c>
      <c r="AR274" s="26">
        <f>IFERROR($AC274*HDF_Limited_Col!AR274/HDF_Limited_Col!$AH274," ")</f>
        <v>0</v>
      </c>
      <c r="AS274" s="26">
        <f>IFERROR($AC274*HDF_Limited_Col!AS274/HDF_Limited_Col!$AH274," ")</f>
        <v>15.013518361686442</v>
      </c>
      <c r="AT274" s="26">
        <f>IFERROR($AC274*HDF_Limited_Col!AT274/HDF_Limited_Col!$AH274," ")</f>
        <v>0</v>
      </c>
      <c r="AU274" s="26">
        <f>IFERROR($AC274*HDF_Limited_Col!AU274/HDF_Limited_Col!$AH274," ")</f>
        <v>17.743248972902158</v>
      </c>
      <c r="AV274" s="26">
        <f>IFERROR($AC274*HDF_Limited_Col!AV274/HDF_Limited_Col!$AH274," ")</f>
        <v>0</v>
      </c>
      <c r="AW274" s="26">
        <f>IFERROR($AC274*HDF_Limited_Col!AW274/HDF_Limited_Col!$AH274," ")</f>
        <v>805.27053030863635</v>
      </c>
      <c r="AX274" s="26">
        <f>IFERROR($AC274*HDF_Limited_Col!AX274/HDF_Limited_Col!$AH274," ")</f>
        <v>295.49333866410132</v>
      </c>
      <c r="AY274" s="26">
        <f>IFERROR($AC274*HDF_Limited_Col!AY274/HDF_Limited_Col!$AH274," ")</f>
        <v>11942.571424068761</v>
      </c>
      <c r="AZ274" s="26">
        <f>IFERROR($AC274*HDF_Limited_Col!AZ274/HDF_Limited_Col!$AH274," ")</f>
        <v>0</v>
      </c>
      <c r="BA274" s="26">
        <f>IFERROR($AC274*HDF_Limited_Col!BA274/HDF_Limited_Col!$AH274," ")</f>
        <v>2183.7844889725734</v>
      </c>
      <c r="BB274" s="26">
        <f>IFERROR($AC274*HDF_Limited_Col!BB274/HDF_Limited_Col!$AH274," ")</f>
        <v>1.3648653056078586</v>
      </c>
      <c r="BC274" s="26">
        <f>IFERROR($AC274*HDF_Limited_Col!BC274/HDF_Limited_Col!$AH274," ")</f>
        <v>0</v>
      </c>
      <c r="BD274" s="26">
        <f>IFERROR($AC274*HDF_Limited_Col!BD274/HDF_Limited_Col!$AH274," ")</f>
        <v>0</v>
      </c>
      <c r="BE274" s="26">
        <f>IFERROR($AC274*HDF_Limited_Col!BE274/HDF_Limited_Col!$AH274," ")</f>
        <v>0</v>
      </c>
      <c r="BF274" s="26">
        <f>IFERROR($AC274*HDF_Limited_Col!BF274/HDF_Limited_Col!$AH274," ")</f>
        <v>0</v>
      </c>
      <c r="BG274" s="26">
        <f>IFERROR($AC274*HDF_Limited_Col!BG274/HDF_Limited_Col!$AH274," ")</f>
        <v>0</v>
      </c>
      <c r="BH274" s="26">
        <f>IFERROR($AC274*HDF_Limited_Col!BH274/HDF_Limited_Col!$AH274," ")</f>
        <v>9.0081110170118652</v>
      </c>
      <c r="BI274" s="26">
        <f>IFERROR($AC274*HDF_Limited_Col!BI274/HDF_Limited_Col!$AH274," ")</f>
        <v>47087.853043471121</v>
      </c>
      <c r="BJ274" s="26">
        <f>IFERROR($AC274*HDF_Limited_Col!BJ274/HDF_Limited_Col!$AH274," ")</f>
        <v>0</v>
      </c>
      <c r="BK274" s="26">
        <f>IFERROR($AC274*HDF_Limited_Col!BK274/HDF_Limited_Col!$AH274," ")</f>
        <v>2989.0550192812098</v>
      </c>
      <c r="BL274" s="26">
        <f>IFERROR($AC274*HDF_Limited_Col!BL274/HDF_Limited_Col!$AH274," ")</f>
        <v>3289.3253865149386</v>
      </c>
      <c r="BM274" s="26">
        <f>IFERROR($AC274*HDF_Limited_Col!BM274/HDF_Limited_Col!$AH274," ")</f>
        <v>0</v>
      </c>
      <c r="BN274" s="26">
        <f>IFERROR($AC274*HDF_Limited_Col!BN274/HDF_Limited_Col!$AH274," ")</f>
        <v>743.85159155628276</v>
      </c>
      <c r="BO274" s="26">
        <f>IFERROR($AC274*HDF_Limited_Col!BO274/HDF_Limited_Col!$AH274," ")</f>
        <v>131.02706933835438</v>
      </c>
      <c r="BP274" s="26">
        <f>IFERROR($AC274*HDF_Limited_Col!BP274/HDF_Limited_Col!$AH274," ")</f>
        <v>26.614873459353234</v>
      </c>
      <c r="BQ274" s="26">
        <f>IFERROR($AC274*HDF_Limited_Col!BQ274/HDF_Limited_Col!$AH274," ")</f>
        <v>853.04081600491145</v>
      </c>
      <c r="BR274" s="26">
        <f>IFERROR($AC274*HDF_Limited_Col!BR274/HDF_Limited_Col!$AH274," ")</f>
        <v>0</v>
      </c>
      <c r="BS274" s="26">
        <f>IFERROR($AC274*HDF_Limited_Col!BS274/HDF_Limited_Col!$AH274," ")</f>
        <v>0</v>
      </c>
      <c r="BT274" s="26">
        <f>IFERROR($AC274*HDF_Limited_Col!BT274/HDF_Limited_Col!$AH274," ")</f>
        <v>0</v>
      </c>
      <c r="BU274" s="26">
        <f>IFERROR($AC274*HDF_Limited_Col!BU274/HDF_Limited_Col!$AH274," ")</f>
        <v>0</v>
      </c>
      <c r="BV274" s="26">
        <f>IFERROR($AC274*HDF_Limited_Col!BV274/HDF_Limited_Col!$AH274," ")</f>
        <v>1.7743248972902161</v>
      </c>
      <c r="BW274" s="26">
        <f>IFERROR($AC274*HDF_Limited_Col!BW274/HDF_Limited_Col!$AH274," ")</f>
        <v>0.13648653056078586</v>
      </c>
      <c r="BX274" s="26">
        <f>IFERROR($AC274*HDF_Limited_Col!BX274/HDF_Limited_Col!$AH274," ")</f>
        <v>32.279064477625859</v>
      </c>
      <c r="BY274" s="26">
        <f>IFERROR($AC274*HDF_Limited_Col!BY274/HDF_Limited_Col!$AH274," ")</f>
        <v>7.506759180843221</v>
      </c>
      <c r="BZ274" s="26">
        <f>IFERROR($AC274*HDF_Limited_Col!BZ274/HDF_Limited_Col!$AH274," ")</f>
        <v>0</v>
      </c>
      <c r="CA274" s="26">
        <f>IFERROR($AC274*HDF_Limited_Col!CA274/HDF_Limited_Col!$AH274," ")</f>
        <v>0</v>
      </c>
      <c r="CB274" s="26">
        <f>IFERROR($AC274*HDF_Limited_Col!CB274/HDF_Limited_Col!$AH274," ")</f>
        <v>661.95967321981129</v>
      </c>
      <c r="CC274" s="26">
        <f>IFERROR($AC274*HDF_Limited_Col!CC274/HDF_Limited_Col!$AH274," ")</f>
        <v>126.25004076872689</v>
      </c>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row>
    <row r="275" spans="1:109">
      <c r="A275" s="26" t="s">
        <v>641</v>
      </c>
      <c r="B275" s="26" t="s">
        <v>24</v>
      </c>
      <c r="C275" s="157" t="s">
        <v>1722</v>
      </c>
      <c r="D275" s="26" t="s">
        <v>1707</v>
      </c>
      <c r="E275" s="26" t="s">
        <v>237</v>
      </c>
      <c r="F275" s="26" t="s">
        <v>639</v>
      </c>
      <c r="G275" s="26" t="s">
        <v>640</v>
      </c>
      <c r="H275" s="30"/>
      <c r="I275" s="26" t="s">
        <v>712</v>
      </c>
      <c r="J275" s="26" t="s">
        <v>635</v>
      </c>
      <c r="K275" s="26" t="s">
        <v>642</v>
      </c>
      <c r="L275" s="26"/>
      <c r="M275" s="26" t="s">
        <v>623</v>
      </c>
      <c r="N275" s="26" t="s">
        <v>1084</v>
      </c>
      <c r="O275" s="95">
        <v>23.088455772113946</v>
      </c>
      <c r="P275" s="95">
        <v>1.5992003998001003</v>
      </c>
      <c r="Q275" s="95">
        <v>3.8780609695152428</v>
      </c>
      <c r="R275" s="95">
        <v>13.793103448275865</v>
      </c>
      <c r="S275" s="95">
        <v>14.69265367316342</v>
      </c>
      <c r="T275" s="95">
        <v>37.381309345327338</v>
      </c>
      <c r="U275" s="95">
        <v>0</v>
      </c>
      <c r="V275" s="95">
        <v>0.7096451774112944</v>
      </c>
      <c r="W275" s="95">
        <v>2.7886056971514246</v>
      </c>
      <c r="X275" s="95">
        <v>2.0689655172413794</v>
      </c>
      <c r="Y275" s="95">
        <v>0</v>
      </c>
      <c r="Z275" s="95">
        <v>100</v>
      </c>
      <c r="AA275" s="26"/>
      <c r="AB275" s="26"/>
      <c r="AC275" s="26">
        <f t="shared" si="5"/>
        <v>23149.256173327893</v>
      </c>
      <c r="AD275" s="26">
        <f>IFERROR($AC275*HDF_Limited_Col!AD275/HDF_Limited_Col!$AH275," ")</f>
        <v>16073.570857643559</v>
      </c>
      <c r="AE275" s="26">
        <f>IFERROR($AC275*HDF_Limited_Col!AE275/HDF_Limited_Col!$AH275," ")</f>
        <v>11251.499600350493</v>
      </c>
      <c r="AF275" s="26">
        <f>IFERROR($AC275*HDF_Limited_Col!AF275/HDF_Limited_Col!$AH275," ")</f>
        <v>2477.3183950698067</v>
      </c>
      <c r="AG275" s="26">
        <f>IFERROR($AC275*HDF_Limited_Col!AG275/HDF_Limited_Col!$AH275," ")</f>
        <v>2941.2977600327135</v>
      </c>
      <c r="AH275" s="26">
        <f>IFERROR($AC275*HDF_Limited_Col!AH275/HDF_Limited_Col!$AH275," ")</f>
        <v>23149.256173327893</v>
      </c>
      <c r="AI275" s="26">
        <f>IFERROR($AC275*HDF_Limited_Col!AI275/HDF_Limited_Col!$AH275," ")</f>
        <v>35819.621242426561</v>
      </c>
      <c r="AJ275" s="26">
        <f>IFERROR($AC275*HDF_Limited_Col!AJ275/HDF_Limited_Col!$AH275," ")</f>
        <v>2901.9423674688951</v>
      </c>
      <c r="AK275" s="26">
        <f>IFERROR($AC275*HDF_Limited_Col!AK275/HDF_Limited_Col!$AH275," ")</f>
        <v>432.90931820199791</v>
      </c>
      <c r="AL275" s="26">
        <f>IFERROR($AC275*HDF_Limited_Col!AL275/HDF_Limited_Col!$AH275," ")</f>
        <v>577.90286975290644</v>
      </c>
      <c r="AM275" s="26">
        <f>IFERROR($AC275*HDF_Limited_Col!AM275/HDF_Limited_Col!$AH275," ")</f>
        <v>13271.052639809572</v>
      </c>
      <c r="AN275" s="26">
        <f>IFERROR($AC275*HDF_Limited_Col!AN275/HDF_Limited_Col!$AH275," ")</f>
        <v>10.770949543781766</v>
      </c>
      <c r="AO275" s="26">
        <f>IFERROR($AC275*HDF_Limited_Col!AO275/HDF_Limited_Col!$AH275," ")</f>
        <v>50.540609397745222</v>
      </c>
      <c r="AP275" s="26">
        <f>IFERROR($AC275*HDF_Limited_Col!AP275/HDF_Limited_Col!$AH275," ")</f>
        <v>167.77825250890831</v>
      </c>
      <c r="AQ275" s="26">
        <f>IFERROR($AC275*HDF_Limited_Col!AQ275/HDF_Limited_Col!$AH275," ")</f>
        <v>7.2496775775454214</v>
      </c>
      <c r="AR275" s="26">
        <f>IFERROR($AC275*HDF_Limited_Col!AR275/HDF_Limited_Col!$AH275," ")</f>
        <v>6.2140093521817885</v>
      </c>
      <c r="AS275" s="26">
        <f>IFERROR($AC275*HDF_Limited_Col!AS275/HDF_Limited_Col!$AH275," ")</f>
        <v>0</v>
      </c>
      <c r="AT275" s="26">
        <f>IFERROR($AC275*HDF_Limited_Col!AT275/HDF_Limited_Col!$AH275," ")</f>
        <v>0</v>
      </c>
      <c r="AU275" s="26">
        <f>IFERROR($AC275*HDF_Limited_Col!AU275/HDF_Limited_Col!$AH275," ")</f>
        <v>0</v>
      </c>
      <c r="AV275" s="26">
        <f>IFERROR($AC275*HDF_Limited_Col!AV275/HDF_Limited_Col!$AH275," ")</f>
        <v>0</v>
      </c>
      <c r="AW275" s="26">
        <f>IFERROR($AC275*HDF_Limited_Col!AW275/HDF_Limited_Col!$AH275," ")</f>
        <v>0</v>
      </c>
      <c r="AX275" s="26">
        <f>IFERROR($AC275*HDF_Limited_Col!AX275/HDF_Limited_Col!$AH275," ")</f>
        <v>64.625697262690608</v>
      </c>
      <c r="AY275" s="26">
        <f>IFERROR($AC275*HDF_Limited_Col!AY275/HDF_Limited_Col!$AH275," ")</f>
        <v>606.90158006308809</v>
      </c>
      <c r="AZ275" s="26">
        <f>IFERROR($AC275*HDF_Limited_Col!AZ275/HDF_Limited_Col!$AH275," ")</f>
        <v>7.6639448676908737</v>
      </c>
      <c r="BA275" s="26">
        <f>IFERROR($AC275*HDF_Limited_Col!BA275/HDF_Limited_Col!$AH275," ")</f>
        <v>49.297807527308855</v>
      </c>
      <c r="BB275" s="26">
        <f>IFERROR($AC275*HDF_Limited_Col!BB275/HDF_Limited_Col!$AH275," ")</f>
        <v>0</v>
      </c>
      <c r="BC275" s="26">
        <f>IFERROR($AC275*HDF_Limited_Col!BC275/HDF_Limited_Col!$AH275," ")</f>
        <v>188.07734972603549</v>
      </c>
      <c r="BD275" s="26">
        <f>IFERROR($AC275*HDF_Limited_Col!BD275/HDF_Limited_Col!$AH275," ")</f>
        <v>0</v>
      </c>
      <c r="BE275" s="26">
        <f>IFERROR($AC275*HDF_Limited_Col!BE275/HDF_Limited_Col!$AH275," ")</f>
        <v>0</v>
      </c>
      <c r="BF275" s="26">
        <f>IFERROR($AC275*HDF_Limited_Col!BF275/HDF_Limited_Col!$AH275," ")</f>
        <v>0</v>
      </c>
      <c r="BG275" s="26">
        <f>IFERROR($AC275*HDF_Limited_Col!BG275/HDF_Limited_Col!$AH275," ")</f>
        <v>0</v>
      </c>
      <c r="BH275" s="26">
        <f>IFERROR($AC275*HDF_Limited_Col!BH275/HDF_Limited_Col!$AH275," ")</f>
        <v>1.2428018704363579</v>
      </c>
      <c r="BI275" s="26">
        <f>IFERROR($AC275*HDF_Limited_Col!BI275/HDF_Limited_Col!$AH275," ")</f>
        <v>2839.802273947078</v>
      </c>
      <c r="BJ275" s="26">
        <f>IFERROR($AC275*HDF_Limited_Col!BJ275/HDF_Limited_Col!$AH275," ")</f>
        <v>26.305972924236244</v>
      </c>
      <c r="BK275" s="26">
        <f>IFERROR($AC275*HDF_Limited_Col!BK275/HDF_Limited_Col!$AH275," ")</f>
        <v>140.64374500438117</v>
      </c>
      <c r="BL275" s="26">
        <f>IFERROR($AC275*HDF_Limited_Col!BL275/HDF_Limited_Col!$AH275," ")</f>
        <v>173.78512821601734</v>
      </c>
      <c r="BM275" s="26">
        <f>IFERROR($AC275*HDF_Limited_Col!BM275/HDF_Limited_Col!$AH275," ")</f>
        <v>18.849161701618094</v>
      </c>
      <c r="BN275" s="26">
        <f>IFERROR($AC275*HDF_Limited_Col!BN275/HDF_Limited_Col!$AH275," ")</f>
        <v>58.825955200654263</v>
      </c>
      <c r="BO275" s="26">
        <f>IFERROR($AC275*HDF_Limited_Col!BO275/HDF_Limited_Col!$AH275," ")</f>
        <v>4.3498065465272528</v>
      </c>
      <c r="BP275" s="26">
        <f>IFERROR($AC275*HDF_Limited_Col!BP275/HDF_Limited_Col!$AH275," ")</f>
        <v>1.6570691605818104</v>
      </c>
      <c r="BQ275" s="26">
        <f>IFERROR($AC275*HDF_Limited_Col!BQ275/HDF_Limited_Col!$AH275," ")</f>
        <v>4.5569401915999785</v>
      </c>
      <c r="BR275" s="26">
        <f>IFERROR($AC275*HDF_Limited_Col!BR275/HDF_Limited_Col!$AH275," ")</f>
        <v>2.2784700957999893</v>
      </c>
      <c r="BS275" s="26">
        <f>IFERROR($AC275*HDF_Limited_Col!BS275/HDF_Limited_Col!$AH275," ")</f>
        <v>0.82853458029090521</v>
      </c>
      <c r="BT275" s="26">
        <f>IFERROR($AC275*HDF_Limited_Col!BT275/HDF_Limited_Col!$AH275," ")</f>
        <v>3.1070046760908943</v>
      </c>
      <c r="BU275" s="26">
        <f>IFERROR($AC275*HDF_Limited_Col!BU275/HDF_Limited_Col!$AH275," ")</f>
        <v>0</v>
      </c>
      <c r="BV275" s="26">
        <f>IFERROR($AC275*HDF_Limited_Col!BV275/HDF_Limited_Col!$AH275," ")</f>
        <v>3.7284056113090731</v>
      </c>
      <c r="BW275" s="26">
        <f>IFERROR($AC275*HDF_Limited_Col!BW275/HDF_Limited_Col!$AH275," ")</f>
        <v>0.62140093521817896</v>
      </c>
      <c r="BX275" s="26">
        <f>IFERROR($AC275*HDF_Limited_Col!BX275/HDF_Limited_Col!$AH275," ")</f>
        <v>2.0713364507272631</v>
      </c>
      <c r="BY275" s="26">
        <f>IFERROR($AC275*HDF_Limited_Col!BY275/HDF_Limited_Col!$AH275," ")</f>
        <v>7.8710785127635994</v>
      </c>
      <c r="BZ275" s="26">
        <f>IFERROR($AC275*HDF_Limited_Col!BZ275/HDF_Limited_Col!$AH275," ")</f>
        <v>10.356682253636317</v>
      </c>
      <c r="CA275" s="26">
        <f>IFERROR($AC275*HDF_Limited_Col!CA275/HDF_Limited_Col!$AH275," ")</f>
        <v>12.428018704363577</v>
      </c>
      <c r="CB275" s="26">
        <f>IFERROR($AC275*HDF_Limited_Col!CB275/HDF_Limited_Col!$AH275," ")</f>
        <v>25.891705634090787</v>
      </c>
      <c r="CC275" s="26">
        <f>IFERROR($AC275*HDF_Limited_Col!CC275/HDF_Limited_Col!$AH275," ")</f>
        <v>3.5212719662363474</v>
      </c>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row>
    <row r="276" spans="1:109">
      <c r="A276" s="26" t="s">
        <v>641</v>
      </c>
      <c r="B276" s="26" t="s">
        <v>24</v>
      </c>
      <c r="C276" s="157" t="s">
        <v>1722</v>
      </c>
      <c r="D276" s="26" t="s">
        <v>1707</v>
      </c>
      <c r="E276" s="26" t="s">
        <v>237</v>
      </c>
      <c r="F276" s="26" t="s">
        <v>639</v>
      </c>
      <c r="G276" s="26" t="s">
        <v>640</v>
      </c>
      <c r="H276" s="30"/>
      <c r="I276" s="26" t="s">
        <v>712</v>
      </c>
      <c r="J276" s="26" t="s">
        <v>635</v>
      </c>
      <c r="K276" s="26" t="s">
        <v>642</v>
      </c>
      <c r="L276" s="26"/>
      <c r="M276" s="26" t="s">
        <v>624</v>
      </c>
      <c r="N276" s="26" t="s">
        <v>1084</v>
      </c>
      <c r="O276" s="95">
        <v>27.559254340361704</v>
      </c>
      <c r="P276" s="95">
        <v>1.7437491837174315</v>
      </c>
      <c r="Q276" s="95">
        <v>4.5297392588521781</v>
      </c>
      <c r="R276" s="95">
        <v>5.0207950634622591</v>
      </c>
      <c r="S276" s="95">
        <v>14.631458667973849</v>
      </c>
      <c r="T276" s="95">
        <v>33.973044441391338</v>
      </c>
      <c r="U276" s="95">
        <v>0</v>
      </c>
      <c r="V276" s="95">
        <v>3.778123231387768</v>
      </c>
      <c r="W276" s="95">
        <v>2.7058176988718765</v>
      </c>
      <c r="X276" s="95">
        <v>5.1811398159879998</v>
      </c>
      <c r="Y276" s="95">
        <v>1.1324348147130445</v>
      </c>
      <c r="Z276" s="95">
        <v>100.25555651671947</v>
      </c>
      <c r="AA276" s="26"/>
      <c r="AB276" s="26"/>
      <c r="AC276" s="26">
        <f t="shared" si="5"/>
        <v>22462.002115786527</v>
      </c>
      <c r="AD276" s="26">
        <f>IFERROR($AC276*HDF_Limited_Col!AD276/HDF_Limited_Col!$AH276," ")</f>
        <v>27519.484353177453</v>
      </c>
      <c r="AE276" s="26">
        <f>IFERROR($AC276*HDF_Limited_Col!AE276/HDF_Limited_Col!$AH276," ")</f>
        <v>36970.477696234804</v>
      </c>
      <c r="AF276" s="26">
        <f>IFERROR($AC276*HDF_Limited_Col!AF276/HDF_Limited_Col!$AH276," ")</f>
        <v>3154.5692279592022</v>
      </c>
      <c r="AG276" s="26">
        <f>IFERROR($AC276*HDF_Limited_Col!AG276/HDF_Limited_Col!$AH276," ")</f>
        <v>11089.730604334858</v>
      </c>
      <c r="AH276" s="26">
        <f>IFERROR($AC276*HDF_Limited_Col!AH276/HDF_Limited_Col!$AH276," ")</f>
        <v>22462.002115786527</v>
      </c>
      <c r="AI276" s="26">
        <f>IFERROR($AC276*HDF_Limited_Col!AI276/HDF_Limited_Col!$AH276," ")</f>
        <v>66199.334537468967</v>
      </c>
      <c r="AJ276" s="26">
        <f>IFERROR($AC276*HDF_Limited_Col!AJ276/HDF_Limited_Col!$AH276," ")</f>
        <v>4845.5765570533194</v>
      </c>
      <c r="AK276" s="26">
        <f>IFERROR($AC276*HDF_Limited_Col!AK276/HDF_Limited_Col!$AH276," ")</f>
        <v>2783.0279351005947</v>
      </c>
      <c r="AL276" s="26">
        <f>IFERROR($AC276*HDF_Limited_Col!AL276/HDF_Limited_Col!$AH276," ")</f>
        <v>497.27199652558846</v>
      </c>
      <c r="AM276" s="26">
        <f>IFERROR($AC276*HDF_Limited_Col!AM276/HDF_Limited_Col!$AH276," ")</f>
        <v>7148.2849500553339</v>
      </c>
      <c r="AN276" s="26">
        <f>IFERROR($AC276*HDF_Limited_Col!AN276/HDF_Limited_Col!$AH276," ")</f>
        <v>114.42906738230873</v>
      </c>
      <c r="AO276" s="26">
        <f>IFERROR($AC276*HDF_Limited_Col!AO276/HDF_Limited_Col!$AH276," ")</f>
        <v>302.31877061498841</v>
      </c>
      <c r="AP276" s="26">
        <f>IFERROR($AC276*HDF_Limited_Col!AP276/HDF_Limited_Col!$AH276," ")</f>
        <v>649.84408636866681</v>
      </c>
      <c r="AQ276" s="26">
        <f>IFERROR($AC276*HDF_Limited_Col!AQ276/HDF_Limited_Col!$AH276," ")</f>
        <v>12.714340820256524</v>
      </c>
      <c r="AR276" s="26">
        <f>IFERROR($AC276*HDF_Limited_Col!AR276/HDF_Limited_Col!$AH276," ")</f>
        <v>31.079499782849279</v>
      </c>
      <c r="AS276" s="26">
        <f>IFERROR($AC276*HDF_Limited_Col!AS276/HDF_Limited_Col!$AH276," ")</f>
        <v>0</v>
      </c>
      <c r="AT276" s="26">
        <f>IFERROR($AC276*HDF_Limited_Col!AT276/HDF_Limited_Col!$AH276," ")</f>
        <v>0</v>
      </c>
      <c r="AU276" s="26">
        <f>IFERROR($AC276*HDF_Limited_Col!AU276/HDF_Limited_Col!$AH276," ")</f>
        <v>0</v>
      </c>
      <c r="AV276" s="26">
        <f>IFERROR($AC276*HDF_Limited_Col!AV276/HDF_Limited_Col!$AH276," ")</f>
        <v>0</v>
      </c>
      <c r="AW276" s="26">
        <f>IFERROR($AC276*HDF_Limited_Col!AW276/HDF_Limited_Col!$AH276," ")</f>
        <v>0</v>
      </c>
      <c r="AX276" s="26">
        <f>IFERROR($AC276*HDF_Limited_Col!AX276/HDF_Limited_Col!$AH276," ")</f>
        <v>18.365158962592755</v>
      </c>
      <c r="AY276" s="26">
        <f>IFERROR($AC276*HDF_Limited_Col!AY276/HDF_Limited_Col!$AH276," ")</f>
        <v>1607.6577614946582</v>
      </c>
      <c r="AZ276" s="26">
        <f>IFERROR($AC276*HDF_Limited_Col!AZ276/HDF_Limited_Col!$AH276," ")</f>
        <v>7.0635226779202913</v>
      </c>
      <c r="BA276" s="26">
        <f>IFERROR($AC276*HDF_Limited_Col!BA276/HDF_Limited_Col!$AH276," ")</f>
        <v>105.95284016880437</v>
      </c>
      <c r="BB276" s="26">
        <f>IFERROR($AC276*HDF_Limited_Col!BB276/HDF_Limited_Col!$AH276," ")</f>
        <v>0</v>
      </c>
      <c r="BC276" s="26">
        <f>IFERROR($AC276*HDF_Limited_Col!BC276/HDF_Limited_Col!$AH276," ")</f>
        <v>562.25640516245528</v>
      </c>
      <c r="BD276" s="26">
        <f>IFERROR($AC276*HDF_Limited_Col!BD276/HDF_Limited_Col!$AH276," ")</f>
        <v>0</v>
      </c>
      <c r="BE276" s="26">
        <f>IFERROR($AC276*HDF_Limited_Col!BE276/HDF_Limited_Col!$AH276," ")</f>
        <v>0</v>
      </c>
      <c r="BF276" s="26">
        <f>IFERROR($AC276*HDF_Limited_Col!BF276/HDF_Limited_Col!$AH276," ")</f>
        <v>0</v>
      </c>
      <c r="BG276" s="26">
        <f>IFERROR($AC276*HDF_Limited_Col!BG276/HDF_Limited_Col!$AH276," ")</f>
        <v>0</v>
      </c>
      <c r="BH276" s="26">
        <f>IFERROR($AC276*HDF_Limited_Col!BH276/HDF_Limited_Col!$AH276," ")</f>
        <v>5.6508181423362336</v>
      </c>
      <c r="BI276" s="26">
        <f>IFERROR($AC276*HDF_Limited_Col!BI276/HDF_Limited_Col!$AH276," ")</f>
        <v>4605.4167860040297</v>
      </c>
      <c r="BJ276" s="26">
        <f>IFERROR($AC276*HDF_Limited_Col!BJ276/HDF_Limited_Col!$AH276," ")</f>
        <v>93.238499348547847</v>
      </c>
      <c r="BK276" s="26">
        <f>IFERROR($AC276*HDF_Limited_Col!BK276/HDF_Limited_Col!$AH276," ")</f>
        <v>509.98633734584502</v>
      </c>
      <c r="BL276" s="26">
        <f>IFERROR($AC276*HDF_Limited_Col!BL276/HDF_Limited_Col!$AH276," ")</f>
        <v>534.00231445077407</v>
      </c>
      <c r="BM276" s="26">
        <f>IFERROR($AC276*HDF_Limited_Col!BM276/HDF_Limited_Col!$AH276," ")</f>
        <v>49.444658745442048</v>
      </c>
      <c r="BN276" s="26">
        <f>IFERROR($AC276*HDF_Limited_Col!BN276/HDF_Limited_Col!$AH276," ")</f>
        <v>180.82618055475947</v>
      </c>
      <c r="BO276" s="26">
        <f>IFERROR($AC276*HDF_Limited_Col!BO276/HDF_Limited_Col!$AH276," ")</f>
        <v>35.317613389601455</v>
      </c>
      <c r="BP276" s="26">
        <f>IFERROR($AC276*HDF_Limited_Col!BP276/HDF_Limited_Col!$AH276," ")</f>
        <v>9.8889317490884086</v>
      </c>
      <c r="BQ276" s="26">
        <f>IFERROR($AC276*HDF_Limited_Col!BQ276/HDF_Limited_Col!$AH276," ")</f>
        <v>24.015977104928989</v>
      </c>
      <c r="BR276" s="26">
        <f>IFERROR($AC276*HDF_Limited_Col!BR276/HDF_Limited_Col!$AH276," ")</f>
        <v>16.9524544270087</v>
      </c>
      <c r="BS276" s="26">
        <f>IFERROR($AC276*HDF_Limited_Col!BS276/HDF_Limited_Col!$AH276," ")</f>
        <v>5.6508181423362336</v>
      </c>
      <c r="BT276" s="26">
        <f>IFERROR($AC276*HDF_Limited_Col!BT276/HDF_Limited_Col!$AH276," ")</f>
        <v>22.603272569344934</v>
      </c>
      <c r="BU276" s="26">
        <f>IFERROR($AC276*HDF_Limited_Col!BU276/HDF_Limited_Col!$AH276," ")</f>
        <v>0</v>
      </c>
      <c r="BV276" s="26">
        <f>IFERROR($AC276*HDF_Limited_Col!BV276/HDF_Limited_Col!$AH276," ")</f>
        <v>31.079499782849279</v>
      </c>
      <c r="BW276" s="26">
        <f>IFERROR($AC276*HDF_Limited_Col!BW276/HDF_Limited_Col!$AH276," ")</f>
        <v>5.6508181423362336</v>
      </c>
      <c r="BX276" s="26">
        <f>IFERROR($AC276*HDF_Limited_Col!BX276/HDF_Limited_Col!$AH276," ")</f>
        <v>19.777863498176817</v>
      </c>
      <c r="BY276" s="26">
        <f>IFERROR($AC276*HDF_Limited_Col!BY276/HDF_Limited_Col!$AH276," ")</f>
        <v>21.190568033760872</v>
      </c>
      <c r="BZ276" s="26">
        <f>IFERROR($AC276*HDF_Limited_Col!BZ276/HDF_Limited_Col!$AH276," ")</f>
        <v>70.63522677920291</v>
      </c>
      <c r="CA276" s="26">
        <f>IFERROR($AC276*HDF_Limited_Col!CA276/HDF_Limited_Col!$AH276," ")</f>
        <v>46.619249674273924</v>
      </c>
      <c r="CB276" s="26">
        <f>IFERROR($AC276*HDF_Limited_Col!CB276/HDF_Limited_Col!$AH276," ")</f>
        <v>98.889317490884096</v>
      </c>
      <c r="CC276" s="26">
        <f>IFERROR($AC276*HDF_Limited_Col!CC276/HDF_Limited_Col!$AH276," ")</f>
        <v>11.301636284672467</v>
      </c>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row>
    <row r="277" spans="1:109">
      <c r="A277" s="26" t="s">
        <v>672</v>
      </c>
      <c r="B277" s="26" t="s">
        <v>24</v>
      </c>
      <c r="C277" s="157" t="s">
        <v>1722</v>
      </c>
      <c r="D277" s="26" t="s">
        <v>1723</v>
      </c>
      <c r="E277" s="26" t="s">
        <v>237</v>
      </c>
      <c r="F277" s="26" t="s">
        <v>29</v>
      </c>
      <c r="G277" s="26" t="s">
        <v>595</v>
      </c>
      <c r="H277" s="30">
        <v>360</v>
      </c>
      <c r="I277" s="26" t="s">
        <v>735</v>
      </c>
      <c r="J277" s="26" t="s">
        <v>1496</v>
      </c>
      <c r="K277" s="26"/>
      <c r="L277" s="26"/>
      <c r="M277" s="26" t="s">
        <v>73</v>
      </c>
      <c r="N277" s="26">
        <v>24</v>
      </c>
      <c r="O277" s="95">
        <v>22.393563768833978</v>
      </c>
      <c r="P277" s="95">
        <v>5.5522925721445633</v>
      </c>
      <c r="Q277" s="95">
        <v>7.0889049076089252</v>
      </c>
      <c r="R277" s="95">
        <v>30.414680159957953</v>
      </c>
      <c r="S277" s="95">
        <v>7.7650143352132455</v>
      </c>
      <c r="T277" s="95">
        <v>7.0274404141903517</v>
      </c>
      <c r="U277" s="95">
        <v>0</v>
      </c>
      <c r="V277" s="95">
        <v>3.6981136873508991</v>
      </c>
      <c r="W277" s="95">
        <v>12.8563232067185</v>
      </c>
      <c r="X277" s="95">
        <v>1.823446638084377</v>
      </c>
      <c r="Y277" s="95">
        <v>1.7824703091386607</v>
      </c>
      <c r="Z277" s="95">
        <v>100.40224999924146</v>
      </c>
      <c r="AA277" s="26"/>
      <c r="AB277" s="26"/>
      <c r="AC277" s="26">
        <f t="shared" si="5"/>
        <v>106725.13495308479</v>
      </c>
      <c r="AD277" s="26">
        <f>IFERROR($AC277*HDF_Limited_Col!AD277/HDF_Limited_Col!$AH277," ")</f>
        <v>22643.348690263465</v>
      </c>
      <c r="AE277" s="26">
        <f>IFERROR($AC277*HDF_Limited_Col!AE277/HDF_Limited_Col!$AH277," ")</f>
        <v>46832.318451534673</v>
      </c>
      <c r="AF277" s="26">
        <f>IFERROR($AC277*HDF_Limited_Col!AF277/HDF_Limited_Col!$AH277," ")</f>
        <v>10973.909604154989</v>
      </c>
      <c r="AG277" s="26">
        <f>IFERROR($AC277*HDF_Limited_Col!AG277/HDF_Limited_Col!$AH277," ")</f>
        <v>0</v>
      </c>
      <c r="AH277" s="26">
        <f>IFERROR($AC277*HDF_Limited_Col!AH277/HDF_Limited_Col!$AH277," ")</f>
        <v>106725.13495308479</v>
      </c>
      <c r="AI277" s="26">
        <f>IFERROR($AC277*HDF_Limited_Col!AI277/HDF_Limited_Col!$AH277," ")</f>
        <v>54714.985913674172</v>
      </c>
      <c r="AJ277" s="26">
        <f>IFERROR($AC277*HDF_Limited_Col!AJ277/HDF_Limited_Col!$AH277," ")</f>
        <v>14373.503149836524</v>
      </c>
      <c r="AK277" s="26">
        <f>IFERROR($AC277*HDF_Limited_Col!AK277/HDF_Limited_Col!$AH277," ")</f>
        <v>0</v>
      </c>
      <c r="AL277" s="26">
        <f>IFERROR($AC277*HDF_Limited_Col!AL277/HDF_Limited_Col!$AH277," ")</f>
        <v>693.98386088247753</v>
      </c>
      <c r="AM277" s="26">
        <f>IFERROR($AC277*HDF_Limited_Col!AM277/HDF_Limited_Col!$AH277," ")</f>
        <v>56878.85541308501</v>
      </c>
      <c r="AN277" s="26">
        <f>IFERROR($AC277*HDF_Limited_Col!AN277/HDF_Limited_Col!$AH277," ")</f>
        <v>73.571562979968661</v>
      </c>
      <c r="AO277" s="26">
        <f>IFERROR($AC277*HDF_Limited_Col!AO277/HDF_Limited_Col!$AH277," ")</f>
        <v>310.66983527255672</v>
      </c>
      <c r="AP277" s="26">
        <f>IFERROR($AC277*HDF_Limited_Col!AP277/HDF_Limited_Col!$AH277," ")</f>
        <v>0</v>
      </c>
      <c r="AQ277" s="26">
        <f>IFERROR($AC277*HDF_Limited_Col!AQ277/HDF_Limited_Col!$AH277," ")</f>
        <v>35.472003579627753</v>
      </c>
      <c r="AR277" s="26">
        <f>IFERROR($AC277*HDF_Limited_Col!AR277/HDF_Limited_Col!$AH277," ")</f>
        <v>23.416159225767338</v>
      </c>
      <c r="AS277" s="26">
        <f>IFERROR($AC277*HDF_Limited_Col!AS277/HDF_Limited_Col!$AH277," ")</f>
        <v>0</v>
      </c>
      <c r="AT277" s="26">
        <f>IFERROR($AC277*HDF_Limited_Col!AT277/HDF_Limited_Col!$AH277," ")</f>
        <v>0</v>
      </c>
      <c r="AU277" s="26">
        <f>IFERROR($AC277*HDF_Limited_Col!AU277/HDF_Limited_Col!$AH277," ")</f>
        <v>0</v>
      </c>
      <c r="AV277" s="26">
        <f>IFERROR($AC277*HDF_Limited_Col!AV277/HDF_Limited_Col!$AH277," ")</f>
        <v>0</v>
      </c>
      <c r="AW277" s="26">
        <f>IFERROR($AC277*HDF_Limited_Col!AW277/HDF_Limited_Col!$AH277," ")</f>
        <v>0</v>
      </c>
      <c r="AX277" s="26">
        <f>IFERROR($AC277*HDF_Limited_Col!AX277/HDF_Limited_Col!$AH277," ")</f>
        <v>360.1297095448046</v>
      </c>
      <c r="AY277" s="26">
        <f>IFERROR($AC277*HDF_Limited_Col!AY277/HDF_Limited_Col!$AH277," ")</f>
        <v>2042.5382453367349</v>
      </c>
      <c r="AZ277" s="26">
        <f>IFERROR($AC277*HDF_Limited_Col!AZ277/HDF_Limited_Col!$AH277," ")</f>
        <v>16.769988620434034</v>
      </c>
      <c r="BA277" s="26">
        <f>IFERROR($AC277*HDF_Limited_Col!BA277/HDF_Limited_Col!$AH277," ")</f>
        <v>223.26496370706874</v>
      </c>
      <c r="BB277" s="26">
        <f>IFERROR($AC277*HDF_Limited_Col!BB277/HDF_Limited_Col!$AH277," ")</f>
        <v>0</v>
      </c>
      <c r="BC277" s="26">
        <f>IFERROR($AC277*HDF_Limited_Col!BC277/HDF_Limited_Col!$AH277," ")</f>
        <v>754.95861213373303</v>
      </c>
      <c r="BD277" s="26">
        <f>IFERROR($AC277*HDF_Limited_Col!BD277/HDF_Limited_Col!$AH277," ")</f>
        <v>0</v>
      </c>
      <c r="BE277" s="26">
        <f>IFERROR($AC277*HDF_Limited_Col!BE277/HDF_Limited_Col!$AH277," ")</f>
        <v>0</v>
      </c>
      <c r="BF277" s="26">
        <f>IFERROR($AC277*HDF_Limited_Col!BF277/HDF_Limited_Col!$AH277," ")</f>
        <v>0</v>
      </c>
      <c r="BG277" s="26">
        <f>IFERROR($AC277*HDF_Limited_Col!BG277/HDF_Limited_Col!$AH277," ")</f>
        <v>0</v>
      </c>
      <c r="BH277" s="26">
        <f>IFERROR($AC277*HDF_Limited_Col!BH277/HDF_Limited_Col!$AH277," ")</f>
        <v>5.873360069829431</v>
      </c>
      <c r="BI277" s="26">
        <f>IFERROR($AC277*HDF_Limited_Col!BI277/HDF_Limited_Col!$AH277," ")</f>
        <v>4904.2556583075757</v>
      </c>
      <c r="BJ277" s="26">
        <f>IFERROR($AC277*HDF_Limited_Col!BJ277/HDF_Limited_Col!$AH277," ")</f>
        <v>78.826674621395</v>
      </c>
      <c r="BK277" s="26">
        <f>IFERROR($AC277*HDF_Limited_Col!BK277/HDF_Limited_Col!$AH277," ")</f>
        <v>295.21362456247931</v>
      </c>
      <c r="BL277" s="26">
        <f>IFERROR($AC277*HDF_Limited_Col!BL277/HDF_Limited_Col!$AH277," ")</f>
        <v>407.27115221054078</v>
      </c>
      <c r="BM277" s="26">
        <f>IFERROR($AC277*HDF_Limited_Col!BM277/HDF_Limited_Col!$AH277," ")</f>
        <v>44.745730005674218</v>
      </c>
      <c r="BN277" s="26">
        <f>IFERROR($AC277*HDF_Limited_Col!BN277/HDF_Limited_Col!$AH277," ")</f>
        <v>141.42432799720868</v>
      </c>
      <c r="BO277" s="26">
        <f>IFERROR($AC277*HDF_Limited_Col!BO277/HDF_Limited_Col!$AH277," ")</f>
        <v>15.1470864958759</v>
      </c>
      <c r="BP277" s="26">
        <f>IFERROR($AC277*HDF_Limited_Col!BP277/HDF_Limited_Col!$AH277," ")</f>
        <v>5.3323926949767211</v>
      </c>
      <c r="BQ277" s="26">
        <f>IFERROR($AC277*HDF_Limited_Col!BQ277/HDF_Limited_Col!$AH277," ")</f>
        <v>10.046536961550343</v>
      </c>
      <c r="BR277" s="26">
        <f>IFERROR($AC277*HDF_Limited_Col!BR277/HDF_Limited_Col!$AH277," ")</f>
        <v>7.6508243014883375</v>
      </c>
      <c r="BS277" s="26">
        <f>IFERROR($AC277*HDF_Limited_Col!BS277/HDF_Limited_Col!$AH277," ")</f>
        <v>2.7821179278139407</v>
      </c>
      <c r="BT277" s="26">
        <f>IFERROR($AC277*HDF_Limited_Col!BT277/HDF_Limited_Col!$AH277," ")</f>
        <v>1.9320263387596814</v>
      </c>
      <c r="BU277" s="26">
        <f>IFERROR($AC277*HDF_Limited_Col!BU277/HDF_Limited_Col!$AH277," ")</f>
        <v>0</v>
      </c>
      <c r="BV277" s="26">
        <f>IFERROR($AC277*HDF_Limited_Col!BV277/HDF_Limited_Col!$AH277," ")</f>
        <v>3.8640526775193629</v>
      </c>
      <c r="BW277" s="26">
        <f>IFERROR($AC277*HDF_Limited_Col!BW277/HDF_Limited_Col!$AH277," ")</f>
        <v>1.5456210710077452</v>
      </c>
      <c r="BX277" s="26">
        <f>IFERROR($AC277*HDF_Limited_Col!BX277/HDF_Limited_Col!$AH277," ")</f>
        <v>9.660131693798407</v>
      </c>
      <c r="BY277" s="26">
        <f>IFERROR($AC277*HDF_Limited_Col!BY277/HDF_Limited_Col!$AH277," ")</f>
        <v>29.753205616899095</v>
      </c>
      <c r="BZ277" s="26">
        <f>IFERROR($AC277*HDF_Limited_Col!BZ277/HDF_Limited_Col!$AH277," ")</f>
        <v>0</v>
      </c>
      <c r="CA277" s="26">
        <f>IFERROR($AC277*HDF_Limited_Col!CA277/HDF_Limited_Col!$AH277," ")</f>
        <v>64.529679714573362</v>
      </c>
      <c r="CB277" s="26">
        <f>IFERROR($AC277*HDF_Limited_Col!CB277/HDF_Limited_Col!$AH277," ")</f>
        <v>45.595821594728477</v>
      </c>
      <c r="CC277" s="26">
        <f>IFERROR($AC277*HDF_Limited_Col!CC277/HDF_Limited_Col!$AH277," ")</f>
        <v>11.128471711255763</v>
      </c>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row>
    <row r="278" spans="1:109">
      <c r="A278" s="26" t="s">
        <v>672</v>
      </c>
      <c r="B278" s="26" t="s">
        <v>24</v>
      </c>
      <c r="C278" s="157" t="s">
        <v>1722</v>
      </c>
      <c r="D278" s="26" t="s">
        <v>1723</v>
      </c>
      <c r="E278" s="26" t="s">
        <v>237</v>
      </c>
      <c r="F278" s="26" t="s">
        <v>29</v>
      </c>
      <c r="G278" s="26" t="s">
        <v>595</v>
      </c>
      <c r="H278" s="30">
        <v>360</v>
      </c>
      <c r="I278" s="26" t="s">
        <v>735</v>
      </c>
      <c r="J278" s="26" t="s">
        <v>1496</v>
      </c>
      <c r="K278" s="26"/>
      <c r="L278" s="26"/>
      <c r="M278" s="26" t="s">
        <v>75</v>
      </c>
      <c r="N278" s="26">
        <v>24</v>
      </c>
      <c r="O278" s="95">
        <v>27.664493977779188</v>
      </c>
      <c r="P278" s="95">
        <v>2.7081976003367139</v>
      </c>
      <c r="Q278" s="95">
        <v>12.77451698272035</v>
      </c>
      <c r="R278" s="95">
        <v>28.696674949982992</v>
      </c>
      <c r="S278" s="95">
        <v>12.662101233272411</v>
      </c>
      <c r="T278" s="95">
        <v>5.8251797441204793</v>
      </c>
      <c r="U278" s="95">
        <v>0</v>
      </c>
      <c r="V278" s="95">
        <v>1.4307459020646789</v>
      </c>
      <c r="W278" s="95">
        <v>5.7536424490172458</v>
      </c>
      <c r="X278" s="95">
        <v>1.9621658085458455</v>
      </c>
      <c r="Y278" s="95">
        <v>0.6744944966876345</v>
      </c>
      <c r="Z278" s="95">
        <v>100.15221314452752</v>
      </c>
      <c r="AA278" s="26"/>
      <c r="AB278" s="26"/>
      <c r="AC278" s="26">
        <f t="shared" si="5"/>
        <v>47763.132348933657</v>
      </c>
      <c r="AD278" s="26">
        <f>IFERROR($AC278*HDF_Limited_Col!AD278/HDF_Limited_Col!$AH278," ")</f>
        <v>8684.2058816243025</v>
      </c>
      <c r="AE278" s="26">
        <f>IFERROR($AC278*HDF_Limited_Col!AE278/HDF_Limited_Col!$AH278," ")</f>
        <v>40815.767643634215</v>
      </c>
      <c r="AF278" s="26">
        <f>IFERROR($AC278*HDF_Limited_Col!AF278/HDF_Limited_Col!$AH278," ")</f>
        <v>40815.767643634215</v>
      </c>
      <c r="AG278" s="26">
        <f>IFERROR($AC278*HDF_Limited_Col!AG278/HDF_Limited_Col!$AH278," ")</f>
        <v>0</v>
      </c>
      <c r="AH278" s="26">
        <f>IFERROR($AC278*HDF_Limited_Col!AH278/HDF_Limited_Col!$AH278," ")</f>
        <v>47763.132348933657</v>
      </c>
      <c r="AI278" s="26">
        <f>IFERROR($AC278*HDF_Limited_Col!AI278/HDF_Limited_Col!$AH278," ")</f>
        <v>38210.505879146927</v>
      </c>
      <c r="AJ278" s="26">
        <f>IFERROR($AC278*HDF_Limited_Col!AJ278/HDF_Limited_Col!$AH278," ")</f>
        <v>5462.3654995416855</v>
      </c>
      <c r="AK278" s="26">
        <f>IFERROR($AC278*HDF_Limited_Col!AK278/HDF_Limited_Col!$AH278," ")</f>
        <v>0</v>
      </c>
      <c r="AL278" s="26">
        <f>IFERROR($AC278*HDF_Limited_Col!AL278/HDF_Limited_Col!$AH278," ")</f>
        <v>1094.209941084662</v>
      </c>
      <c r="AM278" s="26">
        <f>IFERROR($AC278*HDF_Limited_Col!AM278/HDF_Limited_Col!$AH278," ")</f>
        <v>56447.338230557958</v>
      </c>
      <c r="AN278" s="26">
        <f>IFERROR($AC278*HDF_Limited_Col!AN278/HDF_Limited_Col!$AH278," ")</f>
        <v>270.9472235066782</v>
      </c>
      <c r="AO278" s="26">
        <f>IFERROR($AC278*HDF_Limited_Col!AO278/HDF_Limited_Col!$AH278," ")</f>
        <v>147.63149998761313</v>
      </c>
      <c r="AP278" s="26">
        <f>IFERROR($AC278*HDF_Limited_Col!AP278/HDF_Limited_Col!$AH278," ")</f>
        <v>0</v>
      </c>
      <c r="AQ278" s="26">
        <f>IFERROR($AC278*HDF_Limited_Col!AQ278/HDF_Limited_Col!$AH278," ")</f>
        <v>46.894711760771223</v>
      </c>
      <c r="AR278" s="26">
        <f>IFERROR($AC278*HDF_Limited_Col!AR278/HDF_Limited_Col!$AH278," ")</f>
        <v>29.526299997522628</v>
      </c>
      <c r="AS278" s="26">
        <f>IFERROR($AC278*HDF_Limited_Col!AS278/HDF_Limited_Col!$AH278," ")</f>
        <v>0</v>
      </c>
      <c r="AT278" s="26">
        <f>IFERROR($AC278*HDF_Limited_Col!AT278/HDF_Limited_Col!$AH278," ")</f>
        <v>0</v>
      </c>
      <c r="AU278" s="26">
        <f>IFERROR($AC278*HDF_Limited_Col!AU278/HDF_Limited_Col!$AH278," ")</f>
        <v>0</v>
      </c>
      <c r="AV278" s="26">
        <f>IFERROR($AC278*HDF_Limited_Col!AV278/HDF_Limited_Col!$AH278," ")</f>
        <v>0</v>
      </c>
      <c r="AW278" s="26">
        <f>IFERROR($AC278*HDF_Limited_Col!AW278/HDF_Limited_Col!$AH278," ")</f>
        <v>0</v>
      </c>
      <c r="AX278" s="26">
        <f>IFERROR($AC278*HDF_Limited_Col!AX278/HDF_Limited_Col!$AH278," ")</f>
        <v>104.21047057949161</v>
      </c>
      <c r="AY278" s="26">
        <f>IFERROR($AC278*HDF_Limited_Col!AY278/HDF_Limited_Col!$AH278," ")</f>
        <v>1007.367882268419</v>
      </c>
      <c r="AZ278" s="26">
        <f>IFERROR($AC278*HDF_Limited_Col!AZ278/HDF_Limited_Col!$AH278," ")</f>
        <v>28.657879409360195</v>
      </c>
      <c r="BA278" s="26">
        <f>IFERROR($AC278*HDF_Limited_Col!BA278/HDF_Limited_Col!$AH278," ")</f>
        <v>144.15781763496341</v>
      </c>
      <c r="BB278" s="26">
        <f>IFERROR($AC278*HDF_Limited_Col!BB278/HDF_Limited_Col!$AH278," ")</f>
        <v>0</v>
      </c>
      <c r="BC278" s="26">
        <f>IFERROR($AC278*HDF_Limited_Col!BC278/HDF_Limited_Col!$AH278," ")</f>
        <v>153.71044410475014</v>
      </c>
      <c r="BD278" s="26">
        <f>IFERROR($AC278*HDF_Limited_Col!BD278/HDF_Limited_Col!$AH278," ")</f>
        <v>0</v>
      </c>
      <c r="BE278" s="26">
        <f>IFERROR($AC278*HDF_Limited_Col!BE278/HDF_Limited_Col!$AH278," ")</f>
        <v>0</v>
      </c>
      <c r="BF278" s="26">
        <f>IFERROR($AC278*HDF_Limited_Col!BF278/HDF_Limited_Col!$AH278," ")</f>
        <v>0</v>
      </c>
      <c r="BG278" s="26">
        <f>IFERROR($AC278*HDF_Limited_Col!BG278/HDF_Limited_Col!$AH278," ")</f>
        <v>0</v>
      </c>
      <c r="BH278" s="26">
        <f>IFERROR($AC278*HDF_Limited_Col!BH278/HDF_Limited_Col!$AH278," ")</f>
        <v>11.289467646111591</v>
      </c>
      <c r="BI278" s="26">
        <f>IFERROR($AC278*HDF_Limited_Col!BI278/HDF_Limited_Col!$AH278," ")</f>
        <v>3161.050940911246</v>
      </c>
      <c r="BJ278" s="26">
        <f>IFERROR($AC278*HDF_Limited_Col!BJ278/HDF_Limited_Col!$AH278," ")</f>
        <v>92.921002933380024</v>
      </c>
      <c r="BK278" s="26">
        <f>IFERROR($AC278*HDF_Limited_Col!BK278/HDF_Limited_Col!$AH278," ")</f>
        <v>182.3683235141103</v>
      </c>
      <c r="BL278" s="26">
        <f>IFERROR($AC278*HDF_Limited_Col!BL278/HDF_Limited_Col!$AH278," ")</f>
        <v>251.84197056710474</v>
      </c>
      <c r="BM278" s="26">
        <f>IFERROR($AC278*HDF_Limited_Col!BM278/HDF_Limited_Col!$AH278," ")</f>
        <v>36.47366470282207</v>
      </c>
      <c r="BN278" s="26">
        <f>IFERROR($AC278*HDF_Limited_Col!BN278/HDF_Limited_Col!$AH278," ")</f>
        <v>80.763114699106012</v>
      </c>
      <c r="BO278" s="26">
        <f>IFERROR($AC278*HDF_Limited_Col!BO278/HDF_Limited_Col!$AH278," ")</f>
        <v>17.368411763248602</v>
      </c>
      <c r="BP278" s="26">
        <f>IFERROR($AC278*HDF_Limited_Col!BP278/HDF_Limited_Col!$AH278," ")</f>
        <v>13.026308822436452</v>
      </c>
      <c r="BQ278" s="26">
        <f>IFERROR($AC278*HDF_Limited_Col!BQ278/HDF_Limited_Col!$AH278," ")</f>
        <v>13.894729410598883</v>
      </c>
      <c r="BR278" s="26">
        <f>IFERROR($AC278*HDF_Limited_Col!BR278/HDF_Limited_Col!$AH278," ")</f>
        <v>15.631570586923742</v>
      </c>
      <c r="BS278" s="26">
        <f>IFERROR($AC278*HDF_Limited_Col!BS278/HDF_Limited_Col!$AH278," ")</f>
        <v>11.289467646111591</v>
      </c>
      <c r="BT278" s="26">
        <f>IFERROR($AC278*HDF_Limited_Col!BT278/HDF_Limited_Col!$AH278," ")</f>
        <v>10.421047057949163</v>
      </c>
      <c r="BU278" s="26">
        <f>IFERROR($AC278*HDF_Limited_Col!BU278/HDF_Limited_Col!$AH278," ")</f>
        <v>0</v>
      </c>
      <c r="BV278" s="26">
        <f>IFERROR($AC278*HDF_Limited_Col!BV278/HDF_Limited_Col!$AH278," ")</f>
        <v>6.9473647052994414</v>
      </c>
      <c r="BW278" s="26">
        <f>IFERROR($AC278*HDF_Limited_Col!BW278/HDF_Limited_Col!$AH278," ")</f>
        <v>8.6842058816243011</v>
      </c>
      <c r="BX278" s="26">
        <f>IFERROR($AC278*HDF_Limited_Col!BX278/HDF_Limited_Col!$AH278," ")</f>
        <v>11.289467646111591</v>
      </c>
      <c r="BY278" s="26">
        <f>IFERROR($AC278*HDF_Limited_Col!BY278/HDF_Limited_Col!$AH278," ")</f>
        <v>11.289467646111591</v>
      </c>
      <c r="BZ278" s="26">
        <f>IFERROR($AC278*HDF_Limited_Col!BZ278/HDF_Limited_Col!$AH278," ")</f>
        <v>0</v>
      </c>
      <c r="CA278" s="26">
        <f>IFERROR($AC278*HDF_Limited_Col!CA278/HDF_Limited_Col!$AH278," ")</f>
        <v>52.105235289745806</v>
      </c>
      <c r="CB278" s="26">
        <f>IFERROR($AC278*HDF_Limited_Col!CB278/HDF_Limited_Col!$AH278," ")</f>
        <v>30.394720585685057</v>
      </c>
      <c r="CC278" s="26">
        <f>IFERROR($AC278*HDF_Limited_Col!CC278/HDF_Limited_Col!$AH278," ")</f>
        <v>13.894729410598883</v>
      </c>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row>
    <row r="279" spans="1:109">
      <c r="A279" s="26" t="s">
        <v>672</v>
      </c>
      <c r="B279" s="26" t="s">
        <v>24</v>
      </c>
      <c r="C279" s="157" t="s">
        <v>1722</v>
      </c>
      <c r="D279" s="26" t="s">
        <v>1723</v>
      </c>
      <c r="E279" s="26" t="s">
        <v>237</v>
      </c>
      <c r="F279" s="26" t="s">
        <v>29</v>
      </c>
      <c r="G279" s="26" t="s">
        <v>595</v>
      </c>
      <c r="H279" s="30">
        <v>360</v>
      </c>
      <c r="I279" s="26" t="s">
        <v>735</v>
      </c>
      <c r="J279" s="26" t="s">
        <v>1496</v>
      </c>
      <c r="K279" s="26"/>
      <c r="L279" s="26"/>
      <c r="M279" s="26" t="s">
        <v>76</v>
      </c>
      <c r="N279" s="26">
        <v>24</v>
      </c>
      <c r="O279" s="95">
        <v>20.779375959363424</v>
      </c>
      <c r="P279" s="95">
        <v>2.4512689310404041</v>
      </c>
      <c r="Q279" s="95">
        <v>6.2666331249610323</v>
      </c>
      <c r="R279" s="95">
        <v>24.656278285444063</v>
      </c>
      <c r="S279" s="95">
        <v>12.635829803522084</v>
      </c>
      <c r="T279" s="95">
        <v>21.774242429283589</v>
      </c>
      <c r="U279" s="95">
        <v>0</v>
      </c>
      <c r="V279" s="95">
        <v>1.3333261968002199</v>
      </c>
      <c r="W279" s="95">
        <v>7.1281669752011751</v>
      </c>
      <c r="X279" s="95">
        <v>1.8153748987202991</v>
      </c>
      <c r="Y279" s="95">
        <v>1.4974278825602467</v>
      </c>
      <c r="Z279" s="95">
        <v>100.33792448689653</v>
      </c>
      <c r="AA279" s="26"/>
      <c r="AB279" s="26"/>
      <c r="AC279" s="26">
        <f t="shared" si="5"/>
        <v>59173.573203177555</v>
      </c>
      <c r="AD279" s="26">
        <f>IFERROR($AC279*HDF_Limited_Col!AD279/HDF_Limited_Col!$AH279," ")</f>
        <v>9531.3138045386677</v>
      </c>
      <c r="AE279" s="26">
        <f>IFERROR($AC279*HDF_Limited_Col!AE279/HDF_Limited_Col!$AH279," ")</f>
        <v>19459.765684266444</v>
      </c>
      <c r="AF279" s="26">
        <f>IFERROR($AC279*HDF_Limited_Col!AF279/HDF_Limited_Col!$AH279," ")</f>
        <v>6552.7782406203332</v>
      </c>
      <c r="AG279" s="26">
        <f>IFERROR($AC279*HDF_Limited_Col!AG279/HDF_Limited_Col!$AH279," ")</f>
        <v>0</v>
      </c>
      <c r="AH279" s="26">
        <f>IFERROR($AC279*HDF_Limited_Col!AH279/HDF_Limited_Col!$AH279," ")</f>
        <v>59173.573203177562</v>
      </c>
      <c r="AI279" s="26">
        <f>IFERROR($AC279*HDF_Limited_Col!AI279/HDF_Limited_Col!$AH279," ")</f>
        <v>54805.054376097331</v>
      </c>
      <c r="AJ279" s="26">
        <f>IFERROR($AC279*HDF_Limited_Col!AJ279/HDF_Limited_Col!$AH279," ")</f>
        <v>7478.1099558109618</v>
      </c>
      <c r="AK279" s="26">
        <f>IFERROR($AC279*HDF_Limited_Col!AK279/HDF_Limited_Col!$AH279," ")</f>
        <v>0</v>
      </c>
      <c r="AL279" s="26">
        <f>IFERROR($AC279*HDF_Limited_Col!AL279/HDF_Limited_Col!$AH279," ")</f>
        <v>544.07916300908221</v>
      </c>
      <c r="AM279" s="26">
        <f>IFERROR($AC279*HDF_Limited_Col!AM279/HDF_Limited_Col!$AH279," ")</f>
        <v>42295.205007640332</v>
      </c>
      <c r="AN279" s="26">
        <f>IFERROR($AC279*HDF_Limited_Col!AN279/HDF_Limited_Col!$AH279," ")</f>
        <v>127.48132213570467</v>
      </c>
      <c r="AO279" s="26">
        <f>IFERROR($AC279*HDF_Limited_Col!AO279/HDF_Limited_Col!$AH279," ")</f>
        <v>73.470543909985551</v>
      </c>
      <c r="AP279" s="26">
        <f>IFERROR($AC279*HDF_Limited_Col!AP279/HDF_Limited_Col!$AH279," ")</f>
        <v>0</v>
      </c>
      <c r="AQ279" s="26">
        <f>IFERROR($AC279*HDF_Limited_Col!AQ279/HDF_Limited_Col!$AH279," ")</f>
        <v>24.821129699319446</v>
      </c>
      <c r="AR279" s="26">
        <f>IFERROR($AC279*HDF_Limited_Col!AR279/HDF_Limited_Col!$AH279," ")</f>
        <v>12.708418406051555</v>
      </c>
      <c r="AS279" s="26">
        <f>IFERROR($AC279*HDF_Limited_Col!AS279/HDF_Limited_Col!$AH279," ")</f>
        <v>0</v>
      </c>
      <c r="AT279" s="26">
        <f>IFERROR($AC279*HDF_Limited_Col!AT279/HDF_Limited_Col!$AH279," ")</f>
        <v>0</v>
      </c>
      <c r="AU279" s="26">
        <f>IFERROR($AC279*HDF_Limited_Col!AU279/HDF_Limited_Col!$AH279," ")</f>
        <v>0</v>
      </c>
      <c r="AV279" s="26">
        <f>IFERROR($AC279*HDF_Limited_Col!AV279/HDF_Limited_Col!$AH279," ")</f>
        <v>0</v>
      </c>
      <c r="AW279" s="26">
        <f>IFERROR($AC279*HDF_Limited_Col!AW279/HDF_Limited_Col!$AH279," ")</f>
        <v>0</v>
      </c>
      <c r="AX279" s="26">
        <f>IFERROR($AC279*HDF_Limited_Col!AX279/HDF_Limited_Col!$AH279," ")</f>
        <v>188.64058571482775</v>
      </c>
      <c r="AY279" s="26">
        <f>IFERROR($AC279*HDF_Limited_Col!AY279/HDF_Limited_Col!$AH279," ")</f>
        <v>2079.0178236149968</v>
      </c>
      <c r="AZ279" s="26">
        <f>IFERROR($AC279*HDF_Limited_Col!AZ279/HDF_Limited_Col!$AH279," ")</f>
        <v>20.651179909833779</v>
      </c>
      <c r="BA279" s="26">
        <f>IFERROR($AC279*HDF_Limited_Col!BA279/HDF_Limited_Col!$AH279," ")</f>
        <v>140.78544765453987</v>
      </c>
      <c r="BB279" s="26">
        <f>IFERROR($AC279*HDF_Limited_Col!BB279/HDF_Limited_Col!$AH279," ")</f>
        <v>0</v>
      </c>
      <c r="BC279" s="26">
        <f>IFERROR($AC279*HDF_Limited_Col!BC279/HDF_Limited_Col!$AH279," ")</f>
        <v>267.86963171505545</v>
      </c>
      <c r="BD279" s="26">
        <f>IFERROR($AC279*HDF_Limited_Col!BD279/HDF_Limited_Col!$AH279," ")</f>
        <v>0</v>
      </c>
      <c r="BE279" s="26">
        <f>IFERROR($AC279*HDF_Limited_Col!BE279/HDF_Limited_Col!$AH279," ")</f>
        <v>0</v>
      </c>
      <c r="BF279" s="26">
        <f>IFERROR($AC279*HDF_Limited_Col!BF279/HDF_Limited_Col!$AH279," ")</f>
        <v>0</v>
      </c>
      <c r="BG279" s="26">
        <f>IFERROR($AC279*HDF_Limited_Col!BG279/HDF_Limited_Col!$AH279," ")</f>
        <v>0</v>
      </c>
      <c r="BH279" s="26">
        <f>IFERROR($AC279*HDF_Limited_Col!BH279/HDF_Limited_Col!$AH279," ")</f>
        <v>4.368518827080222</v>
      </c>
      <c r="BI279" s="26">
        <f>IFERROR($AC279*HDF_Limited_Col!BI279/HDF_Limited_Col!$AH279," ")</f>
        <v>4557.1594127950493</v>
      </c>
      <c r="BJ279" s="26">
        <f>IFERROR($AC279*HDF_Limited_Col!BJ279/HDF_Limited_Col!$AH279," ")</f>
        <v>44.876602496369557</v>
      </c>
      <c r="BK279" s="26">
        <f>IFERROR($AC279*HDF_Limited_Col!BK279/HDF_Limited_Col!$AH279," ")</f>
        <v>291.89648526399668</v>
      </c>
      <c r="BL279" s="26">
        <f>IFERROR($AC279*HDF_Limited_Col!BL279/HDF_Limited_Col!$AH279," ")</f>
        <v>424.93774045234892</v>
      </c>
      <c r="BM279" s="26">
        <f>IFERROR($AC279*HDF_Limited_Col!BM279/HDF_Limited_Col!$AH279," ")</f>
        <v>47.855138060287892</v>
      </c>
      <c r="BN279" s="26">
        <f>IFERROR($AC279*HDF_Limited_Col!BN279/HDF_Limited_Col!$AH279," ")</f>
        <v>160.84092045158999</v>
      </c>
      <c r="BO279" s="26">
        <f>IFERROR($AC279*HDF_Limited_Col!BO279/HDF_Limited_Col!$AH279," ")</f>
        <v>17.474075308320888</v>
      </c>
      <c r="BP279" s="26">
        <f>IFERROR($AC279*HDF_Limited_Col!BP279/HDF_Limited_Col!$AH279," ")</f>
        <v>4.9642259398638888</v>
      </c>
      <c r="BQ279" s="26">
        <f>IFERROR($AC279*HDF_Limited_Col!BQ279/HDF_Limited_Col!$AH279," ")</f>
        <v>9.7298828421332217</v>
      </c>
      <c r="BR279" s="26">
        <f>IFERROR($AC279*HDF_Limited_Col!BR279/HDF_Limited_Col!$AH279," ")</f>
        <v>6.3542092030257775</v>
      </c>
      <c r="BS279" s="26">
        <f>IFERROR($AC279*HDF_Limited_Col!BS279/HDF_Limited_Col!$AH279," ")</f>
        <v>1.9856903759455555</v>
      </c>
      <c r="BT279" s="26">
        <f>IFERROR($AC279*HDF_Limited_Col!BT279/HDF_Limited_Col!$AH279," ")</f>
        <v>3.1771046015128888</v>
      </c>
      <c r="BU279" s="26">
        <f>IFERROR($AC279*HDF_Limited_Col!BU279/HDF_Limited_Col!$AH279," ")</f>
        <v>0</v>
      </c>
      <c r="BV279" s="26">
        <f>IFERROR($AC279*HDF_Limited_Col!BV279/HDF_Limited_Col!$AH279," ")</f>
        <v>0.79427615037822219</v>
      </c>
      <c r="BW279" s="26">
        <f>IFERROR($AC279*HDF_Limited_Col!BW279/HDF_Limited_Col!$AH279," ")</f>
        <v>0.99284518797277777</v>
      </c>
      <c r="BX279" s="26">
        <f>IFERROR($AC279*HDF_Limited_Col!BX279/HDF_Limited_Col!$AH279," ")</f>
        <v>4.567087864674777</v>
      </c>
      <c r="BY279" s="26">
        <f>IFERROR($AC279*HDF_Limited_Col!BY279/HDF_Limited_Col!$AH279," ")</f>
        <v>8.3398995789713339</v>
      </c>
      <c r="BZ279" s="26">
        <f>IFERROR($AC279*HDF_Limited_Col!BZ279/HDF_Limited_Col!$AH279," ")</f>
        <v>0</v>
      </c>
      <c r="CA279" s="26">
        <f>IFERROR($AC279*HDF_Limited_Col!CA279/HDF_Limited_Col!$AH279," ")</f>
        <v>25.218267774508554</v>
      </c>
      <c r="CB279" s="26">
        <f>IFERROR($AC279*HDF_Limited_Col!CB279/HDF_Limited_Col!$AH279," ")</f>
        <v>34.551012541452664</v>
      </c>
      <c r="CC279" s="26">
        <f>IFERROR($AC279*HDF_Limited_Col!CC279/HDF_Limited_Col!$AH279," ")</f>
        <v>7.7441924661876671</v>
      </c>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row>
    <row r="280" spans="1:109">
      <c r="A280" s="26" t="s">
        <v>672</v>
      </c>
      <c r="B280" s="26" t="s">
        <v>24</v>
      </c>
      <c r="C280" s="157" t="s">
        <v>1722</v>
      </c>
      <c r="D280" s="26" t="s">
        <v>1723</v>
      </c>
      <c r="E280" s="26" t="s">
        <v>237</v>
      </c>
      <c r="F280" s="26" t="s">
        <v>29</v>
      </c>
      <c r="G280" s="26" t="s">
        <v>595</v>
      </c>
      <c r="H280" s="30">
        <v>360</v>
      </c>
      <c r="I280" s="26" t="s">
        <v>735</v>
      </c>
      <c r="J280" s="26" t="s">
        <v>1496</v>
      </c>
      <c r="K280" s="26"/>
      <c r="L280" s="26"/>
      <c r="M280" s="26" t="s">
        <v>80</v>
      </c>
      <c r="N280" s="26">
        <v>20</v>
      </c>
      <c r="O280" s="95">
        <v>33.749792752369849</v>
      </c>
      <c r="P280" s="95">
        <v>4.8023825245332104</v>
      </c>
      <c r="Q280" s="95">
        <v>8.5808028903173348</v>
      </c>
      <c r="R280" s="95">
        <v>21.349611009918426</v>
      </c>
      <c r="S280" s="95">
        <v>6.1028144661445474</v>
      </c>
      <c r="T280" s="95">
        <v>13.434383522787996</v>
      </c>
      <c r="U280" s="95">
        <v>0</v>
      </c>
      <c r="V280" s="95">
        <v>1.4540262654237008</v>
      </c>
      <c r="W280" s="95">
        <v>6.4714408432942179</v>
      </c>
      <c r="X280" s="95">
        <v>3.0002091251348197</v>
      </c>
      <c r="Y280" s="95">
        <v>1.3618696711362832</v>
      </c>
      <c r="Z280" s="95">
        <v>100.3073330710604</v>
      </c>
      <c r="AA280" s="26"/>
      <c r="AB280" s="26"/>
      <c r="AC280" s="26">
        <f t="shared" si="5"/>
        <v>53721.844592437599</v>
      </c>
      <c r="AD280" s="26">
        <f>IFERROR($AC280*HDF_Limited_Col!AD280/HDF_Limited_Col!$AH280," ")</f>
        <v>17661.976304363045</v>
      </c>
      <c r="AE280" s="26">
        <f>IFERROR($AC280*HDF_Limited_Col!AE280/HDF_Limited_Col!$AH280," ")</f>
        <v>34588.036929377638</v>
      </c>
      <c r="AF280" s="26">
        <f>IFERROR($AC280*HDF_Limited_Col!AF280/HDF_Limited_Col!$AH280," ")</f>
        <v>18397.891983711506</v>
      </c>
      <c r="AG280" s="26">
        <f>IFERROR($AC280*HDF_Limited_Col!AG280/HDF_Limited_Col!$AH280," ")</f>
        <v>0</v>
      </c>
      <c r="AH280" s="26">
        <f>IFERROR($AC280*HDF_Limited_Col!AH280/HDF_Limited_Col!$AH280," ")</f>
        <v>53721.844592437599</v>
      </c>
      <c r="AI280" s="26">
        <f>IFERROR($AC280*HDF_Limited_Col!AI280/HDF_Limited_Col!$AH280," ")</f>
        <v>109651.43622292057</v>
      </c>
      <c r="AJ280" s="26">
        <f>IFERROR($AC280*HDF_Limited_Col!AJ280/HDF_Limited_Col!$AH280," ")</f>
        <v>19133.807663059964</v>
      </c>
      <c r="AK280" s="26">
        <f>IFERROR($AC280*HDF_Limited_Col!AK280/HDF_Limited_Col!$AH280," ")</f>
        <v>0</v>
      </c>
      <c r="AL280" s="26">
        <f>IFERROR($AC280*HDF_Limited_Col!AL280/HDF_Limited_Col!$AH280," ")</f>
        <v>883.09881521815225</v>
      </c>
      <c r="AM280" s="26">
        <f>IFERROR($AC280*HDF_Limited_Col!AM280/HDF_Limited_Col!$AH280," ")</f>
        <v>61816.917065270667</v>
      </c>
      <c r="AN280" s="26">
        <f>IFERROR($AC280*HDF_Limited_Col!AN280/HDF_Limited_Col!$AH280," ")</f>
        <v>244.32400554368883</v>
      </c>
      <c r="AO280" s="26">
        <f>IFERROR($AC280*HDF_Limited_Col!AO280/HDF_Limited_Col!$AH280," ")</f>
        <v>456.26772119604533</v>
      </c>
      <c r="AP280" s="26">
        <f>IFERROR($AC280*HDF_Limited_Col!AP280/HDF_Limited_Col!$AH280," ")</f>
        <v>0</v>
      </c>
      <c r="AQ280" s="26">
        <f>IFERROR($AC280*HDF_Limited_Col!AQ280/HDF_Limited_Col!$AH280," ")</f>
        <v>32.380289891332247</v>
      </c>
      <c r="AR280" s="26">
        <f>IFERROR($AC280*HDF_Limited_Col!AR280/HDF_Limited_Col!$AH280," ")</f>
        <v>26.492964456544566</v>
      </c>
      <c r="AS280" s="26">
        <f>IFERROR($AC280*HDF_Limited_Col!AS280/HDF_Limited_Col!$AH280," ")</f>
        <v>0</v>
      </c>
      <c r="AT280" s="26">
        <f>IFERROR($AC280*HDF_Limited_Col!AT280/HDF_Limited_Col!$AH280," ")</f>
        <v>0</v>
      </c>
      <c r="AU280" s="26">
        <f>IFERROR($AC280*HDF_Limited_Col!AU280/HDF_Limited_Col!$AH280," ")</f>
        <v>0</v>
      </c>
      <c r="AV280" s="26">
        <f>IFERROR($AC280*HDF_Limited_Col!AV280/HDF_Limited_Col!$AH280," ")</f>
        <v>0</v>
      </c>
      <c r="AW280" s="26">
        <f>IFERROR($AC280*HDF_Limited_Col!AW280/HDF_Limited_Col!$AH280," ")</f>
        <v>0</v>
      </c>
      <c r="AX280" s="26">
        <f>IFERROR($AC280*HDF_Limited_Col!AX280/HDF_Limited_Col!$AH280," ")</f>
        <v>228.13386059802266</v>
      </c>
      <c r="AY280" s="26">
        <f>IFERROR($AC280*HDF_Limited_Col!AY280/HDF_Limited_Col!$AH280," ")</f>
        <v>1655.8102785340357</v>
      </c>
      <c r="AZ280" s="26">
        <f>IFERROR($AC280*HDF_Limited_Col!AZ280/HDF_Limited_Col!$AH280," ")</f>
        <v>43.419025081559155</v>
      </c>
      <c r="BA280" s="26">
        <f>IFERROR($AC280*HDF_Limited_Col!BA280/HDF_Limited_Col!$AH280," ")</f>
        <v>374.58108078836631</v>
      </c>
      <c r="BB280" s="26">
        <f>IFERROR($AC280*HDF_Limited_Col!BB280/HDF_Limited_Col!$AH280," ")</f>
        <v>0</v>
      </c>
      <c r="BC280" s="26">
        <f>IFERROR($AC280*HDF_Limited_Col!BC280/HDF_Limited_Col!$AH280," ")</f>
        <v>212.67963133170502</v>
      </c>
      <c r="BD280" s="26">
        <f>IFERROR($AC280*HDF_Limited_Col!BD280/HDF_Limited_Col!$AH280," ")</f>
        <v>0</v>
      </c>
      <c r="BE280" s="26">
        <f>IFERROR($AC280*HDF_Limited_Col!BE280/HDF_Limited_Col!$AH280," ")</f>
        <v>0</v>
      </c>
      <c r="BF280" s="26">
        <f>IFERROR($AC280*HDF_Limited_Col!BF280/HDF_Limited_Col!$AH280," ")</f>
        <v>0</v>
      </c>
      <c r="BG280" s="26">
        <f>IFERROR($AC280*HDF_Limited_Col!BG280/HDF_Limited_Col!$AH280," ")</f>
        <v>0</v>
      </c>
      <c r="BH280" s="26">
        <f>IFERROR($AC280*HDF_Limited_Col!BH280/HDF_Limited_Col!$AH280," ")</f>
        <v>4.4154940760907611</v>
      </c>
      <c r="BI280" s="26">
        <f>IFERROR($AC280*HDF_Limited_Col!BI280/HDF_Limited_Col!$AH280," ")</f>
        <v>2178.3104108714424</v>
      </c>
      <c r="BJ280" s="26">
        <f>IFERROR($AC280*HDF_Limited_Col!BJ280/HDF_Limited_Col!$AH280," ")</f>
        <v>129.52115956532899</v>
      </c>
      <c r="BK280" s="26">
        <f>IFERROR($AC280*HDF_Limited_Col!BK280/HDF_Limited_Col!$AH280," ")</f>
        <v>191.33807663059966</v>
      </c>
      <c r="BL280" s="26">
        <f>IFERROR($AC280*HDF_Limited_Col!BL280/HDF_Limited_Col!$AH280," ")</f>
        <v>331.16205570680717</v>
      </c>
      <c r="BM280" s="26">
        <f>IFERROR($AC280*HDF_Limited_Col!BM280/HDF_Limited_Col!$AH280," ")</f>
        <v>41.947193722862238</v>
      </c>
      <c r="BN280" s="26">
        <f>IFERROR($AC280*HDF_Limited_Col!BN280/HDF_Limited_Col!$AH280," ")</f>
        <v>156.01412402187358</v>
      </c>
      <c r="BO280" s="26">
        <f>IFERROR($AC280*HDF_Limited_Col!BO280/HDF_Limited_Col!$AH280," ")</f>
        <v>27.228880135893029</v>
      </c>
      <c r="BP280" s="26">
        <f>IFERROR($AC280*HDF_Limited_Col!BP280/HDF_Limited_Col!$AH280," ")</f>
        <v>8.0950724728330616</v>
      </c>
      <c r="BQ280" s="26">
        <f>IFERROR($AC280*HDF_Limited_Col!BQ280/HDF_Limited_Col!$AH280," ")</f>
        <v>24.28521741849919</v>
      </c>
      <c r="BR280" s="26">
        <f>IFERROR($AC280*HDF_Limited_Col!BR280/HDF_Limited_Col!$AH280," ")</f>
        <v>15.454229266317666</v>
      </c>
      <c r="BS280" s="26">
        <f>IFERROR($AC280*HDF_Limited_Col!BS280/HDF_Limited_Col!$AH280," ")</f>
        <v>2.943662717393841</v>
      </c>
      <c r="BT280" s="26">
        <f>IFERROR($AC280*HDF_Limited_Col!BT280/HDF_Limited_Col!$AH280," ")</f>
        <v>3.6795783967423019</v>
      </c>
      <c r="BU280" s="26">
        <f>IFERROR($AC280*HDF_Limited_Col!BU280/HDF_Limited_Col!$AH280," ")</f>
        <v>0</v>
      </c>
      <c r="BV280" s="26">
        <f>IFERROR($AC280*HDF_Limited_Col!BV280/HDF_Limited_Col!$AH280," ")</f>
        <v>7.3591567934846038</v>
      </c>
      <c r="BW280" s="26">
        <f>IFERROR($AC280*HDF_Limited_Col!BW280/HDF_Limited_Col!$AH280," ")</f>
        <v>1.4718313586969205</v>
      </c>
      <c r="BX280" s="26">
        <f>IFERROR($AC280*HDF_Limited_Col!BX280/HDF_Limited_Col!$AH280," ")</f>
        <v>13.982397907620745</v>
      </c>
      <c r="BY280" s="26">
        <f>IFERROR($AC280*HDF_Limited_Col!BY280/HDF_Limited_Col!$AH280," ")</f>
        <v>8.0950724728330616</v>
      </c>
      <c r="BZ280" s="26">
        <f>IFERROR($AC280*HDF_Limited_Col!BZ280/HDF_Limited_Col!$AH280," ")</f>
        <v>0</v>
      </c>
      <c r="CA280" s="26">
        <f>IFERROR($AC280*HDF_Limited_Col!CA280/HDF_Limited_Col!$AH280," ")</f>
        <v>125.10566548923826</v>
      </c>
      <c r="CB280" s="26">
        <f>IFERROR($AC280*HDF_Limited_Col!CB280/HDF_Limited_Col!$AH280," ")</f>
        <v>21.341554701105348</v>
      </c>
      <c r="CC280" s="26">
        <f>IFERROR($AC280*HDF_Limited_Col!CC280/HDF_Limited_Col!$AH280," ")</f>
        <v>6.6232411141361416</v>
      </c>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row>
    <row r="281" spans="1:109">
      <c r="A281" s="26" t="s">
        <v>672</v>
      </c>
      <c r="B281" s="26" t="s">
        <v>24</v>
      </c>
      <c r="C281" s="157" t="s">
        <v>1722</v>
      </c>
      <c r="D281" s="26" t="s">
        <v>1723</v>
      </c>
      <c r="E281" s="26" t="s">
        <v>237</v>
      </c>
      <c r="F281" s="26" t="s">
        <v>29</v>
      </c>
      <c r="G281" s="26" t="s">
        <v>595</v>
      </c>
      <c r="H281" s="30">
        <v>360</v>
      </c>
      <c r="I281" s="26" t="s">
        <v>735</v>
      </c>
      <c r="J281" s="26" t="s">
        <v>1496</v>
      </c>
      <c r="K281" s="26"/>
      <c r="L281" s="26"/>
      <c r="M281" s="26" t="s">
        <v>82</v>
      </c>
      <c r="N281" s="26">
        <v>24</v>
      </c>
      <c r="O281" s="95">
        <v>29.455049443429086</v>
      </c>
      <c r="P281" s="95">
        <v>4.1888901393707689</v>
      </c>
      <c r="Q281" s="95">
        <v>7.7136879395730009</v>
      </c>
      <c r="R281" s="95">
        <v>22.293068985626874</v>
      </c>
      <c r="S281" s="95">
        <v>9.0725230335640088</v>
      </c>
      <c r="T281" s="95">
        <v>13.189895536408935</v>
      </c>
      <c r="U281" s="95">
        <v>0</v>
      </c>
      <c r="V281" s="95">
        <v>1.9003257705438124</v>
      </c>
      <c r="W281" s="95">
        <v>7.8158559917527768</v>
      </c>
      <c r="X281" s="95">
        <v>3.1365592019190882</v>
      </c>
      <c r="Y281" s="95">
        <v>1.5938216140044881</v>
      </c>
      <c r="Z281" s="95">
        <v>100.35967765619283</v>
      </c>
      <c r="AA281" s="26"/>
      <c r="AB281" s="26"/>
      <c r="AC281" s="26">
        <f t="shared" si="5"/>
        <v>64882.336269967105</v>
      </c>
      <c r="AD281" s="26">
        <f>IFERROR($AC281*HDF_Limited_Col!AD281/HDF_Limited_Col!$AH281," ")</f>
        <v>17255.940497331678</v>
      </c>
      <c r="AE281" s="26">
        <f>IFERROR($AC281*HDF_Limited_Col!AE281/HDF_Limited_Col!$AH281," ")</f>
        <v>22777.841456477814</v>
      </c>
      <c r="AF281" s="26">
        <f>IFERROR($AC281*HDF_Limited_Col!AF281/HDF_Limited_Col!$AH281," ")</f>
        <v>10353.564298399006</v>
      </c>
      <c r="AG281" s="26">
        <f>IFERROR($AC281*HDF_Limited_Col!AG281/HDF_Limited_Col!$AH281," ")</f>
        <v>0</v>
      </c>
      <c r="AH281" s="26">
        <f>IFERROR($AC281*HDF_Limited_Col!AH281/HDF_Limited_Col!$AH281," ")</f>
        <v>64882.336269967112</v>
      </c>
      <c r="AI281" s="26">
        <f>IFERROR($AC281*HDF_Limited_Col!AI281/HDF_Limited_Col!$AH281," ")</f>
        <v>56599.484831247908</v>
      </c>
      <c r="AJ281" s="26">
        <f>IFERROR($AC281*HDF_Limited_Col!AJ281/HDF_Limited_Col!$AH281," ")</f>
        <v>8828.1391584348839</v>
      </c>
      <c r="AK281" s="26">
        <f>IFERROR($AC281*HDF_Limited_Col!AK281/HDF_Limited_Col!$AH281," ")</f>
        <v>0</v>
      </c>
      <c r="AL281" s="26">
        <f>IFERROR($AC281*HDF_Limited_Col!AL281/HDF_Limited_Col!$AH281," ")</f>
        <v>469.36158152742166</v>
      </c>
      <c r="AM281" s="26">
        <f>IFERROR($AC281*HDF_Limited_Col!AM281/HDF_Limited_Col!$AH281," ")</f>
        <v>35202.118614556617</v>
      </c>
      <c r="AN281" s="26">
        <f>IFERROR($AC281*HDF_Limited_Col!AN281/HDF_Limited_Col!$AH281," ")</f>
        <v>245.72459268200308</v>
      </c>
      <c r="AO281" s="26">
        <f>IFERROR($AC281*HDF_Limited_Col!AO281/HDF_Limited_Col!$AH281," ")</f>
        <v>100.77469250441699</v>
      </c>
      <c r="AP281" s="26">
        <f>IFERROR($AC281*HDF_Limited_Col!AP281/HDF_Limited_Col!$AH281," ")</f>
        <v>0</v>
      </c>
      <c r="AQ281" s="26">
        <f>IFERROR($AC281*HDF_Limited_Col!AQ281/HDF_Limited_Col!$AH281," ")</f>
        <v>18.63641573711821</v>
      </c>
      <c r="AR281" s="26">
        <f>IFERROR($AC281*HDF_Limited_Col!AR281/HDF_Limited_Col!$AH281," ")</f>
        <v>29.68021765541048</v>
      </c>
      <c r="AS281" s="26">
        <f>IFERROR($AC281*HDF_Limited_Col!AS281/HDF_Limited_Col!$AH281," ")</f>
        <v>0</v>
      </c>
      <c r="AT281" s="26">
        <f>IFERROR($AC281*HDF_Limited_Col!AT281/HDF_Limited_Col!$AH281," ")</f>
        <v>0</v>
      </c>
      <c r="AU281" s="26">
        <f>IFERROR($AC281*HDF_Limited_Col!AU281/HDF_Limited_Col!$AH281," ")</f>
        <v>0</v>
      </c>
      <c r="AV281" s="26">
        <f>IFERROR($AC281*HDF_Limited_Col!AV281/HDF_Limited_Col!$AH281," ")</f>
        <v>0</v>
      </c>
      <c r="AW281" s="26">
        <f>IFERROR($AC281*HDF_Limited_Col!AW281/HDF_Limited_Col!$AH281," ")</f>
        <v>0</v>
      </c>
      <c r="AX281" s="26">
        <f>IFERROR($AC281*HDF_Limited_Col!AX281/HDF_Limited_Col!$AH281," ")</f>
        <v>165.65702877438409</v>
      </c>
      <c r="AY281" s="26">
        <f>IFERROR($AC281*HDF_Limited_Col!AY281/HDF_Limited_Col!$AH281," ")</f>
        <v>1490.9132589694568</v>
      </c>
      <c r="AZ281" s="26">
        <f>IFERROR($AC281*HDF_Limited_Col!AZ281/HDF_Limited_Col!$AH281," ")</f>
        <v>21.397366216691282</v>
      </c>
      <c r="BA281" s="26">
        <f>IFERROR($AC281*HDF_Limited_Col!BA281/HDF_Limited_Col!$AH281," ")</f>
        <v>201.54938500883398</v>
      </c>
      <c r="BB281" s="26">
        <f>IFERROR($AC281*HDF_Limited_Col!BB281/HDF_Limited_Col!$AH281," ")</f>
        <v>0</v>
      </c>
      <c r="BC281" s="26">
        <f>IFERROR($AC281*HDF_Limited_Col!BC281/HDF_Limited_Col!$AH281," ")</f>
        <v>282.30718653634619</v>
      </c>
      <c r="BD281" s="26">
        <f>IFERROR($AC281*HDF_Limited_Col!BD281/HDF_Limited_Col!$AH281," ")</f>
        <v>0</v>
      </c>
      <c r="BE281" s="26">
        <f>IFERROR($AC281*HDF_Limited_Col!BE281/HDF_Limited_Col!$AH281," ")</f>
        <v>0</v>
      </c>
      <c r="BF281" s="26">
        <f>IFERROR($AC281*HDF_Limited_Col!BF281/HDF_Limited_Col!$AH281," ")</f>
        <v>0</v>
      </c>
      <c r="BG281" s="26">
        <f>IFERROR($AC281*HDF_Limited_Col!BG281/HDF_Limited_Col!$AH281," ")</f>
        <v>0</v>
      </c>
      <c r="BH281" s="26">
        <f>IFERROR($AC281*HDF_Limited_Col!BH281/HDF_Limited_Col!$AH281," ")</f>
        <v>4.141425719359602</v>
      </c>
      <c r="BI281" s="26">
        <f>IFERROR($AC281*HDF_Limited_Col!BI281/HDF_Limited_Col!$AH281," ")</f>
        <v>9131.8437111879248</v>
      </c>
      <c r="BJ281" s="26">
        <f>IFERROR($AC281*HDF_Limited_Col!BJ281/HDF_Limited_Col!$AH281," ")</f>
        <v>66.953049129646914</v>
      </c>
      <c r="BK281" s="26">
        <f>IFERROR($AC281*HDF_Limited_Col!BK281/HDF_Limited_Col!$AH281," ")</f>
        <v>393.43544333916219</v>
      </c>
      <c r="BL281" s="26">
        <f>IFERROR($AC281*HDF_Limited_Col!BL281/HDF_Limited_Col!$AH281," ")</f>
        <v>517.67821491995028</v>
      </c>
      <c r="BM281" s="26">
        <f>IFERROR($AC281*HDF_Limited_Col!BM281/HDF_Limited_Col!$AH281," ")</f>
        <v>53.148296731781564</v>
      </c>
      <c r="BN281" s="26">
        <f>IFERROR($AC281*HDF_Limited_Col!BN281/HDF_Limited_Col!$AH281," ")</f>
        <v>148.40108827705242</v>
      </c>
      <c r="BO281" s="26">
        <f>IFERROR($AC281*HDF_Limited_Col!BO281/HDF_Limited_Col!$AH281," ")</f>
        <v>14.49499001775861</v>
      </c>
      <c r="BP281" s="26">
        <f>IFERROR($AC281*HDF_Limited_Col!BP281/HDF_Limited_Col!$AH281," ")</f>
        <v>4.141425719359602</v>
      </c>
      <c r="BQ281" s="26">
        <f>IFERROR($AC281*HDF_Limited_Col!BQ281/HDF_Limited_Col!$AH281," ")</f>
        <v>11.043801918292274</v>
      </c>
      <c r="BR281" s="26">
        <f>IFERROR($AC281*HDF_Limited_Col!BR281/HDF_Limited_Col!$AH281," ")</f>
        <v>5.5219009591461372</v>
      </c>
      <c r="BS281" s="26">
        <f>IFERROR($AC281*HDF_Limited_Col!BS281/HDF_Limited_Col!$AH281," ")</f>
        <v>2.070712859679801</v>
      </c>
      <c r="BT281" s="26">
        <f>IFERROR($AC281*HDF_Limited_Col!BT281/HDF_Limited_Col!$AH281," ")</f>
        <v>5.5219009591461372</v>
      </c>
      <c r="BU281" s="26">
        <f>IFERROR($AC281*HDF_Limited_Col!BU281/HDF_Limited_Col!$AH281," ")</f>
        <v>0</v>
      </c>
      <c r="BV281" s="26">
        <f>IFERROR($AC281*HDF_Limited_Col!BV281/HDF_Limited_Col!$AH281," ")</f>
        <v>2.7609504795730686</v>
      </c>
      <c r="BW281" s="26">
        <f>IFERROR($AC281*HDF_Limited_Col!BW281/HDF_Limited_Col!$AH281," ")</f>
        <v>2.070712859679801</v>
      </c>
      <c r="BX281" s="26">
        <f>IFERROR($AC281*HDF_Limited_Col!BX281/HDF_Limited_Col!$AH281," ")</f>
        <v>6.2121385790394035</v>
      </c>
      <c r="BY281" s="26">
        <f>IFERROR($AC281*HDF_Limited_Col!BY281/HDF_Limited_Col!$AH281," ")</f>
        <v>4.8316633392528701</v>
      </c>
      <c r="BZ281" s="26">
        <f>IFERROR($AC281*HDF_Limited_Col!BZ281/HDF_Limited_Col!$AH281," ")</f>
        <v>0</v>
      </c>
      <c r="CA281" s="26">
        <f>IFERROR($AC281*HDF_Limited_Col!CA281/HDF_Limited_Col!$AH281," ")</f>
        <v>47.626395772635433</v>
      </c>
      <c r="CB281" s="26">
        <f>IFERROR($AC281*HDF_Limited_Col!CB281/HDF_Limited_Col!$AH281," ")</f>
        <v>137.35728635876015</v>
      </c>
      <c r="CC281" s="26">
        <f>IFERROR($AC281*HDF_Limited_Col!CC281/HDF_Limited_Col!$AH281," ")</f>
        <v>17.946178117224942</v>
      </c>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row>
    <row r="282" spans="1:109">
      <c r="A282" s="26" t="s">
        <v>672</v>
      </c>
      <c r="B282" s="26" t="s">
        <v>24</v>
      </c>
      <c r="C282" s="157" t="s">
        <v>1722</v>
      </c>
      <c r="D282" s="26" t="s">
        <v>1723</v>
      </c>
      <c r="E282" s="26" t="s">
        <v>237</v>
      </c>
      <c r="F282" s="26" t="s">
        <v>29</v>
      </c>
      <c r="G282" s="26" t="s">
        <v>595</v>
      </c>
      <c r="H282" s="30">
        <v>360</v>
      </c>
      <c r="I282" s="26" t="s">
        <v>735</v>
      </c>
      <c r="J282" s="26" t="s">
        <v>1496</v>
      </c>
      <c r="K282" s="26"/>
      <c r="L282" s="26"/>
      <c r="M282" s="26" t="s">
        <v>83</v>
      </c>
      <c r="N282" s="26">
        <v>19</v>
      </c>
      <c r="O282" s="95">
        <v>33.59158621000563</v>
      </c>
      <c r="P282" s="95">
        <v>5.9243342952191753</v>
      </c>
      <c r="Q282" s="95">
        <v>8.2044904500801632</v>
      </c>
      <c r="R282" s="95">
        <v>23.707516449425185</v>
      </c>
      <c r="S282" s="95">
        <v>8.2452075242741092</v>
      </c>
      <c r="T282" s="95">
        <v>5.3135781823099819</v>
      </c>
      <c r="U282" s="95">
        <v>0</v>
      </c>
      <c r="V282" s="95">
        <v>2.9418086105126147</v>
      </c>
      <c r="W282" s="95">
        <v>8.1535941073377298</v>
      </c>
      <c r="X282" s="95">
        <v>2.9010915363186682</v>
      </c>
      <c r="Y282" s="95">
        <v>1.3131256427547655</v>
      </c>
      <c r="Z282" s="95">
        <v>100.29633300823802</v>
      </c>
      <c r="AA282" s="26"/>
      <c r="AB282" s="26"/>
      <c r="AC282" s="26">
        <f t="shared" si="5"/>
        <v>67686.026359663039</v>
      </c>
      <c r="AD282" s="26">
        <f>IFERROR($AC282*HDF_Limited_Col!AD282/HDF_Limited_Col!$AH282," ")</f>
        <v>18801.67398879529</v>
      </c>
      <c r="AE282" s="26">
        <f>IFERROR($AC282*HDF_Limited_Col!AE282/HDF_Limited_Col!$AH282," ")</f>
        <v>37603.34797759058</v>
      </c>
      <c r="AF282" s="26">
        <f>IFERROR($AC282*HDF_Limited_Col!AF282/HDF_Limited_Col!$AH282," ")</f>
        <v>26322.343584313403</v>
      </c>
      <c r="AG282" s="26">
        <f>IFERROR($AC282*HDF_Limited_Col!AG282/HDF_Limited_Col!$AH282," ")</f>
        <v>0</v>
      </c>
      <c r="AH282" s="26">
        <f>IFERROR($AC282*HDF_Limited_Col!AH282/HDF_Limited_Col!$AH282," ")</f>
        <v>67686.026359663039</v>
      </c>
      <c r="AI282" s="26">
        <f>IFERROR($AC282*HDF_Limited_Col!AI282/HDF_Limited_Col!$AH282," ")</f>
        <v>319628.4578095199</v>
      </c>
      <c r="AJ282" s="26">
        <f>IFERROR($AC282*HDF_Limited_Col!AJ282/HDF_Limited_Col!$AH282," ")</f>
        <v>4587.6084532660498</v>
      </c>
      <c r="AK282" s="26">
        <f>IFERROR($AC282*HDF_Limited_Col!AK282/HDF_Limited_Col!$AH282," ")</f>
        <v>0</v>
      </c>
      <c r="AL282" s="26">
        <f>IFERROR($AC282*HDF_Limited_Col!AL282/HDF_Limited_Col!$AH282," ")</f>
        <v>639.25691561903977</v>
      </c>
      <c r="AM282" s="26">
        <f>IFERROR($AC282*HDF_Limited_Col!AM282/HDF_Limited_Col!$AH282," ")</f>
        <v>37603.34797759058</v>
      </c>
      <c r="AN282" s="26">
        <f>IFERROR($AC282*HDF_Limited_Col!AN282/HDF_Limited_Col!$AH282," ")</f>
        <v>992.72838660839125</v>
      </c>
      <c r="AO282" s="26">
        <f>IFERROR($AC282*HDF_Limited_Col!AO282/HDF_Limited_Col!$AH282," ")</f>
        <v>5339.6754128178618</v>
      </c>
      <c r="AP282" s="26">
        <f>IFERROR($AC282*HDF_Limited_Col!AP282/HDF_Limited_Col!$AH282," ")</f>
        <v>0</v>
      </c>
      <c r="AQ282" s="26">
        <f>IFERROR($AC282*HDF_Limited_Col!AQ282/HDF_Limited_Col!$AH282," ")</f>
        <v>218.09941827002535</v>
      </c>
      <c r="AR282" s="26">
        <f>IFERROR($AC282*HDF_Limited_Col!AR282/HDF_Limited_Col!$AH282," ")</f>
        <v>30.082678382072466</v>
      </c>
      <c r="AS282" s="26">
        <f>IFERROR($AC282*HDF_Limited_Col!AS282/HDF_Limited_Col!$AH282," ")</f>
        <v>0</v>
      </c>
      <c r="AT282" s="26">
        <f>IFERROR($AC282*HDF_Limited_Col!AT282/HDF_Limited_Col!$AH282," ")</f>
        <v>0</v>
      </c>
      <c r="AU282" s="26">
        <f>IFERROR($AC282*HDF_Limited_Col!AU282/HDF_Limited_Col!$AH282," ")</f>
        <v>0</v>
      </c>
      <c r="AV282" s="26">
        <f>IFERROR($AC282*HDF_Limited_Col!AV282/HDF_Limited_Col!$AH282," ")</f>
        <v>0</v>
      </c>
      <c r="AW282" s="26">
        <f>IFERROR($AC282*HDF_Limited_Col!AW282/HDF_Limited_Col!$AH282," ")</f>
        <v>0</v>
      </c>
      <c r="AX282" s="26">
        <f>IFERROR($AC282*HDF_Limited_Col!AX282/HDF_Limited_Col!$AH282," ")</f>
        <v>225.62008786554347</v>
      </c>
      <c r="AY282" s="26">
        <f>IFERROR($AC282*HDF_Limited_Col!AY282/HDF_Limited_Col!$AH282," ")</f>
        <v>1052.8937433725362</v>
      </c>
      <c r="AZ282" s="26">
        <f>IFERROR($AC282*HDF_Limited_Col!AZ282/HDF_Limited_Col!$AH282," ")</f>
        <v>26.322343584313405</v>
      </c>
      <c r="BA282" s="26">
        <f>IFERROR($AC282*HDF_Limited_Col!BA282/HDF_Limited_Col!$AH282," ")</f>
        <v>1090.4970913501265</v>
      </c>
      <c r="BB282" s="26">
        <f>IFERROR($AC282*HDF_Limited_Col!BB282/HDF_Limited_Col!$AH282," ")</f>
        <v>0</v>
      </c>
      <c r="BC282" s="26">
        <f>IFERROR($AC282*HDF_Limited_Col!BC282/HDF_Limited_Col!$AH282," ")</f>
        <v>195.53740948347098</v>
      </c>
      <c r="BD282" s="26">
        <f>IFERROR($AC282*HDF_Limited_Col!BD282/HDF_Limited_Col!$AH282," ")</f>
        <v>0</v>
      </c>
      <c r="BE282" s="26">
        <f>IFERROR($AC282*HDF_Limited_Col!BE282/HDF_Limited_Col!$AH282," ")</f>
        <v>0</v>
      </c>
      <c r="BF282" s="26">
        <f>IFERROR($AC282*HDF_Limited_Col!BF282/HDF_Limited_Col!$AH282," ")</f>
        <v>0</v>
      </c>
      <c r="BG282" s="26">
        <f>IFERROR($AC282*HDF_Limited_Col!BG282/HDF_Limited_Col!$AH282," ")</f>
        <v>0</v>
      </c>
      <c r="BH282" s="26">
        <f>IFERROR($AC282*HDF_Limited_Col!BH282/HDF_Limited_Col!$AH282," ")</f>
        <v>11.281004393277174</v>
      </c>
      <c r="BI282" s="26">
        <f>IFERROR($AC282*HDF_Limited_Col!BI282/HDF_Limited_Col!$AH282," ")</f>
        <v>2707.4410543865215</v>
      </c>
      <c r="BJ282" s="26">
        <f>IFERROR($AC282*HDF_Limited_Col!BJ282/HDF_Limited_Col!$AH282," ")</f>
        <v>251.94243144985688</v>
      </c>
      <c r="BK282" s="26">
        <f>IFERROR($AC282*HDF_Limited_Col!BK282/HDF_Limited_Col!$AH282," ")</f>
        <v>248.18209665209781</v>
      </c>
      <c r="BL282" s="26">
        <f>IFERROR($AC282*HDF_Limited_Col!BL282/HDF_Limited_Col!$AH282," ")</f>
        <v>387.31448416918295</v>
      </c>
      <c r="BM282" s="26">
        <f>IFERROR($AC282*HDF_Limited_Col!BM282/HDF_Limited_Col!$AH282," ")</f>
        <v>60.165356764144931</v>
      </c>
      <c r="BN282" s="26">
        <f>IFERROR($AC282*HDF_Limited_Col!BN282/HDF_Limited_Col!$AH282," ")</f>
        <v>206.8184138767482</v>
      </c>
      <c r="BO282" s="26">
        <f>IFERROR($AC282*HDF_Limited_Col!BO282/HDF_Limited_Col!$AH282," ")</f>
        <v>18.801673988795287</v>
      </c>
      <c r="BP282" s="26" t="str">
        <f>IFERROR($AC282*HDF_Limited_Col!BP282/HDF_Limited_Col!$AH282," ")</f>
        <v xml:space="preserve"> </v>
      </c>
      <c r="BQ282" s="26">
        <f>IFERROR($AC282*HDF_Limited_Col!BQ282/HDF_Limited_Col!$AH282," ")</f>
        <v>15.041339191036233</v>
      </c>
      <c r="BR282" s="26">
        <f>IFERROR($AC282*HDF_Limited_Col!BR282/HDF_Limited_Col!$AH282," ")</f>
        <v>18.801673988795287</v>
      </c>
      <c r="BS282" s="26">
        <f>IFERROR($AC282*HDF_Limited_Col!BS282/HDF_Limited_Col!$AH282," ")</f>
        <v>7.5206695955181164</v>
      </c>
      <c r="BT282" s="26" t="str">
        <f>IFERROR($AC282*HDF_Limited_Col!BT282/HDF_Limited_Col!$AH282," ")</f>
        <v xml:space="preserve"> </v>
      </c>
      <c r="BU282" s="26">
        <f>IFERROR($AC282*HDF_Limited_Col!BU282/HDF_Limited_Col!$AH282," ")</f>
        <v>0</v>
      </c>
      <c r="BV282" s="26" t="str">
        <f>IFERROR($AC282*HDF_Limited_Col!BV282/HDF_Limited_Col!$AH282," ")</f>
        <v xml:space="preserve"> </v>
      </c>
      <c r="BW282" s="26" t="str">
        <f>IFERROR($AC282*HDF_Limited_Col!BW282/HDF_Limited_Col!$AH282," ")</f>
        <v xml:space="preserve"> </v>
      </c>
      <c r="BX282" s="26">
        <f>IFERROR($AC282*HDF_Limited_Col!BX282/HDF_Limited_Col!$AH282," ")</f>
        <v>30.082678382072466</v>
      </c>
      <c r="BY282" s="26">
        <f>IFERROR($AC282*HDF_Limited_Col!BY282/HDF_Limited_Col!$AH282," ")</f>
        <v>15.041339191036233</v>
      </c>
      <c r="BZ282" s="26">
        <f>IFERROR($AC282*HDF_Limited_Col!BZ282/HDF_Limited_Col!$AH282," ")</f>
        <v>0</v>
      </c>
      <c r="CA282" s="26">
        <f>IFERROR($AC282*HDF_Limited_Col!CA282/HDF_Limited_Col!$AH282," ")</f>
        <v>770.86863354060688</v>
      </c>
      <c r="CB282" s="26">
        <f>IFERROR($AC282*HDF_Limited_Col!CB282/HDF_Limited_Col!$AH282," ")</f>
        <v>18.801673988795287</v>
      </c>
      <c r="CC282" s="26">
        <f>IFERROR($AC282*HDF_Limited_Col!CC282/HDF_Limited_Col!$AH282," ")</f>
        <v>7.5206695955181164</v>
      </c>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row>
    <row r="283" spans="1:109">
      <c r="A283" s="26" t="s">
        <v>672</v>
      </c>
      <c r="B283" s="26" t="s">
        <v>24</v>
      </c>
      <c r="C283" s="157" t="s">
        <v>1722</v>
      </c>
      <c r="D283" s="26" t="s">
        <v>1723</v>
      </c>
      <c r="E283" s="26" t="s">
        <v>237</v>
      </c>
      <c r="F283" s="26" t="s">
        <v>29</v>
      </c>
      <c r="G283" s="26" t="s">
        <v>595</v>
      </c>
      <c r="H283" s="30">
        <v>360</v>
      </c>
      <c r="I283" s="26" t="s">
        <v>735</v>
      </c>
      <c r="J283" s="26" t="s">
        <v>1496</v>
      </c>
      <c r="K283" s="26"/>
      <c r="L283" s="26"/>
      <c r="M283" s="26" t="s">
        <v>87</v>
      </c>
      <c r="N283" s="26">
        <v>24</v>
      </c>
      <c r="O283" s="95">
        <v>24.671469883533597</v>
      </c>
      <c r="P283" s="95">
        <v>4.5466436350348163</v>
      </c>
      <c r="Q283" s="95">
        <v>8.7221326876178118</v>
      </c>
      <c r="R283" s="95">
        <v>22.939415165425096</v>
      </c>
      <c r="S283" s="95">
        <v>9.402582755446149</v>
      </c>
      <c r="T283" s="95">
        <v>10.268610114500403</v>
      </c>
      <c r="U283" s="95">
        <v>0</v>
      </c>
      <c r="V283" s="95">
        <v>2.5052934315497972</v>
      </c>
      <c r="W283" s="95">
        <v>12.28934061896032</v>
      </c>
      <c r="X283" s="95">
        <v>2.1238289995854247</v>
      </c>
      <c r="Y283" s="95">
        <v>3.2682222954785414</v>
      </c>
      <c r="Z283" s="95">
        <v>100.73753958713196</v>
      </c>
      <c r="AA283" s="26"/>
      <c r="AB283" s="26"/>
      <c r="AC283" s="26">
        <f t="shared" si="5"/>
        <v>102018.4009808929</v>
      </c>
      <c r="AD283" s="26">
        <f>IFERROR($AC283*HDF_Limited_Col!AD283/HDF_Limited_Col!$AH283," ")</f>
        <v>21647.245354862149</v>
      </c>
      <c r="AE283" s="26">
        <f>IFERROR($AC283*HDF_Limited_Col!AE283/HDF_Limited_Col!$AH283," ")</f>
        <v>25792.462550474051</v>
      </c>
      <c r="AF283" s="26">
        <f>IFERROR($AC283*HDF_Limited_Col!AF283/HDF_Limited_Col!$AH283," ")</f>
        <v>11975.07189843438</v>
      </c>
      <c r="AG283" s="26">
        <f>IFERROR($AC283*HDF_Limited_Col!AG283/HDF_Limited_Col!$AH283," ")</f>
        <v>0</v>
      </c>
      <c r="AH283" s="26">
        <f>IFERROR($AC283*HDF_Limited_Col!AH283/HDF_Limited_Col!$AH283," ")</f>
        <v>102018.4009808929</v>
      </c>
      <c r="AI283" s="26">
        <f>IFERROR($AC283*HDF_Limited_Col!AI283/HDF_Limited_Col!$AH283," ")</f>
        <v>52621.229399851072</v>
      </c>
      <c r="AJ283" s="26">
        <f>IFERROR($AC283*HDF_Limited_Col!AJ283/HDF_Limited_Col!$AH283," ")</f>
        <v>14416.14424696139</v>
      </c>
      <c r="AK283" s="26">
        <f>IFERROR($AC283*HDF_Limited_Col!AK283/HDF_Limited_Col!$AH283," ")</f>
        <v>0</v>
      </c>
      <c r="AL283" s="26">
        <f>IFERROR($AC283*HDF_Limited_Col!AL283/HDF_Limited_Col!$AH283," ")</f>
        <v>680.50648961295371</v>
      </c>
      <c r="AM283" s="26">
        <f>IFERROR($AC283*HDF_Limited_Col!AM283/HDF_Limited_Col!$AH283," ")</f>
        <v>55269.562608158682</v>
      </c>
      <c r="AN283" s="26">
        <f>IFERROR($AC283*HDF_Limited_Col!AN283/HDF_Limited_Col!$AH283," ")</f>
        <v>48.591157126339503</v>
      </c>
      <c r="AO283" s="26">
        <f>IFERROR($AC283*HDF_Limited_Col!AO283/HDF_Limited_Col!$AH283," ")</f>
        <v>759.95648586218181</v>
      </c>
      <c r="AP283" s="26">
        <f>IFERROR($AC283*HDF_Limited_Col!AP283/HDF_Limited_Col!$AH283," ")</f>
        <v>0</v>
      </c>
      <c r="AQ283" s="26">
        <f>IFERROR($AC283*HDF_Limited_Col!AQ283/HDF_Limited_Col!$AH283," ")</f>
        <v>31.089128967089263</v>
      </c>
      <c r="AR283" s="26">
        <f>IFERROR($AC283*HDF_Limited_Col!AR283/HDF_Limited_Col!$AH283," ")</f>
        <v>17.962607847651569</v>
      </c>
      <c r="AS283" s="26">
        <f>IFERROR($AC283*HDF_Limited_Col!AS283/HDF_Limited_Col!$AH283," ")</f>
        <v>0</v>
      </c>
      <c r="AT283" s="26">
        <f>IFERROR($AC283*HDF_Limited_Col!AT283/HDF_Limited_Col!$AH283," ")</f>
        <v>0</v>
      </c>
      <c r="AU283" s="26">
        <f>IFERROR($AC283*HDF_Limited_Col!AU283/HDF_Limited_Col!$AH283," ")</f>
        <v>0</v>
      </c>
      <c r="AV283" s="26">
        <f>IFERROR($AC283*HDF_Limited_Col!AV283/HDF_Limited_Col!$AH283," ")</f>
        <v>0</v>
      </c>
      <c r="AW283" s="26">
        <f>IFERROR($AC283*HDF_Limited_Col!AW283/HDF_Limited_Col!$AH283," ")</f>
        <v>0</v>
      </c>
      <c r="AX283" s="26">
        <f>IFERROR($AC283*HDF_Limited_Col!AX283/HDF_Limited_Col!$AH283," ")</f>
        <v>336.22317253296529</v>
      </c>
      <c r="AY283" s="26">
        <f>IFERROR($AC283*HDF_Limited_Col!AY283/HDF_Limited_Col!$AH283," ")</f>
        <v>2142.8470002871518</v>
      </c>
      <c r="AZ283" s="26">
        <f>IFERROR($AC283*HDF_Limited_Col!AZ283/HDF_Limited_Col!$AH283," ")</f>
        <v>18.423187536052893</v>
      </c>
      <c r="BA283" s="26">
        <f>IFERROR($AC283*HDF_Limited_Col!BA283/HDF_Limited_Col!$AH283," ")</f>
        <v>199.0855703114716</v>
      </c>
      <c r="BB283" s="26">
        <f>IFERROR($AC283*HDF_Limited_Col!BB283/HDF_Limited_Col!$AH283," ")</f>
        <v>0</v>
      </c>
      <c r="BC283" s="26">
        <f>IFERROR($AC283*HDF_Limited_Col!BC283/HDF_Limited_Col!$AH283," ")</f>
        <v>718.38916898396246</v>
      </c>
      <c r="BD283" s="26">
        <f>IFERROR($AC283*HDF_Limited_Col!BD283/HDF_Limited_Col!$AH283," ")</f>
        <v>0</v>
      </c>
      <c r="BE283" s="26">
        <f>IFERROR($AC283*HDF_Limited_Col!BE283/HDF_Limited_Col!$AH283," ")</f>
        <v>0</v>
      </c>
      <c r="BF283" s="26">
        <f>IFERROR($AC283*HDF_Limited_Col!BF283/HDF_Limited_Col!$AH283," ")</f>
        <v>0</v>
      </c>
      <c r="BG283" s="26">
        <f>IFERROR($AC283*HDF_Limited_Col!BG283/HDF_Limited_Col!$AH283," ")</f>
        <v>0</v>
      </c>
      <c r="BH283" s="26">
        <f>IFERROR($AC283*HDF_Limited_Col!BH283/HDF_Limited_Col!$AH283," ")</f>
        <v>4.6057968840132233</v>
      </c>
      <c r="BI283" s="26">
        <f>IFERROR($AC283*HDF_Limited_Col!BI283/HDF_Limited_Col!$AH283," ")</f>
        <v>5182.672943735879</v>
      </c>
      <c r="BJ283" s="26">
        <f>IFERROR($AC283*HDF_Limited_Col!BJ283/HDF_Limited_Col!$AH283," ")</f>
        <v>72.541300923208269</v>
      </c>
      <c r="BK283" s="26">
        <f>IFERROR($AC283*HDF_Limited_Col!BK283/HDF_Limited_Col!$AH283," ")</f>
        <v>320.10288343891898</v>
      </c>
      <c r="BL283" s="26">
        <f>IFERROR($AC283*HDF_Limited_Col!BL283/HDF_Limited_Col!$AH283," ")</f>
        <v>434.09635631824631</v>
      </c>
      <c r="BM283" s="26">
        <f>IFERROR($AC283*HDF_Limited_Col!BM283/HDF_Limited_Col!$AH283," ")</f>
        <v>48.360867282138848</v>
      </c>
      <c r="BN283" s="26">
        <f>IFERROR($AC283*HDF_Limited_Col!BN283/HDF_Limited_Col!$AH283," ")</f>
        <v>145.08260184641654</v>
      </c>
      <c r="BO283" s="26">
        <f>IFERROR($AC283*HDF_Limited_Col!BO283/HDF_Limited_Col!$AH283," ")</f>
        <v>15.544564483544631</v>
      </c>
      <c r="BP283" s="26">
        <f>IFERROR($AC283*HDF_Limited_Col!BP283/HDF_Limited_Col!$AH283," ")</f>
        <v>4.2603621177122317</v>
      </c>
      <c r="BQ283" s="26">
        <f>IFERROR($AC283*HDF_Limited_Col!BQ283/HDF_Limited_Col!$AH283," ")</f>
        <v>8.7510140796251239</v>
      </c>
      <c r="BR283" s="26">
        <f>IFERROR($AC283*HDF_Limited_Col!BR283/HDF_Limited_Col!$AH283," ")</f>
        <v>4.7209418061135535</v>
      </c>
      <c r="BS283" s="26">
        <f>IFERROR($AC283*HDF_Limited_Col!BS283/HDF_Limited_Col!$AH283," ")</f>
        <v>1.1514492210033058</v>
      </c>
      <c r="BT283" s="26">
        <f>IFERROR($AC283*HDF_Limited_Col!BT283/HDF_Limited_Col!$AH283," ")</f>
        <v>3.9149273514112402</v>
      </c>
      <c r="BU283" s="26">
        <f>IFERROR($AC283*HDF_Limited_Col!BU283/HDF_Limited_Col!$AH283," ")</f>
        <v>0</v>
      </c>
      <c r="BV283" s="26">
        <f>IFERROR($AC283*HDF_Limited_Col!BV283/HDF_Limited_Col!$AH283," ")</f>
        <v>1.7271738315049587</v>
      </c>
      <c r="BW283" s="26">
        <f>IFERROR($AC283*HDF_Limited_Col!BW283/HDF_Limited_Col!$AH283," ")</f>
        <v>0.4605796884013223</v>
      </c>
      <c r="BX283" s="26">
        <f>IFERROR($AC283*HDF_Limited_Col!BX283/HDF_Limited_Col!$AH283," ")</f>
        <v>5.2966664166152064</v>
      </c>
      <c r="BY283" s="26">
        <f>IFERROR($AC283*HDF_Limited_Col!BY283/HDF_Limited_Col!$AH283," ")</f>
        <v>18.192897691852234</v>
      </c>
      <c r="BZ283" s="26">
        <f>IFERROR($AC283*HDF_Limited_Col!BZ283/HDF_Limited_Col!$AH283," ")</f>
        <v>0</v>
      </c>
      <c r="CA283" s="26">
        <f>IFERROR($AC283*HDF_Limited_Col!CA283/HDF_Limited_Col!$AH283," ")</f>
        <v>55.269562608158679</v>
      </c>
      <c r="CB283" s="26">
        <f>IFERROR($AC283*HDF_Limited_Col!CB283/HDF_Limited_Col!$AH283," ")</f>
        <v>47.209418061135537</v>
      </c>
      <c r="CC283" s="26">
        <f>IFERROR($AC283*HDF_Limited_Col!CC283/HDF_Limited_Col!$AH283," ")</f>
        <v>10.017608222728759</v>
      </c>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row>
    <row r="284" spans="1:109">
      <c r="A284" s="26" t="s">
        <v>672</v>
      </c>
      <c r="B284" s="26" t="s">
        <v>24</v>
      </c>
      <c r="C284" s="157" t="s">
        <v>1722</v>
      </c>
      <c r="D284" s="26" t="s">
        <v>1723</v>
      </c>
      <c r="E284" s="26" t="s">
        <v>237</v>
      </c>
      <c r="F284" s="26" t="s">
        <v>29</v>
      </c>
      <c r="G284" s="26" t="s">
        <v>595</v>
      </c>
      <c r="H284" s="30">
        <v>360</v>
      </c>
      <c r="I284" s="26" t="s">
        <v>735</v>
      </c>
      <c r="J284" s="26" t="s">
        <v>1496</v>
      </c>
      <c r="K284" s="26"/>
      <c r="L284" s="26"/>
      <c r="M284" s="26" t="s">
        <v>89</v>
      </c>
      <c r="N284" s="26">
        <v>24</v>
      </c>
      <c r="O284" s="95">
        <v>24.871634934707959</v>
      </c>
      <c r="P284" s="95">
        <v>3.4814145235902454</v>
      </c>
      <c r="Q284" s="95">
        <v>6.1641515976509638</v>
      </c>
      <c r="R284" s="95">
        <v>26.151566744851429</v>
      </c>
      <c r="S284" s="95">
        <v>6.4610957776042488</v>
      </c>
      <c r="T284" s="95">
        <v>15.092955905211831</v>
      </c>
      <c r="U284" s="95">
        <v>0</v>
      </c>
      <c r="V284" s="95">
        <v>2.1195670775975906</v>
      </c>
      <c r="W284" s="95">
        <v>7.7410275877477215</v>
      </c>
      <c r="X284" s="95">
        <v>6.9730685016616389</v>
      </c>
      <c r="Y284" s="95">
        <v>1.2184950832565857</v>
      </c>
      <c r="Z284" s="95">
        <v>100.27497773388023</v>
      </c>
      <c r="AA284" s="26"/>
      <c r="AB284" s="26"/>
      <c r="AC284" s="26">
        <f t="shared" si="5"/>
        <v>64261.157773801868</v>
      </c>
      <c r="AD284" s="26">
        <f>IFERROR($AC284*HDF_Limited_Col!AD284/HDF_Limited_Col!$AH284," ")</f>
        <v>12668.628246835226</v>
      </c>
      <c r="AE284" s="26">
        <f>IFERROR($AC284*HDF_Limited_Col!AE284/HDF_Limited_Col!$AH284," ")</f>
        <v>22583.206874793228</v>
      </c>
      <c r="AF284" s="26">
        <f>IFERROR($AC284*HDF_Limited_Col!AF284/HDF_Limited_Col!$AH284," ")</f>
        <v>12301.421630984927</v>
      </c>
      <c r="AG284" s="26">
        <f>IFERROR($AC284*HDF_Limited_Col!AG284/HDF_Limited_Col!$AH284," ")</f>
        <v>0</v>
      </c>
      <c r="AH284" s="26">
        <f>IFERROR($AC284*HDF_Limited_Col!AH284/HDF_Limited_Col!$AH284," ")</f>
        <v>64261.157773801868</v>
      </c>
      <c r="AI284" s="26">
        <f>IFERROR($AC284*HDF_Limited_Col!AI284/HDF_Limited_Col!$AH284," ")</f>
        <v>45350.017057511606</v>
      </c>
      <c r="AJ284" s="26">
        <f>IFERROR($AC284*HDF_Limited_Col!AJ284/HDF_Limited_Col!$AH284," ")</f>
        <v>9551.0440782662099</v>
      </c>
      <c r="AK284" s="26">
        <f>IFERROR($AC284*HDF_Limited_Col!AK284/HDF_Limited_Col!$AH284," ")</f>
        <v>0</v>
      </c>
      <c r="AL284" s="26">
        <f>IFERROR($AC284*HDF_Limited_Col!AL284/HDF_Limited_Col!$AH284," ")</f>
        <v>492.05686523939715</v>
      </c>
      <c r="AM284" s="26">
        <f>IFERROR($AC284*HDF_Limited_Col!AM284/HDF_Limited_Col!$AH284," ")</f>
        <v>35068.231813703307</v>
      </c>
      <c r="AN284" s="26">
        <f>IFERROR($AC284*HDF_Limited_Col!AN284/HDF_Limited_Col!$AH284," ")</f>
        <v>172.95431606548959</v>
      </c>
      <c r="AO284" s="26">
        <f>IFERROR($AC284*HDF_Limited_Col!AO284/HDF_Limited_Col!$AH284," ")</f>
        <v>449.82810441661309</v>
      </c>
      <c r="AP284" s="26">
        <f>IFERROR($AC284*HDF_Limited_Col!AP284/HDF_Limited_Col!$AH284," ")</f>
        <v>0</v>
      </c>
      <c r="AQ284" s="26">
        <f>IFERROR($AC284*HDF_Limited_Col!AQ284/HDF_Limited_Col!$AH284," ")</f>
        <v>33.048595426526674</v>
      </c>
      <c r="AR284" s="26">
        <f>IFERROR($AC284*HDF_Limited_Col!AR284/HDF_Limited_Col!$AH284," ")</f>
        <v>11.934215015134633</v>
      </c>
      <c r="AS284" s="26">
        <f>IFERROR($AC284*HDF_Limited_Col!AS284/HDF_Limited_Col!$AH284," ")</f>
        <v>0</v>
      </c>
      <c r="AT284" s="26">
        <f>IFERROR($AC284*HDF_Limited_Col!AT284/HDF_Limited_Col!$AH284," ")</f>
        <v>0</v>
      </c>
      <c r="AU284" s="26">
        <f>IFERROR($AC284*HDF_Limited_Col!AU284/HDF_Limited_Col!$AH284," ")</f>
        <v>0</v>
      </c>
      <c r="AV284" s="26">
        <f>IFERROR($AC284*HDF_Limited_Col!AV284/HDF_Limited_Col!$AH284," ")</f>
        <v>0</v>
      </c>
      <c r="AW284" s="26">
        <f>IFERROR($AC284*HDF_Limited_Col!AW284/HDF_Limited_Col!$AH284," ")</f>
        <v>0</v>
      </c>
      <c r="AX284" s="26">
        <f>IFERROR($AC284*HDF_Limited_Col!AX284/HDF_Limited_Col!$AH284," ")</f>
        <v>242.35636646119562</v>
      </c>
      <c r="AY284" s="26">
        <f>IFERROR($AC284*HDF_Limited_Col!AY284/HDF_Limited_Col!$AH284," ")</f>
        <v>1362.3365448045995</v>
      </c>
      <c r="AZ284" s="26">
        <f>IFERROR($AC284*HDF_Limited_Col!AZ284/HDF_Limited_Col!$AH284," ")</f>
        <v>15.239074557787301</v>
      </c>
      <c r="BA284" s="26">
        <f>IFERROR($AC284*HDF_Limited_Col!BA284/HDF_Limited_Col!$AH284," ")</f>
        <v>319.28615248183269</v>
      </c>
      <c r="BB284" s="26">
        <f>IFERROR($AC284*HDF_Limited_Col!BB284/HDF_Limited_Col!$AH284," ")</f>
        <v>0</v>
      </c>
      <c r="BC284" s="26">
        <f>IFERROR($AC284*HDF_Limited_Col!BC284/HDF_Limited_Col!$AH284," ")</f>
        <v>275.2213585797972</v>
      </c>
      <c r="BD284" s="26">
        <f>IFERROR($AC284*HDF_Limited_Col!BD284/HDF_Limited_Col!$AH284," ")</f>
        <v>0</v>
      </c>
      <c r="BE284" s="26">
        <f>IFERROR($AC284*HDF_Limited_Col!BE284/HDF_Limited_Col!$AH284," ")</f>
        <v>0</v>
      </c>
      <c r="BF284" s="26">
        <f>IFERROR($AC284*HDF_Limited_Col!BF284/HDF_Limited_Col!$AH284," ")</f>
        <v>0</v>
      </c>
      <c r="BG284" s="26">
        <f>IFERROR($AC284*HDF_Limited_Col!BG284/HDF_Limited_Col!$AH284," ")</f>
        <v>0</v>
      </c>
      <c r="BH284" s="26">
        <f>IFERROR($AC284*HDF_Limited_Col!BH284/HDF_Limited_Col!$AH284," ")</f>
        <v>4.2228760822784084</v>
      </c>
      <c r="BI284" s="26">
        <f>IFERROR($AC284*HDF_Limited_Col!BI284/HDF_Limited_Col!$AH284," ")</f>
        <v>3123.0922678067709</v>
      </c>
      <c r="BJ284" s="26">
        <f>IFERROR($AC284*HDF_Limited_Col!BJ284/HDF_Limited_Col!$AH284," ")</f>
        <v>51.959736142816929</v>
      </c>
      <c r="BK284" s="26">
        <f>IFERROR($AC284*HDF_Limited_Col!BK284/HDF_Limited_Col!$AH284," ")</f>
        <v>201.96363871766303</v>
      </c>
      <c r="BL284" s="26">
        <f>IFERROR($AC284*HDF_Limited_Col!BL284/HDF_Limited_Col!$AH284," ")</f>
        <v>295.60132575948859</v>
      </c>
      <c r="BM284" s="26">
        <f>IFERROR($AC284*HDF_Limited_Col!BM284/HDF_Limited_Col!$AH284," ")</f>
        <v>35.435438429553606</v>
      </c>
      <c r="BN284" s="26">
        <f>IFERROR($AC284*HDF_Limited_Col!BN284/HDF_Limited_Col!$AH284," ")</f>
        <v>115.67008399284336</v>
      </c>
      <c r="BO284" s="26">
        <f>IFERROR($AC284*HDF_Limited_Col!BO284/HDF_Limited_Col!$AH284," ")</f>
        <v>14.321058018161558</v>
      </c>
      <c r="BP284" s="26">
        <f>IFERROR($AC284*HDF_Limited_Col!BP284/HDF_Limited_Col!$AH284," ")</f>
        <v>4.0392727743532602</v>
      </c>
      <c r="BQ284" s="26">
        <f>IFERROR($AC284*HDF_Limited_Col!BQ284/HDF_Limited_Col!$AH284," ")</f>
        <v>9.1801653962574097</v>
      </c>
      <c r="BR284" s="26">
        <f>IFERROR($AC284*HDF_Limited_Col!BR284/HDF_Limited_Col!$AH284," ")</f>
        <v>4.0392727743532602</v>
      </c>
      <c r="BS284" s="26">
        <f>IFERROR($AC284*HDF_Limited_Col!BS284/HDF_Limited_Col!$AH284," ")</f>
        <v>1.1016198475508892</v>
      </c>
      <c r="BT284" s="26">
        <f>IFERROR($AC284*HDF_Limited_Col!BT284/HDF_Limited_Col!$AH284," ")</f>
        <v>3.4884628505778159</v>
      </c>
      <c r="BU284" s="26">
        <f>IFERROR($AC284*HDF_Limited_Col!BU284/HDF_Limited_Col!$AH284," ")</f>
        <v>0</v>
      </c>
      <c r="BV284" s="26">
        <f>IFERROR($AC284*HDF_Limited_Col!BV284/HDF_Limited_Col!$AH284," ")</f>
        <v>0.91801653962574103</v>
      </c>
      <c r="BW284" s="26">
        <f>IFERROR($AC284*HDF_Limited_Col!BW284/HDF_Limited_Col!$AH284," ")</f>
        <v>0.91801653962574103</v>
      </c>
      <c r="BX284" s="26">
        <f>IFERROR($AC284*HDF_Limited_Col!BX284/HDF_Limited_Col!$AH284," ")</f>
        <v>8.9965620883322632</v>
      </c>
      <c r="BY284" s="26">
        <f>IFERROR($AC284*HDF_Limited_Col!BY284/HDF_Limited_Col!$AH284," ")</f>
        <v>11.567008399284337</v>
      </c>
      <c r="BZ284" s="26">
        <f>IFERROR($AC284*HDF_Limited_Col!BZ284/HDF_Limited_Col!$AH284," ")</f>
        <v>0</v>
      </c>
      <c r="CA284" s="26">
        <f>IFERROR($AC284*HDF_Limited_Col!CA284/HDF_Limited_Col!$AH284," ")</f>
        <v>73.257719862134124</v>
      </c>
      <c r="CB284" s="26">
        <f>IFERROR($AC284*HDF_Limited_Col!CB284/HDF_Limited_Col!$AH284," ")</f>
        <v>26.255273033296191</v>
      </c>
      <c r="CC284" s="26">
        <f>IFERROR($AC284*HDF_Limited_Col!CC284/HDF_Limited_Col!$AH284," ")</f>
        <v>5.6917025456795942</v>
      </c>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row>
    <row r="285" spans="1:109">
      <c r="A285" s="26" t="s">
        <v>672</v>
      </c>
      <c r="B285" s="26" t="s">
        <v>24</v>
      </c>
      <c r="C285" s="157" t="s">
        <v>1722</v>
      </c>
      <c r="D285" s="26" t="s">
        <v>1723</v>
      </c>
      <c r="E285" s="26" t="s">
        <v>237</v>
      </c>
      <c r="F285" s="26" t="s">
        <v>29</v>
      </c>
      <c r="G285" s="26" t="s">
        <v>595</v>
      </c>
      <c r="H285" s="30">
        <v>360</v>
      </c>
      <c r="I285" s="26" t="s">
        <v>735</v>
      </c>
      <c r="J285" s="26" t="s">
        <v>1496</v>
      </c>
      <c r="K285" s="26"/>
      <c r="L285" s="26"/>
      <c r="M285" s="26" t="s">
        <v>91</v>
      </c>
      <c r="N285" s="26">
        <v>22</v>
      </c>
      <c r="O285" s="95">
        <v>27.603701317245307</v>
      </c>
      <c r="P285" s="95">
        <v>4.5175242848716985</v>
      </c>
      <c r="Q285" s="95">
        <v>8.1803818131460471</v>
      </c>
      <c r="R285" s="95">
        <v>18.863716270612898</v>
      </c>
      <c r="S285" s="95">
        <v>8.6178897956899281</v>
      </c>
      <c r="T285" s="95">
        <v>9.83884230511471</v>
      </c>
      <c r="U285" s="95">
        <v>0</v>
      </c>
      <c r="V285" s="95">
        <v>2.2282383297002291</v>
      </c>
      <c r="W285" s="95">
        <v>14.93631903196318</v>
      </c>
      <c r="X285" s="95">
        <v>3.0625558778071644</v>
      </c>
      <c r="Y285" s="95">
        <v>2.7776669589413818</v>
      </c>
      <c r="Z285" s="95">
        <v>100.62683598509255</v>
      </c>
      <c r="AA285" s="26"/>
      <c r="AB285" s="26"/>
      <c r="AC285" s="26">
        <f t="shared" si="5"/>
        <v>123991.95623485564</v>
      </c>
      <c r="AD285" s="26">
        <f>IFERROR($AC285*HDF_Limited_Col!AD285/HDF_Limited_Col!$AH285," ")</f>
        <v>13117.536931647197</v>
      </c>
      <c r="AE285" s="26">
        <f>IFERROR($AC285*HDF_Limited_Col!AE285/HDF_Limited_Col!$AH285," ")</f>
        <v>41851.189258112478</v>
      </c>
      <c r="AF285" s="26">
        <f>IFERROR($AC285*HDF_Limited_Col!AF285/HDF_Limited_Col!$AH285," ")</f>
        <v>13117.536931647197</v>
      </c>
      <c r="AG285" s="26">
        <f>IFERROR($AC285*HDF_Limited_Col!AG285/HDF_Limited_Col!$AH285," ")</f>
        <v>0</v>
      </c>
      <c r="AH285" s="26">
        <f>IFERROR($AC285*HDF_Limited_Col!AH285/HDF_Limited_Col!$AH285," ")</f>
        <v>123991.95623485564</v>
      </c>
      <c r="AI285" s="26">
        <f>IFERROR($AC285*HDF_Limited_Col!AI285/HDF_Limited_Col!$AH285," ")</f>
        <v>69647.874660888687</v>
      </c>
      <c r="AJ285" s="26">
        <f>IFERROR($AC285*HDF_Limited_Col!AJ285/HDF_Limited_Col!$AH285," ")</f>
        <v>15881.589356529998</v>
      </c>
      <c r="AK285" s="26">
        <f>IFERROR($AC285*HDF_Limited_Col!AK285/HDF_Limited_Col!$AH285," ")</f>
        <v>0</v>
      </c>
      <c r="AL285" s="26">
        <f>IFERROR($AC285*HDF_Limited_Col!AL285/HDF_Limited_Col!$AH285," ")</f>
        <v>805.7915543726134</v>
      </c>
      <c r="AM285" s="26">
        <f>IFERROR($AC285*HDF_Limited_Col!AM285/HDF_Limited_Col!$AH285," ")</f>
        <v>100567.7831426285</v>
      </c>
      <c r="AN285" s="26">
        <f>IFERROR($AC285*HDF_Limited_Col!AN285/HDF_Limited_Col!$AH285," ")</f>
        <v>631.51570656644344</v>
      </c>
      <c r="AO285" s="26">
        <f>IFERROR($AC285*HDF_Limited_Col!AO285/HDF_Limited_Col!$AH285," ")</f>
        <v>199.88627705367156</v>
      </c>
      <c r="AP285" s="26">
        <f>IFERROR($AC285*HDF_Limited_Col!AP285/HDF_Limited_Col!$AH285," ")</f>
        <v>0</v>
      </c>
      <c r="AQ285" s="26">
        <f>IFERROR($AC285*HDF_Limited_Col!AQ285/HDF_Limited_Col!$AH285," ")</f>
        <v>45.286734644972455</v>
      </c>
      <c r="AR285" s="26">
        <f>IFERROR($AC285*HDF_Limited_Col!AR285/HDF_Limited_Col!$AH285," ")</f>
        <v>42.475833873905209</v>
      </c>
      <c r="AS285" s="26">
        <f>IFERROR($AC285*HDF_Limited_Col!AS285/HDF_Limited_Col!$AH285," ")</f>
        <v>0</v>
      </c>
      <c r="AT285" s="26">
        <f>IFERROR($AC285*HDF_Limited_Col!AT285/HDF_Limited_Col!$AH285," ")</f>
        <v>0</v>
      </c>
      <c r="AU285" s="26">
        <f>IFERROR($AC285*HDF_Limited_Col!AU285/HDF_Limited_Col!$AH285," ")</f>
        <v>0</v>
      </c>
      <c r="AV285" s="26">
        <f>IFERROR($AC285*HDF_Limited_Col!AV285/HDF_Limited_Col!$AH285," ")</f>
        <v>0</v>
      </c>
      <c r="AW285" s="26">
        <f>IFERROR($AC285*HDF_Limited_Col!AW285/HDF_Limited_Col!$AH285," ")</f>
        <v>0</v>
      </c>
      <c r="AX285" s="26">
        <f>IFERROR($AC285*HDF_Limited_Col!AX285/HDF_Limited_Col!$AH285," ")</f>
        <v>271.72040786983479</v>
      </c>
      <c r="AY285" s="26">
        <f>IFERROR($AC285*HDF_Limited_Col!AY285/HDF_Limited_Col!$AH285," ")</f>
        <v>3385.5738175965621</v>
      </c>
      <c r="AZ285" s="26">
        <f>IFERROR($AC285*HDF_Limited_Col!AZ285/HDF_Limited_Col!$AH285," ")</f>
        <v>52.470147726588792</v>
      </c>
      <c r="BA285" s="26">
        <f>IFERROR($AC285*HDF_Limited_Col!BA285/HDF_Limited_Col!$AH285," ")</f>
        <v>518.14270880006427</v>
      </c>
      <c r="BB285" s="26">
        <f>IFERROR($AC285*HDF_Limited_Col!BB285/HDF_Limited_Col!$AH285," ")</f>
        <v>0</v>
      </c>
      <c r="BC285" s="26">
        <f>IFERROR($AC285*HDF_Limited_Col!BC285/HDF_Limited_Col!$AH285," ")</f>
        <v>140.23271624546643</v>
      </c>
      <c r="BD285" s="26">
        <f>IFERROR($AC285*HDF_Limited_Col!BD285/HDF_Limited_Col!$AH285," ")</f>
        <v>0</v>
      </c>
      <c r="BE285" s="26">
        <f>IFERROR($AC285*HDF_Limited_Col!BE285/HDF_Limited_Col!$AH285," ")</f>
        <v>0</v>
      </c>
      <c r="BF285" s="26">
        <f>IFERROR($AC285*HDF_Limited_Col!BF285/HDF_Limited_Col!$AH285," ")</f>
        <v>0</v>
      </c>
      <c r="BG285" s="26">
        <f>IFERROR($AC285*HDF_Limited_Col!BG285/HDF_Limited_Col!$AH285," ")</f>
        <v>0</v>
      </c>
      <c r="BH285" s="26">
        <f>IFERROR($AC285*HDF_Limited_Col!BH285/HDF_Limited_Col!$AH285," ")</f>
        <v>5.621801542134512</v>
      </c>
      <c r="BI285" s="26">
        <f>IFERROR($AC285*HDF_Limited_Col!BI285/HDF_Limited_Col!$AH285," ")</f>
        <v>20216.622990131502</v>
      </c>
      <c r="BJ285" s="26">
        <f>IFERROR($AC285*HDF_Limited_Col!BJ285/HDF_Limited_Col!$AH285," ")</f>
        <v>106.18958468476302</v>
      </c>
      <c r="BK285" s="26">
        <f>IFERROR($AC285*HDF_Limited_Col!BK285/HDF_Limited_Col!$AH285," ")</f>
        <v>1196.1944392430657</v>
      </c>
      <c r="BL285" s="26">
        <f>IFERROR($AC285*HDF_Limited_Col!BL285/HDF_Limited_Col!$AH285," ")</f>
        <v>1511.6399702183912</v>
      </c>
      <c r="BM285" s="26">
        <f>IFERROR($AC285*HDF_Limited_Col!BM285/HDF_Limited_Col!$AH285," ")</f>
        <v>140.54503855336282</v>
      </c>
      <c r="BN285" s="26">
        <f>IFERROR($AC285*HDF_Limited_Col!BN285/HDF_Limited_Col!$AH285," ")</f>
        <v>449.74412337076097</v>
      </c>
      <c r="BO285" s="26">
        <f>IFERROR($AC285*HDF_Limited_Col!BO285/HDF_Limited_Col!$AH285," ")</f>
        <v>49.034602339728799</v>
      </c>
      <c r="BP285" s="26">
        <f>IFERROR($AC285*HDF_Limited_Col!BP285/HDF_Limited_Col!$AH285," ")</f>
        <v>12.492892315854473</v>
      </c>
      <c r="BQ285" s="26">
        <f>IFERROR($AC285*HDF_Limited_Col!BQ285/HDF_Limited_Col!$AH285," ")</f>
        <v>30.919908481739821</v>
      </c>
      <c r="BR285" s="26">
        <f>IFERROR($AC285*HDF_Limited_Col!BR285/HDF_Limited_Col!$AH285," ")</f>
        <v>15.303793086921729</v>
      </c>
      <c r="BS285" s="26">
        <f>IFERROR($AC285*HDF_Limited_Col!BS285/HDF_Limited_Col!$AH285," ")</f>
        <v>2.4985784631708943</v>
      </c>
      <c r="BT285" s="26">
        <f>IFERROR($AC285*HDF_Limited_Col!BT285/HDF_Limited_Col!$AH285," ")</f>
        <v>4.6848346184454268</v>
      </c>
      <c r="BU285" s="26">
        <f>IFERROR($AC285*HDF_Limited_Col!BU285/HDF_Limited_Col!$AH285," ")</f>
        <v>0</v>
      </c>
      <c r="BV285" s="26">
        <f>IFERROR($AC285*HDF_Limited_Col!BV285/HDF_Limited_Col!$AH285," ")</f>
        <v>3.1232230789636182</v>
      </c>
      <c r="BW285" s="26">
        <f>IFERROR($AC285*HDF_Limited_Col!BW285/HDF_Limited_Col!$AH285," ")</f>
        <v>0.31232230789636178</v>
      </c>
      <c r="BX285" s="26">
        <f>IFERROR($AC285*HDF_Limited_Col!BX285/HDF_Limited_Col!$AH285," ")</f>
        <v>11.555925392165387</v>
      </c>
      <c r="BY285" s="26">
        <f>IFERROR($AC285*HDF_Limited_Col!BY285/HDF_Limited_Col!$AH285," ")</f>
        <v>2.4985784631708943</v>
      </c>
      <c r="BZ285" s="26">
        <f>IFERROR($AC285*HDF_Limited_Col!BZ285/HDF_Limited_Col!$AH285," ")</f>
        <v>0</v>
      </c>
      <c r="CA285" s="26">
        <f>IFERROR($AC285*HDF_Limited_Col!CA285/HDF_Limited_Col!$AH285," ")</f>
        <v>93.696692368908543</v>
      </c>
      <c r="CB285" s="26">
        <f>IFERROR($AC285*HDF_Limited_Col!CB285/HDF_Limited_Col!$AH285," ")</f>
        <v>71.209486200370492</v>
      </c>
      <c r="CC285" s="26">
        <f>IFERROR($AC285*HDF_Limited_Col!CC285/HDF_Limited_Col!$AH285," ")</f>
        <v>23.736495400123495</v>
      </c>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row>
    <row r="286" spans="1:109">
      <c r="A286" s="26" t="s">
        <v>672</v>
      </c>
      <c r="B286" s="26" t="s">
        <v>24</v>
      </c>
      <c r="C286" s="157" t="s">
        <v>1722</v>
      </c>
      <c r="D286" s="26" t="s">
        <v>1723</v>
      </c>
      <c r="E286" s="26" t="s">
        <v>237</v>
      </c>
      <c r="F286" s="26" t="s">
        <v>29</v>
      </c>
      <c r="G286" s="26" t="s">
        <v>595</v>
      </c>
      <c r="H286" s="30">
        <v>360</v>
      </c>
      <c r="I286" s="26" t="s">
        <v>735</v>
      </c>
      <c r="J286" s="26" t="s">
        <v>1496</v>
      </c>
      <c r="K286" s="26"/>
      <c r="L286" s="26"/>
      <c r="M286" s="26" t="s">
        <v>93</v>
      </c>
      <c r="N286" s="26">
        <v>24</v>
      </c>
      <c r="O286" s="95">
        <v>29.30748084129683</v>
      </c>
      <c r="P286" s="95">
        <v>3.6672765261042519</v>
      </c>
      <c r="Q286" s="95">
        <v>8.3999071268309677</v>
      </c>
      <c r="R286" s="95">
        <v>37.912263751709034</v>
      </c>
      <c r="S286" s="95">
        <v>4.6097051305779697</v>
      </c>
      <c r="T286" s="95">
        <v>4.7428743899057784</v>
      </c>
      <c r="U286" s="95">
        <v>0</v>
      </c>
      <c r="V286" s="95">
        <v>1.0653540746224643</v>
      </c>
      <c r="W286" s="95">
        <v>7.7647921977291148</v>
      </c>
      <c r="X286" s="95">
        <v>1.7926631063358776</v>
      </c>
      <c r="Y286" s="95">
        <v>0.95267239365278056</v>
      </c>
      <c r="Z286" s="95">
        <v>100.21498953876507</v>
      </c>
      <c r="AA286" s="26"/>
      <c r="AB286" s="26"/>
      <c r="AC286" s="26">
        <f t="shared" si="5"/>
        <v>64458.436666576301</v>
      </c>
      <c r="AD286" s="26">
        <f>IFERROR($AC286*HDF_Limited_Col!AD286/HDF_Limited_Col!$AH286," ")</f>
        <v>11443.707958921153</v>
      </c>
      <c r="AE286" s="26">
        <f>IFERROR($AC286*HDF_Limited_Col!AE286/HDF_Limited_Col!$AH286," ")</f>
        <v>13545.613502396469</v>
      </c>
      <c r="AF286" s="26">
        <f>IFERROR($AC286*HDF_Limited_Col!AF286/HDF_Limited_Col!$AH286," ")</f>
        <v>12728.205791044958</v>
      </c>
      <c r="AG286" s="26">
        <f>IFERROR($AC286*HDF_Limited_Col!AG286/HDF_Limited_Col!$AH286," ")</f>
        <v>0</v>
      </c>
      <c r="AH286" s="26">
        <f>IFERROR($AC286*HDF_Limited_Col!AH286/HDF_Limited_Col!$AH286," ")</f>
        <v>64458.436666576301</v>
      </c>
      <c r="AI286" s="26">
        <f>IFERROR($AC286*HDF_Limited_Col!AI286/HDF_Limited_Col!$AH286," ")</f>
        <v>23354.506038614603</v>
      </c>
      <c r="AJ286" s="26">
        <f>IFERROR($AC286*HDF_Limited_Col!AJ286/HDF_Limited_Col!$AH286," ")</f>
        <v>9293.9256780666819</v>
      </c>
      <c r="AK286" s="26">
        <f>IFERROR($AC286*HDF_Limited_Col!AK286/HDF_Limited_Col!$AH286," ")</f>
        <v>0</v>
      </c>
      <c r="AL286" s="26">
        <f>IFERROR($AC286*HDF_Limited_Col!AL286/HDF_Limited_Col!$AH286," ")</f>
        <v>374.83982191976435</v>
      </c>
      <c r="AM286" s="26">
        <f>IFERROR($AC286*HDF_Limited_Col!AM286/HDF_Limited_Col!$AH286," ")</f>
        <v>36199.484359852635</v>
      </c>
      <c r="AN286" s="26">
        <f>IFERROR($AC286*HDF_Limited_Col!AN286/HDF_Limited_Col!$AH286," ")</f>
        <v>84.309766799398716</v>
      </c>
      <c r="AO286" s="26">
        <f>IFERROR($AC286*HDF_Limited_Col!AO286/HDF_Limited_Col!$AH286," ")</f>
        <v>67.728067511982331</v>
      </c>
      <c r="AP286" s="26">
        <f>IFERROR($AC286*HDF_Limited_Col!AP286/HDF_Limited_Col!$AH286," ")</f>
        <v>0</v>
      </c>
      <c r="AQ286" s="26">
        <f>IFERROR($AC286*HDF_Limited_Col!AQ286/HDF_Limited_Col!$AH286," ")</f>
        <v>22.186780736683872</v>
      </c>
      <c r="AR286" s="26">
        <f>IFERROR($AC286*HDF_Limited_Col!AR286/HDF_Limited_Col!$AH286," ")</f>
        <v>15.647519045871785</v>
      </c>
      <c r="AS286" s="26">
        <f>IFERROR($AC286*HDF_Limited_Col!AS286/HDF_Limited_Col!$AH286," ")</f>
        <v>0</v>
      </c>
      <c r="AT286" s="26">
        <f>IFERROR($AC286*HDF_Limited_Col!AT286/HDF_Limited_Col!$AH286," ")</f>
        <v>0</v>
      </c>
      <c r="AU286" s="26">
        <f>IFERROR($AC286*HDF_Limited_Col!AU286/HDF_Limited_Col!$AH286," ")</f>
        <v>0</v>
      </c>
      <c r="AV286" s="26">
        <f>IFERROR($AC286*HDF_Limited_Col!AV286/HDF_Limited_Col!$AH286," ")</f>
        <v>0</v>
      </c>
      <c r="AW286" s="26">
        <f>IFERROR($AC286*HDF_Limited_Col!AW286/HDF_Limited_Col!$AH286," ")</f>
        <v>0</v>
      </c>
      <c r="AX286" s="26">
        <f>IFERROR($AC286*HDF_Limited_Col!AX286/HDF_Limited_Col!$AH286," ")</f>
        <v>279.08634716144451</v>
      </c>
      <c r="AY286" s="26">
        <f>IFERROR($AC286*HDF_Limited_Col!AY286/HDF_Limited_Col!$AH286," ")</f>
        <v>1168.8930272326609</v>
      </c>
      <c r="AZ286" s="26">
        <f>IFERROR($AC286*HDF_Limited_Col!AZ286/HDF_Limited_Col!$AH286," ")</f>
        <v>16.23138169683715</v>
      </c>
      <c r="BA286" s="26">
        <f>IFERROR($AC286*HDF_Limited_Col!BA286/HDF_Limited_Col!$AH286," ")</f>
        <v>184.38382517486227</v>
      </c>
      <c r="BB286" s="26">
        <f>IFERROR($AC286*HDF_Limited_Col!BB286/HDF_Limited_Col!$AH286," ")</f>
        <v>0</v>
      </c>
      <c r="BC286" s="26">
        <f>IFERROR($AC286*HDF_Limited_Col!BC286/HDF_Limited_Col!$AH286," ")</f>
        <v>408.58708314556247</v>
      </c>
      <c r="BD286" s="26">
        <f>IFERROR($AC286*HDF_Limited_Col!BD286/HDF_Limited_Col!$AH286," ")</f>
        <v>0</v>
      </c>
      <c r="BE286" s="26">
        <f>IFERROR($AC286*HDF_Limited_Col!BE286/HDF_Limited_Col!$AH286," ")</f>
        <v>0</v>
      </c>
      <c r="BF286" s="26">
        <f>IFERROR($AC286*HDF_Limited_Col!BF286/HDF_Limited_Col!$AH286," ")</f>
        <v>0</v>
      </c>
      <c r="BG286" s="26">
        <f>IFERROR($AC286*HDF_Limited_Col!BG286/HDF_Limited_Col!$AH286," ")</f>
        <v>0</v>
      </c>
      <c r="BH286" s="26">
        <f>IFERROR($AC286*HDF_Limited_Col!BH286/HDF_Limited_Col!$AH286," ")</f>
        <v>4.9044462681090666</v>
      </c>
      <c r="BI286" s="26">
        <f>IFERROR($AC286*HDF_Limited_Col!BI286/HDF_Limited_Col!$AH286," ")</f>
        <v>2983.5381464330158</v>
      </c>
      <c r="BJ286" s="26">
        <f>IFERROR($AC286*HDF_Limited_Col!BJ286/HDF_Limited_Col!$AH286," ")</f>
        <v>40.870385567575553</v>
      </c>
      <c r="BK286" s="26">
        <f>IFERROR($AC286*HDF_Limited_Col!BK286/HDF_Limited_Col!$AH286," ")</f>
        <v>203.18420253594704</v>
      </c>
      <c r="BL286" s="26">
        <f>IFERROR($AC286*HDF_Limited_Col!BL286/HDF_Limited_Col!$AH286," ")</f>
        <v>290.76360018075178</v>
      </c>
      <c r="BM286" s="26">
        <f>IFERROR($AC286*HDF_Limited_Col!BM286/HDF_Limited_Col!$AH286," ")</f>
        <v>35.031759057921903</v>
      </c>
      <c r="BN286" s="26">
        <f>IFERROR($AC286*HDF_Limited_Col!BN286/HDF_Limited_Col!$AH286," ")</f>
        <v>109.76617838148861</v>
      </c>
      <c r="BO286" s="26">
        <f>IFERROR($AC286*HDF_Limited_Col!BO286/HDF_Limited_Col!$AH286," ")</f>
        <v>17.165561938381732</v>
      </c>
      <c r="BP286" s="26">
        <f>IFERROR($AC286*HDF_Limited_Col!BP286/HDF_Limited_Col!$AH286," ")</f>
        <v>4.6709012077229204</v>
      </c>
      <c r="BQ286" s="26">
        <f>IFERROR($AC286*HDF_Limited_Col!BQ286/HDF_Limited_Col!$AH286," ")</f>
        <v>7.2398968719705259</v>
      </c>
      <c r="BR286" s="26">
        <f>IFERROR($AC286*HDF_Limited_Col!BR286/HDF_Limited_Col!$AH286," ")</f>
        <v>4.3205836171437015</v>
      </c>
      <c r="BS286" s="26">
        <f>IFERROR($AC286*HDF_Limited_Col!BS286/HDF_Limited_Col!$AH286," ")</f>
        <v>2.101905543475314</v>
      </c>
      <c r="BT286" s="26">
        <f>IFERROR($AC286*HDF_Limited_Col!BT286/HDF_Limited_Col!$AH286," ")</f>
        <v>2.4522231340545333</v>
      </c>
      <c r="BU286" s="26">
        <f>IFERROR($AC286*HDF_Limited_Col!BU286/HDF_Limited_Col!$AH286," ")</f>
        <v>0</v>
      </c>
      <c r="BV286" s="26">
        <f>IFERROR($AC286*HDF_Limited_Col!BV286/HDF_Limited_Col!$AH286," ")</f>
        <v>2.2186780736683871</v>
      </c>
      <c r="BW286" s="26">
        <f>IFERROR($AC286*HDF_Limited_Col!BW286/HDF_Limited_Col!$AH286," ")</f>
        <v>2.2186780736683871</v>
      </c>
      <c r="BX286" s="26">
        <f>IFERROR($AC286*HDF_Limited_Col!BX286/HDF_Limited_Col!$AH286," ")</f>
        <v>10.042437596604278</v>
      </c>
      <c r="BY286" s="26">
        <f>IFERROR($AC286*HDF_Limited_Col!BY286/HDF_Limited_Col!$AH286," ")</f>
        <v>22.887415917842308</v>
      </c>
      <c r="BZ286" s="26">
        <f>IFERROR($AC286*HDF_Limited_Col!BZ286/HDF_Limited_Col!$AH286," ")</f>
        <v>0</v>
      </c>
      <c r="CA286" s="26">
        <f>IFERROR($AC286*HDF_Limited_Col!CA286/HDF_Limited_Col!$AH286," ")</f>
        <v>29.193132548268252</v>
      </c>
      <c r="CB286" s="26">
        <f>IFERROR($AC286*HDF_Limited_Col!CB286/HDF_Limited_Col!$AH286," ")</f>
        <v>32.696308454060443</v>
      </c>
      <c r="CC286" s="26">
        <f>IFERROR($AC286*HDF_Limited_Col!CC286/HDF_Limited_Col!$AH286," ")</f>
        <v>7.9405320531289645</v>
      </c>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row>
    <row r="287" spans="1:109">
      <c r="A287" s="26" t="s">
        <v>672</v>
      </c>
      <c r="B287" s="26" t="s">
        <v>24</v>
      </c>
      <c r="C287" s="157" t="s">
        <v>1722</v>
      </c>
      <c r="D287" s="26" t="s">
        <v>1723</v>
      </c>
      <c r="E287" s="26" t="s">
        <v>237</v>
      </c>
      <c r="F287" s="26" t="s">
        <v>29</v>
      </c>
      <c r="G287" s="26" t="s">
        <v>595</v>
      </c>
      <c r="H287" s="30">
        <v>360</v>
      </c>
      <c r="I287" s="26" t="s">
        <v>735</v>
      </c>
      <c r="J287" s="26" t="s">
        <v>1496</v>
      </c>
      <c r="K287" s="26"/>
      <c r="L287" s="26"/>
      <c r="M287" s="26" t="s">
        <v>96</v>
      </c>
      <c r="N287" s="26">
        <v>24</v>
      </c>
      <c r="O287" s="95">
        <v>22.024963044808242</v>
      </c>
      <c r="P287" s="95">
        <v>0.81687391913985141</v>
      </c>
      <c r="Q287" s="95">
        <v>5.9529686857316673</v>
      </c>
      <c r="R287" s="95">
        <v>59.825803653004868</v>
      </c>
      <c r="S287" s="95">
        <v>2.0115520258818842</v>
      </c>
      <c r="T287" s="95">
        <v>0.92919408302158091</v>
      </c>
      <c r="U287" s="95">
        <v>0</v>
      </c>
      <c r="V287" s="95">
        <v>0.97003777897857346</v>
      </c>
      <c r="W287" s="95">
        <v>5.3301023223875301</v>
      </c>
      <c r="X287" s="95">
        <v>1.3478419665807551</v>
      </c>
      <c r="Y287" s="95">
        <v>1.0210923989248144</v>
      </c>
      <c r="Z287" s="95">
        <v>100.23042987845977</v>
      </c>
      <c r="AA287" s="26"/>
      <c r="AB287" s="26"/>
      <c r="AC287" s="26">
        <f t="shared" si="5"/>
        <v>44247.167757363568</v>
      </c>
      <c r="AD287" s="26">
        <f>IFERROR($AC287*HDF_Limited_Col!AD287/HDF_Limited_Col!$AH287," ")</f>
        <v>2641.6219556634969</v>
      </c>
      <c r="AE287" s="26">
        <f>IFERROR($AC287*HDF_Limited_Col!AE287/HDF_Limited_Col!$AH287," ")</f>
        <v>7660.7036714241394</v>
      </c>
      <c r="AF287" s="26">
        <f>IFERROR($AC287*HDF_Limited_Col!AF287/HDF_Limited_Col!$AH287," ")</f>
        <v>14000.596365016532</v>
      </c>
      <c r="AG287" s="26">
        <f>IFERROR($AC287*HDF_Limited_Col!AG287/HDF_Limited_Col!$AH287," ")</f>
        <v>0</v>
      </c>
      <c r="AH287" s="26">
        <f>IFERROR($AC287*HDF_Limited_Col!AH287/HDF_Limited_Col!$AH287," ")</f>
        <v>44247.167757363568</v>
      </c>
      <c r="AI287" s="26">
        <f>IFERROR($AC287*HDF_Limited_Col!AI287/HDF_Limited_Col!$AH287," ")</f>
        <v>10170.244529304462</v>
      </c>
      <c r="AJ287" s="26">
        <f>IFERROR($AC287*HDF_Limited_Col!AJ287/HDF_Limited_Col!$AH287," ")</f>
        <v>2166.1300036440671</v>
      </c>
      <c r="AK287" s="26">
        <f>IFERROR($AC287*HDF_Limited_Col!AK287/HDF_Limited_Col!$AH287," ")</f>
        <v>0</v>
      </c>
      <c r="AL287" s="26">
        <f>IFERROR($AC287*HDF_Limited_Col!AL287/HDF_Limited_Col!$AH287," ")</f>
        <v>129.43947582751133</v>
      </c>
      <c r="AM287" s="26">
        <f>IFERROR($AC287*HDF_Limited_Col!AM287/HDF_Limited_Col!$AH287," ")</f>
        <v>10830.650018220336</v>
      </c>
      <c r="AN287" s="26">
        <f>IFERROR($AC287*HDF_Limited_Col!AN287/HDF_Limited_Col!$AH287," ")</f>
        <v>70.267144020649013</v>
      </c>
      <c r="AO287" s="26">
        <f>IFERROR($AC287*HDF_Limited_Col!AO287/HDF_Limited_Col!$AH287," ")</f>
        <v>103.02325627087637</v>
      </c>
      <c r="AP287" s="26">
        <f>IFERROR($AC287*HDF_Limited_Col!AP287/HDF_Limited_Col!$AH287," ")</f>
        <v>0</v>
      </c>
      <c r="AQ287" s="26">
        <f>IFERROR($AC287*HDF_Limited_Col!AQ287/HDF_Limited_Col!$AH287," ")</f>
        <v>26.944543947767663</v>
      </c>
      <c r="AR287" s="26">
        <f>IFERROR($AC287*HDF_Limited_Col!AR287/HDF_Limited_Col!$AH287," ")</f>
        <v>6.8682170847250905</v>
      </c>
      <c r="AS287" s="26">
        <f>IFERROR($AC287*HDF_Limited_Col!AS287/HDF_Limited_Col!$AH287," ")</f>
        <v>0</v>
      </c>
      <c r="AT287" s="26">
        <f>IFERROR($AC287*HDF_Limited_Col!AT287/HDF_Limited_Col!$AH287," ")</f>
        <v>0</v>
      </c>
      <c r="AU287" s="26">
        <f>IFERROR($AC287*HDF_Limited_Col!AU287/HDF_Limited_Col!$AH287," ")</f>
        <v>0</v>
      </c>
      <c r="AV287" s="26">
        <f>IFERROR($AC287*HDF_Limited_Col!AV287/HDF_Limited_Col!$AH287," ")</f>
        <v>0</v>
      </c>
      <c r="AW287" s="26">
        <f>IFERROR($AC287*HDF_Limited_Col!AW287/HDF_Limited_Col!$AH287," ")</f>
        <v>0</v>
      </c>
      <c r="AX287" s="26">
        <f>IFERROR($AC287*HDF_Limited_Col!AX287/HDF_Limited_Col!$AH287," ")</f>
        <v>145.28920756149233</v>
      </c>
      <c r="AY287" s="26">
        <f>IFERROR($AC287*HDF_Limited_Col!AY287/HDF_Limited_Col!$AH287," ")</f>
        <v>439.83005561797216</v>
      </c>
      <c r="AZ287" s="26">
        <f>IFERROR($AC287*HDF_Limited_Col!AZ287/HDF_Limited_Col!$AH287," ")</f>
        <v>2.6416219556634966</v>
      </c>
      <c r="BA287" s="26">
        <f>IFERROR($AC287*HDF_Limited_Col!BA287/HDF_Limited_Col!$AH287," ")</f>
        <v>26.812462849984492</v>
      </c>
      <c r="BB287" s="26">
        <f>IFERROR($AC287*HDF_Limited_Col!BB287/HDF_Limited_Col!$AH287," ")</f>
        <v>0</v>
      </c>
      <c r="BC287" s="26">
        <f>IFERROR($AC287*HDF_Limited_Col!BC287/HDF_Limited_Col!$AH287," ")</f>
        <v>85.720632461280459</v>
      </c>
      <c r="BD287" s="26">
        <f>IFERROR($AC287*HDF_Limited_Col!BD287/HDF_Limited_Col!$AH287," ")</f>
        <v>0</v>
      </c>
      <c r="BE287" s="26">
        <f>IFERROR($AC287*HDF_Limited_Col!BE287/HDF_Limited_Col!$AH287," ")</f>
        <v>0</v>
      </c>
      <c r="BF287" s="26">
        <f>IFERROR($AC287*HDF_Limited_Col!BF287/HDF_Limited_Col!$AH287," ")</f>
        <v>0</v>
      </c>
      <c r="BG287" s="26">
        <f>IFERROR($AC287*HDF_Limited_Col!BG287/HDF_Limited_Col!$AH287," ")</f>
        <v>0</v>
      </c>
      <c r="BH287" s="26">
        <f>IFERROR($AC287*HDF_Limited_Col!BH287/HDF_Limited_Col!$AH287," ")</f>
        <v>1.8491353689644476</v>
      </c>
      <c r="BI287" s="26">
        <f>IFERROR($AC287*HDF_Limited_Col!BI287/HDF_Limited_Col!$AH287," ")</f>
        <v>1783.0948200728601</v>
      </c>
      <c r="BJ287" s="26">
        <f>IFERROR($AC287*HDF_Limited_Col!BJ287/HDF_Limited_Col!$AH287," ")</f>
        <v>20.604651254175273</v>
      </c>
      <c r="BK287" s="26">
        <f>IFERROR($AC287*HDF_Limited_Col!BK287/HDF_Limited_Col!$AH287," ")</f>
        <v>108.30650018220335</v>
      </c>
      <c r="BL287" s="26">
        <f>IFERROR($AC287*HDF_Limited_Col!BL287/HDF_Limited_Col!$AH287," ")</f>
        <v>138.68515267233357</v>
      </c>
      <c r="BM287" s="26">
        <f>IFERROR($AC287*HDF_Limited_Col!BM287/HDF_Limited_Col!$AH287," ")</f>
        <v>12.151460996052084</v>
      </c>
      <c r="BN287" s="26">
        <f>IFERROR($AC287*HDF_Limited_Col!BN287/HDF_Limited_Col!$AH287," ")</f>
        <v>29.057841512298463</v>
      </c>
      <c r="BO287" s="26">
        <f>IFERROR($AC287*HDF_Limited_Col!BO287/HDF_Limited_Col!$AH287," ")</f>
        <v>2.7737030534466718</v>
      </c>
      <c r="BP287" s="26">
        <f>IFERROR($AC287*HDF_Limited_Col!BP287/HDF_Limited_Col!$AH287," ")</f>
        <v>0.92456768448222382</v>
      </c>
      <c r="BQ287" s="26">
        <f>IFERROR($AC287*HDF_Limited_Col!BQ287/HDF_Limited_Col!$AH287," ")</f>
        <v>1.3208109778317483</v>
      </c>
      <c r="BR287" s="26">
        <f>IFERROR($AC287*HDF_Limited_Col!BR287/HDF_Limited_Col!$AH287," ")</f>
        <v>0.79248658669904903</v>
      </c>
      <c r="BS287" s="26">
        <f>IFERROR($AC287*HDF_Limited_Col!BS287/HDF_Limited_Col!$AH287," ")</f>
        <v>0.66040548891587414</v>
      </c>
      <c r="BT287" s="26">
        <f>IFERROR($AC287*HDF_Limited_Col!BT287/HDF_Limited_Col!$AH287," ")</f>
        <v>0.79248658669904903</v>
      </c>
      <c r="BU287" s="26">
        <f>IFERROR($AC287*HDF_Limited_Col!BU287/HDF_Limited_Col!$AH287," ")</f>
        <v>0</v>
      </c>
      <c r="BV287" s="26">
        <f>IFERROR($AC287*HDF_Limited_Col!BV287/HDF_Limited_Col!$AH287," ")</f>
        <v>0.39624329334952452</v>
      </c>
      <c r="BW287" s="26">
        <f>IFERROR($AC287*HDF_Limited_Col!BW287/HDF_Limited_Col!$AH287," ")</f>
        <v>0.52832439113269936</v>
      </c>
      <c r="BX287" s="26">
        <f>IFERROR($AC287*HDF_Limited_Col!BX287/HDF_Limited_Col!$AH287," ")</f>
        <v>1.3208109778317483</v>
      </c>
      <c r="BY287" s="26">
        <f>IFERROR($AC287*HDF_Limited_Col!BY287/HDF_Limited_Col!$AH287," ")</f>
        <v>4.4907573246279444</v>
      </c>
      <c r="BZ287" s="26">
        <f>IFERROR($AC287*HDF_Limited_Col!BZ287/HDF_Limited_Col!$AH287," ")</f>
        <v>0</v>
      </c>
      <c r="CA287" s="26">
        <f>IFERROR($AC287*HDF_Limited_Col!CA287/HDF_Limited_Col!$AH287," ")</f>
        <v>23.774597600971468</v>
      </c>
      <c r="CB287" s="26">
        <f>IFERROR($AC287*HDF_Limited_Col!CB287/HDF_Limited_Col!$AH287," ")</f>
        <v>10.566487822653986</v>
      </c>
      <c r="CC287" s="26">
        <f>IFERROR($AC287*HDF_Limited_Col!CC287/HDF_Limited_Col!$AH287," ")</f>
        <v>2.2453786623139722</v>
      </c>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row>
    <row r="288" spans="1:109">
      <c r="A288" s="26" t="s">
        <v>827</v>
      </c>
      <c r="B288" s="26" t="s">
        <v>24</v>
      </c>
      <c r="C288" s="157" t="s">
        <v>1722</v>
      </c>
      <c r="D288" s="26" t="s">
        <v>1718</v>
      </c>
      <c r="E288" s="26" t="s">
        <v>237</v>
      </c>
      <c r="F288" s="26" t="s">
        <v>825</v>
      </c>
      <c r="G288" s="26" t="s">
        <v>595</v>
      </c>
      <c r="H288" s="30">
        <v>359</v>
      </c>
      <c r="I288" s="26" t="s">
        <v>735</v>
      </c>
      <c r="J288" s="26"/>
      <c r="K288" s="26" t="s">
        <v>115</v>
      </c>
      <c r="L288" s="26"/>
      <c r="M288" s="26" t="s">
        <v>822</v>
      </c>
      <c r="N288" s="26">
        <v>20</v>
      </c>
      <c r="O288" s="95">
        <v>26.298331278164188</v>
      </c>
      <c r="P288" s="95">
        <v>2.5093827555500181</v>
      </c>
      <c r="Q288" s="95">
        <v>5.5206420622100394</v>
      </c>
      <c r="R288" s="95">
        <v>9.0337779199800661</v>
      </c>
      <c r="S288" s="95">
        <v>6.7251457848740497</v>
      </c>
      <c r="T288" s="95">
        <v>17.565679288850127</v>
      </c>
      <c r="U288" s="95">
        <v>0.90337779199800661</v>
      </c>
      <c r="V288" s="95">
        <v>4.7176395804340343</v>
      </c>
      <c r="W288" s="95">
        <v>20.777689215954151</v>
      </c>
      <c r="X288" s="95">
        <v>4.3161383395460309</v>
      </c>
      <c r="Y288" s="95">
        <v>2.1078815146620156</v>
      </c>
      <c r="Z288" s="95">
        <v>100.47568553222274</v>
      </c>
      <c r="AA288" s="26"/>
      <c r="AB288" s="26"/>
      <c r="AC288" s="26">
        <f t="shared" si="5"/>
        <v>172483.3492383835</v>
      </c>
      <c r="AD288" s="26" t="str">
        <f>IFERROR($AC288*HDF_Limited_Col!AD288/HDF_Limited_Col!$AH288," ")</f>
        <v xml:space="preserve"> </v>
      </c>
      <c r="AE288" s="26" t="str">
        <f>IFERROR($AC288*HDF_Limited_Col!AE288/HDF_Limited_Col!$AH288," ")</f>
        <v xml:space="preserve"> </v>
      </c>
      <c r="AF288" s="26" t="str">
        <f>IFERROR($AC288*HDF_Limited_Col!AF288/HDF_Limited_Col!$AH288," ")</f>
        <v xml:space="preserve"> </v>
      </c>
      <c r="AG288" s="26" t="str">
        <f>IFERROR($AC288*HDF_Limited_Col!AG288/HDF_Limited_Col!$AH288," ")</f>
        <v xml:space="preserve"> </v>
      </c>
      <c r="AH288" s="26" t="str">
        <f>IFERROR($AC288*HDF_Limited_Col!AH288/HDF_Limited_Col!$AH288," ")</f>
        <v xml:space="preserve"> </v>
      </c>
      <c r="AI288" s="26" t="str">
        <f>IFERROR($AC288*HDF_Limited_Col!AI288/HDF_Limited_Col!$AH288," ")</f>
        <v xml:space="preserve"> </v>
      </c>
      <c r="AJ288" s="26" t="str">
        <f>IFERROR($AC288*HDF_Limited_Col!AJ288/HDF_Limited_Col!$AH288," ")</f>
        <v xml:space="preserve"> </v>
      </c>
      <c r="AK288" s="26" t="str">
        <f>IFERROR($AC288*HDF_Limited_Col!AK288/HDF_Limited_Col!$AH288," ")</f>
        <v xml:space="preserve"> </v>
      </c>
      <c r="AL288" s="26" t="str">
        <f>IFERROR($AC288*HDF_Limited_Col!AL288/HDF_Limited_Col!$AH288," ")</f>
        <v xml:space="preserve"> </v>
      </c>
      <c r="AM288" s="26" t="str">
        <f>IFERROR($AC288*HDF_Limited_Col!AM288/HDF_Limited_Col!$AH288," ")</f>
        <v xml:space="preserve"> </v>
      </c>
      <c r="AN288" s="26" t="str">
        <f>IFERROR($AC288*HDF_Limited_Col!AN288/HDF_Limited_Col!$AH288," ")</f>
        <v xml:space="preserve"> </v>
      </c>
      <c r="AO288" s="26" t="str">
        <f>IFERROR($AC288*HDF_Limited_Col!AO288/HDF_Limited_Col!$AH288," ")</f>
        <v xml:space="preserve"> </v>
      </c>
      <c r="AP288" s="26" t="str">
        <f>IFERROR($AC288*HDF_Limited_Col!AP288/HDF_Limited_Col!$AH288," ")</f>
        <v xml:space="preserve"> </v>
      </c>
      <c r="AQ288" s="26" t="str">
        <f>IFERROR($AC288*HDF_Limited_Col!AQ288/HDF_Limited_Col!$AH288," ")</f>
        <v xml:space="preserve"> </v>
      </c>
      <c r="AR288" s="26" t="str">
        <f>IFERROR($AC288*HDF_Limited_Col!AR288/HDF_Limited_Col!$AH288," ")</f>
        <v xml:space="preserve"> </v>
      </c>
      <c r="AS288" s="26" t="str">
        <f>IFERROR($AC288*HDF_Limited_Col!AS288/HDF_Limited_Col!$AH288," ")</f>
        <v xml:space="preserve"> </v>
      </c>
      <c r="AT288" s="26" t="str">
        <f>IFERROR($AC288*HDF_Limited_Col!AT288/HDF_Limited_Col!$AH288," ")</f>
        <v xml:space="preserve"> </v>
      </c>
      <c r="AU288" s="26" t="str">
        <f>IFERROR($AC288*HDF_Limited_Col!AU288/HDF_Limited_Col!$AH288," ")</f>
        <v xml:space="preserve"> </v>
      </c>
      <c r="AV288" s="26" t="str">
        <f>IFERROR($AC288*HDF_Limited_Col!AV288/HDF_Limited_Col!$AH288," ")</f>
        <v xml:space="preserve"> </v>
      </c>
      <c r="AW288" s="26" t="str">
        <f>IFERROR($AC288*HDF_Limited_Col!AW288/HDF_Limited_Col!$AH288," ")</f>
        <v xml:space="preserve"> </v>
      </c>
      <c r="AX288" s="26" t="str">
        <f>IFERROR($AC288*HDF_Limited_Col!AX288/HDF_Limited_Col!$AH288," ")</f>
        <v xml:space="preserve"> </v>
      </c>
      <c r="AY288" s="26" t="str">
        <f>IFERROR($AC288*HDF_Limited_Col!AY288/HDF_Limited_Col!$AH288," ")</f>
        <v xml:space="preserve"> </v>
      </c>
      <c r="AZ288" s="26" t="str">
        <f>IFERROR($AC288*HDF_Limited_Col!AZ288/HDF_Limited_Col!$AH288," ")</f>
        <v xml:space="preserve"> </v>
      </c>
      <c r="BA288" s="26" t="str">
        <f>IFERROR($AC288*HDF_Limited_Col!BA288/HDF_Limited_Col!$AH288," ")</f>
        <v xml:space="preserve"> </v>
      </c>
      <c r="BB288" s="26" t="str">
        <f>IFERROR($AC288*HDF_Limited_Col!BB288/HDF_Limited_Col!$AH288," ")</f>
        <v xml:space="preserve"> </v>
      </c>
      <c r="BC288" s="26" t="str">
        <f>IFERROR($AC288*HDF_Limited_Col!BC288/HDF_Limited_Col!$AH288," ")</f>
        <v xml:space="preserve"> </v>
      </c>
      <c r="BD288" s="26" t="str">
        <f>IFERROR($AC288*HDF_Limited_Col!BD288/HDF_Limited_Col!$AH288," ")</f>
        <v xml:space="preserve"> </v>
      </c>
      <c r="BE288" s="26" t="str">
        <f>IFERROR($AC288*HDF_Limited_Col!BE288/HDF_Limited_Col!$AH288," ")</f>
        <v xml:space="preserve"> </v>
      </c>
      <c r="BF288" s="26" t="str">
        <f>IFERROR($AC288*HDF_Limited_Col!BF288/HDF_Limited_Col!$AH288," ")</f>
        <v xml:space="preserve"> </v>
      </c>
      <c r="BG288" s="26" t="str">
        <f>IFERROR($AC288*HDF_Limited_Col!BG288/HDF_Limited_Col!$AH288," ")</f>
        <v xml:space="preserve"> </v>
      </c>
      <c r="BH288" s="26" t="str">
        <f>IFERROR($AC288*HDF_Limited_Col!BH288/HDF_Limited_Col!$AH288," ")</f>
        <v xml:space="preserve"> </v>
      </c>
      <c r="BI288" s="26" t="str">
        <f>IFERROR($AC288*HDF_Limited_Col!BI288/HDF_Limited_Col!$AH288," ")</f>
        <v xml:space="preserve"> </v>
      </c>
      <c r="BJ288" s="26" t="str">
        <f>IFERROR($AC288*HDF_Limited_Col!BJ288/HDF_Limited_Col!$AH288," ")</f>
        <v xml:space="preserve"> </v>
      </c>
      <c r="BK288" s="26" t="str">
        <f>IFERROR($AC288*HDF_Limited_Col!BK288/HDF_Limited_Col!$AH288," ")</f>
        <v xml:space="preserve"> </v>
      </c>
      <c r="BL288" s="26" t="str">
        <f>IFERROR($AC288*HDF_Limited_Col!BL288/HDF_Limited_Col!$AH288," ")</f>
        <v xml:space="preserve"> </v>
      </c>
      <c r="BM288" s="26" t="str">
        <f>IFERROR($AC288*HDF_Limited_Col!BM288/HDF_Limited_Col!$AH288," ")</f>
        <v xml:space="preserve"> </v>
      </c>
      <c r="BN288" s="26" t="str">
        <f>IFERROR($AC288*HDF_Limited_Col!BN288/HDF_Limited_Col!$AH288," ")</f>
        <v xml:space="preserve"> </v>
      </c>
      <c r="BO288" s="26" t="str">
        <f>IFERROR($AC288*HDF_Limited_Col!BO288/HDF_Limited_Col!$AH288," ")</f>
        <v xml:space="preserve"> </v>
      </c>
      <c r="BP288" s="26" t="str">
        <f>IFERROR($AC288*HDF_Limited_Col!BP288/HDF_Limited_Col!$AH288," ")</f>
        <v xml:space="preserve"> </v>
      </c>
      <c r="BQ288" s="26" t="str">
        <f>IFERROR($AC288*HDF_Limited_Col!BQ288/HDF_Limited_Col!$AH288," ")</f>
        <v xml:space="preserve"> </v>
      </c>
      <c r="BR288" s="26" t="str">
        <f>IFERROR($AC288*HDF_Limited_Col!BR288/HDF_Limited_Col!$AH288," ")</f>
        <v xml:space="preserve"> </v>
      </c>
      <c r="BS288" s="26" t="str">
        <f>IFERROR($AC288*HDF_Limited_Col!BS288/HDF_Limited_Col!$AH288," ")</f>
        <v xml:space="preserve"> </v>
      </c>
      <c r="BT288" s="26" t="str">
        <f>IFERROR($AC288*HDF_Limited_Col!BT288/HDF_Limited_Col!$AH288," ")</f>
        <v xml:space="preserve"> </v>
      </c>
      <c r="BU288" s="26" t="str">
        <f>IFERROR($AC288*HDF_Limited_Col!BU288/HDF_Limited_Col!$AH288," ")</f>
        <v xml:space="preserve"> </v>
      </c>
      <c r="BV288" s="26" t="str">
        <f>IFERROR($AC288*HDF_Limited_Col!BV288/HDF_Limited_Col!$AH288," ")</f>
        <v xml:space="preserve"> </v>
      </c>
      <c r="BW288" s="26" t="str">
        <f>IFERROR($AC288*HDF_Limited_Col!BW288/HDF_Limited_Col!$AH288," ")</f>
        <v xml:space="preserve"> </v>
      </c>
      <c r="BX288" s="26" t="str">
        <f>IFERROR($AC288*HDF_Limited_Col!BX288/HDF_Limited_Col!$AH288," ")</f>
        <v xml:space="preserve"> </v>
      </c>
      <c r="BY288" s="26" t="str">
        <f>IFERROR($AC288*HDF_Limited_Col!BY288/HDF_Limited_Col!$AH288," ")</f>
        <v xml:space="preserve"> </v>
      </c>
      <c r="BZ288" s="26" t="str">
        <f>IFERROR($AC288*HDF_Limited_Col!BZ288/HDF_Limited_Col!$AH288," ")</f>
        <v xml:space="preserve"> </v>
      </c>
      <c r="CA288" s="26" t="str">
        <f>IFERROR($AC288*HDF_Limited_Col!CA288/HDF_Limited_Col!$AH288," ")</f>
        <v xml:space="preserve"> </v>
      </c>
      <c r="CB288" s="26" t="str">
        <f>IFERROR($AC288*HDF_Limited_Col!CB288/HDF_Limited_Col!$AH288," ")</f>
        <v xml:space="preserve"> </v>
      </c>
      <c r="CC288" s="26" t="str">
        <f>IFERROR($AC288*HDF_Limited_Col!CC288/HDF_Limited_Col!$AH288," ")</f>
        <v xml:space="preserve"> </v>
      </c>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row>
    <row r="289" spans="1:109">
      <c r="A289" s="26" t="s">
        <v>844</v>
      </c>
      <c r="B289" s="26" t="s">
        <v>24</v>
      </c>
      <c r="C289" s="157" t="s">
        <v>1722</v>
      </c>
      <c r="D289" s="26" t="s">
        <v>1721</v>
      </c>
      <c r="E289" s="26" t="s">
        <v>237</v>
      </c>
      <c r="F289" s="26" t="s">
        <v>238</v>
      </c>
      <c r="G289" s="26" t="s">
        <v>595</v>
      </c>
      <c r="H289" s="30">
        <v>355</v>
      </c>
      <c r="I289" s="26" t="s">
        <v>712</v>
      </c>
      <c r="J289" s="26"/>
      <c r="K289" s="26" t="s">
        <v>488</v>
      </c>
      <c r="L289" s="26"/>
      <c r="M289" s="26" t="s">
        <v>487</v>
      </c>
      <c r="N289" s="26">
        <v>40</v>
      </c>
      <c r="O289" s="95">
        <v>33.979368027235175</v>
      </c>
      <c r="P289" s="95">
        <v>4.9343951830854555</v>
      </c>
      <c r="Q289" s="95">
        <v>5.3874534234485916</v>
      </c>
      <c r="R289" s="95">
        <v>15.069111038165167</v>
      </c>
      <c r="S289" s="95">
        <v>8.3717283545362022</v>
      </c>
      <c r="T289" s="95">
        <v>13.394765367257925</v>
      </c>
      <c r="U289" s="95">
        <v>0</v>
      </c>
      <c r="V289" s="95">
        <v>1.5463074725437458</v>
      </c>
      <c r="W289" s="95">
        <v>12.311365227259122</v>
      </c>
      <c r="X289" s="95">
        <v>3.5259750010870126</v>
      </c>
      <c r="Y289" s="95">
        <v>1.9107238832706157</v>
      </c>
      <c r="Z289" s="95">
        <v>100.43119297788903</v>
      </c>
      <c r="AA289" s="26"/>
      <c r="AB289" s="26"/>
      <c r="AC289" s="26">
        <f t="shared" si="5"/>
        <v>102201.23547059754</v>
      </c>
      <c r="AD289" s="26" t="str">
        <f>IFERROR($AC289*HDF_Limited_Col!AD289/HDF_Limited_Col!$AH289," ")</f>
        <v xml:space="preserve"> </v>
      </c>
      <c r="AE289" s="26" t="str">
        <f>IFERROR($AC289*HDF_Limited_Col!AE289/HDF_Limited_Col!$AH289," ")</f>
        <v xml:space="preserve"> </v>
      </c>
      <c r="AF289" s="26" t="str">
        <f>IFERROR($AC289*HDF_Limited_Col!AF289/HDF_Limited_Col!$AH289," ")</f>
        <v xml:space="preserve"> </v>
      </c>
      <c r="AG289" s="26" t="str">
        <f>IFERROR($AC289*HDF_Limited_Col!AG289/HDF_Limited_Col!$AH289," ")</f>
        <v xml:space="preserve"> </v>
      </c>
      <c r="AH289" s="26" t="str">
        <f>IFERROR($AC289*HDF_Limited_Col!AH289/HDF_Limited_Col!$AH289," ")</f>
        <v xml:space="preserve"> </v>
      </c>
      <c r="AI289" s="26" t="str">
        <f>IFERROR($AC289*HDF_Limited_Col!AI289/HDF_Limited_Col!$AH289," ")</f>
        <v xml:space="preserve"> </v>
      </c>
      <c r="AJ289" s="26" t="str">
        <f>IFERROR($AC289*HDF_Limited_Col!AJ289/HDF_Limited_Col!$AH289," ")</f>
        <v xml:space="preserve"> </v>
      </c>
      <c r="AK289" s="26" t="str">
        <f>IFERROR($AC289*HDF_Limited_Col!AK289/HDF_Limited_Col!$AH289," ")</f>
        <v xml:space="preserve"> </v>
      </c>
      <c r="AL289" s="26" t="str">
        <f>IFERROR($AC289*HDF_Limited_Col!AL289/HDF_Limited_Col!$AH289," ")</f>
        <v xml:space="preserve"> </v>
      </c>
      <c r="AM289" s="26" t="str">
        <f>IFERROR($AC289*HDF_Limited_Col!AM289/HDF_Limited_Col!$AH289," ")</f>
        <v xml:space="preserve"> </v>
      </c>
      <c r="AN289" s="26" t="str">
        <f>IFERROR($AC289*HDF_Limited_Col!AN289/HDF_Limited_Col!$AH289," ")</f>
        <v xml:space="preserve"> </v>
      </c>
      <c r="AO289" s="26" t="str">
        <f>IFERROR($AC289*HDF_Limited_Col!AO289/HDF_Limited_Col!$AH289," ")</f>
        <v xml:space="preserve"> </v>
      </c>
      <c r="AP289" s="26" t="str">
        <f>IFERROR($AC289*HDF_Limited_Col!AP289/HDF_Limited_Col!$AH289," ")</f>
        <v xml:space="preserve"> </v>
      </c>
      <c r="AQ289" s="26" t="str">
        <f>IFERROR($AC289*HDF_Limited_Col!AQ289/HDF_Limited_Col!$AH289," ")</f>
        <v xml:space="preserve"> </v>
      </c>
      <c r="AR289" s="26" t="str">
        <f>IFERROR($AC289*HDF_Limited_Col!AR289/HDF_Limited_Col!$AH289," ")</f>
        <v xml:space="preserve"> </v>
      </c>
      <c r="AS289" s="26" t="str">
        <f>IFERROR($AC289*HDF_Limited_Col!AS289/HDF_Limited_Col!$AH289," ")</f>
        <v xml:space="preserve"> </v>
      </c>
      <c r="AT289" s="26" t="str">
        <f>IFERROR($AC289*HDF_Limited_Col!AT289/HDF_Limited_Col!$AH289," ")</f>
        <v xml:space="preserve"> </v>
      </c>
      <c r="AU289" s="26" t="str">
        <f>IFERROR($AC289*HDF_Limited_Col!AU289/HDF_Limited_Col!$AH289," ")</f>
        <v xml:space="preserve"> </v>
      </c>
      <c r="AV289" s="26" t="str">
        <f>IFERROR($AC289*HDF_Limited_Col!AV289/HDF_Limited_Col!$AH289," ")</f>
        <v xml:space="preserve"> </v>
      </c>
      <c r="AW289" s="26" t="str">
        <f>IFERROR($AC289*HDF_Limited_Col!AW289/HDF_Limited_Col!$AH289," ")</f>
        <v xml:space="preserve"> </v>
      </c>
      <c r="AX289" s="26" t="str">
        <f>IFERROR($AC289*HDF_Limited_Col!AX289/HDF_Limited_Col!$AH289," ")</f>
        <v xml:space="preserve"> </v>
      </c>
      <c r="AY289" s="26" t="str">
        <f>IFERROR($AC289*HDF_Limited_Col!AY289/HDF_Limited_Col!$AH289," ")</f>
        <v xml:space="preserve"> </v>
      </c>
      <c r="AZ289" s="26" t="str">
        <f>IFERROR($AC289*HDF_Limited_Col!AZ289/HDF_Limited_Col!$AH289," ")</f>
        <v xml:space="preserve"> </v>
      </c>
      <c r="BA289" s="26" t="str">
        <f>IFERROR($AC289*HDF_Limited_Col!BA289/HDF_Limited_Col!$AH289," ")</f>
        <v xml:space="preserve"> </v>
      </c>
      <c r="BB289" s="26" t="str">
        <f>IFERROR($AC289*HDF_Limited_Col!BB289/HDF_Limited_Col!$AH289," ")</f>
        <v xml:space="preserve"> </v>
      </c>
      <c r="BC289" s="26" t="str">
        <f>IFERROR($AC289*HDF_Limited_Col!BC289/HDF_Limited_Col!$AH289," ")</f>
        <v xml:space="preserve"> </v>
      </c>
      <c r="BD289" s="26" t="str">
        <f>IFERROR($AC289*HDF_Limited_Col!BD289/HDF_Limited_Col!$AH289," ")</f>
        <v xml:space="preserve"> </v>
      </c>
      <c r="BE289" s="26" t="str">
        <f>IFERROR($AC289*HDF_Limited_Col!BE289/HDF_Limited_Col!$AH289," ")</f>
        <v xml:space="preserve"> </v>
      </c>
      <c r="BF289" s="26" t="str">
        <f>IFERROR($AC289*HDF_Limited_Col!BF289/HDF_Limited_Col!$AH289," ")</f>
        <v xml:space="preserve"> </v>
      </c>
      <c r="BG289" s="26" t="str">
        <f>IFERROR($AC289*HDF_Limited_Col!BG289/HDF_Limited_Col!$AH289," ")</f>
        <v xml:space="preserve"> </v>
      </c>
      <c r="BH289" s="26" t="str">
        <f>IFERROR($AC289*HDF_Limited_Col!BH289/HDF_Limited_Col!$AH289," ")</f>
        <v xml:space="preserve"> </v>
      </c>
      <c r="BI289" s="26" t="str">
        <f>IFERROR($AC289*HDF_Limited_Col!BI289/HDF_Limited_Col!$AH289," ")</f>
        <v xml:space="preserve"> </v>
      </c>
      <c r="BJ289" s="26" t="str">
        <f>IFERROR($AC289*HDF_Limited_Col!BJ289/HDF_Limited_Col!$AH289," ")</f>
        <v xml:space="preserve"> </v>
      </c>
      <c r="BK289" s="26" t="str">
        <f>IFERROR($AC289*HDF_Limited_Col!BK289/HDF_Limited_Col!$AH289," ")</f>
        <v xml:space="preserve"> </v>
      </c>
      <c r="BL289" s="26" t="str">
        <f>IFERROR($AC289*HDF_Limited_Col!BL289/HDF_Limited_Col!$AH289," ")</f>
        <v xml:space="preserve"> </v>
      </c>
      <c r="BM289" s="26" t="str">
        <f>IFERROR($AC289*HDF_Limited_Col!BM289/HDF_Limited_Col!$AH289," ")</f>
        <v xml:space="preserve"> </v>
      </c>
      <c r="BN289" s="26" t="str">
        <f>IFERROR($AC289*HDF_Limited_Col!BN289/HDF_Limited_Col!$AH289," ")</f>
        <v xml:space="preserve"> </v>
      </c>
      <c r="BO289" s="26" t="str">
        <f>IFERROR($AC289*HDF_Limited_Col!BO289/HDF_Limited_Col!$AH289," ")</f>
        <v xml:space="preserve"> </v>
      </c>
      <c r="BP289" s="26" t="str">
        <f>IFERROR($AC289*HDF_Limited_Col!BP289/HDF_Limited_Col!$AH289," ")</f>
        <v xml:space="preserve"> </v>
      </c>
      <c r="BQ289" s="26" t="str">
        <f>IFERROR($AC289*HDF_Limited_Col!BQ289/HDF_Limited_Col!$AH289," ")</f>
        <v xml:space="preserve"> </v>
      </c>
      <c r="BR289" s="26" t="str">
        <f>IFERROR($AC289*HDF_Limited_Col!BR289/HDF_Limited_Col!$AH289," ")</f>
        <v xml:space="preserve"> </v>
      </c>
      <c r="BS289" s="26" t="str">
        <f>IFERROR($AC289*HDF_Limited_Col!BS289/HDF_Limited_Col!$AH289," ")</f>
        <v xml:space="preserve"> </v>
      </c>
      <c r="BT289" s="26" t="str">
        <f>IFERROR($AC289*HDF_Limited_Col!BT289/HDF_Limited_Col!$AH289," ")</f>
        <v xml:space="preserve"> </v>
      </c>
      <c r="BU289" s="26" t="str">
        <f>IFERROR($AC289*HDF_Limited_Col!BU289/HDF_Limited_Col!$AH289," ")</f>
        <v xml:space="preserve"> </v>
      </c>
      <c r="BV289" s="26" t="str">
        <f>IFERROR($AC289*HDF_Limited_Col!BV289/HDF_Limited_Col!$AH289," ")</f>
        <v xml:space="preserve"> </v>
      </c>
      <c r="BW289" s="26" t="str">
        <f>IFERROR($AC289*HDF_Limited_Col!BW289/HDF_Limited_Col!$AH289," ")</f>
        <v xml:space="preserve"> </v>
      </c>
      <c r="BX289" s="26" t="str">
        <f>IFERROR($AC289*HDF_Limited_Col!BX289/HDF_Limited_Col!$AH289," ")</f>
        <v xml:space="preserve"> </v>
      </c>
      <c r="BY289" s="26" t="str">
        <f>IFERROR($AC289*HDF_Limited_Col!BY289/HDF_Limited_Col!$AH289," ")</f>
        <v xml:space="preserve"> </v>
      </c>
      <c r="BZ289" s="26" t="str">
        <f>IFERROR($AC289*HDF_Limited_Col!BZ289/HDF_Limited_Col!$AH289," ")</f>
        <v xml:space="preserve"> </v>
      </c>
      <c r="CA289" s="26" t="str">
        <f>IFERROR($AC289*HDF_Limited_Col!CA289/HDF_Limited_Col!$AH289," ")</f>
        <v xml:space="preserve"> </v>
      </c>
      <c r="CB289" s="26" t="str">
        <f>IFERROR($AC289*HDF_Limited_Col!CB289/HDF_Limited_Col!$AH289," ")</f>
        <v xml:space="preserve"> </v>
      </c>
      <c r="CC289" s="26" t="str">
        <f>IFERROR($AC289*HDF_Limited_Col!CC289/HDF_Limited_Col!$AH289," ")</f>
        <v xml:space="preserve"> </v>
      </c>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row>
    <row r="290" spans="1:109">
      <c r="A290" s="26" t="s">
        <v>836</v>
      </c>
      <c r="B290" s="26" t="s">
        <v>24</v>
      </c>
      <c r="C290" s="157" t="s">
        <v>1722</v>
      </c>
      <c r="D290" s="26" t="s">
        <v>1705</v>
      </c>
      <c r="E290" s="26" t="s">
        <v>237</v>
      </c>
      <c r="F290" s="26" t="s">
        <v>163</v>
      </c>
      <c r="G290" s="26" t="s">
        <v>595</v>
      </c>
      <c r="H290" s="30">
        <v>355</v>
      </c>
      <c r="I290" s="26" t="s">
        <v>1148</v>
      </c>
      <c r="J290" s="153" t="s">
        <v>635</v>
      </c>
      <c r="K290" s="26" t="s">
        <v>128</v>
      </c>
      <c r="L290" s="26" t="s">
        <v>1509</v>
      </c>
      <c r="M290" s="26" t="s">
        <v>380</v>
      </c>
      <c r="N290" s="26">
        <v>17</v>
      </c>
      <c r="O290" s="95">
        <v>31.698952281746891</v>
      </c>
      <c r="P290" s="95">
        <v>2.3547793123583403</v>
      </c>
      <c r="Q290" s="95">
        <v>5.5548640188965974</v>
      </c>
      <c r="R290" s="95">
        <v>11.170106994520332</v>
      </c>
      <c r="S290" s="95">
        <v>10.365054238158507</v>
      </c>
      <c r="T290" s="95">
        <v>9.1675382630702913</v>
      </c>
      <c r="U290" s="95">
        <v>1.1170106994520332</v>
      </c>
      <c r="V290" s="95">
        <v>3.9145690278093781</v>
      </c>
      <c r="W290" s="95">
        <v>18.415581801776764</v>
      </c>
      <c r="X290" s="95">
        <v>3.7636216359915355</v>
      </c>
      <c r="Y290" s="95">
        <v>3.2000847065382572</v>
      </c>
      <c r="Z290" s="95">
        <v>100.72216298031894</v>
      </c>
      <c r="AA290" s="26"/>
      <c r="AB290" s="26"/>
      <c r="AC290" s="26">
        <f t="shared" si="5"/>
        <v>152874.61441597153</v>
      </c>
      <c r="AD290" s="26">
        <f>IFERROR($AC290*HDF_Limited_Col!AD290/HDF_Limited_Col!$AH290," ")</f>
        <v>0</v>
      </c>
      <c r="AE290" s="26">
        <f>IFERROR($AC290*HDF_Limited_Col!AE290/HDF_Limited_Col!$AH290," ")</f>
        <v>0</v>
      </c>
      <c r="AF290" s="26">
        <f>IFERROR($AC290*HDF_Limited_Col!AF290/HDF_Limited_Col!$AH290," ")</f>
        <v>0</v>
      </c>
      <c r="AG290" s="26">
        <f>IFERROR($AC290*HDF_Limited_Col!AG290/HDF_Limited_Col!$AH290," ")</f>
        <v>0</v>
      </c>
      <c r="AH290" s="26">
        <f>IFERROR($AC290*HDF_Limited_Col!AH290/HDF_Limited_Col!$AH290," ")</f>
        <v>152874.61441597153</v>
      </c>
      <c r="AI290" s="26">
        <f>IFERROR($AC290*HDF_Limited_Col!AI290/HDF_Limited_Col!$AH290," ")</f>
        <v>0</v>
      </c>
      <c r="AJ290" s="26">
        <f>IFERROR($AC290*HDF_Limited_Col!AJ290/HDF_Limited_Col!$AH290," ")</f>
        <v>24500.320803556689</v>
      </c>
      <c r="AK290" s="26">
        <f>IFERROR($AC290*HDF_Limited_Col!AK290/HDF_Limited_Col!$AH290," ")</f>
        <v>0</v>
      </c>
      <c r="AL290" s="26">
        <f>IFERROR($AC290*HDF_Limited_Col!AL290/HDF_Limited_Col!$AH290," ")</f>
        <v>0</v>
      </c>
      <c r="AM290" s="26">
        <f>IFERROR($AC290*HDF_Limited_Col!AM290/HDF_Limited_Col!$AH290," ")</f>
        <v>0</v>
      </c>
      <c r="AN290" s="26">
        <f>IFERROR($AC290*HDF_Limited_Col!AN290/HDF_Limited_Col!$AH290," ")</f>
        <v>0</v>
      </c>
      <c r="AO290" s="26">
        <f>IFERROR($AC290*HDF_Limited_Col!AO290/HDF_Limited_Col!$AH290," ")</f>
        <v>0</v>
      </c>
      <c r="AP290" s="26">
        <f>IFERROR($AC290*HDF_Limited_Col!AP290/HDF_Limited_Col!$AH290," ")</f>
        <v>0</v>
      </c>
      <c r="AQ290" s="26">
        <f>IFERROR($AC290*HDF_Limited_Col!AQ290/HDF_Limited_Col!$AH290," ")</f>
        <v>0</v>
      </c>
      <c r="AR290" s="26">
        <f>IFERROR($AC290*HDF_Limited_Col!AR290/HDF_Limited_Col!$AH290," ")</f>
        <v>0</v>
      </c>
      <c r="AS290" s="26">
        <f>IFERROR($AC290*HDF_Limited_Col!AS290/HDF_Limited_Col!$AH290," ")</f>
        <v>0</v>
      </c>
      <c r="AT290" s="26">
        <f>IFERROR($AC290*HDF_Limited_Col!AT290/HDF_Limited_Col!$AH290," ")</f>
        <v>0</v>
      </c>
      <c r="AU290" s="26">
        <f>IFERROR($AC290*HDF_Limited_Col!AU290/HDF_Limited_Col!$AH290," ")</f>
        <v>0</v>
      </c>
      <c r="AV290" s="26">
        <f>IFERROR($AC290*HDF_Limited_Col!AV290/HDF_Limited_Col!$AH290," ")</f>
        <v>0</v>
      </c>
      <c r="AW290" s="26">
        <f>IFERROR($AC290*HDF_Limited_Col!AW290/HDF_Limited_Col!$AH290," ")</f>
        <v>0</v>
      </c>
      <c r="AX290" s="26" t="str">
        <f>IFERROR($AC290*HDF_Limited_Col!AX290/HDF_Limited_Col!$AH290," ")</f>
        <v xml:space="preserve"> </v>
      </c>
      <c r="AY290" s="26">
        <f>IFERROR($AC290*HDF_Limited_Col!AY290/HDF_Limited_Col!$AH290," ")</f>
        <v>3649.9003074154116</v>
      </c>
      <c r="AZ290" s="26">
        <f>IFERROR($AC290*HDF_Limited_Col!AZ290/HDF_Limited_Col!$AH290," ")</f>
        <v>26.863266262577426</v>
      </c>
      <c r="BA290" s="26">
        <f>IFERROR($AC290*HDF_Limited_Col!BA290/HDF_Limited_Col!$AH290," ")</f>
        <v>415.35865498387381</v>
      </c>
      <c r="BB290" s="26">
        <f>IFERROR($AC290*HDF_Limited_Col!BB290/HDF_Limited_Col!$AH290," ")</f>
        <v>0</v>
      </c>
      <c r="BC290" s="26">
        <f>IFERROR($AC290*HDF_Limited_Col!BC290/HDF_Limited_Col!$AH290," ")</f>
        <v>60.880337127689067</v>
      </c>
      <c r="BD290" s="26">
        <f>IFERROR($AC290*HDF_Limited_Col!BD290/HDF_Limited_Col!$AH290," ")</f>
        <v>0</v>
      </c>
      <c r="BE290" s="26">
        <f>IFERROR($AC290*HDF_Limited_Col!BE290/HDF_Limited_Col!$AH290," ")</f>
        <v>0</v>
      </c>
      <c r="BF290" s="26">
        <f>IFERROR($AC290*HDF_Limited_Col!BF290/HDF_Limited_Col!$AH290," ")</f>
        <v>0</v>
      </c>
      <c r="BG290" s="26">
        <f>IFERROR($AC290*HDF_Limited_Col!BG290/HDF_Limited_Col!$AH290," ")</f>
        <v>0</v>
      </c>
      <c r="BH290" s="26">
        <f>IFERROR($AC290*HDF_Limited_Col!BH290/HDF_Limited_Col!$AH290," ")</f>
        <v>0</v>
      </c>
      <c r="BI290" s="26">
        <f>IFERROR($AC290*HDF_Limited_Col!BI290/HDF_Limited_Col!$AH290," ")</f>
        <v>15054.378807965604</v>
      </c>
      <c r="BJ290" s="26">
        <f>IFERROR($AC290*HDF_Limited_Col!BJ290/HDF_Limited_Col!$AH290," ")</f>
        <v>0</v>
      </c>
      <c r="BK290" s="26">
        <f>IFERROR($AC290*HDF_Limited_Col!BK290/HDF_Limited_Col!$AH290," ")</f>
        <v>3275.4205358745899</v>
      </c>
      <c r="BL290" s="26">
        <f>IFERROR($AC290*HDF_Limited_Col!BL290/HDF_Limited_Col!$AH290," ")</f>
        <v>1267.9753667961138</v>
      </c>
      <c r="BM290" s="26">
        <f>IFERROR($AC290*HDF_Limited_Col!BM290/HDF_Limited_Col!$AH290," ")</f>
        <v>118.9867500217424</v>
      </c>
      <c r="BN290" s="26">
        <f>IFERROR($AC290*HDF_Limited_Col!BN290/HDF_Limited_Col!$AH290," ")</f>
        <v>214.61413807602617</v>
      </c>
      <c r="BO290" s="26">
        <f>IFERROR($AC290*HDF_Limited_Col!BO290/HDF_Limited_Col!$AH290," ")</f>
        <v>28.031234360950357</v>
      </c>
      <c r="BP290" s="26">
        <f>IFERROR($AC290*HDF_Limited_Col!BP290/HDF_Limited_Col!$AH290," ")</f>
        <v>12.409661045212399</v>
      </c>
      <c r="BQ290" s="26">
        <f>IFERROR($AC290*HDF_Limited_Col!BQ290/HDF_Limited_Col!$AH290," ")</f>
        <v>14.088615186623487</v>
      </c>
      <c r="BR290" s="26">
        <f>IFERROR($AC290*HDF_Limited_Col!BR290/HDF_Limited_Col!$AH290," ")</f>
        <v>9.3437447869834536</v>
      </c>
      <c r="BS290" s="26">
        <f>IFERROR($AC290*HDF_Limited_Col!BS290/HDF_Limited_Col!$AH290," ")</f>
        <v>1.1095696934542851</v>
      </c>
      <c r="BT290" s="26">
        <f>IFERROR($AC290*HDF_Limited_Col!BT290/HDF_Limited_Col!$AH290," ")</f>
        <v>11.533684971432699</v>
      </c>
      <c r="BU290" s="26">
        <f>IFERROR($AC290*HDF_Limited_Col!BU290/HDF_Limited_Col!$AH290," ")</f>
        <v>0</v>
      </c>
      <c r="BV290" s="26" t="str">
        <f>IFERROR($AC290*HDF_Limited_Col!BV290/HDF_Limited_Col!$AH290," ")</f>
        <v xml:space="preserve"> </v>
      </c>
      <c r="BW290" s="26">
        <f>IFERROR($AC290*HDF_Limited_Col!BW290/HDF_Limited_Col!$AH290," ")</f>
        <v>0.30586164576141145</v>
      </c>
      <c r="BX290" s="26">
        <f>IFERROR($AC290*HDF_Limited_Col!BX290/HDF_Limited_Col!$AH290," ")</f>
        <v>19.782459666191528</v>
      </c>
      <c r="BY290" s="26">
        <f>IFERROR($AC290*HDF_Limited_Col!BY290/HDF_Limited_Col!$AH290," ")</f>
        <v>0.54383514580489634</v>
      </c>
      <c r="BZ290" s="26">
        <f>IFERROR($AC290*HDF_Limited_Col!BZ290/HDF_Limited_Col!$AH290," ")</f>
        <v>0</v>
      </c>
      <c r="CA290" s="26">
        <f>IFERROR($AC290*HDF_Limited_Col!CA290/HDF_Limited_Col!$AH290," ")</f>
        <v>0</v>
      </c>
      <c r="CB290" s="26">
        <f>IFERROR($AC290*HDF_Limited_Col!CB290/HDF_Limited_Col!$AH290," ")</f>
        <v>83.947707070554472</v>
      </c>
      <c r="CC290" s="26">
        <f>IFERROR($AC290*HDF_Limited_Col!CC290/HDF_Limited_Col!$AH290," ")</f>
        <v>21.607409819899239</v>
      </c>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row>
    <row r="291" spans="1:109">
      <c r="A291" s="26" t="s">
        <v>1176</v>
      </c>
      <c r="B291" s="26" t="s">
        <v>24</v>
      </c>
      <c r="C291" s="157" t="s">
        <v>1722</v>
      </c>
      <c r="D291" s="26" t="s">
        <v>1707</v>
      </c>
      <c r="E291" s="26" t="s">
        <v>171</v>
      </c>
      <c r="F291" s="26" t="s">
        <v>45</v>
      </c>
      <c r="G291" s="26" t="s">
        <v>595</v>
      </c>
      <c r="H291" s="30">
        <v>55</v>
      </c>
      <c r="I291" s="26" t="s">
        <v>712</v>
      </c>
      <c r="J291" s="26" t="s">
        <v>635</v>
      </c>
      <c r="K291" s="26" t="s">
        <v>115</v>
      </c>
      <c r="L291" s="26" t="s">
        <v>1725</v>
      </c>
      <c r="M291" s="26" t="s">
        <v>109</v>
      </c>
      <c r="N291" s="26">
        <v>48</v>
      </c>
      <c r="O291" s="95">
        <v>27.738851464301213</v>
      </c>
      <c r="P291" s="95">
        <v>2.319976667923374</v>
      </c>
      <c r="Q291" s="95">
        <v>3.6312678280539767</v>
      </c>
      <c r="R291" s="95">
        <v>12.709437398188919</v>
      </c>
      <c r="S291" s="95">
        <v>6.2538501483151823</v>
      </c>
      <c r="T291" s="95">
        <v>14.42420276143663</v>
      </c>
      <c r="U291" s="95">
        <v>2.521713769481928</v>
      </c>
      <c r="V291" s="95">
        <v>3.2277936249368686</v>
      </c>
      <c r="W291" s="95">
        <v>22.695423925337355</v>
      </c>
      <c r="X291" s="95">
        <v>3.2277936249368686</v>
      </c>
      <c r="Y291" s="95">
        <v>1.6138968124684343</v>
      </c>
      <c r="Z291" s="95">
        <v>100.36420802538075</v>
      </c>
      <c r="AA291" s="26"/>
      <c r="AB291" s="26"/>
      <c r="AC291" s="26">
        <f t="shared" si="5"/>
        <v>188403.18046634918</v>
      </c>
      <c r="AD291" s="26">
        <f>IFERROR($AC291*HDF_Limited_Col!AD291/HDF_Limited_Col!$AH291," ")</f>
        <v>0</v>
      </c>
      <c r="AE291" s="26">
        <f>IFERROR($AC291*HDF_Limited_Col!AE291/HDF_Limited_Col!$AH291," ")</f>
        <v>0</v>
      </c>
      <c r="AF291" s="26">
        <f>IFERROR($AC291*HDF_Limited_Col!AF291/HDF_Limited_Col!$AH291," ")</f>
        <v>0</v>
      </c>
      <c r="AG291" s="26">
        <f>IFERROR($AC291*HDF_Limited_Col!AG291/HDF_Limited_Col!$AH291," ")</f>
        <v>0</v>
      </c>
      <c r="AH291" s="26">
        <f>IFERROR($AC291*HDF_Limited_Col!AH291/HDF_Limited_Col!$AH291," ")</f>
        <v>188403.18046634918</v>
      </c>
      <c r="AI291" s="26">
        <f>IFERROR($AC291*HDF_Limited_Col!AI291/HDF_Limited_Col!$AH291," ")</f>
        <v>0</v>
      </c>
      <c r="AJ291" s="26">
        <f>IFERROR($AC291*HDF_Limited_Col!AJ291/HDF_Limited_Col!$AH291," ")</f>
        <v>18905.509458560991</v>
      </c>
      <c r="AK291" s="26">
        <f>IFERROR($AC291*HDF_Limited_Col!AK291/HDF_Limited_Col!$AH291," ")</f>
        <v>0</v>
      </c>
      <c r="AL291" s="26">
        <f>IFERROR($AC291*HDF_Limited_Col!AL291/HDF_Limited_Col!$AH291," ")</f>
        <v>0</v>
      </c>
      <c r="AM291" s="26">
        <f>IFERROR($AC291*HDF_Limited_Col!AM291/HDF_Limited_Col!$AH291," ")</f>
        <v>0</v>
      </c>
      <c r="AN291" s="26">
        <f>IFERROR($AC291*HDF_Limited_Col!AN291/HDF_Limited_Col!$AH291," ")</f>
        <v>0</v>
      </c>
      <c r="AO291" s="26">
        <f>IFERROR($AC291*HDF_Limited_Col!AO291/HDF_Limited_Col!$AH291," ")</f>
        <v>0</v>
      </c>
      <c r="AP291" s="26">
        <f>IFERROR($AC291*HDF_Limited_Col!AP291/HDF_Limited_Col!$AH291," ")</f>
        <v>0</v>
      </c>
      <c r="AQ291" s="26">
        <f>IFERROR($AC291*HDF_Limited_Col!AQ291/HDF_Limited_Col!$AH291," ")</f>
        <v>0</v>
      </c>
      <c r="AR291" s="26">
        <f>IFERROR($AC291*HDF_Limited_Col!AR291/HDF_Limited_Col!$AH291," ")</f>
        <v>0</v>
      </c>
      <c r="AS291" s="26">
        <f>IFERROR($AC291*HDF_Limited_Col!AS291/HDF_Limited_Col!$AH291," ")</f>
        <v>0</v>
      </c>
      <c r="AT291" s="26">
        <f>IFERROR($AC291*HDF_Limited_Col!AT291/HDF_Limited_Col!$AH291," ")</f>
        <v>0</v>
      </c>
      <c r="AU291" s="26">
        <f>IFERROR($AC291*HDF_Limited_Col!AU291/HDF_Limited_Col!$AH291," ")</f>
        <v>0</v>
      </c>
      <c r="AV291" s="26">
        <f>IFERROR($AC291*HDF_Limited_Col!AV291/HDF_Limited_Col!$AH291," ")</f>
        <v>0</v>
      </c>
      <c r="AW291" s="26">
        <f>IFERROR($AC291*HDF_Limited_Col!AW291/HDF_Limited_Col!$AH291," ")</f>
        <v>0</v>
      </c>
      <c r="AX291" s="26">
        <f>IFERROR($AC291*HDF_Limited_Col!AX291/HDF_Limited_Col!$AH291," ")</f>
        <v>1043.062590817158</v>
      </c>
      <c r="AY291" s="26">
        <f>IFERROR($AC291*HDF_Limited_Col!AY291/HDF_Limited_Col!$AH291," ")</f>
        <v>4433.0160109729213</v>
      </c>
      <c r="AZ291" s="26">
        <f>IFERROR($AC291*HDF_Limited_Col!AZ291/HDF_Limited_Col!$AH291," ")</f>
        <v>117.34454146693028</v>
      </c>
      <c r="BA291" s="26">
        <f>IFERROR($AC291*HDF_Limited_Col!BA291/HDF_Limited_Col!$AH291," ")</f>
        <v>782.29694311286858</v>
      </c>
      <c r="BB291" s="26">
        <f>IFERROR($AC291*HDF_Limited_Col!BB291/HDF_Limited_Col!$AH291," ")</f>
        <v>0</v>
      </c>
      <c r="BC291" s="26">
        <f>IFERROR($AC291*HDF_Limited_Col!BC291/HDF_Limited_Col!$AH291," ")</f>
        <v>619.31841329768758</v>
      </c>
      <c r="BD291" s="26">
        <f>IFERROR($AC291*HDF_Limited_Col!BD291/HDF_Limited_Col!$AH291," ")</f>
        <v>0</v>
      </c>
      <c r="BE291" s="26">
        <f>IFERROR($AC291*HDF_Limited_Col!BE291/HDF_Limited_Col!$AH291," ")</f>
        <v>0</v>
      </c>
      <c r="BF291" s="26">
        <f>IFERROR($AC291*HDF_Limited_Col!BF291/HDF_Limited_Col!$AH291," ")</f>
        <v>0</v>
      </c>
      <c r="BG291" s="26">
        <f>IFERROR($AC291*HDF_Limited_Col!BG291/HDF_Limited_Col!$AH291," ")</f>
        <v>0</v>
      </c>
      <c r="BH291" s="26">
        <f>IFERROR($AC291*HDF_Limited_Col!BH291/HDF_Limited_Col!$AH291," ")</f>
        <v>9.1267976696501325</v>
      </c>
      <c r="BI291" s="26">
        <f>IFERROR($AC291*HDF_Limited_Col!BI291/HDF_Limited_Col!$AH291," ")</f>
        <v>22816.994174125335</v>
      </c>
      <c r="BJ291" s="26">
        <f>IFERROR($AC291*HDF_Limited_Col!BJ291/HDF_Limited_Col!$AH291," ")</f>
        <v>0</v>
      </c>
      <c r="BK291" s="26">
        <f>IFERROR($AC291*HDF_Limited_Col!BK291/HDF_Limited_Col!$AH291," ")</f>
        <v>1303.8282385214477</v>
      </c>
      <c r="BL291" s="26">
        <f>IFERROR($AC291*HDF_Limited_Col!BL291/HDF_Limited_Col!$AH291," ")</f>
        <v>1760.1681220039545</v>
      </c>
      <c r="BM291" s="26">
        <f>IFERROR($AC291*HDF_Limited_Col!BM291/HDF_Limited_Col!$AH291," ")</f>
        <v>182.53595339300267</v>
      </c>
      <c r="BN291" s="26">
        <f>IFERROR($AC291*HDF_Limited_Col!BN291/HDF_Limited_Col!$AH291," ")</f>
        <v>619.31841329768758</v>
      </c>
      <c r="BO291" s="26">
        <f>IFERROR($AC291*HDF_Limited_Col!BO291/HDF_Limited_Col!$AH291," ")</f>
        <v>58.67227073346514</v>
      </c>
      <c r="BP291" s="26">
        <f>IFERROR($AC291*HDF_Limited_Col!BP291/HDF_Limited_Col!$AH291," ")</f>
        <v>16.949767100778818</v>
      </c>
      <c r="BQ291" s="26">
        <f>IFERROR($AC291*HDF_Limited_Col!BQ291/HDF_Limited_Col!$AH291," ")</f>
        <v>52.153129540857904</v>
      </c>
      <c r="BR291" s="26">
        <f>IFERROR($AC291*HDF_Limited_Col!BR291/HDF_Limited_Col!$AH291," ")</f>
        <v>33.247620082296912</v>
      </c>
      <c r="BS291" s="26">
        <f>IFERROR($AC291*HDF_Limited_Col!BS291/HDF_Limited_Col!$AH291," ")</f>
        <v>5.2153129540857899</v>
      </c>
      <c r="BT291" s="26">
        <f>IFERROR($AC291*HDF_Limited_Col!BT291/HDF_Limited_Col!$AH291," ")</f>
        <v>13.038282385214476</v>
      </c>
      <c r="BU291" s="26">
        <f>IFERROR($AC291*HDF_Limited_Col!BU291/HDF_Limited_Col!$AH291," ")</f>
        <v>0</v>
      </c>
      <c r="BV291" s="26">
        <f>IFERROR($AC291*HDF_Limited_Col!BV291/HDF_Limited_Col!$AH291," ")</f>
        <v>16.297852981518094</v>
      </c>
      <c r="BW291" s="26">
        <f>IFERROR($AC291*HDF_Limited_Col!BW291/HDF_Limited_Col!$AH291," ")</f>
        <v>0</v>
      </c>
      <c r="BX291" s="26">
        <f>IFERROR($AC291*HDF_Limited_Col!BX291/HDF_Limited_Col!$AH291," ")</f>
        <v>20.86125181634316</v>
      </c>
      <c r="BY291" s="26">
        <f>IFERROR($AC291*HDF_Limited_Col!BY291/HDF_Limited_Col!$AH291," ")</f>
        <v>13.038282385214476</v>
      </c>
      <c r="BZ291" s="26">
        <f>IFERROR($AC291*HDF_Limited_Col!BZ291/HDF_Limited_Col!$AH291," ")</f>
        <v>0</v>
      </c>
      <c r="CA291" s="26">
        <f>IFERROR($AC291*HDF_Limited_Col!CA291/HDF_Limited_Col!$AH291," ")</f>
        <v>0</v>
      </c>
      <c r="CB291" s="26">
        <f>IFERROR($AC291*HDF_Limited_Col!CB291/HDF_Limited_Col!$AH291," ")</f>
        <v>143.42110623735925</v>
      </c>
      <c r="CC291" s="26">
        <f>IFERROR($AC291*HDF_Limited_Col!CC291/HDF_Limited_Col!$AH291," ")</f>
        <v>26.728478889689676</v>
      </c>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row>
    <row r="292" spans="1:109">
      <c r="A292" s="26" t="s">
        <v>1362</v>
      </c>
      <c r="B292" s="26" t="s">
        <v>24</v>
      </c>
      <c r="C292" s="157" t="s">
        <v>1722</v>
      </c>
      <c r="D292" s="26" t="s">
        <v>1265</v>
      </c>
      <c r="E292" s="26" t="s">
        <v>171</v>
      </c>
      <c r="F292" s="26" t="s">
        <v>1266</v>
      </c>
      <c r="G292" s="26" t="s">
        <v>595</v>
      </c>
      <c r="H292" s="30">
        <v>540</v>
      </c>
      <c r="I292" s="26" t="s">
        <v>735</v>
      </c>
      <c r="J292" s="26" t="s">
        <v>1311</v>
      </c>
      <c r="K292" s="26" t="s">
        <v>115</v>
      </c>
      <c r="L292" s="26"/>
      <c r="M292" s="26" t="s">
        <v>1263</v>
      </c>
      <c r="N292" s="26">
        <v>15</v>
      </c>
      <c r="O292" s="95">
        <v>30.545261565696048</v>
      </c>
      <c r="P292" s="95">
        <v>3.7408257730514012</v>
      </c>
      <c r="Q292" s="95">
        <v>1.9003258094875297</v>
      </c>
      <c r="R292" s="95">
        <v>10.574569855294261</v>
      </c>
      <c r="S292" s="95">
        <v>8.8622095403139109</v>
      </c>
      <c r="T292" s="95">
        <v>6.523442048091975</v>
      </c>
      <c r="U292" s="95">
        <v>0</v>
      </c>
      <c r="V292" s="95">
        <v>4.1041391402627445</v>
      </c>
      <c r="W292" s="95">
        <v>25.768704804066772</v>
      </c>
      <c r="X292" s="95">
        <v>4.3002610020490053</v>
      </c>
      <c r="Y292" s="95">
        <v>4.7528318166404651</v>
      </c>
      <c r="Z292" s="95">
        <v>101.07257135495409</v>
      </c>
      <c r="AA292" s="26"/>
      <c r="AB292" s="26"/>
      <c r="AC292" s="26">
        <f t="shared" si="5"/>
        <v>213915.63151920747</v>
      </c>
      <c r="AD292" s="26" t="str">
        <f>IFERROR($AC292*HDF_Limited_Col!AD292/HDF_Limited_Col!$AH292," ")</f>
        <v xml:space="preserve"> </v>
      </c>
      <c r="AE292" s="26" t="str">
        <f>IFERROR($AC292*HDF_Limited_Col!AE292/HDF_Limited_Col!$AH292," ")</f>
        <v xml:space="preserve"> </v>
      </c>
      <c r="AF292" s="26" t="str">
        <f>IFERROR($AC292*HDF_Limited_Col!AF292/HDF_Limited_Col!$AH292," ")</f>
        <v xml:space="preserve"> </v>
      </c>
      <c r="AG292" s="26" t="str">
        <f>IFERROR($AC292*HDF_Limited_Col!AG292/HDF_Limited_Col!$AH292," ")</f>
        <v xml:space="preserve"> </v>
      </c>
      <c r="AH292" s="26" t="str">
        <f>IFERROR($AC292*HDF_Limited_Col!AH292/HDF_Limited_Col!$AH292," ")</f>
        <v xml:space="preserve"> </v>
      </c>
      <c r="AI292" s="26" t="str">
        <f>IFERROR($AC292*HDF_Limited_Col!AI292/HDF_Limited_Col!$AH292," ")</f>
        <v xml:space="preserve"> </v>
      </c>
      <c r="AJ292" s="26" t="str">
        <f>IFERROR($AC292*HDF_Limited_Col!AJ292/HDF_Limited_Col!$AH292," ")</f>
        <v xml:space="preserve"> </v>
      </c>
      <c r="AK292" s="26" t="str">
        <f>IFERROR($AC292*HDF_Limited_Col!AK292/HDF_Limited_Col!$AH292," ")</f>
        <v xml:space="preserve"> </v>
      </c>
      <c r="AL292" s="26" t="str">
        <f>IFERROR($AC292*HDF_Limited_Col!AL292/HDF_Limited_Col!$AH292," ")</f>
        <v xml:space="preserve"> </v>
      </c>
      <c r="AM292" s="26" t="str">
        <f>IFERROR($AC292*HDF_Limited_Col!AM292/HDF_Limited_Col!$AH292," ")</f>
        <v xml:space="preserve"> </v>
      </c>
      <c r="AN292" s="26" t="str">
        <f>IFERROR($AC292*HDF_Limited_Col!AN292/HDF_Limited_Col!$AH292," ")</f>
        <v xml:space="preserve"> </v>
      </c>
      <c r="AO292" s="26" t="str">
        <f>IFERROR($AC292*HDF_Limited_Col!AO292/HDF_Limited_Col!$AH292," ")</f>
        <v xml:space="preserve"> </v>
      </c>
      <c r="AP292" s="26" t="str">
        <f>IFERROR($AC292*HDF_Limited_Col!AP292/HDF_Limited_Col!$AH292," ")</f>
        <v xml:space="preserve"> </v>
      </c>
      <c r="AQ292" s="26" t="str">
        <f>IFERROR($AC292*HDF_Limited_Col!AQ292/HDF_Limited_Col!$AH292," ")</f>
        <v xml:space="preserve"> </v>
      </c>
      <c r="AR292" s="26" t="str">
        <f>IFERROR($AC292*HDF_Limited_Col!AR292/HDF_Limited_Col!$AH292," ")</f>
        <v xml:space="preserve"> </v>
      </c>
      <c r="AS292" s="26" t="str">
        <f>IFERROR($AC292*HDF_Limited_Col!AS292/HDF_Limited_Col!$AH292," ")</f>
        <v xml:space="preserve"> </v>
      </c>
      <c r="AT292" s="26" t="str">
        <f>IFERROR($AC292*HDF_Limited_Col!AT292/HDF_Limited_Col!$AH292," ")</f>
        <v xml:space="preserve"> </v>
      </c>
      <c r="AU292" s="26" t="str">
        <f>IFERROR($AC292*HDF_Limited_Col!AU292/HDF_Limited_Col!$AH292," ")</f>
        <v xml:space="preserve"> </v>
      </c>
      <c r="AV292" s="26" t="str">
        <f>IFERROR($AC292*HDF_Limited_Col!AV292/HDF_Limited_Col!$AH292," ")</f>
        <v xml:space="preserve"> </v>
      </c>
      <c r="AW292" s="26" t="str">
        <f>IFERROR($AC292*HDF_Limited_Col!AW292/HDF_Limited_Col!$AH292," ")</f>
        <v xml:space="preserve"> </v>
      </c>
      <c r="AX292" s="26" t="str">
        <f>IFERROR($AC292*HDF_Limited_Col!AX292/HDF_Limited_Col!$AH292," ")</f>
        <v xml:space="preserve"> </v>
      </c>
      <c r="AY292" s="26" t="str">
        <f>IFERROR($AC292*HDF_Limited_Col!AY292/HDF_Limited_Col!$AH292," ")</f>
        <v xml:space="preserve"> </v>
      </c>
      <c r="AZ292" s="26" t="str">
        <f>IFERROR($AC292*HDF_Limited_Col!AZ292/HDF_Limited_Col!$AH292," ")</f>
        <v xml:space="preserve"> </v>
      </c>
      <c r="BA292" s="26" t="str">
        <f>IFERROR($AC292*HDF_Limited_Col!BA292/HDF_Limited_Col!$AH292," ")</f>
        <v xml:space="preserve"> </v>
      </c>
      <c r="BB292" s="26" t="str">
        <f>IFERROR($AC292*HDF_Limited_Col!BB292/HDF_Limited_Col!$AH292," ")</f>
        <v xml:space="preserve"> </v>
      </c>
      <c r="BC292" s="26" t="str">
        <f>IFERROR($AC292*HDF_Limited_Col!BC292/HDF_Limited_Col!$AH292," ")</f>
        <v xml:space="preserve"> </v>
      </c>
      <c r="BD292" s="26" t="str">
        <f>IFERROR($AC292*HDF_Limited_Col!BD292/HDF_Limited_Col!$AH292," ")</f>
        <v xml:space="preserve"> </v>
      </c>
      <c r="BE292" s="26" t="str">
        <f>IFERROR($AC292*HDF_Limited_Col!BE292/HDF_Limited_Col!$AH292," ")</f>
        <v xml:space="preserve"> </v>
      </c>
      <c r="BF292" s="26" t="str">
        <f>IFERROR($AC292*HDF_Limited_Col!BF292/HDF_Limited_Col!$AH292," ")</f>
        <v xml:space="preserve"> </v>
      </c>
      <c r="BG292" s="26" t="str">
        <f>IFERROR($AC292*HDF_Limited_Col!BG292/HDF_Limited_Col!$AH292," ")</f>
        <v xml:space="preserve"> </v>
      </c>
      <c r="BH292" s="26" t="str">
        <f>IFERROR($AC292*HDF_Limited_Col!BH292/HDF_Limited_Col!$AH292," ")</f>
        <v xml:space="preserve"> </v>
      </c>
      <c r="BI292" s="26" t="str">
        <f>IFERROR($AC292*HDF_Limited_Col!BI292/HDF_Limited_Col!$AH292," ")</f>
        <v xml:space="preserve"> </v>
      </c>
      <c r="BJ292" s="26" t="str">
        <f>IFERROR($AC292*HDF_Limited_Col!BJ292/HDF_Limited_Col!$AH292," ")</f>
        <v xml:space="preserve"> </v>
      </c>
      <c r="BK292" s="26" t="str">
        <f>IFERROR($AC292*HDF_Limited_Col!BK292/HDF_Limited_Col!$AH292," ")</f>
        <v xml:space="preserve"> </v>
      </c>
      <c r="BL292" s="26" t="str">
        <f>IFERROR($AC292*HDF_Limited_Col!BL292/HDF_Limited_Col!$AH292," ")</f>
        <v xml:space="preserve"> </v>
      </c>
      <c r="BM292" s="26" t="str">
        <f>IFERROR($AC292*HDF_Limited_Col!BM292/HDF_Limited_Col!$AH292," ")</f>
        <v xml:space="preserve"> </v>
      </c>
      <c r="BN292" s="26" t="str">
        <f>IFERROR($AC292*HDF_Limited_Col!BN292/HDF_Limited_Col!$AH292," ")</f>
        <v xml:space="preserve"> </v>
      </c>
      <c r="BO292" s="26" t="str">
        <f>IFERROR($AC292*HDF_Limited_Col!BO292/HDF_Limited_Col!$AH292," ")</f>
        <v xml:space="preserve"> </v>
      </c>
      <c r="BP292" s="26" t="str">
        <f>IFERROR($AC292*HDF_Limited_Col!BP292/HDF_Limited_Col!$AH292," ")</f>
        <v xml:space="preserve"> </v>
      </c>
      <c r="BQ292" s="26" t="str">
        <f>IFERROR($AC292*HDF_Limited_Col!BQ292/HDF_Limited_Col!$AH292," ")</f>
        <v xml:space="preserve"> </v>
      </c>
      <c r="BR292" s="26" t="str">
        <f>IFERROR($AC292*HDF_Limited_Col!BR292/HDF_Limited_Col!$AH292," ")</f>
        <v xml:space="preserve"> </v>
      </c>
      <c r="BS292" s="26" t="str">
        <f>IFERROR($AC292*HDF_Limited_Col!BS292/HDF_Limited_Col!$AH292," ")</f>
        <v xml:space="preserve"> </v>
      </c>
      <c r="BT292" s="26" t="str">
        <f>IFERROR($AC292*HDF_Limited_Col!BT292/HDF_Limited_Col!$AH292," ")</f>
        <v xml:space="preserve"> </v>
      </c>
      <c r="BU292" s="26" t="str">
        <f>IFERROR($AC292*HDF_Limited_Col!BU292/HDF_Limited_Col!$AH292," ")</f>
        <v xml:space="preserve"> </v>
      </c>
      <c r="BV292" s="26" t="str">
        <f>IFERROR($AC292*HDF_Limited_Col!BV292/HDF_Limited_Col!$AH292," ")</f>
        <v xml:space="preserve"> </v>
      </c>
      <c r="BW292" s="26" t="str">
        <f>IFERROR($AC292*HDF_Limited_Col!BW292/HDF_Limited_Col!$AH292," ")</f>
        <v xml:space="preserve"> </v>
      </c>
      <c r="BX292" s="26" t="str">
        <f>IFERROR($AC292*HDF_Limited_Col!BX292/HDF_Limited_Col!$AH292," ")</f>
        <v xml:space="preserve"> </v>
      </c>
      <c r="BY292" s="26" t="str">
        <f>IFERROR($AC292*HDF_Limited_Col!BY292/HDF_Limited_Col!$AH292," ")</f>
        <v xml:space="preserve"> </v>
      </c>
      <c r="BZ292" s="26" t="str">
        <f>IFERROR($AC292*HDF_Limited_Col!BZ292/HDF_Limited_Col!$AH292," ")</f>
        <v xml:space="preserve"> </v>
      </c>
      <c r="CA292" s="26" t="str">
        <f>IFERROR($AC292*HDF_Limited_Col!CA292/HDF_Limited_Col!$AH292," ")</f>
        <v xml:space="preserve"> </v>
      </c>
      <c r="CB292" s="26" t="str">
        <f>IFERROR($AC292*HDF_Limited_Col!CB292/HDF_Limited_Col!$AH292," ")</f>
        <v xml:space="preserve"> </v>
      </c>
      <c r="CC292" s="26" t="str">
        <f>IFERROR($AC292*HDF_Limited_Col!CC292/HDF_Limited_Col!$AH292," ")</f>
        <v xml:space="preserve"> </v>
      </c>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row>
    <row r="293" spans="1:109">
      <c r="A293" s="53" t="s">
        <v>1362</v>
      </c>
      <c r="B293" s="26" t="s">
        <v>24</v>
      </c>
      <c r="C293" s="157" t="s">
        <v>1722</v>
      </c>
      <c r="D293" s="53" t="s">
        <v>1265</v>
      </c>
      <c r="E293" s="53" t="s">
        <v>171</v>
      </c>
      <c r="F293" s="53" t="s">
        <v>1266</v>
      </c>
      <c r="G293" s="53" t="s">
        <v>595</v>
      </c>
      <c r="H293" s="52">
        <v>540</v>
      </c>
      <c r="I293" s="53" t="s">
        <v>735</v>
      </c>
      <c r="J293" s="53" t="s">
        <v>1311</v>
      </c>
      <c r="K293" s="53" t="s">
        <v>115</v>
      </c>
      <c r="L293" s="53"/>
      <c r="M293" s="53" t="s">
        <v>1262</v>
      </c>
      <c r="N293" s="53">
        <v>30</v>
      </c>
      <c r="O293" s="95">
        <v>22.195938485509593</v>
      </c>
      <c r="P293" s="95">
        <v>1.4764448139533002</v>
      </c>
      <c r="Q293" s="95">
        <v>2.6677801875475815</v>
      </c>
      <c r="R293" s="95">
        <v>10.057459076595352</v>
      </c>
      <c r="S293" s="95">
        <v>9.0098394332265048</v>
      </c>
      <c r="T293" s="95">
        <v>15.036087625267294</v>
      </c>
      <c r="U293" s="95">
        <v>1.9301345422257341</v>
      </c>
      <c r="V293" s="95">
        <v>5.7954218005242177</v>
      </c>
      <c r="W293" s="95">
        <v>23.027110623387788</v>
      </c>
      <c r="X293" s="95">
        <v>5.1091919298252293</v>
      </c>
      <c r="Y293" s="95">
        <v>4.7713394548153207</v>
      </c>
      <c r="Z293" s="95">
        <v>101.07674797287791</v>
      </c>
      <c r="AA293" s="53"/>
      <c r="AB293" s="53"/>
      <c r="AC293" s="26">
        <f t="shared" si="5"/>
        <v>191156.63548162731</v>
      </c>
      <c r="AD293" s="26" t="str">
        <f>IFERROR($AC293*HDF_Limited_Col!AD293/HDF_Limited_Col!$AH293," ")</f>
        <v xml:space="preserve"> </v>
      </c>
      <c r="AE293" s="26" t="str">
        <f>IFERROR($AC293*HDF_Limited_Col!AE293/HDF_Limited_Col!$AH293," ")</f>
        <v xml:space="preserve"> </v>
      </c>
      <c r="AF293" s="26" t="str">
        <f>IFERROR($AC293*HDF_Limited_Col!AF293/HDF_Limited_Col!$AH293," ")</f>
        <v xml:space="preserve"> </v>
      </c>
      <c r="AG293" s="26" t="str">
        <f>IFERROR($AC293*HDF_Limited_Col!AG293/HDF_Limited_Col!$AH293," ")</f>
        <v xml:space="preserve"> </v>
      </c>
      <c r="AH293" s="26" t="str">
        <f>IFERROR($AC293*HDF_Limited_Col!AH293/HDF_Limited_Col!$AH293," ")</f>
        <v xml:space="preserve"> </v>
      </c>
      <c r="AI293" s="26" t="str">
        <f>IFERROR($AC293*HDF_Limited_Col!AI293/HDF_Limited_Col!$AH293," ")</f>
        <v xml:space="preserve"> </v>
      </c>
      <c r="AJ293" s="26" t="str">
        <f>IFERROR($AC293*HDF_Limited_Col!AJ293/HDF_Limited_Col!$AH293," ")</f>
        <v xml:space="preserve"> </v>
      </c>
      <c r="AK293" s="26" t="str">
        <f>IFERROR($AC293*HDF_Limited_Col!AK293/HDF_Limited_Col!$AH293," ")</f>
        <v xml:space="preserve"> </v>
      </c>
      <c r="AL293" s="26" t="str">
        <f>IFERROR($AC293*HDF_Limited_Col!AL293/HDF_Limited_Col!$AH293," ")</f>
        <v xml:space="preserve"> </v>
      </c>
      <c r="AM293" s="26" t="str">
        <f>IFERROR($AC293*HDF_Limited_Col!AM293/HDF_Limited_Col!$AH293," ")</f>
        <v xml:space="preserve"> </v>
      </c>
      <c r="AN293" s="26" t="str">
        <f>IFERROR($AC293*HDF_Limited_Col!AN293/HDF_Limited_Col!$AH293," ")</f>
        <v xml:space="preserve"> </v>
      </c>
      <c r="AO293" s="26" t="str">
        <f>IFERROR($AC293*HDF_Limited_Col!AO293/HDF_Limited_Col!$AH293," ")</f>
        <v xml:space="preserve"> </v>
      </c>
      <c r="AP293" s="26" t="str">
        <f>IFERROR($AC293*HDF_Limited_Col!AP293/HDF_Limited_Col!$AH293," ")</f>
        <v xml:space="preserve"> </v>
      </c>
      <c r="AQ293" s="26" t="str">
        <f>IFERROR($AC293*HDF_Limited_Col!AQ293/HDF_Limited_Col!$AH293," ")</f>
        <v xml:space="preserve"> </v>
      </c>
      <c r="AR293" s="26" t="str">
        <f>IFERROR($AC293*HDF_Limited_Col!AR293/HDF_Limited_Col!$AH293," ")</f>
        <v xml:space="preserve"> </v>
      </c>
      <c r="AS293" s="26" t="str">
        <f>IFERROR($AC293*HDF_Limited_Col!AS293/HDF_Limited_Col!$AH293," ")</f>
        <v xml:space="preserve"> </v>
      </c>
      <c r="AT293" s="26" t="str">
        <f>IFERROR($AC293*HDF_Limited_Col!AT293/HDF_Limited_Col!$AH293," ")</f>
        <v xml:space="preserve"> </v>
      </c>
      <c r="AU293" s="26" t="str">
        <f>IFERROR($AC293*HDF_Limited_Col!AU293/HDF_Limited_Col!$AH293," ")</f>
        <v xml:space="preserve"> </v>
      </c>
      <c r="AV293" s="26" t="str">
        <f>IFERROR($AC293*HDF_Limited_Col!AV293/HDF_Limited_Col!$AH293," ")</f>
        <v xml:space="preserve"> </v>
      </c>
      <c r="AW293" s="26" t="str">
        <f>IFERROR($AC293*HDF_Limited_Col!AW293/HDF_Limited_Col!$AH293," ")</f>
        <v xml:space="preserve"> </v>
      </c>
      <c r="AX293" s="26" t="str">
        <f>IFERROR($AC293*HDF_Limited_Col!AX293/HDF_Limited_Col!$AH293," ")</f>
        <v xml:space="preserve"> </v>
      </c>
      <c r="AY293" s="26" t="str">
        <f>IFERROR($AC293*HDF_Limited_Col!AY293/HDF_Limited_Col!$AH293," ")</f>
        <v xml:space="preserve"> </v>
      </c>
      <c r="AZ293" s="26" t="str">
        <f>IFERROR($AC293*HDF_Limited_Col!AZ293/HDF_Limited_Col!$AH293," ")</f>
        <v xml:space="preserve"> </v>
      </c>
      <c r="BA293" s="26" t="str">
        <f>IFERROR($AC293*HDF_Limited_Col!BA293/HDF_Limited_Col!$AH293," ")</f>
        <v xml:space="preserve"> </v>
      </c>
      <c r="BB293" s="26" t="str">
        <f>IFERROR($AC293*HDF_Limited_Col!BB293/HDF_Limited_Col!$AH293," ")</f>
        <v xml:space="preserve"> </v>
      </c>
      <c r="BC293" s="26" t="str">
        <f>IFERROR($AC293*HDF_Limited_Col!BC293/HDF_Limited_Col!$AH293," ")</f>
        <v xml:space="preserve"> </v>
      </c>
      <c r="BD293" s="26" t="str">
        <f>IFERROR($AC293*HDF_Limited_Col!BD293/HDF_Limited_Col!$AH293," ")</f>
        <v xml:space="preserve"> </v>
      </c>
      <c r="BE293" s="26" t="str">
        <f>IFERROR($AC293*HDF_Limited_Col!BE293/HDF_Limited_Col!$AH293," ")</f>
        <v xml:space="preserve"> </v>
      </c>
      <c r="BF293" s="26" t="str">
        <f>IFERROR($AC293*HDF_Limited_Col!BF293/HDF_Limited_Col!$AH293," ")</f>
        <v xml:space="preserve"> </v>
      </c>
      <c r="BG293" s="26" t="str">
        <f>IFERROR($AC293*HDF_Limited_Col!BG293/HDF_Limited_Col!$AH293," ")</f>
        <v xml:space="preserve"> </v>
      </c>
      <c r="BH293" s="26" t="str">
        <f>IFERROR($AC293*HDF_Limited_Col!BH293/HDF_Limited_Col!$AH293," ")</f>
        <v xml:space="preserve"> </v>
      </c>
      <c r="BI293" s="26" t="str">
        <f>IFERROR($AC293*HDF_Limited_Col!BI293/HDF_Limited_Col!$AH293," ")</f>
        <v xml:space="preserve"> </v>
      </c>
      <c r="BJ293" s="26" t="str">
        <f>IFERROR($AC293*HDF_Limited_Col!BJ293/HDF_Limited_Col!$AH293," ")</f>
        <v xml:space="preserve"> </v>
      </c>
      <c r="BK293" s="26" t="str">
        <f>IFERROR($AC293*HDF_Limited_Col!BK293/HDF_Limited_Col!$AH293," ")</f>
        <v xml:space="preserve"> </v>
      </c>
      <c r="BL293" s="26" t="str">
        <f>IFERROR($AC293*HDF_Limited_Col!BL293/HDF_Limited_Col!$AH293," ")</f>
        <v xml:space="preserve"> </v>
      </c>
      <c r="BM293" s="26" t="str">
        <f>IFERROR($AC293*HDF_Limited_Col!BM293/HDF_Limited_Col!$AH293," ")</f>
        <v xml:space="preserve"> </v>
      </c>
      <c r="BN293" s="26" t="str">
        <f>IFERROR($AC293*HDF_Limited_Col!BN293/HDF_Limited_Col!$AH293," ")</f>
        <v xml:space="preserve"> </v>
      </c>
      <c r="BO293" s="26" t="str">
        <f>IFERROR($AC293*HDF_Limited_Col!BO293/HDF_Limited_Col!$AH293," ")</f>
        <v xml:space="preserve"> </v>
      </c>
      <c r="BP293" s="26" t="str">
        <f>IFERROR($AC293*HDF_Limited_Col!BP293/HDF_Limited_Col!$AH293," ")</f>
        <v xml:space="preserve"> </v>
      </c>
      <c r="BQ293" s="26" t="str">
        <f>IFERROR($AC293*HDF_Limited_Col!BQ293/HDF_Limited_Col!$AH293," ")</f>
        <v xml:space="preserve"> </v>
      </c>
      <c r="BR293" s="26" t="str">
        <f>IFERROR($AC293*HDF_Limited_Col!BR293/HDF_Limited_Col!$AH293," ")</f>
        <v xml:space="preserve"> </v>
      </c>
      <c r="BS293" s="26" t="str">
        <f>IFERROR($AC293*HDF_Limited_Col!BS293/HDF_Limited_Col!$AH293," ")</f>
        <v xml:space="preserve"> </v>
      </c>
      <c r="BT293" s="26" t="str">
        <f>IFERROR($AC293*HDF_Limited_Col!BT293/HDF_Limited_Col!$AH293," ")</f>
        <v xml:space="preserve"> </v>
      </c>
      <c r="BU293" s="26" t="str">
        <f>IFERROR($AC293*HDF_Limited_Col!BU293/HDF_Limited_Col!$AH293," ")</f>
        <v xml:space="preserve"> </v>
      </c>
      <c r="BV293" s="26" t="str">
        <f>IFERROR($AC293*HDF_Limited_Col!BV293/HDF_Limited_Col!$AH293," ")</f>
        <v xml:space="preserve"> </v>
      </c>
      <c r="BW293" s="26" t="str">
        <f>IFERROR($AC293*HDF_Limited_Col!BW293/HDF_Limited_Col!$AH293," ")</f>
        <v xml:space="preserve"> </v>
      </c>
      <c r="BX293" s="26" t="str">
        <f>IFERROR($AC293*HDF_Limited_Col!BX293/HDF_Limited_Col!$AH293," ")</f>
        <v xml:space="preserve"> </v>
      </c>
      <c r="BY293" s="26" t="str">
        <f>IFERROR($AC293*HDF_Limited_Col!BY293/HDF_Limited_Col!$AH293," ")</f>
        <v xml:space="preserve"> </v>
      </c>
      <c r="BZ293" s="26" t="str">
        <f>IFERROR($AC293*HDF_Limited_Col!BZ293/HDF_Limited_Col!$AH293," ")</f>
        <v xml:space="preserve"> </v>
      </c>
      <c r="CA293" s="26" t="str">
        <f>IFERROR($AC293*HDF_Limited_Col!CA293/HDF_Limited_Col!$AH293," ")</f>
        <v xml:space="preserve"> </v>
      </c>
      <c r="CB293" s="26" t="str">
        <f>IFERROR($AC293*HDF_Limited_Col!CB293/HDF_Limited_Col!$AH293," ")</f>
        <v xml:space="preserve"> </v>
      </c>
      <c r="CC293" s="26" t="str">
        <f>IFERROR($AC293*HDF_Limited_Col!CC293/HDF_Limited_Col!$AH293," ")</f>
        <v xml:space="preserve"> </v>
      </c>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row>
    <row r="294" spans="1:109">
      <c r="A294" s="53" t="s">
        <v>1362</v>
      </c>
      <c r="B294" s="26" t="s">
        <v>24</v>
      </c>
      <c r="C294" s="157" t="s">
        <v>1722</v>
      </c>
      <c r="D294" s="53" t="s">
        <v>1265</v>
      </c>
      <c r="E294" s="53" t="s">
        <v>171</v>
      </c>
      <c r="F294" s="53" t="s">
        <v>1266</v>
      </c>
      <c r="G294" s="53" t="s">
        <v>595</v>
      </c>
      <c r="H294" s="52">
        <v>540</v>
      </c>
      <c r="I294" s="53" t="s">
        <v>735</v>
      </c>
      <c r="J294" s="53" t="s">
        <v>1311</v>
      </c>
      <c r="K294" s="53" t="s">
        <v>115</v>
      </c>
      <c r="L294" s="53"/>
      <c r="M294" s="53" t="s">
        <v>1262</v>
      </c>
      <c r="N294" s="53">
        <v>30</v>
      </c>
      <c r="O294" s="95">
        <v>22.195938485509593</v>
      </c>
      <c r="P294" s="95">
        <v>1.4764448139533002</v>
      </c>
      <c r="Q294" s="95">
        <v>2.6677801875475815</v>
      </c>
      <c r="R294" s="95">
        <v>10.057459076595352</v>
      </c>
      <c r="S294" s="95">
        <v>9.0098394332265048</v>
      </c>
      <c r="T294" s="95">
        <v>15.036087625267294</v>
      </c>
      <c r="U294" s="95">
        <v>1.9301345422257341</v>
      </c>
      <c r="V294" s="95">
        <v>5.7954218005242177</v>
      </c>
      <c r="W294" s="95">
        <v>23.027110623387788</v>
      </c>
      <c r="X294" s="95">
        <v>5.1091919298252293</v>
      </c>
      <c r="Y294" s="95">
        <v>4.7713394548153207</v>
      </c>
      <c r="Z294" s="95">
        <v>101.07674797287791</v>
      </c>
      <c r="AA294" s="53"/>
      <c r="AB294" s="53"/>
      <c r="AC294" s="26">
        <f t="shared" si="5"/>
        <v>191156.63548162731</v>
      </c>
      <c r="AD294" s="26" t="str">
        <f>IFERROR($AC294*HDF_Limited_Col!AD294/HDF_Limited_Col!$AH294," ")</f>
        <v xml:space="preserve"> </v>
      </c>
      <c r="AE294" s="26" t="str">
        <f>IFERROR($AC294*HDF_Limited_Col!AE294/HDF_Limited_Col!$AH294," ")</f>
        <v xml:space="preserve"> </v>
      </c>
      <c r="AF294" s="26" t="str">
        <f>IFERROR($AC294*HDF_Limited_Col!AF294/HDF_Limited_Col!$AH294," ")</f>
        <v xml:space="preserve"> </v>
      </c>
      <c r="AG294" s="26" t="str">
        <f>IFERROR($AC294*HDF_Limited_Col!AG294/HDF_Limited_Col!$AH294," ")</f>
        <v xml:space="preserve"> </v>
      </c>
      <c r="AH294" s="26" t="str">
        <f>IFERROR($AC294*HDF_Limited_Col!AH294/HDF_Limited_Col!$AH294," ")</f>
        <v xml:space="preserve"> </v>
      </c>
      <c r="AI294" s="26" t="str">
        <f>IFERROR($AC294*HDF_Limited_Col!AI294/HDF_Limited_Col!$AH294," ")</f>
        <v xml:space="preserve"> </v>
      </c>
      <c r="AJ294" s="26" t="str">
        <f>IFERROR($AC294*HDF_Limited_Col!AJ294/HDF_Limited_Col!$AH294," ")</f>
        <v xml:space="preserve"> </v>
      </c>
      <c r="AK294" s="26" t="str">
        <f>IFERROR($AC294*HDF_Limited_Col!AK294/HDF_Limited_Col!$AH294," ")</f>
        <v xml:space="preserve"> </v>
      </c>
      <c r="AL294" s="26" t="str">
        <f>IFERROR($AC294*HDF_Limited_Col!AL294/HDF_Limited_Col!$AH294," ")</f>
        <v xml:space="preserve"> </v>
      </c>
      <c r="AM294" s="26" t="str">
        <f>IFERROR($AC294*HDF_Limited_Col!AM294/HDF_Limited_Col!$AH294," ")</f>
        <v xml:space="preserve"> </v>
      </c>
      <c r="AN294" s="26" t="str">
        <f>IFERROR($AC294*HDF_Limited_Col!AN294/HDF_Limited_Col!$AH294," ")</f>
        <v xml:space="preserve"> </v>
      </c>
      <c r="AO294" s="26" t="str">
        <f>IFERROR($AC294*HDF_Limited_Col!AO294/HDF_Limited_Col!$AH294," ")</f>
        <v xml:space="preserve"> </v>
      </c>
      <c r="AP294" s="26" t="str">
        <f>IFERROR($AC294*HDF_Limited_Col!AP294/HDF_Limited_Col!$AH294," ")</f>
        <v xml:space="preserve"> </v>
      </c>
      <c r="AQ294" s="26" t="str">
        <f>IFERROR($AC294*HDF_Limited_Col!AQ294/HDF_Limited_Col!$AH294," ")</f>
        <v xml:space="preserve"> </v>
      </c>
      <c r="AR294" s="26" t="str">
        <f>IFERROR($AC294*HDF_Limited_Col!AR294/HDF_Limited_Col!$AH294," ")</f>
        <v xml:space="preserve"> </v>
      </c>
      <c r="AS294" s="26" t="str">
        <f>IFERROR($AC294*HDF_Limited_Col!AS294/HDF_Limited_Col!$AH294," ")</f>
        <v xml:space="preserve"> </v>
      </c>
      <c r="AT294" s="26" t="str">
        <f>IFERROR($AC294*HDF_Limited_Col!AT294/HDF_Limited_Col!$AH294," ")</f>
        <v xml:space="preserve"> </v>
      </c>
      <c r="AU294" s="26" t="str">
        <f>IFERROR($AC294*HDF_Limited_Col!AU294/HDF_Limited_Col!$AH294," ")</f>
        <v xml:space="preserve"> </v>
      </c>
      <c r="AV294" s="26" t="str">
        <f>IFERROR($AC294*HDF_Limited_Col!AV294/HDF_Limited_Col!$AH294," ")</f>
        <v xml:space="preserve"> </v>
      </c>
      <c r="AW294" s="26" t="str">
        <f>IFERROR($AC294*HDF_Limited_Col!AW294/HDF_Limited_Col!$AH294," ")</f>
        <v xml:space="preserve"> </v>
      </c>
      <c r="AX294" s="26" t="str">
        <f>IFERROR($AC294*HDF_Limited_Col!AX294/HDF_Limited_Col!$AH294," ")</f>
        <v xml:space="preserve"> </v>
      </c>
      <c r="AY294" s="26" t="str">
        <f>IFERROR($AC294*HDF_Limited_Col!AY294/HDF_Limited_Col!$AH294," ")</f>
        <v xml:space="preserve"> </v>
      </c>
      <c r="AZ294" s="26" t="str">
        <f>IFERROR($AC294*HDF_Limited_Col!AZ294/HDF_Limited_Col!$AH294," ")</f>
        <v xml:space="preserve"> </v>
      </c>
      <c r="BA294" s="26" t="str">
        <f>IFERROR($AC294*HDF_Limited_Col!BA294/HDF_Limited_Col!$AH294," ")</f>
        <v xml:space="preserve"> </v>
      </c>
      <c r="BB294" s="26" t="str">
        <f>IFERROR($AC294*HDF_Limited_Col!BB294/HDF_Limited_Col!$AH294," ")</f>
        <v xml:space="preserve"> </v>
      </c>
      <c r="BC294" s="26" t="str">
        <f>IFERROR($AC294*HDF_Limited_Col!BC294/HDF_Limited_Col!$AH294," ")</f>
        <v xml:space="preserve"> </v>
      </c>
      <c r="BD294" s="26" t="str">
        <f>IFERROR($AC294*HDF_Limited_Col!BD294/HDF_Limited_Col!$AH294," ")</f>
        <v xml:space="preserve"> </v>
      </c>
      <c r="BE294" s="26" t="str">
        <f>IFERROR($AC294*HDF_Limited_Col!BE294/HDF_Limited_Col!$AH294," ")</f>
        <v xml:space="preserve"> </v>
      </c>
      <c r="BF294" s="26" t="str">
        <f>IFERROR($AC294*HDF_Limited_Col!BF294/HDF_Limited_Col!$AH294," ")</f>
        <v xml:space="preserve"> </v>
      </c>
      <c r="BG294" s="26" t="str">
        <f>IFERROR($AC294*HDF_Limited_Col!BG294/HDF_Limited_Col!$AH294," ")</f>
        <v xml:space="preserve"> </v>
      </c>
      <c r="BH294" s="26" t="str">
        <f>IFERROR($AC294*HDF_Limited_Col!BH294/HDF_Limited_Col!$AH294," ")</f>
        <v xml:space="preserve"> </v>
      </c>
      <c r="BI294" s="26" t="str">
        <f>IFERROR($AC294*HDF_Limited_Col!BI294/HDF_Limited_Col!$AH294," ")</f>
        <v xml:space="preserve"> </v>
      </c>
      <c r="BJ294" s="26" t="str">
        <f>IFERROR($AC294*HDF_Limited_Col!BJ294/HDF_Limited_Col!$AH294," ")</f>
        <v xml:space="preserve"> </v>
      </c>
      <c r="BK294" s="26" t="str">
        <f>IFERROR($AC294*HDF_Limited_Col!BK294/HDF_Limited_Col!$AH294," ")</f>
        <v xml:space="preserve"> </v>
      </c>
      <c r="BL294" s="26" t="str">
        <f>IFERROR($AC294*HDF_Limited_Col!BL294/HDF_Limited_Col!$AH294," ")</f>
        <v xml:space="preserve"> </v>
      </c>
      <c r="BM294" s="26" t="str">
        <f>IFERROR($AC294*HDF_Limited_Col!BM294/HDF_Limited_Col!$AH294," ")</f>
        <v xml:space="preserve"> </v>
      </c>
      <c r="BN294" s="26" t="str">
        <f>IFERROR($AC294*HDF_Limited_Col!BN294/HDF_Limited_Col!$AH294," ")</f>
        <v xml:space="preserve"> </v>
      </c>
      <c r="BO294" s="26" t="str">
        <f>IFERROR($AC294*HDF_Limited_Col!BO294/HDF_Limited_Col!$AH294," ")</f>
        <v xml:space="preserve"> </v>
      </c>
      <c r="BP294" s="26" t="str">
        <f>IFERROR($AC294*HDF_Limited_Col!BP294/HDF_Limited_Col!$AH294," ")</f>
        <v xml:space="preserve"> </v>
      </c>
      <c r="BQ294" s="26" t="str">
        <f>IFERROR($AC294*HDF_Limited_Col!BQ294/HDF_Limited_Col!$AH294," ")</f>
        <v xml:space="preserve"> </v>
      </c>
      <c r="BR294" s="26" t="str">
        <f>IFERROR($AC294*HDF_Limited_Col!BR294/HDF_Limited_Col!$AH294," ")</f>
        <v xml:space="preserve"> </v>
      </c>
      <c r="BS294" s="26" t="str">
        <f>IFERROR($AC294*HDF_Limited_Col!BS294/HDF_Limited_Col!$AH294," ")</f>
        <v xml:space="preserve"> </v>
      </c>
      <c r="BT294" s="26" t="str">
        <f>IFERROR($AC294*HDF_Limited_Col!BT294/HDF_Limited_Col!$AH294," ")</f>
        <v xml:space="preserve"> </v>
      </c>
      <c r="BU294" s="26" t="str">
        <f>IFERROR($AC294*HDF_Limited_Col!BU294/HDF_Limited_Col!$AH294," ")</f>
        <v xml:space="preserve"> </v>
      </c>
      <c r="BV294" s="26" t="str">
        <f>IFERROR($AC294*HDF_Limited_Col!BV294/HDF_Limited_Col!$AH294," ")</f>
        <v xml:space="preserve"> </v>
      </c>
      <c r="BW294" s="26" t="str">
        <f>IFERROR($AC294*HDF_Limited_Col!BW294/HDF_Limited_Col!$AH294," ")</f>
        <v xml:space="preserve"> </v>
      </c>
      <c r="BX294" s="26" t="str">
        <f>IFERROR($AC294*HDF_Limited_Col!BX294/HDF_Limited_Col!$AH294," ")</f>
        <v xml:space="preserve"> </v>
      </c>
      <c r="BY294" s="26" t="str">
        <f>IFERROR($AC294*HDF_Limited_Col!BY294/HDF_Limited_Col!$AH294," ")</f>
        <v xml:space="preserve"> </v>
      </c>
      <c r="BZ294" s="26" t="str">
        <f>IFERROR($AC294*HDF_Limited_Col!BZ294/HDF_Limited_Col!$AH294," ")</f>
        <v xml:space="preserve"> </v>
      </c>
      <c r="CA294" s="26" t="str">
        <f>IFERROR($AC294*HDF_Limited_Col!CA294/HDF_Limited_Col!$AH294," ")</f>
        <v xml:space="preserve"> </v>
      </c>
      <c r="CB294" s="26" t="str">
        <f>IFERROR($AC294*HDF_Limited_Col!CB294/HDF_Limited_Col!$AH294," ")</f>
        <v xml:space="preserve"> </v>
      </c>
      <c r="CC294" s="26" t="str">
        <f>IFERROR($AC294*HDF_Limited_Col!CC294/HDF_Limited_Col!$AH294," ")</f>
        <v xml:space="preserve"> </v>
      </c>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row>
    <row r="295" spans="1:109">
      <c r="A295" s="26" t="s">
        <v>1181</v>
      </c>
      <c r="B295" s="26" t="s">
        <v>24</v>
      </c>
      <c r="C295" s="157" t="s">
        <v>1722</v>
      </c>
      <c r="D295" s="26" t="s">
        <v>819</v>
      </c>
      <c r="E295" s="26" t="s">
        <v>801</v>
      </c>
      <c r="F295" s="26" t="s">
        <v>800</v>
      </c>
      <c r="G295" s="26" t="s">
        <v>829</v>
      </c>
      <c r="H295" s="30"/>
      <c r="I295" s="26" t="s">
        <v>712</v>
      </c>
      <c r="J295" s="26" t="s">
        <v>635</v>
      </c>
      <c r="K295" s="26" t="s">
        <v>1169</v>
      </c>
      <c r="L295" s="26" t="s">
        <v>789</v>
      </c>
      <c r="M295" s="26" t="s">
        <v>787</v>
      </c>
      <c r="N295" s="26">
        <v>25</v>
      </c>
      <c r="O295" s="95">
        <v>28.578582356557941</v>
      </c>
      <c r="P295" s="95">
        <v>1.4544036240962366</v>
      </c>
      <c r="Q295" s="95">
        <v>3.5835626894058135</v>
      </c>
      <c r="R295" s="95">
        <v>12.625352667988615</v>
      </c>
      <c r="S295" s="95">
        <v>6.6360275479617039</v>
      </c>
      <c r="T295" s="95">
        <v>18.856051591833761</v>
      </c>
      <c r="U295" s="95">
        <v>4.2786184518425605</v>
      </c>
      <c r="V295" s="95">
        <v>4.3017739123349701</v>
      </c>
      <c r="W295" s="95">
        <v>11.913398946084511</v>
      </c>
      <c r="X295" s="95">
        <v>5.5493510937714579</v>
      </c>
      <c r="Y295" s="95">
        <v>2.8707101580124017</v>
      </c>
      <c r="Z295" s="95">
        <v>100.64783303988997</v>
      </c>
      <c r="AA295" s="26"/>
      <c r="AB295" s="26"/>
      <c r="AC295" s="26">
        <f t="shared" si="5"/>
        <v>98897.568910399219</v>
      </c>
      <c r="AD295" s="26">
        <f>IFERROR($AC295*HDF_Limited_Col!AD295/HDF_Limited_Col!$AH295," ")</f>
        <v>0</v>
      </c>
      <c r="AE295" s="26">
        <f>IFERROR($AC295*HDF_Limited_Col!AE295/HDF_Limited_Col!$AH295," ")</f>
        <v>0</v>
      </c>
      <c r="AF295" s="26">
        <f>IFERROR($AC295*HDF_Limited_Col!AF295/HDF_Limited_Col!$AH295," ")</f>
        <v>0</v>
      </c>
      <c r="AG295" s="26">
        <f>IFERROR($AC295*HDF_Limited_Col!AG295/HDF_Limited_Col!$AH295," ")</f>
        <v>0</v>
      </c>
      <c r="AH295" s="26">
        <f>IFERROR($AC295*HDF_Limited_Col!AH295/HDF_Limited_Col!$AH295," ")</f>
        <v>98897.568910399219</v>
      </c>
      <c r="AI295" s="26">
        <f>IFERROR($AC295*HDF_Limited_Col!AI295/HDF_Limited_Col!$AH295," ")</f>
        <v>0</v>
      </c>
      <c r="AJ295" s="26">
        <f>IFERROR($AC295*HDF_Limited_Col!AJ295/HDF_Limited_Col!$AH295," ")</f>
        <v>13061.943063637633</v>
      </c>
      <c r="AK295" s="26">
        <f>IFERROR($AC295*HDF_Limited_Col!AK295/HDF_Limited_Col!$AH295," ")</f>
        <v>0</v>
      </c>
      <c r="AL295" s="26">
        <f>IFERROR($AC295*HDF_Limited_Col!AL295/HDF_Limited_Col!$AH295," ")</f>
        <v>0</v>
      </c>
      <c r="AM295" s="26">
        <f>IFERROR($AC295*HDF_Limited_Col!AM295/HDF_Limited_Col!$AH295," ")</f>
        <v>0</v>
      </c>
      <c r="AN295" s="26">
        <f>IFERROR($AC295*HDF_Limited_Col!AN295/HDF_Limited_Col!$AH295," ")</f>
        <v>0</v>
      </c>
      <c r="AO295" s="26">
        <f>IFERROR($AC295*HDF_Limited_Col!AO295/HDF_Limited_Col!$AH295," ")</f>
        <v>0</v>
      </c>
      <c r="AP295" s="26">
        <f>IFERROR($AC295*HDF_Limited_Col!AP295/HDF_Limited_Col!$AH295," ")</f>
        <v>0</v>
      </c>
      <c r="AQ295" s="26">
        <f>IFERROR($AC295*HDF_Limited_Col!AQ295/HDF_Limited_Col!$AH295," ")</f>
        <v>0</v>
      </c>
      <c r="AR295" s="26">
        <f>IFERROR($AC295*HDF_Limited_Col!AR295/HDF_Limited_Col!$AH295," ")</f>
        <v>0</v>
      </c>
      <c r="AS295" s="26">
        <f>IFERROR($AC295*HDF_Limited_Col!AS295/HDF_Limited_Col!$AH295," ")</f>
        <v>0</v>
      </c>
      <c r="AT295" s="26">
        <f>IFERROR($AC295*HDF_Limited_Col!AT295/HDF_Limited_Col!$AH295," ")</f>
        <v>0</v>
      </c>
      <c r="AU295" s="26">
        <f>IFERROR($AC295*HDF_Limited_Col!AU295/HDF_Limited_Col!$AH295," ")</f>
        <v>0</v>
      </c>
      <c r="AV295" s="26">
        <f>IFERROR($AC295*HDF_Limited_Col!AV295/HDF_Limited_Col!$AH295," ")</f>
        <v>0</v>
      </c>
      <c r="AW295" s="26">
        <f>IFERROR($AC295*HDF_Limited_Col!AW295/HDF_Limited_Col!$AH295," ")</f>
        <v>0</v>
      </c>
      <c r="AX295" s="26">
        <f>IFERROR($AC295*HDF_Limited_Col!AX295/HDF_Limited_Col!$AH295," ")</f>
        <v>335.87853592211059</v>
      </c>
      <c r="AY295" s="26">
        <f>IFERROR($AC295*HDF_Limited_Col!AY295/HDF_Limited_Col!$AH295," ")</f>
        <v>3731.9837324678952</v>
      </c>
      <c r="AZ295" s="26">
        <f>IFERROR($AC295*HDF_Limited_Col!AZ295/HDF_Limited_Col!$AH295," ")</f>
        <v>136.83940352382282</v>
      </c>
      <c r="BA295" s="26">
        <f>IFERROR($AC295*HDF_Limited_Col!BA295/HDF_Limited_Col!$AH295," ")</f>
        <v>995.19566199143867</v>
      </c>
      <c r="BB295" s="26">
        <f>IFERROR($AC295*HDF_Limited_Col!BB295/HDF_Limited_Col!$AH295," ")</f>
        <v>0</v>
      </c>
      <c r="BC295" s="26">
        <f>IFERROR($AC295*HDF_Limited_Col!BC295/HDF_Limited_Col!$AH295," ")</f>
        <v>93.299593311697379</v>
      </c>
      <c r="BD295" s="26">
        <f>IFERROR($AC295*HDF_Limited_Col!BD295/HDF_Limited_Col!$AH295," ")</f>
        <v>0</v>
      </c>
      <c r="BE295" s="26">
        <f>IFERROR($AC295*HDF_Limited_Col!BE295/HDF_Limited_Col!$AH295," ")</f>
        <v>0</v>
      </c>
      <c r="BF295" s="26">
        <f>IFERROR($AC295*HDF_Limited_Col!BF295/HDF_Limited_Col!$AH295," ")</f>
        <v>0</v>
      </c>
      <c r="BG295" s="26">
        <f>IFERROR($AC295*HDF_Limited_Col!BG295/HDF_Limited_Col!$AH295," ")</f>
        <v>0</v>
      </c>
      <c r="BH295" s="26">
        <f>IFERROR($AC295*HDF_Limited_Col!BH295/HDF_Limited_Col!$AH295," ")</f>
        <v>7.4639674649357906</v>
      </c>
      <c r="BI295" s="26">
        <f>IFERROR($AC295*HDF_Limited_Col!BI295/HDF_Limited_Col!$AH295," ")</f>
        <v>18037.921373594829</v>
      </c>
      <c r="BJ295" s="26">
        <f>IFERROR($AC295*HDF_Limited_Col!BJ295/HDF_Limited_Col!$AH295," ")</f>
        <v>0</v>
      </c>
      <c r="BK295" s="26">
        <f>IFERROR($AC295*HDF_Limited_Col!BK295/HDF_Limited_Col!$AH295," ")</f>
        <v>1430.593764112693</v>
      </c>
      <c r="BL295" s="26">
        <f>IFERROR($AC295*HDF_Limited_Col!BL295/HDF_Limited_Col!$AH295," ")</f>
        <v>1990.3913239828773</v>
      </c>
      <c r="BM295" s="26">
        <f>IFERROR($AC295*HDF_Limited_Col!BM295/HDF_Limited_Col!$AH295," ")</f>
        <v>236.35896972296666</v>
      </c>
      <c r="BN295" s="26">
        <f>IFERROR($AC295*HDF_Limited_Col!BN295/HDF_Limited_Col!$AH295," ")</f>
        <v>1679.3926796105529</v>
      </c>
      <c r="BO295" s="26">
        <f>IFERROR($AC295*HDF_Limited_Col!BO295/HDF_Limited_Col!$AH295," ")</f>
        <v>149.2793492987158</v>
      </c>
      <c r="BP295" s="26">
        <f>IFERROR($AC295*HDF_Limited_Col!BP295/HDF_Limited_Col!$AH295," ")</f>
        <v>36.697840035934298</v>
      </c>
      <c r="BQ295" s="26">
        <f>IFERROR($AC295*HDF_Limited_Col!BQ295/HDF_Limited_Col!$AH295," ")</f>
        <v>99.519566199143867</v>
      </c>
      <c r="BR295" s="26">
        <f>IFERROR($AC295*HDF_Limited_Col!BR295/HDF_Limited_Col!$AH295," ")</f>
        <v>42.917812923380801</v>
      </c>
      <c r="BS295" s="26">
        <f>IFERROR($AC295*HDF_Limited_Col!BS295/HDF_Limited_Col!$AH295," ")</f>
        <v>6.2199728874464917</v>
      </c>
      <c r="BT295" s="26">
        <f>IFERROR($AC295*HDF_Limited_Col!BT295/HDF_Limited_Col!$AH295," ")</f>
        <v>11.817948486148333</v>
      </c>
      <c r="BU295" s="26">
        <f>IFERROR($AC295*HDF_Limited_Col!BU295/HDF_Limited_Col!$AH295," ")</f>
        <v>0</v>
      </c>
      <c r="BV295" s="26">
        <f>IFERROR($AC295*HDF_Limited_Col!BV295/HDF_Limited_Col!$AH295," ")</f>
        <v>6.8419701761911398</v>
      </c>
      <c r="BW295" s="26">
        <f>IFERROR($AC295*HDF_Limited_Col!BW295/HDF_Limited_Col!$AH295," ")</f>
        <v>1.2439945774892982</v>
      </c>
      <c r="BX295" s="26">
        <f>IFERROR($AC295*HDF_Limited_Col!BX295/HDF_Limited_Col!$AH295," ")</f>
        <v>25.501888838530618</v>
      </c>
      <c r="BY295" s="26">
        <f>IFERROR($AC295*HDF_Limited_Col!BY295/HDF_Limited_Col!$AH295," ")</f>
        <v>6.2199728874464917</v>
      </c>
      <c r="BZ295" s="26">
        <f>IFERROR($AC295*HDF_Limited_Col!BZ295/HDF_Limited_Col!$AH295," ")</f>
        <v>0</v>
      </c>
      <c r="CA295" s="26">
        <f>IFERROR($AC295*HDF_Limited_Col!CA295/HDF_Limited_Col!$AH295," ")</f>
        <v>0</v>
      </c>
      <c r="CB295" s="26">
        <f>IFERROR($AC295*HDF_Limited_Col!CB295/HDF_Limited_Col!$AH295," ")</f>
        <v>205.25910528573425</v>
      </c>
      <c r="CC295" s="26">
        <f>IFERROR($AC295*HDF_Limited_Col!CC295/HDF_Limited_Col!$AH295," ")</f>
        <v>34.831848169700358</v>
      </c>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row>
    <row r="296" spans="1:109">
      <c r="A296" s="26" t="s">
        <v>1181</v>
      </c>
      <c r="B296" s="26" t="s">
        <v>24</v>
      </c>
      <c r="C296" s="157" t="s">
        <v>1722</v>
      </c>
      <c r="D296" s="26" t="s">
        <v>110</v>
      </c>
      <c r="E296" s="26" t="s">
        <v>801</v>
      </c>
      <c r="F296" s="26" t="s">
        <v>800</v>
      </c>
      <c r="G296" s="26" t="s">
        <v>829</v>
      </c>
      <c r="H296" s="30"/>
      <c r="I296" s="26" t="s">
        <v>712</v>
      </c>
      <c r="J296" s="26" t="s">
        <v>635</v>
      </c>
      <c r="K296" s="26" t="s">
        <v>1169</v>
      </c>
      <c r="L296" s="26" t="s">
        <v>99</v>
      </c>
      <c r="M296" s="26" t="s">
        <v>787</v>
      </c>
      <c r="N296" s="26">
        <v>26</v>
      </c>
      <c r="O296" s="95">
        <v>37.087395885932573</v>
      </c>
      <c r="P296" s="95">
        <v>1.9610251898352953</v>
      </c>
      <c r="Q296" s="95">
        <v>4.1034879403375317</v>
      </c>
      <c r="R296" s="95">
        <v>11.448429492592521</v>
      </c>
      <c r="S296" s="95">
        <v>5.3305682085064809</v>
      </c>
      <c r="T296" s="95">
        <v>9.5736824617656016</v>
      </c>
      <c r="U296" s="95">
        <v>3.5793965307960618</v>
      </c>
      <c r="V296" s="95">
        <v>3.8674325858817089</v>
      </c>
      <c r="W296" s="95">
        <v>14.301393877310023</v>
      </c>
      <c r="X296" s="95">
        <v>5.5386232669511353</v>
      </c>
      <c r="Y296" s="95">
        <v>4.1436653426312651</v>
      </c>
      <c r="Z296" s="95">
        <v>100.93510078254019</v>
      </c>
      <c r="AA296" s="26"/>
      <c r="AB296" s="26"/>
      <c r="AC296" s="26">
        <f t="shared" si="5"/>
        <v>118721.20566909086</v>
      </c>
      <c r="AD296" s="26">
        <f>IFERROR($AC296*HDF_Limited_Col!AD296/HDF_Limited_Col!$AH296," ")</f>
        <v>0</v>
      </c>
      <c r="AE296" s="26">
        <f>IFERROR($AC296*HDF_Limited_Col!AE296/HDF_Limited_Col!$AH296," ")</f>
        <v>0</v>
      </c>
      <c r="AF296" s="26">
        <f>IFERROR($AC296*HDF_Limited_Col!AF296/HDF_Limited_Col!$AH296," ")</f>
        <v>0</v>
      </c>
      <c r="AG296" s="26">
        <f>IFERROR($AC296*HDF_Limited_Col!AG296/HDF_Limited_Col!$AH296," ")</f>
        <v>0</v>
      </c>
      <c r="AH296" s="26">
        <f>IFERROR($AC296*HDF_Limited_Col!AH296/HDF_Limited_Col!$AH296," ")</f>
        <v>118721.20566909086</v>
      </c>
      <c r="AI296" s="26">
        <f>IFERROR($AC296*HDF_Limited_Col!AI296/HDF_Limited_Col!$AH296," ")</f>
        <v>0</v>
      </c>
      <c r="AJ296" s="26">
        <f>IFERROR($AC296*HDF_Limited_Col!AJ296/HDF_Limited_Col!$AH296," ")</f>
        <v>20797.875445680151</v>
      </c>
      <c r="AK296" s="26">
        <f>IFERROR($AC296*HDF_Limited_Col!AK296/HDF_Limited_Col!$AH296," ")</f>
        <v>0</v>
      </c>
      <c r="AL296" s="26">
        <f>IFERROR($AC296*HDF_Limited_Col!AL296/HDF_Limited_Col!$AH296," ")</f>
        <v>0</v>
      </c>
      <c r="AM296" s="26">
        <f>IFERROR($AC296*HDF_Limited_Col!AM296/HDF_Limited_Col!$AH296," ")</f>
        <v>0</v>
      </c>
      <c r="AN296" s="26">
        <f>IFERROR($AC296*HDF_Limited_Col!AN296/HDF_Limited_Col!$AH296," ")</f>
        <v>0</v>
      </c>
      <c r="AO296" s="26">
        <f>IFERROR($AC296*HDF_Limited_Col!AO296/HDF_Limited_Col!$AH296," ")</f>
        <v>0</v>
      </c>
      <c r="AP296" s="26">
        <f>IFERROR($AC296*HDF_Limited_Col!AP296/HDF_Limited_Col!$AH296," ")</f>
        <v>0</v>
      </c>
      <c r="AQ296" s="26">
        <f>IFERROR($AC296*HDF_Limited_Col!AQ296/HDF_Limited_Col!$AH296," ")</f>
        <v>0</v>
      </c>
      <c r="AR296" s="26">
        <f>IFERROR($AC296*HDF_Limited_Col!AR296/HDF_Limited_Col!$AH296," ")</f>
        <v>0</v>
      </c>
      <c r="AS296" s="26">
        <f>IFERROR($AC296*HDF_Limited_Col!AS296/HDF_Limited_Col!$AH296," ")</f>
        <v>0</v>
      </c>
      <c r="AT296" s="26">
        <f>IFERROR($AC296*HDF_Limited_Col!AT296/HDF_Limited_Col!$AH296," ")</f>
        <v>0</v>
      </c>
      <c r="AU296" s="26">
        <f>IFERROR($AC296*HDF_Limited_Col!AU296/HDF_Limited_Col!$AH296," ")</f>
        <v>0</v>
      </c>
      <c r="AV296" s="26">
        <f>IFERROR($AC296*HDF_Limited_Col!AV296/HDF_Limited_Col!$AH296," ")</f>
        <v>0</v>
      </c>
      <c r="AW296" s="26">
        <f>IFERROR($AC296*HDF_Limited_Col!AW296/HDF_Limited_Col!$AH296," ")</f>
        <v>0</v>
      </c>
      <c r="AX296" s="26">
        <f>IFERROR($AC296*HDF_Limited_Col!AX296/HDF_Limited_Col!$AH296," ")</f>
        <v>320.63391312090232</v>
      </c>
      <c r="AY296" s="26">
        <f>IFERROR($AC296*HDF_Limited_Col!AY296/HDF_Limited_Col!$AH296," ")</f>
        <v>3726.2860173510271</v>
      </c>
      <c r="AZ296" s="26">
        <f>IFERROR($AC296*HDF_Limited_Col!AZ296/HDF_Limited_Col!$AH296," ")</f>
        <v>155.98406584260113</v>
      </c>
      <c r="BA296" s="26">
        <f>IFERROR($AC296*HDF_Limited_Col!BA296/HDF_Limited_Col!$AH296," ")</f>
        <v>1559.8406584260115</v>
      </c>
      <c r="BB296" s="26">
        <f>IFERROR($AC296*HDF_Limited_Col!BB296/HDF_Limited_Col!$AH296," ")</f>
        <v>0</v>
      </c>
      <c r="BC296" s="26">
        <f>IFERROR($AC296*HDF_Limited_Col!BC296/HDF_Limited_Col!$AH296," ")</f>
        <v>69.326251485600508</v>
      </c>
      <c r="BD296" s="26">
        <f>IFERROR($AC296*HDF_Limited_Col!BD296/HDF_Limited_Col!$AH296," ")</f>
        <v>0</v>
      </c>
      <c r="BE296" s="26">
        <f>IFERROR($AC296*HDF_Limited_Col!BE296/HDF_Limited_Col!$AH296," ")</f>
        <v>0</v>
      </c>
      <c r="BF296" s="26">
        <f>IFERROR($AC296*HDF_Limited_Col!BF296/HDF_Limited_Col!$AH296," ")</f>
        <v>0</v>
      </c>
      <c r="BG296" s="26">
        <f>IFERROR($AC296*HDF_Limited_Col!BG296/HDF_Limited_Col!$AH296," ")</f>
        <v>0</v>
      </c>
      <c r="BH296" s="26">
        <f>IFERROR($AC296*HDF_Limited_Col!BH296/HDF_Limited_Col!$AH296," ")</f>
        <v>8.6657814357000635</v>
      </c>
      <c r="BI296" s="26">
        <f>IFERROR($AC296*HDF_Limited_Col!BI296/HDF_Limited_Col!$AH296," ")</f>
        <v>29463.656881380215</v>
      </c>
      <c r="BJ296" s="26">
        <f>IFERROR($AC296*HDF_Limited_Col!BJ296/HDF_Limited_Col!$AH296," ")</f>
        <v>0</v>
      </c>
      <c r="BK296" s="26">
        <f>IFERROR($AC296*HDF_Limited_Col!BK296/HDF_Limited_Col!$AH296," ")</f>
        <v>2166.4453589250161</v>
      </c>
      <c r="BL296" s="26">
        <f>IFERROR($AC296*HDF_Limited_Col!BL296/HDF_Limited_Col!$AH296," ")</f>
        <v>2686.3922450670198</v>
      </c>
      <c r="BM296" s="26">
        <f>IFERROR($AC296*HDF_Limited_Col!BM296/HDF_Limited_Col!$AH296," ")</f>
        <v>285.9707873781021</v>
      </c>
      <c r="BN296" s="26">
        <f>IFERROR($AC296*HDF_Limited_Col!BN296/HDF_Limited_Col!$AH296," ")</f>
        <v>1213.2094009980087</v>
      </c>
      <c r="BO296" s="26">
        <f>IFERROR($AC296*HDF_Limited_Col!BO296/HDF_Limited_Col!$AH296," ")</f>
        <v>164.64984727830119</v>
      </c>
      <c r="BP296" s="26">
        <f>IFERROR($AC296*HDF_Limited_Col!BP296/HDF_Limited_Col!$AH296," ")</f>
        <v>36.396282029940267</v>
      </c>
      <c r="BQ296" s="26">
        <f>IFERROR($AC296*HDF_Limited_Col!BQ296/HDF_Limited_Col!$AH296," ")</f>
        <v>103.98937722840076</v>
      </c>
      <c r="BR296" s="26">
        <f>IFERROR($AC296*HDF_Limited_Col!BR296/HDF_Limited_Col!$AH296," ")</f>
        <v>42.462329034930313</v>
      </c>
      <c r="BS296" s="26">
        <f>IFERROR($AC296*HDF_Limited_Col!BS296/HDF_Limited_Col!$AH296," ")</f>
        <v>6.9326251485600503</v>
      </c>
      <c r="BT296" s="26">
        <f>IFERROR($AC296*HDF_Limited_Col!BT296/HDF_Limited_Col!$AH296," ")</f>
        <v>12.132094009980088</v>
      </c>
      <c r="BU296" s="26">
        <f>IFERROR($AC296*HDF_Limited_Col!BU296/HDF_Limited_Col!$AH296," ")</f>
        <v>0</v>
      </c>
      <c r="BV296" s="26">
        <f>IFERROR($AC296*HDF_Limited_Col!BV296/HDF_Limited_Col!$AH296," ")</f>
        <v>6.9326251485600503</v>
      </c>
      <c r="BW296" s="26">
        <f>IFERROR($AC296*HDF_Limited_Col!BW296/HDF_Limited_Col!$AH296," ")</f>
        <v>1.7331562871400126</v>
      </c>
      <c r="BX296" s="26">
        <f>IFERROR($AC296*HDF_Limited_Col!BX296/HDF_Limited_Col!$AH296," ")</f>
        <v>38.996016460650281</v>
      </c>
      <c r="BY296" s="26">
        <f>IFERROR($AC296*HDF_Limited_Col!BY296/HDF_Limited_Col!$AH296," ")</f>
        <v>5.1994688614200379</v>
      </c>
      <c r="BZ296" s="26">
        <f>IFERROR($AC296*HDF_Limited_Col!BZ296/HDF_Limited_Col!$AH296," ")</f>
        <v>0</v>
      </c>
      <c r="CA296" s="26">
        <f>IFERROR($AC296*HDF_Limited_Col!CA296/HDF_Limited_Col!$AH296," ")</f>
        <v>0</v>
      </c>
      <c r="CB296" s="26">
        <f>IFERROR($AC296*HDF_Limited_Col!CB296/HDF_Limited_Col!$AH296," ")</f>
        <v>355.2970388637026</v>
      </c>
      <c r="CC296" s="26">
        <f>IFERROR($AC296*HDF_Limited_Col!CC296/HDF_Limited_Col!$AH296," ")</f>
        <v>51.994688614200378</v>
      </c>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row>
    <row r="297" spans="1:109">
      <c r="A297" s="26" t="s">
        <v>1181</v>
      </c>
      <c r="B297" s="26" t="s">
        <v>24</v>
      </c>
      <c r="C297" s="157" t="s">
        <v>1722</v>
      </c>
      <c r="D297" s="26" t="s">
        <v>110</v>
      </c>
      <c r="E297" s="26" t="s">
        <v>801</v>
      </c>
      <c r="F297" s="26" t="s">
        <v>800</v>
      </c>
      <c r="G297" s="26" t="s">
        <v>829</v>
      </c>
      <c r="H297" s="30"/>
      <c r="I297" s="26" t="s">
        <v>712</v>
      </c>
      <c r="J297" s="26" t="s">
        <v>635</v>
      </c>
      <c r="K297" s="26" t="s">
        <v>1169</v>
      </c>
      <c r="L297" s="26"/>
      <c r="M297" s="26" t="s">
        <v>788</v>
      </c>
      <c r="N297" s="26">
        <v>58</v>
      </c>
      <c r="O297" s="95">
        <v>35.710003846849247</v>
      </c>
      <c r="P297" s="95">
        <v>1.771126168914346</v>
      </c>
      <c r="Q297" s="95">
        <v>5.6798459576466769</v>
      </c>
      <c r="R297" s="95">
        <v>5.4395098118886605</v>
      </c>
      <c r="S297" s="95">
        <v>2.7995384679075261</v>
      </c>
      <c r="T297" s="95">
        <v>13.73415639719617</v>
      </c>
      <c r="U297" s="95">
        <v>10.761105055246361</v>
      </c>
      <c r="V297" s="95">
        <v>3.4011503030221468</v>
      </c>
      <c r="W297" s="95">
        <v>17.004916691503137</v>
      </c>
      <c r="X297" s="95">
        <v>2.6096691902014308</v>
      </c>
      <c r="Y297" s="95">
        <v>1.4063487790958731</v>
      </c>
      <c r="Z297" s="95">
        <v>100.31737066947159</v>
      </c>
      <c r="AA297" s="26"/>
      <c r="AB297" s="26"/>
      <c r="AC297" s="26">
        <f t="shared" si="5"/>
        <v>141164.15709105891</v>
      </c>
      <c r="AD297" s="26">
        <f>IFERROR($AC297*HDF_Limited_Col!AD297/HDF_Limited_Col!$AH297," ")</f>
        <v>0</v>
      </c>
      <c r="AE297" s="26">
        <f>IFERROR($AC297*HDF_Limited_Col!AE297/HDF_Limited_Col!$AH297," ")</f>
        <v>0</v>
      </c>
      <c r="AF297" s="26">
        <f>IFERROR($AC297*HDF_Limited_Col!AF297/HDF_Limited_Col!$AH297," ")</f>
        <v>0</v>
      </c>
      <c r="AG297" s="26">
        <f>IFERROR($AC297*HDF_Limited_Col!AG297/HDF_Limited_Col!$AH297," ")</f>
        <v>0</v>
      </c>
      <c r="AH297" s="26">
        <f>IFERROR($AC297*HDF_Limited_Col!AH297/HDF_Limited_Col!$AH297," ")</f>
        <v>141164.15709105891</v>
      </c>
      <c r="AI297" s="26">
        <f>IFERROR($AC297*HDF_Limited_Col!AI297/HDF_Limited_Col!$AH297," ")</f>
        <v>0</v>
      </c>
      <c r="AJ297" s="26">
        <f>IFERROR($AC297*HDF_Limited_Col!AJ297/HDF_Limited_Col!$AH297," ")</f>
        <v>11378.686601885354</v>
      </c>
      <c r="AK297" s="26">
        <f>IFERROR($AC297*HDF_Limited_Col!AK297/HDF_Limited_Col!$AH297," ")</f>
        <v>0</v>
      </c>
      <c r="AL297" s="26">
        <f>IFERROR($AC297*HDF_Limited_Col!AL297/HDF_Limited_Col!$AH297," ")</f>
        <v>0</v>
      </c>
      <c r="AM297" s="26">
        <f>IFERROR($AC297*HDF_Limited_Col!AM297/HDF_Limited_Col!$AH297," ")</f>
        <v>0</v>
      </c>
      <c r="AN297" s="26">
        <f>IFERROR($AC297*HDF_Limited_Col!AN297/HDF_Limited_Col!$AH297," ")</f>
        <v>0</v>
      </c>
      <c r="AO297" s="26">
        <f>IFERROR($AC297*HDF_Limited_Col!AO297/HDF_Limited_Col!$AH297," ")</f>
        <v>0</v>
      </c>
      <c r="AP297" s="26">
        <f>IFERROR($AC297*HDF_Limited_Col!AP297/HDF_Limited_Col!$AH297," ")</f>
        <v>0</v>
      </c>
      <c r="AQ297" s="26">
        <f>IFERROR($AC297*HDF_Limited_Col!AQ297/HDF_Limited_Col!$AH297," ")</f>
        <v>0</v>
      </c>
      <c r="AR297" s="26">
        <f>IFERROR($AC297*HDF_Limited_Col!AR297/HDF_Limited_Col!$AH297," ")</f>
        <v>0</v>
      </c>
      <c r="AS297" s="26">
        <f>IFERROR($AC297*HDF_Limited_Col!AS297/HDF_Limited_Col!$AH297," ")</f>
        <v>0</v>
      </c>
      <c r="AT297" s="26">
        <f>IFERROR($AC297*HDF_Limited_Col!AT297/HDF_Limited_Col!$AH297," ")</f>
        <v>0</v>
      </c>
      <c r="AU297" s="26">
        <f>IFERROR($AC297*HDF_Limited_Col!AU297/HDF_Limited_Col!$AH297," ")</f>
        <v>0</v>
      </c>
      <c r="AV297" s="26">
        <f>IFERROR($AC297*HDF_Limited_Col!AV297/HDF_Limited_Col!$AH297," ")</f>
        <v>0</v>
      </c>
      <c r="AW297" s="26">
        <f>IFERROR($AC297*HDF_Limited_Col!AW297/HDF_Limited_Col!$AH297," ")</f>
        <v>0</v>
      </c>
      <c r="AX297" s="26">
        <f>IFERROR($AC297*HDF_Limited_Col!AX297/HDF_Limited_Col!$AH297," ")</f>
        <v>410.65936608308039</v>
      </c>
      <c r="AY297" s="26">
        <f>IFERROR($AC297*HDF_Limited_Col!AY297/HDF_Limited_Col!$AH297," ")</f>
        <v>3251.0533148243867</v>
      </c>
      <c r="AZ297" s="26">
        <f>IFERROR($AC297*HDF_Limited_Col!AZ297/HDF_Limited_Col!$AH297," ")</f>
        <v>36.788234878275958</v>
      </c>
      <c r="BA297" s="26">
        <f>IFERROR($AC297*HDF_Limited_Col!BA297/HDF_Limited_Col!$AH297," ")</f>
        <v>846.98494254635352</v>
      </c>
      <c r="BB297" s="26">
        <f>IFERROR($AC297*HDF_Limited_Col!BB297/HDF_Limited_Col!$AH297," ")</f>
        <v>0</v>
      </c>
      <c r="BC297" s="26">
        <f>IFERROR($AC297*HDF_Limited_Col!BC297/HDF_Limited_Col!$AH297," ")</f>
        <v>136.8864553610268</v>
      </c>
      <c r="BD297" s="26">
        <f>IFERROR($AC297*HDF_Limited_Col!BD297/HDF_Limited_Col!$AH297," ")</f>
        <v>0</v>
      </c>
      <c r="BE297" s="26">
        <f>IFERROR($AC297*HDF_Limited_Col!BE297/HDF_Limited_Col!$AH297," ")</f>
        <v>0</v>
      </c>
      <c r="BF297" s="26">
        <f>IFERROR($AC297*HDF_Limited_Col!BF297/HDF_Limited_Col!$AH297," ")</f>
        <v>0</v>
      </c>
      <c r="BG297" s="26">
        <f>IFERROR($AC297*HDF_Limited_Col!BG297/HDF_Limited_Col!$AH297," ")</f>
        <v>0</v>
      </c>
      <c r="BH297" s="26">
        <f>IFERROR($AC297*HDF_Limited_Col!BH297/HDF_Limited_Col!$AH297," ")</f>
        <v>9.410943806070593</v>
      </c>
      <c r="BI297" s="26">
        <f>IFERROR($AC297*HDF_Limited_Col!BI297/HDF_Limited_Col!$AH297," ")</f>
        <v>24810.670034186111</v>
      </c>
      <c r="BJ297" s="26">
        <f>IFERROR($AC297*HDF_Limited_Col!BJ297/HDF_Limited_Col!$AH297," ")</f>
        <v>0</v>
      </c>
      <c r="BK297" s="26">
        <f>IFERROR($AC297*HDF_Limited_Col!BK297/HDF_Limited_Col!$AH297," ")</f>
        <v>1103.6470463482788</v>
      </c>
      <c r="BL297" s="26">
        <f>IFERROR($AC297*HDF_Limited_Col!BL297/HDF_Limited_Col!$AH297," ")</f>
        <v>1283.3105190096264</v>
      </c>
      <c r="BM297" s="26">
        <f>IFERROR($AC297*HDF_Limited_Col!BM297/HDF_Limited_Col!$AH297," ")</f>
        <v>121.48672913291128</v>
      </c>
      <c r="BN297" s="26">
        <f>IFERROR($AC297*HDF_Limited_Col!BN297/HDF_Limited_Col!$AH297," ")</f>
        <v>410.65936608308039</v>
      </c>
      <c r="BO297" s="26">
        <f>IFERROR($AC297*HDF_Limited_Col!BO297/HDF_Limited_Col!$AH297," ")</f>
        <v>55.610122490417154</v>
      </c>
      <c r="BP297" s="26">
        <f>IFERROR($AC297*HDF_Limited_Col!BP297/HDF_Limited_Col!$AH297," ")</f>
        <v>11.977564844089848</v>
      </c>
      <c r="BQ297" s="26">
        <f>IFERROR($AC297*HDF_Limited_Col!BQ297/HDF_Limited_Col!$AH297," ")</f>
        <v>53.899041798404305</v>
      </c>
      <c r="BR297" s="26">
        <f>IFERROR($AC297*HDF_Limited_Col!BR297/HDF_Limited_Col!$AH297," ")</f>
        <v>13.688645536102682</v>
      </c>
      <c r="BS297" s="26">
        <f>IFERROR($AC297*HDF_Limited_Col!BS297/HDF_Limited_Col!$AH297," ")</f>
        <v>3.4221613840256704</v>
      </c>
      <c r="BT297" s="26">
        <f>IFERROR($AC297*HDF_Limited_Col!BT297/HDF_Limited_Col!$AH297," ")</f>
        <v>6.8443227680513408</v>
      </c>
      <c r="BU297" s="26">
        <f>IFERROR($AC297*HDF_Limited_Col!BU297/HDF_Limited_Col!$AH297," ")</f>
        <v>0</v>
      </c>
      <c r="BV297" s="26">
        <f>IFERROR($AC297*HDF_Limited_Col!BV297/HDF_Limited_Col!$AH297," ")</f>
        <v>6.8443227680513408</v>
      </c>
      <c r="BW297" s="26">
        <f>IFERROR($AC297*HDF_Limited_Col!BW297/HDF_Limited_Col!$AH297," ")</f>
        <v>0.8555403460064176</v>
      </c>
      <c r="BX297" s="26">
        <f>IFERROR($AC297*HDF_Limited_Col!BX297/HDF_Limited_Col!$AH297," ")</f>
        <v>18.821887612141186</v>
      </c>
      <c r="BY297" s="26">
        <f>IFERROR($AC297*HDF_Limited_Col!BY297/HDF_Limited_Col!$AH297," ")</f>
        <v>5.1332420760385054</v>
      </c>
      <c r="BZ297" s="26">
        <f>IFERROR($AC297*HDF_Limited_Col!BZ297/HDF_Limited_Col!$AH297," ")</f>
        <v>0</v>
      </c>
      <c r="CA297" s="26">
        <f>IFERROR($AC297*HDF_Limited_Col!CA297/HDF_Limited_Col!$AH297," ")</f>
        <v>0</v>
      </c>
      <c r="CB297" s="26">
        <f>IFERROR($AC297*HDF_Limited_Col!CB297/HDF_Limited_Col!$AH297," ")</f>
        <v>134.31983432300757</v>
      </c>
      <c r="CC297" s="26">
        <f>IFERROR($AC297*HDF_Limited_Col!CC297/HDF_Limited_Col!$AH297," ")</f>
        <v>25.666210380192524</v>
      </c>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row>
    <row r="298" spans="1:109">
      <c r="A298" s="26" t="s">
        <v>1181</v>
      </c>
      <c r="B298" s="26" t="s">
        <v>24</v>
      </c>
      <c r="C298" s="157" t="s">
        <v>1722</v>
      </c>
      <c r="D298" s="26" t="s">
        <v>831</v>
      </c>
      <c r="E298" s="26" t="s">
        <v>801</v>
      </c>
      <c r="F298" s="26" t="s">
        <v>800</v>
      </c>
      <c r="G298" s="26" t="s">
        <v>829</v>
      </c>
      <c r="H298" s="30"/>
      <c r="I298" s="26" t="s">
        <v>712</v>
      </c>
      <c r="J298" s="26" t="s">
        <v>635</v>
      </c>
      <c r="K298" s="26" t="s">
        <v>1169</v>
      </c>
      <c r="L298" s="26" t="s">
        <v>773</v>
      </c>
      <c r="M298" s="26" t="s">
        <v>786</v>
      </c>
      <c r="N298" s="26">
        <v>25</v>
      </c>
      <c r="O298" s="95">
        <v>20.983554002956446</v>
      </c>
      <c r="P298" s="95">
        <v>1.6759018235542897</v>
      </c>
      <c r="Q298" s="95">
        <v>3.6493344560273275</v>
      </c>
      <c r="R298" s="95">
        <v>10.0155652411239</v>
      </c>
      <c r="S298" s="95">
        <v>5.8633245851668105</v>
      </c>
      <c r="T298" s="95">
        <v>21.114701700999213</v>
      </c>
      <c r="U298" s="95">
        <v>8.9031749658230055</v>
      </c>
      <c r="V298" s="95">
        <v>4.4128852054684087</v>
      </c>
      <c r="W298" s="95">
        <v>17.245208893779314</v>
      </c>
      <c r="X298" s="95">
        <v>4.927822628892252</v>
      </c>
      <c r="Y298" s="95">
        <v>1.5607382255231148</v>
      </c>
      <c r="Z298" s="95">
        <v>100.35221172931409</v>
      </c>
      <c r="AA298" s="26"/>
      <c r="AB298" s="26"/>
      <c r="AC298" s="26">
        <f t="shared" si="5"/>
        <v>143158.91230246311</v>
      </c>
      <c r="AD298" s="26">
        <f>IFERROR($AC298*HDF_Limited_Col!AD298/HDF_Limited_Col!$AH298," ")</f>
        <v>0</v>
      </c>
      <c r="AE298" s="26">
        <f>IFERROR($AC298*HDF_Limited_Col!AE298/HDF_Limited_Col!$AH298," ")</f>
        <v>0</v>
      </c>
      <c r="AF298" s="26">
        <f>IFERROR($AC298*HDF_Limited_Col!AF298/HDF_Limited_Col!$AH298," ")</f>
        <v>0</v>
      </c>
      <c r="AG298" s="26">
        <f>IFERROR($AC298*HDF_Limited_Col!AG298/HDF_Limited_Col!$AH298," ")</f>
        <v>0</v>
      </c>
      <c r="AH298" s="26">
        <f>IFERROR($AC298*HDF_Limited_Col!AH298/HDF_Limited_Col!$AH298," ")</f>
        <v>143158.91230246311</v>
      </c>
      <c r="AI298" s="26">
        <f>IFERROR($AC298*HDF_Limited_Col!AI298/HDF_Limited_Col!$AH298," ")</f>
        <v>0</v>
      </c>
      <c r="AJ298" s="26">
        <f>IFERROR($AC298*HDF_Limited_Col!AJ298/HDF_Limited_Col!$AH298," ")</f>
        <v>16918.780544836551</v>
      </c>
      <c r="AK298" s="26">
        <f>IFERROR($AC298*HDF_Limited_Col!AK298/HDF_Limited_Col!$AH298," ")</f>
        <v>0</v>
      </c>
      <c r="AL298" s="26">
        <f>IFERROR($AC298*HDF_Limited_Col!AL298/HDF_Limited_Col!$AH298," ")</f>
        <v>0</v>
      </c>
      <c r="AM298" s="26">
        <f>IFERROR($AC298*HDF_Limited_Col!AM298/HDF_Limited_Col!$AH298," ")</f>
        <v>0</v>
      </c>
      <c r="AN298" s="26">
        <f>IFERROR($AC298*HDF_Limited_Col!AN298/HDF_Limited_Col!$AH298," ")</f>
        <v>0</v>
      </c>
      <c r="AO298" s="26">
        <f>IFERROR($AC298*HDF_Limited_Col!AO298/HDF_Limited_Col!$AH298," ")</f>
        <v>0</v>
      </c>
      <c r="AP298" s="26">
        <f>IFERROR($AC298*HDF_Limited_Col!AP298/HDF_Limited_Col!$AH298," ")</f>
        <v>0</v>
      </c>
      <c r="AQ298" s="26">
        <f>IFERROR($AC298*HDF_Limited_Col!AQ298/HDF_Limited_Col!$AH298," ")</f>
        <v>0</v>
      </c>
      <c r="AR298" s="26">
        <f>IFERROR($AC298*HDF_Limited_Col!AR298/HDF_Limited_Col!$AH298," ")</f>
        <v>0</v>
      </c>
      <c r="AS298" s="26">
        <f>IFERROR($AC298*HDF_Limited_Col!AS298/HDF_Limited_Col!$AH298," ")</f>
        <v>0</v>
      </c>
      <c r="AT298" s="26">
        <f>IFERROR($AC298*HDF_Limited_Col!AT298/HDF_Limited_Col!$AH298," ")</f>
        <v>0</v>
      </c>
      <c r="AU298" s="26">
        <f>IFERROR($AC298*HDF_Limited_Col!AU298/HDF_Limited_Col!$AH298," ")</f>
        <v>0</v>
      </c>
      <c r="AV298" s="26">
        <f>IFERROR($AC298*HDF_Limited_Col!AV298/HDF_Limited_Col!$AH298," ")</f>
        <v>0</v>
      </c>
      <c r="AW298" s="26">
        <f>IFERROR($AC298*HDF_Limited_Col!AW298/HDF_Limited_Col!$AH298," ")</f>
        <v>0</v>
      </c>
      <c r="AX298" s="26">
        <f>IFERROR($AC298*HDF_Limited_Col!AX298/HDF_Limited_Col!$AH298," ")</f>
        <v>481.5345231991941</v>
      </c>
      <c r="AY298" s="26">
        <f>IFERROR($AC298*HDF_Limited_Col!AY298/HDF_Limited_Col!$AH298," ")</f>
        <v>6246.9343550165713</v>
      </c>
      <c r="AZ298" s="26">
        <f>IFERROR($AC298*HDF_Limited_Col!AZ298/HDF_Limited_Col!$AH298," ")</f>
        <v>68.325844507993764</v>
      </c>
      <c r="BA298" s="26">
        <f>IFERROR($AC298*HDF_Limited_Col!BA298/HDF_Limited_Col!$AH298," ")</f>
        <v>715.79456151231557</v>
      </c>
      <c r="BB298" s="26">
        <f>IFERROR($AC298*HDF_Limited_Col!BB298/HDF_Limited_Col!$AH298," ")</f>
        <v>0</v>
      </c>
      <c r="BC298" s="26">
        <f>IFERROR($AC298*HDF_Limited_Col!BC298/HDF_Limited_Col!$AH298," ")</f>
        <v>553.11397935042578</v>
      </c>
      <c r="BD298" s="26">
        <f>IFERROR($AC298*HDF_Limited_Col!BD298/HDF_Limited_Col!$AH298," ")</f>
        <v>0</v>
      </c>
      <c r="BE298" s="26">
        <f>IFERROR($AC298*HDF_Limited_Col!BE298/HDF_Limited_Col!$AH298," ")</f>
        <v>0</v>
      </c>
      <c r="BF298" s="26">
        <f>IFERROR($AC298*HDF_Limited_Col!BF298/HDF_Limited_Col!$AH298," ")</f>
        <v>0</v>
      </c>
      <c r="BG298" s="26">
        <f>IFERROR($AC298*HDF_Limited_Col!BG298/HDF_Limited_Col!$AH298," ")</f>
        <v>0</v>
      </c>
      <c r="BH298" s="26">
        <f>IFERROR($AC298*HDF_Limited_Col!BH298/HDF_Limited_Col!$AH298," ")</f>
        <v>16.26805821618899</v>
      </c>
      <c r="BI298" s="26">
        <f>IFERROR($AC298*HDF_Limited_Col!BI298/HDF_Limited_Col!$AH298," ")</f>
        <v>14315.891230246312</v>
      </c>
      <c r="BJ298" s="26">
        <f>IFERROR($AC298*HDF_Limited_Col!BJ298/HDF_Limited_Col!$AH298," ")</f>
        <v>0</v>
      </c>
      <c r="BK298" s="26">
        <f>IFERROR($AC298*HDF_Limited_Col!BK298/HDF_Limited_Col!$AH298," ")</f>
        <v>1496.6613558893871</v>
      </c>
      <c r="BL298" s="26">
        <f>IFERROR($AC298*HDF_Limited_Col!BL298/HDF_Limited_Col!$AH298," ")</f>
        <v>1952.1669859426788</v>
      </c>
      <c r="BM298" s="26">
        <f>IFERROR($AC298*HDF_Limited_Col!BM298/HDF_Limited_Col!$AH298," ")</f>
        <v>244.02087324283485</v>
      </c>
      <c r="BN298" s="26">
        <f>IFERROR($AC298*HDF_Limited_Col!BN298/HDF_Limited_Col!$AH298," ")</f>
        <v>1236.3724244303633</v>
      </c>
      <c r="BO298" s="26">
        <f>IFERROR($AC298*HDF_Limited_Col!BO298/HDF_Limited_Col!$AH298," ")</f>
        <v>78.086679437707161</v>
      </c>
      <c r="BP298" s="26">
        <f>IFERROR($AC298*HDF_Limited_Col!BP298/HDF_Limited_Col!$AH298," ")</f>
        <v>19.52166985942679</v>
      </c>
      <c r="BQ298" s="26">
        <f>IFERROR($AC298*HDF_Limited_Col!BQ298/HDF_Limited_Col!$AH298," ")</f>
        <v>61.818621221518157</v>
      </c>
      <c r="BR298" s="26">
        <f>IFERROR($AC298*HDF_Limited_Col!BR298/HDF_Limited_Col!$AH298," ")</f>
        <v>19.52166985942679</v>
      </c>
      <c r="BS298" s="26">
        <f>IFERROR($AC298*HDF_Limited_Col!BS298/HDF_Limited_Col!$AH298," ")</f>
        <v>6.5072232864755959</v>
      </c>
      <c r="BT298" s="26">
        <f>IFERROR($AC298*HDF_Limited_Col!BT298/HDF_Limited_Col!$AH298," ")</f>
        <v>0</v>
      </c>
      <c r="BU298" s="26">
        <f>IFERROR($AC298*HDF_Limited_Col!BU298/HDF_Limited_Col!$AH298," ")</f>
        <v>0</v>
      </c>
      <c r="BV298" s="26">
        <f>IFERROR($AC298*HDF_Limited_Col!BV298/HDF_Limited_Col!$AH298," ")</f>
        <v>35.789728075615777</v>
      </c>
      <c r="BW298" s="26">
        <f>IFERROR($AC298*HDF_Limited_Col!BW298/HDF_Limited_Col!$AH298," ")</f>
        <v>6.5072232864755959</v>
      </c>
      <c r="BX298" s="26">
        <f>IFERROR($AC298*HDF_Limited_Col!BX298/HDF_Limited_Col!$AH298," ")</f>
        <v>22.775281502664587</v>
      </c>
      <c r="BY298" s="26">
        <f>IFERROR($AC298*HDF_Limited_Col!BY298/HDF_Limited_Col!$AH298," ")</f>
        <v>19.52166985942679</v>
      </c>
      <c r="BZ298" s="26">
        <f>IFERROR($AC298*HDF_Limited_Col!BZ298/HDF_Limited_Col!$AH298," ")</f>
        <v>0</v>
      </c>
      <c r="CA298" s="26">
        <f>IFERROR($AC298*HDF_Limited_Col!CA298/HDF_Limited_Col!$AH298," ")</f>
        <v>0</v>
      </c>
      <c r="CB298" s="26">
        <f>IFERROR($AC298*HDF_Limited_Col!CB298/HDF_Limited_Col!$AH298," ")</f>
        <v>152.91974723217652</v>
      </c>
      <c r="CC298" s="26">
        <f>IFERROR($AC298*HDF_Limited_Col!CC298/HDF_Limited_Col!$AH298," ")</f>
        <v>39.043339718853581</v>
      </c>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row>
    <row r="299" spans="1:109">
      <c r="A299" s="26" t="s">
        <v>1229</v>
      </c>
      <c r="B299" s="26" t="s">
        <v>24</v>
      </c>
      <c r="C299" s="157" t="s">
        <v>1722</v>
      </c>
      <c r="D299" s="26"/>
      <c r="E299" s="26" t="s">
        <v>1394</v>
      </c>
      <c r="F299" s="26" t="s">
        <v>1432</v>
      </c>
      <c r="G299" s="26" t="s">
        <v>595</v>
      </c>
      <c r="H299" s="30">
        <v>93</v>
      </c>
      <c r="I299" s="26"/>
      <c r="J299" s="26" t="s">
        <v>1311</v>
      </c>
      <c r="K299" s="26" t="s">
        <v>1274</v>
      </c>
      <c r="L299" s="26"/>
      <c r="M299" s="26" t="s">
        <v>1487</v>
      </c>
      <c r="N299" s="26">
        <v>32</v>
      </c>
      <c r="O299" s="95">
        <v>30.931125082189688</v>
      </c>
      <c r="P299" s="95">
        <v>2.1994745796908099</v>
      </c>
      <c r="Q299" s="95">
        <v>4.5025243252314588</v>
      </c>
      <c r="R299" s="95">
        <v>11.889387115566832</v>
      </c>
      <c r="S299" s="95">
        <v>6.2784600906795038</v>
      </c>
      <c r="T299" s="95">
        <v>14.162778338375073</v>
      </c>
      <c r="U299" s="95">
        <v>2.5384963595361159</v>
      </c>
      <c r="V299" s="95">
        <v>5.0391032508375773</v>
      </c>
      <c r="W299" s="95">
        <v>14.127400697575929</v>
      </c>
      <c r="X299" s="95">
        <v>4.9174313494728716</v>
      </c>
      <c r="Y299" s="95">
        <v>4.408738682857023</v>
      </c>
      <c r="Z299" s="95">
        <v>100.99491987201289</v>
      </c>
      <c r="AA299" s="26"/>
      <c r="AB299" s="26"/>
      <c r="AC299" s="26">
        <f t="shared" si="5"/>
        <v>117276.82337646668</v>
      </c>
      <c r="AD299" s="26" t="str">
        <f>IFERROR($AC299*HDF_Limited_Col!AD299/HDF_Limited_Col!$AH299," ")</f>
        <v xml:space="preserve"> </v>
      </c>
      <c r="AE299" s="26" t="str">
        <f>IFERROR($AC299*HDF_Limited_Col!AE299/HDF_Limited_Col!$AH299," ")</f>
        <v xml:space="preserve"> </v>
      </c>
      <c r="AF299" s="26" t="str">
        <f>IFERROR($AC299*HDF_Limited_Col!AF299/HDF_Limited_Col!$AH299," ")</f>
        <v xml:space="preserve"> </v>
      </c>
      <c r="AG299" s="26" t="str">
        <f>IFERROR($AC299*HDF_Limited_Col!AG299/HDF_Limited_Col!$AH299," ")</f>
        <v xml:space="preserve"> </v>
      </c>
      <c r="AH299" s="26" t="str">
        <f>IFERROR($AC299*HDF_Limited_Col!AH299/HDF_Limited_Col!$AH299," ")</f>
        <v xml:space="preserve"> </v>
      </c>
      <c r="AI299" s="26" t="str">
        <f>IFERROR($AC299*HDF_Limited_Col!AI299/HDF_Limited_Col!$AH299," ")</f>
        <v xml:space="preserve"> </v>
      </c>
      <c r="AJ299" s="26" t="str">
        <f>IFERROR($AC299*HDF_Limited_Col!AJ299/HDF_Limited_Col!$AH299," ")</f>
        <v xml:space="preserve"> </v>
      </c>
      <c r="AK299" s="26" t="str">
        <f>IFERROR($AC299*HDF_Limited_Col!AK299/HDF_Limited_Col!$AH299," ")</f>
        <v xml:space="preserve"> </v>
      </c>
      <c r="AL299" s="26" t="str">
        <f>IFERROR($AC299*HDF_Limited_Col!AL299/HDF_Limited_Col!$AH299," ")</f>
        <v xml:space="preserve"> </v>
      </c>
      <c r="AM299" s="26" t="str">
        <f>IFERROR($AC299*HDF_Limited_Col!AM299/HDF_Limited_Col!$AH299," ")</f>
        <v xml:space="preserve"> </v>
      </c>
      <c r="AN299" s="26" t="str">
        <f>IFERROR($AC299*HDF_Limited_Col!AN299/HDF_Limited_Col!$AH299," ")</f>
        <v xml:space="preserve"> </v>
      </c>
      <c r="AO299" s="26" t="str">
        <f>IFERROR($AC299*HDF_Limited_Col!AO299/HDF_Limited_Col!$AH299," ")</f>
        <v xml:space="preserve"> </v>
      </c>
      <c r="AP299" s="26" t="str">
        <f>IFERROR($AC299*HDF_Limited_Col!AP299/HDF_Limited_Col!$AH299," ")</f>
        <v xml:space="preserve"> </v>
      </c>
      <c r="AQ299" s="26" t="str">
        <f>IFERROR($AC299*HDF_Limited_Col!AQ299/HDF_Limited_Col!$AH299," ")</f>
        <v xml:space="preserve"> </v>
      </c>
      <c r="AR299" s="26" t="str">
        <f>IFERROR($AC299*HDF_Limited_Col!AR299/HDF_Limited_Col!$AH299," ")</f>
        <v xml:space="preserve"> </v>
      </c>
      <c r="AS299" s="26" t="str">
        <f>IFERROR($AC299*HDF_Limited_Col!AS299/HDF_Limited_Col!$AH299," ")</f>
        <v xml:space="preserve"> </v>
      </c>
      <c r="AT299" s="26" t="str">
        <f>IFERROR($AC299*HDF_Limited_Col!AT299/HDF_Limited_Col!$AH299," ")</f>
        <v xml:space="preserve"> </v>
      </c>
      <c r="AU299" s="26" t="str">
        <f>IFERROR($AC299*HDF_Limited_Col!AU299/HDF_Limited_Col!$AH299," ")</f>
        <v xml:space="preserve"> </v>
      </c>
      <c r="AV299" s="26" t="str">
        <f>IFERROR($AC299*HDF_Limited_Col!AV299/HDF_Limited_Col!$AH299," ")</f>
        <v xml:space="preserve"> </v>
      </c>
      <c r="AW299" s="26" t="str">
        <f>IFERROR($AC299*HDF_Limited_Col!AW299/HDF_Limited_Col!$AH299," ")</f>
        <v xml:space="preserve"> </v>
      </c>
      <c r="AX299" s="26" t="str">
        <f>IFERROR($AC299*HDF_Limited_Col!AX299/HDF_Limited_Col!$AH299," ")</f>
        <v xml:space="preserve"> </v>
      </c>
      <c r="AY299" s="26" t="str">
        <f>IFERROR($AC299*HDF_Limited_Col!AY299/HDF_Limited_Col!$AH299," ")</f>
        <v xml:space="preserve"> </v>
      </c>
      <c r="AZ299" s="26" t="str">
        <f>IFERROR($AC299*HDF_Limited_Col!AZ299/HDF_Limited_Col!$AH299," ")</f>
        <v xml:space="preserve"> </v>
      </c>
      <c r="BA299" s="26" t="str">
        <f>IFERROR($AC299*HDF_Limited_Col!BA299/HDF_Limited_Col!$AH299," ")</f>
        <v xml:space="preserve"> </v>
      </c>
      <c r="BB299" s="26" t="str">
        <f>IFERROR($AC299*HDF_Limited_Col!BB299/HDF_Limited_Col!$AH299," ")</f>
        <v xml:space="preserve"> </v>
      </c>
      <c r="BC299" s="26" t="str">
        <f>IFERROR($AC299*HDF_Limited_Col!BC299/HDF_Limited_Col!$AH299," ")</f>
        <v xml:space="preserve"> </v>
      </c>
      <c r="BD299" s="26" t="str">
        <f>IFERROR($AC299*HDF_Limited_Col!BD299/HDF_Limited_Col!$AH299," ")</f>
        <v xml:space="preserve"> </v>
      </c>
      <c r="BE299" s="26" t="str">
        <f>IFERROR($AC299*HDF_Limited_Col!BE299/HDF_Limited_Col!$AH299," ")</f>
        <v xml:space="preserve"> </v>
      </c>
      <c r="BF299" s="26" t="str">
        <f>IFERROR($AC299*HDF_Limited_Col!BF299/HDF_Limited_Col!$AH299," ")</f>
        <v xml:space="preserve"> </v>
      </c>
      <c r="BG299" s="26" t="str">
        <f>IFERROR($AC299*HDF_Limited_Col!BG299/HDF_Limited_Col!$AH299," ")</f>
        <v xml:space="preserve"> </v>
      </c>
      <c r="BH299" s="26" t="str">
        <f>IFERROR($AC299*HDF_Limited_Col!BH299/HDF_Limited_Col!$AH299," ")</f>
        <v xml:space="preserve"> </v>
      </c>
      <c r="BI299" s="26" t="str">
        <f>IFERROR($AC299*HDF_Limited_Col!BI299/HDF_Limited_Col!$AH299," ")</f>
        <v xml:space="preserve"> </v>
      </c>
      <c r="BJ299" s="26" t="str">
        <f>IFERROR($AC299*HDF_Limited_Col!BJ299/HDF_Limited_Col!$AH299," ")</f>
        <v xml:space="preserve"> </v>
      </c>
      <c r="BK299" s="26" t="str">
        <f>IFERROR($AC299*HDF_Limited_Col!BK299/HDF_Limited_Col!$AH299," ")</f>
        <v xml:space="preserve"> </v>
      </c>
      <c r="BL299" s="26" t="str">
        <f>IFERROR($AC299*HDF_Limited_Col!BL299/HDF_Limited_Col!$AH299," ")</f>
        <v xml:space="preserve"> </v>
      </c>
      <c r="BM299" s="26" t="str">
        <f>IFERROR($AC299*HDF_Limited_Col!BM299/HDF_Limited_Col!$AH299," ")</f>
        <v xml:space="preserve"> </v>
      </c>
      <c r="BN299" s="26" t="str">
        <f>IFERROR($AC299*HDF_Limited_Col!BN299/HDF_Limited_Col!$AH299," ")</f>
        <v xml:space="preserve"> </v>
      </c>
      <c r="BO299" s="26" t="str">
        <f>IFERROR($AC299*HDF_Limited_Col!BO299/HDF_Limited_Col!$AH299," ")</f>
        <v xml:space="preserve"> </v>
      </c>
      <c r="BP299" s="26" t="str">
        <f>IFERROR($AC299*HDF_Limited_Col!BP299/HDF_Limited_Col!$AH299," ")</f>
        <v xml:space="preserve"> </v>
      </c>
      <c r="BQ299" s="26" t="str">
        <f>IFERROR($AC299*HDF_Limited_Col!BQ299/HDF_Limited_Col!$AH299," ")</f>
        <v xml:space="preserve"> </v>
      </c>
      <c r="BR299" s="26" t="str">
        <f>IFERROR($AC299*HDF_Limited_Col!BR299/HDF_Limited_Col!$AH299," ")</f>
        <v xml:space="preserve"> </v>
      </c>
      <c r="BS299" s="26" t="str">
        <f>IFERROR($AC299*HDF_Limited_Col!BS299/HDF_Limited_Col!$AH299," ")</f>
        <v xml:space="preserve"> </v>
      </c>
      <c r="BT299" s="26" t="str">
        <f>IFERROR($AC299*HDF_Limited_Col!BT299/HDF_Limited_Col!$AH299," ")</f>
        <v xml:space="preserve"> </v>
      </c>
      <c r="BU299" s="26" t="str">
        <f>IFERROR($AC299*HDF_Limited_Col!BU299/HDF_Limited_Col!$AH299," ")</f>
        <v xml:space="preserve"> </v>
      </c>
      <c r="BV299" s="26" t="str">
        <f>IFERROR($AC299*HDF_Limited_Col!BV299/HDF_Limited_Col!$AH299," ")</f>
        <v xml:space="preserve"> </v>
      </c>
      <c r="BW299" s="26" t="str">
        <f>IFERROR($AC299*HDF_Limited_Col!BW299/HDF_Limited_Col!$AH299," ")</f>
        <v xml:space="preserve"> </v>
      </c>
      <c r="BX299" s="26" t="str">
        <f>IFERROR($AC299*HDF_Limited_Col!BX299/HDF_Limited_Col!$AH299," ")</f>
        <v xml:space="preserve"> </v>
      </c>
      <c r="BY299" s="26" t="str">
        <f>IFERROR($AC299*HDF_Limited_Col!BY299/HDF_Limited_Col!$AH299," ")</f>
        <v xml:space="preserve"> </v>
      </c>
      <c r="BZ299" s="26" t="str">
        <f>IFERROR($AC299*HDF_Limited_Col!BZ299/HDF_Limited_Col!$AH299," ")</f>
        <v xml:space="preserve"> </v>
      </c>
      <c r="CA299" s="26" t="str">
        <f>IFERROR($AC299*HDF_Limited_Col!CA299/HDF_Limited_Col!$AH299," ")</f>
        <v xml:space="preserve"> </v>
      </c>
      <c r="CB299" s="26" t="str">
        <f>IFERROR($AC299*HDF_Limited_Col!CB299/HDF_Limited_Col!$AH299," ")</f>
        <v xml:space="preserve"> </v>
      </c>
      <c r="CC299" s="26" t="str">
        <f>IFERROR($AC299*HDF_Limited_Col!CC299/HDF_Limited_Col!$AH299," ")</f>
        <v xml:space="preserve"> </v>
      </c>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row>
    <row r="300" spans="1:109">
      <c r="A300" s="26" t="s">
        <v>1229</v>
      </c>
      <c r="B300" s="26" t="s">
        <v>24</v>
      </c>
      <c r="C300" s="157" t="s">
        <v>1722</v>
      </c>
      <c r="D300" s="26"/>
      <c r="E300" s="26" t="s">
        <v>1394</v>
      </c>
      <c r="F300" s="26" t="s">
        <v>1432</v>
      </c>
      <c r="G300" s="26" t="s">
        <v>595</v>
      </c>
      <c r="H300" s="30">
        <v>93</v>
      </c>
      <c r="I300" s="26"/>
      <c r="J300" s="26" t="s">
        <v>1311</v>
      </c>
      <c r="K300" s="26" t="s">
        <v>1274</v>
      </c>
      <c r="L300" s="26"/>
      <c r="M300" s="26" t="s">
        <v>1488</v>
      </c>
      <c r="N300" s="26">
        <v>29</v>
      </c>
      <c r="O300" s="95">
        <v>33.287685818528132</v>
      </c>
      <c r="P300" s="95">
        <v>1.2804999035112876</v>
      </c>
      <c r="Q300" s="95">
        <v>4.2053131744796257</v>
      </c>
      <c r="R300" s="95">
        <v>9.8973168750946812</v>
      </c>
      <c r="S300" s="95">
        <v>6.4043217362513145</v>
      </c>
      <c r="T300" s="95">
        <v>18.294704622158601</v>
      </c>
      <c r="U300" s="95">
        <v>1.0257131337137135</v>
      </c>
      <c r="V300" s="95">
        <v>5.1832018982163577</v>
      </c>
      <c r="W300" s="95">
        <v>12.908224042295146</v>
      </c>
      <c r="X300" s="95">
        <v>5.356640377971857</v>
      </c>
      <c r="Y300" s="95">
        <v>2.7848311442723221</v>
      </c>
      <c r="Z300" s="95">
        <v>100.62845272649302</v>
      </c>
      <c r="AA300" s="26"/>
      <c r="AB300" s="26"/>
      <c r="AC300" s="26">
        <f t="shared" si="5"/>
        <v>107155.98315066283</v>
      </c>
      <c r="AD300" s="26" t="str">
        <f>IFERROR($AC300*HDF_Limited_Col!AD300/HDF_Limited_Col!$AH300," ")</f>
        <v xml:space="preserve"> </v>
      </c>
      <c r="AE300" s="26" t="str">
        <f>IFERROR($AC300*HDF_Limited_Col!AE300/HDF_Limited_Col!$AH300," ")</f>
        <v xml:space="preserve"> </v>
      </c>
      <c r="AF300" s="26" t="str">
        <f>IFERROR($AC300*HDF_Limited_Col!AF300/HDF_Limited_Col!$AH300," ")</f>
        <v xml:space="preserve"> </v>
      </c>
      <c r="AG300" s="26" t="str">
        <f>IFERROR($AC300*HDF_Limited_Col!AG300/HDF_Limited_Col!$AH300," ")</f>
        <v xml:space="preserve"> </v>
      </c>
      <c r="AH300" s="26" t="str">
        <f>IFERROR($AC300*HDF_Limited_Col!AH300/HDF_Limited_Col!$AH300," ")</f>
        <v xml:space="preserve"> </v>
      </c>
      <c r="AI300" s="26" t="str">
        <f>IFERROR($AC300*HDF_Limited_Col!AI300/HDF_Limited_Col!$AH300," ")</f>
        <v xml:space="preserve"> </v>
      </c>
      <c r="AJ300" s="26" t="str">
        <f>IFERROR($AC300*HDF_Limited_Col!AJ300/HDF_Limited_Col!$AH300," ")</f>
        <v xml:space="preserve"> </v>
      </c>
      <c r="AK300" s="26" t="str">
        <f>IFERROR($AC300*HDF_Limited_Col!AK300/HDF_Limited_Col!$AH300," ")</f>
        <v xml:space="preserve"> </v>
      </c>
      <c r="AL300" s="26" t="str">
        <f>IFERROR($AC300*HDF_Limited_Col!AL300/HDF_Limited_Col!$AH300," ")</f>
        <v xml:space="preserve"> </v>
      </c>
      <c r="AM300" s="26" t="str">
        <f>IFERROR($AC300*HDF_Limited_Col!AM300/HDF_Limited_Col!$AH300," ")</f>
        <v xml:space="preserve"> </v>
      </c>
      <c r="AN300" s="26" t="str">
        <f>IFERROR($AC300*HDF_Limited_Col!AN300/HDF_Limited_Col!$AH300," ")</f>
        <v xml:space="preserve"> </v>
      </c>
      <c r="AO300" s="26" t="str">
        <f>IFERROR($AC300*HDF_Limited_Col!AO300/HDF_Limited_Col!$AH300," ")</f>
        <v xml:space="preserve"> </v>
      </c>
      <c r="AP300" s="26" t="str">
        <f>IFERROR($AC300*HDF_Limited_Col!AP300/HDF_Limited_Col!$AH300," ")</f>
        <v xml:space="preserve"> </v>
      </c>
      <c r="AQ300" s="26" t="str">
        <f>IFERROR($AC300*HDF_Limited_Col!AQ300/HDF_Limited_Col!$AH300," ")</f>
        <v xml:space="preserve"> </v>
      </c>
      <c r="AR300" s="26" t="str">
        <f>IFERROR($AC300*HDF_Limited_Col!AR300/HDF_Limited_Col!$AH300," ")</f>
        <v xml:space="preserve"> </v>
      </c>
      <c r="AS300" s="26" t="str">
        <f>IFERROR($AC300*HDF_Limited_Col!AS300/HDF_Limited_Col!$AH300," ")</f>
        <v xml:space="preserve"> </v>
      </c>
      <c r="AT300" s="26" t="str">
        <f>IFERROR($AC300*HDF_Limited_Col!AT300/HDF_Limited_Col!$AH300," ")</f>
        <v xml:space="preserve"> </v>
      </c>
      <c r="AU300" s="26" t="str">
        <f>IFERROR($AC300*HDF_Limited_Col!AU300/HDF_Limited_Col!$AH300," ")</f>
        <v xml:space="preserve"> </v>
      </c>
      <c r="AV300" s="26" t="str">
        <f>IFERROR($AC300*HDF_Limited_Col!AV300/HDF_Limited_Col!$AH300," ")</f>
        <v xml:space="preserve"> </v>
      </c>
      <c r="AW300" s="26" t="str">
        <f>IFERROR($AC300*HDF_Limited_Col!AW300/HDF_Limited_Col!$AH300," ")</f>
        <v xml:space="preserve"> </v>
      </c>
      <c r="AX300" s="26" t="str">
        <f>IFERROR($AC300*HDF_Limited_Col!AX300/HDF_Limited_Col!$AH300," ")</f>
        <v xml:space="preserve"> </v>
      </c>
      <c r="AY300" s="26" t="str">
        <f>IFERROR($AC300*HDF_Limited_Col!AY300/HDF_Limited_Col!$AH300," ")</f>
        <v xml:space="preserve"> </v>
      </c>
      <c r="AZ300" s="26" t="str">
        <f>IFERROR($AC300*HDF_Limited_Col!AZ300/HDF_Limited_Col!$AH300," ")</f>
        <v xml:space="preserve"> </v>
      </c>
      <c r="BA300" s="26" t="str">
        <f>IFERROR($AC300*HDF_Limited_Col!BA300/HDF_Limited_Col!$AH300," ")</f>
        <v xml:space="preserve"> </v>
      </c>
      <c r="BB300" s="26" t="str">
        <f>IFERROR($AC300*HDF_Limited_Col!BB300/HDF_Limited_Col!$AH300," ")</f>
        <v xml:space="preserve"> </v>
      </c>
      <c r="BC300" s="26" t="str">
        <f>IFERROR($AC300*HDF_Limited_Col!BC300/HDF_Limited_Col!$AH300," ")</f>
        <v xml:space="preserve"> </v>
      </c>
      <c r="BD300" s="26" t="str">
        <f>IFERROR($AC300*HDF_Limited_Col!BD300/HDF_Limited_Col!$AH300," ")</f>
        <v xml:space="preserve"> </v>
      </c>
      <c r="BE300" s="26" t="str">
        <f>IFERROR($AC300*HDF_Limited_Col!BE300/HDF_Limited_Col!$AH300," ")</f>
        <v xml:space="preserve"> </v>
      </c>
      <c r="BF300" s="26" t="str">
        <f>IFERROR($AC300*HDF_Limited_Col!BF300/HDF_Limited_Col!$AH300," ")</f>
        <v xml:space="preserve"> </v>
      </c>
      <c r="BG300" s="26" t="str">
        <f>IFERROR($AC300*HDF_Limited_Col!BG300/HDF_Limited_Col!$AH300," ")</f>
        <v xml:space="preserve"> </v>
      </c>
      <c r="BH300" s="26" t="str">
        <f>IFERROR($AC300*HDF_Limited_Col!BH300/HDF_Limited_Col!$AH300," ")</f>
        <v xml:space="preserve"> </v>
      </c>
      <c r="BI300" s="26" t="str">
        <f>IFERROR($AC300*HDF_Limited_Col!BI300/HDF_Limited_Col!$AH300," ")</f>
        <v xml:space="preserve"> </v>
      </c>
      <c r="BJ300" s="26" t="str">
        <f>IFERROR($AC300*HDF_Limited_Col!BJ300/HDF_Limited_Col!$AH300," ")</f>
        <v xml:space="preserve"> </v>
      </c>
      <c r="BK300" s="26" t="str">
        <f>IFERROR($AC300*HDF_Limited_Col!BK300/HDF_Limited_Col!$AH300," ")</f>
        <v xml:space="preserve"> </v>
      </c>
      <c r="BL300" s="26" t="str">
        <f>IFERROR($AC300*HDF_Limited_Col!BL300/HDF_Limited_Col!$AH300," ")</f>
        <v xml:space="preserve"> </v>
      </c>
      <c r="BM300" s="26" t="str">
        <f>IFERROR($AC300*HDF_Limited_Col!BM300/HDF_Limited_Col!$AH300," ")</f>
        <v xml:space="preserve"> </v>
      </c>
      <c r="BN300" s="26" t="str">
        <f>IFERROR($AC300*HDF_Limited_Col!BN300/HDF_Limited_Col!$AH300," ")</f>
        <v xml:space="preserve"> </v>
      </c>
      <c r="BO300" s="26" t="str">
        <f>IFERROR($AC300*HDF_Limited_Col!BO300/HDF_Limited_Col!$AH300," ")</f>
        <v xml:space="preserve"> </v>
      </c>
      <c r="BP300" s="26" t="str">
        <f>IFERROR($AC300*HDF_Limited_Col!BP300/HDF_Limited_Col!$AH300," ")</f>
        <v xml:space="preserve"> </v>
      </c>
      <c r="BQ300" s="26" t="str">
        <f>IFERROR($AC300*HDF_Limited_Col!BQ300/HDF_Limited_Col!$AH300," ")</f>
        <v xml:space="preserve"> </v>
      </c>
      <c r="BR300" s="26" t="str">
        <f>IFERROR($AC300*HDF_Limited_Col!BR300/HDF_Limited_Col!$AH300," ")</f>
        <v xml:space="preserve"> </v>
      </c>
      <c r="BS300" s="26" t="str">
        <f>IFERROR($AC300*HDF_Limited_Col!BS300/HDF_Limited_Col!$AH300," ")</f>
        <v xml:space="preserve"> </v>
      </c>
      <c r="BT300" s="26" t="str">
        <f>IFERROR($AC300*HDF_Limited_Col!BT300/HDF_Limited_Col!$AH300," ")</f>
        <v xml:space="preserve"> </v>
      </c>
      <c r="BU300" s="26" t="str">
        <f>IFERROR($AC300*HDF_Limited_Col!BU300/HDF_Limited_Col!$AH300," ")</f>
        <v xml:space="preserve"> </v>
      </c>
      <c r="BV300" s="26" t="str">
        <f>IFERROR($AC300*HDF_Limited_Col!BV300/HDF_Limited_Col!$AH300," ")</f>
        <v xml:space="preserve"> </v>
      </c>
      <c r="BW300" s="26" t="str">
        <f>IFERROR($AC300*HDF_Limited_Col!BW300/HDF_Limited_Col!$AH300," ")</f>
        <v xml:space="preserve"> </v>
      </c>
      <c r="BX300" s="26" t="str">
        <f>IFERROR($AC300*HDF_Limited_Col!BX300/HDF_Limited_Col!$AH300," ")</f>
        <v xml:space="preserve"> </v>
      </c>
      <c r="BY300" s="26" t="str">
        <f>IFERROR($AC300*HDF_Limited_Col!BY300/HDF_Limited_Col!$AH300," ")</f>
        <v xml:space="preserve"> </v>
      </c>
      <c r="BZ300" s="26" t="str">
        <f>IFERROR($AC300*HDF_Limited_Col!BZ300/HDF_Limited_Col!$AH300," ")</f>
        <v xml:space="preserve"> </v>
      </c>
      <c r="CA300" s="26" t="str">
        <f>IFERROR($AC300*HDF_Limited_Col!CA300/HDF_Limited_Col!$AH300," ")</f>
        <v xml:space="preserve"> </v>
      </c>
      <c r="CB300" s="26" t="str">
        <f>IFERROR($AC300*HDF_Limited_Col!CB300/HDF_Limited_Col!$AH300," ")</f>
        <v xml:space="preserve"> </v>
      </c>
      <c r="CC300" s="26" t="str">
        <f>IFERROR($AC300*HDF_Limited_Col!CC300/HDF_Limited_Col!$AH300," ")</f>
        <v xml:space="preserve"> </v>
      </c>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row>
    <row r="301" spans="1:109">
      <c r="A301" s="26" t="s">
        <v>1229</v>
      </c>
      <c r="B301" s="26" t="s">
        <v>24</v>
      </c>
      <c r="C301" s="157" t="s">
        <v>1722</v>
      </c>
      <c r="D301" s="26"/>
      <c r="E301" s="26" t="s">
        <v>1394</v>
      </c>
      <c r="F301" s="26" t="s">
        <v>1432</v>
      </c>
      <c r="G301" s="26" t="s">
        <v>595</v>
      </c>
      <c r="H301" s="30">
        <v>93</v>
      </c>
      <c r="I301" s="26"/>
      <c r="J301" s="26" t="s">
        <v>1311</v>
      </c>
      <c r="K301" s="26" t="s">
        <v>1274</v>
      </c>
      <c r="L301" s="26"/>
      <c r="M301" s="26" t="s">
        <v>1489</v>
      </c>
      <c r="N301" s="26">
        <v>35</v>
      </c>
      <c r="O301" s="95">
        <v>26.30115552970776</v>
      </c>
      <c r="P301" s="95">
        <v>1.6102316320725878</v>
      </c>
      <c r="Q301" s="95">
        <v>3.5823974843283266</v>
      </c>
      <c r="R301" s="95">
        <v>14.227893576379621</v>
      </c>
      <c r="S301" s="95">
        <v>9.57263504790523</v>
      </c>
      <c r="T301" s="95">
        <v>8.2309698302162264</v>
      </c>
      <c r="U301" s="95">
        <v>2.4041089138841536</v>
      </c>
      <c r="V301" s="95">
        <v>12.019668109926481</v>
      </c>
      <c r="W301" s="95">
        <v>13.012957787279229</v>
      </c>
      <c r="X301" s="95">
        <v>5.9240211570112109</v>
      </c>
      <c r="Y301" s="95">
        <v>4.0214905287504958</v>
      </c>
      <c r="Z301" s="95">
        <v>100.90752959746132</v>
      </c>
      <c r="AA301" s="26"/>
      <c r="AB301" s="26"/>
      <c r="AC301" s="26">
        <f t="shared" si="5"/>
        <v>108025.41703839575</v>
      </c>
      <c r="AD301" s="26" t="str">
        <f>IFERROR($AC301*HDF_Limited_Col!AD301/HDF_Limited_Col!$AH301," ")</f>
        <v xml:space="preserve"> </v>
      </c>
      <c r="AE301" s="26" t="str">
        <f>IFERROR($AC301*HDF_Limited_Col!AE301/HDF_Limited_Col!$AH301," ")</f>
        <v xml:space="preserve"> </v>
      </c>
      <c r="AF301" s="26" t="str">
        <f>IFERROR($AC301*HDF_Limited_Col!AF301/HDF_Limited_Col!$AH301," ")</f>
        <v xml:space="preserve"> </v>
      </c>
      <c r="AG301" s="26" t="str">
        <f>IFERROR($AC301*HDF_Limited_Col!AG301/HDF_Limited_Col!$AH301," ")</f>
        <v xml:space="preserve"> </v>
      </c>
      <c r="AH301" s="26" t="str">
        <f>IFERROR($AC301*HDF_Limited_Col!AH301/HDF_Limited_Col!$AH301," ")</f>
        <v xml:space="preserve"> </v>
      </c>
      <c r="AI301" s="26" t="str">
        <f>IFERROR($AC301*HDF_Limited_Col!AI301/HDF_Limited_Col!$AH301," ")</f>
        <v xml:space="preserve"> </v>
      </c>
      <c r="AJ301" s="26" t="str">
        <f>IFERROR($AC301*HDF_Limited_Col!AJ301/HDF_Limited_Col!$AH301," ")</f>
        <v xml:space="preserve"> </v>
      </c>
      <c r="AK301" s="26" t="str">
        <f>IFERROR($AC301*HDF_Limited_Col!AK301/HDF_Limited_Col!$AH301," ")</f>
        <v xml:space="preserve"> </v>
      </c>
      <c r="AL301" s="26" t="str">
        <f>IFERROR($AC301*HDF_Limited_Col!AL301/HDF_Limited_Col!$AH301," ")</f>
        <v xml:space="preserve"> </v>
      </c>
      <c r="AM301" s="26" t="str">
        <f>IFERROR($AC301*HDF_Limited_Col!AM301/HDF_Limited_Col!$AH301," ")</f>
        <v xml:space="preserve"> </v>
      </c>
      <c r="AN301" s="26" t="str">
        <f>IFERROR($AC301*HDF_Limited_Col!AN301/HDF_Limited_Col!$AH301," ")</f>
        <v xml:space="preserve"> </v>
      </c>
      <c r="AO301" s="26" t="str">
        <f>IFERROR($AC301*HDF_Limited_Col!AO301/HDF_Limited_Col!$AH301," ")</f>
        <v xml:space="preserve"> </v>
      </c>
      <c r="AP301" s="26" t="str">
        <f>IFERROR($AC301*HDF_Limited_Col!AP301/HDF_Limited_Col!$AH301," ")</f>
        <v xml:space="preserve"> </v>
      </c>
      <c r="AQ301" s="26" t="str">
        <f>IFERROR($AC301*HDF_Limited_Col!AQ301/HDF_Limited_Col!$AH301," ")</f>
        <v xml:space="preserve"> </v>
      </c>
      <c r="AR301" s="26" t="str">
        <f>IFERROR($AC301*HDF_Limited_Col!AR301/HDF_Limited_Col!$AH301," ")</f>
        <v xml:space="preserve"> </v>
      </c>
      <c r="AS301" s="26" t="str">
        <f>IFERROR($AC301*HDF_Limited_Col!AS301/HDF_Limited_Col!$AH301," ")</f>
        <v xml:space="preserve"> </v>
      </c>
      <c r="AT301" s="26" t="str">
        <f>IFERROR($AC301*HDF_Limited_Col!AT301/HDF_Limited_Col!$AH301," ")</f>
        <v xml:space="preserve"> </v>
      </c>
      <c r="AU301" s="26" t="str">
        <f>IFERROR($AC301*HDF_Limited_Col!AU301/HDF_Limited_Col!$AH301," ")</f>
        <v xml:space="preserve"> </v>
      </c>
      <c r="AV301" s="26" t="str">
        <f>IFERROR($AC301*HDF_Limited_Col!AV301/HDF_Limited_Col!$AH301," ")</f>
        <v xml:space="preserve"> </v>
      </c>
      <c r="AW301" s="26" t="str">
        <f>IFERROR($AC301*HDF_Limited_Col!AW301/HDF_Limited_Col!$AH301," ")</f>
        <v xml:space="preserve"> </v>
      </c>
      <c r="AX301" s="26" t="str">
        <f>IFERROR($AC301*HDF_Limited_Col!AX301/HDF_Limited_Col!$AH301," ")</f>
        <v xml:space="preserve"> </v>
      </c>
      <c r="AY301" s="26" t="str">
        <f>IFERROR($AC301*HDF_Limited_Col!AY301/HDF_Limited_Col!$AH301," ")</f>
        <v xml:space="preserve"> </v>
      </c>
      <c r="AZ301" s="26" t="str">
        <f>IFERROR($AC301*HDF_Limited_Col!AZ301/HDF_Limited_Col!$AH301," ")</f>
        <v xml:space="preserve"> </v>
      </c>
      <c r="BA301" s="26" t="str">
        <f>IFERROR($AC301*HDF_Limited_Col!BA301/HDF_Limited_Col!$AH301," ")</f>
        <v xml:space="preserve"> </v>
      </c>
      <c r="BB301" s="26" t="str">
        <f>IFERROR($AC301*HDF_Limited_Col!BB301/HDF_Limited_Col!$AH301," ")</f>
        <v xml:space="preserve"> </v>
      </c>
      <c r="BC301" s="26" t="str">
        <f>IFERROR($AC301*HDF_Limited_Col!BC301/HDF_Limited_Col!$AH301," ")</f>
        <v xml:space="preserve"> </v>
      </c>
      <c r="BD301" s="26" t="str">
        <f>IFERROR($AC301*HDF_Limited_Col!BD301/HDF_Limited_Col!$AH301," ")</f>
        <v xml:space="preserve"> </v>
      </c>
      <c r="BE301" s="26" t="str">
        <f>IFERROR($AC301*HDF_Limited_Col!BE301/HDF_Limited_Col!$AH301," ")</f>
        <v xml:space="preserve"> </v>
      </c>
      <c r="BF301" s="26" t="str">
        <f>IFERROR($AC301*HDF_Limited_Col!BF301/HDF_Limited_Col!$AH301," ")</f>
        <v xml:space="preserve"> </v>
      </c>
      <c r="BG301" s="26" t="str">
        <f>IFERROR($AC301*HDF_Limited_Col!BG301/HDF_Limited_Col!$AH301," ")</f>
        <v xml:space="preserve"> </v>
      </c>
      <c r="BH301" s="26" t="str">
        <f>IFERROR($AC301*HDF_Limited_Col!BH301/HDF_Limited_Col!$AH301," ")</f>
        <v xml:space="preserve"> </v>
      </c>
      <c r="BI301" s="26" t="str">
        <f>IFERROR($AC301*HDF_Limited_Col!BI301/HDF_Limited_Col!$AH301," ")</f>
        <v xml:space="preserve"> </v>
      </c>
      <c r="BJ301" s="26" t="str">
        <f>IFERROR($AC301*HDF_Limited_Col!BJ301/HDF_Limited_Col!$AH301," ")</f>
        <v xml:space="preserve"> </v>
      </c>
      <c r="BK301" s="26" t="str">
        <f>IFERROR($AC301*HDF_Limited_Col!BK301/HDF_Limited_Col!$AH301," ")</f>
        <v xml:space="preserve"> </v>
      </c>
      <c r="BL301" s="26" t="str">
        <f>IFERROR($AC301*HDF_Limited_Col!BL301/HDF_Limited_Col!$AH301," ")</f>
        <v xml:space="preserve"> </v>
      </c>
      <c r="BM301" s="26" t="str">
        <f>IFERROR($AC301*HDF_Limited_Col!BM301/HDF_Limited_Col!$AH301," ")</f>
        <v xml:space="preserve"> </v>
      </c>
      <c r="BN301" s="26" t="str">
        <f>IFERROR($AC301*HDF_Limited_Col!BN301/HDF_Limited_Col!$AH301," ")</f>
        <v xml:space="preserve"> </v>
      </c>
      <c r="BO301" s="26" t="str">
        <f>IFERROR($AC301*HDF_Limited_Col!BO301/HDF_Limited_Col!$AH301," ")</f>
        <v xml:space="preserve"> </v>
      </c>
      <c r="BP301" s="26" t="str">
        <f>IFERROR($AC301*HDF_Limited_Col!BP301/HDF_Limited_Col!$AH301," ")</f>
        <v xml:space="preserve"> </v>
      </c>
      <c r="BQ301" s="26" t="str">
        <f>IFERROR($AC301*HDF_Limited_Col!BQ301/HDF_Limited_Col!$AH301," ")</f>
        <v xml:space="preserve"> </v>
      </c>
      <c r="BR301" s="26" t="str">
        <f>IFERROR($AC301*HDF_Limited_Col!BR301/HDF_Limited_Col!$AH301," ")</f>
        <v xml:space="preserve"> </v>
      </c>
      <c r="BS301" s="26" t="str">
        <f>IFERROR($AC301*HDF_Limited_Col!BS301/HDF_Limited_Col!$AH301," ")</f>
        <v xml:space="preserve"> </v>
      </c>
      <c r="BT301" s="26" t="str">
        <f>IFERROR($AC301*HDF_Limited_Col!BT301/HDF_Limited_Col!$AH301," ")</f>
        <v xml:space="preserve"> </v>
      </c>
      <c r="BU301" s="26" t="str">
        <f>IFERROR($AC301*HDF_Limited_Col!BU301/HDF_Limited_Col!$AH301," ")</f>
        <v xml:space="preserve"> </v>
      </c>
      <c r="BV301" s="26" t="str">
        <f>IFERROR($AC301*HDF_Limited_Col!BV301/HDF_Limited_Col!$AH301," ")</f>
        <v xml:space="preserve"> </v>
      </c>
      <c r="BW301" s="26" t="str">
        <f>IFERROR($AC301*HDF_Limited_Col!BW301/HDF_Limited_Col!$AH301," ")</f>
        <v xml:space="preserve"> </v>
      </c>
      <c r="BX301" s="26" t="str">
        <f>IFERROR($AC301*HDF_Limited_Col!BX301/HDF_Limited_Col!$AH301," ")</f>
        <v xml:space="preserve"> </v>
      </c>
      <c r="BY301" s="26" t="str">
        <f>IFERROR($AC301*HDF_Limited_Col!BY301/HDF_Limited_Col!$AH301," ")</f>
        <v xml:space="preserve"> </v>
      </c>
      <c r="BZ301" s="26" t="str">
        <f>IFERROR($AC301*HDF_Limited_Col!BZ301/HDF_Limited_Col!$AH301," ")</f>
        <v xml:space="preserve"> </v>
      </c>
      <c r="CA301" s="26" t="str">
        <f>IFERROR($AC301*HDF_Limited_Col!CA301/HDF_Limited_Col!$AH301," ")</f>
        <v xml:space="preserve"> </v>
      </c>
      <c r="CB301" s="26" t="str">
        <f>IFERROR($AC301*HDF_Limited_Col!CB301/HDF_Limited_Col!$AH301," ")</f>
        <v xml:space="preserve"> </v>
      </c>
      <c r="CC301" s="26" t="str">
        <f>IFERROR($AC301*HDF_Limited_Col!CC301/HDF_Limited_Col!$AH301," ")</f>
        <v xml:space="preserve"> </v>
      </c>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row>
    <row r="302" spans="1:109">
      <c r="A302" s="26" t="s">
        <v>1229</v>
      </c>
      <c r="B302" s="26" t="s">
        <v>24</v>
      </c>
      <c r="C302" s="157" t="s">
        <v>1722</v>
      </c>
      <c r="D302" s="26"/>
      <c r="E302" s="26" t="s">
        <v>1394</v>
      </c>
      <c r="F302" s="26" t="s">
        <v>1432</v>
      </c>
      <c r="G302" s="26" t="s">
        <v>595</v>
      </c>
      <c r="H302" s="30">
        <v>93</v>
      </c>
      <c r="I302" s="26"/>
      <c r="J302" s="26" t="s">
        <v>1311</v>
      </c>
      <c r="K302" s="26" t="s">
        <v>1274</v>
      </c>
      <c r="L302" s="26"/>
      <c r="M302" s="26" t="s">
        <v>1490</v>
      </c>
      <c r="N302" s="26">
        <v>25</v>
      </c>
      <c r="O302" s="95">
        <v>27.64572960848891</v>
      </c>
      <c r="P302" s="95">
        <v>2.8425865582450709</v>
      </c>
      <c r="Q302" s="95">
        <v>4.3412816993339476</v>
      </c>
      <c r="R302" s="95">
        <v>10.402388112317047</v>
      </c>
      <c r="S302" s="95">
        <v>6.9521188107960681</v>
      </c>
      <c r="T302" s="95">
        <v>20.697415561780542</v>
      </c>
      <c r="U302" s="95">
        <v>1.5976667869397394</v>
      </c>
      <c r="V302" s="95">
        <v>4.811071393358322</v>
      </c>
      <c r="W302" s="95">
        <v>12.346132995309235</v>
      </c>
      <c r="X302" s="95">
        <v>6.0024982650840313</v>
      </c>
      <c r="Y302" s="95">
        <v>3.0492297590493327</v>
      </c>
      <c r="Z302" s="95">
        <v>100.68811955070224</v>
      </c>
      <c r="AA302" s="26"/>
      <c r="AB302" s="26"/>
      <c r="AC302" s="26">
        <f t="shared" si="5"/>
        <v>102489.85568319666</v>
      </c>
      <c r="AD302" s="26" t="str">
        <f>IFERROR($AC302*HDF_Limited_Col!AD302/HDF_Limited_Col!$AH302," ")</f>
        <v xml:space="preserve"> </v>
      </c>
      <c r="AE302" s="26" t="str">
        <f>IFERROR($AC302*HDF_Limited_Col!AE302/HDF_Limited_Col!$AH302," ")</f>
        <v xml:space="preserve"> </v>
      </c>
      <c r="AF302" s="26" t="str">
        <f>IFERROR($AC302*HDF_Limited_Col!AF302/HDF_Limited_Col!$AH302," ")</f>
        <v xml:space="preserve"> </v>
      </c>
      <c r="AG302" s="26" t="str">
        <f>IFERROR($AC302*HDF_Limited_Col!AG302/HDF_Limited_Col!$AH302," ")</f>
        <v xml:space="preserve"> </v>
      </c>
      <c r="AH302" s="26" t="str">
        <f>IFERROR($AC302*HDF_Limited_Col!AH302/HDF_Limited_Col!$AH302," ")</f>
        <v xml:space="preserve"> </v>
      </c>
      <c r="AI302" s="26" t="str">
        <f>IFERROR($AC302*HDF_Limited_Col!AI302/HDF_Limited_Col!$AH302," ")</f>
        <v xml:space="preserve"> </v>
      </c>
      <c r="AJ302" s="26" t="str">
        <f>IFERROR($AC302*HDF_Limited_Col!AJ302/HDF_Limited_Col!$AH302," ")</f>
        <v xml:space="preserve"> </v>
      </c>
      <c r="AK302" s="26" t="str">
        <f>IFERROR($AC302*HDF_Limited_Col!AK302/HDF_Limited_Col!$AH302," ")</f>
        <v xml:space="preserve"> </v>
      </c>
      <c r="AL302" s="26" t="str">
        <f>IFERROR($AC302*HDF_Limited_Col!AL302/HDF_Limited_Col!$AH302," ")</f>
        <v xml:space="preserve"> </v>
      </c>
      <c r="AM302" s="26" t="str">
        <f>IFERROR($AC302*HDF_Limited_Col!AM302/HDF_Limited_Col!$AH302," ")</f>
        <v xml:space="preserve"> </v>
      </c>
      <c r="AN302" s="26" t="str">
        <f>IFERROR($AC302*HDF_Limited_Col!AN302/HDF_Limited_Col!$AH302," ")</f>
        <v xml:space="preserve"> </v>
      </c>
      <c r="AO302" s="26" t="str">
        <f>IFERROR($AC302*HDF_Limited_Col!AO302/HDF_Limited_Col!$AH302," ")</f>
        <v xml:space="preserve"> </v>
      </c>
      <c r="AP302" s="26" t="str">
        <f>IFERROR($AC302*HDF_Limited_Col!AP302/HDF_Limited_Col!$AH302," ")</f>
        <v xml:space="preserve"> </v>
      </c>
      <c r="AQ302" s="26" t="str">
        <f>IFERROR($AC302*HDF_Limited_Col!AQ302/HDF_Limited_Col!$AH302," ")</f>
        <v xml:space="preserve"> </v>
      </c>
      <c r="AR302" s="26" t="str">
        <f>IFERROR($AC302*HDF_Limited_Col!AR302/HDF_Limited_Col!$AH302," ")</f>
        <v xml:space="preserve"> </v>
      </c>
      <c r="AS302" s="26" t="str">
        <f>IFERROR($AC302*HDF_Limited_Col!AS302/HDF_Limited_Col!$AH302," ")</f>
        <v xml:space="preserve"> </v>
      </c>
      <c r="AT302" s="26" t="str">
        <f>IFERROR($AC302*HDF_Limited_Col!AT302/HDF_Limited_Col!$AH302," ")</f>
        <v xml:space="preserve"> </v>
      </c>
      <c r="AU302" s="26" t="str">
        <f>IFERROR($AC302*HDF_Limited_Col!AU302/HDF_Limited_Col!$AH302," ")</f>
        <v xml:space="preserve"> </v>
      </c>
      <c r="AV302" s="26" t="str">
        <f>IFERROR($AC302*HDF_Limited_Col!AV302/HDF_Limited_Col!$AH302," ")</f>
        <v xml:space="preserve"> </v>
      </c>
      <c r="AW302" s="26" t="str">
        <f>IFERROR($AC302*HDF_Limited_Col!AW302/HDF_Limited_Col!$AH302," ")</f>
        <v xml:space="preserve"> </v>
      </c>
      <c r="AX302" s="26" t="str">
        <f>IFERROR($AC302*HDF_Limited_Col!AX302/HDF_Limited_Col!$AH302," ")</f>
        <v xml:space="preserve"> </v>
      </c>
      <c r="AY302" s="26" t="str">
        <f>IFERROR($AC302*HDF_Limited_Col!AY302/HDF_Limited_Col!$AH302," ")</f>
        <v xml:space="preserve"> </v>
      </c>
      <c r="AZ302" s="26" t="str">
        <f>IFERROR($AC302*HDF_Limited_Col!AZ302/HDF_Limited_Col!$AH302," ")</f>
        <v xml:space="preserve"> </v>
      </c>
      <c r="BA302" s="26" t="str">
        <f>IFERROR($AC302*HDF_Limited_Col!BA302/HDF_Limited_Col!$AH302," ")</f>
        <v xml:space="preserve"> </v>
      </c>
      <c r="BB302" s="26" t="str">
        <f>IFERROR($AC302*HDF_Limited_Col!BB302/HDF_Limited_Col!$AH302," ")</f>
        <v xml:space="preserve"> </v>
      </c>
      <c r="BC302" s="26" t="str">
        <f>IFERROR($AC302*HDF_Limited_Col!BC302/HDF_Limited_Col!$AH302," ")</f>
        <v xml:space="preserve"> </v>
      </c>
      <c r="BD302" s="26" t="str">
        <f>IFERROR($AC302*HDF_Limited_Col!BD302/HDF_Limited_Col!$AH302," ")</f>
        <v xml:space="preserve"> </v>
      </c>
      <c r="BE302" s="26" t="str">
        <f>IFERROR($AC302*HDF_Limited_Col!BE302/HDF_Limited_Col!$AH302," ")</f>
        <v xml:space="preserve"> </v>
      </c>
      <c r="BF302" s="26" t="str">
        <f>IFERROR($AC302*HDF_Limited_Col!BF302/HDF_Limited_Col!$AH302," ")</f>
        <v xml:space="preserve"> </v>
      </c>
      <c r="BG302" s="26" t="str">
        <f>IFERROR($AC302*HDF_Limited_Col!BG302/HDF_Limited_Col!$AH302," ")</f>
        <v xml:space="preserve"> </v>
      </c>
      <c r="BH302" s="26" t="str">
        <f>IFERROR($AC302*HDF_Limited_Col!BH302/HDF_Limited_Col!$AH302," ")</f>
        <v xml:space="preserve"> </v>
      </c>
      <c r="BI302" s="26" t="str">
        <f>IFERROR($AC302*HDF_Limited_Col!BI302/HDF_Limited_Col!$AH302," ")</f>
        <v xml:space="preserve"> </v>
      </c>
      <c r="BJ302" s="26" t="str">
        <f>IFERROR($AC302*HDF_Limited_Col!BJ302/HDF_Limited_Col!$AH302," ")</f>
        <v xml:space="preserve"> </v>
      </c>
      <c r="BK302" s="26" t="str">
        <f>IFERROR($AC302*HDF_Limited_Col!BK302/HDF_Limited_Col!$AH302," ")</f>
        <v xml:space="preserve"> </v>
      </c>
      <c r="BL302" s="26" t="str">
        <f>IFERROR($AC302*HDF_Limited_Col!BL302/HDF_Limited_Col!$AH302," ")</f>
        <v xml:space="preserve"> </v>
      </c>
      <c r="BM302" s="26" t="str">
        <f>IFERROR($AC302*HDF_Limited_Col!BM302/HDF_Limited_Col!$AH302," ")</f>
        <v xml:space="preserve"> </v>
      </c>
      <c r="BN302" s="26" t="str">
        <f>IFERROR($AC302*HDF_Limited_Col!BN302/HDF_Limited_Col!$AH302," ")</f>
        <v xml:space="preserve"> </v>
      </c>
      <c r="BO302" s="26" t="str">
        <f>IFERROR($AC302*HDF_Limited_Col!BO302/HDF_Limited_Col!$AH302," ")</f>
        <v xml:space="preserve"> </v>
      </c>
      <c r="BP302" s="26" t="str">
        <f>IFERROR($AC302*HDF_Limited_Col!BP302/HDF_Limited_Col!$AH302," ")</f>
        <v xml:space="preserve"> </v>
      </c>
      <c r="BQ302" s="26" t="str">
        <f>IFERROR($AC302*HDF_Limited_Col!BQ302/HDF_Limited_Col!$AH302," ")</f>
        <v xml:space="preserve"> </v>
      </c>
      <c r="BR302" s="26" t="str">
        <f>IFERROR($AC302*HDF_Limited_Col!BR302/HDF_Limited_Col!$AH302," ")</f>
        <v xml:space="preserve"> </v>
      </c>
      <c r="BS302" s="26" t="str">
        <f>IFERROR($AC302*HDF_Limited_Col!BS302/HDF_Limited_Col!$AH302," ")</f>
        <v xml:space="preserve"> </v>
      </c>
      <c r="BT302" s="26" t="str">
        <f>IFERROR($AC302*HDF_Limited_Col!BT302/HDF_Limited_Col!$AH302," ")</f>
        <v xml:space="preserve"> </v>
      </c>
      <c r="BU302" s="26" t="str">
        <f>IFERROR($AC302*HDF_Limited_Col!BU302/HDF_Limited_Col!$AH302," ")</f>
        <v xml:space="preserve"> </v>
      </c>
      <c r="BV302" s="26" t="str">
        <f>IFERROR($AC302*HDF_Limited_Col!BV302/HDF_Limited_Col!$AH302," ")</f>
        <v xml:space="preserve"> </v>
      </c>
      <c r="BW302" s="26" t="str">
        <f>IFERROR($AC302*HDF_Limited_Col!BW302/HDF_Limited_Col!$AH302," ")</f>
        <v xml:space="preserve"> </v>
      </c>
      <c r="BX302" s="26" t="str">
        <f>IFERROR($AC302*HDF_Limited_Col!BX302/HDF_Limited_Col!$AH302," ")</f>
        <v xml:space="preserve"> </v>
      </c>
      <c r="BY302" s="26" t="str">
        <f>IFERROR($AC302*HDF_Limited_Col!BY302/HDF_Limited_Col!$AH302," ")</f>
        <v xml:space="preserve"> </v>
      </c>
      <c r="BZ302" s="26" t="str">
        <f>IFERROR($AC302*HDF_Limited_Col!BZ302/HDF_Limited_Col!$AH302," ")</f>
        <v xml:space="preserve"> </v>
      </c>
      <c r="CA302" s="26" t="str">
        <f>IFERROR($AC302*HDF_Limited_Col!CA302/HDF_Limited_Col!$AH302," ")</f>
        <v xml:space="preserve"> </v>
      </c>
      <c r="CB302" s="26" t="str">
        <f>IFERROR($AC302*HDF_Limited_Col!CB302/HDF_Limited_Col!$AH302," ")</f>
        <v xml:space="preserve"> </v>
      </c>
      <c r="CC302" s="26" t="str">
        <f>IFERROR($AC302*HDF_Limited_Col!CC302/HDF_Limited_Col!$AH302," ")</f>
        <v xml:space="preserve"> </v>
      </c>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row>
    <row r="303" spans="1:109">
      <c r="A303" s="26" t="s">
        <v>1229</v>
      </c>
      <c r="B303" s="26" t="s">
        <v>24</v>
      </c>
      <c r="C303" s="157" t="s">
        <v>1722</v>
      </c>
      <c r="D303" s="26"/>
      <c r="E303" s="26" t="s">
        <v>1394</v>
      </c>
      <c r="F303" s="26" t="s">
        <v>1432</v>
      </c>
      <c r="G303" s="26" t="s">
        <v>595</v>
      </c>
      <c r="H303" s="30">
        <v>93</v>
      </c>
      <c r="I303" s="26"/>
      <c r="J303" s="26" t="s">
        <v>1311</v>
      </c>
      <c r="K303" s="26" t="s">
        <v>1274</v>
      </c>
      <c r="L303" s="26"/>
      <c r="M303" s="26" t="s">
        <v>1491</v>
      </c>
      <c r="N303" s="26">
        <v>35</v>
      </c>
      <c r="O303" s="95">
        <v>39.403455005878591</v>
      </c>
      <c r="P303" s="95">
        <v>1.3050963198813972</v>
      </c>
      <c r="Q303" s="95">
        <v>5.1189041556624728</v>
      </c>
      <c r="R303" s="95">
        <v>11.933566981849713</v>
      </c>
      <c r="S303" s="95">
        <v>6.0816725802344065</v>
      </c>
      <c r="T303" s="95">
        <v>11.495980771191455</v>
      </c>
      <c r="U303" s="95">
        <v>1.8637275270523768</v>
      </c>
      <c r="V303" s="95">
        <v>5.9252788301414334</v>
      </c>
      <c r="W303" s="95">
        <v>8.2943730090115917</v>
      </c>
      <c r="X303" s="95">
        <v>6.8948298626760831</v>
      </c>
      <c r="Y303" s="95">
        <v>2.1736402624810807</v>
      </c>
      <c r="Z303" s="95">
        <v>100.49052530606062</v>
      </c>
      <c r="AA303" s="26"/>
      <c r="AB303" s="26"/>
      <c r="AC303" s="26">
        <f t="shared" si="5"/>
        <v>68854.684539619062</v>
      </c>
      <c r="AD303" s="26" t="str">
        <f>IFERROR($AC303*HDF_Limited_Col!AD303/HDF_Limited_Col!$AH303," ")</f>
        <v xml:space="preserve"> </v>
      </c>
      <c r="AE303" s="26" t="str">
        <f>IFERROR($AC303*HDF_Limited_Col!AE303/HDF_Limited_Col!$AH303," ")</f>
        <v xml:space="preserve"> </v>
      </c>
      <c r="AF303" s="26" t="str">
        <f>IFERROR($AC303*HDF_Limited_Col!AF303/HDF_Limited_Col!$AH303," ")</f>
        <v xml:space="preserve"> </v>
      </c>
      <c r="AG303" s="26" t="str">
        <f>IFERROR($AC303*HDF_Limited_Col!AG303/HDF_Limited_Col!$AH303," ")</f>
        <v xml:space="preserve"> </v>
      </c>
      <c r="AH303" s="26" t="str">
        <f>IFERROR($AC303*HDF_Limited_Col!AH303/HDF_Limited_Col!$AH303," ")</f>
        <v xml:space="preserve"> </v>
      </c>
      <c r="AI303" s="26" t="str">
        <f>IFERROR($AC303*HDF_Limited_Col!AI303/HDF_Limited_Col!$AH303," ")</f>
        <v xml:space="preserve"> </v>
      </c>
      <c r="AJ303" s="26" t="str">
        <f>IFERROR($AC303*HDF_Limited_Col!AJ303/HDF_Limited_Col!$AH303," ")</f>
        <v xml:space="preserve"> </v>
      </c>
      <c r="AK303" s="26" t="str">
        <f>IFERROR($AC303*HDF_Limited_Col!AK303/HDF_Limited_Col!$AH303," ")</f>
        <v xml:space="preserve"> </v>
      </c>
      <c r="AL303" s="26" t="str">
        <f>IFERROR($AC303*HDF_Limited_Col!AL303/HDF_Limited_Col!$AH303," ")</f>
        <v xml:space="preserve"> </v>
      </c>
      <c r="AM303" s="26" t="str">
        <f>IFERROR($AC303*HDF_Limited_Col!AM303/HDF_Limited_Col!$AH303," ")</f>
        <v xml:space="preserve"> </v>
      </c>
      <c r="AN303" s="26" t="str">
        <f>IFERROR($AC303*HDF_Limited_Col!AN303/HDF_Limited_Col!$AH303," ")</f>
        <v xml:space="preserve"> </v>
      </c>
      <c r="AO303" s="26" t="str">
        <f>IFERROR($AC303*HDF_Limited_Col!AO303/HDF_Limited_Col!$AH303," ")</f>
        <v xml:space="preserve"> </v>
      </c>
      <c r="AP303" s="26" t="str">
        <f>IFERROR($AC303*HDF_Limited_Col!AP303/HDF_Limited_Col!$AH303," ")</f>
        <v xml:space="preserve"> </v>
      </c>
      <c r="AQ303" s="26" t="str">
        <f>IFERROR($AC303*HDF_Limited_Col!AQ303/HDF_Limited_Col!$AH303," ")</f>
        <v xml:space="preserve"> </v>
      </c>
      <c r="AR303" s="26" t="str">
        <f>IFERROR($AC303*HDF_Limited_Col!AR303/HDF_Limited_Col!$AH303," ")</f>
        <v xml:space="preserve"> </v>
      </c>
      <c r="AS303" s="26" t="str">
        <f>IFERROR($AC303*HDF_Limited_Col!AS303/HDF_Limited_Col!$AH303," ")</f>
        <v xml:space="preserve"> </v>
      </c>
      <c r="AT303" s="26" t="str">
        <f>IFERROR($AC303*HDF_Limited_Col!AT303/HDF_Limited_Col!$AH303," ")</f>
        <v xml:space="preserve"> </v>
      </c>
      <c r="AU303" s="26" t="str">
        <f>IFERROR($AC303*HDF_Limited_Col!AU303/HDF_Limited_Col!$AH303," ")</f>
        <v xml:space="preserve"> </v>
      </c>
      <c r="AV303" s="26" t="str">
        <f>IFERROR($AC303*HDF_Limited_Col!AV303/HDF_Limited_Col!$AH303," ")</f>
        <v xml:space="preserve"> </v>
      </c>
      <c r="AW303" s="26" t="str">
        <f>IFERROR($AC303*HDF_Limited_Col!AW303/HDF_Limited_Col!$AH303," ")</f>
        <v xml:space="preserve"> </v>
      </c>
      <c r="AX303" s="26" t="str">
        <f>IFERROR($AC303*HDF_Limited_Col!AX303/HDF_Limited_Col!$AH303," ")</f>
        <v xml:space="preserve"> </v>
      </c>
      <c r="AY303" s="26" t="str">
        <f>IFERROR($AC303*HDF_Limited_Col!AY303/HDF_Limited_Col!$AH303," ")</f>
        <v xml:space="preserve"> </v>
      </c>
      <c r="AZ303" s="26" t="str">
        <f>IFERROR($AC303*HDF_Limited_Col!AZ303/HDF_Limited_Col!$AH303," ")</f>
        <v xml:space="preserve"> </v>
      </c>
      <c r="BA303" s="26" t="str">
        <f>IFERROR($AC303*HDF_Limited_Col!BA303/HDF_Limited_Col!$AH303," ")</f>
        <v xml:space="preserve"> </v>
      </c>
      <c r="BB303" s="26" t="str">
        <f>IFERROR($AC303*HDF_Limited_Col!BB303/HDF_Limited_Col!$AH303," ")</f>
        <v xml:space="preserve"> </v>
      </c>
      <c r="BC303" s="26" t="str">
        <f>IFERROR($AC303*HDF_Limited_Col!BC303/HDF_Limited_Col!$AH303," ")</f>
        <v xml:space="preserve"> </v>
      </c>
      <c r="BD303" s="26" t="str">
        <f>IFERROR($AC303*HDF_Limited_Col!BD303/HDF_Limited_Col!$AH303," ")</f>
        <v xml:space="preserve"> </v>
      </c>
      <c r="BE303" s="26" t="str">
        <f>IFERROR($AC303*HDF_Limited_Col!BE303/HDF_Limited_Col!$AH303," ")</f>
        <v xml:space="preserve"> </v>
      </c>
      <c r="BF303" s="26" t="str">
        <f>IFERROR($AC303*HDF_Limited_Col!BF303/HDF_Limited_Col!$AH303," ")</f>
        <v xml:space="preserve"> </v>
      </c>
      <c r="BG303" s="26" t="str">
        <f>IFERROR($AC303*HDF_Limited_Col!BG303/HDF_Limited_Col!$AH303," ")</f>
        <v xml:space="preserve"> </v>
      </c>
      <c r="BH303" s="26" t="str">
        <f>IFERROR($AC303*HDF_Limited_Col!BH303/HDF_Limited_Col!$AH303," ")</f>
        <v xml:space="preserve"> </v>
      </c>
      <c r="BI303" s="26" t="str">
        <f>IFERROR($AC303*HDF_Limited_Col!BI303/HDF_Limited_Col!$AH303," ")</f>
        <v xml:space="preserve"> </v>
      </c>
      <c r="BJ303" s="26" t="str">
        <f>IFERROR($AC303*HDF_Limited_Col!BJ303/HDF_Limited_Col!$AH303," ")</f>
        <v xml:space="preserve"> </v>
      </c>
      <c r="BK303" s="26" t="str">
        <f>IFERROR($AC303*HDF_Limited_Col!BK303/HDF_Limited_Col!$AH303," ")</f>
        <v xml:space="preserve"> </v>
      </c>
      <c r="BL303" s="26" t="str">
        <f>IFERROR($AC303*HDF_Limited_Col!BL303/HDF_Limited_Col!$AH303," ")</f>
        <v xml:space="preserve"> </v>
      </c>
      <c r="BM303" s="26" t="str">
        <f>IFERROR($AC303*HDF_Limited_Col!BM303/HDF_Limited_Col!$AH303," ")</f>
        <v xml:space="preserve"> </v>
      </c>
      <c r="BN303" s="26" t="str">
        <f>IFERROR($AC303*HDF_Limited_Col!BN303/HDF_Limited_Col!$AH303," ")</f>
        <v xml:space="preserve"> </v>
      </c>
      <c r="BO303" s="26" t="str">
        <f>IFERROR($AC303*HDF_Limited_Col!BO303/HDF_Limited_Col!$AH303," ")</f>
        <v xml:space="preserve"> </v>
      </c>
      <c r="BP303" s="26" t="str">
        <f>IFERROR($AC303*HDF_Limited_Col!BP303/HDF_Limited_Col!$AH303," ")</f>
        <v xml:space="preserve"> </v>
      </c>
      <c r="BQ303" s="26" t="str">
        <f>IFERROR($AC303*HDF_Limited_Col!BQ303/HDF_Limited_Col!$AH303," ")</f>
        <v xml:space="preserve"> </v>
      </c>
      <c r="BR303" s="26" t="str">
        <f>IFERROR($AC303*HDF_Limited_Col!BR303/HDF_Limited_Col!$AH303," ")</f>
        <v xml:space="preserve"> </v>
      </c>
      <c r="BS303" s="26" t="str">
        <f>IFERROR($AC303*HDF_Limited_Col!BS303/HDF_Limited_Col!$AH303," ")</f>
        <v xml:space="preserve"> </v>
      </c>
      <c r="BT303" s="26" t="str">
        <f>IFERROR($AC303*HDF_Limited_Col!BT303/HDF_Limited_Col!$AH303," ")</f>
        <v xml:space="preserve"> </v>
      </c>
      <c r="BU303" s="26" t="str">
        <f>IFERROR($AC303*HDF_Limited_Col!BU303/HDF_Limited_Col!$AH303," ")</f>
        <v xml:space="preserve"> </v>
      </c>
      <c r="BV303" s="26" t="str">
        <f>IFERROR($AC303*HDF_Limited_Col!BV303/HDF_Limited_Col!$AH303," ")</f>
        <v xml:space="preserve"> </v>
      </c>
      <c r="BW303" s="26" t="str">
        <f>IFERROR($AC303*HDF_Limited_Col!BW303/HDF_Limited_Col!$AH303," ")</f>
        <v xml:space="preserve"> </v>
      </c>
      <c r="BX303" s="26" t="str">
        <f>IFERROR($AC303*HDF_Limited_Col!BX303/HDF_Limited_Col!$AH303," ")</f>
        <v xml:space="preserve"> </v>
      </c>
      <c r="BY303" s="26" t="str">
        <f>IFERROR($AC303*HDF_Limited_Col!BY303/HDF_Limited_Col!$AH303," ")</f>
        <v xml:space="preserve"> </v>
      </c>
      <c r="BZ303" s="26" t="str">
        <f>IFERROR($AC303*HDF_Limited_Col!BZ303/HDF_Limited_Col!$AH303," ")</f>
        <v xml:space="preserve"> </v>
      </c>
      <c r="CA303" s="26" t="str">
        <f>IFERROR($AC303*HDF_Limited_Col!CA303/HDF_Limited_Col!$AH303," ")</f>
        <v xml:space="preserve"> </v>
      </c>
      <c r="CB303" s="26" t="str">
        <f>IFERROR($AC303*HDF_Limited_Col!CB303/HDF_Limited_Col!$AH303," ")</f>
        <v xml:space="preserve"> </v>
      </c>
      <c r="CC303" s="26" t="str">
        <f>IFERROR($AC303*HDF_Limited_Col!CC303/HDF_Limited_Col!$AH303," ")</f>
        <v xml:space="preserve"> </v>
      </c>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row>
    <row r="304" spans="1:109">
      <c r="A304" s="53" t="s">
        <v>1431</v>
      </c>
      <c r="B304" s="26" t="s">
        <v>24</v>
      </c>
      <c r="C304" s="157" t="s">
        <v>1722</v>
      </c>
      <c r="D304" s="26" t="s">
        <v>1722</v>
      </c>
      <c r="E304" s="53" t="s">
        <v>388</v>
      </c>
      <c r="F304" s="53" t="s">
        <v>342</v>
      </c>
      <c r="G304" s="53" t="s">
        <v>640</v>
      </c>
      <c r="H304" s="52">
        <v>71.3</v>
      </c>
      <c r="I304" s="53"/>
      <c r="J304" s="53" t="s">
        <v>1311</v>
      </c>
      <c r="K304" s="53" t="s">
        <v>115</v>
      </c>
      <c r="L304" s="53"/>
      <c r="M304" s="53" t="s">
        <v>1255</v>
      </c>
      <c r="N304" s="53">
        <v>18</v>
      </c>
      <c r="O304" s="95">
        <v>23.027546817425879</v>
      </c>
      <c r="P304" s="95">
        <v>2.5153627212792897</v>
      </c>
      <c r="Q304" s="95">
        <v>3.0244242243953363</v>
      </c>
      <c r="R304" s="95">
        <v>14.153906106246161</v>
      </c>
      <c r="S304" s="95">
        <v>5.3700997779692772</v>
      </c>
      <c r="T304" s="95">
        <v>22.358779744704798</v>
      </c>
      <c r="U304" s="95">
        <v>0</v>
      </c>
      <c r="V304" s="95">
        <v>3.5933753161132711</v>
      </c>
      <c r="W304" s="95">
        <v>15.83081458709902</v>
      </c>
      <c r="X304" s="95">
        <v>7.366419398032205</v>
      </c>
      <c r="Y304" s="95">
        <v>3.5634305218123266</v>
      </c>
      <c r="Z304" s="95">
        <v>100.80415921507755</v>
      </c>
      <c r="AA304" s="53"/>
      <c r="AB304" s="53"/>
      <c r="AC304" s="26">
        <f t="shared" si="5"/>
        <v>131417.49752701283</v>
      </c>
      <c r="AD304" s="26" t="str">
        <f>IFERROR($AC304*HDF_Limited_Col!AD304/HDF_Limited_Col!$AH304," ")</f>
        <v xml:space="preserve"> </v>
      </c>
      <c r="AE304" s="26" t="str">
        <f>IFERROR($AC304*HDF_Limited_Col!AE304/HDF_Limited_Col!$AH304," ")</f>
        <v xml:space="preserve"> </v>
      </c>
      <c r="AF304" s="26" t="str">
        <f>IFERROR($AC304*HDF_Limited_Col!AF304/HDF_Limited_Col!$AH304," ")</f>
        <v xml:space="preserve"> </v>
      </c>
      <c r="AG304" s="26" t="str">
        <f>IFERROR($AC304*HDF_Limited_Col!AG304/HDF_Limited_Col!$AH304," ")</f>
        <v xml:space="preserve"> </v>
      </c>
      <c r="AH304" s="26" t="str">
        <f>IFERROR($AC304*HDF_Limited_Col!AH304/HDF_Limited_Col!$AH304," ")</f>
        <v xml:space="preserve"> </v>
      </c>
      <c r="AI304" s="26" t="str">
        <f>IFERROR($AC304*HDF_Limited_Col!AI304/HDF_Limited_Col!$AH304," ")</f>
        <v xml:space="preserve"> </v>
      </c>
      <c r="AJ304" s="26" t="str">
        <f>IFERROR($AC304*HDF_Limited_Col!AJ304/HDF_Limited_Col!$AH304," ")</f>
        <v xml:space="preserve"> </v>
      </c>
      <c r="AK304" s="26" t="str">
        <f>IFERROR($AC304*HDF_Limited_Col!AK304/HDF_Limited_Col!$AH304," ")</f>
        <v xml:space="preserve"> </v>
      </c>
      <c r="AL304" s="26" t="str">
        <f>IFERROR($AC304*HDF_Limited_Col!AL304/HDF_Limited_Col!$AH304," ")</f>
        <v xml:space="preserve"> </v>
      </c>
      <c r="AM304" s="26" t="str">
        <f>IFERROR($AC304*HDF_Limited_Col!AM304/HDF_Limited_Col!$AH304," ")</f>
        <v xml:space="preserve"> </v>
      </c>
      <c r="AN304" s="26" t="str">
        <f>IFERROR($AC304*HDF_Limited_Col!AN304/HDF_Limited_Col!$AH304," ")</f>
        <v xml:space="preserve"> </v>
      </c>
      <c r="AO304" s="26" t="str">
        <f>IFERROR($AC304*HDF_Limited_Col!AO304/HDF_Limited_Col!$AH304," ")</f>
        <v xml:space="preserve"> </v>
      </c>
      <c r="AP304" s="26" t="str">
        <f>IFERROR($AC304*HDF_Limited_Col!AP304/HDF_Limited_Col!$AH304," ")</f>
        <v xml:space="preserve"> </v>
      </c>
      <c r="AQ304" s="26" t="str">
        <f>IFERROR($AC304*HDF_Limited_Col!AQ304/HDF_Limited_Col!$AH304," ")</f>
        <v xml:space="preserve"> </v>
      </c>
      <c r="AR304" s="26" t="str">
        <f>IFERROR($AC304*HDF_Limited_Col!AR304/HDF_Limited_Col!$AH304," ")</f>
        <v xml:space="preserve"> </v>
      </c>
      <c r="AS304" s="26" t="str">
        <f>IFERROR($AC304*HDF_Limited_Col!AS304/HDF_Limited_Col!$AH304," ")</f>
        <v xml:space="preserve"> </v>
      </c>
      <c r="AT304" s="26" t="str">
        <f>IFERROR($AC304*HDF_Limited_Col!AT304/HDF_Limited_Col!$AH304," ")</f>
        <v xml:space="preserve"> </v>
      </c>
      <c r="AU304" s="26" t="str">
        <f>IFERROR($AC304*HDF_Limited_Col!AU304/HDF_Limited_Col!$AH304," ")</f>
        <v xml:space="preserve"> </v>
      </c>
      <c r="AV304" s="26" t="str">
        <f>IFERROR($AC304*HDF_Limited_Col!AV304/HDF_Limited_Col!$AH304," ")</f>
        <v xml:space="preserve"> </v>
      </c>
      <c r="AW304" s="26" t="str">
        <f>IFERROR($AC304*HDF_Limited_Col!AW304/HDF_Limited_Col!$AH304," ")</f>
        <v xml:space="preserve"> </v>
      </c>
      <c r="AX304" s="26" t="str">
        <f>IFERROR($AC304*HDF_Limited_Col!AX304/HDF_Limited_Col!$AH304," ")</f>
        <v xml:space="preserve"> </v>
      </c>
      <c r="AY304" s="26" t="str">
        <f>IFERROR($AC304*HDF_Limited_Col!AY304/HDF_Limited_Col!$AH304," ")</f>
        <v xml:space="preserve"> </v>
      </c>
      <c r="AZ304" s="26" t="str">
        <f>IFERROR($AC304*HDF_Limited_Col!AZ304/HDF_Limited_Col!$AH304," ")</f>
        <v xml:space="preserve"> </v>
      </c>
      <c r="BA304" s="26" t="str">
        <f>IFERROR($AC304*HDF_Limited_Col!BA304/HDF_Limited_Col!$AH304," ")</f>
        <v xml:space="preserve"> </v>
      </c>
      <c r="BB304" s="26" t="str">
        <f>IFERROR($AC304*HDF_Limited_Col!BB304/HDF_Limited_Col!$AH304," ")</f>
        <v xml:space="preserve"> </v>
      </c>
      <c r="BC304" s="26" t="str">
        <f>IFERROR($AC304*HDF_Limited_Col!BC304/HDF_Limited_Col!$AH304," ")</f>
        <v xml:space="preserve"> </v>
      </c>
      <c r="BD304" s="26" t="str">
        <f>IFERROR($AC304*HDF_Limited_Col!BD304/HDF_Limited_Col!$AH304," ")</f>
        <v xml:space="preserve"> </v>
      </c>
      <c r="BE304" s="26" t="str">
        <f>IFERROR($AC304*HDF_Limited_Col!BE304/HDF_Limited_Col!$AH304," ")</f>
        <v xml:space="preserve"> </v>
      </c>
      <c r="BF304" s="26" t="str">
        <f>IFERROR($AC304*HDF_Limited_Col!BF304/HDF_Limited_Col!$AH304," ")</f>
        <v xml:space="preserve"> </v>
      </c>
      <c r="BG304" s="26" t="str">
        <f>IFERROR($AC304*HDF_Limited_Col!BG304/HDF_Limited_Col!$AH304," ")</f>
        <v xml:space="preserve"> </v>
      </c>
      <c r="BH304" s="26" t="str">
        <f>IFERROR($AC304*HDF_Limited_Col!BH304/HDF_Limited_Col!$AH304," ")</f>
        <v xml:space="preserve"> </v>
      </c>
      <c r="BI304" s="26" t="str">
        <f>IFERROR($AC304*HDF_Limited_Col!BI304/HDF_Limited_Col!$AH304," ")</f>
        <v xml:space="preserve"> </v>
      </c>
      <c r="BJ304" s="26" t="str">
        <f>IFERROR($AC304*HDF_Limited_Col!BJ304/HDF_Limited_Col!$AH304," ")</f>
        <v xml:space="preserve"> </v>
      </c>
      <c r="BK304" s="26" t="str">
        <f>IFERROR($AC304*HDF_Limited_Col!BK304/HDF_Limited_Col!$AH304," ")</f>
        <v xml:space="preserve"> </v>
      </c>
      <c r="BL304" s="26" t="str">
        <f>IFERROR($AC304*HDF_Limited_Col!BL304/HDF_Limited_Col!$AH304," ")</f>
        <v xml:space="preserve"> </v>
      </c>
      <c r="BM304" s="26" t="str">
        <f>IFERROR($AC304*HDF_Limited_Col!BM304/HDF_Limited_Col!$AH304," ")</f>
        <v xml:space="preserve"> </v>
      </c>
      <c r="BN304" s="26" t="str">
        <f>IFERROR($AC304*HDF_Limited_Col!BN304/HDF_Limited_Col!$AH304," ")</f>
        <v xml:space="preserve"> </v>
      </c>
      <c r="BO304" s="26" t="str">
        <f>IFERROR($AC304*HDF_Limited_Col!BO304/HDF_Limited_Col!$AH304," ")</f>
        <v xml:space="preserve"> </v>
      </c>
      <c r="BP304" s="26" t="str">
        <f>IFERROR($AC304*HDF_Limited_Col!BP304/HDF_Limited_Col!$AH304," ")</f>
        <v xml:space="preserve"> </v>
      </c>
      <c r="BQ304" s="26" t="str">
        <f>IFERROR($AC304*HDF_Limited_Col!BQ304/HDF_Limited_Col!$AH304," ")</f>
        <v xml:space="preserve"> </v>
      </c>
      <c r="BR304" s="26" t="str">
        <f>IFERROR($AC304*HDF_Limited_Col!BR304/HDF_Limited_Col!$AH304," ")</f>
        <v xml:space="preserve"> </v>
      </c>
      <c r="BS304" s="26" t="str">
        <f>IFERROR($AC304*HDF_Limited_Col!BS304/HDF_Limited_Col!$AH304," ")</f>
        <v xml:space="preserve"> </v>
      </c>
      <c r="BT304" s="26" t="str">
        <f>IFERROR($AC304*HDF_Limited_Col!BT304/HDF_Limited_Col!$AH304," ")</f>
        <v xml:space="preserve"> </v>
      </c>
      <c r="BU304" s="26" t="str">
        <f>IFERROR($AC304*HDF_Limited_Col!BU304/HDF_Limited_Col!$AH304," ")</f>
        <v xml:space="preserve"> </v>
      </c>
      <c r="BV304" s="26" t="str">
        <f>IFERROR($AC304*HDF_Limited_Col!BV304/HDF_Limited_Col!$AH304," ")</f>
        <v xml:space="preserve"> </v>
      </c>
      <c r="BW304" s="26" t="str">
        <f>IFERROR($AC304*HDF_Limited_Col!BW304/HDF_Limited_Col!$AH304," ")</f>
        <v xml:space="preserve"> </v>
      </c>
      <c r="BX304" s="26" t="str">
        <f>IFERROR($AC304*HDF_Limited_Col!BX304/HDF_Limited_Col!$AH304," ")</f>
        <v xml:space="preserve"> </v>
      </c>
      <c r="BY304" s="26" t="str">
        <f>IFERROR($AC304*HDF_Limited_Col!BY304/HDF_Limited_Col!$AH304," ")</f>
        <v xml:space="preserve"> </v>
      </c>
      <c r="BZ304" s="26" t="str">
        <f>IFERROR($AC304*HDF_Limited_Col!BZ304/HDF_Limited_Col!$AH304," ")</f>
        <v xml:space="preserve"> </v>
      </c>
      <c r="CA304" s="26" t="str">
        <f>IFERROR($AC304*HDF_Limited_Col!CA304/HDF_Limited_Col!$AH304," ")</f>
        <v xml:space="preserve"> </v>
      </c>
      <c r="CB304" s="26" t="str">
        <f>IFERROR($AC304*HDF_Limited_Col!CB304/HDF_Limited_Col!$AH304," ")</f>
        <v xml:space="preserve"> </v>
      </c>
      <c r="CC304" s="26" t="str">
        <f>IFERROR($AC304*HDF_Limited_Col!CC304/HDF_Limited_Col!$AH304," ")</f>
        <v xml:space="preserve"> </v>
      </c>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row>
    <row r="305" spans="1:109">
      <c r="A305" s="53" t="s">
        <v>1651</v>
      </c>
      <c r="B305" s="53" t="s">
        <v>24</v>
      </c>
      <c r="C305" s="157" t="s">
        <v>1722</v>
      </c>
      <c r="D305" s="53" t="s">
        <v>1717</v>
      </c>
      <c r="E305" s="53" t="s">
        <v>1394</v>
      </c>
      <c r="F305" s="53" t="s">
        <v>1628</v>
      </c>
      <c r="G305" s="53" t="s">
        <v>595</v>
      </c>
      <c r="H305" s="52">
        <v>132</v>
      </c>
      <c r="I305" s="53" t="s">
        <v>735</v>
      </c>
      <c r="J305" s="53"/>
      <c r="K305" s="53" t="s">
        <v>1276</v>
      </c>
      <c r="L305" s="53"/>
      <c r="M305" s="53" t="s">
        <v>1642</v>
      </c>
      <c r="N305" s="53">
        <v>29</v>
      </c>
      <c r="O305" s="95">
        <v>21.806757766158444</v>
      </c>
      <c r="P305" s="95">
        <v>12.149479326859703</v>
      </c>
      <c r="Q305" s="95">
        <v>2.699884294857712</v>
      </c>
      <c r="R305" s="95">
        <v>11.42258740132109</v>
      </c>
      <c r="S305" s="95">
        <v>8.5150196991666309</v>
      </c>
      <c r="T305" s="95">
        <v>5.9189771079572919</v>
      </c>
      <c r="U305" s="95">
        <v>9.5534367356503651</v>
      </c>
      <c r="V305" s="95">
        <v>0.7268919255386147</v>
      </c>
      <c r="W305" s="95">
        <v>15.576255547256032</v>
      </c>
      <c r="X305" s="95">
        <v>9.1380699210568732</v>
      </c>
      <c r="Y305" s="95">
        <v>3.21909281309958</v>
      </c>
      <c r="Z305" s="95">
        <v>100.72645253892233</v>
      </c>
      <c r="AA305" s="53"/>
      <c r="AB305" s="53"/>
      <c r="AC305" s="26">
        <f t="shared" si="5"/>
        <v>129304.30797476409</v>
      </c>
      <c r="AD305" s="26" t="str">
        <f>IFERROR($AC305*HDF_Limited_Col!AD305/HDF_Limited_Col!$AH305," ")</f>
        <v xml:space="preserve"> </v>
      </c>
      <c r="AE305" s="26" t="str">
        <f>IFERROR($AC305*HDF_Limited_Col!AE305/HDF_Limited_Col!$AH305," ")</f>
        <v xml:space="preserve"> </v>
      </c>
      <c r="AF305" s="26" t="str">
        <f>IFERROR($AC305*HDF_Limited_Col!AF305/HDF_Limited_Col!$AH305," ")</f>
        <v xml:space="preserve"> </v>
      </c>
      <c r="AG305" s="26" t="str">
        <f>IFERROR($AC305*HDF_Limited_Col!AG305/HDF_Limited_Col!$AH305," ")</f>
        <v xml:space="preserve"> </v>
      </c>
      <c r="AH305" s="26" t="str">
        <f>IFERROR($AC305*HDF_Limited_Col!AH305/HDF_Limited_Col!$AH305," ")</f>
        <v xml:space="preserve"> </v>
      </c>
      <c r="AI305" s="26" t="str">
        <f>IFERROR($AC305*HDF_Limited_Col!AI305/HDF_Limited_Col!$AH305," ")</f>
        <v xml:space="preserve"> </v>
      </c>
      <c r="AJ305" s="26" t="str">
        <f>IFERROR($AC305*HDF_Limited_Col!AJ305/HDF_Limited_Col!$AH305," ")</f>
        <v xml:space="preserve"> </v>
      </c>
      <c r="AK305" s="26" t="str">
        <f>IFERROR($AC305*HDF_Limited_Col!AK305/HDF_Limited_Col!$AH305," ")</f>
        <v xml:space="preserve"> </v>
      </c>
      <c r="AL305" s="26" t="str">
        <f>IFERROR($AC305*HDF_Limited_Col!AL305/HDF_Limited_Col!$AH305," ")</f>
        <v xml:space="preserve"> </v>
      </c>
      <c r="AM305" s="26" t="str">
        <f>IFERROR($AC305*HDF_Limited_Col!AM305/HDF_Limited_Col!$AH305," ")</f>
        <v xml:space="preserve"> </v>
      </c>
      <c r="AN305" s="26" t="str">
        <f>IFERROR($AC305*HDF_Limited_Col!AN305/HDF_Limited_Col!$AH305," ")</f>
        <v xml:space="preserve"> </v>
      </c>
      <c r="AO305" s="26" t="str">
        <f>IFERROR($AC305*HDF_Limited_Col!AO305/HDF_Limited_Col!$AH305," ")</f>
        <v xml:space="preserve"> </v>
      </c>
      <c r="AP305" s="26" t="str">
        <f>IFERROR($AC305*HDF_Limited_Col!AP305/HDF_Limited_Col!$AH305," ")</f>
        <v xml:space="preserve"> </v>
      </c>
      <c r="AQ305" s="26" t="str">
        <f>IFERROR($AC305*HDF_Limited_Col!AQ305/HDF_Limited_Col!$AH305," ")</f>
        <v xml:space="preserve"> </v>
      </c>
      <c r="AR305" s="26" t="str">
        <f>IFERROR($AC305*HDF_Limited_Col!AR305/HDF_Limited_Col!$AH305," ")</f>
        <v xml:space="preserve"> </v>
      </c>
      <c r="AS305" s="26" t="str">
        <f>IFERROR($AC305*HDF_Limited_Col!AS305/HDF_Limited_Col!$AH305," ")</f>
        <v xml:space="preserve"> </v>
      </c>
      <c r="AT305" s="26" t="str">
        <f>IFERROR($AC305*HDF_Limited_Col!AT305/HDF_Limited_Col!$AH305," ")</f>
        <v xml:space="preserve"> </v>
      </c>
      <c r="AU305" s="26" t="str">
        <f>IFERROR($AC305*HDF_Limited_Col!AU305/HDF_Limited_Col!$AH305," ")</f>
        <v xml:space="preserve"> </v>
      </c>
      <c r="AV305" s="26" t="str">
        <f>IFERROR($AC305*HDF_Limited_Col!AV305/HDF_Limited_Col!$AH305," ")</f>
        <v xml:space="preserve"> </v>
      </c>
      <c r="AW305" s="26" t="str">
        <f>IFERROR($AC305*HDF_Limited_Col!AW305/HDF_Limited_Col!$AH305," ")</f>
        <v xml:space="preserve"> </v>
      </c>
      <c r="AX305" s="26" t="str">
        <f>IFERROR($AC305*HDF_Limited_Col!AX305/HDF_Limited_Col!$AH305," ")</f>
        <v xml:space="preserve"> </v>
      </c>
      <c r="AY305" s="26" t="str">
        <f>IFERROR($AC305*HDF_Limited_Col!AY305/HDF_Limited_Col!$AH305," ")</f>
        <v xml:space="preserve"> </v>
      </c>
      <c r="AZ305" s="26" t="str">
        <f>IFERROR($AC305*HDF_Limited_Col!AZ305/HDF_Limited_Col!$AH305," ")</f>
        <v xml:space="preserve"> </v>
      </c>
      <c r="BA305" s="26" t="str">
        <f>IFERROR($AC305*HDF_Limited_Col!BA305/HDF_Limited_Col!$AH305," ")</f>
        <v xml:space="preserve"> </v>
      </c>
      <c r="BB305" s="26" t="str">
        <f>IFERROR($AC305*HDF_Limited_Col!BB305/HDF_Limited_Col!$AH305," ")</f>
        <v xml:space="preserve"> </v>
      </c>
      <c r="BC305" s="26" t="str">
        <f>IFERROR($AC305*HDF_Limited_Col!BC305/HDF_Limited_Col!$AH305," ")</f>
        <v xml:space="preserve"> </v>
      </c>
      <c r="BD305" s="26" t="str">
        <f>IFERROR($AC305*HDF_Limited_Col!BD305/HDF_Limited_Col!$AH305," ")</f>
        <v xml:space="preserve"> </v>
      </c>
      <c r="BE305" s="26" t="str">
        <f>IFERROR($AC305*HDF_Limited_Col!BE305/HDF_Limited_Col!$AH305," ")</f>
        <v xml:space="preserve"> </v>
      </c>
      <c r="BF305" s="26" t="str">
        <f>IFERROR($AC305*HDF_Limited_Col!BF305/HDF_Limited_Col!$AH305," ")</f>
        <v xml:space="preserve"> </v>
      </c>
      <c r="BG305" s="26" t="str">
        <f>IFERROR($AC305*HDF_Limited_Col!BG305/HDF_Limited_Col!$AH305," ")</f>
        <v xml:space="preserve"> </v>
      </c>
      <c r="BH305" s="26" t="str">
        <f>IFERROR($AC305*HDF_Limited_Col!BH305/HDF_Limited_Col!$AH305," ")</f>
        <v xml:space="preserve"> </v>
      </c>
      <c r="BI305" s="26" t="str">
        <f>IFERROR($AC305*HDF_Limited_Col!BI305/HDF_Limited_Col!$AH305," ")</f>
        <v xml:space="preserve"> </v>
      </c>
      <c r="BJ305" s="26" t="str">
        <f>IFERROR($AC305*HDF_Limited_Col!BJ305/HDF_Limited_Col!$AH305," ")</f>
        <v xml:space="preserve"> </v>
      </c>
      <c r="BK305" s="26" t="str">
        <f>IFERROR($AC305*HDF_Limited_Col!BK305/HDF_Limited_Col!$AH305," ")</f>
        <v xml:space="preserve"> </v>
      </c>
      <c r="BL305" s="26" t="str">
        <f>IFERROR($AC305*HDF_Limited_Col!BL305/HDF_Limited_Col!$AH305," ")</f>
        <v xml:space="preserve"> </v>
      </c>
      <c r="BM305" s="26" t="str">
        <f>IFERROR($AC305*HDF_Limited_Col!BM305/HDF_Limited_Col!$AH305," ")</f>
        <v xml:space="preserve"> </v>
      </c>
      <c r="BN305" s="26" t="str">
        <f>IFERROR($AC305*HDF_Limited_Col!BN305/HDF_Limited_Col!$AH305," ")</f>
        <v xml:space="preserve"> </v>
      </c>
      <c r="BO305" s="26" t="str">
        <f>IFERROR($AC305*HDF_Limited_Col!BO305/HDF_Limited_Col!$AH305," ")</f>
        <v xml:space="preserve"> </v>
      </c>
      <c r="BP305" s="26" t="str">
        <f>IFERROR($AC305*HDF_Limited_Col!BP305/HDF_Limited_Col!$AH305," ")</f>
        <v xml:space="preserve"> </v>
      </c>
      <c r="BQ305" s="26" t="str">
        <f>IFERROR($AC305*HDF_Limited_Col!BQ305/HDF_Limited_Col!$AH305," ")</f>
        <v xml:space="preserve"> </v>
      </c>
      <c r="BR305" s="26" t="str">
        <f>IFERROR($AC305*HDF_Limited_Col!BR305/HDF_Limited_Col!$AH305," ")</f>
        <v xml:space="preserve"> </v>
      </c>
      <c r="BS305" s="26" t="str">
        <f>IFERROR($AC305*HDF_Limited_Col!BS305/HDF_Limited_Col!$AH305," ")</f>
        <v xml:space="preserve"> </v>
      </c>
      <c r="BT305" s="26" t="str">
        <f>IFERROR($AC305*HDF_Limited_Col!BT305/HDF_Limited_Col!$AH305," ")</f>
        <v xml:space="preserve"> </v>
      </c>
      <c r="BU305" s="26" t="str">
        <f>IFERROR($AC305*HDF_Limited_Col!BU305/HDF_Limited_Col!$AH305," ")</f>
        <v xml:space="preserve"> </v>
      </c>
      <c r="BV305" s="26" t="str">
        <f>IFERROR($AC305*HDF_Limited_Col!BV305/HDF_Limited_Col!$AH305," ")</f>
        <v xml:space="preserve"> </v>
      </c>
      <c r="BW305" s="26" t="str">
        <f>IFERROR($AC305*HDF_Limited_Col!BW305/HDF_Limited_Col!$AH305," ")</f>
        <v xml:space="preserve"> </v>
      </c>
      <c r="BX305" s="26" t="str">
        <f>IFERROR($AC305*HDF_Limited_Col!BX305/HDF_Limited_Col!$AH305," ")</f>
        <v xml:space="preserve"> </v>
      </c>
      <c r="BY305" s="26" t="str">
        <f>IFERROR($AC305*HDF_Limited_Col!BY305/HDF_Limited_Col!$AH305," ")</f>
        <v xml:space="preserve"> </v>
      </c>
      <c r="BZ305" s="26" t="str">
        <f>IFERROR($AC305*HDF_Limited_Col!BZ305/HDF_Limited_Col!$AH305," ")</f>
        <v xml:space="preserve"> </v>
      </c>
      <c r="CA305" s="26" t="str">
        <f>IFERROR($AC305*HDF_Limited_Col!CA305/HDF_Limited_Col!$AH305," ")</f>
        <v xml:space="preserve"> </v>
      </c>
      <c r="CB305" s="26" t="str">
        <f>IFERROR($AC305*HDF_Limited_Col!CB305/HDF_Limited_Col!$AH305," ")</f>
        <v xml:space="preserve"> </v>
      </c>
      <c r="CC305" s="26" t="str">
        <f>IFERROR($AC305*HDF_Limited_Col!CC305/HDF_Limited_Col!$AH305," ")</f>
        <v xml:space="preserve"> </v>
      </c>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row>
    <row r="306" spans="1:109" ht="16">
      <c r="A306" s="53" t="s">
        <v>1651</v>
      </c>
      <c r="B306" s="53" t="s">
        <v>24</v>
      </c>
      <c r="C306" s="157" t="s">
        <v>1722</v>
      </c>
      <c r="D306" s="53" t="s">
        <v>1717</v>
      </c>
      <c r="E306" s="53" t="s">
        <v>1394</v>
      </c>
      <c r="F306" s="53" t="s">
        <v>1628</v>
      </c>
      <c r="G306" s="53" t="s">
        <v>595</v>
      </c>
      <c r="H306" s="52">
        <v>132</v>
      </c>
      <c r="I306" s="53" t="s">
        <v>735</v>
      </c>
      <c r="J306" s="53"/>
      <c r="K306" s="53" t="s">
        <v>1276</v>
      </c>
      <c r="L306" s="53" t="s">
        <v>1645</v>
      </c>
      <c r="M306" s="53" t="s">
        <v>1644</v>
      </c>
      <c r="N306" s="53">
        <v>41</v>
      </c>
      <c r="O306" s="95">
        <v>33.682292071553817</v>
      </c>
      <c r="P306" s="95">
        <v>3.9806345175472697</v>
      </c>
      <c r="Q306" s="95">
        <v>3.7764994140833079</v>
      </c>
      <c r="R306" s="95">
        <v>14.493592345941341</v>
      </c>
      <c r="S306" s="95">
        <v>7.2467961729706705</v>
      </c>
      <c r="T306" s="95">
        <v>12.350173759569735</v>
      </c>
      <c r="U306" s="95">
        <v>1.3268781725157566</v>
      </c>
      <c r="V306" s="95">
        <v>3.5723643106193448</v>
      </c>
      <c r="W306" s="95">
        <v>15.922538070189079</v>
      </c>
      <c r="X306" s="95">
        <v>2.8578914484954758</v>
      </c>
      <c r="Y306" s="95">
        <v>1.0206755173198128</v>
      </c>
      <c r="Z306" s="95">
        <v>100.23033580080563</v>
      </c>
      <c r="AA306" s="158"/>
      <c r="AB306" s="26"/>
      <c r="AC306" s="26">
        <f t="shared" si="5"/>
        <v>132178.92837732297</v>
      </c>
      <c r="AD306" s="26" t="str">
        <f>IFERROR($AC306*HDF_Limited_Col!AD306/HDF_Limited_Col!$AH306," ")</f>
        <v xml:space="preserve"> </v>
      </c>
      <c r="AE306" s="26" t="str">
        <f>IFERROR($AC306*HDF_Limited_Col!AE306/HDF_Limited_Col!$AH306," ")</f>
        <v xml:space="preserve"> </v>
      </c>
      <c r="AF306" s="26" t="str">
        <f>IFERROR($AC306*HDF_Limited_Col!AF306/HDF_Limited_Col!$AH306," ")</f>
        <v xml:space="preserve"> </v>
      </c>
      <c r="AG306" s="26" t="str">
        <f>IFERROR($AC306*HDF_Limited_Col!AG306/HDF_Limited_Col!$AH306," ")</f>
        <v xml:space="preserve"> </v>
      </c>
      <c r="AH306" s="26" t="str">
        <f>IFERROR($AC306*HDF_Limited_Col!AH306/HDF_Limited_Col!$AH306," ")</f>
        <v xml:space="preserve"> </v>
      </c>
      <c r="AI306" s="26" t="str">
        <f>IFERROR($AC306*HDF_Limited_Col!AI306/HDF_Limited_Col!$AH306," ")</f>
        <v xml:space="preserve"> </v>
      </c>
      <c r="AJ306" s="26" t="str">
        <f>IFERROR($AC306*HDF_Limited_Col!AJ306/HDF_Limited_Col!$AH306," ")</f>
        <v xml:space="preserve"> </v>
      </c>
      <c r="AK306" s="26" t="str">
        <f>IFERROR($AC306*HDF_Limited_Col!AK306/HDF_Limited_Col!$AH306," ")</f>
        <v xml:space="preserve"> </v>
      </c>
      <c r="AL306" s="26" t="str">
        <f>IFERROR($AC306*HDF_Limited_Col!AL306/HDF_Limited_Col!$AH306," ")</f>
        <v xml:space="preserve"> </v>
      </c>
      <c r="AM306" s="26" t="str">
        <f>IFERROR($AC306*HDF_Limited_Col!AM306/HDF_Limited_Col!$AH306," ")</f>
        <v xml:space="preserve"> </v>
      </c>
      <c r="AN306" s="26" t="str">
        <f>IFERROR($AC306*HDF_Limited_Col!AN306/HDF_Limited_Col!$AH306," ")</f>
        <v xml:space="preserve"> </v>
      </c>
      <c r="AO306" s="26" t="str">
        <f>IFERROR($AC306*HDF_Limited_Col!AO306/HDF_Limited_Col!$AH306," ")</f>
        <v xml:space="preserve"> </v>
      </c>
      <c r="AP306" s="26" t="str">
        <f>IFERROR($AC306*HDF_Limited_Col!AP306/HDF_Limited_Col!$AH306," ")</f>
        <v xml:space="preserve"> </v>
      </c>
      <c r="AQ306" s="26" t="str">
        <f>IFERROR($AC306*HDF_Limited_Col!AQ306/HDF_Limited_Col!$AH306," ")</f>
        <v xml:space="preserve"> </v>
      </c>
      <c r="AR306" s="26" t="str">
        <f>IFERROR($AC306*HDF_Limited_Col!AR306/HDF_Limited_Col!$AH306," ")</f>
        <v xml:space="preserve"> </v>
      </c>
      <c r="AS306" s="26" t="str">
        <f>IFERROR($AC306*HDF_Limited_Col!AS306/HDF_Limited_Col!$AH306," ")</f>
        <v xml:space="preserve"> </v>
      </c>
      <c r="AT306" s="26" t="str">
        <f>IFERROR($AC306*HDF_Limited_Col!AT306/HDF_Limited_Col!$AH306," ")</f>
        <v xml:space="preserve"> </v>
      </c>
      <c r="AU306" s="26" t="str">
        <f>IFERROR($AC306*HDF_Limited_Col!AU306/HDF_Limited_Col!$AH306," ")</f>
        <v xml:space="preserve"> </v>
      </c>
      <c r="AV306" s="26" t="str">
        <f>IFERROR($AC306*HDF_Limited_Col!AV306/HDF_Limited_Col!$AH306," ")</f>
        <v xml:space="preserve"> </v>
      </c>
      <c r="AW306" s="26" t="str">
        <f>IFERROR($AC306*HDF_Limited_Col!AW306/HDF_Limited_Col!$AH306," ")</f>
        <v xml:space="preserve"> </v>
      </c>
      <c r="AX306" s="26" t="str">
        <f>IFERROR($AC306*HDF_Limited_Col!AX306/HDF_Limited_Col!$AH306," ")</f>
        <v xml:space="preserve"> </v>
      </c>
      <c r="AY306" s="26" t="str">
        <f>IFERROR($AC306*HDF_Limited_Col!AY306/HDF_Limited_Col!$AH306," ")</f>
        <v xml:space="preserve"> </v>
      </c>
      <c r="AZ306" s="26" t="str">
        <f>IFERROR($AC306*HDF_Limited_Col!AZ306/HDF_Limited_Col!$AH306," ")</f>
        <v xml:space="preserve"> </v>
      </c>
      <c r="BA306" s="26" t="str">
        <f>IFERROR($AC306*HDF_Limited_Col!BA306/HDF_Limited_Col!$AH306," ")</f>
        <v xml:space="preserve"> </v>
      </c>
      <c r="BB306" s="26" t="str">
        <f>IFERROR($AC306*HDF_Limited_Col!BB306/HDF_Limited_Col!$AH306," ")</f>
        <v xml:space="preserve"> </v>
      </c>
      <c r="BC306" s="26" t="str">
        <f>IFERROR($AC306*HDF_Limited_Col!BC306/HDF_Limited_Col!$AH306," ")</f>
        <v xml:space="preserve"> </v>
      </c>
      <c r="BD306" s="26" t="str">
        <f>IFERROR($AC306*HDF_Limited_Col!BD306/HDF_Limited_Col!$AH306," ")</f>
        <v xml:space="preserve"> </v>
      </c>
      <c r="BE306" s="26" t="str">
        <f>IFERROR($AC306*HDF_Limited_Col!BE306/HDF_Limited_Col!$AH306," ")</f>
        <v xml:space="preserve"> </v>
      </c>
      <c r="BF306" s="26" t="str">
        <f>IFERROR($AC306*HDF_Limited_Col!BF306/HDF_Limited_Col!$AH306," ")</f>
        <v xml:space="preserve"> </v>
      </c>
      <c r="BG306" s="26" t="str">
        <f>IFERROR($AC306*HDF_Limited_Col!BG306/HDF_Limited_Col!$AH306," ")</f>
        <v xml:space="preserve"> </v>
      </c>
      <c r="BH306" s="26" t="str">
        <f>IFERROR($AC306*HDF_Limited_Col!BH306/HDF_Limited_Col!$AH306," ")</f>
        <v xml:space="preserve"> </v>
      </c>
      <c r="BI306" s="26" t="str">
        <f>IFERROR($AC306*HDF_Limited_Col!BI306/HDF_Limited_Col!$AH306," ")</f>
        <v xml:space="preserve"> </v>
      </c>
      <c r="BJ306" s="26" t="str">
        <f>IFERROR($AC306*HDF_Limited_Col!BJ306/HDF_Limited_Col!$AH306," ")</f>
        <v xml:space="preserve"> </v>
      </c>
      <c r="BK306" s="26" t="str">
        <f>IFERROR($AC306*HDF_Limited_Col!BK306/HDF_Limited_Col!$AH306," ")</f>
        <v xml:space="preserve"> </v>
      </c>
      <c r="BL306" s="26" t="str">
        <f>IFERROR($AC306*HDF_Limited_Col!BL306/HDF_Limited_Col!$AH306," ")</f>
        <v xml:space="preserve"> </v>
      </c>
      <c r="BM306" s="26" t="str">
        <f>IFERROR($AC306*HDF_Limited_Col!BM306/HDF_Limited_Col!$AH306," ")</f>
        <v xml:space="preserve"> </v>
      </c>
      <c r="BN306" s="26" t="str">
        <f>IFERROR($AC306*HDF_Limited_Col!BN306/HDF_Limited_Col!$AH306," ")</f>
        <v xml:space="preserve"> </v>
      </c>
      <c r="BO306" s="26" t="str">
        <f>IFERROR($AC306*HDF_Limited_Col!BO306/HDF_Limited_Col!$AH306," ")</f>
        <v xml:space="preserve"> </v>
      </c>
      <c r="BP306" s="26" t="str">
        <f>IFERROR($AC306*HDF_Limited_Col!BP306/HDF_Limited_Col!$AH306," ")</f>
        <v xml:space="preserve"> </v>
      </c>
      <c r="BQ306" s="26" t="str">
        <f>IFERROR($AC306*HDF_Limited_Col!BQ306/HDF_Limited_Col!$AH306," ")</f>
        <v xml:space="preserve"> </v>
      </c>
      <c r="BR306" s="26" t="str">
        <f>IFERROR($AC306*HDF_Limited_Col!BR306/HDF_Limited_Col!$AH306," ")</f>
        <v xml:space="preserve"> </v>
      </c>
      <c r="BS306" s="26" t="str">
        <f>IFERROR($AC306*HDF_Limited_Col!BS306/HDF_Limited_Col!$AH306," ")</f>
        <v xml:space="preserve"> </v>
      </c>
      <c r="BT306" s="26" t="str">
        <f>IFERROR($AC306*HDF_Limited_Col!BT306/HDF_Limited_Col!$AH306," ")</f>
        <v xml:space="preserve"> </v>
      </c>
      <c r="BU306" s="26" t="str">
        <f>IFERROR($AC306*HDF_Limited_Col!BU306/HDF_Limited_Col!$AH306," ")</f>
        <v xml:space="preserve"> </v>
      </c>
      <c r="BV306" s="26" t="str">
        <f>IFERROR($AC306*HDF_Limited_Col!BV306/HDF_Limited_Col!$AH306," ")</f>
        <v xml:space="preserve"> </v>
      </c>
      <c r="BW306" s="26" t="str">
        <f>IFERROR($AC306*HDF_Limited_Col!BW306/HDF_Limited_Col!$AH306," ")</f>
        <v xml:space="preserve"> </v>
      </c>
      <c r="BX306" s="26" t="str">
        <f>IFERROR($AC306*HDF_Limited_Col!BX306/HDF_Limited_Col!$AH306," ")</f>
        <v xml:space="preserve"> </v>
      </c>
      <c r="BY306" s="26" t="str">
        <f>IFERROR($AC306*HDF_Limited_Col!BY306/HDF_Limited_Col!$AH306," ")</f>
        <v xml:space="preserve"> </v>
      </c>
      <c r="BZ306" s="26" t="str">
        <f>IFERROR($AC306*HDF_Limited_Col!BZ306/HDF_Limited_Col!$AH306," ")</f>
        <v xml:space="preserve"> </v>
      </c>
      <c r="CA306" s="26" t="str">
        <f>IFERROR($AC306*HDF_Limited_Col!CA306/HDF_Limited_Col!$AH306," ")</f>
        <v xml:space="preserve"> </v>
      </c>
      <c r="CB306" s="26" t="str">
        <f>IFERROR($AC306*HDF_Limited_Col!CB306/HDF_Limited_Col!$AH306," ")</f>
        <v xml:space="preserve"> </v>
      </c>
      <c r="CC306" s="26" t="str">
        <f>IFERROR($AC306*HDF_Limited_Col!CC306/HDF_Limited_Col!$AH306," ")</f>
        <v xml:space="preserve"> </v>
      </c>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row>
    <row r="307" spans="1:109" ht="16">
      <c r="A307" s="53" t="s">
        <v>1651</v>
      </c>
      <c r="B307" s="53" t="s">
        <v>24</v>
      </c>
      <c r="C307" s="157" t="s">
        <v>1722</v>
      </c>
      <c r="D307" s="53" t="s">
        <v>1717</v>
      </c>
      <c r="E307" s="53" t="s">
        <v>1394</v>
      </c>
      <c r="F307" s="53" t="s">
        <v>1628</v>
      </c>
      <c r="G307" s="53" t="s">
        <v>595</v>
      </c>
      <c r="H307" s="52">
        <v>132</v>
      </c>
      <c r="I307" s="53" t="s">
        <v>735</v>
      </c>
      <c r="J307" s="158"/>
      <c r="K307" s="53" t="s">
        <v>1276</v>
      </c>
      <c r="L307" s="53" t="s">
        <v>1646</v>
      </c>
      <c r="M307" s="53" t="s">
        <v>1644</v>
      </c>
      <c r="N307" s="53">
        <v>10</v>
      </c>
      <c r="O307" s="95">
        <v>33.798859348446015</v>
      </c>
      <c r="P307" s="95">
        <v>3.8802315868306598</v>
      </c>
      <c r="Q307" s="95">
        <v>4.0844543019270105</v>
      </c>
      <c r="R307" s="95">
        <v>18.073710286027019</v>
      </c>
      <c r="S307" s="95">
        <v>8.271019961402196</v>
      </c>
      <c r="T307" s="95">
        <v>15.214592274678115</v>
      </c>
      <c r="U307" s="95">
        <v>0.30633407264452578</v>
      </c>
      <c r="V307" s="95">
        <v>4.6971224472160618</v>
      </c>
      <c r="W307" s="95">
        <v>8.3731313189503709</v>
      </c>
      <c r="X307" s="95">
        <v>3.0633407264452579</v>
      </c>
      <c r="Y307" s="95">
        <v>0.30633407264452578</v>
      </c>
      <c r="Z307" s="95">
        <v>100.06913039721178</v>
      </c>
      <c r="AA307" s="53"/>
      <c r="AB307" s="26"/>
      <c r="AC307" s="26">
        <f t="shared" si="5"/>
        <v>69508.48665098015</v>
      </c>
      <c r="AD307" s="26" t="str">
        <f>IFERROR($AC307*HDF_Limited_Col!AD307/HDF_Limited_Col!$AH307," ")</f>
        <v xml:space="preserve"> </v>
      </c>
      <c r="AE307" s="26" t="str">
        <f>IFERROR($AC307*HDF_Limited_Col!AE307/HDF_Limited_Col!$AH307," ")</f>
        <v xml:space="preserve"> </v>
      </c>
      <c r="AF307" s="26" t="str">
        <f>IFERROR($AC307*HDF_Limited_Col!AF307/HDF_Limited_Col!$AH307," ")</f>
        <v xml:space="preserve"> </v>
      </c>
      <c r="AG307" s="26" t="str">
        <f>IFERROR($AC307*HDF_Limited_Col!AG307/HDF_Limited_Col!$AH307," ")</f>
        <v xml:space="preserve"> </v>
      </c>
      <c r="AH307" s="26" t="str">
        <f>IFERROR($AC307*HDF_Limited_Col!AH307/HDF_Limited_Col!$AH307," ")</f>
        <v xml:space="preserve"> </v>
      </c>
      <c r="AI307" s="26" t="str">
        <f>IFERROR($AC307*HDF_Limited_Col!AI307/HDF_Limited_Col!$AH307," ")</f>
        <v xml:space="preserve"> </v>
      </c>
      <c r="AJ307" s="26" t="str">
        <f>IFERROR($AC307*HDF_Limited_Col!AJ307/HDF_Limited_Col!$AH307," ")</f>
        <v xml:space="preserve"> </v>
      </c>
      <c r="AK307" s="26" t="str">
        <f>IFERROR($AC307*HDF_Limited_Col!AK307/HDF_Limited_Col!$AH307," ")</f>
        <v xml:space="preserve"> </v>
      </c>
      <c r="AL307" s="26" t="str">
        <f>IFERROR($AC307*HDF_Limited_Col!AL307/HDF_Limited_Col!$AH307," ")</f>
        <v xml:space="preserve"> </v>
      </c>
      <c r="AM307" s="26" t="str">
        <f>IFERROR($AC307*HDF_Limited_Col!AM307/HDF_Limited_Col!$AH307," ")</f>
        <v xml:space="preserve"> </v>
      </c>
      <c r="AN307" s="26" t="str">
        <f>IFERROR($AC307*HDF_Limited_Col!AN307/HDF_Limited_Col!$AH307," ")</f>
        <v xml:space="preserve"> </v>
      </c>
      <c r="AO307" s="26" t="str">
        <f>IFERROR($AC307*HDF_Limited_Col!AO307/HDF_Limited_Col!$AH307," ")</f>
        <v xml:space="preserve"> </v>
      </c>
      <c r="AP307" s="26" t="str">
        <f>IFERROR($AC307*HDF_Limited_Col!AP307/HDF_Limited_Col!$AH307," ")</f>
        <v xml:space="preserve"> </v>
      </c>
      <c r="AQ307" s="26" t="str">
        <f>IFERROR($AC307*HDF_Limited_Col!AQ307/HDF_Limited_Col!$AH307," ")</f>
        <v xml:space="preserve"> </v>
      </c>
      <c r="AR307" s="26" t="str">
        <f>IFERROR($AC307*HDF_Limited_Col!AR307/HDF_Limited_Col!$AH307," ")</f>
        <v xml:space="preserve"> </v>
      </c>
      <c r="AS307" s="26" t="str">
        <f>IFERROR($AC307*HDF_Limited_Col!AS307/HDF_Limited_Col!$AH307," ")</f>
        <v xml:space="preserve"> </v>
      </c>
      <c r="AT307" s="26" t="str">
        <f>IFERROR($AC307*HDF_Limited_Col!AT307/HDF_Limited_Col!$AH307," ")</f>
        <v xml:space="preserve"> </v>
      </c>
      <c r="AU307" s="26" t="str">
        <f>IFERROR($AC307*HDF_Limited_Col!AU307/HDF_Limited_Col!$AH307," ")</f>
        <v xml:space="preserve"> </v>
      </c>
      <c r="AV307" s="26" t="str">
        <f>IFERROR($AC307*HDF_Limited_Col!AV307/HDF_Limited_Col!$AH307," ")</f>
        <v xml:space="preserve"> </v>
      </c>
      <c r="AW307" s="26" t="str">
        <f>IFERROR($AC307*HDF_Limited_Col!AW307/HDF_Limited_Col!$AH307," ")</f>
        <v xml:space="preserve"> </v>
      </c>
      <c r="AX307" s="26" t="str">
        <f>IFERROR($AC307*HDF_Limited_Col!AX307/HDF_Limited_Col!$AH307," ")</f>
        <v xml:space="preserve"> </v>
      </c>
      <c r="AY307" s="26" t="str">
        <f>IFERROR($AC307*HDF_Limited_Col!AY307/HDF_Limited_Col!$AH307," ")</f>
        <v xml:space="preserve"> </v>
      </c>
      <c r="AZ307" s="26" t="str">
        <f>IFERROR($AC307*HDF_Limited_Col!AZ307/HDF_Limited_Col!$AH307," ")</f>
        <v xml:space="preserve"> </v>
      </c>
      <c r="BA307" s="26" t="str">
        <f>IFERROR($AC307*HDF_Limited_Col!BA307/HDF_Limited_Col!$AH307," ")</f>
        <v xml:space="preserve"> </v>
      </c>
      <c r="BB307" s="26" t="str">
        <f>IFERROR($AC307*HDF_Limited_Col!BB307/HDF_Limited_Col!$AH307," ")</f>
        <v xml:space="preserve"> </v>
      </c>
      <c r="BC307" s="26" t="str">
        <f>IFERROR($AC307*HDF_Limited_Col!BC307/HDF_Limited_Col!$AH307," ")</f>
        <v xml:space="preserve"> </v>
      </c>
      <c r="BD307" s="26" t="str">
        <f>IFERROR($AC307*HDF_Limited_Col!BD307/HDF_Limited_Col!$AH307," ")</f>
        <v xml:space="preserve"> </v>
      </c>
      <c r="BE307" s="26" t="str">
        <f>IFERROR($AC307*HDF_Limited_Col!BE307/HDF_Limited_Col!$AH307," ")</f>
        <v xml:space="preserve"> </v>
      </c>
      <c r="BF307" s="26" t="str">
        <f>IFERROR($AC307*HDF_Limited_Col!BF307/HDF_Limited_Col!$AH307," ")</f>
        <v xml:space="preserve"> </v>
      </c>
      <c r="BG307" s="26" t="str">
        <f>IFERROR($AC307*HDF_Limited_Col!BG307/HDF_Limited_Col!$AH307," ")</f>
        <v xml:space="preserve"> </v>
      </c>
      <c r="BH307" s="26" t="str">
        <f>IFERROR($AC307*HDF_Limited_Col!BH307/HDF_Limited_Col!$AH307," ")</f>
        <v xml:space="preserve"> </v>
      </c>
      <c r="BI307" s="26" t="str">
        <f>IFERROR($AC307*HDF_Limited_Col!BI307/HDF_Limited_Col!$AH307," ")</f>
        <v xml:space="preserve"> </v>
      </c>
      <c r="BJ307" s="26" t="str">
        <f>IFERROR($AC307*HDF_Limited_Col!BJ307/HDF_Limited_Col!$AH307," ")</f>
        <v xml:space="preserve"> </v>
      </c>
      <c r="BK307" s="26" t="str">
        <f>IFERROR($AC307*HDF_Limited_Col!BK307/HDF_Limited_Col!$AH307," ")</f>
        <v xml:space="preserve"> </v>
      </c>
      <c r="BL307" s="26" t="str">
        <f>IFERROR($AC307*HDF_Limited_Col!BL307/HDF_Limited_Col!$AH307," ")</f>
        <v xml:space="preserve"> </v>
      </c>
      <c r="BM307" s="26" t="str">
        <f>IFERROR($AC307*HDF_Limited_Col!BM307/HDF_Limited_Col!$AH307," ")</f>
        <v xml:space="preserve"> </v>
      </c>
      <c r="BN307" s="26" t="str">
        <f>IFERROR($AC307*HDF_Limited_Col!BN307/HDF_Limited_Col!$AH307," ")</f>
        <v xml:space="preserve"> </v>
      </c>
      <c r="BO307" s="26" t="str">
        <f>IFERROR($AC307*HDF_Limited_Col!BO307/HDF_Limited_Col!$AH307," ")</f>
        <v xml:space="preserve"> </v>
      </c>
      <c r="BP307" s="26" t="str">
        <f>IFERROR($AC307*HDF_Limited_Col!BP307/HDF_Limited_Col!$AH307," ")</f>
        <v xml:space="preserve"> </v>
      </c>
      <c r="BQ307" s="26" t="str">
        <f>IFERROR($AC307*HDF_Limited_Col!BQ307/HDF_Limited_Col!$AH307," ")</f>
        <v xml:space="preserve"> </v>
      </c>
      <c r="BR307" s="26" t="str">
        <f>IFERROR($AC307*HDF_Limited_Col!BR307/HDF_Limited_Col!$AH307," ")</f>
        <v xml:space="preserve"> </v>
      </c>
      <c r="BS307" s="26" t="str">
        <f>IFERROR($AC307*HDF_Limited_Col!BS307/HDF_Limited_Col!$AH307," ")</f>
        <v xml:space="preserve"> </v>
      </c>
      <c r="BT307" s="26" t="str">
        <f>IFERROR($AC307*HDF_Limited_Col!BT307/HDF_Limited_Col!$AH307," ")</f>
        <v xml:space="preserve"> </v>
      </c>
      <c r="BU307" s="26" t="str">
        <f>IFERROR($AC307*HDF_Limited_Col!BU307/HDF_Limited_Col!$AH307," ")</f>
        <v xml:space="preserve"> </v>
      </c>
      <c r="BV307" s="26" t="str">
        <f>IFERROR($AC307*HDF_Limited_Col!BV307/HDF_Limited_Col!$AH307," ")</f>
        <v xml:space="preserve"> </v>
      </c>
      <c r="BW307" s="26" t="str">
        <f>IFERROR($AC307*HDF_Limited_Col!BW307/HDF_Limited_Col!$AH307," ")</f>
        <v xml:space="preserve"> </v>
      </c>
      <c r="BX307" s="26" t="str">
        <f>IFERROR($AC307*HDF_Limited_Col!BX307/HDF_Limited_Col!$AH307," ")</f>
        <v xml:space="preserve"> </v>
      </c>
      <c r="BY307" s="26" t="str">
        <f>IFERROR($AC307*HDF_Limited_Col!BY307/HDF_Limited_Col!$AH307," ")</f>
        <v xml:space="preserve"> </v>
      </c>
      <c r="BZ307" s="26" t="str">
        <f>IFERROR($AC307*HDF_Limited_Col!BZ307/HDF_Limited_Col!$AH307," ")</f>
        <v xml:space="preserve"> </v>
      </c>
      <c r="CA307" s="26" t="str">
        <f>IFERROR($AC307*HDF_Limited_Col!CA307/HDF_Limited_Col!$AH307," ")</f>
        <v xml:space="preserve"> </v>
      </c>
      <c r="CB307" s="26" t="str">
        <f>IFERROR($AC307*HDF_Limited_Col!CB307/HDF_Limited_Col!$AH307," ")</f>
        <v xml:space="preserve"> </v>
      </c>
      <c r="CC307" s="26" t="str">
        <f>IFERROR($AC307*HDF_Limited_Col!CC307/HDF_Limited_Col!$AH307," ")</f>
        <v xml:space="preserve"> </v>
      </c>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row>
    <row r="308" spans="1:109">
      <c r="A308" s="26" t="s">
        <v>1656</v>
      </c>
      <c r="B308" s="53" t="s">
        <v>24</v>
      </c>
      <c r="C308" s="157" t="s">
        <v>1722</v>
      </c>
      <c r="D308" s="53" t="s">
        <v>1724</v>
      </c>
      <c r="E308" s="53" t="s">
        <v>237</v>
      </c>
      <c r="F308" s="53" t="s">
        <v>849</v>
      </c>
      <c r="G308" s="53" t="s">
        <v>595</v>
      </c>
      <c r="H308" s="52">
        <v>364</v>
      </c>
      <c r="I308" s="53" t="s">
        <v>1148</v>
      </c>
      <c r="J308" s="53" t="s">
        <v>635</v>
      </c>
      <c r="K308" s="53" t="s">
        <v>128</v>
      </c>
      <c r="L308" s="53"/>
      <c r="M308" s="53" t="s">
        <v>1662</v>
      </c>
      <c r="N308" s="53">
        <v>26</v>
      </c>
      <c r="O308" s="95">
        <v>21.629530072376664</v>
      </c>
      <c r="P308" s="95">
        <v>0.93560292871210693</v>
      </c>
      <c r="Q308" s="95">
        <v>2.8470497723174861</v>
      </c>
      <c r="R308" s="95">
        <v>14.285550094313887</v>
      </c>
      <c r="S308" s="95">
        <v>9.9998850660197238</v>
      </c>
      <c r="T308" s="95">
        <v>4.8389785882851974</v>
      </c>
      <c r="U308" s="95">
        <v>0</v>
      </c>
      <c r="V308" s="95">
        <v>6.2172323649901289</v>
      </c>
      <c r="W308" s="95">
        <v>32.595198806744364</v>
      </c>
      <c r="X308" s="95">
        <v>4.637773657379368</v>
      </c>
      <c r="Y308" s="95">
        <v>2.5955436086852002</v>
      </c>
      <c r="Z308" s="95">
        <v>100.58234495982413</v>
      </c>
      <c r="AA308" s="53"/>
      <c r="AB308" s="26"/>
      <c r="AC308" s="26">
        <f t="shared" si="5"/>
        <v>270584.90483923862</v>
      </c>
      <c r="AD308" s="26" t="str">
        <f>IFERROR($AC308*HDF_Limited_Col!AD308/HDF_Limited_Col!$AH308," ")</f>
        <v xml:space="preserve"> </v>
      </c>
      <c r="AE308" s="26" t="str">
        <f>IFERROR($AC308*HDF_Limited_Col!AE308/HDF_Limited_Col!$AH308," ")</f>
        <v xml:space="preserve"> </v>
      </c>
      <c r="AF308" s="26" t="str">
        <f>IFERROR($AC308*HDF_Limited_Col!AF308/HDF_Limited_Col!$AH308," ")</f>
        <v xml:space="preserve"> </v>
      </c>
      <c r="AG308" s="26" t="str">
        <f>IFERROR($AC308*HDF_Limited_Col!AG308/HDF_Limited_Col!$AH308," ")</f>
        <v xml:space="preserve"> </v>
      </c>
      <c r="AH308" s="26" t="str">
        <f>IFERROR($AC308*HDF_Limited_Col!AH308/HDF_Limited_Col!$AH308," ")</f>
        <v xml:space="preserve"> </v>
      </c>
      <c r="AI308" s="26" t="str">
        <f>IFERROR($AC308*HDF_Limited_Col!AI308/HDF_Limited_Col!$AH308," ")</f>
        <v xml:space="preserve"> </v>
      </c>
      <c r="AJ308" s="26" t="str">
        <f>IFERROR($AC308*HDF_Limited_Col!AJ308/HDF_Limited_Col!$AH308," ")</f>
        <v xml:space="preserve"> </v>
      </c>
      <c r="AK308" s="26" t="str">
        <f>IFERROR($AC308*HDF_Limited_Col!AK308/HDF_Limited_Col!$AH308," ")</f>
        <v xml:space="preserve"> </v>
      </c>
      <c r="AL308" s="26" t="str">
        <f>IFERROR($AC308*HDF_Limited_Col!AL308/HDF_Limited_Col!$AH308," ")</f>
        <v xml:space="preserve"> </v>
      </c>
      <c r="AM308" s="26" t="str">
        <f>IFERROR($AC308*HDF_Limited_Col!AM308/HDF_Limited_Col!$AH308," ")</f>
        <v xml:space="preserve"> </v>
      </c>
      <c r="AN308" s="26" t="str">
        <f>IFERROR($AC308*HDF_Limited_Col!AN308/HDF_Limited_Col!$AH308," ")</f>
        <v xml:space="preserve"> </v>
      </c>
      <c r="AO308" s="26" t="str">
        <f>IFERROR($AC308*HDF_Limited_Col!AO308/HDF_Limited_Col!$AH308," ")</f>
        <v xml:space="preserve"> </v>
      </c>
      <c r="AP308" s="26" t="str">
        <f>IFERROR($AC308*HDF_Limited_Col!AP308/HDF_Limited_Col!$AH308," ")</f>
        <v xml:space="preserve"> </v>
      </c>
      <c r="AQ308" s="26" t="str">
        <f>IFERROR($AC308*HDF_Limited_Col!AQ308/HDF_Limited_Col!$AH308," ")</f>
        <v xml:space="preserve"> </v>
      </c>
      <c r="AR308" s="26" t="str">
        <f>IFERROR($AC308*HDF_Limited_Col!AR308/HDF_Limited_Col!$AH308," ")</f>
        <v xml:space="preserve"> </v>
      </c>
      <c r="AS308" s="26" t="str">
        <f>IFERROR($AC308*HDF_Limited_Col!AS308/HDF_Limited_Col!$AH308," ")</f>
        <v xml:space="preserve"> </v>
      </c>
      <c r="AT308" s="26" t="str">
        <f>IFERROR($AC308*HDF_Limited_Col!AT308/HDF_Limited_Col!$AH308," ")</f>
        <v xml:space="preserve"> </v>
      </c>
      <c r="AU308" s="26" t="str">
        <f>IFERROR($AC308*HDF_Limited_Col!AU308/HDF_Limited_Col!$AH308," ")</f>
        <v xml:space="preserve"> </v>
      </c>
      <c r="AV308" s="26" t="str">
        <f>IFERROR($AC308*HDF_Limited_Col!AV308/HDF_Limited_Col!$AH308," ")</f>
        <v xml:space="preserve"> </v>
      </c>
      <c r="AW308" s="26" t="str">
        <f>IFERROR($AC308*HDF_Limited_Col!AW308/HDF_Limited_Col!$AH308," ")</f>
        <v xml:space="preserve"> </v>
      </c>
      <c r="AX308" s="26" t="str">
        <f>IFERROR($AC308*HDF_Limited_Col!AX308/HDF_Limited_Col!$AH308," ")</f>
        <v xml:space="preserve"> </v>
      </c>
      <c r="AY308" s="26" t="str">
        <f>IFERROR($AC308*HDF_Limited_Col!AY308/HDF_Limited_Col!$AH308," ")</f>
        <v xml:space="preserve"> </v>
      </c>
      <c r="AZ308" s="26" t="str">
        <f>IFERROR($AC308*HDF_Limited_Col!AZ308/HDF_Limited_Col!$AH308," ")</f>
        <v xml:space="preserve"> </v>
      </c>
      <c r="BA308" s="26" t="str">
        <f>IFERROR($AC308*HDF_Limited_Col!BA308/HDF_Limited_Col!$AH308," ")</f>
        <v xml:space="preserve"> </v>
      </c>
      <c r="BB308" s="26" t="str">
        <f>IFERROR($AC308*HDF_Limited_Col!BB308/HDF_Limited_Col!$AH308," ")</f>
        <v xml:space="preserve"> </v>
      </c>
      <c r="BC308" s="26" t="str">
        <f>IFERROR($AC308*HDF_Limited_Col!BC308/HDF_Limited_Col!$AH308," ")</f>
        <v xml:space="preserve"> </v>
      </c>
      <c r="BD308" s="26" t="str">
        <f>IFERROR($AC308*HDF_Limited_Col!BD308/HDF_Limited_Col!$AH308," ")</f>
        <v xml:space="preserve"> </v>
      </c>
      <c r="BE308" s="26" t="str">
        <f>IFERROR($AC308*HDF_Limited_Col!BE308/HDF_Limited_Col!$AH308," ")</f>
        <v xml:space="preserve"> </v>
      </c>
      <c r="BF308" s="26" t="str">
        <f>IFERROR($AC308*HDF_Limited_Col!BF308/HDF_Limited_Col!$AH308," ")</f>
        <v xml:space="preserve"> </v>
      </c>
      <c r="BG308" s="26" t="str">
        <f>IFERROR($AC308*HDF_Limited_Col!BG308/HDF_Limited_Col!$AH308," ")</f>
        <v xml:space="preserve"> </v>
      </c>
      <c r="BH308" s="26" t="str">
        <f>IFERROR($AC308*HDF_Limited_Col!BH308/HDF_Limited_Col!$AH308," ")</f>
        <v xml:space="preserve"> </v>
      </c>
      <c r="BI308" s="26" t="str">
        <f>IFERROR($AC308*HDF_Limited_Col!BI308/HDF_Limited_Col!$AH308," ")</f>
        <v xml:space="preserve"> </v>
      </c>
      <c r="BJ308" s="26" t="str">
        <f>IFERROR($AC308*HDF_Limited_Col!BJ308/HDF_Limited_Col!$AH308," ")</f>
        <v xml:space="preserve"> </v>
      </c>
      <c r="BK308" s="26" t="str">
        <f>IFERROR($AC308*HDF_Limited_Col!BK308/HDF_Limited_Col!$AH308," ")</f>
        <v xml:space="preserve"> </v>
      </c>
      <c r="BL308" s="26" t="str">
        <f>IFERROR($AC308*HDF_Limited_Col!BL308/HDF_Limited_Col!$AH308," ")</f>
        <v xml:space="preserve"> </v>
      </c>
      <c r="BM308" s="26" t="str">
        <f>IFERROR($AC308*HDF_Limited_Col!BM308/HDF_Limited_Col!$AH308," ")</f>
        <v xml:space="preserve"> </v>
      </c>
      <c r="BN308" s="26" t="str">
        <f>IFERROR($AC308*HDF_Limited_Col!BN308/HDF_Limited_Col!$AH308," ")</f>
        <v xml:space="preserve"> </v>
      </c>
      <c r="BO308" s="26" t="str">
        <f>IFERROR($AC308*HDF_Limited_Col!BO308/HDF_Limited_Col!$AH308," ")</f>
        <v xml:space="preserve"> </v>
      </c>
      <c r="BP308" s="26" t="str">
        <f>IFERROR($AC308*HDF_Limited_Col!BP308/HDF_Limited_Col!$AH308," ")</f>
        <v xml:space="preserve"> </v>
      </c>
      <c r="BQ308" s="26" t="str">
        <f>IFERROR($AC308*HDF_Limited_Col!BQ308/HDF_Limited_Col!$AH308," ")</f>
        <v xml:space="preserve"> </v>
      </c>
      <c r="BR308" s="26" t="str">
        <f>IFERROR($AC308*HDF_Limited_Col!BR308/HDF_Limited_Col!$AH308," ")</f>
        <v xml:space="preserve"> </v>
      </c>
      <c r="BS308" s="26" t="str">
        <f>IFERROR($AC308*HDF_Limited_Col!BS308/HDF_Limited_Col!$AH308," ")</f>
        <v xml:space="preserve"> </v>
      </c>
      <c r="BT308" s="26" t="str">
        <f>IFERROR($AC308*HDF_Limited_Col!BT308/HDF_Limited_Col!$AH308," ")</f>
        <v xml:space="preserve"> </v>
      </c>
      <c r="BU308" s="26" t="str">
        <f>IFERROR($AC308*HDF_Limited_Col!BU308/HDF_Limited_Col!$AH308," ")</f>
        <v xml:space="preserve"> </v>
      </c>
      <c r="BV308" s="26" t="str">
        <f>IFERROR($AC308*HDF_Limited_Col!BV308/HDF_Limited_Col!$AH308," ")</f>
        <v xml:space="preserve"> </v>
      </c>
      <c r="BW308" s="26" t="str">
        <f>IFERROR($AC308*HDF_Limited_Col!BW308/HDF_Limited_Col!$AH308," ")</f>
        <v xml:space="preserve"> </v>
      </c>
      <c r="BX308" s="26" t="str">
        <f>IFERROR($AC308*HDF_Limited_Col!BX308/HDF_Limited_Col!$AH308," ")</f>
        <v xml:space="preserve"> </v>
      </c>
      <c r="BY308" s="26" t="str">
        <f>IFERROR($AC308*HDF_Limited_Col!BY308/HDF_Limited_Col!$AH308," ")</f>
        <v xml:space="preserve"> </v>
      </c>
      <c r="BZ308" s="26" t="str">
        <f>IFERROR($AC308*HDF_Limited_Col!BZ308/HDF_Limited_Col!$AH308," ")</f>
        <v xml:space="preserve"> </v>
      </c>
      <c r="CA308" s="26" t="str">
        <f>IFERROR($AC308*HDF_Limited_Col!CA308/HDF_Limited_Col!$AH308," ")</f>
        <v xml:space="preserve"> </v>
      </c>
      <c r="CB308" s="26" t="str">
        <f>IFERROR($AC308*HDF_Limited_Col!CB308/HDF_Limited_Col!$AH308," ")</f>
        <v xml:space="preserve"> </v>
      </c>
      <c r="CC308" s="26" t="str">
        <f>IFERROR($AC308*HDF_Limited_Col!CC308/HDF_Limited_Col!$AH308," ")</f>
        <v xml:space="preserve"> </v>
      </c>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row>
    <row r="309" spans="1:109">
      <c r="A309" s="26" t="s">
        <v>1656</v>
      </c>
      <c r="B309" s="53" t="s">
        <v>24</v>
      </c>
      <c r="C309" s="157" t="s">
        <v>1722</v>
      </c>
      <c r="D309" s="53" t="s">
        <v>1724</v>
      </c>
      <c r="E309" s="53" t="s">
        <v>237</v>
      </c>
      <c r="F309" s="53" t="s">
        <v>849</v>
      </c>
      <c r="G309" s="53" t="s">
        <v>595</v>
      </c>
      <c r="H309" s="52">
        <v>364</v>
      </c>
      <c r="I309" s="53" t="s">
        <v>1148</v>
      </c>
      <c r="J309" s="53" t="s">
        <v>635</v>
      </c>
      <c r="K309" s="53" t="s">
        <v>128</v>
      </c>
      <c r="L309" s="53"/>
      <c r="M309" s="53" t="s">
        <v>1658</v>
      </c>
      <c r="N309" s="53">
        <v>31</v>
      </c>
      <c r="O309" s="95">
        <v>23.824706357483731</v>
      </c>
      <c r="P309" s="95">
        <v>2.2723564467011794</v>
      </c>
      <c r="Q309" s="95">
        <v>14.314844576135183</v>
      </c>
      <c r="R309" s="95">
        <v>11.612041754067699</v>
      </c>
      <c r="S309" s="95">
        <v>7.0272873373754523</v>
      </c>
      <c r="T309" s="95">
        <v>15.916505507730726</v>
      </c>
      <c r="U309" s="95">
        <v>0</v>
      </c>
      <c r="V309" s="95">
        <v>3.9741211865214456</v>
      </c>
      <c r="W309" s="95">
        <v>16.617232165303779</v>
      </c>
      <c r="X309" s="95">
        <v>3.7739135700720023</v>
      </c>
      <c r="Y309" s="95">
        <v>0.86089275073260529</v>
      </c>
      <c r="Z309" s="95">
        <v>100.19390165212378</v>
      </c>
      <c r="AA309" s="53"/>
      <c r="AB309" s="26"/>
      <c r="AC309" s="26">
        <f t="shared" si="5"/>
        <v>137945.84321448905</v>
      </c>
      <c r="AD309" s="26" t="str">
        <f>IFERROR($AC309*HDF_Limited_Col!AD309/HDF_Limited_Col!$AH309," ")</f>
        <v xml:space="preserve"> </v>
      </c>
      <c r="AE309" s="26" t="str">
        <f>IFERROR($AC309*HDF_Limited_Col!AE309/HDF_Limited_Col!$AH309," ")</f>
        <v xml:space="preserve"> </v>
      </c>
      <c r="AF309" s="26" t="str">
        <f>IFERROR($AC309*HDF_Limited_Col!AF309/HDF_Limited_Col!$AH309," ")</f>
        <v xml:space="preserve"> </v>
      </c>
      <c r="AG309" s="26" t="str">
        <f>IFERROR($AC309*HDF_Limited_Col!AG309/HDF_Limited_Col!$AH309," ")</f>
        <v xml:space="preserve"> </v>
      </c>
      <c r="AH309" s="26" t="str">
        <f>IFERROR($AC309*HDF_Limited_Col!AH309/HDF_Limited_Col!$AH309," ")</f>
        <v xml:space="preserve"> </v>
      </c>
      <c r="AI309" s="26" t="str">
        <f>IFERROR($AC309*HDF_Limited_Col!AI309/HDF_Limited_Col!$AH309," ")</f>
        <v xml:space="preserve"> </v>
      </c>
      <c r="AJ309" s="26" t="str">
        <f>IFERROR($AC309*HDF_Limited_Col!AJ309/HDF_Limited_Col!$AH309," ")</f>
        <v xml:space="preserve"> </v>
      </c>
      <c r="AK309" s="26" t="str">
        <f>IFERROR($AC309*HDF_Limited_Col!AK309/HDF_Limited_Col!$AH309," ")</f>
        <v xml:space="preserve"> </v>
      </c>
      <c r="AL309" s="26" t="str">
        <f>IFERROR($AC309*HDF_Limited_Col!AL309/HDF_Limited_Col!$AH309," ")</f>
        <v xml:space="preserve"> </v>
      </c>
      <c r="AM309" s="26" t="str">
        <f>IFERROR($AC309*HDF_Limited_Col!AM309/HDF_Limited_Col!$AH309," ")</f>
        <v xml:space="preserve"> </v>
      </c>
      <c r="AN309" s="26" t="str">
        <f>IFERROR($AC309*HDF_Limited_Col!AN309/HDF_Limited_Col!$AH309," ")</f>
        <v xml:space="preserve"> </v>
      </c>
      <c r="AO309" s="26" t="str">
        <f>IFERROR($AC309*HDF_Limited_Col!AO309/HDF_Limited_Col!$AH309," ")</f>
        <v xml:space="preserve"> </v>
      </c>
      <c r="AP309" s="26" t="str">
        <f>IFERROR($AC309*HDF_Limited_Col!AP309/HDF_Limited_Col!$AH309," ")</f>
        <v xml:space="preserve"> </v>
      </c>
      <c r="AQ309" s="26" t="str">
        <f>IFERROR($AC309*HDF_Limited_Col!AQ309/HDF_Limited_Col!$AH309," ")</f>
        <v xml:space="preserve"> </v>
      </c>
      <c r="AR309" s="26" t="str">
        <f>IFERROR($AC309*HDF_Limited_Col!AR309/HDF_Limited_Col!$AH309," ")</f>
        <v xml:space="preserve"> </v>
      </c>
      <c r="AS309" s="26" t="str">
        <f>IFERROR($AC309*HDF_Limited_Col!AS309/HDF_Limited_Col!$AH309," ")</f>
        <v xml:space="preserve"> </v>
      </c>
      <c r="AT309" s="26" t="str">
        <f>IFERROR($AC309*HDF_Limited_Col!AT309/HDF_Limited_Col!$AH309," ")</f>
        <v xml:space="preserve"> </v>
      </c>
      <c r="AU309" s="26" t="str">
        <f>IFERROR($AC309*HDF_Limited_Col!AU309/HDF_Limited_Col!$AH309," ")</f>
        <v xml:space="preserve"> </v>
      </c>
      <c r="AV309" s="26" t="str">
        <f>IFERROR($AC309*HDF_Limited_Col!AV309/HDF_Limited_Col!$AH309," ")</f>
        <v xml:space="preserve"> </v>
      </c>
      <c r="AW309" s="26" t="str">
        <f>IFERROR($AC309*HDF_Limited_Col!AW309/HDF_Limited_Col!$AH309," ")</f>
        <v xml:space="preserve"> </v>
      </c>
      <c r="AX309" s="26" t="str">
        <f>IFERROR($AC309*HDF_Limited_Col!AX309/HDF_Limited_Col!$AH309," ")</f>
        <v xml:space="preserve"> </v>
      </c>
      <c r="AY309" s="26" t="str">
        <f>IFERROR($AC309*HDF_Limited_Col!AY309/HDF_Limited_Col!$AH309," ")</f>
        <v xml:space="preserve"> </v>
      </c>
      <c r="AZ309" s="26" t="str">
        <f>IFERROR($AC309*HDF_Limited_Col!AZ309/HDF_Limited_Col!$AH309," ")</f>
        <v xml:space="preserve"> </v>
      </c>
      <c r="BA309" s="26" t="str">
        <f>IFERROR($AC309*HDF_Limited_Col!BA309/HDF_Limited_Col!$AH309," ")</f>
        <v xml:space="preserve"> </v>
      </c>
      <c r="BB309" s="26" t="str">
        <f>IFERROR($AC309*HDF_Limited_Col!BB309/HDF_Limited_Col!$AH309," ")</f>
        <v xml:space="preserve"> </v>
      </c>
      <c r="BC309" s="26" t="str">
        <f>IFERROR($AC309*HDF_Limited_Col!BC309/HDF_Limited_Col!$AH309," ")</f>
        <v xml:space="preserve"> </v>
      </c>
      <c r="BD309" s="26" t="str">
        <f>IFERROR($AC309*HDF_Limited_Col!BD309/HDF_Limited_Col!$AH309," ")</f>
        <v xml:space="preserve"> </v>
      </c>
      <c r="BE309" s="26" t="str">
        <f>IFERROR($AC309*HDF_Limited_Col!BE309/HDF_Limited_Col!$AH309," ")</f>
        <v xml:space="preserve"> </v>
      </c>
      <c r="BF309" s="26" t="str">
        <f>IFERROR($AC309*HDF_Limited_Col!BF309/HDF_Limited_Col!$AH309," ")</f>
        <v xml:space="preserve"> </v>
      </c>
      <c r="BG309" s="26" t="str">
        <f>IFERROR($AC309*HDF_Limited_Col!BG309/HDF_Limited_Col!$AH309," ")</f>
        <v xml:space="preserve"> </v>
      </c>
      <c r="BH309" s="26" t="str">
        <f>IFERROR($AC309*HDF_Limited_Col!BH309/HDF_Limited_Col!$AH309," ")</f>
        <v xml:space="preserve"> </v>
      </c>
      <c r="BI309" s="26" t="str">
        <f>IFERROR($AC309*HDF_Limited_Col!BI309/HDF_Limited_Col!$AH309," ")</f>
        <v xml:space="preserve"> </v>
      </c>
      <c r="BJ309" s="26" t="str">
        <f>IFERROR($AC309*HDF_Limited_Col!BJ309/HDF_Limited_Col!$AH309," ")</f>
        <v xml:space="preserve"> </v>
      </c>
      <c r="BK309" s="26" t="str">
        <f>IFERROR($AC309*HDF_Limited_Col!BK309/HDF_Limited_Col!$AH309," ")</f>
        <v xml:space="preserve"> </v>
      </c>
      <c r="BL309" s="26" t="str">
        <f>IFERROR($AC309*HDF_Limited_Col!BL309/HDF_Limited_Col!$AH309," ")</f>
        <v xml:space="preserve"> </v>
      </c>
      <c r="BM309" s="26" t="str">
        <f>IFERROR($AC309*HDF_Limited_Col!BM309/HDF_Limited_Col!$AH309," ")</f>
        <v xml:space="preserve"> </v>
      </c>
      <c r="BN309" s="26" t="str">
        <f>IFERROR($AC309*HDF_Limited_Col!BN309/HDF_Limited_Col!$AH309," ")</f>
        <v xml:space="preserve"> </v>
      </c>
      <c r="BO309" s="26" t="str">
        <f>IFERROR($AC309*HDF_Limited_Col!BO309/HDF_Limited_Col!$AH309," ")</f>
        <v xml:space="preserve"> </v>
      </c>
      <c r="BP309" s="26" t="str">
        <f>IFERROR($AC309*HDF_Limited_Col!BP309/HDF_Limited_Col!$AH309," ")</f>
        <v xml:space="preserve"> </v>
      </c>
      <c r="BQ309" s="26" t="str">
        <f>IFERROR($AC309*HDF_Limited_Col!BQ309/HDF_Limited_Col!$AH309," ")</f>
        <v xml:space="preserve"> </v>
      </c>
      <c r="BR309" s="26" t="str">
        <f>IFERROR($AC309*HDF_Limited_Col!BR309/HDF_Limited_Col!$AH309," ")</f>
        <v xml:space="preserve"> </v>
      </c>
      <c r="BS309" s="26" t="str">
        <f>IFERROR($AC309*HDF_Limited_Col!BS309/HDF_Limited_Col!$AH309," ")</f>
        <v xml:space="preserve"> </v>
      </c>
      <c r="BT309" s="26" t="str">
        <f>IFERROR($AC309*HDF_Limited_Col!BT309/HDF_Limited_Col!$AH309," ")</f>
        <v xml:space="preserve"> </v>
      </c>
      <c r="BU309" s="26" t="str">
        <f>IFERROR($AC309*HDF_Limited_Col!BU309/HDF_Limited_Col!$AH309," ")</f>
        <v xml:space="preserve"> </v>
      </c>
      <c r="BV309" s="26" t="str">
        <f>IFERROR($AC309*HDF_Limited_Col!BV309/HDF_Limited_Col!$AH309," ")</f>
        <v xml:space="preserve"> </v>
      </c>
      <c r="BW309" s="26" t="str">
        <f>IFERROR($AC309*HDF_Limited_Col!BW309/HDF_Limited_Col!$AH309," ")</f>
        <v xml:space="preserve"> </v>
      </c>
      <c r="BX309" s="26" t="str">
        <f>IFERROR($AC309*HDF_Limited_Col!BX309/HDF_Limited_Col!$AH309," ")</f>
        <v xml:space="preserve"> </v>
      </c>
      <c r="BY309" s="26" t="str">
        <f>IFERROR($AC309*HDF_Limited_Col!BY309/HDF_Limited_Col!$AH309," ")</f>
        <v xml:space="preserve"> </v>
      </c>
      <c r="BZ309" s="26" t="str">
        <f>IFERROR($AC309*HDF_Limited_Col!BZ309/HDF_Limited_Col!$AH309," ")</f>
        <v xml:space="preserve"> </v>
      </c>
      <c r="CA309" s="26" t="str">
        <f>IFERROR($AC309*HDF_Limited_Col!CA309/HDF_Limited_Col!$AH309," ")</f>
        <v xml:space="preserve"> </v>
      </c>
      <c r="CB309" s="26" t="str">
        <f>IFERROR($AC309*HDF_Limited_Col!CB309/HDF_Limited_Col!$AH309," ")</f>
        <v xml:space="preserve"> </v>
      </c>
      <c r="CC309" s="26" t="str">
        <f>IFERROR($AC309*HDF_Limited_Col!CC309/HDF_Limited_Col!$AH309," ")</f>
        <v xml:space="preserve"> </v>
      </c>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row>
    <row r="310" spans="1:109">
      <c r="A310" s="26" t="s">
        <v>1656</v>
      </c>
      <c r="B310" s="53" t="s">
        <v>24</v>
      </c>
      <c r="C310" s="157" t="s">
        <v>1722</v>
      </c>
      <c r="D310" s="53" t="s">
        <v>1724</v>
      </c>
      <c r="E310" s="53" t="s">
        <v>237</v>
      </c>
      <c r="F310" s="53" t="s">
        <v>849</v>
      </c>
      <c r="G310" s="53" t="s">
        <v>595</v>
      </c>
      <c r="H310" s="52">
        <v>364</v>
      </c>
      <c r="I310" s="53" t="s">
        <v>1148</v>
      </c>
      <c r="J310" s="53" t="s">
        <v>635</v>
      </c>
      <c r="K310" s="53" t="s">
        <v>128</v>
      </c>
      <c r="L310" s="53"/>
      <c r="M310" s="53" t="s">
        <v>1666</v>
      </c>
      <c r="N310" s="53">
        <v>27</v>
      </c>
      <c r="O310" s="95">
        <v>36.365986904403542</v>
      </c>
      <c r="P310" s="95">
        <v>1.4626540187446053</v>
      </c>
      <c r="Q310" s="95">
        <v>10.519087121108463</v>
      </c>
      <c r="R310" s="95">
        <v>7.954433499200114</v>
      </c>
      <c r="S310" s="95">
        <v>5.0090891052897444</v>
      </c>
      <c r="T310" s="95">
        <v>7.2130883116172315</v>
      </c>
      <c r="U310" s="95">
        <v>0</v>
      </c>
      <c r="V310" s="95">
        <v>5.6702888671879901</v>
      </c>
      <c r="W310" s="95">
        <v>20.637447113793748</v>
      </c>
      <c r="X310" s="95">
        <v>4.5081801947607696</v>
      </c>
      <c r="Y310" s="95">
        <v>0.85154514789925662</v>
      </c>
      <c r="Z310" s="95">
        <v>100.19180028400547</v>
      </c>
      <c r="AA310" s="53"/>
      <c r="AB310" s="26"/>
      <c r="AC310" s="26">
        <f t="shared" si="5"/>
        <v>171319.14723144018</v>
      </c>
      <c r="AD310" s="26" t="str">
        <f>IFERROR($AC310*HDF_Limited_Col!AD310/HDF_Limited_Col!$AH310," ")</f>
        <v xml:space="preserve"> </v>
      </c>
      <c r="AE310" s="26" t="str">
        <f>IFERROR($AC310*HDF_Limited_Col!AE310/HDF_Limited_Col!$AH310," ")</f>
        <v xml:space="preserve"> </v>
      </c>
      <c r="AF310" s="26" t="str">
        <f>IFERROR($AC310*HDF_Limited_Col!AF310/HDF_Limited_Col!$AH310," ")</f>
        <v xml:space="preserve"> </v>
      </c>
      <c r="AG310" s="26" t="str">
        <f>IFERROR($AC310*HDF_Limited_Col!AG310/HDF_Limited_Col!$AH310," ")</f>
        <v xml:space="preserve"> </v>
      </c>
      <c r="AH310" s="26" t="str">
        <f>IFERROR($AC310*HDF_Limited_Col!AH310/HDF_Limited_Col!$AH310," ")</f>
        <v xml:space="preserve"> </v>
      </c>
      <c r="AI310" s="26" t="str">
        <f>IFERROR($AC310*HDF_Limited_Col!AI310/HDF_Limited_Col!$AH310," ")</f>
        <v xml:space="preserve"> </v>
      </c>
      <c r="AJ310" s="26" t="str">
        <f>IFERROR($AC310*HDF_Limited_Col!AJ310/HDF_Limited_Col!$AH310," ")</f>
        <v xml:space="preserve"> </v>
      </c>
      <c r="AK310" s="26" t="str">
        <f>IFERROR($AC310*HDF_Limited_Col!AK310/HDF_Limited_Col!$AH310," ")</f>
        <v xml:space="preserve"> </v>
      </c>
      <c r="AL310" s="26" t="str">
        <f>IFERROR($AC310*HDF_Limited_Col!AL310/HDF_Limited_Col!$AH310," ")</f>
        <v xml:space="preserve"> </v>
      </c>
      <c r="AM310" s="26" t="str">
        <f>IFERROR($AC310*HDF_Limited_Col!AM310/HDF_Limited_Col!$AH310," ")</f>
        <v xml:space="preserve"> </v>
      </c>
      <c r="AN310" s="26" t="str">
        <f>IFERROR($AC310*HDF_Limited_Col!AN310/HDF_Limited_Col!$AH310," ")</f>
        <v xml:space="preserve"> </v>
      </c>
      <c r="AO310" s="26" t="str">
        <f>IFERROR($AC310*HDF_Limited_Col!AO310/HDF_Limited_Col!$AH310," ")</f>
        <v xml:space="preserve"> </v>
      </c>
      <c r="AP310" s="26" t="str">
        <f>IFERROR($AC310*HDF_Limited_Col!AP310/HDF_Limited_Col!$AH310," ")</f>
        <v xml:space="preserve"> </v>
      </c>
      <c r="AQ310" s="26" t="str">
        <f>IFERROR($AC310*HDF_Limited_Col!AQ310/HDF_Limited_Col!$AH310," ")</f>
        <v xml:space="preserve"> </v>
      </c>
      <c r="AR310" s="26" t="str">
        <f>IFERROR($AC310*HDF_Limited_Col!AR310/HDF_Limited_Col!$AH310," ")</f>
        <v xml:space="preserve"> </v>
      </c>
      <c r="AS310" s="26" t="str">
        <f>IFERROR($AC310*HDF_Limited_Col!AS310/HDF_Limited_Col!$AH310," ")</f>
        <v xml:space="preserve"> </v>
      </c>
      <c r="AT310" s="26" t="str">
        <f>IFERROR($AC310*HDF_Limited_Col!AT310/HDF_Limited_Col!$AH310," ")</f>
        <v xml:space="preserve"> </v>
      </c>
      <c r="AU310" s="26" t="str">
        <f>IFERROR($AC310*HDF_Limited_Col!AU310/HDF_Limited_Col!$AH310," ")</f>
        <v xml:space="preserve"> </v>
      </c>
      <c r="AV310" s="26" t="str">
        <f>IFERROR($AC310*HDF_Limited_Col!AV310/HDF_Limited_Col!$AH310," ")</f>
        <v xml:space="preserve"> </v>
      </c>
      <c r="AW310" s="26" t="str">
        <f>IFERROR($AC310*HDF_Limited_Col!AW310/HDF_Limited_Col!$AH310," ")</f>
        <v xml:space="preserve"> </v>
      </c>
      <c r="AX310" s="26" t="str">
        <f>IFERROR($AC310*HDF_Limited_Col!AX310/HDF_Limited_Col!$AH310," ")</f>
        <v xml:space="preserve"> </v>
      </c>
      <c r="AY310" s="26" t="str">
        <f>IFERROR($AC310*HDF_Limited_Col!AY310/HDF_Limited_Col!$AH310," ")</f>
        <v xml:space="preserve"> </v>
      </c>
      <c r="AZ310" s="26" t="str">
        <f>IFERROR($AC310*HDF_Limited_Col!AZ310/HDF_Limited_Col!$AH310," ")</f>
        <v xml:space="preserve"> </v>
      </c>
      <c r="BA310" s="26" t="str">
        <f>IFERROR($AC310*HDF_Limited_Col!BA310/HDF_Limited_Col!$AH310," ")</f>
        <v xml:space="preserve"> </v>
      </c>
      <c r="BB310" s="26" t="str">
        <f>IFERROR($AC310*HDF_Limited_Col!BB310/HDF_Limited_Col!$AH310," ")</f>
        <v xml:space="preserve"> </v>
      </c>
      <c r="BC310" s="26" t="str">
        <f>IFERROR($AC310*HDF_Limited_Col!BC310/HDF_Limited_Col!$AH310," ")</f>
        <v xml:space="preserve"> </v>
      </c>
      <c r="BD310" s="26" t="str">
        <f>IFERROR($AC310*HDF_Limited_Col!BD310/HDF_Limited_Col!$AH310," ")</f>
        <v xml:space="preserve"> </v>
      </c>
      <c r="BE310" s="26" t="str">
        <f>IFERROR($AC310*HDF_Limited_Col!BE310/HDF_Limited_Col!$AH310," ")</f>
        <v xml:space="preserve"> </v>
      </c>
      <c r="BF310" s="26" t="str">
        <f>IFERROR($AC310*HDF_Limited_Col!BF310/HDF_Limited_Col!$AH310," ")</f>
        <v xml:space="preserve"> </v>
      </c>
      <c r="BG310" s="26" t="str">
        <f>IFERROR($AC310*HDF_Limited_Col!BG310/HDF_Limited_Col!$AH310," ")</f>
        <v xml:space="preserve"> </v>
      </c>
      <c r="BH310" s="26" t="str">
        <f>IFERROR($AC310*HDF_Limited_Col!BH310/HDF_Limited_Col!$AH310," ")</f>
        <v xml:space="preserve"> </v>
      </c>
      <c r="BI310" s="26" t="str">
        <f>IFERROR($AC310*HDF_Limited_Col!BI310/HDF_Limited_Col!$AH310," ")</f>
        <v xml:space="preserve"> </v>
      </c>
      <c r="BJ310" s="26" t="str">
        <f>IFERROR($AC310*HDF_Limited_Col!BJ310/HDF_Limited_Col!$AH310," ")</f>
        <v xml:space="preserve"> </v>
      </c>
      <c r="BK310" s="26" t="str">
        <f>IFERROR($AC310*HDF_Limited_Col!BK310/HDF_Limited_Col!$AH310," ")</f>
        <v xml:space="preserve"> </v>
      </c>
      <c r="BL310" s="26" t="str">
        <f>IFERROR($AC310*HDF_Limited_Col!BL310/HDF_Limited_Col!$AH310," ")</f>
        <v xml:space="preserve"> </v>
      </c>
      <c r="BM310" s="26" t="str">
        <f>IFERROR($AC310*HDF_Limited_Col!BM310/HDF_Limited_Col!$AH310," ")</f>
        <v xml:space="preserve"> </v>
      </c>
      <c r="BN310" s="26" t="str">
        <f>IFERROR($AC310*HDF_Limited_Col!BN310/HDF_Limited_Col!$AH310," ")</f>
        <v xml:space="preserve"> </v>
      </c>
      <c r="BO310" s="26" t="str">
        <f>IFERROR($AC310*HDF_Limited_Col!BO310/HDF_Limited_Col!$AH310," ")</f>
        <v xml:space="preserve"> </v>
      </c>
      <c r="BP310" s="26" t="str">
        <f>IFERROR($AC310*HDF_Limited_Col!BP310/HDF_Limited_Col!$AH310," ")</f>
        <v xml:space="preserve"> </v>
      </c>
      <c r="BQ310" s="26" t="str">
        <f>IFERROR($AC310*HDF_Limited_Col!BQ310/HDF_Limited_Col!$AH310," ")</f>
        <v xml:space="preserve"> </v>
      </c>
      <c r="BR310" s="26" t="str">
        <f>IFERROR($AC310*HDF_Limited_Col!BR310/HDF_Limited_Col!$AH310," ")</f>
        <v xml:space="preserve"> </v>
      </c>
      <c r="BS310" s="26" t="str">
        <f>IFERROR($AC310*HDF_Limited_Col!BS310/HDF_Limited_Col!$AH310," ")</f>
        <v xml:space="preserve"> </v>
      </c>
      <c r="BT310" s="26" t="str">
        <f>IFERROR($AC310*HDF_Limited_Col!BT310/HDF_Limited_Col!$AH310," ")</f>
        <v xml:space="preserve"> </v>
      </c>
      <c r="BU310" s="26" t="str">
        <f>IFERROR($AC310*HDF_Limited_Col!BU310/HDF_Limited_Col!$AH310," ")</f>
        <v xml:space="preserve"> </v>
      </c>
      <c r="BV310" s="26" t="str">
        <f>IFERROR($AC310*HDF_Limited_Col!BV310/HDF_Limited_Col!$AH310," ")</f>
        <v xml:space="preserve"> </v>
      </c>
      <c r="BW310" s="26" t="str">
        <f>IFERROR($AC310*HDF_Limited_Col!BW310/HDF_Limited_Col!$AH310," ")</f>
        <v xml:space="preserve"> </v>
      </c>
      <c r="BX310" s="26" t="str">
        <f>IFERROR($AC310*HDF_Limited_Col!BX310/HDF_Limited_Col!$AH310," ")</f>
        <v xml:space="preserve"> </v>
      </c>
      <c r="BY310" s="26" t="str">
        <f>IFERROR($AC310*HDF_Limited_Col!BY310/HDF_Limited_Col!$AH310," ")</f>
        <v xml:space="preserve"> </v>
      </c>
      <c r="BZ310" s="26" t="str">
        <f>IFERROR($AC310*HDF_Limited_Col!BZ310/HDF_Limited_Col!$AH310," ")</f>
        <v xml:space="preserve"> </v>
      </c>
      <c r="CA310" s="26" t="str">
        <f>IFERROR($AC310*HDF_Limited_Col!CA310/HDF_Limited_Col!$AH310," ")</f>
        <v xml:space="preserve"> </v>
      </c>
      <c r="CB310" s="26" t="str">
        <f>IFERROR($AC310*HDF_Limited_Col!CB310/HDF_Limited_Col!$AH310," ")</f>
        <v xml:space="preserve"> </v>
      </c>
      <c r="CC310" s="26" t="str">
        <f>IFERROR($AC310*HDF_Limited_Col!CC310/HDF_Limited_Col!$AH310," ")</f>
        <v xml:space="preserve"> </v>
      </c>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row>
    <row r="311" spans="1:109">
      <c r="A311" s="26" t="s">
        <v>1656</v>
      </c>
      <c r="B311" s="53" t="s">
        <v>24</v>
      </c>
      <c r="C311" s="157" t="s">
        <v>1722</v>
      </c>
      <c r="D311" s="53" t="s">
        <v>1724</v>
      </c>
      <c r="E311" s="53" t="s">
        <v>237</v>
      </c>
      <c r="F311" s="53" t="s">
        <v>849</v>
      </c>
      <c r="G311" s="53" t="s">
        <v>595</v>
      </c>
      <c r="H311" s="52">
        <v>364</v>
      </c>
      <c r="I311" s="53" t="s">
        <v>1148</v>
      </c>
      <c r="J311" s="53" t="s">
        <v>635</v>
      </c>
      <c r="K311" s="53" t="s">
        <v>1667</v>
      </c>
      <c r="L311" s="53"/>
      <c r="M311" s="53" t="s">
        <v>1673</v>
      </c>
      <c r="N311" s="53">
        <v>28</v>
      </c>
      <c r="O311" s="95">
        <v>32.474257435278737</v>
      </c>
      <c r="P311" s="95">
        <v>0.42226588615532723</v>
      </c>
      <c r="Q311" s="95">
        <v>6.2736645943077178</v>
      </c>
      <c r="R311" s="95">
        <v>8.7972059615693183</v>
      </c>
      <c r="S311" s="95">
        <v>10.958805140697779</v>
      </c>
      <c r="T311" s="95">
        <v>6.5250133360668423</v>
      </c>
      <c r="U311" s="95">
        <v>0</v>
      </c>
      <c r="V311" s="95">
        <v>5.2582156776008615</v>
      </c>
      <c r="W311" s="95">
        <v>19.504662360507972</v>
      </c>
      <c r="X311" s="95">
        <v>8.8977454582729667</v>
      </c>
      <c r="Y311" s="95">
        <v>1.1461502624216022</v>
      </c>
      <c r="Z311" s="95">
        <v>100.25798611287911</v>
      </c>
      <c r="AA311" s="53"/>
      <c r="AB311" s="26"/>
      <c r="AC311" s="26">
        <f t="shared" si="5"/>
        <v>161915.47841234558</v>
      </c>
      <c r="AD311" s="26" t="str">
        <f>IFERROR($AC311*HDF_Limited_Col!AD311/HDF_Limited_Col!$AH311," ")</f>
        <v xml:space="preserve"> </v>
      </c>
      <c r="AE311" s="26" t="str">
        <f>IFERROR($AC311*HDF_Limited_Col!AE311/HDF_Limited_Col!$AH311," ")</f>
        <v xml:space="preserve"> </v>
      </c>
      <c r="AF311" s="26" t="str">
        <f>IFERROR($AC311*HDF_Limited_Col!AF311/HDF_Limited_Col!$AH311," ")</f>
        <v xml:space="preserve"> </v>
      </c>
      <c r="AG311" s="26" t="str">
        <f>IFERROR($AC311*HDF_Limited_Col!AG311/HDF_Limited_Col!$AH311," ")</f>
        <v xml:space="preserve"> </v>
      </c>
      <c r="AH311" s="26" t="str">
        <f>IFERROR($AC311*HDF_Limited_Col!AH311/HDF_Limited_Col!$AH311," ")</f>
        <v xml:space="preserve"> </v>
      </c>
      <c r="AI311" s="26" t="str">
        <f>IFERROR($AC311*HDF_Limited_Col!AI311/HDF_Limited_Col!$AH311," ")</f>
        <v xml:space="preserve"> </v>
      </c>
      <c r="AJ311" s="26" t="str">
        <f>IFERROR($AC311*HDF_Limited_Col!AJ311/HDF_Limited_Col!$AH311," ")</f>
        <v xml:space="preserve"> </v>
      </c>
      <c r="AK311" s="26" t="str">
        <f>IFERROR($AC311*HDF_Limited_Col!AK311/HDF_Limited_Col!$AH311," ")</f>
        <v xml:space="preserve"> </v>
      </c>
      <c r="AL311" s="26" t="str">
        <f>IFERROR($AC311*HDF_Limited_Col!AL311/HDF_Limited_Col!$AH311," ")</f>
        <v xml:space="preserve"> </v>
      </c>
      <c r="AM311" s="26" t="str">
        <f>IFERROR($AC311*HDF_Limited_Col!AM311/HDF_Limited_Col!$AH311," ")</f>
        <v xml:space="preserve"> </v>
      </c>
      <c r="AN311" s="26" t="str">
        <f>IFERROR($AC311*HDF_Limited_Col!AN311/HDF_Limited_Col!$AH311," ")</f>
        <v xml:space="preserve"> </v>
      </c>
      <c r="AO311" s="26" t="str">
        <f>IFERROR($AC311*HDF_Limited_Col!AO311/HDF_Limited_Col!$AH311," ")</f>
        <v xml:space="preserve"> </v>
      </c>
      <c r="AP311" s="26" t="str">
        <f>IFERROR($AC311*HDF_Limited_Col!AP311/HDF_Limited_Col!$AH311," ")</f>
        <v xml:space="preserve"> </v>
      </c>
      <c r="AQ311" s="26" t="str">
        <f>IFERROR($AC311*HDF_Limited_Col!AQ311/HDF_Limited_Col!$AH311," ")</f>
        <v xml:space="preserve"> </v>
      </c>
      <c r="AR311" s="26" t="str">
        <f>IFERROR($AC311*HDF_Limited_Col!AR311/HDF_Limited_Col!$AH311," ")</f>
        <v xml:space="preserve"> </v>
      </c>
      <c r="AS311" s="26" t="str">
        <f>IFERROR($AC311*HDF_Limited_Col!AS311/HDF_Limited_Col!$AH311," ")</f>
        <v xml:space="preserve"> </v>
      </c>
      <c r="AT311" s="26" t="str">
        <f>IFERROR($AC311*HDF_Limited_Col!AT311/HDF_Limited_Col!$AH311," ")</f>
        <v xml:space="preserve"> </v>
      </c>
      <c r="AU311" s="26" t="str">
        <f>IFERROR($AC311*HDF_Limited_Col!AU311/HDF_Limited_Col!$AH311," ")</f>
        <v xml:space="preserve"> </v>
      </c>
      <c r="AV311" s="26" t="str">
        <f>IFERROR($AC311*HDF_Limited_Col!AV311/HDF_Limited_Col!$AH311," ")</f>
        <v xml:space="preserve"> </v>
      </c>
      <c r="AW311" s="26" t="str">
        <f>IFERROR($AC311*HDF_Limited_Col!AW311/HDF_Limited_Col!$AH311," ")</f>
        <v xml:space="preserve"> </v>
      </c>
      <c r="AX311" s="26" t="str">
        <f>IFERROR($AC311*HDF_Limited_Col!AX311/HDF_Limited_Col!$AH311," ")</f>
        <v xml:space="preserve"> </v>
      </c>
      <c r="AY311" s="26" t="str">
        <f>IFERROR($AC311*HDF_Limited_Col!AY311/HDF_Limited_Col!$AH311," ")</f>
        <v xml:space="preserve"> </v>
      </c>
      <c r="AZ311" s="26" t="str">
        <f>IFERROR($AC311*HDF_Limited_Col!AZ311/HDF_Limited_Col!$AH311," ")</f>
        <v xml:space="preserve"> </v>
      </c>
      <c r="BA311" s="26" t="str">
        <f>IFERROR($AC311*HDF_Limited_Col!BA311/HDF_Limited_Col!$AH311," ")</f>
        <v xml:space="preserve"> </v>
      </c>
      <c r="BB311" s="26" t="str">
        <f>IFERROR($AC311*HDF_Limited_Col!BB311/HDF_Limited_Col!$AH311," ")</f>
        <v xml:space="preserve"> </v>
      </c>
      <c r="BC311" s="26" t="str">
        <f>IFERROR($AC311*HDF_Limited_Col!BC311/HDF_Limited_Col!$AH311," ")</f>
        <v xml:space="preserve"> </v>
      </c>
      <c r="BD311" s="26" t="str">
        <f>IFERROR($AC311*HDF_Limited_Col!BD311/HDF_Limited_Col!$AH311," ")</f>
        <v xml:space="preserve"> </v>
      </c>
      <c r="BE311" s="26" t="str">
        <f>IFERROR($AC311*HDF_Limited_Col!BE311/HDF_Limited_Col!$AH311," ")</f>
        <v xml:space="preserve"> </v>
      </c>
      <c r="BF311" s="26" t="str">
        <f>IFERROR($AC311*HDF_Limited_Col!BF311/HDF_Limited_Col!$AH311," ")</f>
        <v xml:space="preserve"> </v>
      </c>
      <c r="BG311" s="26" t="str">
        <f>IFERROR($AC311*HDF_Limited_Col!BG311/HDF_Limited_Col!$AH311," ")</f>
        <v xml:space="preserve"> </v>
      </c>
      <c r="BH311" s="26" t="str">
        <f>IFERROR($AC311*HDF_Limited_Col!BH311/HDF_Limited_Col!$AH311," ")</f>
        <v xml:space="preserve"> </v>
      </c>
      <c r="BI311" s="26" t="str">
        <f>IFERROR($AC311*HDF_Limited_Col!BI311/HDF_Limited_Col!$AH311," ")</f>
        <v xml:space="preserve"> </v>
      </c>
      <c r="BJ311" s="26" t="str">
        <f>IFERROR($AC311*HDF_Limited_Col!BJ311/HDF_Limited_Col!$AH311," ")</f>
        <v xml:space="preserve"> </v>
      </c>
      <c r="BK311" s="26" t="str">
        <f>IFERROR($AC311*HDF_Limited_Col!BK311/HDF_Limited_Col!$AH311," ")</f>
        <v xml:space="preserve"> </v>
      </c>
      <c r="BL311" s="26" t="str">
        <f>IFERROR($AC311*HDF_Limited_Col!BL311/HDF_Limited_Col!$AH311," ")</f>
        <v xml:space="preserve"> </v>
      </c>
      <c r="BM311" s="26" t="str">
        <f>IFERROR($AC311*HDF_Limited_Col!BM311/HDF_Limited_Col!$AH311," ")</f>
        <v xml:space="preserve"> </v>
      </c>
      <c r="BN311" s="26" t="str">
        <f>IFERROR($AC311*HDF_Limited_Col!BN311/HDF_Limited_Col!$AH311," ")</f>
        <v xml:space="preserve"> </v>
      </c>
      <c r="BO311" s="26" t="str">
        <f>IFERROR($AC311*HDF_Limited_Col!BO311/HDF_Limited_Col!$AH311," ")</f>
        <v xml:space="preserve"> </v>
      </c>
      <c r="BP311" s="26" t="str">
        <f>IFERROR($AC311*HDF_Limited_Col!BP311/HDF_Limited_Col!$AH311," ")</f>
        <v xml:space="preserve"> </v>
      </c>
      <c r="BQ311" s="26" t="str">
        <f>IFERROR($AC311*HDF_Limited_Col!BQ311/HDF_Limited_Col!$AH311," ")</f>
        <v xml:space="preserve"> </v>
      </c>
      <c r="BR311" s="26" t="str">
        <f>IFERROR($AC311*HDF_Limited_Col!BR311/HDF_Limited_Col!$AH311," ")</f>
        <v xml:space="preserve"> </v>
      </c>
      <c r="BS311" s="26" t="str">
        <f>IFERROR($AC311*HDF_Limited_Col!BS311/HDF_Limited_Col!$AH311," ")</f>
        <v xml:space="preserve"> </v>
      </c>
      <c r="BT311" s="26" t="str">
        <f>IFERROR($AC311*HDF_Limited_Col!BT311/HDF_Limited_Col!$AH311," ")</f>
        <v xml:space="preserve"> </v>
      </c>
      <c r="BU311" s="26" t="str">
        <f>IFERROR($AC311*HDF_Limited_Col!BU311/HDF_Limited_Col!$AH311," ")</f>
        <v xml:space="preserve"> </v>
      </c>
      <c r="BV311" s="26" t="str">
        <f>IFERROR($AC311*HDF_Limited_Col!BV311/HDF_Limited_Col!$AH311," ")</f>
        <v xml:space="preserve"> </v>
      </c>
      <c r="BW311" s="26" t="str">
        <f>IFERROR($AC311*HDF_Limited_Col!BW311/HDF_Limited_Col!$AH311," ")</f>
        <v xml:space="preserve"> </v>
      </c>
      <c r="BX311" s="26" t="str">
        <f>IFERROR($AC311*HDF_Limited_Col!BX311/HDF_Limited_Col!$AH311," ")</f>
        <v xml:space="preserve"> </v>
      </c>
      <c r="BY311" s="26" t="str">
        <f>IFERROR($AC311*HDF_Limited_Col!BY311/HDF_Limited_Col!$AH311," ")</f>
        <v xml:space="preserve"> </v>
      </c>
      <c r="BZ311" s="26" t="str">
        <f>IFERROR($AC311*HDF_Limited_Col!BZ311/HDF_Limited_Col!$AH311," ")</f>
        <v xml:space="preserve"> </v>
      </c>
      <c r="CA311" s="26" t="str">
        <f>IFERROR($AC311*HDF_Limited_Col!CA311/HDF_Limited_Col!$AH311," ")</f>
        <v xml:space="preserve"> </v>
      </c>
      <c r="CB311" s="26" t="str">
        <f>IFERROR($AC311*HDF_Limited_Col!CB311/HDF_Limited_Col!$AH311," ")</f>
        <v xml:space="preserve"> </v>
      </c>
      <c r="CC311" s="26" t="str">
        <f>IFERROR($AC311*HDF_Limited_Col!CC311/HDF_Limited_Col!$AH311," ")</f>
        <v xml:space="preserve"> </v>
      </c>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row>
    <row r="312" spans="1:109">
      <c r="A312" s="26" t="s">
        <v>1656</v>
      </c>
      <c r="B312" s="53" t="s">
        <v>24</v>
      </c>
      <c r="C312" s="157" t="s">
        <v>1722</v>
      </c>
      <c r="D312" s="53" t="s">
        <v>1724</v>
      </c>
      <c r="E312" s="53" t="s">
        <v>237</v>
      </c>
      <c r="F312" s="53" t="s">
        <v>849</v>
      </c>
      <c r="G312" s="53" t="s">
        <v>595</v>
      </c>
      <c r="H312" s="52">
        <v>364</v>
      </c>
      <c r="I312" s="53" t="s">
        <v>1148</v>
      </c>
      <c r="J312" s="53" t="s">
        <v>635</v>
      </c>
      <c r="K312" s="53" t="s">
        <v>1667</v>
      </c>
      <c r="L312" s="53"/>
      <c r="M312" s="53" t="s">
        <v>1674</v>
      </c>
      <c r="N312" s="53">
        <v>28</v>
      </c>
      <c r="O312" s="95">
        <v>23.546792316055217</v>
      </c>
      <c r="P312" s="95">
        <v>1.7735243574220312</v>
      </c>
      <c r="Q312" s="95">
        <v>4.8696770491926964</v>
      </c>
      <c r="R312" s="95">
        <v>15.430663900734059</v>
      </c>
      <c r="S312" s="95">
        <v>7.4047146900275758</v>
      </c>
      <c r="T312" s="95">
        <v>17.033849760550581</v>
      </c>
      <c r="U312" s="95">
        <v>0</v>
      </c>
      <c r="V312" s="95">
        <v>8.2864669129266648</v>
      </c>
      <c r="W312" s="95">
        <v>18.837433852844175</v>
      </c>
      <c r="X312" s="95">
        <v>2.3045796734862551</v>
      </c>
      <c r="Y312" s="95">
        <v>0.66131416717431679</v>
      </c>
      <c r="Z312" s="95">
        <v>100.14901668041357</v>
      </c>
      <c r="AA312" s="53"/>
      <c r="AB312" s="26"/>
      <c r="AC312" s="26">
        <f t="shared" si="5"/>
        <v>156376.56566256724</v>
      </c>
      <c r="AD312" s="26" t="str">
        <f>IFERROR($AC312*HDF_Limited_Col!AD312/HDF_Limited_Col!$AH312," ")</f>
        <v xml:space="preserve"> </v>
      </c>
      <c r="AE312" s="26" t="str">
        <f>IFERROR($AC312*HDF_Limited_Col!AE312/HDF_Limited_Col!$AH312," ")</f>
        <v xml:space="preserve"> </v>
      </c>
      <c r="AF312" s="26" t="str">
        <f>IFERROR($AC312*HDF_Limited_Col!AF312/HDF_Limited_Col!$AH312," ")</f>
        <v xml:space="preserve"> </v>
      </c>
      <c r="AG312" s="26" t="str">
        <f>IFERROR($AC312*HDF_Limited_Col!AG312/HDF_Limited_Col!$AH312," ")</f>
        <v xml:space="preserve"> </v>
      </c>
      <c r="AH312" s="26" t="str">
        <f>IFERROR($AC312*HDF_Limited_Col!AH312/HDF_Limited_Col!$AH312," ")</f>
        <v xml:space="preserve"> </v>
      </c>
      <c r="AI312" s="26" t="str">
        <f>IFERROR($AC312*HDF_Limited_Col!AI312/HDF_Limited_Col!$AH312," ")</f>
        <v xml:space="preserve"> </v>
      </c>
      <c r="AJ312" s="26" t="str">
        <f>IFERROR($AC312*HDF_Limited_Col!AJ312/HDF_Limited_Col!$AH312," ")</f>
        <v xml:space="preserve"> </v>
      </c>
      <c r="AK312" s="26" t="str">
        <f>IFERROR($AC312*HDF_Limited_Col!AK312/HDF_Limited_Col!$AH312," ")</f>
        <v xml:space="preserve"> </v>
      </c>
      <c r="AL312" s="26" t="str">
        <f>IFERROR($AC312*HDF_Limited_Col!AL312/HDF_Limited_Col!$AH312," ")</f>
        <v xml:space="preserve"> </v>
      </c>
      <c r="AM312" s="26" t="str">
        <f>IFERROR($AC312*HDF_Limited_Col!AM312/HDF_Limited_Col!$AH312," ")</f>
        <v xml:space="preserve"> </v>
      </c>
      <c r="AN312" s="26" t="str">
        <f>IFERROR($AC312*HDF_Limited_Col!AN312/HDF_Limited_Col!$AH312," ")</f>
        <v xml:space="preserve"> </v>
      </c>
      <c r="AO312" s="26" t="str">
        <f>IFERROR($AC312*HDF_Limited_Col!AO312/HDF_Limited_Col!$AH312," ")</f>
        <v xml:space="preserve"> </v>
      </c>
      <c r="AP312" s="26" t="str">
        <f>IFERROR($AC312*HDF_Limited_Col!AP312/HDF_Limited_Col!$AH312," ")</f>
        <v xml:space="preserve"> </v>
      </c>
      <c r="AQ312" s="26" t="str">
        <f>IFERROR($AC312*HDF_Limited_Col!AQ312/HDF_Limited_Col!$AH312," ")</f>
        <v xml:space="preserve"> </v>
      </c>
      <c r="AR312" s="26" t="str">
        <f>IFERROR($AC312*HDF_Limited_Col!AR312/HDF_Limited_Col!$AH312," ")</f>
        <v xml:space="preserve"> </v>
      </c>
      <c r="AS312" s="26" t="str">
        <f>IFERROR($AC312*HDF_Limited_Col!AS312/HDF_Limited_Col!$AH312," ")</f>
        <v xml:space="preserve"> </v>
      </c>
      <c r="AT312" s="26" t="str">
        <f>IFERROR($AC312*HDF_Limited_Col!AT312/HDF_Limited_Col!$AH312," ")</f>
        <v xml:space="preserve"> </v>
      </c>
      <c r="AU312" s="26" t="str">
        <f>IFERROR($AC312*HDF_Limited_Col!AU312/HDF_Limited_Col!$AH312," ")</f>
        <v xml:space="preserve"> </v>
      </c>
      <c r="AV312" s="26" t="str">
        <f>IFERROR($AC312*HDF_Limited_Col!AV312/HDF_Limited_Col!$AH312," ")</f>
        <v xml:space="preserve"> </v>
      </c>
      <c r="AW312" s="26" t="str">
        <f>IFERROR($AC312*HDF_Limited_Col!AW312/HDF_Limited_Col!$AH312," ")</f>
        <v xml:space="preserve"> </v>
      </c>
      <c r="AX312" s="26" t="str">
        <f>IFERROR($AC312*HDF_Limited_Col!AX312/HDF_Limited_Col!$AH312," ")</f>
        <v xml:space="preserve"> </v>
      </c>
      <c r="AY312" s="26" t="str">
        <f>IFERROR($AC312*HDF_Limited_Col!AY312/HDF_Limited_Col!$AH312," ")</f>
        <v xml:space="preserve"> </v>
      </c>
      <c r="AZ312" s="26" t="str">
        <f>IFERROR($AC312*HDF_Limited_Col!AZ312/HDF_Limited_Col!$AH312," ")</f>
        <v xml:space="preserve"> </v>
      </c>
      <c r="BA312" s="26" t="str">
        <f>IFERROR($AC312*HDF_Limited_Col!BA312/HDF_Limited_Col!$AH312," ")</f>
        <v xml:space="preserve"> </v>
      </c>
      <c r="BB312" s="26" t="str">
        <f>IFERROR($AC312*HDF_Limited_Col!BB312/HDF_Limited_Col!$AH312," ")</f>
        <v xml:space="preserve"> </v>
      </c>
      <c r="BC312" s="26" t="str">
        <f>IFERROR($AC312*HDF_Limited_Col!BC312/HDF_Limited_Col!$AH312," ")</f>
        <v xml:space="preserve"> </v>
      </c>
      <c r="BD312" s="26" t="str">
        <f>IFERROR($AC312*HDF_Limited_Col!BD312/HDF_Limited_Col!$AH312," ")</f>
        <v xml:space="preserve"> </v>
      </c>
      <c r="BE312" s="26" t="str">
        <f>IFERROR($AC312*HDF_Limited_Col!BE312/HDF_Limited_Col!$AH312," ")</f>
        <v xml:space="preserve"> </v>
      </c>
      <c r="BF312" s="26" t="str">
        <f>IFERROR($AC312*HDF_Limited_Col!BF312/HDF_Limited_Col!$AH312," ")</f>
        <v xml:space="preserve"> </v>
      </c>
      <c r="BG312" s="26" t="str">
        <f>IFERROR($AC312*HDF_Limited_Col!BG312/HDF_Limited_Col!$AH312," ")</f>
        <v xml:space="preserve"> </v>
      </c>
      <c r="BH312" s="26" t="str">
        <f>IFERROR($AC312*HDF_Limited_Col!BH312/HDF_Limited_Col!$AH312," ")</f>
        <v xml:space="preserve"> </v>
      </c>
      <c r="BI312" s="26" t="str">
        <f>IFERROR($AC312*HDF_Limited_Col!BI312/HDF_Limited_Col!$AH312," ")</f>
        <v xml:space="preserve"> </v>
      </c>
      <c r="BJ312" s="26" t="str">
        <f>IFERROR($AC312*HDF_Limited_Col!BJ312/HDF_Limited_Col!$AH312," ")</f>
        <v xml:space="preserve"> </v>
      </c>
      <c r="BK312" s="26" t="str">
        <f>IFERROR($AC312*HDF_Limited_Col!BK312/HDF_Limited_Col!$AH312," ")</f>
        <v xml:space="preserve"> </v>
      </c>
      <c r="BL312" s="26" t="str">
        <f>IFERROR($AC312*HDF_Limited_Col!BL312/HDF_Limited_Col!$AH312," ")</f>
        <v xml:space="preserve"> </v>
      </c>
      <c r="BM312" s="26" t="str">
        <f>IFERROR($AC312*HDF_Limited_Col!BM312/HDF_Limited_Col!$AH312," ")</f>
        <v xml:space="preserve"> </v>
      </c>
      <c r="BN312" s="26" t="str">
        <f>IFERROR($AC312*HDF_Limited_Col!BN312/HDF_Limited_Col!$AH312," ")</f>
        <v xml:space="preserve"> </v>
      </c>
      <c r="BO312" s="26" t="str">
        <f>IFERROR($AC312*HDF_Limited_Col!BO312/HDF_Limited_Col!$AH312," ")</f>
        <v xml:space="preserve"> </v>
      </c>
      <c r="BP312" s="26" t="str">
        <f>IFERROR($AC312*HDF_Limited_Col!BP312/HDF_Limited_Col!$AH312," ")</f>
        <v xml:space="preserve"> </v>
      </c>
      <c r="BQ312" s="26" t="str">
        <f>IFERROR($AC312*HDF_Limited_Col!BQ312/HDF_Limited_Col!$AH312," ")</f>
        <v xml:space="preserve"> </v>
      </c>
      <c r="BR312" s="26" t="str">
        <f>IFERROR($AC312*HDF_Limited_Col!BR312/HDF_Limited_Col!$AH312," ")</f>
        <v xml:space="preserve"> </v>
      </c>
      <c r="BS312" s="26" t="str">
        <f>IFERROR($AC312*HDF_Limited_Col!BS312/HDF_Limited_Col!$AH312," ")</f>
        <v xml:space="preserve"> </v>
      </c>
      <c r="BT312" s="26" t="str">
        <f>IFERROR($AC312*HDF_Limited_Col!BT312/HDF_Limited_Col!$AH312," ")</f>
        <v xml:space="preserve"> </v>
      </c>
      <c r="BU312" s="26" t="str">
        <f>IFERROR($AC312*HDF_Limited_Col!BU312/HDF_Limited_Col!$AH312," ")</f>
        <v xml:space="preserve"> </v>
      </c>
      <c r="BV312" s="26" t="str">
        <f>IFERROR($AC312*HDF_Limited_Col!BV312/HDF_Limited_Col!$AH312," ")</f>
        <v xml:space="preserve"> </v>
      </c>
      <c r="BW312" s="26" t="str">
        <f>IFERROR($AC312*HDF_Limited_Col!BW312/HDF_Limited_Col!$AH312," ")</f>
        <v xml:space="preserve"> </v>
      </c>
      <c r="BX312" s="26" t="str">
        <f>IFERROR($AC312*HDF_Limited_Col!BX312/HDF_Limited_Col!$AH312," ")</f>
        <v xml:space="preserve"> </v>
      </c>
      <c r="BY312" s="26" t="str">
        <f>IFERROR($AC312*HDF_Limited_Col!BY312/HDF_Limited_Col!$AH312," ")</f>
        <v xml:space="preserve"> </v>
      </c>
      <c r="BZ312" s="26" t="str">
        <f>IFERROR($AC312*HDF_Limited_Col!BZ312/HDF_Limited_Col!$AH312," ")</f>
        <v xml:space="preserve"> </v>
      </c>
      <c r="CA312" s="26" t="str">
        <f>IFERROR($AC312*HDF_Limited_Col!CA312/HDF_Limited_Col!$AH312," ")</f>
        <v xml:space="preserve"> </v>
      </c>
      <c r="CB312" s="26" t="str">
        <f>IFERROR($AC312*HDF_Limited_Col!CB312/HDF_Limited_Col!$AH312," ")</f>
        <v xml:space="preserve"> </v>
      </c>
      <c r="CC312" s="26" t="str">
        <f>IFERROR($AC312*HDF_Limited_Col!CC312/HDF_Limited_Col!$AH312," ")</f>
        <v xml:space="preserve"> </v>
      </c>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row>
    <row r="313" spans="1:109">
      <c r="A313" s="26" t="s">
        <v>1656</v>
      </c>
      <c r="B313" s="53" t="s">
        <v>24</v>
      </c>
      <c r="C313" s="157" t="s">
        <v>1722</v>
      </c>
      <c r="D313" s="53" t="s">
        <v>1724</v>
      </c>
      <c r="E313" s="53" t="s">
        <v>237</v>
      </c>
      <c r="F313" s="53" t="s">
        <v>849</v>
      </c>
      <c r="G313" s="53" t="s">
        <v>595</v>
      </c>
      <c r="H313" s="52">
        <v>364</v>
      </c>
      <c r="I313" s="53" t="s">
        <v>1148</v>
      </c>
      <c r="J313" s="53" t="s">
        <v>635</v>
      </c>
      <c r="K313" s="53" t="s">
        <v>1667</v>
      </c>
      <c r="L313" s="53"/>
      <c r="M313" s="53" t="s">
        <v>1675</v>
      </c>
      <c r="N313" s="53">
        <v>28</v>
      </c>
      <c r="O313" s="95">
        <v>27.557929668278412</v>
      </c>
      <c r="P313" s="95">
        <v>2.0442973281195624</v>
      </c>
      <c r="Q313" s="95">
        <v>9.2694854338754649</v>
      </c>
      <c r="R313" s="95">
        <v>11.424014480668143</v>
      </c>
      <c r="S313" s="95">
        <v>5.4915438029878443</v>
      </c>
      <c r="T313" s="95">
        <v>12.225699707381695</v>
      </c>
      <c r="U313" s="95">
        <v>0</v>
      </c>
      <c r="V313" s="95">
        <v>7.4957568697717285</v>
      </c>
      <c r="W313" s="95">
        <v>20.44297328119562</v>
      </c>
      <c r="X313" s="95">
        <v>3.427204344200443</v>
      </c>
      <c r="Y313" s="95">
        <v>0.80168522671355391</v>
      </c>
      <c r="Z313" s="95">
        <v>100.18059014319248</v>
      </c>
      <c r="AA313" s="53"/>
      <c r="AB313" s="26"/>
      <c r="AC313" s="26">
        <f t="shared" si="5"/>
        <v>169704.74739914347</v>
      </c>
      <c r="AD313" s="26" t="str">
        <f>IFERROR($AC313*HDF_Limited_Col!AD313/HDF_Limited_Col!$AH313," ")</f>
        <v xml:space="preserve"> </v>
      </c>
      <c r="AE313" s="26" t="str">
        <f>IFERROR($AC313*HDF_Limited_Col!AE313/HDF_Limited_Col!$AH313," ")</f>
        <v xml:space="preserve"> </v>
      </c>
      <c r="AF313" s="26" t="str">
        <f>IFERROR($AC313*HDF_Limited_Col!AF313/HDF_Limited_Col!$AH313," ")</f>
        <v xml:space="preserve"> </v>
      </c>
      <c r="AG313" s="26" t="str">
        <f>IFERROR($AC313*HDF_Limited_Col!AG313/HDF_Limited_Col!$AH313," ")</f>
        <v xml:space="preserve"> </v>
      </c>
      <c r="AH313" s="26" t="str">
        <f>IFERROR($AC313*HDF_Limited_Col!AH313/HDF_Limited_Col!$AH313," ")</f>
        <v xml:space="preserve"> </v>
      </c>
      <c r="AI313" s="26" t="str">
        <f>IFERROR($AC313*HDF_Limited_Col!AI313/HDF_Limited_Col!$AH313," ")</f>
        <v xml:space="preserve"> </v>
      </c>
      <c r="AJ313" s="26" t="str">
        <f>IFERROR($AC313*HDF_Limited_Col!AJ313/HDF_Limited_Col!$AH313," ")</f>
        <v xml:space="preserve"> </v>
      </c>
      <c r="AK313" s="26" t="str">
        <f>IFERROR($AC313*HDF_Limited_Col!AK313/HDF_Limited_Col!$AH313," ")</f>
        <v xml:space="preserve"> </v>
      </c>
      <c r="AL313" s="26" t="str">
        <f>IFERROR($AC313*HDF_Limited_Col!AL313/HDF_Limited_Col!$AH313," ")</f>
        <v xml:space="preserve"> </v>
      </c>
      <c r="AM313" s="26" t="str">
        <f>IFERROR($AC313*HDF_Limited_Col!AM313/HDF_Limited_Col!$AH313," ")</f>
        <v xml:space="preserve"> </v>
      </c>
      <c r="AN313" s="26" t="str">
        <f>IFERROR($AC313*HDF_Limited_Col!AN313/HDF_Limited_Col!$AH313," ")</f>
        <v xml:space="preserve"> </v>
      </c>
      <c r="AO313" s="26" t="str">
        <f>IFERROR($AC313*HDF_Limited_Col!AO313/HDF_Limited_Col!$AH313," ")</f>
        <v xml:space="preserve"> </v>
      </c>
      <c r="AP313" s="26" t="str">
        <f>IFERROR($AC313*HDF_Limited_Col!AP313/HDF_Limited_Col!$AH313," ")</f>
        <v xml:space="preserve"> </v>
      </c>
      <c r="AQ313" s="26" t="str">
        <f>IFERROR($AC313*HDF_Limited_Col!AQ313/HDF_Limited_Col!$AH313," ")</f>
        <v xml:space="preserve"> </v>
      </c>
      <c r="AR313" s="26" t="str">
        <f>IFERROR($AC313*HDF_Limited_Col!AR313/HDF_Limited_Col!$AH313," ")</f>
        <v xml:space="preserve"> </v>
      </c>
      <c r="AS313" s="26" t="str">
        <f>IFERROR($AC313*HDF_Limited_Col!AS313/HDF_Limited_Col!$AH313," ")</f>
        <v xml:space="preserve"> </v>
      </c>
      <c r="AT313" s="26" t="str">
        <f>IFERROR($AC313*HDF_Limited_Col!AT313/HDF_Limited_Col!$AH313," ")</f>
        <v xml:space="preserve"> </v>
      </c>
      <c r="AU313" s="26" t="str">
        <f>IFERROR($AC313*HDF_Limited_Col!AU313/HDF_Limited_Col!$AH313," ")</f>
        <v xml:space="preserve"> </v>
      </c>
      <c r="AV313" s="26" t="str">
        <f>IFERROR($AC313*HDF_Limited_Col!AV313/HDF_Limited_Col!$AH313," ")</f>
        <v xml:space="preserve"> </v>
      </c>
      <c r="AW313" s="26" t="str">
        <f>IFERROR($AC313*HDF_Limited_Col!AW313/HDF_Limited_Col!$AH313," ")</f>
        <v xml:space="preserve"> </v>
      </c>
      <c r="AX313" s="26" t="str">
        <f>IFERROR($AC313*HDF_Limited_Col!AX313/HDF_Limited_Col!$AH313," ")</f>
        <v xml:space="preserve"> </v>
      </c>
      <c r="AY313" s="26" t="str">
        <f>IFERROR($AC313*HDF_Limited_Col!AY313/HDF_Limited_Col!$AH313," ")</f>
        <v xml:space="preserve"> </v>
      </c>
      <c r="AZ313" s="26" t="str">
        <f>IFERROR($AC313*HDF_Limited_Col!AZ313/HDF_Limited_Col!$AH313," ")</f>
        <v xml:space="preserve"> </v>
      </c>
      <c r="BA313" s="26" t="str">
        <f>IFERROR($AC313*HDF_Limited_Col!BA313/HDF_Limited_Col!$AH313," ")</f>
        <v xml:space="preserve"> </v>
      </c>
      <c r="BB313" s="26" t="str">
        <f>IFERROR($AC313*HDF_Limited_Col!BB313/HDF_Limited_Col!$AH313," ")</f>
        <v xml:space="preserve"> </v>
      </c>
      <c r="BC313" s="26" t="str">
        <f>IFERROR($AC313*HDF_Limited_Col!BC313/HDF_Limited_Col!$AH313," ")</f>
        <v xml:space="preserve"> </v>
      </c>
      <c r="BD313" s="26" t="str">
        <f>IFERROR($AC313*HDF_Limited_Col!BD313/HDF_Limited_Col!$AH313," ")</f>
        <v xml:space="preserve"> </v>
      </c>
      <c r="BE313" s="26" t="str">
        <f>IFERROR($AC313*HDF_Limited_Col!BE313/HDF_Limited_Col!$AH313," ")</f>
        <v xml:space="preserve"> </v>
      </c>
      <c r="BF313" s="26" t="str">
        <f>IFERROR($AC313*HDF_Limited_Col!BF313/HDF_Limited_Col!$AH313," ")</f>
        <v xml:space="preserve"> </v>
      </c>
      <c r="BG313" s="26" t="str">
        <f>IFERROR($AC313*HDF_Limited_Col!BG313/HDF_Limited_Col!$AH313," ")</f>
        <v xml:space="preserve"> </v>
      </c>
      <c r="BH313" s="26" t="str">
        <f>IFERROR($AC313*HDF_Limited_Col!BH313/HDF_Limited_Col!$AH313," ")</f>
        <v xml:space="preserve"> </v>
      </c>
      <c r="BI313" s="26" t="str">
        <f>IFERROR($AC313*HDF_Limited_Col!BI313/HDF_Limited_Col!$AH313," ")</f>
        <v xml:space="preserve"> </v>
      </c>
      <c r="BJ313" s="26" t="str">
        <f>IFERROR($AC313*HDF_Limited_Col!BJ313/HDF_Limited_Col!$AH313," ")</f>
        <v xml:space="preserve"> </v>
      </c>
      <c r="BK313" s="26" t="str">
        <f>IFERROR($AC313*HDF_Limited_Col!BK313/HDF_Limited_Col!$AH313," ")</f>
        <v xml:space="preserve"> </v>
      </c>
      <c r="BL313" s="26" t="str">
        <f>IFERROR($AC313*HDF_Limited_Col!BL313/HDF_Limited_Col!$AH313," ")</f>
        <v xml:space="preserve"> </v>
      </c>
      <c r="BM313" s="26" t="str">
        <f>IFERROR($AC313*HDF_Limited_Col!BM313/HDF_Limited_Col!$AH313," ")</f>
        <v xml:space="preserve"> </v>
      </c>
      <c r="BN313" s="26" t="str">
        <f>IFERROR($AC313*HDF_Limited_Col!BN313/HDF_Limited_Col!$AH313," ")</f>
        <v xml:space="preserve"> </v>
      </c>
      <c r="BO313" s="26" t="str">
        <f>IFERROR($AC313*HDF_Limited_Col!BO313/HDF_Limited_Col!$AH313," ")</f>
        <v xml:space="preserve"> </v>
      </c>
      <c r="BP313" s="26" t="str">
        <f>IFERROR($AC313*HDF_Limited_Col!BP313/HDF_Limited_Col!$AH313," ")</f>
        <v xml:space="preserve"> </v>
      </c>
      <c r="BQ313" s="26" t="str">
        <f>IFERROR($AC313*HDF_Limited_Col!BQ313/HDF_Limited_Col!$AH313," ")</f>
        <v xml:space="preserve"> </v>
      </c>
      <c r="BR313" s="26" t="str">
        <f>IFERROR($AC313*HDF_Limited_Col!BR313/HDF_Limited_Col!$AH313," ")</f>
        <v xml:space="preserve"> </v>
      </c>
      <c r="BS313" s="26" t="str">
        <f>IFERROR($AC313*HDF_Limited_Col!BS313/HDF_Limited_Col!$AH313," ")</f>
        <v xml:space="preserve"> </v>
      </c>
      <c r="BT313" s="26" t="str">
        <f>IFERROR($AC313*HDF_Limited_Col!BT313/HDF_Limited_Col!$AH313," ")</f>
        <v xml:space="preserve"> </v>
      </c>
      <c r="BU313" s="26" t="str">
        <f>IFERROR($AC313*HDF_Limited_Col!BU313/HDF_Limited_Col!$AH313," ")</f>
        <v xml:space="preserve"> </v>
      </c>
      <c r="BV313" s="26" t="str">
        <f>IFERROR($AC313*HDF_Limited_Col!BV313/HDF_Limited_Col!$AH313," ")</f>
        <v xml:space="preserve"> </v>
      </c>
      <c r="BW313" s="26" t="str">
        <f>IFERROR($AC313*HDF_Limited_Col!BW313/HDF_Limited_Col!$AH313," ")</f>
        <v xml:space="preserve"> </v>
      </c>
      <c r="BX313" s="26" t="str">
        <f>IFERROR($AC313*HDF_Limited_Col!BX313/HDF_Limited_Col!$AH313," ")</f>
        <v xml:space="preserve"> </v>
      </c>
      <c r="BY313" s="26" t="str">
        <f>IFERROR($AC313*HDF_Limited_Col!BY313/HDF_Limited_Col!$AH313," ")</f>
        <v xml:space="preserve"> </v>
      </c>
      <c r="BZ313" s="26" t="str">
        <f>IFERROR($AC313*HDF_Limited_Col!BZ313/HDF_Limited_Col!$AH313," ")</f>
        <v xml:space="preserve"> </v>
      </c>
      <c r="CA313" s="26" t="str">
        <f>IFERROR($AC313*HDF_Limited_Col!CA313/HDF_Limited_Col!$AH313," ")</f>
        <v xml:space="preserve"> </v>
      </c>
      <c r="CB313" s="26" t="str">
        <f>IFERROR($AC313*HDF_Limited_Col!CB313/HDF_Limited_Col!$AH313," ")</f>
        <v xml:space="preserve"> </v>
      </c>
      <c r="CC313" s="26" t="str">
        <f>IFERROR($AC313*HDF_Limited_Col!CC313/HDF_Limited_Col!$AH313," ")</f>
        <v xml:space="preserve"> </v>
      </c>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row>
    <row r="314" spans="1:109">
      <c r="A314" s="26" t="s">
        <v>1656</v>
      </c>
      <c r="B314" s="53" t="s">
        <v>24</v>
      </c>
      <c r="C314" s="157" t="s">
        <v>1722</v>
      </c>
      <c r="D314" s="53" t="s">
        <v>1724</v>
      </c>
      <c r="E314" s="53" t="s">
        <v>237</v>
      </c>
      <c r="F314" s="53" t="s">
        <v>849</v>
      </c>
      <c r="G314" s="53" t="s">
        <v>595</v>
      </c>
      <c r="H314" s="52">
        <v>364</v>
      </c>
      <c r="I314" s="53" t="s">
        <v>1148</v>
      </c>
      <c r="J314" s="53" t="s">
        <v>635</v>
      </c>
      <c r="K314" s="53" t="s">
        <v>1667</v>
      </c>
      <c r="L314" s="53"/>
      <c r="M314" s="53" t="s">
        <v>1677</v>
      </c>
      <c r="N314" s="53">
        <v>36</v>
      </c>
      <c r="O314" s="95">
        <v>26.917882457117148</v>
      </c>
      <c r="P314" s="95">
        <v>2.4708205538995589</v>
      </c>
      <c r="Q314" s="95">
        <v>7.6936932694596036</v>
      </c>
      <c r="R314" s="95">
        <v>13.659820948387807</v>
      </c>
      <c r="S314" s="95">
        <v>7.3421537597584452</v>
      </c>
      <c r="T314" s="95">
        <v>15.467738426850898</v>
      </c>
      <c r="U314" s="95">
        <v>0</v>
      </c>
      <c r="V314" s="95">
        <v>5.3434005474575832</v>
      </c>
      <c r="W314" s="95">
        <v>18.480934224289385</v>
      </c>
      <c r="X314" s="95">
        <v>2.3201607640276349</v>
      </c>
      <c r="Y314" s="95">
        <v>0.39171545366700333</v>
      </c>
      <c r="Z314" s="95">
        <v>100.08832040491507</v>
      </c>
      <c r="AA314" s="53"/>
      <c r="AB314" s="26"/>
      <c r="AC314" s="26">
        <f t="shared" si="5"/>
        <v>153417.12925478062</v>
      </c>
      <c r="AD314" s="26" t="str">
        <f>IFERROR($AC314*HDF_Limited_Col!AD314/HDF_Limited_Col!$AH314," ")</f>
        <v xml:space="preserve"> </v>
      </c>
      <c r="AE314" s="26" t="str">
        <f>IFERROR($AC314*HDF_Limited_Col!AE314/HDF_Limited_Col!$AH314," ")</f>
        <v xml:space="preserve"> </v>
      </c>
      <c r="AF314" s="26" t="str">
        <f>IFERROR($AC314*HDF_Limited_Col!AF314/HDF_Limited_Col!$AH314," ")</f>
        <v xml:space="preserve"> </v>
      </c>
      <c r="AG314" s="26" t="str">
        <f>IFERROR($AC314*HDF_Limited_Col!AG314/HDF_Limited_Col!$AH314," ")</f>
        <v xml:space="preserve"> </v>
      </c>
      <c r="AH314" s="26" t="str">
        <f>IFERROR($AC314*HDF_Limited_Col!AH314/HDF_Limited_Col!$AH314," ")</f>
        <v xml:space="preserve"> </v>
      </c>
      <c r="AI314" s="26" t="str">
        <f>IFERROR($AC314*HDF_Limited_Col!AI314/HDF_Limited_Col!$AH314," ")</f>
        <v xml:space="preserve"> </v>
      </c>
      <c r="AJ314" s="26" t="str">
        <f>IFERROR($AC314*HDF_Limited_Col!AJ314/HDF_Limited_Col!$AH314," ")</f>
        <v xml:space="preserve"> </v>
      </c>
      <c r="AK314" s="26" t="str">
        <f>IFERROR($AC314*HDF_Limited_Col!AK314/HDF_Limited_Col!$AH314," ")</f>
        <v xml:space="preserve"> </v>
      </c>
      <c r="AL314" s="26" t="str">
        <f>IFERROR($AC314*HDF_Limited_Col!AL314/HDF_Limited_Col!$AH314," ")</f>
        <v xml:space="preserve"> </v>
      </c>
      <c r="AM314" s="26" t="str">
        <f>IFERROR($AC314*HDF_Limited_Col!AM314/HDF_Limited_Col!$AH314," ")</f>
        <v xml:space="preserve"> </v>
      </c>
      <c r="AN314" s="26" t="str">
        <f>IFERROR($AC314*HDF_Limited_Col!AN314/HDF_Limited_Col!$AH314," ")</f>
        <v xml:space="preserve"> </v>
      </c>
      <c r="AO314" s="26" t="str">
        <f>IFERROR($AC314*HDF_Limited_Col!AO314/HDF_Limited_Col!$AH314," ")</f>
        <v xml:space="preserve"> </v>
      </c>
      <c r="AP314" s="26" t="str">
        <f>IFERROR($AC314*HDF_Limited_Col!AP314/HDF_Limited_Col!$AH314," ")</f>
        <v xml:space="preserve"> </v>
      </c>
      <c r="AQ314" s="26" t="str">
        <f>IFERROR($AC314*HDF_Limited_Col!AQ314/HDF_Limited_Col!$AH314," ")</f>
        <v xml:space="preserve"> </v>
      </c>
      <c r="AR314" s="26" t="str">
        <f>IFERROR($AC314*HDF_Limited_Col!AR314/HDF_Limited_Col!$AH314," ")</f>
        <v xml:space="preserve"> </v>
      </c>
      <c r="AS314" s="26" t="str">
        <f>IFERROR($AC314*HDF_Limited_Col!AS314/HDF_Limited_Col!$AH314," ")</f>
        <v xml:space="preserve"> </v>
      </c>
      <c r="AT314" s="26" t="str">
        <f>IFERROR($AC314*HDF_Limited_Col!AT314/HDF_Limited_Col!$AH314," ")</f>
        <v xml:space="preserve"> </v>
      </c>
      <c r="AU314" s="26" t="str">
        <f>IFERROR($AC314*HDF_Limited_Col!AU314/HDF_Limited_Col!$AH314," ")</f>
        <v xml:space="preserve"> </v>
      </c>
      <c r="AV314" s="26" t="str">
        <f>IFERROR($AC314*HDF_Limited_Col!AV314/HDF_Limited_Col!$AH314," ")</f>
        <v xml:space="preserve"> </v>
      </c>
      <c r="AW314" s="26" t="str">
        <f>IFERROR($AC314*HDF_Limited_Col!AW314/HDF_Limited_Col!$AH314," ")</f>
        <v xml:space="preserve"> </v>
      </c>
      <c r="AX314" s="26" t="str">
        <f>IFERROR($AC314*HDF_Limited_Col!AX314/HDF_Limited_Col!$AH314," ")</f>
        <v xml:space="preserve"> </v>
      </c>
      <c r="AY314" s="26" t="str">
        <f>IFERROR($AC314*HDF_Limited_Col!AY314/HDF_Limited_Col!$AH314," ")</f>
        <v xml:space="preserve"> </v>
      </c>
      <c r="AZ314" s="26" t="str">
        <f>IFERROR($AC314*HDF_Limited_Col!AZ314/HDF_Limited_Col!$AH314," ")</f>
        <v xml:space="preserve"> </v>
      </c>
      <c r="BA314" s="26" t="str">
        <f>IFERROR($AC314*HDF_Limited_Col!BA314/HDF_Limited_Col!$AH314," ")</f>
        <v xml:space="preserve"> </v>
      </c>
      <c r="BB314" s="26" t="str">
        <f>IFERROR($AC314*HDF_Limited_Col!BB314/HDF_Limited_Col!$AH314," ")</f>
        <v xml:space="preserve"> </v>
      </c>
      <c r="BC314" s="26" t="str">
        <f>IFERROR($AC314*HDF_Limited_Col!BC314/HDF_Limited_Col!$AH314," ")</f>
        <v xml:space="preserve"> </v>
      </c>
      <c r="BD314" s="26" t="str">
        <f>IFERROR($AC314*HDF_Limited_Col!BD314/HDF_Limited_Col!$AH314," ")</f>
        <v xml:space="preserve"> </v>
      </c>
      <c r="BE314" s="26" t="str">
        <f>IFERROR($AC314*HDF_Limited_Col!BE314/HDF_Limited_Col!$AH314," ")</f>
        <v xml:space="preserve"> </v>
      </c>
      <c r="BF314" s="26" t="str">
        <f>IFERROR($AC314*HDF_Limited_Col!BF314/HDF_Limited_Col!$AH314," ")</f>
        <v xml:space="preserve"> </v>
      </c>
      <c r="BG314" s="26" t="str">
        <f>IFERROR($AC314*HDF_Limited_Col!BG314/HDF_Limited_Col!$AH314," ")</f>
        <v xml:space="preserve"> </v>
      </c>
      <c r="BH314" s="26" t="str">
        <f>IFERROR($AC314*HDF_Limited_Col!BH314/HDF_Limited_Col!$AH314," ")</f>
        <v xml:space="preserve"> </v>
      </c>
      <c r="BI314" s="26" t="str">
        <f>IFERROR($AC314*HDF_Limited_Col!BI314/HDF_Limited_Col!$AH314," ")</f>
        <v xml:space="preserve"> </v>
      </c>
      <c r="BJ314" s="26" t="str">
        <f>IFERROR($AC314*HDF_Limited_Col!BJ314/HDF_Limited_Col!$AH314," ")</f>
        <v xml:space="preserve"> </v>
      </c>
      <c r="BK314" s="26" t="str">
        <f>IFERROR($AC314*HDF_Limited_Col!BK314/HDF_Limited_Col!$AH314," ")</f>
        <v xml:space="preserve"> </v>
      </c>
      <c r="BL314" s="26" t="str">
        <f>IFERROR($AC314*HDF_Limited_Col!BL314/HDF_Limited_Col!$AH314," ")</f>
        <v xml:space="preserve"> </v>
      </c>
      <c r="BM314" s="26" t="str">
        <f>IFERROR($AC314*HDF_Limited_Col!BM314/HDF_Limited_Col!$AH314," ")</f>
        <v xml:space="preserve"> </v>
      </c>
      <c r="BN314" s="26" t="str">
        <f>IFERROR($AC314*HDF_Limited_Col!BN314/HDF_Limited_Col!$AH314," ")</f>
        <v xml:space="preserve"> </v>
      </c>
      <c r="BO314" s="26" t="str">
        <f>IFERROR($AC314*HDF_Limited_Col!BO314/HDF_Limited_Col!$AH314," ")</f>
        <v xml:space="preserve"> </v>
      </c>
      <c r="BP314" s="26" t="str">
        <f>IFERROR($AC314*HDF_Limited_Col!BP314/HDF_Limited_Col!$AH314," ")</f>
        <v xml:space="preserve"> </v>
      </c>
      <c r="BQ314" s="26" t="str">
        <f>IFERROR($AC314*HDF_Limited_Col!BQ314/HDF_Limited_Col!$AH314," ")</f>
        <v xml:space="preserve"> </v>
      </c>
      <c r="BR314" s="26" t="str">
        <f>IFERROR($AC314*HDF_Limited_Col!BR314/HDF_Limited_Col!$AH314," ")</f>
        <v xml:space="preserve"> </v>
      </c>
      <c r="BS314" s="26" t="str">
        <f>IFERROR($AC314*HDF_Limited_Col!BS314/HDF_Limited_Col!$AH314," ")</f>
        <v xml:space="preserve"> </v>
      </c>
      <c r="BT314" s="26" t="str">
        <f>IFERROR($AC314*HDF_Limited_Col!BT314/HDF_Limited_Col!$AH314," ")</f>
        <v xml:space="preserve"> </v>
      </c>
      <c r="BU314" s="26" t="str">
        <f>IFERROR($AC314*HDF_Limited_Col!BU314/HDF_Limited_Col!$AH314," ")</f>
        <v xml:space="preserve"> </v>
      </c>
      <c r="BV314" s="26" t="str">
        <f>IFERROR($AC314*HDF_Limited_Col!BV314/HDF_Limited_Col!$AH314," ")</f>
        <v xml:space="preserve"> </v>
      </c>
      <c r="BW314" s="26" t="str">
        <f>IFERROR($AC314*HDF_Limited_Col!BW314/HDF_Limited_Col!$AH314," ")</f>
        <v xml:space="preserve"> </v>
      </c>
      <c r="BX314" s="26" t="str">
        <f>IFERROR($AC314*HDF_Limited_Col!BX314/HDF_Limited_Col!$AH314," ")</f>
        <v xml:space="preserve"> </v>
      </c>
      <c r="BY314" s="26" t="str">
        <f>IFERROR($AC314*HDF_Limited_Col!BY314/HDF_Limited_Col!$AH314," ")</f>
        <v xml:space="preserve"> </v>
      </c>
      <c r="BZ314" s="26" t="str">
        <f>IFERROR($AC314*HDF_Limited_Col!BZ314/HDF_Limited_Col!$AH314," ")</f>
        <v xml:space="preserve"> </v>
      </c>
      <c r="CA314" s="26" t="str">
        <f>IFERROR($AC314*HDF_Limited_Col!CA314/HDF_Limited_Col!$AH314," ")</f>
        <v xml:space="preserve"> </v>
      </c>
      <c r="CB314" s="26" t="str">
        <f>IFERROR($AC314*HDF_Limited_Col!CB314/HDF_Limited_Col!$AH314," ")</f>
        <v xml:space="preserve"> </v>
      </c>
      <c r="CC314" s="26" t="str">
        <f>IFERROR($AC314*HDF_Limited_Col!CC314/HDF_Limited_Col!$AH314," ")</f>
        <v xml:space="preserve"> </v>
      </c>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row>
    <row r="315" spans="1:109">
      <c r="A315" s="26" t="s">
        <v>842</v>
      </c>
      <c r="B315" s="26" t="s">
        <v>24</v>
      </c>
      <c r="C315" s="26" t="s">
        <v>1369</v>
      </c>
      <c r="D315" s="26" t="s">
        <v>1709</v>
      </c>
      <c r="E315" s="26" t="s">
        <v>237</v>
      </c>
      <c r="F315" s="26" t="s">
        <v>29</v>
      </c>
      <c r="G315" s="26" t="s">
        <v>595</v>
      </c>
      <c r="H315" s="30">
        <v>360</v>
      </c>
      <c r="I315" s="26" t="s">
        <v>712</v>
      </c>
      <c r="J315" s="26"/>
      <c r="K315" s="26" t="s">
        <v>913</v>
      </c>
      <c r="L315" s="26"/>
      <c r="M315" s="26" t="s">
        <v>58</v>
      </c>
      <c r="N315" s="26" t="s">
        <v>1084</v>
      </c>
      <c r="O315" s="95">
        <v>20.465513456953083</v>
      </c>
      <c r="P315" s="95">
        <v>0.85272972737304509</v>
      </c>
      <c r="Q315" s="95">
        <v>2.8779628298840279</v>
      </c>
      <c r="R315" s="95">
        <v>4.690013500551748</v>
      </c>
      <c r="S315" s="95">
        <v>43.489216096025302</v>
      </c>
      <c r="T315" s="95">
        <v>14.496405365341767</v>
      </c>
      <c r="U315" s="95">
        <v>0</v>
      </c>
      <c r="V315" s="95">
        <v>4.0504662050219649</v>
      </c>
      <c r="W315" s="95">
        <v>5.3295607960815321</v>
      </c>
      <c r="X315" s="95">
        <v>2.345006750275874</v>
      </c>
      <c r="Y315" s="95">
        <v>1.8120506706677209</v>
      </c>
      <c r="Z315" s="95">
        <v>100.40892539817607</v>
      </c>
      <c r="AA315" s="26"/>
      <c r="AB315" s="26"/>
      <c r="AC315" s="26">
        <f t="shared" si="5"/>
        <v>44242.672345482657</v>
      </c>
      <c r="AD315" s="26" t="str">
        <f>IFERROR($AC315*HDF_Limited_Col!AD315/HDF_Limited_Col!$AH315," ")</f>
        <v xml:space="preserve"> </v>
      </c>
      <c r="AE315" s="26" t="str">
        <f>IFERROR($AC315*HDF_Limited_Col!AE315/HDF_Limited_Col!$AH315," ")</f>
        <v xml:space="preserve"> </v>
      </c>
      <c r="AF315" s="26" t="str">
        <f>IFERROR($AC315*HDF_Limited_Col!AF315/HDF_Limited_Col!$AH315," ")</f>
        <v xml:space="preserve"> </v>
      </c>
      <c r="AG315" s="26" t="str">
        <f>IFERROR($AC315*HDF_Limited_Col!AG315/HDF_Limited_Col!$AH315," ")</f>
        <v xml:space="preserve"> </v>
      </c>
      <c r="AH315" s="26" t="str">
        <f>IFERROR($AC315*HDF_Limited_Col!AH315/HDF_Limited_Col!$AH315," ")</f>
        <v xml:space="preserve"> </v>
      </c>
      <c r="AI315" s="26" t="str">
        <f>IFERROR($AC315*HDF_Limited_Col!AI315/HDF_Limited_Col!$AH315," ")</f>
        <v xml:space="preserve"> </v>
      </c>
      <c r="AJ315" s="26" t="str">
        <f>IFERROR($AC315*HDF_Limited_Col!AJ315/HDF_Limited_Col!$AH315," ")</f>
        <v xml:space="preserve"> </v>
      </c>
      <c r="AK315" s="26" t="str">
        <f>IFERROR($AC315*HDF_Limited_Col!AK315/HDF_Limited_Col!$AH315," ")</f>
        <v xml:space="preserve"> </v>
      </c>
      <c r="AL315" s="26" t="str">
        <f>IFERROR($AC315*HDF_Limited_Col!AL315/HDF_Limited_Col!$AH315," ")</f>
        <v xml:space="preserve"> </v>
      </c>
      <c r="AM315" s="26" t="str">
        <f>IFERROR($AC315*HDF_Limited_Col!AM315/HDF_Limited_Col!$AH315," ")</f>
        <v xml:space="preserve"> </v>
      </c>
      <c r="AN315" s="26" t="str">
        <f>IFERROR($AC315*HDF_Limited_Col!AN315/HDF_Limited_Col!$AH315," ")</f>
        <v xml:space="preserve"> </v>
      </c>
      <c r="AO315" s="26" t="str">
        <f>IFERROR($AC315*HDF_Limited_Col!AO315/HDF_Limited_Col!$AH315," ")</f>
        <v xml:space="preserve"> </v>
      </c>
      <c r="AP315" s="26" t="str">
        <f>IFERROR($AC315*HDF_Limited_Col!AP315/HDF_Limited_Col!$AH315," ")</f>
        <v xml:space="preserve"> </v>
      </c>
      <c r="AQ315" s="26" t="str">
        <f>IFERROR($AC315*HDF_Limited_Col!AQ315/HDF_Limited_Col!$AH315," ")</f>
        <v xml:space="preserve"> </v>
      </c>
      <c r="AR315" s="26" t="str">
        <f>IFERROR($AC315*HDF_Limited_Col!AR315/HDF_Limited_Col!$AH315," ")</f>
        <v xml:space="preserve"> </v>
      </c>
      <c r="AS315" s="26" t="str">
        <f>IFERROR($AC315*HDF_Limited_Col!AS315/HDF_Limited_Col!$AH315," ")</f>
        <v xml:space="preserve"> </v>
      </c>
      <c r="AT315" s="26" t="str">
        <f>IFERROR($AC315*HDF_Limited_Col!AT315/HDF_Limited_Col!$AH315," ")</f>
        <v xml:space="preserve"> </v>
      </c>
      <c r="AU315" s="26" t="str">
        <f>IFERROR($AC315*HDF_Limited_Col!AU315/HDF_Limited_Col!$AH315," ")</f>
        <v xml:space="preserve"> </v>
      </c>
      <c r="AV315" s="26" t="str">
        <f>IFERROR($AC315*HDF_Limited_Col!AV315/HDF_Limited_Col!$AH315," ")</f>
        <v xml:space="preserve"> </v>
      </c>
      <c r="AW315" s="26" t="str">
        <f>IFERROR($AC315*HDF_Limited_Col!AW315/HDF_Limited_Col!$AH315," ")</f>
        <v xml:space="preserve"> </v>
      </c>
      <c r="AX315" s="26" t="str">
        <f>IFERROR($AC315*HDF_Limited_Col!AX315/HDF_Limited_Col!$AH315," ")</f>
        <v xml:space="preserve"> </v>
      </c>
      <c r="AY315" s="26" t="str">
        <f>IFERROR($AC315*HDF_Limited_Col!AY315/HDF_Limited_Col!$AH315," ")</f>
        <v xml:space="preserve"> </v>
      </c>
      <c r="AZ315" s="26" t="str">
        <f>IFERROR($AC315*HDF_Limited_Col!AZ315/HDF_Limited_Col!$AH315," ")</f>
        <v xml:space="preserve"> </v>
      </c>
      <c r="BA315" s="26" t="str">
        <f>IFERROR($AC315*HDF_Limited_Col!BA315/HDF_Limited_Col!$AH315," ")</f>
        <v xml:space="preserve"> </v>
      </c>
      <c r="BB315" s="26" t="str">
        <f>IFERROR($AC315*HDF_Limited_Col!BB315/HDF_Limited_Col!$AH315," ")</f>
        <v xml:space="preserve"> </v>
      </c>
      <c r="BC315" s="26" t="str">
        <f>IFERROR($AC315*HDF_Limited_Col!BC315/HDF_Limited_Col!$AH315," ")</f>
        <v xml:space="preserve"> </v>
      </c>
      <c r="BD315" s="26" t="str">
        <f>IFERROR($AC315*HDF_Limited_Col!BD315/HDF_Limited_Col!$AH315," ")</f>
        <v xml:space="preserve"> </v>
      </c>
      <c r="BE315" s="26" t="str">
        <f>IFERROR($AC315*HDF_Limited_Col!BE315/HDF_Limited_Col!$AH315," ")</f>
        <v xml:space="preserve"> </v>
      </c>
      <c r="BF315" s="26" t="str">
        <f>IFERROR($AC315*HDF_Limited_Col!BF315/HDF_Limited_Col!$AH315," ")</f>
        <v xml:space="preserve"> </v>
      </c>
      <c r="BG315" s="26" t="str">
        <f>IFERROR($AC315*HDF_Limited_Col!BG315/HDF_Limited_Col!$AH315," ")</f>
        <v xml:space="preserve"> </v>
      </c>
      <c r="BH315" s="26" t="str">
        <f>IFERROR($AC315*HDF_Limited_Col!BH315/HDF_Limited_Col!$AH315," ")</f>
        <v xml:space="preserve"> </v>
      </c>
      <c r="BI315" s="26" t="str">
        <f>IFERROR($AC315*HDF_Limited_Col!BI315/HDF_Limited_Col!$AH315," ")</f>
        <v xml:space="preserve"> </v>
      </c>
      <c r="BJ315" s="26" t="str">
        <f>IFERROR($AC315*HDF_Limited_Col!BJ315/HDF_Limited_Col!$AH315," ")</f>
        <v xml:space="preserve"> </v>
      </c>
      <c r="BK315" s="26" t="str">
        <f>IFERROR($AC315*HDF_Limited_Col!BK315/HDF_Limited_Col!$AH315," ")</f>
        <v xml:space="preserve"> </v>
      </c>
      <c r="BL315" s="26" t="str">
        <f>IFERROR($AC315*HDF_Limited_Col!BL315/HDF_Limited_Col!$AH315," ")</f>
        <v xml:space="preserve"> </v>
      </c>
      <c r="BM315" s="26" t="str">
        <f>IFERROR($AC315*HDF_Limited_Col!BM315/HDF_Limited_Col!$AH315," ")</f>
        <v xml:space="preserve"> </v>
      </c>
      <c r="BN315" s="26" t="str">
        <f>IFERROR($AC315*HDF_Limited_Col!BN315/HDF_Limited_Col!$AH315," ")</f>
        <v xml:space="preserve"> </v>
      </c>
      <c r="BO315" s="26" t="str">
        <f>IFERROR($AC315*HDF_Limited_Col!BO315/HDF_Limited_Col!$AH315," ")</f>
        <v xml:space="preserve"> </v>
      </c>
      <c r="BP315" s="26" t="str">
        <f>IFERROR($AC315*HDF_Limited_Col!BP315/HDF_Limited_Col!$AH315," ")</f>
        <v xml:space="preserve"> </v>
      </c>
      <c r="BQ315" s="26" t="str">
        <f>IFERROR($AC315*HDF_Limited_Col!BQ315/HDF_Limited_Col!$AH315," ")</f>
        <v xml:space="preserve"> </v>
      </c>
      <c r="BR315" s="26" t="str">
        <f>IFERROR($AC315*HDF_Limited_Col!BR315/HDF_Limited_Col!$AH315," ")</f>
        <v xml:space="preserve"> </v>
      </c>
      <c r="BS315" s="26" t="str">
        <f>IFERROR($AC315*HDF_Limited_Col!BS315/HDF_Limited_Col!$AH315," ")</f>
        <v xml:space="preserve"> </v>
      </c>
      <c r="BT315" s="26" t="str">
        <f>IFERROR($AC315*HDF_Limited_Col!BT315/HDF_Limited_Col!$AH315," ")</f>
        <v xml:space="preserve"> </v>
      </c>
      <c r="BU315" s="26" t="str">
        <f>IFERROR($AC315*HDF_Limited_Col!BU315/HDF_Limited_Col!$AH315," ")</f>
        <v xml:space="preserve"> </v>
      </c>
      <c r="BV315" s="26" t="str">
        <f>IFERROR($AC315*HDF_Limited_Col!BV315/HDF_Limited_Col!$AH315," ")</f>
        <v xml:space="preserve"> </v>
      </c>
      <c r="BW315" s="26" t="str">
        <f>IFERROR($AC315*HDF_Limited_Col!BW315/HDF_Limited_Col!$AH315," ")</f>
        <v xml:space="preserve"> </v>
      </c>
      <c r="BX315" s="26" t="str">
        <f>IFERROR($AC315*HDF_Limited_Col!BX315/HDF_Limited_Col!$AH315," ")</f>
        <v xml:space="preserve"> </v>
      </c>
      <c r="BY315" s="26" t="str">
        <f>IFERROR($AC315*HDF_Limited_Col!BY315/HDF_Limited_Col!$AH315," ")</f>
        <v xml:space="preserve"> </v>
      </c>
      <c r="BZ315" s="26" t="str">
        <f>IFERROR($AC315*HDF_Limited_Col!BZ315/HDF_Limited_Col!$AH315," ")</f>
        <v xml:space="preserve"> </v>
      </c>
      <c r="CA315" s="26" t="str">
        <f>IFERROR($AC315*HDF_Limited_Col!CA315/HDF_Limited_Col!$AH315," ")</f>
        <v xml:space="preserve"> </v>
      </c>
      <c r="CB315" s="26" t="str">
        <f>IFERROR($AC315*HDF_Limited_Col!CB315/HDF_Limited_Col!$AH315," ")</f>
        <v xml:space="preserve"> </v>
      </c>
      <c r="CC315" s="26" t="str">
        <f>IFERROR($AC315*HDF_Limited_Col!CC315/HDF_Limited_Col!$AH315," ")</f>
        <v xml:space="preserve"> </v>
      </c>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row>
    <row r="316" spans="1:109">
      <c r="A316" s="26" t="s">
        <v>842</v>
      </c>
      <c r="B316" s="26" t="s">
        <v>24</v>
      </c>
      <c r="C316" s="26" t="s">
        <v>1369</v>
      </c>
      <c r="D316" s="26" t="s">
        <v>1709</v>
      </c>
      <c r="E316" s="26" t="s">
        <v>237</v>
      </c>
      <c r="F316" s="26" t="s">
        <v>29</v>
      </c>
      <c r="G316" s="26" t="s">
        <v>595</v>
      </c>
      <c r="H316" s="30">
        <v>360</v>
      </c>
      <c r="I316" s="26" t="s">
        <v>712</v>
      </c>
      <c r="J316" s="26"/>
      <c r="K316" s="26" t="s">
        <v>913</v>
      </c>
      <c r="L316" s="26"/>
      <c r="M316" s="26" t="s">
        <v>70</v>
      </c>
      <c r="N316" s="26" t="s">
        <v>1084</v>
      </c>
      <c r="O316" s="95">
        <v>26.861635338809727</v>
      </c>
      <c r="P316" s="95">
        <v>2.4700354334537677</v>
      </c>
      <c r="Q316" s="95">
        <v>2.881708005696062</v>
      </c>
      <c r="R316" s="95">
        <v>14.30562188541974</v>
      </c>
      <c r="S316" s="95">
        <v>19.966119753751286</v>
      </c>
      <c r="T316" s="95">
        <v>26.347044623506854</v>
      </c>
      <c r="U316" s="95">
        <v>0</v>
      </c>
      <c r="V316" s="95">
        <v>3.4992168640595041</v>
      </c>
      <c r="W316" s="95">
        <v>1.440854002848031</v>
      </c>
      <c r="X316" s="95">
        <v>1.749608432029752</v>
      </c>
      <c r="Y316" s="95">
        <v>0.61750885836344194</v>
      </c>
      <c r="Z316" s="95">
        <v>100.13935319793816</v>
      </c>
      <c r="AA316" s="26"/>
      <c r="AB316" s="26"/>
      <c r="AC316" s="26">
        <f t="shared" si="5"/>
        <v>11961.066584051659</v>
      </c>
      <c r="AD316" s="26" t="str">
        <f>IFERROR($AC316*HDF_Limited_Col!AD316/HDF_Limited_Col!$AH316," ")</f>
        <v xml:space="preserve"> </v>
      </c>
      <c r="AE316" s="26" t="str">
        <f>IFERROR($AC316*HDF_Limited_Col!AE316/HDF_Limited_Col!$AH316," ")</f>
        <v xml:space="preserve"> </v>
      </c>
      <c r="AF316" s="26" t="str">
        <f>IFERROR($AC316*HDF_Limited_Col!AF316/HDF_Limited_Col!$AH316," ")</f>
        <v xml:space="preserve"> </v>
      </c>
      <c r="AG316" s="26" t="str">
        <f>IFERROR($AC316*HDF_Limited_Col!AG316/HDF_Limited_Col!$AH316," ")</f>
        <v xml:space="preserve"> </v>
      </c>
      <c r="AH316" s="26" t="str">
        <f>IFERROR($AC316*HDF_Limited_Col!AH316/HDF_Limited_Col!$AH316," ")</f>
        <v xml:space="preserve"> </v>
      </c>
      <c r="AI316" s="26" t="str">
        <f>IFERROR($AC316*HDF_Limited_Col!AI316/HDF_Limited_Col!$AH316," ")</f>
        <v xml:space="preserve"> </v>
      </c>
      <c r="AJ316" s="26" t="str">
        <f>IFERROR($AC316*HDF_Limited_Col!AJ316/HDF_Limited_Col!$AH316," ")</f>
        <v xml:space="preserve"> </v>
      </c>
      <c r="AK316" s="26" t="str">
        <f>IFERROR($AC316*HDF_Limited_Col!AK316/HDF_Limited_Col!$AH316," ")</f>
        <v xml:space="preserve"> </v>
      </c>
      <c r="AL316" s="26" t="str">
        <f>IFERROR($AC316*HDF_Limited_Col!AL316/HDF_Limited_Col!$AH316," ")</f>
        <v xml:space="preserve"> </v>
      </c>
      <c r="AM316" s="26" t="str">
        <f>IFERROR($AC316*HDF_Limited_Col!AM316/HDF_Limited_Col!$AH316," ")</f>
        <v xml:space="preserve"> </v>
      </c>
      <c r="AN316" s="26" t="str">
        <f>IFERROR($AC316*HDF_Limited_Col!AN316/HDF_Limited_Col!$AH316," ")</f>
        <v xml:space="preserve"> </v>
      </c>
      <c r="AO316" s="26" t="str">
        <f>IFERROR($AC316*HDF_Limited_Col!AO316/HDF_Limited_Col!$AH316," ")</f>
        <v xml:space="preserve"> </v>
      </c>
      <c r="AP316" s="26" t="str">
        <f>IFERROR($AC316*HDF_Limited_Col!AP316/HDF_Limited_Col!$AH316," ")</f>
        <v xml:space="preserve"> </v>
      </c>
      <c r="AQ316" s="26" t="str">
        <f>IFERROR($AC316*HDF_Limited_Col!AQ316/HDF_Limited_Col!$AH316," ")</f>
        <v xml:space="preserve"> </v>
      </c>
      <c r="AR316" s="26" t="str">
        <f>IFERROR($AC316*HDF_Limited_Col!AR316/HDF_Limited_Col!$AH316," ")</f>
        <v xml:space="preserve"> </v>
      </c>
      <c r="AS316" s="26" t="str">
        <f>IFERROR($AC316*HDF_Limited_Col!AS316/HDF_Limited_Col!$AH316," ")</f>
        <v xml:space="preserve"> </v>
      </c>
      <c r="AT316" s="26" t="str">
        <f>IFERROR($AC316*HDF_Limited_Col!AT316/HDF_Limited_Col!$AH316," ")</f>
        <v xml:space="preserve"> </v>
      </c>
      <c r="AU316" s="26" t="str">
        <f>IFERROR($AC316*HDF_Limited_Col!AU316/HDF_Limited_Col!$AH316," ")</f>
        <v xml:space="preserve"> </v>
      </c>
      <c r="AV316" s="26" t="str">
        <f>IFERROR($AC316*HDF_Limited_Col!AV316/HDF_Limited_Col!$AH316," ")</f>
        <v xml:space="preserve"> </v>
      </c>
      <c r="AW316" s="26" t="str">
        <f>IFERROR($AC316*HDF_Limited_Col!AW316/HDF_Limited_Col!$AH316," ")</f>
        <v xml:space="preserve"> </v>
      </c>
      <c r="AX316" s="26" t="str">
        <f>IFERROR($AC316*HDF_Limited_Col!AX316/HDF_Limited_Col!$AH316," ")</f>
        <v xml:space="preserve"> </v>
      </c>
      <c r="AY316" s="26" t="str">
        <f>IFERROR($AC316*HDF_Limited_Col!AY316/HDF_Limited_Col!$AH316," ")</f>
        <v xml:space="preserve"> </v>
      </c>
      <c r="AZ316" s="26" t="str">
        <f>IFERROR($AC316*HDF_Limited_Col!AZ316/HDF_Limited_Col!$AH316," ")</f>
        <v xml:space="preserve"> </v>
      </c>
      <c r="BA316" s="26" t="str">
        <f>IFERROR($AC316*HDF_Limited_Col!BA316/HDF_Limited_Col!$AH316," ")</f>
        <v xml:space="preserve"> </v>
      </c>
      <c r="BB316" s="26" t="str">
        <f>IFERROR($AC316*HDF_Limited_Col!BB316/HDF_Limited_Col!$AH316," ")</f>
        <v xml:space="preserve"> </v>
      </c>
      <c r="BC316" s="26" t="str">
        <f>IFERROR($AC316*HDF_Limited_Col!BC316/HDF_Limited_Col!$AH316," ")</f>
        <v xml:space="preserve"> </v>
      </c>
      <c r="BD316" s="26" t="str">
        <f>IFERROR($AC316*HDF_Limited_Col!BD316/HDF_Limited_Col!$AH316," ")</f>
        <v xml:space="preserve"> </v>
      </c>
      <c r="BE316" s="26" t="str">
        <f>IFERROR($AC316*HDF_Limited_Col!BE316/HDF_Limited_Col!$AH316," ")</f>
        <v xml:space="preserve"> </v>
      </c>
      <c r="BF316" s="26" t="str">
        <f>IFERROR($AC316*HDF_Limited_Col!BF316/HDF_Limited_Col!$AH316," ")</f>
        <v xml:space="preserve"> </v>
      </c>
      <c r="BG316" s="26" t="str">
        <f>IFERROR($AC316*HDF_Limited_Col!BG316/HDF_Limited_Col!$AH316," ")</f>
        <v xml:space="preserve"> </v>
      </c>
      <c r="BH316" s="26" t="str">
        <f>IFERROR($AC316*HDF_Limited_Col!BH316/HDF_Limited_Col!$AH316," ")</f>
        <v xml:space="preserve"> </v>
      </c>
      <c r="BI316" s="26" t="str">
        <f>IFERROR($AC316*HDF_Limited_Col!BI316/HDF_Limited_Col!$AH316," ")</f>
        <v xml:space="preserve"> </v>
      </c>
      <c r="BJ316" s="26" t="str">
        <f>IFERROR($AC316*HDF_Limited_Col!BJ316/HDF_Limited_Col!$AH316," ")</f>
        <v xml:space="preserve"> </v>
      </c>
      <c r="BK316" s="26" t="str">
        <f>IFERROR($AC316*HDF_Limited_Col!BK316/HDF_Limited_Col!$AH316," ")</f>
        <v xml:space="preserve"> </v>
      </c>
      <c r="BL316" s="26" t="str">
        <f>IFERROR($AC316*HDF_Limited_Col!BL316/HDF_Limited_Col!$AH316," ")</f>
        <v xml:space="preserve"> </v>
      </c>
      <c r="BM316" s="26" t="str">
        <f>IFERROR($AC316*HDF_Limited_Col!BM316/HDF_Limited_Col!$AH316," ")</f>
        <v xml:space="preserve"> </v>
      </c>
      <c r="BN316" s="26" t="str">
        <f>IFERROR($AC316*HDF_Limited_Col!BN316/HDF_Limited_Col!$AH316," ")</f>
        <v xml:space="preserve"> </v>
      </c>
      <c r="BO316" s="26" t="str">
        <f>IFERROR($AC316*HDF_Limited_Col!BO316/HDF_Limited_Col!$AH316," ")</f>
        <v xml:space="preserve"> </v>
      </c>
      <c r="BP316" s="26" t="str">
        <f>IFERROR($AC316*HDF_Limited_Col!BP316/HDF_Limited_Col!$AH316," ")</f>
        <v xml:space="preserve"> </v>
      </c>
      <c r="BQ316" s="26" t="str">
        <f>IFERROR($AC316*HDF_Limited_Col!BQ316/HDF_Limited_Col!$AH316," ")</f>
        <v xml:space="preserve"> </v>
      </c>
      <c r="BR316" s="26" t="str">
        <f>IFERROR($AC316*HDF_Limited_Col!BR316/HDF_Limited_Col!$AH316," ")</f>
        <v xml:space="preserve"> </v>
      </c>
      <c r="BS316" s="26" t="str">
        <f>IFERROR($AC316*HDF_Limited_Col!BS316/HDF_Limited_Col!$AH316," ")</f>
        <v xml:space="preserve"> </v>
      </c>
      <c r="BT316" s="26" t="str">
        <f>IFERROR($AC316*HDF_Limited_Col!BT316/HDF_Limited_Col!$AH316," ")</f>
        <v xml:space="preserve"> </v>
      </c>
      <c r="BU316" s="26" t="str">
        <f>IFERROR($AC316*HDF_Limited_Col!BU316/HDF_Limited_Col!$AH316," ")</f>
        <v xml:space="preserve"> </v>
      </c>
      <c r="BV316" s="26" t="str">
        <f>IFERROR($AC316*HDF_Limited_Col!BV316/HDF_Limited_Col!$AH316," ")</f>
        <v xml:space="preserve"> </v>
      </c>
      <c r="BW316" s="26" t="str">
        <f>IFERROR($AC316*HDF_Limited_Col!BW316/HDF_Limited_Col!$AH316," ")</f>
        <v xml:space="preserve"> </v>
      </c>
      <c r="BX316" s="26" t="str">
        <f>IFERROR($AC316*HDF_Limited_Col!BX316/HDF_Limited_Col!$AH316," ")</f>
        <v xml:space="preserve"> </v>
      </c>
      <c r="BY316" s="26" t="str">
        <f>IFERROR($AC316*HDF_Limited_Col!BY316/HDF_Limited_Col!$AH316," ")</f>
        <v xml:space="preserve"> </v>
      </c>
      <c r="BZ316" s="26" t="str">
        <f>IFERROR($AC316*HDF_Limited_Col!BZ316/HDF_Limited_Col!$AH316," ")</f>
        <v xml:space="preserve"> </v>
      </c>
      <c r="CA316" s="26" t="str">
        <f>IFERROR($AC316*HDF_Limited_Col!CA316/HDF_Limited_Col!$AH316," ")</f>
        <v xml:space="preserve"> </v>
      </c>
      <c r="CB316" s="26" t="str">
        <f>IFERROR($AC316*HDF_Limited_Col!CB316/HDF_Limited_Col!$AH316," ")</f>
        <v xml:space="preserve"> </v>
      </c>
      <c r="CC316" s="26" t="str">
        <f>IFERROR($AC316*HDF_Limited_Col!CC316/HDF_Limited_Col!$AH316," ")</f>
        <v xml:space="preserve"> </v>
      </c>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row>
    <row r="317" spans="1:109">
      <c r="A317" s="26" t="s">
        <v>1179</v>
      </c>
      <c r="B317" s="26" t="s">
        <v>24</v>
      </c>
      <c r="C317" s="26" t="s">
        <v>1369</v>
      </c>
      <c r="D317" s="26" t="s">
        <v>1709</v>
      </c>
      <c r="E317" s="26" t="s">
        <v>237</v>
      </c>
      <c r="F317" s="26" t="s">
        <v>29</v>
      </c>
      <c r="G317" s="26" t="s">
        <v>595</v>
      </c>
      <c r="H317" s="30">
        <v>360</v>
      </c>
      <c r="I317" s="26" t="s">
        <v>712</v>
      </c>
      <c r="J317" s="26"/>
      <c r="K317" s="26" t="s">
        <v>913</v>
      </c>
      <c r="L317" s="26"/>
      <c r="M317" s="26" t="s">
        <v>67</v>
      </c>
      <c r="N317" s="26" t="s">
        <v>1084</v>
      </c>
      <c r="O317" s="95">
        <v>20.500400183025981</v>
      </c>
      <c r="P317" s="95">
        <v>4.2268866356754611</v>
      </c>
      <c r="Q317" s="95">
        <v>3.6985258062160278</v>
      </c>
      <c r="R317" s="95">
        <v>7.7140681101077151</v>
      </c>
      <c r="S317" s="95">
        <v>34.660470412538771</v>
      </c>
      <c r="T317" s="95">
        <v>18.809645528755802</v>
      </c>
      <c r="U317" s="95">
        <v>0</v>
      </c>
      <c r="V317" s="95">
        <v>3.1701649767565954</v>
      </c>
      <c r="W317" s="95">
        <v>5.0722639628105526</v>
      </c>
      <c r="X317" s="95">
        <v>1.9020989860539572</v>
      </c>
      <c r="Y317" s="95">
        <v>0.31701649767565954</v>
      </c>
      <c r="Z317" s="95">
        <v>100.07154109961652</v>
      </c>
      <c r="AA317" s="26"/>
      <c r="AB317" s="26"/>
      <c r="AC317" s="26">
        <f t="shared" si="5"/>
        <v>42106.755348662256</v>
      </c>
      <c r="AD317" s="26" t="str">
        <f>IFERROR($AC317*HDF_Limited_Col!AD317/HDF_Limited_Col!$AH317," ")</f>
        <v xml:space="preserve"> </v>
      </c>
      <c r="AE317" s="26" t="str">
        <f>IFERROR($AC317*HDF_Limited_Col!AE317/HDF_Limited_Col!$AH317," ")</f>
        <v xml:space="preserve"> </v>
      </c>
      <c r="AF317" s="26" t="str">
        <f>IFERROR($AC317*HDF_Limited_Col!AF317/HDF_Limited_Col!$AH317," ")</f>
        <v xml:space="preserve"> </v>
      </c>
      <c r="AG317" s="26" t="str">
        <f>IFERROR($AC317*HDF_Limited_Col!AG317/HDF_Limited_Col!$AH317," ")</f>
        <v xml:space="preserve"> </v>
      </c>
      <c r="AH317" s="26" t="str">
        <f>IFERROR($AC317*HDF_Limited_Col!AH317/HDF_Limited_Col!$AH317," ")</f>
        <v xml:space="preserve"> </v>
      </c>
      <c r="AI317" s="26" t="str">
        <f>IFERROR($AC317*HDF_Limited_Col!AI317/HDF_Limited_Col!$AH317," ")</f>
        <v xml:space="preserve"> </v>
      </c>
      <c r="AJ317" s="26" t="str">
        <f>IFERROR($AC317*HDF_Limited_Col!AJ317/HDF_Limited_Col!$AH317," ")</f>
        <v xml:space="preserve"> </v>
      </c>
      <c r="AK317" s="26" t="str">
        <f>IFERROR($AC317*HDF_Limited_Col!AK317/HDF_Limited_Col!$AH317," ")</f>
        <v xml:space="preserve"> </v>
      </c>
      <c r="AL317" s="26" t="str">
        <f>IFERROR($AC317*HDF_Limited_Col!AL317/HDF_Limited_Col!$AH317," ")</f>
        <v xml:space="preserve"> </v>
      </c>
      <c r="AM317" s="26" t="str">
        <f>IFERROR($AC317*HDF_Limited_Col!AM317/HDF_Limited_Col!$AH317," ")</f>
        <v xml:space="preserve"> </v>
      </c>
      <c r="AN317" s="26" t="str">
        <f>IFERROR($AC317*HDF_Limited_Col!AN317/HDF_Limited_Col!$AH317," ")</f>
        <v xml:space="preserve"> </v>
      </c>
      <c r="AO317" s="26" t="str">
        <f>IFERROR($AC317*HDF_Limited_Col!AO317/HDF_Limited_Col!$AH317," ")</f>
        <v xml:space="preserve"> </v>
      </c>
      <c r="AP317" s="26" t="str">
        <f>IFERROR($AC317*HDF_Limited_Col!AP317/HDF_Limited_Col!$AH317," ")</f>
        <v xml:space="preserve"> </v>
      </c>
      <c r="AQ317" s="26" t="str">
        <f>IFERROR($AC317*HDF_Limited_Col!AQ317/HDF_Limited_Col!$AH317," ")</f>
        <v xml:space="preserve"> </v>
      </c>
      <c r="AR317" s="26" t="str">
        <f>IFERROR($AC317*HDF_Limited_Col!AR317/HDF_Limited_Col!$AH317," ")</f>
        <v xml:space="preserve"> </v>
      </c>
      <c r="AS317" s="26" t="str">
        <f>IFERROR($AC317*HDF_Limited_Col!AS317/HDF_Limited_Col!$AH317," ")</f>
        <v xml:space="preserve"> </v>
      </c>
      <c r="AT317" s="26" t="str">
        <f>IFERROR($AC317*HDF_Limited_Col!AT317/HDF_Limited_Col!$AH317," ")</f>
        <v xml:space="preserve"> </v>
      </c>
      <c r="AU317" s="26" t="str">
        <f>IFERROR($AC317*HDF_Limited_Col!AU317/HDF_Limited_Col!$AH317," ")</f>
        <v xml:space="preserve"> </v>
      </c>
      <c r="AV317" s="26" t="str">
        <f>IFERROR($AC317*HDF_Limited_Col!AV317/HDF_Limited_Col!$AH317," ")</f>
        <v xml:space="preserve"> </v>
      </c>
      <c r="AW317" s="26" t="str">
        <f>IFERROR($AC317*HDF_Limited_Col!AW317/HDF_Limited_Col!$AH317," ")</f>
        <v xml:space="preserve"> </v>
      </c>
      <c r="AX317" s="26" t="str">
        <f>IFERROR($AC317*HDF_Limited_Col!AX317/HDF_Limited_Col!$AH317," ")</f>
        <v xml:space="preserve"> </v>
      </c>
      <c r="AY317" s="26" t="str">
        <f>IFERROR($AC317*HDF_Limited_Col!AY317/HDF_Limited_Col!$AH317," ")</f>
        <v xml:space="preserve"> </v>
      </c>
      <c r="AZ317" s="26" t="str">
        <f>IFERROR($AC317*HDF_Limited_Col!AZ317/HDF_Limited_Col!$AH317," ")</f>
        <v xml:space="preserve"> </v>
      </c>
      <c r="BA317" s="26" t="str">
        <f>IFERROR($AC317*HDF_Limited_Col!BA317/HDF_Limited_Col!$AH317," ")</f>
        <v xml:space="preserve"> </v>
      </c>
      <c r="BB317" s="26" t="str">
        <f>IFERROR($AC317*HDF_Limited_Col!BB317/HDF_Limited_Col!$AH317," ")</f>
        <v xml:space="preserve"> </v>
      </c>
      <c r="BC317" s="26" t="str">
        <f>IFERROR($AC317*HDF_Limited_Col!BC317/HDF_Limited_Col!$AH317," ")</f>
        <v xml:space="preserve"> </v>
      </c>
      <c r="BD317" s="26" t="str">
        <f>IFERROR($AC317*HDF_Limited_Col!BD317/HDF_Limited_Col!$AH317," ")</f>
        <v xml:space="preserve"> </v>
      </c>
      <c r="BE317" s="26" t="str">
        <f>IFERROR($AC317*HDF_Limited_Col!BE317/HDF_Limited_Col!$AH317," ")</f>
        <v xml:space="preserve"> </v>
      </c>
      <c r="BF317" s="26" t="str">
        <f>IFERROR($AC317*HDF_Limited_Col!BF317/HDF_Limited_Col!$AH317," ")</f>
        <v xml:space="preserve"> </v>
      </c>
      <c r="BG317" s="26" t="str">
        <f>IFERROR($AC317*HDF_Limited_Col!BG317/HDF_Limited_Col!$AH317," ")</f>
        <v xml:space="preserve"> </v>
      </c>
      <c r="BH317" s="26" t="str">
        <f>IFERROR($AC317*HDF_Limited_Col!BH317/HDF_Limited_Col!$AH317," ")</f>
        <v xml:space="preserve"> </v>
      </c>
      <c r="BI317" s="26" t="str">
        <f>IFERROR($AC317*HDF_Limited_Col!BI317/HDF_Limited_Col!$AH317," ")</f>
        <v xml:space="preserve"> </v>
      </c>
      <c r="BJ317" s="26" t="str">
        <f>IFERROR($AC317*HDF_Limited_Col!BJ317/HDF_Limited_Col!$AH317," ")</f>
        <v xml:space="preserve"> </v>
      </c>
      <c r="BK317" s="26" t="str">
        <f>IFERROR($AC317*HDF_Limited_Col!BK317/HDF_Limited_Col!$AH317," ")</f>
        <v xml:space="preserve"> </v>
      </c>
      <c r="BL317" s="26" t="str">
        <f>IFERROR($AC317*HDF_Limited_Col!BL317/HDF_Limited_Col!$AH317," ")</f>
        <v xml:space="preserve"> </v>
      </c>
      <c r="BM317" s="26" t="str">
        <f>IFERROR($AC317*HDF_Limited_Col!BM317/HDF_Limited_Col!$AH317," ")</f>
        <v xml:space="preserve"> </v>
      </c>
      <c r="BN317" s="26" t="str">
        <f>IFERROR($AC317*HDF_Limited_Col!BN317/HDF_Limited_Col!$AH317," ")</f>
        <v xml:space="preserve"> </v>
      </c>
      <c r="BO317" s="26" t="str">
        <f>IFERROR($AC317*HDF_Limited_Col!BO317/HDF_Limited_Col!$AH317," ")</f>
        <v xml:space="preserve"> </v>
      </c>
      <c r="BP317" s="26" t="str">
        <f>IFERROR($AC317*HDF_Limited_Col!BP317/HDF_Limited_Col!$AH317," ")</f>
        <v xml:space="preserve"> </v>
      </c>
      <c r="BQ317" s="26" t="str">
        <f>IFERROR($AC317*HDF_Limited_Col!BQ317/HDF_Limited_Col!$AH317," ")</f>
        <v xml:space="preserve"> </v>
      </c>
      <c r="BR317" s="26" t="str">
        <f>IFERROR($AC317*HDF_Limited_Col!BR317/HDF_Limited_Col!$AH317," ")</f>
        <v xml:space="preserve"> </v>
      </c>
      <c r="BS317" s="26" t="str">
        <f>IFERROR($AC317*HDF_Limited_Col!BS317/HDF_Limited_Col!$AH317," ")</f>
        <v xml:space="preserve"> </v>
      </c>
      <c r="BT317" s="26" t="str">
        <f>IFERROR($AC317*HDF_Limited_Col!BT317/HDF_Limited_Col!$AH317," ")</f>
        <v xml:space="preserve"> </v>
      </c>
      <c r="BU317" s="26" t="str">
        <f>IFERROR($AC317*HDF_Limited_Col!BU317/HDF_Limited_Col!$AH317," ")</f>
        <v xml:space="preserve"> </v>
      </c>
      <c r="BV317" s="26" t="str">
        <f>IFERROR($AC317*HDF_Limited_Col!BV317/HDF_Limited_Col!$AH317," ")</f>
        <v xml:space="preserve"> </v>
      </c>
      <c r="BW317" s="26" t="str">
        <f>IFERROR($AC317*HDF_Limited_Col!BW317/HDF_Limited_Col!$AH317," ")</f>
        <v xml:space="preserve"> </v>
      </c>
      <c r="BX317" s="26" t="str">
        <f>IFERROR($AC317*HDF_Limited_Col!BX317/HDF_Limited_Col!$AH317," ")</f>
        <v xml:space="preserve"> </v>
      </c>
      <c r="BY317" s="26" t="str">
        <f>IFERROR($AC317*HDF_Limited_Col!BY317/HDF_Limited_Col!$AH317," ")</f>
        <v xml:space="preserve"> </v>
      </c>
      <c r="BZ317" s="26" t="str">
        <f>IFERROR($AC317*HDF_Limited_Col!BZ317/HDF_Limited_Col!$AH317," ")</f>
        <v xml:space="preserve"> </v>
      </c>
      <c r="CA317" s="26" t="str">
        <f>IFERROR($AC317*HDF_Limited_Col!CA317/HDF_Limited_Col!$AH317," ")</f>
        <v xml:space="preserve"> </v>
      </c>
      <c r="CB317" s="26" t="str">
        <f>IFERROR($AC317*HDF_Limited_Col!CB317/HDF_Limited_Col!$AH317," ")</f>
        <v xml:space="preserve"> </v>
      </c>
      <c r="CC317" s="26" t="str">
        <f>IFERROR($AC317*HDF_Limited_Col!CC317/HDF_Limited_Col!$AH317," ")</f>
        <v xml:space="preserve"> </v>
      </c>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row>
    <row r="318" spans="1:109">
      <c r="A318" s="26" t="s">
        <v>844</v>
      </c>
      <c r="B318" s="26" t="s">
        <v>24</v>
      </c>
      <c r="C318" s="26" t="s">
        <v>1369</v>
      </c>
      <c r="D318" s="26"/>
      <c r="E318" s="26" t="s">
        <v>237</v>
      </c>
      <c r="F318" s="26" t="s">
        <v>29</v>
      </c>
      <c r="G318" s="26" t="s">
        <v>595</v>
      </c>
      <c r="H318" s="30">
        <v>360</v>
      </c>
      <c r="I318" s="26" t="s">
        <v>712</v>
      </c>
      <c r="J318" s="26"/>
      <c r="K318" s="26" t="s">
        <v>488</v>
      </c>
      <c r="L318" s="26"/>
      <c r="M318" s="26" t="s">
        <v>489</v>
      </c>
      <c r="N318" s="26"/>
      <c r="AA318" s="26"/>
      <c r="AB318" s="26"/>
      <c r="AC318" s="26">
        <f t="shared" si="5"/>
        <v>0</v>
      </c>
      <c r="AD318" s="26" t="str">
        <f>IFERROR($AC318*HDF_Limited_Col!AD318/HDF_Limited_Col!$AH318," ")</f>
        <v xml:space="preserve"> </v>
      </c>
      <c r="AE318" s="26" t="str">
        <f>IFERROR($AC318*HDF_Limited_Col!AE318/HDF_Limited_Col!$AH318," ")</f>
        <v xml:space="preserve"> </v>
      </c>
      <c r="AF318" s="26" t="str">
        <f>IFERROR($AC318*HDF_Limited_Col!AF318/HDF_Limited_Col!$AH318," ")</f>
        <v xml:space="preserve"> </v>
      </c>
      <c r="AG318" s="26" t="str">
        <f>IFERROR($AC318*HDF_Limited_Col!AG318/HDF_Limited_Col!$AH318," ")</f>
        <v xml:space="preserve"> </v>
      </c>
      <c r="AH318" s="26" t="str">
        <f>IFERROR($AC318*HDF_Limited_Col!AH318/HDF_Limited_Col!$AH318," ")</f>
        <v xml:space="preserve"> </v>
      </c>
      <c r="AI318" s="26" t="str">
        <f>IFERROR($AC318*HDF_Limited_Col!AI318/HDF_Limited_Col!$AH318," ")</f>
        <v xml:space="preserve"> </v>
      </c>
      <c r="AJ318" s="26" t="str">
        <f>IFERROR($AC318*HDF_Limited_Col!AJ318/HDF_Limited_Col!$AH318," ")</f>
        <v xml:space="preserve"> </v>
      </c>
      <c r="AK318" s="26" t="str">
        <f>IFERROR($AC318*HDF_Limited_Col!AK318/HDF_Limited_Col!$AH318," ")</f>
        <v xml:space="preserve"> </v>
      </c>
      <c r="AL318" s="26" t="str">
        <f>IFERROR($AC318*HDF_Limited_Col!AL318/HDF_Limited_Col!$AH318," ")</f>
        <v xml:space="preserve"> </v>
      </c>
      <c r="AM318" s="26" t="str">
        <f>IFERROR($AC318*HDF_Limited_Col!AM318/HDF_Limited_Col!$AH318," ")</f>
        <v xml:space="preserve"> </v>
      </c>
      <c r="AN318" s="26" t="str">
        <f>IFERROR($AC318*HDF_Limited_Col!AN318/HDF_Limited_Col!$AH318," ")</f>
        <v xml:space="preserve"> </v>
      </c>
      <c r="AO318" s="26" t="str">
        <f>IFERROR($AC318*HDF_Limited_Col!AO318/HDF_Limited_Col!$AH318," ")</f>
        <v xml:space="preserve"> </v>
      </c>
      <c r="AP318" s="26" t="str">
        <f>IFERROR($AC318*HDF_Limited_Col!AP318/HDF_Limited_Col!$AH318," ")</f>
        <v xml:space="preserve"> </v>
      </c>
      <c r="AQ318" s="26" t="str">
        <f>IFERROR($AC318*HDF_Limited_Col!AQ318/HDF_Limited_Col!$AH318," ")</f>
        <v xml:space="preserve"> </v>
      </c>
      <c r="AR318" s="26" t="str">
        <f>IFERROR($AC318*HDF_Limited_Col!AR318/HDF_Limited_Col!$AH318," ")</f>
        <v xml:space="preserve"> </v>
      </c>
      <c r="AS318" s="26" t="str">
        <f>IFERROR($AC318*HDF_Limited_Col!AS318/HDF_Limited_Col!$AH318," ")</f>
        <v xml:space="preserve"> </v>
      </c>
      <c r="AT318" s="26" t="str">
        <f>IFERROR($AC318*HDF_Limited_Col!AT318/HDF_Limited_Col!$AH318," ")</f>
        <v xml:space="preserve"> </v>
      </c>
      <c r="AU318" s="26" t="str">
        <f>IFERROR($AC318*HDF_Limited_Col!AU318/HDF_Limited_Col!$AH318," ")</f>
        <v xml:space="preserve"> </v>
      </c>
      <c r="AV318" s="26" t="str">
        <f>IFERROR($AC318*HDF_Limited_Col!AV318/HDF_Limited_Col!$AH318," ")</f>
        <v xml:space="preserve"> </v>
      </c>
      <c r="AW318" s="26" t="str">
        <f>IFERROR($AC318*HDF_Limited_Col!AW318/HDF_Limited_Col!$AH318," ")</f>
        <v xml:space="preserve"> </v>
      </c>
      <c r="AX318" s="26" t="str">
        <f>IFERROR($AC318*HDF_Limited_Col!AX318/HDF_Limited_Col!$AH318," ")</f>
        <v xml:space="preserve"> </v>
      </c>
      <c r="AY318" s="26" t="str">
        <f>IFERROR($AC318*HDF_Limited_Col!AY318/HDF_Limited_Col!$AH318," ")</f>
        <v xml:space="preserve"> </v>
      </c>
      <c r="AZ318" s="26" t="str">
        <f>IFERROR($AC318*HDF_Limited_Col!AZ318/HDF_Limited_Col!$AH318," ")</f>
        <v xml:space="preserve"> </v>
      </c>
      <c r="BA318" s="26" t="str">
        <f>IFERROR($AC318*HDF_Limited_Col!BA318/HDF_Limited_Col!$AH318," ")</f>
        <v xml:space="preserve"> </v>
      </c>
      <c r="BB318" s="26" t="str">
        <f>IFERROR($AC318*HDF_Limited_Col!BB318/HDF_Limited_Col!$AH318," ")</f>
        <v xml:space="preserve"> </v>
      </c>
      <c r="BC318" s="26" t="str">
        <f>IFERROR($AC318*HDF_Limited_Col!BC318/HDF_Limited_Col!$AH318," ")</f>
        <v xml:space="preserve"> </v>
      </c>
      <c r="BD318" s="26" t="str">
        <f>IFERROR($AC318*HDF_Limited_Col!BD318/HDF_Limited_Col!$AH318," ")</f>
        <v xml:space="preserve"> </v>
      </c>
      <c r="BE318" s="26" t="str">
        <f>IFERROR($AC318*HDF_Limited_Col!BE318/HDF_Limited_Col!$AH318," ")</f>
        <v xml:space="preserve"> </v>
      </c>
      <c r="BF318" s="26" t="str">
        <f>IFERROR($AC318*HDF_Limited_Col!BF318/HDF_Limited_Col!$AH318," ")</f>
        <v xml:space="preserve"> </v>
      </c>
      <c r="BG318" s="26" t="str">
        <f>IFERROR($AC318*HDF_Limited_Col!BG318/HDF_Limited_Col!$AH318," ")</f>
        <v xml:space="preserve"> </v>
      </c>
      <c r="BH318" s="26" t="str">
        <f>IFERROR($AC318*HDF_Limited_Col!BH318/HDF_Limited_Col!$AH318," ")</f>
        <v xml:space="preserve"> </v>
      </c>
      <c r="BI318" s="26" t="str">
        <f>IFERROR($AC318*HDF_Limited_Col!BI318/HDF_Limited_Col!$AH318," ")</f>
        <v xml:space="preserve"> </v>
      </c>
      <c r="BJ318" s="26" t="str">
        <f>IFERROR($AC318*HDF_Limited_Col!BJ318/HDF_Limited_Col!$AH318," ")</f>
        <v xml:space="preserve"> </v>
      </c>
      <c r="BK318" s="26" t="str">
        <f>IFERROR($AC318*HDF_Limited_Col!BK318/HDF_Limited_Col!$AH318," ")</f>
        <v xml:space="preserve"> </v>
      </c>
      <c r="BL318" s="26" t="str">
        <f>IFERROR($AC318*HDF_Limited_Col!BL318/HDF_Limited_Col!$AH318," ")</f>
        <v xml:space="preserve"> </v>
      </c>
      <c r="BM318" s="26" t="str">
        <f>IFERROR($AC318*HDF_Limited_Col!BM318/HDF_Limited_Col!$AH318," ")</f>
        <v xml:space="preserve"> </v>
      </c>
      <c r="BN318" s="26" t="str">
        <f>IFERROR($AC318*HDF_Limited_Col!BN318/HDF_Limited_Col!$AH318," ")</f>
        <v xml:space="preserve"> </v>
      </c>
      <c r="BO318" s="26" t="str">
        <f>IFERROR($AC318*HDF_Limited_Col!BO318/HDF_Limited_Col!$AH318," ")</f>
        <v xml:space="preserve"> </v>
      </c>
      <c r="BP318" s="26" t="str">
        <f>IFERROR($AC318*HDF_Limited_Col!BP318/HDF_Limited_Col!$AH318," ")</f>
        <v xml:space="preserve"> </v>
      </c>
      <c r="BQ318" s="26" t="str">
        <f>IFERROR($AC318*HDF_Limited_Col!BQ318/HDF_Limited_Col!$AH318," ")</f>
        <v xml:space="preserve"> </v>
      </c>
      <c r="BR318" s="26" t="str">
        <f>IFERROR($AC318*HDF_Limited_Col!BR318/HDF_Limited_Col!$AH318," ")</f>
        <v xml:space="preserve"> </v>
      </c>
      <c r="BS318" s="26" t="str">
        <f>IFERROR($AC318*HDF_Limited_Col!BS318/HDF_Limited_Col!$AH318," ")</f>
        <v xml:space="preserve"> </v>
      </c>
      <c r="BT318" s="26" t="str">
        <f>IFERROR($AC318*HDF_Limited_Col!BT318/HDF_Limited_Col!$AH318," ")</f>
        <v xml:space="preserve"> </v>
      </c>
      <c r="BU318" s="26" t="str">
        <f>IFERROR($AC318*HDF_Limited_Col!BU318/HDF_Limited_Col!$AH318," ")</f>
        <v xml:space="preserve"> </v>
      </c>
      <c r="BV318" s="26" t="str">
        <f>IFERROR($AC318*HDF_Limited_Col!BV318/HDF_Limited_Col!$AH318," ")</f>
        <v xml:space="preserve"> </v>
      </c>
      <c r="BW318" s="26" t="str">
        <f>IFERROR($AC318*HDF_Limited_Col!BW318/HDF_Limited_Col!$AH318," ")</f>
        <v xml:space="preserve"> </v>
      </c>
      <c r="BX318" s="26" t="str">
        <f>IFERROR($AC318*HDF_Limited_Col!BX318/HDF_Limited_Col!$AH318," ")</f>
        <v xml:space="preserve"> </v>
      </c>
      <c r="BY318" s="26" t="str">
        <f>IFERROR($AC318*HDF_Limited_Col!BY318/HDF_Limited_Col!$AH318," ")</f>
        <v xml:space="preserve"> </v>
      </c>
      <c r="BZ318" s="26" t="str">
        <f>IFERROR($AC318*HDF_Limited_Col!BZ318/HDF_Limited_Col!$AH318," ")</f>
        <v xml:space="preserve"> </v>
      </c>
      <c r="CA318" s="26" t="str">
        <f>IFERROR($AC318*HDF_Limited_Col!CA318/HDF_Limited_Col!$AH318," ")</f>
        <v xml:space="preserve"> </v>
      </c>
      <c r="CB318" s="26" t="str">
        <f>IFERROR($AC318*HDF_Limited_Col!CB318/HDF_Limited_Col!$AH318," ")</f>
        <v xml:space="preserve"> </v>
      </c>
      <c r="CC318" s="26" t="str">
        <f>IFERROR($AC318*HDF_Limited_Col!CC318/HDF_Limited_Col!$AH318," ")</f>
        <v xml:space="preserve"> </v>
      </c>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row>
    <row r="319" spans="1:109">
      <c r="A319" s="26" t="s">
        <v>844</v>
      </c>
      <c r="B319" s="26" t="s">
        <v>24</v>
      </c>
      <c r="C319" s="26" t="s">
        <v>1369</v>
      </c>
      <c r="D319" s="26"/>
      <c r="E319" s="26" t="s">
        <v>237</v>
      </c>
      <c r="F319" s="26" t="s">
        <v>29</v>
      </c>
      <c r="G319" s="26" t="s">
        <v>595</v>
      </c>
      <c r="H319" s="30">
        <v>360</v>
      </c>
      <c r="I319" s="26" t="s">
        <v>712</v>
      </c>
      <c r="J319" s="26"/>
      <c r="K319" s="26" t="s">
        <v>488</v>
      </c>
      <c r="L319" s="26"/>
      <c r="M319" s="26" t="s">
        <v>490</v>
      </c>
      <c r="N319" s="26"/>
      <c r="AA319" s="26"/>
      <c r="AB319" s="26"/>
      <c r="AC319" s="26">
        <f t="shared" si="5"/>
        <v>0</v>
      </c>
      <c r="AD319" s="26" t="str">
        <f>IFERROR($AC319*HDF_Limited_Col!AD319/HDF_Limited_Col!$AH319," ")</f>
        <v xml:space="preserve"> </v>
      </c>
      <c r="AE319" s="26" t="str">
        <f>IFERROR($AC319*HDF_Limited_Col!AE319/HDF_Limited_Col!$AH319," ")</f>
        <v xml:space="preserve"> </v>
      </c>
      <c r="AF319" s="26" t="str">
        <f>IFERROR($AC319*HDF_Limited_Col!AF319/HDF_Limited_Col!$AH319," ")</f>
        <v xml:space="preserve"> </v>
      </c>
      <c r="AG319" s="26" t="str">
        <f>IFERROR($AC319*HDF_Limited_Col!AG319/HDF_Limited_Col!$AH319," ")</f>
        <v xml:space="preserve"> </v>
      </c>
      <c r="AH319" s="26" t="str">
        <f>IFERROR($AC319*HDF_Limited_Col!AH319/HDF_Limited_Col!$AH319," ")</f>
        <v xml:space="preserve"> </v>
      </c>
      <c r="AI319" s="26" t="str">
        <f>IFERROR($AC319*HDF_Limited_Col!AI319/HDF_Limited_Col!$AH319," ")</f>
        <v xml:space="preserve"> </v>
      </c>
      <c r="AJ319" s="26" t="str">
        <f>IFERROR($AC319*HDF_Limited_Col!AJ319/HDF_Limited_Col!$AH319," ")</f>
        <v xml:space="preserve"> </v>
      </c>
      <c r="AK319" s="26" t="str">
        <f>IFERROR($AC319*HDF_Limited_Col!AK319/HDF_Limited_Col!$AH319," ")</f>
        <v xml:space="preserve"> </v>
      </c>
      <c r="AL319" s="26" t="str">
        <f>IFERROR($AC319*HDF_Limited_Col!AL319/HDF_Limited_Col!$AH319," ")</f>
        <v xml:space="preserve"> </v>
      </c>
      <c r="AM319" s="26" t="str">
        <f>IFERROR($AC319*HDF_Limited_Col!AM319/HDF_Limited_Col!$AH319," ")</f>
        <v xml:space="preserve"> </v>
      </c>
      <c r="AN319" s="26" t="str">
        <f>IFERROR($AC319*HDF_Limited_Col!AN319/HDF_Limited_Col!$AH319," ")</f>
        <v xml:space="preserve"> </v>
      </c>
      <c r="AO319" s="26" t="str">
        <f>IFERROR($AC319*HDF_Limited_Col!AO319/HDF_Limited_Col!$AH319," ")</f>
        <v xml:space="preserve"> </v>
      </c>
      <c r="AP319" s="26" t="str">
        <f>IFERROR($AC319*HDF_Limited_Col!AP319/HDF_Limited_Col!$AH319," ")</f>
        <v xml:space="preserve"> </v>
      </c>
      <c r="AQ319" s="26" t="str">
        <f>IFERROR($AC319*HDF_Limited_Col!AQ319/HDF_Limited_Col!$AH319," ")</f>
        <v xml:space="preserve"> </v>
      </c>
      <c r="AR319" s="26" t="str">
        <f>IFERROR($AC319*HDF_Limited_Col!AR319/HDF_Limited_Col!$AH319," ")</f>
        <v xml:space="preserve"> </v>
      </c>
      <c r="AS319" s="26" t="str">
        <f>IFERROR($AC319*HDF_Limited_Col!AS319/HDF_Limited_Col!$AH319," ")</f>
        <v xml:space="preserve"> </v>
      </c>
      <c r="AT319" s="26" t="str">
        <f>IFERROR($AC319*HDF_Limited_Col!AT319/HDF_Limited_Col!$AH319," ")</f>
        <v xml:space="preserve"> </v>
      </c>
      <c r="AU319" s="26" t="str">
        <f>IFERROR($AC319*HDF_Limited_Col!AU319/HDF_Limited_Col!$AH319," ")</f>
        <v xml:space="preserve"> </v>
      </c>
      <c r="AV319" s="26" t="str">
        <f>IFERROR($AC319*HDF_Limited_Col!AV319/HDF_Limited_Col!$AH319," ")</f>
        <v xml:space="preserve"> </v>
      </c>
      <c r="AW319" s="26" t="str">
        <f>IFERROR($AC319*HDF_Limited_Col!AW319/HDF_Limited_Col!$AH319," ")</f>
        <v xml:space="preserve"> </v>
      </c>
      <c r="AX319" s="26" t="str">
        <f>IFERROR($AC319*HDF_Limited_Col!AX319/HDF_Limited_Col!$AH319," ")</f>
        <v xml:space="preserve"> </v>
      </c>
      <c r="AY319" s="26" t="str">
        <f>IFERROR($AC319*HDF_Limited_Col!AY319/HDF_Limited_Col!$AH319," ")</f>
        <v xml:space="preserve"> </v>
      </c>
      <c r="AZ319" s="26" t="str">
        <f>IFERROR($AC319*HDF_Limited_Col!AZ319/HDF_Limited_Col!$AH319," ")</f>
        <v xml:space="preserve"> </v>
      </c>
      <c r="BA319" s="26" t="str">
        <f>IFERROR($AC319*HDF_Limited_Col!BA319/HDF_Limited_Col!$AH319," ")</f>
        <v xml:space="preserve"> </v>
      </c>
      <c r="BB319" s="26" t="str">
        <f>IFERROR($AC319*HDF_Limited_Col!BB319/HDF_Limited_Col!$AH319," ")</f>
        <v xml:space="preserve"> </v>
      </c>
      <c r="BC319" s="26" t="str">
        <f>IFERROR($AC319*HDF_Limited_Col!BC319/HDF_Limited_Col!$AH319," ")</f>
        <v xml:space="preserve"> </v>
      </c>
      <c r="BD319" s="26" t="str">
        <f>IFERROR($AC319*HDF_Limited_Col!BD319/HDF_Limited_Col!$AH319," ")</f>
        <v xml:space="preserve"> </v>
      </c>
      <c r="BE319" s="26" t="str">
        <f>IFERROR($AC319*HDF_Limited_Col!BE319/HDF_Limited_Col!$AH319," ")</f>
        <v xml:space="preserve"> </v>
      </c>
      <c r="BF319" s="26" t="str">
        <f>IFERROR($AC319*HDF_Limited_Col!BF319/HDF_Limited_Col!$AH319," ")</f>
        <v xml:space="preserve"> </v>
      </c>
      <c r="BG319" s="26" t="str">
        <f>IFERROR($AC319*HDF_Limited_Col!BG319/HDF_Limited_Col!$AH319," ")</f>
        <v xml:space="preserve"> </v>
      </c>
      <c r="BH319" s="26" t="str">
        <f>IFERROR($AC319*HDF_Limited_Col!BH319/HDF_Limited_Col!$AH319," ")</f>
        <v xml:space="preserve"> </v>
      </c>
      <c r="BI319" s="26" t="str">
        <f>IFERROR($AC319*HDF_Limited_Col!BI319/HDF_Limited_Col!$AH319," ")</f>
        <v xml:space="preserve"> </v>
      </c>
      <c r="BJ319" s="26" t="str">
        <f>IFERROR($AC319*HDF_Limited_Col!BJ319/HDF_Limited_Col!$AH319," ")</f>
        <v xml:space="preserve"> </v>
      </c>
      <c r="BK319" s="26" t="str">
        <f>IFERROR($AC319*HDF_Limited_Col!BK319/HDF_Limited_Col!$AH319," ")</f>
        <v xml:space="preserve"> </v>
      </c>
      <c r="BL319" s="26" t="str">
        <f>IFERROR($AC319*HDF_Limited_Col!BL319/HDF_Limited_Col!$AH319," ")</f>
        <v xml:space="preserve"> </v>
      </c>
      <c r="BM319" s="26" t="str">
        <f>IFERROR($AC319*HDF_Limited_Col!BM319/HDF_Limited_Col!$AH319," ")</f>
        <v xml:space="preserve"> </v>
      </c>
      <c r="BN319" s="26" t="str">
        <f>IFERROR($AC319*HDF_Limited_Col!BN319/HDF_Limited_Col!$AH319," ")</f>
        <v xml:space="preserve"> </v>
      </c>
      <c r="BO319" s="26" t="str">
        <f>IFERROR($AC319*HDF_Limited_Col!BO319/HDF_Limited_Col!$AH319," ")</f>
        <v xml:space="preserve"> </v>
      </c>
      <c r="BP319" s="26" t="str">
        <f>IFERROR($AC319*HDF_Limited_Col!BP319/HDF_Limited_Col!$AH319," ")</f>
        <v xml:space="preserve"> </v>
      </c>
      <c r="BQ319" s="26" t="str">
        <f>IFERROR($AC319*HDF_Limited_Col!BQ319/HDF_Limited_Col!$AH319," ")</f>
        <v xml:space="preserve"> </v>
      </c>
      <c r="BR319" s="26" t="str">
        <f>IFERROR($AC319*HDF_Limited_Col!BR319/HDF_Limited_Col!$AH319," ")</f>
        <v xml:space="preserve"> </v>
      </c>
      <c r="BS319" s="26" t="str">
        <f>IFERROR($AC319*HDF_Limited_Col!BS319/HDF_Limited_Col!$AH319," ")</f>
        <v xml:space="preserve"> </v>
      </c>
      <c r="BT319" s="26" t="str">
        <f>IFERROR($AC319*HDF_Limited_Col!BT319/HDF_Limited_Col!$AH319," ")</f>
        <v xml:space="preserve"> </v>
      </c>
      <c r="BU319" s="26" t="str">
        <f>IFERROR($AC319*HDF_Limited_Col!BU319/HDF_Limited_Col!$AH319," ")</f>
        <v xml:space="preserve"> </v>
      </c>
      <c r="BV319" s="26" t="str">
        <f>IFERROR($AC319*HDF_Limited_Col!BV319/HDF_Limited_Col!$AH319," ")</f>
        <v xml:space="preserve"> </v>
      </c>
      <c r="BW319" s="26" t="str">
        <f>IFERROR($AC319*HDF_Limited_Col!BW319/HDF_Limited_Col!$AH319," ")</f>
        <v xml:space="preserve"> </v>
      </c>
      <c r="BX319" s="26" t="str">
        <f>IFERROR($AC319*HDF_Limited_Col!BX319/HDF_Limited_Col!$AH319," ")</f>
        <v xml:space="preserve"> </v>
      </c>
      <c r="BY319" s="26" t="str">
        <f>IFERROR($AC319*HDF_Limited_Col!BY319/HDF_Limited_Col!$AH319," ")</f>
        <v xml:space="preserve"> </v>
      </c>
      <c r="BZ319" s="26" t="str">
        <f>IFERROR($AC319*HDF_Limited_Col!BZ319/HDF_Limited_Col!$AH319," ")</f>
        <v xml:space="preserve"> </v>
      </c>
      <c r="CA319" s="26" t="str">
        <f>IFERROR($AC319*HDF_Limited_Col!CA319/HDF_Limited_Col!$AH319," ")</f>
        <v xml:space="preserve"> </v>
      </c>
      <c r="CB319" s="26" t="str">
        <f>IFERROR($AC319*HDF_Limited_Col!CB319/HDF_Limited_Col!$AH319," ")</f>
        <v xml:space="preserve"> </v>
      </c>
      <c r="CC319" s="26" t="str">
        <f>IFERROR($AC319*HDF_Limited_Col!CC319/HDF_Limited_Col!$AH319," ")</f>
        <v xml:space="preserve"> </v>
      </c>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row>
    <row r="320" spans="1:109">
      <c r="A320" s="26" t="s">
        <v>672</v>
      </c>
      <c r="B320" s="26" t="s">
        <v>24</v>
      </c>
      <c r="C320" s="26" t="s">
        <v>1369</v>
      </c>
      <c r="D320" s="26" t="s">
        <v>1723</v>
      </c>
      <c r="E320" s="26" t="s">
        <v>237</v>
      </c>
      <c r="F320" s="26" t="s">
        <v>29</v>
      </c>
      <c r="G320" s="26" t="s">
        <v>595</v>
      </c>
      <c r="H320" s="30">
        <v>360</v>
      </c>
      <c r="I320" s="26" t="s">
        <v>735</v>
      </c>
      <c r="J320" s="26" t="s">
        <v>1496</v>
      </c>
      <c r="K320" s="26"/>
      <c r="L320" s="26"/>
      <c r="M320" s="26" t="s">
        <v>42</v>
      </c>
      <c r="N320" s="26">
        <v>28</v>
      </c>
      <c r="O320" s="95">
        <v>22.772312099280665</v>
      </c>
      <c r="P320" s="95">
        <v>0.53533464247856888</v>
      </c>
      <c r="Q320" s="95">
        <v>5.72396271573239</v>
      </c>
      <c r="R320" s="95">
        <v>11.746477443616291</v>
      </c>
      <c r="S320" s="95">
        <v>30.2361124030684</v>
      </c>
      <c r="T320" s="95">
        <v>10.562564291980992</v>
      </c>
      <c r="U320" s="95">
        <v>0</v>
      </c>
      <c r="V320" s="95">
        <v>4.4473954913604192</v>
      </c>
      <c r="W320" s="95">
        <v>8.658008352393777</v>
      </c>
      <c r="X320" s="95">
        <v>2.192813054767984</v>
      </c>
      <c r="Y320" s="95">
        <v>4.0253047155600088</v>
      </c>
      <c r="Z320" s="95">
        <v>100.9002852102395</v>
      </c>
      <c r="AA320" s="26"/>
      <c r="AB320" s="26"/>
      <c r="AC320" s="26">
        <f t="shared" si="5"/>
        <v>71873.357178145612</v>
      </c>
      <c r="AD320" s="26" t="str">
        <f>IFERROR($AC320*HDF_Limited_Col!AD320/HDF_Limited_Col!$AH320," ")</f>
        <v xml:space="preserve"> </v>
      </c>
      <c r="AE320" s="26" t="str">
        <f>IFERROR($AC320*HDF_Limited_Col!AE320/HDF_Limited_Col!$AH320," ")</f>
        <v xml:space="preserve"> </v>
      </c>
      <c r="AF320" s="26" t="str">
        <f>IFERROR($AC320*HDF_Limited_Col!AF320/HDF_Limited_Col!$AH320," ")</f>
        <v xml:space="preserve"> </v>
      </c>
      <c r="AG320" s="26" t="str">
        <f>IFERROR($AC320*HDF_Limited_Col!AG320/HDF_Limited_Col!$AH320," ")</f>
        <v xml:space="preserve"> </v>
      </c>
      <c r="AH320" s="26" t="str">
        <f>IFERROR($AC320*HDF_Limited_Col!AH320/HDF_Limited_Col!$AH320," ")</f>
        <v xml:space="preserve"> </v>
      </c>
      <c r="AI320" s="26" t="str">
        <f>IFERROR($AC320*HDF_Limited_Col!AI320/HDF_Limited_Col!$AH320," ")</f>
        <v xml:space="preserve"> </v>
      </c>
      <c r="AJ320" s="26" t="str">
        <f>IFERROR($AC320*HDF_Limited_Col!AJ320/HDF_Limited_Col!$AH320," ")</f>
        <v xml:space="preserve"> </v>
      </c>
      <c r="AK320" s="26" t="str">
        <f>IFERROR($AC320*HDF_Limited_Col!AK320/HDF_Limited_Col!$AH320," ")</f>
        <v xml:space="preserve"> </v>
      </c>
      <c r="AL320" s="26" t="str">
        <f>IFERROR($AC320*HDF_Limited_Col!AL320/HDF_Limited_Col!$AH320," ")</f>
        <v xml:space="preserve"> </v>
      </c>
      <c r="AM320" s="26" t="str">
        <f>IFERROR($AC320*HDF_Limited_Col!AM320/HDF_Limited_Col!$AH320," ")</f>
        <v xml:space="preserve"> </v>
      </c>
      <c r="AN320" s="26" t="str">
        <f>IFERROR($AC320*HDF_Limited_Col!AN320/HDF_Limited_Col!$AH320," ")</f>
        <v xml:space="preserve"> </v>
      </c>
      <c r="AO320" s="26" t="str">
        <f>IFERROR($AC320*HDF_Limited_Col!AO320/HDF_Limited_Col!$AH320," ")</f>
        <v xml:space="preserve"> </v>
      </c>
      <c r="AP320" s="26" t="str">
        <f>IFERROR($AC320*HDF_Limited_Col!AP320/HDF_Limited_Col!$AH320," ")</f>
        <v xml:space="preserve"> </v>
      </c>
      <c r="AQ320" s="26" t="str">
        <f>IFERROR($AC320*HDF_Limited_Col!AQ320/HDF_Limited_Col!$AH320," ")</f>
        <v xml:space="preserve"> </v>
      </c>
      <c r="AR320" s="26" t="str">
        <f>IFERROR($AC320*HDF_Limited_Col!AR320/HDF_Limited_Col!$AH320," ")</f>
        <v xml:space="preserve"> </v>
      </c>
      <c r="AS320" s="26" t="str">
        <f>IFERROR($AC320*HDF_Limited_Col!AS320/HDF_Limited_Col!$AH320," ")</f>
        <v xml:space="preserve"> </v>
      </c>
      <c r="AT320" s="26" t="str">
        <f>IFERROR($AC320*HDF_Limited_Col!AT320/HDF_Limited_Col!$AH320," ")</f>
        <v xml:space="preserve"> </v>
      </c>
      <c r="AU320" s="26" t="str">
        <f>IFERROR($AC320*HDF_Limited_Col!AU320/HDF_Limited_Col!$AH320," ")</f>
        <v xml:space="preserve"> </v>
      </c>
      <c r="AV320" s="26" t="str">
        <f>IFERROR($AC320*HDF_Limited_Col!AV320/HDF_Limited_Col!$AH320," ")</f>
        <v xml:space="preserve"> </v>
      </c>
      <c r="AW320" s="26" t="str">
        <f>IFERROR($AC320*HDF_Limited_Col!AW320/HDF_Limited_Col!$AH320," ")</f>
        <v xml:space="preserve"> </v>
      </c>
      <c r="AX320" s="26" t="str">
        <f>IFERROR($AC320*HDF_Limited_Col!AX320/HDF_Limited_Col!$AH320," ")</f>
        <v xml:space="preserve"> </v>
      </c>
      <c r="AY320" s="26" t="str">
        <f>IFERROR($AC320*HDF_Limited_Col!AY320/HDF_Limited_Col!$AH320," ")</f>
        <v xml:space="preserve"> </v>
      </c>
      <c r="AZ320" s="26" t="str">
        <f>IFERROR($AC320*HDF_Limited_Col!AZ320/HDF_Limited_Col!$AH320," ")</f>
        <v xml:space="preserve"> </v>
      </c>
      <c r="BA320" s="26" t="str">
        <f>IFERROR($AC320*HDF_Limited_Col!BA320/HDF_Limited_Col!$AH320," ")</f>
        <v xml:space="preserve"> </v>
      </c>
      <c r="BB320" s="26" t="str">
        <f>IFERROR($AC320*HDF_Limited_Col!BB320/HDF_Limited_Col!$AH320," ")</f>
        <v xml:space="preserve"> </v>
      </c>
      <c r="BC320" s="26" t="str">
        <f>IFERROR($AC320*HDF_Limited_Col!BC320/HDF_Limited_Col!$AH320," ")</f>
        <v xml:space="preserve"> </v>
      </c>
      <c r="BD320" s="26" t="str">
        <f>IFERROR($AC320*HDF_Limited_Col!BD320/HDF_Limited_Col!$AH320," ")</f>
        <v xml:space="preserve"> </v>
      </c>
      <c r="BE320" s="26" t="str">
        <f>IFERROR($AC320*HDF_Limited_Col!BE320/HDF_Limited_Col!$AH320," ")</f>
        <v xml:space="preserve"> </v>
      </c>
      <c r="BF320" s="26" t="str">
        <f>IFERROR($AC320*HDF_Limited_Col!BF320/HDF_Limited_Col!$AH320," ")</f>
        <v xml:space="preserve"> </v>
      </c>
      <c r="BG320" s="26" t="str">
        <f>IFERROR($AC320*HDF_Limited_Col!BG320/HDF_Limited_Col!$AH320," ")</f>
        <v xml:space="preserve"> </v>
      </c>
      <c r="BH320" s="26" t="str">
        <f>IFERROR($AC320*HDF_Limited_Col!BH320/HDF_Limited_Col!$AH320," ")</f>
        <v xml:space="preserve"> </v>
      </c>
      <c r="BI320" s="26" t="str">
        <f>IFERROR($AC320*HDF_Limited_Col!BI320/HDF_Limited_Col!$AH320," ")</f>
        <v xml:space="preserve"> </v>
      </c>
      <c r="BJ320" s="26" t="str">
        <f>IFERROR($AC320*HDF_Limited_Col!BJ320/HDF_Limited_Col!$AH320," ")</f>
        <v xml:space="preserve"> </v>
      </c>
      <c r="BK320" s="26" t="str">
        <f>IFERROR($AC320*HDF_Limited_Col!BK320/HDF_Limited_Col!$AH320," ")</f>
        <v xml:space="preserve"> </v>
      </c>
      <c r="BL320" s="26" t="str">
        <f>IFERROR($AC320*HDF_Limited_Col!BL320/HDF_Limited_Col!$AH320," ")</f>
        <v xml:space="preserve"> </v>
      </c>
      <c r="BM320" s="26" t="str">
        <f>IFERROR($AC320*HDF_Limited_Col!BM320/HDF_Limited_Col!$AH320," ")</f>
        <v xml:space="preserve"> </v>
      </c>
      <c r="BN320" s="26" t="str">
        <f>IFERROR($AC320*HDF_Limited_Col!BN320/HDF_Limited_Col!$AH320," ")</f>
        <v xml:space="preserve"> </v>
      </c>
      <c r="BO320" s="26" t="str">
        <f>IFERROR($AC320*HDF_Limited_Col!BO320/HDF_Limited_Col!$AH320," ")</f>
        <v xml:space="preserve"> </v>
      </c>
      <c r="BP320" s="26" t="str">
        <f>IFERROR($AC320*HDF_Limited_Col!BP320/HDF_Limited_Col!$AH320," ")</f>
        <v xml:space="preserve"> </v>
      </c>
      <c r="BQ320" s="26" t="str">
        <f>IFERROR($AC320*HDF_Limited_Col!BQ320/HDF_Limited_Col!$AH320," ")</f>
        <v xml:space="preserve"> </v>
      </c>
      <c r="BR320" s="26" t="str">
        <f>IFERROR($AC320*HDF_Limited_Col!BR320/HDF_Limited_Col!$AH320," ")</f>
        <v xml:space="preserve"> </v>
      </c>
      <c r="BS320" s="26" t="str">
        <f>IFERROR($AC320*HDF_Limited_Col!BS320/HDF_Limited_Col!$AH320," ")</f>
        <v xml:space="preserve"> </v>
      </c>
      <c r="BT320" s="26" t="str">
        <f>IFERROR($AC320*HDF_Limited_Col!BT320/HDF_Limited_Col!$AH320," ")</f>
        <v xml:space="preserve"> </v>
      </c>
      <c r="BU320" s="26" t="str">
        <f>IFERROR($AC320*HDF_Limited_Col!BU320/HDF_Limited_Col!$AH320," ")</f>
        <v xml:space="preserve"> </v>
      </c>
      <c r="BV320" s="26" t="str">
        <f>IFERROR($AC320*HDF_Limited_Col!BV320/HDF_Limited_Col!$AH320," ")</f>
        <v xml:space="preserve"> </v>
      </c>
      <c r="BW320" s="26" t="str">
        <f>IFERROR($AC320*HDF_Limited_Col!BW320/HDF_Limited_Col!$AH320," ")</f>
        <v xml:space="preserve"> </v>
      </c>
      <c r="BX320" s="26" t="str">
        <f>IFERROR($AC320*HDF_Limited_Col!BX320/HDF_Limited_Col!$AH320," ")</f>
        <v xml:space="preserve"> </v>
      </c>
      <c r="BY320" s="26" t="str">
        <f>IFERROR($AC320*HDF_Limited_Col!BY320/HDF_Limited_Col!$AH320," ")</f>
        <v xml:space="preserve"> </v>
      </c>
      <c r="BZ320" s="26" t="str">
        <f>IFERROR($AC320*HDF_Limited_Col!BZ320/HDF_Limited_Col!$AH320," ")</f>
        <v xml:space="preserve"> </v>
      </c>
      <c r="CA320" s="26" t="str">
        <f>IFERROR($AC320*HDF_Limited_Col!CA320/HDF_Limited_Col!$AH320," ")</f>
        <v xml:space="preserve"> </v>
      </c>
      <c r="CB320" s="26" t="str">
        <f>IFERROR($AC320*HDF_Limited_Col!CB320/HDF_Limited_Col!$AH320," ")</f>
        <v xml:space="preserve"> </v>
      </c>
      <c r="CC320" s="26" t="str">
        <f>IFERROR($AC320*HDF_Limited_Col!CC320/HDF_Limited_Col!$AH320," ")</f>
        <v xml:space="preserve"> </v>
      </c>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row>
    <row r="321" spans="1:109">
      <c r="A321" s="26" t="s">
        <v>672</v>
      </c>
      <c r="B321" s="26" t="s">
        <v>24</v>
      </c>
      <c r="C321" s="26" t="s">
        <v>1369</v>
      </c>
      <c r="D321" s="26" t="s">
        <v>1723</v>
      </c>
      <c r="E321" s="26" t="s">
        <v>237</v>
      </c>
      <c r="F321" s="26" t="s">
        <v>29</v>
      </c>
      <c r="G321" s="26" t="s">
        <v>595</v>
      </c>
      <c r="H321" s="30">
        <v>360</v>
      </c>
      <c r="I321" s="26" t="s">
        <v>735</v>
      </c>
      <c r="J321" s="26" t="s">
        <v>1496</v>
      </c>
      <c r="K321" s="26"/>
      <c r="L321" s="26"/>
      <c r="M321" s="26" t="s">
        <v>43</v>
      </c>
      <c r="N321" s="26">
        <v>32</v>
      </c>
      <c r="O321" s="95">
        <v>23.405017711573088</v>
      </c>
      <c r="P321" s="95">
        <v>0.37700725090474718</v>
      </c>
      <c r="Q321" s="95">
        <v>5.4920786010178029</v>
      </c>
      <c r="R321" s="95">
        <v>12.257830346984077</v>
      </c>
      <c r="S321" s="95">
        <v>31.617662150200829</v>
      </c>
      <c r="T321" s="95">
        <v>11.167566134908189</v>
      </c>
      <c r="U321" s="95">
        <v>0</v>
      </c>
      <c r="V321" s="95">
        <v>4.8705261062829512</v>
      </c>
      <c r="W321" s="95">
        <v>7.1937059226689595</v>
      </c>
      <c r="X321" s="95">
        <v>1.7220060919703317</v>
      </c>
      <c r="Y321" s="95">
        <v>2.445452438301063</v>
      </c>
      <c r="Z321" s="95">
        <v>100.54885275481203</v>
      </c>
      <c r="AA321" s="26"/>
      <c r="AB321" s="26"/>
      <c r="AC321" s="26">
        <f t="shared" si="5"/>
        <v>59717.636455222062</v>
      </c>
      <c r="AD321" s="26" t="str">
        <f>IFERROR($AC321*HDF_Limited_Col!AD321/HDF_Limited_Col!$AH321," ")</f>
        <v xml:space="preserve"> </v>
      </c>
      <c r="AE321" s="26" t="str">
        <f>IFERROR($AC321*HDF_Limited_Col!AE321/HDF_Limited_Col!$AH321," ")</f>
        <v xml:space="preserve"> </v>
      </c>
      <c r="AF321" s="26" t="str">
        <f>IFERROR($AC321*HDF_Limited_Col!AF321/HDF_Limited_Col!$AH321," ")</f>
        <v xml:space="preserve"> </v>
      </c>
      <c r="AG321" s="26" t="str">
        <f>IFERROR($AC321*HDF_Limited_Col!AG321/HDF_Limited_Col!$AH321," ")</f>
        <v xml:space="preserve"> </v>
      </c>
      <c r="AH321" s="26" t="str">
        <f>IFERROR($AC321*HDF_Limited_Col!AH321/HDF_Limited_Col!$AH321," ")</f>
        <v xml:space="preserve"> </v>
      </c>
      <c r="AI321" s="26" t="str">
        <f>IFERROR($AC321*HDF_Limited_Col!AI321/HDF_Limited_Col!$AH321," ")</f>
        <v xml:space="preserve"> </v>
      </c>
      <c r="AJ321" s="26" t="str">
        <f>IFERROR($AC321*HDF_Limited_Col!AJ321/HDF_Limited_Col!$AH321," ")</f>
        <v xml:space="preserve"> </v>
      </c>
      <c r="AK321" s="26" t="str">
        <f>IFERROR($AC321*HDF_Limited_Col!AK321/HDF_Limited_Col!$AH321," ")</f>
        <v xml:space="preserve"> </v>
      </c>
      <c r="AL321" s="26" t="str">
        <f>IFERROR($AC321*HDF_Limited_Col!AL321/HDF_Limited_Col!$AH321," ")</f>
        <v xml:space="preserve"> </v>
      </c>
      <c r="AM321" s="26" t="str">
        <f>IFERROR($AC321*HDF_Limited_Col!AM321/HDF_Limited_Col!$AH321," ")</f>
        <v xml:space="preserve"> </v>
      </c>
      <c r="AN321" s="26" t="str">
        <f>IFERROR($AC321*HDF_Limited_Col!AN321/HDF_Limited_Col!$AH321," ")</f>
        <v xml:space="preserve"> </v>
      </c>
      <c r="AO321" s="26" t="str">
        <f>IFERROR($AC321*HDF_Limited_Col!AO321/HDF_Limited_Col!$AH321," ")</f>
        <v xml:space="preserve"> </v>
      </c>
      <c r="AP321" s="26" t="str">
        <f>IFERROR($AC321*HDF_Limited_Col!AP321/HDF_Limited_Col!$AH321," ")</f>
        <v xml:space="preserve"> </v>
      </c>
      <c r="AQ321" s="26" t="str">
        <f>IFERROR($AC321*HDF_Limited_Col!AQ321/HDF_Limited_Col!$AH321," ")</f>
        <v xml:space="preserve"> </v>
      </c>
      <c r="AR321" s="26" t="str">
        <f>IFERROR($AC321*HDF_Limited_Col!AR321/HDF_Limited_Col!$AH321," ")</f>
        <v xml:space="preserve"> </v>
      </c>
      <c r="AS321" s="26" t="str">
        <f>IFERROR($AC321*HDF_Limited_Col!AS321/HDF_Limited_Col!$AH321," ")</f>
        <v xml:space="preserve"> </v>
      </c>
      <c r="AT321" s="26" t="str">
        <f>IFERROR($AC321*HDF_Limited_Col!AT321/HDF_Limited_Col!$AH321," ")</f>
        <v xml:space="preserve"> </v>
      </c>
      <c r="AU321" s="26" t="str">
        <f>IFERROR($AC321*HDF_Limited_Col!AU321/HDF_Limited_Col!$AH321," ")</f>
        <v xml:space="preserve"> </v>
      </c>
      <c r="AV321" s="26" t="str">
        <f>IFERROR($AC321*HDF_Limited_Col!AV321/HDF_Limited_Col!$AH321," ")</f>
        <v xml:space="preserve"> </v>
      </c>
      <c r="AW321" s="26" t="str">
        <f>IFERROR($AC321*HDF_Limited_Col!AW321/HDF_Limited_Col!$AH321," ")</f>
        <v xml:space="preserve"> </v>
      </c>
      <c r="AX321" s="26" t="str">
        <f>IFERROR($AC321*HDF_Limited_Col!AX321/HDF_Limited_Col!$AH321," ")</f>
        <v xml:space="preserve"> </v>
      </c>
      <c r="AY321" s="26" t="str">
        <f>IFERROR($AC321*HDF_Limited_Col!AY321/HDF_Limited_Col!$AH321," ")</f>
        <v xml:space="preserve"> </v>
      </c>
      <c r="AZ321" s="26" t="str">
        <f>IFERROR($AC321*HDF_Limited_Col!AZ321/HDF_Limited_Col!$AH321," ")</f>
        <v xml:space="preserve"> </v>
      </c>
      <c r="BA321" s="26" t="str">
        <f>IFERROR($AC321*HDF_Limited_Col!BA321/HDF_Limited_Col!$AH321," ")</f>
        <v xml:space="preserve"> </v>
      </c>
      <c r="BB321" s="26" t="str">
        <f>IFERROR($AC321*HDF_Limited_Col!BB321/HDF_Limited_Col!$AH321," ")</f>
        <v xml:space="preserve"> </v>
      </c>
      <c r="BC321" s="26" t="str">
        <f>IFERROR($AC321*HDF_Limited_Col!BC321/HDF_Limited_Col!$AH321," ")</f>
        <v xml:space="preserve"> </v>
      </c>
      <c r="BD321" s="26" t="str">
        <f>IFERROR($AC321*HDF_Limited_Col!BD321/HDF_Limited_Col!$AH321," ")</f>
        <v xml:space="preserve"> </v>
      </c>
      <c r="BE321" s="26" t="str">
        <f>IFERROR($AC321*HDF_Limited_Col!BE321/HDF_Limited_Col!$AH321," ")</f>
        <v xml:space="preserve"> </v>
      </c>
      <c r="BF321" s="26" t="str">
        <f>IFERROR($AC321*HDF_Limited_Col!BF321/HDF_Limited_Col!$AH321," ")</f>
        <v xml:space="preserve"> </v>
      </c>
      <c r="BG321" s="26" t="str">
        <f>IFERROR($AC321*HDF_Limited_Col!BG321/HDF_Limited_Col!$AH321," ")</f>
        <v xml:space="preserve"> </v>
      </c>
      <c r="BH321" s="26" t="str">
        <f>IFERROR($AC321*HDF_Limited_Col!BH321/HDF_Limited_Col!$AH321," ")</f>
        <v xml:space="preserve"> </v>
      </c>
      <c r="BI321" s="26" t="str">
        <f>IFERROR($AC321*HDF_Limited_Col!BI321/HDF_Limited_Col!$AH321," ")</f>
        <v xml:space="preserve"> </v>
      </c>
      <c r="BJ321" s="26" t="str">
        <f>IFERROR($AC321*HDF_Limited_Col!BJ321/HDF_Limited_Col!$AH321," ")</f>
        <v xml:space="preserve"> </v>
      </c>
      <c r="BK321" s="26" t="str">
        <f>IFERROR($AC321*HDF_Limited_Col!BK321/HDF_Limited_Col!$AH321," ")</f>
        <v xml:space="preserve"> </v>
      </c>
      <c r="BL321" s="26" t="str">
        <f>IFERROR($AC321*HDF_Limited_Col!BL321/HDF_Limited_Col!$AH321," ")</f>
        <v xml:space="preserve"> </v>
      </c>
      <c r="BM321" s="26" t="str">
        <f>IFERROR($AC321*HDF_Limited_Col!BM321/HDF_Limited_Col!$AH321," ")</f>
        <v xml:space="preserve"> </v>
      </c>
      <c r="BN321" s="26" t="str">
        <f>IFERROR($AC321*HDF_Limited_Col!BN321/HDF_Limited_Col!$AH321," ")</f>
        <v xml:space="preserve"> </v>
      </c>
      <c r="BO321" s="26" t="str">
        <f>IFERROR($AC321*HDF_Limited_Col!BO321/HDF_Limited_Col!$AH321," ")</f>
        <v xml:space="preserve"> </v>
      </c>
      <c r="BP321" s="26" t="str">
        <f>IFERROR($AC321*HDF_Limited_Col!BP321/HDF_Limited_Col!$AH321," ")</f>
        <v xml:space="preserve"> </v>
      </c>
      <c r="BQ321" s="26" t="str">
        <f>IFERROR($AC321*HDF_Limited_Col!BQ321/HDF_Limited_Col!$AH321," ")</f>
        <v xml:space="preserve"> </v>
      </c>
      <c r="BR321" s="26" t="str">
        <f>IFERROR($AC321*HDF_Limited_Col!BR321/HDF_Limited_Col!$AH321," ")</f>
        <v xml:space="preserve"> </v>
      </c>
      <c r="BS321" s="26" t="str">
        <f>IFERROR($AC321*HDF_Limited_Col!BS321/HDF_Limited_Col!$AH321," ")</f>
        <v xml:space="preserve"> </v>
      </c>
      <c r="BT321" s="26" t="str">
        <f>IFERROR($AC321*HDF_Limited_Col!BT321/HDF_Limited_Col!$AH321," ")</f>
        <v xml:space="preserve"> </v>
      </c>
      <c r="BU321" s="26" t="str">
        <f>IFERROR($AC321*HDF_Limited_Col!BU321/HDF_Limited_Col!$AH321," ")</f>
        <v xml:space="preserve"> </v>
      </c>
      <c r="BV321" s="26" t="str">
        <f>IFERROR($AC321*HDF_Limited_Col!BV321/HDF_Limited_Col!$AH321," ")</f>
        <v xml:space="preserve"> </v>
      </c>
      <c r="BW321" s="26" t="str">
        <f>IFERROR($AC321*HDF_Limited_Col!BW321/HDF_Limited_Col!$AH321," ")</f>
        <v xml:space="preserve"> </v>
      </c>
      <c r="BX321" s="26" t="str">
        <f>IFERROR($AC321*HDF_Limited_Col!BX321/HDF_Limited_Col!$AH321," ")</f>
        <v xml:space="preserve"> </v>
      </c>
      <c r="BY321" s="26" t="str">
        <f>IFERROR($AC321*HDF_Limited_Col!BY321/HDF_Limited_Col!$AH321," ")</f>
        <v xml:space="preserve"> </v>
      </c>
      <c r="BZ321" s="26" t="str">
        <f>IFERROR($AC321*HDF_Limited_Col!BZ321/HDF_Limited_Col!$AH321," ")</f>
        <v xml:space="preserve"> </v>
      </c>
      <c r="CA321" s="26" t="str">
        <f>IFERROR($AC321*HDF_Limited_Col!CA321/HDF_Limited_Col!$AH321," ")</f>
        <v xml:space="preserve"> </v>
      </c>
      <c r="CB321" s="26" t="str">
        <f>IFERROR($AC321*HDF_Limited_Col!CB321/HDF_Limited_Col!$AH321," ")</f>
        <v xml:space="preserve"> </v>
      </c>
      <c r="CC321" s="26" t="str">
        <f>IFERROR($AC321*HDF_Limited_Col!CC321/HDF_Limited_Col!$AH321," ")</f>
        <v xml:space="preserve"> </v>
      </c>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row>
    <row r="322" spans="1:109">
      <c r="A322" s="26" t="s">
        <v>672</v>
      </c>
      <c r="B322" s="26" t="s">
        <v>24</v>
      </c>
      <c r="C322" s="26" t="s">
        <v>1369</v>
      </c>
      <c r="D322" s="26" t="s">
        <v>1723</v>
      </c>
      <c r="E322" s="26" t="s">
        <v>237</v>
      </c>
      <c r="F322" s="26" t="s">
        <v>29</v>
      </c>
      <c r="G322" s="26" t="s">
        <v>595</v>
      </c>
      <c r="H322" s="30">
        <v>360</v>
      </c>
      <c r="I322" s="26" t="s">
        <v>735</v>
      </c>
      <c r="J322" s="26" t="s">
        <v>1496</v>
      </c>
      <c r="K322" s="26"/>
      <c r="L322" s="26"/>
      <c r="M322" s="26" t="s">
        <v>77</v>
      </c>
      <c r="N322" s="26">
        <v>30</v>
      </c>
      <c r="O322" s="95">
        <v>10.809781524075252</v>
      </c>
      <c r="P322" s="95">
        <v>4.0215267135237145</v>
      </c>
      <c r="Q322" s="95">
        <v>3.404412639837211</v>
      </c>
      <c r="R322" s="95">
        <v>39.721575876287936</v>
      </c>
      <c r="S322" s="95">
        <v>9.462415796526388</v>
      </c>
      <c r="T322" s="95">
        <v>15.016442459704917</v>
      </c>
      <c r="U322" s="95">
        <v>0</v>
      </c>
      <c r="V322" s="95">
        <v>1.6147818261463509</v>
      </c>
      <c r="W322" s="95">
        <v>9.8943956481069399</v>
      </c>
      <c r="X322" s="95">
        <v>3.9803857752779477</v>
      </c>
      <c r="Y322" s="95">
        <v>2.6741609859748485</v>
      </c>
      <c r="Z322" s="95">
        <v>100.59987924546151</v>
      </c>
      <c r="AA322" s="26"/>
      <c r="AB322" s="26"/>
      <c r="AC322" s="26">
        <f t="shared" ref="AC322:AC337" si="6">W322*10000/1.20462</f>
        <v>82137.069350558188</v>
      </c>
      <c r="AD322" s="26" t="str">
        <f>IFERROR($AC322*HDF_Limited_Col!AD322/HDF_Limited_Col!$AH322," ")</f>
        <v xml:space="preserve"> </v>
      </c>
      <c r="AE322" s="26" t="str">
        <f>IFERROR($AC322*HDF_Limited_Col!AE322/HDF_Limited_Col!$AH322," ")</f>
        <v xml:space="preserve"> </v>
      </c>
      <c r="AF322" s="26" t="str">
        <f>IFERROR($AC322*HDF_Limited_Col!AF322/HDF_Limited_Col!$AH322," ")</f>
        <v xml:space="preserve"> </v>
      </c>
      <c r="AG322" s="26" t="str">
        <f>IFERROR($AC322*HDF_Limited_Col!AG322/HDF_Limited_Col!$AH322," ")</f>
        <v xml:space="preserve"> </v>
      </c>
      <c r="AH322" s="26" t="str">
        <f>IFERROR($AC322*HDF_Limited_Col!AH322/HDF_Limited_Col!$AH322," ")</f>
        <v xml:space="preserve"> </v>
      </c>
      <c r="AI322" s="26" t="str">
        <f>IFERROR($AC322*HDF_Limited_Col!AI322/HDF_Limited_Col!$AH322," ")</f>
        <v xml:space="preserve"> </v>
      </c>
      <c r="AJ322" s="26" t="str">
        <f>IFERROR($AC322*HDF_Limited_Col!AJ322/HDF_Limited_Col!$AH322," ")</f>
        <v xml:space="preserve"> </v>
      </c>
      <c r="AK322" s="26" t="str">
        <f>IFERROR($AC322*HDF_Limited_Col!AK322/HDF_Limited_Col!$AH322," ")</f>
        <v xml:space="preserve"> </v>
      </c>
      <c r="AL322" s="26" t="str">
        <f>IFERROR($AC322*HDF_Limited_Col!AL322/HDF_Limited_Col!$AH322," ")</f>
        <v xml:space="preserve"> </v>
      </c>
      <c r="AM322" s="26" t="str">
        <f>IFERROR($AC322*HDF_Limited_Col!AM322/HDF_Limited_Col!$AH322," ")</f>
        <v xml:space="preserve"> </v>
      </c>
      <c r="AN322" s="26" t="str">
        <f>IFERROR($AC322*HDF_Limited_Col!AN322/HDF_Limited_Col!$AH322," ")</f>
        <v xml:space="preserve"> </v>
      </c>
      <c r="AO322" s="26" t="str">
        <f>IFERROR($AC322*HDF_Limited_Col!AO322/HDF_Limited_Col!$AH322," ")</f>
        <v xml:space="preserve"> </v>
      </c>
      <c r="AP322" s="26" t="str">
        <f>IFERROR($AC322*HDF_Limited_Col!AP322/HDF_Limited_Col!$AH322," ")</f>
        <v xml:space="preserve"> </v>
      </c>
      <c r="AQ322" s="26" t="str">
        <f>IFERROR($AC322*HDF_Limited_Col!AQ322/HDF_Limited_Col!$AH322," ")</f>
        <v xml:space="preserve"> </v>
      </c>
      <c r="AR322" s="26" t="str">
        <f>IFERROR($AC322*HDF_Limited_Col!AR322/HDF_Limited_Col!$AH322," ")</f>
        <v xml:space="preserve"> </v>
      </c>
      <c r="AS322" s="26" t="str">
        <f>IFERROR($AC322*HDF_Limited_Col!AS322/HDF_Limited_Col!$AH322," ")</f>
        <v xml:space="preserve"> </v>
      </c>
      <c r="AT322" s="26" t="str">
        <f>IFERROR($AC322*HDF_Limited_Col!AT322/HDF_Limited_Col!$AH322," ")</f>
        <v xml:space="preserve"> </v>
      </c>
      <c r="AU322" s="26" t="str">
        <f>IFERROR($AC322*HDF_Limited_Col!AU322/HDF_Limited_Col!$AH322," ")</f>
        <v xml:space="preserve"> </v>
      </c>
      <c r="AV322" s="26" t="str">
        <f>IFERROR($AC322*HDF_Limited_Col!AV322/HDF_Limited_Col!$AH322," ")</f>
        <v xml:space="preserve"> </v>
      </c>
      <c r="AW322" s="26" t="str">
        <f>IFERROR($AC322*HDF_Limited_Col!AW322/HDF_Limited_Col!$AH322," ")</f>
        <v xml:space="preserve"> </v>
      </c>
      <c r="AX322" s="26" t="str">
        <f>IFERROR($AC322*HDF_Limited_Col!AX322/HDF_Limited_Col!$AH322," ")</f>
        <v xml:space="preserve"> </v>
      </c>
      <c r="AY322" s="26" t="str">
        <f>IFERROR($AC322*HDF_Limited_Col!AY322/HDF_Limited_Col!$AH322," ")</f>
        <v xml:space="preserve"> </v>
      </c>
      <c r="AZ322" s="26" t="str">
        <f>IFERROR($AC322*HDF_Limited_Col!AZ322/HDF_Limited_Col!$AH322," ")</f>
        <v xml:space="preserve"> </v>
      </c>
      <c r="BA322" s="26" t="str">
        <f>IFERROR($AC322*HDF_Limited_Col!BA322/HDF_Limited_Col!$AH322," ")</f>
        <v xml:space="preserve"> </v>
      </c>
      <c r="BB322" s="26" t="str">
        <f>IFERROR($AC322*HDF_Limited_Col!BB322/HDF_Limited_Col!$AH322," ")</f>
        <v xml:space="preserve"> </v>
      </c>
      <c r="BC322" s="26" t="str">
        <f>IFERROR($AC322*HDF_Limited_Col!BC322/HDF_Limited_Col!$AH322," ")</f>
        <v xml:space="preserve"> </v>
      </c>
      <c r="BD322" s="26" t="str">
        <f>IFERROR($AC322*HDF_Limited_Col!BD322/HDF_Limited_Col!$AH322," ")</f>
        <v xml:space="preserve"> </v>
      </c>
      <c r="BE322" s="26" t="str">
        <f>IFERROR($AC322*HDF_Limited_Col!BE322/HDF_Limited_Col!$AH322," ")</f>
        <v xml:space="preserve"> </v>
      </c>
      <c r="BF322" s="26" t="str">
        <f>IFERROR($AC322*HDF_Limited_Col!BF322/HDF_Limited_Col!$AH322," ")</f>
        <v xml:space="preserve"> </v>
      </c>
      <c r="BG322" s="26" t="str">
        <f>IFERROR($AC322*HDF_Limited_Col!BG322/HDF_Limited_Col!$AH322," ")</f>
        <v xml:space="preserve"> </v>
      </c>
      <c r="BH322" s="26" t="str">
        <f>IFERROR($AC322*HDF_Limited_Col!BH322/HDF_Limited_Col!$AH322," ")</f>
        <v xml:space="preserve"> </v>
      </c>
      <c r="BI322" s="26" t="str">
        <f>IFERROR($AC322*HDF_Limited_Col!BI322/HDF_Limited_Col!$AH322," ")</f>
        <v xml:space="preserve"> </v>
      </c>
      <c r="BJ322" s="26" t="str">
        <f>IFERROR($AC322*HDF_Limited_Col!BJ322/HDF_Limited_Col!$AH322," ")</f>
        <v xml:space="preserve"> </v>
      </c>
      <c r="BK322" s="26" t="str">
        <f>IFERROR($AC322*HDF_Limited_Col!BK322/HDF_Limited_Col!$AH322," ")</f>
        <v xml:space="preserve"> </v>
      </c>
      <c r="BL322" s="26" t="str">
        <f>IFERROR($AC322*HDF_Limited_Col!BL322/HDF_Limited_Col!$AH322," ")</f>
        <v xml:space="preserve"> </v>
      </c>
      <c r="BM322" s="26" t="str">
        <f>IFERROR($AC322*HDF_Limited_Col!BM322/HDF_Limited_Col!$AH322," ")</f>
        <v xml:space="preserve"> </v>
      </c>
      <c r="BN322" s="26" t="str">
        <f>IFERROR($AC322*HDF_Limited_Col!BN322/HDF_Limited_Col!$AH322," ")</f>
        <v xml:space="preserve"> </v>
      </c>
      <c r="BO322" s="26" t="str">
        <f>IFERROR($AC322*HDF_Limited_Col!BO322/HDF_Limited_Col!$AH322," ")</f>
        <v xml:space="preserve"> </v>
      </c>
      <c r="BP322" s="26" t="str">
        <f>IFERROR($AC322*HDF_Limited_Col!BP322/HDF_Limited_Col!$AH322," ")</f>
        <v xml:space="preserve"> </v>
      </c>
      <c r="BQ322" s="26" t="str">
        <f>IFERROR($AC322*HDF_Limited_Col!BQ322/HDF_Limited_Col!$AH322," ")</f>
        <v xml:space="preserve"> </v>
      </c>
      <c r="BR322" s="26" t="str">
        <f>IFERROR($AC322*HDF_Limited_Col!BR322/HDF_Limited_Col!$AH322," ")</f>
        <v xml:space="preserve"> </v>
      </c>
      <c r="BS322" s="26" t="str">
        <f>IFERROR($AC322*HDF_Limited_Col!BS322/HDF_Limited_Col!$AH322," ")</f>
        <v xml:space="preserve"> </v>
      </c>
      <c r="BT322" s="26" t="str">
        <f>IFERROR($AC322*HDF_Limited_Col!BT322/HDF_Limited_Col!$AH322," ")</f>
        <v xml:space="preserve"> </v>
      </c>
      <c r="BU322" s="26" t="str">
        <f>IFERROR($AC322*HDF_Limited_Col!BU322/HDF_Limited_Col!$AH322," ")</f>
        <v xml:space="preserve"> </v>
      </c>
      <c r="BV322" s="26" t="str">
        <f>IFERROR($AC322*HDF_Limited_Col!BV322/HDF_Limited_Col!$AH322," ")</f>
        <v xml:space="preserve"> </v>
      </c>
      <c r="BW322" s="26" t="str">
        <f>IFERROR($AC322*HDF_Limited_Col!BW322/HDF_Limited_Col!$AH322," ")</f>
        <v xml:space="preserve"> </v>
      </c>
      <c r="BX322" s="26" t="str">
        <f>IFERROR($AC322*HDF_Limited_Col!BX322/HDF_Limited_Col!$AH322," ")</f>
        <v xml:space="preserve"> </v>
      </c>
      <c r="BY322" s="26" t="str">
        <f>IFERROR($AC322*HDF_Limited_Col!BY322/HDF_Limited_Col!$AH322," ")</f>
        <v xml:space="preserve"> </v>
      </c>
      <c r="BZ322" s="26" t="str">
        <f>IFERROR($AC322*HDF_Limited_Col!BZ322/HDF_Limited_Col!$AH322," ")</f>
        <v xml:space="preserve"> </v>
      </c>
      <c r="CA322" s="26" t="str">
        <f>IFERROR($AC322*HDF_Limited_Col!CA322/HDF_Limited_Col!$AH322," ")</f>
        <v xml:space="preserve"> </v>
      </c>
      <c r="CB322" s="26" t="str">
        <f>IFERROR($AC322*HDF_Limited_Col!CB322/HDF_Limited_Col!$AH322," ")</f>
        <v xml:space="preserve"> </v>
      </c>
      <c r="CC322" s="26" t="str">
        <f>IFERROR($AC322*HDF_Limited_Col!CC322/HDF_Limited_Col!$AH322," ")</f>
        <v xml:space="preserve"> </v>
      </c>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row>
    <row r="323" spans="1:109">
      <c r="A323" s="26" t="s">
        <v>672</v>
      </c>
      <c r="B323" s="26" t="s">
        <v>24</v>
      </c>
      <c r="C323" s="26" t="s">
        <v>1369</v>
      </c>
      <c r="D323" s="26" t="s">
        <v>1723</v>
      </c>
      <c r="E323" s="26" t="s">
        <v>237</v>
      </c>
      <c r="F323" s="26" t="s">
        <v>29</v>
      </c>
      <c r="G323" s="26" t="s">
        <v>595</v>
      </c>
      <c r="H323" s="30">
        <v>360</v>
      </c>
      <c r="I323" s="26" t="s">
        <v>735</v>
      </c>
      <c r="J323" s="26" t="s">
        <v>1496</v>
      </c>
      <c r="K323" s="26"/>
      <c r="L323" s="26"/>
      <c r="M323" s="26" t="s">
        <v>81</v>
      </c>
      <c r="N323" s="26">
        <v>34</v>
      </c>
      <c r="O323" s="95">
        <v>10.142157803692195</v>
      </c>
      <c r="P323" s="95">
        <v>3.1285285160582781</v>
      </c>
      <c r="Q323" s="95">
        <v>3.5272625426147255</v>
      </c>
      <c r="R323" s="95">
        <v>48.328608808521174</v>
      </c>
      <c r="S323" s="95">
        <v>8.7925964830396044</v>
      </c>
      <c r="T323" s="95">
        <v>14.190841765649969</v>
      </c>
      <c r="U323" s="95">
        <v>0</v>
      </c>
      <c r="V323" s="95">
        <v>2.8422579328895465</v>
      </c>
      <c r="W323" s="95">
        <v>6.573999463481937</v>
      </c>
      <c r="X323" s="95">
        <v>1.3802331688492404</v>
      </c>
      <c r="Y323" s="95">
        <v>1.4109050170458899</v>
      </c>
      <c r="Z323" s="95">
        <v>100.31739150184256</v>
      </c>
      <c r="AA323" s="26"/>
      <c r="AB323" s="26"/>
      <c r="AC323" s="26">
        <f t="shared" si="6"/>
        <v>54573.221957811889</v>
      </c>
      <c r="AD323" s="26" t="str">
        <f>IFERROR($AC323*HDF_Limited_Col!AD323/HDF_Limited_Col!$AH323," ")</f>
        <v xml:space="preserve"> </v>
      </c>
      <c r="AE323" s="26" t="str">
        <f>IFERROR($AC323*HDF_Limited_Col!AE323/HDF_Limited_Col!$AH323," ")</f>
        <v xml:space="preserve"> </v>
      </c>
      <c r="AF323" s="26" t="str">
        <f>IFERROR($AC323*HDF_Limited_Col!AF323/HDF_Limited_Col!$AH323," ")</f>
        <v xml:space="preserve"> </v>
      </c>
      <c r="AG323" s="26" t="str">
        <f>IFERROR($AC323*HDF_Limited_Col!AG323/HDF_Limited_Col!$AH323," ")</f>
        <v xml:space="preserve"> </v>
      </c>
      <c r="AH323" s="26" t="str">
        <f>IFERROR($AC323*HDF_Limited_Col!AH323/HDF_Limited_Col!$AH323," ")</f>
        <v xml:space="preserve"> </v>
      </c>
      <c r="AI323" s="26" t="str">
        <f>IFERROR($AC323*HDF_Limited_Col!AI323/HDF_Limited_Col!$AH323," ")</f>
        <v xml:space="preserve"> </v>
      </c>
      <c r="AJ323" s="26" t="str">
        <f>IFERROR($AC323*HDF_Limited_Col!AJ323/HDF_Limited_Col!$AH323," ")</f>
        <v xml:space="preserve"> </v>
      </c>
      <c r="AK323" s="26" t="str">
        <f>IFERROR($AC323*HDF_Limited_Col!AK323/HDF_Limited_Col!$AH323," ")</f>
        <v xml:space="preserve"> </v>
      </c>
      <c r="AL323" s="26" t="str">
        <f>IFERROR($AC323*HDF_Limited_Col!AL323/HDF_Limited_Col!$AH323," ")</f>
        <v xml:space="preserve"> </v>
      </c>
      <c r="AM323" s="26" t="str">
        <f>IFERROR($AC323*HDF_Limited_Col!AM323/HDF_Limited_Col!$AH323," ")</f>
        <v xml:space="preserve"> </v>
      </c>
      <c r="AN323" s="26" t="str">
        <f>IFERROR($AC323*HDF_Limited_Col!AN323/HDF_Limited_Col!$AH323," ")</f>
        <v xml:space="preserve"> </v>
      </c>
      <c r="AO323" s="26" t="str">
        <f>IFERROR($AC323*HDF_Limited_Col!AO323/HDF_Limited_Col!$AH323," ")</f>
        <v xml:space="preserve"> </v>
      </c>
      <c r="AP323" s="26" t="str">
        <f>IFERROR($AC323*HDF_Limited_Col!AP323/HDF_Limited_Col!$AH323," ")</f>
        <v xml:space="preserve"> </v>
      </c>
      <c r="AQ323" s="26" t="str">
        <f>IFERROR($AC323*HDF_Limited_Col!AQ323/HDF_Limited_Col!$AH323," ")</f>
        <v xml:space="preserve"> </v>
      </c>
      <c r="AR323" s="26" t="str">
        <f>IFERROR($AC323*HDF_Limited_Col!AR323/HDF_Limited_Col!$AH323," ")</f>
        <v xml:space="preserve"> </v>
      </c>
      <c r="AS323" s="26" t="str">
        <f>IFERROR($AC323*HDF_Limited_Col!AS323/HDF_Limited_Col!$AH323," ")</f>
        <v xml:space="preserve"> </v>
      </c>
      <c r="AT323" s="26" t="str">
        <f>IFERROR($AC323*HDF_Limited_Col!AT323/HDF_Limited_Col!$AH323," ")</f>
        <v xml:space="preserve"> </v>
      </c>
      <c r="AU323" s="26" t="str">
        <f>IFERROR($AC323*HDF_Limited_Col!AU323/HDF_Limited_Col!$AH323," ")</f>
        <v xml:space="preserve"> </v>
      </c>
      <c r="AV323" s="26" t="str">
        <f>IFERROR($AC323*HDF_Limited_Col!AV323/HDF_Limited_Col!$AH323," ")</f>
        <v xml:space="preserve"> </v>
      </c>
      <c r="AW323" s="26" t="str">
        <f>IFERROR($AC323*HDF_Limited_Col!AW323/HDF_Limited_Col!$AH323," ")</f>
        <v xml:space="preserve"> </v>
      </c>
      <c r="AX323" s="26" t="str">
        <f>IFERROR($AC323*HDF_Limited_Col!AX323/HDF_Limited_Col!$AH323," ")</f>
        <v xml:space="preserve"> </v>
      </c>
      <c r="AY323" s="26" t="str">
        <f>IFERROR($AC323*HDF_Limited_Col!AY323/HDF_Limited_Col!$AH323," ")</f>
        <v xml:space="preserve"> </v>
      </c>
      <c r="AZ323" s="26" t="str">
        <f>IFERROR($AC323*HDF_Limited_Col!AZ323/HDF_Limited_Col!$AH323," ")</f>
        <v xml:space="preserve"> </v>
      </c>
      <c r="BA323" s="26" t="str">
        <f>IFERROR($AC323*HDF_Limited_Col!BA323/HDF_Limited_Col!$AH323," ")</f>
        <v xml:space="preserve"> </v>
      </c>
      <c r="BB323" s="26" t="str">
        <f>IFERROR($AC323*HDF_Limited_Col!BB323/HDF_Limited_Col!$AH323," ")</f>
        <v xml:space="preserve"> </v>
      </c>
      <c r="BC323" s="26" t="str">
        <f>IFERROR($AC323*HDF_Limited_Col!BC323/HDF_Limited_Col!$AH323," ")</f>
        <v xml:space="preserve"> </v>
      </c>
      <c r="BD323" s="26" t="str">
        <f>IFERROR($AC323*HDF_Limited_Col!BD323/HDF_Limited_Col!$AH323," ")</f>
        <v xml:space="preserve"> </v>
      </c>
      <c r="BE323" s="26" t="str">
        <f>IFERROR($AC323*HDF_Limited_Col!BE323/HDF_Limited_Col!$AH323," ")</f>
        <v xml:space="preserve"> </v>
      </c>
      <c r="BF323" s="26" t="str">
        <f>IFERROR($AC323*HDF_Limited_Col!BF323/HDF_Limited_Col!$AH323," ")</f>
        <v xml:space="preserve"> </v>
      </c>
      <c r="BG323" s="26" t="str">
        <f>IFERROR($AC323*HDF_Limited_Col!BG323/HDF_Limited_Col!$AH323," ")</f>
        <v xml:space="preserve"> </v>
      </c>
      <c r="BH323" s="26" t="str">
        <f>IFERROR($AC323*HDF_Limited_Col!BH323/HDF_Limited_Col!$AH323," ")</f>
        <v xml:space="preserve"> </v>
      </c>
      <c r="BI323" s="26" t="str">
        <f>IFERROR($AC323*HDF_Limited_Col!BI323/HDF_Limited_Col!$AH323," ")</f>
        <v xml:space="preserve"> </v>
      </c>
      <c r="BJ323" s="26" t="str">
        <f>IFERROR($AC323*HDF_Limited_Col!BJ323/HDF_Limited_Col!$AH323," ")</f>
        <v xml:space="preserve"> </v>
      </c>
      <c r="BK323" s="26" t="str">
        <f>IFERROR($AC323*HDF_Limited_Col!BK323/HDF_Limited_Col!$AH323," ")</f>
        <v xml:space="preserve"> </v>
      </c>
      <c r="BL323" s="26" t="str">
        <f>IFERROR($AC323*HDF_Limited_Col!BL323/HDF_Limited_Col!$AH323," ")</f>
        <v xml:space="preserve"> </v>
      </c>
      <c r="BM323" s="26" t="str">
        <f>IFERROR($AC323*HDF_Limited_Col!BM323/HDF_Limited_Col!$AH323," ")</f>
        <v xml:space="preserve"> </v>
      </c>
      <c r="BN323" s="26" t="str">
        <f>IFERROR($AC323*HDF_Limited_Col!BN323/HDF_Limited_Col!$AH323," ")</f>
        <v xml:space="preserve"> </v>
      </c>
      <c r="BO323" s="26" t="str">
        <f>IFERROR($AC323*HDF_Limited_Col!BO323/HDF_Limited_Col!$AH323," ")</f>
        <v xml:space="preserve"> </v>
      </c>
      <c r="BP323" s="26" t="str">
        <f>IFERROR($AC323*HDF_Limited_Col!BP323/HDF_Limited_Col!$AH323," ")</f>
        <v xml:space="preserve"> </v>
      </c>
      <c r="BQ323" s="26" t="str">
        <f>IFERROR($AC323*HDF_Limited_Col!BQ323/HDF_Limited_Col!$AH323," ")</f>
        <v xml:space="preserve"> </v>
      </c>
      <c r="BR323" s="26" t="str">
        <f>IFERROR($AC323*HDF_Limited_Col!BR323/HDF_Limited_Col!$AH323," ")</f>
        <v xml:space="preserve"> </v>
      </c>
      <c r="BS323" s="26" t="str">
        <f>IFERROR($AC323*HDF_Limited_Col!BS323/HDF_Limited_Col!$AH323," ")</f>
        <v xml:space="preserve"> </v>
      </c>
      <c r="BT323" s="26" t="str">
        <f>IFERROR($AC323*HDF_Limited_Col!BT323/HDF_Limited_Col!$AH323," ")</f>
        <v xml:space="preserve"> </v>
      </c>
      <c r="BU323" s="26" t="str">
        <f>IFERROR($AC323*HDF_Limited_Col!BU323/HDF_Limited_Col!$AH323," ")</f>
        <v xml:space="preserve"> </v>
      </c>
      <c r="BV323" s="26" t="str">
        <f>IFERROR($AC323*HDF_Limited_Col!BV323/HDF_Limited_Col!$AH323," ")</f>
        <v xml:space="preserve"> </v>
      </c>
      <c r="BW323" s="26" t="str">
        <f>IFERROR($AC323*HDF_Limited_Col!BW323/HDF_Limited_Col!$AH323," ")</f>
        <v xml:space="preserve"> </v>
      </c>
      <c r="BX323" s="26" t="str">
        <f>IFERROR($AC323*HDF_Limited_Col!BX323/HDF_Limited_Col!$AH323," ")</f>
        <v xml:space="preserve"> </v>
      </c>
      <c r="BY323" s="26" t="str">
        <f>IFERROR($AC323*HDF_Limited_Col!BY323/HDF_Limited_Col!$AH323," ")</f>
        <v xml:space="preserve"> </v>
      </c>
      <c r="BZ323" s="26" t="str">
        <f>IFERROR($AC323*HDF_Limited_Col!BZ323/HDF_Limited_Col!$AH323," ")</f>
        <v xml:space="preserve"> </v>
      </c>
      <c r="CA323" s="26" t="str">
        <f>IFERROR($AC323*HDF_Limited_Col!CA323/HDF_Limited_Col!$AH323," ")</f>
        <v xml:space="preserve"> </v>
      </c>
      <c r="CB323" s="26" t="str">
        <f>IFERROR($AC323*HDF_Limited_Col!CB323/HDF_Limited_Col!$AH323," ")</f>
        <v xml:space="preserve"> </v>
      </c>
      <c r="CC323" s="26" t="str">
        <f>IFERROR($AC323*HDF_Limited_Col!CC323/HDF_Limited_Col!$AH323," ")</f>
        <v xml:space="preserve"> </v>
      </c>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row>
    <row r="324" spans="1:109">
      <c r="A324" s="26" t="s">
        <v>672</v>
      </c>
      <c r="B324" s="26" t="s">
        <v>24</v>
      </c>
      <c r="C324" s="26" t="s">
        <v>1369</v>
      </c>
      <c r="D324" s="26" t="s">
        <v>1723</v>
      </c>
      <c r="E324" s="26" t="s">
        <v>237</v>
      </c>
      <c r="F324" s="26" t="s">
        <v>29</v>
      </c>
      <c r="G324" s="26" t="s">
        <v>595</v>
      </c>
      <c r="H324" s="30">
        <v>360</v>
      </c>
      <c r="I324" s="26" t="s">
        <v>735</v>
      </c>
      <c r="J324" s="26" t="s">
        <v>1496</v>
      </c>
      <c r="K324" s="26"/>
      <c r="L324" s="26"/>
      <c r="M324" s="26" t="s">
        <v>86</v>
      </c>
      <c r="N324" s="26">
        <v>25</v>
      </c>
      <c r="O324" s="95">
        <v>32.323254829030745</v>
      </c>
      <c r="P324" s="95">
        <v>7.3207749219572626</v>
      </c>
      <c r="Q324" s="95">
        <v>7.646142696266474</v>
      </c>
      <c r="R324" s="95">
        <v>13.502762633832285</v>
      </c>
      <c r="S324" s="95">
        <v>16.685266176294263</v>
      </c>
      <c r="T324" s="95">
        <v>11.276026928403619</v>
      </c>
      <c r="U324" s="95">
        <v>0</v>
      </c>
      <c r="V324" s="95">
        <v>1.5963356427045701</v>
      </c>
      <c r="W324" s="95">
        <v>5.4600779626264586</v>
      </c>
      <c r="X324" s="95">
        <v>2.9283099687829055</v>
      </c>
      <c r="Y324" s="95">
        <v>1.6268388715460587</v>
      </c>
      <c r="Z324" s="95">
        <v>100.36579063144465</v>
      </c>
      <c r="AA324" s="26"/>
      <c r="AB324" s="26"/>
      <c r="AC324" s="26">
        <f t="shared" si="6"/>
        <v>45326.144034022836</v>
      </c>
      <c r="AD324" s="26" t="str">
        <f>IFERROR($AC324*HDF_Limited_Col!AD324/HDF_Limited_Col!$AH324," ")</f>
        <v xml:space="preserve"> </v>
      </c>
      <c r="AE324" s="26" t="str">
        <f>IFERROR($AC324*HDF_Limited_Col!AE324/HDF_Limited_Col!$AH324," ")</f>
        <v xml:space="preserve"> </v>
      </c>
      <c r="AF324" s="26" t="str">
        <f>IFERROR($AC324*HDF_Limited_Col!AF324/HDF_Limited_Col!$AH324," ")</f>
        <v xml:space="preserve"> </v>
      </c>
      <c r="AG324" s="26" t="str">
        <f>IFERROR($AC324*HDF_Limited_Col!AG324/HDF_Limited_Col!$AH324," ")</f>
        <v xml:space="preserve"> </v>
      </c>
      <c r="AH324" s="26" t="str">
        <f>IFERROR($AC324*HDF_Limited_Col!AH324/HDF_Limited_Col!$AH324," ")</f>
        <v xml:space="preserve"> </v>
      </c>
      <c r="AI324" s="26" t="str">
        <f>IFERROR($AC324*HDF_Limited_Col!AI324/HDF_Limited_Col!$AH324," ")</f>
        <v xml:space="preserve"> </v>
      </c>
      <c r="AJ324" s="26" t="str">
        <f>IFERROR($AC324*HDF_Limited_Col!AJ324/HDF_Limited_Col!$AH324," ")</f>
        <v xml:space="preserve"> </v>
      </c>
      <c r="AK324" s="26" t="str">
        <f>IFERROR($AC324*HDF_Limited_Col!AK324/HDF_Limited_Col!$AH324," ")</f>
        <v xml:space="preserve"> </v>
      </c>
      <c r="AL324" s="26" t="str">
        <f>IFERROR($AC324*HDF_Limited_Col!AL324/HDF_Limited_Col!$AH324," ")</f>
        <v xml:space="preserve"> </v>
      </c>
      <c r="AM324" s="26" t="str">
        <f>IFERROR($AC324*HDF_Limited_Col!AM324/HDF_Limited_Col!$AH324," ")</f>
        <v xml:space="preserve"> </v>
      </c>
      <c r="AN324" s="26" t="str">
        <f>IFERROR($AC324*HDF_Limited_Col!AN324/HDF_Limited_Col!$AH324," ")</f>
        <v xml:space="preserve"> </v>
      </c>
      <c r="AO324" s="26" t="str">
        <f>IFERROR($AC324*HDF_Limited_Col!AO324/HDF_Limited_Col!$AH324," ")</f>
        <v xml:space="preserve"> </v>
      </c>
      <c r="AP324" s="26" t="str">
        <f>IFERROR($AC324*HDF_Limited_Col!AP324/HDF_Limited_Col!$AH324," ")</f>
        <v xml:space="preserve"> </v>
      </c>
      <c r="AQ324" s="26" t="str">
        <f>IFERROR($AC324*HDF_Limited_Col!AQ324/HDF_Limited_Col!$AH324," ")</f>
        <v xml:space="preserve"> </v>
      </c>
      <c r="AR324" s="26" t="str">
        <f>IFERROR($AC324*HDF_Limited_Col!AR324/HDF_Limited_Col!$AH324," ")</f>
        <v xml:space="preserve"> </v>
      </c>
      <c r="AS324" s="26" t="str">
        <f>IFERROR($AC324*HDF_Limited_Col!AS324/HDF_Limited_Col!$AH324," ")</f>
        <v xml:space="preserve"> </v>
      </c>
      <c r="AT324" s="26" t="str">
        <f>IFERROR($AC324*HDF_Limited_Col!AT324/HDF_Limited_Col!$AH324," ")</f>
        <v xml:space="preserve"> </v>
      </c>
      <c r="AU324" s="26" t="str">
        <f>IFERROR($AC324*HDF_Limited_Col!AU324/HDF_Limited_Col!$AH324," ")</f>
        <v xml:space="preserve"> </v>
      </c>
      <c r="AV324" s="26" t="str">
        <f>IFERROR($AC324*HDF_Limited_Col!AV324/HDF_Limited_Col!$AH324," ")</f>
        <v xml:space="preserve"> </v>
      </c>
      <c r="AW324" s="26" t="str">
        <f>IFERROR($AC324*HDF_Limited_Col!AW324/HDF_Limited_Col!$AH324," ")</f>
        <v xml:space="preserve"> </v>
      </c>
      <c r="AX324" s="26" t="str">
        <f>IFERROR($AC324*HDF_Limited_Col!AX324/HDF_Limited_Col!$AH324," ")</f>
        <v xml:space="preserve"> </v>
      </c>
      <c r="AY324" s="26" t="str">
        <f>IFERROR($AC324*HDF_Limited_Col!AY324/HDF_Limited_Col!$AH324," ")</f>
        <v xml:space="preserve"> </v>
      </c>
      <c r="AZ324" s="26" t="str">
        <f>IFERROR($AC324*HDF_Limited_Col!AZ324/HDF_Limited_Col!$AH324," ")</f>
        <v xml:space="preserve"> </v>
      </c>
      <c r="BA324" s="26" t="str">
        <f>IFERROR($AC324*HDF_Limited_Col!BA324/HDF_Limited_Col!$AH324," ")</f>
        <v xml:space="preserve"> </v>
      </c>
      <c r="BB324" s="26" t="str">
        <f>IFERROR($AC324*HDF_Limited_Col!BB324/HDF_Limited_Col!$AH324," ")</f>
        <v xml:space="preserve"> </v>
      </c>
      <c r="BC324" s="26" t="str">
        <f>IFERROR($AC324*HDF_Limited_Col!BC324/HDF_Limited_Col!$AH324," ")</f>
        <v xml:space="preserve"> </v>
      </c>
      <c r="BD324" s="26" t="str">
        <f>IFERROR($AC324*HDF_Limited_Col!BD324/HDF_Limited_Col!$AH324," ")</f>
        <v xml:space="preserve"> </v>
      </c>
      <c r="BE324" s="26" t="str">
        <f>IFERROR($AC324*HDF_Limited_Col!BE324/HDF_Limited_Col!$AH324," ")</f>
        <v xml:space="preserve"> </v>
      </c>
      <c r="BF324" s="26" t="str">
        <f>IFERROR($AC324*HDF_Limited_Col!BF324/HDF_Limited_Col!$AH324," ")</f>
        <v xml:space="preserve"> </v>
      </c>
      <c r="BG324" s="26" t="str">
        <f>IFERROR($AC324*HDF_Limited_Col!BG324/HDF_Limited_Col!$AH324," ")</f>
        <v xml:space="preserve"> </v>
      </c>
      <c r="BH324" s="26" t="str">
        <f>IFERROR($AC324*HDF_Limited_Col!BH324/HDF_Limited_Col!$AH324," ")</f>
        <v xml:space="preserve"> </v>
      </c>
      <c r="BI324" s="26" t="str">
        <f>IFERROR($AC324*HDF_Limited_Col!BI324/HDF_Limited_Col!$AH324," ")</f>
        <v xml:space="preserve"> </v>
      </c>
      <c r="BJ324" s="26" t="str">
        <f>IFERROR($AC324*HDF_Limited_Col!BJ324/HDF_Limited_Col!$AH324," ")</f>
        <v xml:space="preserve"> </v>
      </c>
      <c r="BK324" s="26" t="str">
        <f>IFERROR($AC324*HDF_Limited_Col!BK324/HDF_Limited_Col!$AH324," ")</f>
        <v xml:space="preserve"> </v>
      </c>
      <c r="BL324" s="26" t="str">
        <f>IFERROR($AC324*HDF_Limited_Col!BL324/HDF_Limited_Col!$AH324," ")</f>
        <v xml:space="preserve"> </v>
      </c>
      <c r="BM324" s="26" t="str">
        <f>IFERROR($AC324*HDF_Limited_Col!BM324/HDF_Limited_Col!$AH324," ")</f>
        <v xml:space="preserve"> </v>
      </c>
      <c r="BN324" s="26" t="str">
        <f>IFERROR($AC324*HDF_Limited_Col!BN324/HDF_Limited_Col!$AH324," ")</f>
        <v xml:space="preserve"> </v>
      </c>
      <c r="BO324" s="26" t="str">
        <f>IFERROR($AC324*HDF_Limited_Col!BO324/HDF_Limited_Col!$AH324," ")</f>
        <v xml:space="preserve"> </v>
      </c>
      <c r="BP324" s="26" t="str">
        <f>IFERROR($AC324*HDF_Limited_Col!BP324/HDF_Limited_Col!$AH324," ")</f>
        <v xml:space="preserve"> </v>
      </c>
      <c r="BQ324" s="26" t="str">
        <f>IFERROR($AC324*HDF_Limited_Col!BQ324/HDF_Limited_Col!$AH324," ")</f>
        <v xml:space="preserve"> </v>
      </c>
      <c r="BR324" s="26" t="str">
        <f>IFERROR($AC324*HDF_Limited_Col!BR324/HDF_Limited_Col!$AH324," ")</f>
        <v xml:space="preserve"> </v>
      </c>
      <c r="BS324" s="26" t="str">
        <f>IFERROR($AC324*HDF_Limited_Col!BS324/HDF_Limited_Col!$AH324," ")</f>
        <v xml:space="preserve"> </v>
      </c>
      <c r="BT324" s="26" t="str">
        <f>IFERROR($AC324*HDF_Limited_Col!BT324/HDF_Limited_Col!$AH324," ")</f>
        <v xml:space="preserve"> </v>
      </c>
      <c r="BU324" s="26" t="str">
        <f>IFERROR($AC324*HDF_Limited_Col!BU324/HDF_Limited_Col!$AH324," ")</f>
        <v xml:space="preserve"> </v>
      </c>
      <c r="BV324" s="26" t="str">
        <f>IFERROR($AC324*HDF_Limited_Col!BV324/HDF_Limited_Col!$AH324," ")</f>
        <v xml:space="preserve"> </v>
      </c>
      <c r="BW324" s="26" t="str">
        <f>IFERROR($AC324*HDF_Limited_Col!BW324/HDF_Limited_Col!$AH324," ")</f>
        <v xml:space="preserve"> </v>
      </c>
      <c r="BX324" s="26" t="str">
        <f>IFERROR($AC324*HDF_Limited_Col!BX324/HDF_Limited_Col!$AH324," ")</f>
        <v xml:space="preserve"> </v>
      </c>
      <c r="BY324" s="26" t="str">
        <f>IFERROR($AC324*HDF_Limited_Col!BY324/HDF_Limited_Col!$AH324," ")</f>
        <v xml:space="preserve"> </v>
      </c>
      <c r="BZ324" s="26" t="str">
        <f>IFERROR($AC324*HDF_Limited_Col!BZ324/HDF_Limited_Col!$AH324," ")</f>
        <v xml:space="preserve"> </v>
      </c>
      <c r="CA324" s="26" t="str">
        <f>IFERROR($AC324*HDF_Limited_Col!CA324/HDF_Limited_Col!$AH324," ")</f>
        <v xml:space="preserve"> </v>
      </c>
      <c r="CB324" s="26" t="str">
        <f>IFERROR($AC324*HDF_Limited_Col!CB324/HDF_Limited_Col!$AH324," ")</f>
        <v xml:space="preserve"> </v>
      </c>
      <c r="CC324" s="26" t="str">
        <f>IFERROR($AC324*HDF_Limited_Col!CC324/HDF_Limited_Col!$AH324," ")</f>
        <v xml:space="preserve"> </v>
      </c>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row>
    <row r="325" spans="1:109">
      <c r="A325" s="26" t="s">
        <v>672</v>
      </c>
      <c r="B325" s="26" t="s">
        <v>24</v>
      </c>
      <c r="C325" s="26" t="s">
        <v>1369</v>
      </c>
      <c r="D325" s="26" t="s">
        <v>1723</v>
      </c>
      <c r="E325" s="26" t="s">
        <v>237</v>
      </c>
      <c r="F325" s="26" t="s">
        <v>29</v>
      </c>
      <c r="G325" s="26" t="s">
        <v>595</v>
      </c>
      <c r="H325" s="30">
        <v>360</v>
      </c>
      <c r="I325" s="26" t="s">
        <v>735</v>
      </c>
      <c r="J325" s="26" t="s">
        <v>1496</v>
      </c>
      <c r="K325" s="26"/>
      <c r="L325" s="26"/>
      <c r="M325" s="26" t="s">
        <v>90</v>
      </c>
      <c r="N325" s="26">
        <v>24</v>
      </c>
      <c r="O325" s="95">
        <v>12.834500477824946</v>
      </c>
      <c r="P325" s="95">
        <v>5.0923985766853823</v>
      </c>
      <c r="Q325" s="95">
        <v>4.9164417152958464</v>
      </c>
      <c r="R325" s="95">
        <v>38.503501433474838</v>
      </c>
      <c r="S325" s="95">
        <v>11.10598307476304</v>
      </c>
      <c r="T325" s="95">
        <v>10.350403611149151</v>
      </c>
      <c r="U325" s="95">
        <v>0</v>
      </c>
      <c r="V325" s="95">
        <v>4.3368191130714946</v>
      </c>
      <c r="W325" s="95">
        <v>10.329702803926855</v>
      </c>
      <c r="X325" s="95">
        <v>1.1902964152821525</v>
      </c>
      <c r="Y325" s="95">
        <v>1.7285174030619082</v>
      </c>
      <c r="Z325" s="95">
        <v>100.38856462453562</v>
      </c>
      <c r="AA325" s="26"/>
      <c r="AB325" s="26"/>
      <c r="AC325" s="26">
        <f t="shared" si="6"/>
        <v>85750.716441092256</v>
      </c>
      <c r="AD325" s="26" t="str">
        <f>IFERROR($AC325*HDF_Limited_Col!AD325/HDF_Limited_Col!$AH325," ")</f>
        <v xml:space="preserve"> </v>
      </c>
      <c r="AE325" s="26" t="str">
        <f>IFERROR($AC325*HDF_Limited_Col!AE325/HDF_Limited_Col!$AH325," ")</f>
        <v xml:space="preserve"> </v>
      </c>
      <c r="AF325" s="26" t="str">
        <f>IFERROR($AC325*HDF_Limited_Col!AF325/HDF_Limited_Col!$AH325," ")</f>
        <v xml:space="preserve"> </v>
      </c>
      <c r="AG325" s="26" t="str">
        <f>IFERROR($AC325*HDF_Limited_Col!AG325/HDF_Limited_Col!$AH325," ")</f>
        <v xml:space="preserve"> </v>
      </c>
      <c r="AH325" s="26" t="str">
        <f>IFERROR($AC325*HDF_Limited_Col!AH325/HDF_Limited_Col!$AH325," ")</f>
        <v xml:space="preserve"> </v>
      </c>
      <c r="AI325" s="26" t="str">
        <f>IFERROR($AC325*HDF_Limited_Col!AI325/HDF_Limited_Col!$AH325," ")</f>
        <v xml:space="preserve"> </v>
      </c>
      <c r="AJ325" s="26" t="str">
        <f>IFERROR($AC325*HDF_Limited_Col!AJ325/HDF_Limited_Col!$AH325," ")</f>
        <v xml:space="preserve"> </v>
      </c>
      <c r="AK325" s="26" t="str">
        <f>IFERROR($AC325*HDF_Limited_Col!AK325/HDF_Limited_Col!$AH325," ")</f>
        <v xml:space="preserve"> </v>
      </c>
      <c r="AL325" s="26" t="str">
        <f>IFERROR($AC325*HDF_Limited_Col!AL325/HDF_Limited_Col!$AH325," ")</f>
        <v xml:space="preserve"> </v>
      </c>
      <c r="AM325" s="26" t="str">
        <f>IFERROR($AC325*HDF_Limited_Col!AM325/HDF_Limited_Col!$AH325," ")</f>
        <v xml:space="preserve"> </v>
      </c>
      <c r="AN325" s="26" t="str">
        <f>IFERROR($AC325*HDF_Limited_Col!AN325/HDF_Limited_Col!$AH325," ")</f>
        <v xml:space="preserve"> </v>
      </c>
      <c r="AO325" s="26" t="str">
        <f>IFERROR($AC325*HDF_Limited_Col!AO325/HDF_Limited_Col!$AH325," ")</f>
        <v xml:space="preserve"> </v>
      </c>
      <c r="AP325" s="26" t="str">
        <f>IFERROR($AC325*HDF_Limited_Col!AP325/HDF_Limited_Col!$AH325," ")</f>
        <v xml:space="preserve"> </v>
      </c>
      <c r="AQ325" s="26" t="str">
        <f>IFERROR($AC325*HDF_Limited_Col!AQ325/HDF_Limited_Col!$AH325," ")</f>
        <v xml:space="preserve"> </v>
      </c>
      <c r="AR325" s="26" t="str">
        <f>IFERROR($AC325*HDF_Limited_Col!AR325/HDF_Limited_Col!$AH325," ")</f>
        <v xml:space="preserve"> </v>
      </c>
      <c r="AS325" s="26" t="str">
        <f>IFERROR($AC325*HDF_Limited_Col!AS325/HDF_Limited_Col!$AH325," ")</f>
        <v xml:space="preserve"> </v>
      </c>
      <c r="AT325" s="26" t="str">
        <f>IFERROR($AC325*HDF_Limited_Col!AT325/HDF_Limited_Col!$AH325," ")</f>
        <v xml:space="preserve"> </v>
      </c>
      <c r="AU325" s="26" t="str">
        <f>IFERROR($AC325*HDF_Limited_Col!AU325/HDF_Limited_Col!$AH325," ")</f>
        <v xml:space="preserve"> </v>
      </c>
      <c r="AV325" s="26" t="str">
        <f>IFERROR($AC325*HDF_Limited_Col!AV325/HDF_Limited_Col!$AH325," ")</f>
        <v xml:space="preserve"> </v>
      </c>
      <c r="AW325" s="26" t="str">
        <f>IFERROR($AC325*HDF_Limited_Col!AW325/HDF_Limited_Col!$AH325," ")</f>
        <v xml:space="preserve"> </v>
      </c>
      <c r="AX325" s="26" t="str">
        <f>IFERROR($AC325*HDF_Limited_Col!AX325/HDF_Limited_Col!$AH325," ")</f>
        <v xml:space="preserve"> </v>
      </c>
      <c r="AY325" s="26" t="str">
        <f>IFERROR($AC325*HDF_Limited_Col!AY325/HDF_Limited_Col!$AH325," ")</f>
        <v xml:space="preserve"> </v>
      </c>
      <c r="AZ325" s="26" t="str">
        <f>IFERROR($AC325*HDF_Limited_Col!AZ325/HDF_Limited_Col!$AH325," ")</f>
        <v xml:space="preserve"> </v>
      </c>
      <c r="BA325" s="26" t="str">
        <f>IFERROR($AC325*HDF_Limited_Col!BA325/HDF_Limited_Col!$AH325," ")</f>
        <v xml:space="preserve"> </v>
      </c>
      <c r="BB325" s="26" t="str">
        <f>IFERROR($AC325*HDF_Limited_Col!BB325/HDF_Limited_Col!$AH325," ")</f>
        <v xml:space="preserve"> </v>
      </c>
      <c r="BC325" s="26" t="str">
        <f>IFERROR($AC325*HDF_Limited_Col!BC325/HDF_Limited_Col!$AH325," ")</f>
        <v xml:space="preserve"> </v>
      </c>
      <c r="BD325" s="26" t="str">
        <f>IFERROR($AC325*HDF_Limited_Col!BD325/HDF_Limited_Col!$AH325," ")</f>
        <v xml:space="preserve"> </v>
      </c>
      <c r="BE325" s="26" t="str">
        <f>IFERROR($AC325*HDF_Limited_Col!BE325/HDF_Limited_Col!$AH325," ")</f>
        <v xml:space="preserve"> </v>
      </c>
      <c r="BF325" s="26" t="str">
        <f>IFERROR($AC325*HDF_Limited_Col!BF325/HDF_Limited_Col!$AH325," ")</f>
        <v xml:space="preserve"> </v>
      </c>
      <c r="BG325" s="26" t="str">
        <f>IFERROR($AC325*HDF_Limited_Col!BG325/HDF_Limited_Col!$AH325," ")</f>
        <v xml:space="preserve"> </v>
      </c>
      <c r="BH325" s="26" t="str">
        <f>IFERROR($AC325*HDF_Limited_Col!BH325/HDF_Limited_Col!$AH325," ")</f>
        <v xml:space="preserve"> </v>
      </c>
      <c r="BI325" s="26" t="str">
        <f>IFERROR($AC325*HDF_Limited_Col!BI325/HDF_Limited_Col!$AH325," ")</f>
        <v xml:space="preserve"> </v>
      </c>
      <c r="BJ325" s="26" t="str">
        <f>IFERROR($AC325*HDF_Limited_Col!BJ325/HDF_Limited_Col!$AH325," ")</f>
        <v xml:space="preserve"> </v>
      </c>
      <c r="BK325" s="26" t="str">
        <f>IFERROR($AC325*HDF_Limited_Col!BK325/HDF_Limited_Col!$AH325," ")</f>
        <v xml:space="preserve"> </v>
      </c>
      <c r="BL325" s="26" t="str">
        <f>IFERROR($AC325*HDF_Limited_Col!BL325/HDF_Limited_Col!$AH325," ")</f>
        <v xml:space="preserve"> </v>
      </c>
      <c r="BM325" s="26" t="str">
        <f>IFERROR($AC325*HDF_Limited_Col!BM325/HDF_Limited_Col!$AH325," ")</f>
        <v xml:space="preserve"> </v>
      </c>
      <c r="BN325" s="26" t="str">
        <f>IFERROR($AC325*HDF_Limited_Col!BN325/HDF_Limited_Col!$AH325," ")</f>
        <v xml:space="preserve"> </v>
      </c>
      <c r="BO325" s="26" t="str">
        <f>IFERROR($AC325*HDF_Limited_Col!BO325/HDF_Limited_Col!$AH325," ")</f>
        <v xml:space="preserve"> </v>
      </c>
      <c r="BP325" s="26" t="str">
        <f>IFERROR($AC325*HDF_Limited_Col!BP325/HDF_Limited_Col!$AH325," ")</f>
        <v xml:space="preserve"> </v>
      </c>
      <c r="BQ325" s="26" t="str">
        <f>IFERROR($AC325*HDF_Limited_Col!BQ325/HDF_Limited_Col!$AH325," ")</f>
        <v xml:space="preserve"> </v>
      </c>
      <c r="BR325" s="26" t="str">
        <f>IFERROR($AC325*HDF_Limited_Col!BR325/HDF_Limited_Col!$AH325," ")</f>
        <v xml:space="preserve"> </v>
      </c>
      <c r="BS325" s="26" t="str">
        <f>IFERROR($AC325*HDF_Limited_Col!BS325/HDF_Limited_Col!$AH325," ")</f>
        <v xml:space="preserve"> </v>
      </c>
      <c r="BT325" s="26" t="str">
        <f>IFERROR($AC325*HDF_Limited_Col!BT325/HDF_Limited_Col!$AH325," ")</f>
        <v xml:space="preserve"> </v>
      </c>
      <c r="BU325" s="26" t="str">
        <f>IFERROR($AC325*HDF_Limited_Col!BU325/HDF_Limited_Col!$AH325," ")</f>
        <v xml:space="preserve"> </v>
      </c>
      <c r="BV325" s="26" t="str">
        <f>IFERROR($AC325*HDF_Limited_Col!BV325/HDF_Limited_Col!$AH325," ")</f>
        <v xml:space="preserve"> </v>
      </c>
      <c r="BW325" s="26" t="str">
        <f>IFERROR($AC325*HDF_Limited_Col!BW325/HDF_Limited_Col!$AH325," ")</f>
        <v xml:space="preserve"> </v>
      </c>
      <c r="BX325" s="26" t="str">
        <f>IFERROR($AC325*HDF_Limited_Col!BX325/HDF_Limited_Col!$AH325," ")</f>
        <v xml:space="preserve"> </v>
      </c>
      <c r="BY325" s="26" t="str">
        <f>IFERROR($AC325*HDF_Limited_Col!BY325/HDF_Limited_Col!$AH325," ")</f>
        <v xml:space="preserve"> </v>
      </c>
      <c r="BZ325" s="26" t="str">
        <f>IFERROR($AC325*HDF_Limited_Col!BZ325/HDF_Limited_Col!$AH325," ")</f>
        <v xml:space="preserve"> </v>
      </c>
      <c r="CA325" s="26" t="str">
        <f>IFERROR($AC325*HDF_Limited_Col!CA325/HDF_Limited_Col!$AH325," ")</f>
        <v xml:space="preserve"> </v>
      </c>
      <c r="CB325" s="26" t="str">
        <f>IFERROR($AC325*HDF_Limited_Col!CB325/HDF_Limited_Col!$AH325," ")</f>
        <v xml:space="preserve"> </v>
      </c>
      <c r="CC325" s="26" t="str">
        <f>IFERROR($AC325*HDF_Limited_Col!CC325/HDF_Limited_Col!$AH325," ")</f>
        <v xml:space="preserve"> </v>
      </c>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row>
    <row r="326" spans="1:109">
      <c r="A326" s="26" t="s">
        <v>672</v>
      </c>
      <c r="B326" s="26" t="s">
        <v>24</v>
      </c>
      <c r="C326" s="26" t="s">
        <v>1369</v>
      </c>
      <c r="D326" s="26" t="s">
        <v>1723</v>
      </c>
      <c r="E326" s="26" t="s">
        <v>237</v>
      </c>
      <c r="F326" s="26" t="s">
        <v>29</v>
      </c>
      <c r="G326" s="26" t="s">
        <v>595</v>
      </c>
      <c r="H326" s="30">
        <v>360</v>
      </c>
      <c r="I326" s="26" t="s">
        <v>735</v>
      </c>
      <c r="J326" s="26" t="s">
        <v>1496</v>
      </c>
      <c r="K326" s="26"/>
      <c r="L326" s="26"/>
      <c r="M326" s="26" t="s">
        <v>95</v>
      </c>
      <c r="N326" s="26">
        <v>30</v>
      </c>
      <c r="O326" s="95">
        <v>19.401964321838172</v>
      </c>
      <c r="P326" s="95">
        <v>3.4238760567949718</v>
      </c>
      <c r="Q326" s="95">
        <v>6.3405112162869832</v>
      </c>
      <c r="R326" s="95">
        <v>39.015279017552579</v>
      </c>
      <c r="S326" s="95">
        <v>5.9283779872283304</v>
      </c>
      <c r="T326" s="95">
        <v>11.296677483684642</v>
      </c>
      <c r="U326" s="95">
        <v>0</v>
      </c>
      <c r="V326" s="95">
        <v>1.6908029910098625</v>
      </c>
      <c r="W326" s="95">
        <v>7.7354236838701205</v>
      </c>
      <c r="X326" s="95">
        <v>4.036792141036047</v>
      </c>
      <c r="Y326" s="95">
        <v>1.4583175797460062</v>
      </c>
      <c r="Z326" s="95">
        <v>100.32802247904772</v>
      </c>
      <c r="AA326" s="26"/>
      <c r="AB326" s="26"/>
      <c r="AC326" s="26">
        <f t="shared" si="6"/>
        <v>64214.637677193808</v>
      </c>
      <c r="AD326" s="26" t="str">
        <f>IFERROR($AC326*HDF_Limited_Col!AD326/HDF_Limited_Col!$AH326," ")</f>
        <v xml:space="preserve"> </v>
      </c>
      <c r="AE326" s="26" t="str">
        <f>IFERROR($AC326*HDF_Limited_Col!AE326/HDF_Limited_Col!$AH326," ")</f>
        <v xml:space="preserve"> </v>
      </c>
      <c r="AF326" s="26" t="str">
        <f>IFERROR($AC326*HDF_Limited_Col!AF326/HDF_Limited_Col!$AH326," ")</f>
        <v xml:space="preserve"> </v>
      </c>
      <c r="AG326" s="26" t="str">
        <f>IFERROR($AC326*HDF_Limited_Col!AG326/HDF_Limited_Col!$AH326," ")</f>
        <v xml:space="preserve"> </v>
      </c>
      <c r="AH326" s="26" t="str">
        <f>IFERROR($AC326*HDF_Limited_Col!AH326/HDF_Limited_Col!$AH326," ")</f>
        <v xml:space="preserve"> </v>
      </c>
      <c r="AI326" s="26" t="str">
        <f>IFERROR($AC326*HDF_Limited_Col!AI326/HDF_Limited_Col!$AH326," ")</f>
        <v xml:space="preserve"> </v>
      </c>
      <c r="AJ326" s="26" t="str">
        <f>IFERROR($AC326*HDF_Limited_Col!AJ326/HDF_Limited_Col!$AH326," ")</f>
        <v xml:space="preserve"> </v>
      </c>
      <c r="AK326" s="26" t="str">
        <f>IFERROR($AC326*HDF_Limited_Col!AK326/HDF_Limited_Col!$AH326," ")</f>
        <v xml:space="preserve"> </v>
      </c>
      <c r="AL326" s="26" t="str">
        <f>IFERROR($AC326*HDF_Limited_Col!AL326/HDF_Limited_Col!$AH326," ")</f>
        <v xml:space="preserve"> </v>
      </c>
      <c r="AM326" s="26" t="str">
        <f>IFERROR($AC326*HDF_Limited_Col!AM326/HDF_Limited_Col!$AH326," ")</f>
        <v xml:space="preserve"> </v>
      </c>
      <c r="AN326" s="26" t="str">
        <f>IFERROR($AC326*HDF_Limited_Col!AN326/HDF_Limited_Col!$AH326," ")</f>
        <v xml:space="preserve"> </v>
      </c>
      <c r="AO326" s="26" t="str">
        <f>IFERROR($AC326*HDF_Limited_Col!AO326/HDF_Limited_Col!$AH326," ")</f>
        <v xml:space="preserve"> </v>
      </c>
      <c r="AP326" s="26" t="str">
        <f>IFERROR($AC326*HDF_Limited_Col!AP326/HDF_Limited_Col!$AH326," ")</f>
        <v xml:space="preserve"> </v>
      </c>
      <c r="AQ326" s="26" t="str">
        <f>IFERROR($AC326*HDF_Limited_Col!AQ326/HDF_Limited_Col!$AH326," ")</f>
        <v xml:space="preserve"> </v>
      </c>
      <c r="AR326" s="26" t="str">
        <f>IFERROR($AC326*HDF_Limited_Col!AR326/HDF_Limited_Col!$AH326," ")</f>
        <v xml:space="preserve"> </v>
      </c>
      <c r="AS326" s="26" t="str">
        <f>IFERROR($AC326*HDF_Limited_Col!AS326/HDF_Limited_Col!$AH326," ")</f>
        <v xml:space="preserve"> </v>
      </c>
      <c r="AT326" s="26" t="str">
        <f>IFERROR($AC326*HDF_Limited_Col!AT326/HDF_Limited_Col!$AH326," ")</f>
        <v xml:space="preserve"> </v>
      </c>
      <c r="AU326" s="26" t="str">
        <f>IFERROR($AC326*HDF_Limited_Col!AU326/HDF_Limited_Col!$AH326," ")</f>
        <v xml:space="preserve"> </v>
      </c>
      <c r="AV326" s="26" t="str">
        <f>IFERROR($AC326*HDF_Limited_Col!AV326/HDF_Limited_Col!$AH326," ")</f>
        <v xml:space="preserve"> </v>
      </c>
      <c r="AW326" s="26" t="str">
        <f>IFERROR($AC326*HDF_Limited_Col!AW326/HDF_Limited_Col!$AH326," ")</f>
        <v xml:space="preserve"> </v>
      </c>
      <c r="AX326" s="26" t="str">
        <f>IFERROR($AC326*HDF_Limited_Col!AX326/HDF_Limited_Col!$AH326," ")</f>
        <v xml:space="preserve"> </v>
      </c>
      <c r="AY326" s="26" t="str">
        <f>IFERROR($AC326*HDF_Limited_Col!AY326/HDF_Limited_Col!$AH326," ")</f>
        <v xml:space="preserve"> </v>
      </c>
      <c r="AZ326" s="26" t="str">
        <f>IFERROR($AC326*HDF_Limited_Col!AZ326/HDF_Limited_Col!$AH326," ")</f>
        <v xml:space="preserve"> </v>
      </c>
      <c r="BA326" s="26" t="str">
        <f>IFERROR($AC326*HDF_Limited_Col!BA326/HDF_Limited_Col!$AH326," ")</f>
        <v xml:space="preserve"> </v>
      </c>
      <c r="BB326" s="26" t="str">
        <f>IFERROR($AC326*HDF_Limited_Col!BB326/HDF_Limited_Col!$AH326," ")</f>
        <v xml:space="preserve"> </v>
      </c>
      <c r="BC326" s="26" t="str">
        <f>IFERROR($AC326*HDF_Limited_Col!BC326/HDF_Limited_Col!$AH326," ")</f>
        <v xml:space="preserve"> </v>
      </c>
      <c r="BD326" s="26" t="str">
        <f>IFERROR($AC326*HDF_Limited_Col!BD326/HDF_Limited_Col!$AH326," ")</f>
        <v xml:space="preserve"> </v>
      </c>
      <c r="BE326" s="26" t="str">
        <f>IFERROR($AC326*HDF_Limited_Col!BE326/HDF_Limited_Col!$AH326," ")</f>
        <v xml:space="preserve"> </v>
      </c>
      <c r="BF326" s="26" t="str">
        <f>IFERROR($AC326*HDF_Limited_Col!BF326/HDF_Limited_Col!$AH326," ")</f>
        <v xml:space="preserve"> </v>
      </c>
      <c r="BG326" s="26" t="str">
        <f>IFERROR($AC326*HDF_Limited_Col!BG326/HDF_Limited_Col!$AH326," ")</f>
        <v xml:space="preserve"> </v>
      </c>
      <c r="BH326" s="26" t="str">
        <f>IFERROR($AC326*HDF_Limited_Col!BH326/HDF_Limited_Col!$AH326," ")</f>
        <v xml:space="preserve"> </v>
      </c>
      <c r="BI326" s="26" t="str">
        <f>IFERROR($AC326*HDF_Limited_Col!BI326/HDF_Limited_Col!$AH326," ")</f>
        <v xml:space="preserve"> </v>
      </c>
      <c r="BJ326" s="26" t="str">
        <f>IFERROR($AC326*HDF_Limited_Col!BJ326/HDF_Limited_Col!$AH326," ")</f>
        <v xml:space="preserve"> </v>
      </c>
      <c r="BK326" s="26" t="str">
        <f>IFERROR($AC326*HDF_Limited_Col!BK326/HDF_Limited_Col!$AH326," ")</f>
        <v xml:space="preserve"> </v>
      </c>
      <c r="BL326" s="26" t="str">
        <f>IFERROR($AC326*HDF_Limited_Col!BL326/HDF_Limited_Col!$AH326," ")</f>
        <v xml:space="preserve"> </v>
      </c>
      <c r="BM326" s="26" t="str">
        <f>IFERROR($AC326*HDF_Limited_Col!BM326/HDF_Limited_Col!$AH326," ")</f>
        <v xml:space="preserve"> </v>
      </c>
      <c r="BN326" s="26" t="str">
        <f>IFERROR($AC326*HDF_Limited_Col!BN326/HDF_Limited_Col!$AH326," ")</f>
        <v xml:space="preserve"> </v>
      </c>
      <c r="BO326" s="26" t="str">
        <f>IFERROR($AC326*HDF_Limited_Col!BO326/HDF_Limited_Col!$AH326," ")</f>
        <v xml:space="preserve"> </v>
      </c>
      <c r="BP326" s="26" t="str">
        <f>IFERROR($AC326*HDF_Limited_Col!BP326/HDF_Limited_Col!$AH326," ")</f>
        <v xml:space="preserve"> </v>
      </c>
      <c r="BQ326" s="26" t="str">
        <f>IFERROR($AC326*HDF_Limited_Col!BQ326/HDF_Limited_Col!$AH326," ")</f>
        <v xml:space="preserve"> </v>
      </c>
      <c r="BR326" s="26" t="str">
        <f>IFERROR($AC326*HDF_Limited_Col!BR326/HDF_Limited_Col!$AH326," ")</f>
        <v xml:space="preserve"> </v>
      </c>
      <c r="BS326" s="26" t="str">
        <f>IFERROR($AC326*HDF_Limited_Col!BS326/HDF_Limited_Col!$AH326," ")</f>
        <v xml:space="preserve"> </v>
      </c>
      <c r="BT326" s="26" t="str">
        <f>IFERROR($AC326*HDF_Limited_Col!BT326/HDF_Limited_Col!$AH326," ")</f>
        <v xml:space="preserve"> </v>
      </c>
      <c r="BU326" s="26" t="str">
        <f>IFERROR($AC326*HDF_Limited_Col!BU326/HDF_Limited_Col!$AH326," ")</f>
        <v xml:space="preserve"> </v>
      </c>
      <c r="BV326" s="26" t="str">
        <f>IFERROR($AC326*HDF_Limited_Col!BV326/HDF_Limited_Col!$AH326," ")</f>
        <v xml:space="preserve"> </v>
      </c>
      <c r="BW326" s="26" t="str">
        <f>IFERROR($AC326*HDF_Limited_Col!BW326/HDF_Limited_Col!$AH326," ")</f>
        <v xml:space="preserve"> </v>
      </c>
      <c r="BX326" s="26" t="str">
        <f>IFERROR($AC326*HDF_Limited_Col!BX326/HDF_Limited_Col!$AH326," ")</f>
        <v xml:space="preserve"> </v>
      </c>
      <c r="BY326" s="26" t="str">
        <f>IFERROR($AC326*HDF_Limited_Col!BY326/HDF_Limited_Col!$AH326," ")</f>
        <v xml:space="preserve"> </v>
      </c>
      <c r="BZ326" s="26" t="str">
        <f>IFERROR($AC326*HDF_Limited_Col!BZ326/HDF_Limited_Col!$AH326," ")</f>
        <v xml:space="preserve"> </v>
      </c>
      <c r="CA326" s="26" t="str">
        <f>IFERROR($AC326*HDF_Limited_Col!CA326/HDF_Limited_Col!$AH326," ")</f>
        <v xml:space="preserve"> </v>
      </c>
      <c r="CB326" s="26" t="str">
        <f>IFERROR($AC326*HDF_Limited_Col!CB326/HDF_Limited_Col!$AH326," ")</f>
        <v xml:space="preserve"> </v>
      </c>
      <c r="CC326" s="26" t="str">
        <f>IFERROR($AC326*HDF_Limited_Col!CC326/HDF_Limited_Col!$AH326," ")</f>
        <v xml:space="preserve"> </v>
      </c>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row>
    <row r="327" spans="1:109">
      <c r="A327" s="26" t="s">
        <v>1211</v>
      </c>
      <c r="B327" s="26" t="s">
        <v>24</v>
      </c>
      <c r="C327" s="26" t="s">
        <v>1369</v>
      </c>
      <c r="D327" s="26" t="s">
        <v>1204</v>
      </c>
      <c r="E327" s="26" t="s">
        <v>237</v>
      </c>
      <c r="F327" s="26" t="s">
        <v>163</v>
      </c>
      <c r="G327" s="26" t="s">
        <v>595</v>
      </c>
      <c r="H327" s="30">
        <v>355</v>
      </c>
      <c r="I327" s="26"/>
      <c r="J327" s="26" t="s">
        <v>1311</v>
      </c>
      <c r="K327" s="26" t="s">
        <v>1276</v>
      </c>
      <c r="L327" s="26"/>
      <c r="M327" s="26" t="s">
        <v>1422</v>
      </c>
      <c r="N327" s="26"/>
      <c r="AA327" s="26"/>
      <c r="AB327" s="26"/>
      <c r="AC327" s="26">
        <f t="shared" si="6"/>
        <v>0</v>
      </c>
      <c r="AD327" s="26" t="str">
        <f>IFERROR($AC327*HDF_Limited_Col!AD327/HDF_Limited_Col!$AH327," ")</f>
        <v xml:space="preserve"> </v>
      </c>
      <c r="AE327" s="26" t="str">
        <f>IFERROR($AC327*HDF_Limited_Col!AE327/HDF_Limited_Col!$AH327," ")</f>
        <v xml:space="preserve"> </v>
      </c>
      <c r="AF327" s="26" t="str">
        <f>IFERROR($AC327*HDF_Limited_Col!AF327/HDF_Limited_Col!$AH327," ")</f>
        <v xml:space="preserve"> </v>
      </c>
      <c r="AG327" s="26" t="str">
        <f>IFERROR($AC327*HDF_Limited_Col!AG327/HDF_Limited_Col!$AH327," ")</f>
        <v xml:space="preserve"> </v>
      </c>
      <c r="AH327" s="26" t="str">
        <f>IFERROR($AC327*HDF_Limited_Col!AH327/HDF_Limited_Col!$AH327," ")</f>
        <v xml:space="preserve"> </v>
      </c>
      <c r="AI327" s="26" t="str">
        <f>IFERROR($AC327*HDF_Limited_Col!AI327/HDF_Limited_Col!$AH327," ")</f>
        <v xml:space="preserve"> </v>
      </c>
      <c r="AJ327" s="26" t="str">
        <f>IFERROR($AC327*HDF_Limited_Col!AJ327/HDF_Limited_Col!$AH327," ")</f>
        <v xml:space="preserve"> </v>
      </c>
      <c r="AK327" s="26" t="str">
        <f>IFERROR($AC327*HDF_Limited_Col!AK327/HDF_Limited_Col!$AH327," ")</f>
        <v xml:space="preserve"> </v>
      </c>
      <c r="AL327" s="26" t="str">
        <f>IFERROR($AC327*HDF_Limited_Col!AL327/HDF_Limited_Col!$AH327," ")</f>
        <v xml:space="preserve"> </v>
      </c>
      <c r="AM327" s="26" t="str">
        <f>IFERROR($AC327*HDF_Limited_Col!AM327/HDF_Limited_Col!$AH327," ")</f>
        <v xml:space="preserve"> </v>
      </c>
      <c r="AN327" s="26" t="str">
        <f>IFERROR($AC327*HDF_Limited_Col!AN327/HDF_Limited_Col!$AH327," ")</f>
        <v xml:space="preserve"> </v>
      </c>
      <c r="AO327" s="26" t="str">
        <f>IFERROR($AC327*HDF_Limited_Col!AO327/HDF_Limited_Col!$AH327," ")</f>
        <v xml:space="preserve"> </v>
      </c>
      <c r="AP327" s="26" t="str">
        <f>IFERROR($AC327*HDF_Limited_Col!AP327/HDF_Limited_Col!$AH327," ")</f>
        <v xml:space="preserve"> </v>
      </c>
      <c r="AQ327" s="26" t="str">
        <f>IFERROR($AC327*HDF_Limited_Col!AQ327/HDF_Limited_Col!$AH327," ")</f>
        <v xml:space="preserve"> </v>
      </c>
      <c r="AR327" s="26" t="str">
        <f>IFERROR($AC327*HDF_Limited_Col!AR327/HDF_Limited_Col!$AH327," ")</f>
        <v xml:space="preserve"> </v>
      </c>
      <c r="AS327" s="26" t="str">
        <f>IFERROR($AC327*HDF_Limited_Col!AS327/HDF_Limited_Col!$AH327," ")</f>
        <v xml:space="preserve"> </v>
      </c>
      <c r="AT327" s="26" t="str">
        <f>IFERROR($AC327*HDF_Limited_Col!AT327/HDF_Limited_Col!$AH327," ")</f>
        <v xml:space="preserve"> </v>
      </c>
      <c r="AU327" s="26" t="str">
        <f>IFERROR($AC327*HDF_Limited_Col!AU327/HDF_Limited_Col!$AH327," ")</f>
        <v xml:space="preserve"> </v>
      </c>
      <c r="AV327" s="26" t="str">
        <f>IFERROR($AC327*HDF_Limited_Col!AV327/HDF_Limited_Col!$AH327," ")</f>
        <v xml:space="preserve"> </v>
      </c>
      <c r="AW327" s="26" t="str">
        <f>IFERROR($AC327*HDF_Limited_Col!AW327/HDF_Limited_Col!$AH327," ")</f>
        <v xml:space="preserve"> </v>
      </c>
      <c r="AX327" s="26" t="str">
        <f>IFERROR($AC327*HDF_Limited_Col!AX327/HDF_Limited_Col!$AH327," ")</f>
        <v xml:space="preserve"> </v>
      </c>
      <c r="AY327" s="26" t="str">
        <f>IFERROR($AC327*HDF_Limited_Col!AY327/HDF_Limited_Col!$AH327," ")</f>
        <v xml:space="preserve"> </v>
      </c>
      <c r="AZ327" s="26" t="str">
        <f>IFERROR($AC327*HDF_Limited_Col!AZ327/HDF_Limited_Col!$AH327," ")</f>
        <v xml:space="preserve"> </v>
      </c>
      <c r="BA327" s="26" t="str">
        <f>IFERROR($AC327*HDF_Limited_Col!BA327/HDF_Limited_Col!$AH327," ")</f>
        <v xml:space="preserve"> </v>
      </c>
      <c r="BB327" s="26" t="str">
        <f>IFERROR($AC327*HDF_Limited_Col!BB327/HDF_Limited_Col!$AH327," ")</f>
        <v xml:space="preserve"> </v>
      </c>
      <c r="BC327" s="26" t="str">
        <f>IFERROR($AC327*HDF_Limited_Col!BC327/HDF_Limited_Col!$AH327," ")</f>
        <v xml:space="preserve"> </v>
      </c>
      <c r="BD327" s="26" t="str">
        <f>IFERROR($AC327*HDF_Limited_Col!BD327/HDF_Limited_Col!$AH327," ")</f>
        <v xml:space="preserve"> </v>
      </c>
      <c r="BE327" s="26" t="str">
        <f>IFERROR($AC327*HDF_Limited_Col!BE327/HDF_Limited_Col!$AH327," ")</f>
        <v xml:space="preserve"> </v>
      </c>
      <c r="BF327" s="26" t="str">
        <f>IFERROR($AC327*HDF_Limited_Col!BF327/HDF_Limited_Col!$AH327," ")</f>
        <v xml:space="preserve"> </v>
      </c>
      <c r="BG327" s="26" t="str">
        <f>IFERROR($AC327*HDF_Limited_Col!BG327/HDF_Limited_Col!$AH327," ")</f>
        <v xml:space="preserve"> </v>
      </c>
      <c r="BH327" s="26" t="str">
        <f>IFERROR($AC327*HDF_Limited_Col!BH327/HDF_Limited_Col!$AH327," ")</f>
        <v xml:space="preserve"> </v>
      </c>
      <c r="BI327" s="26" t="str">
        <f>IFERROR($AC327*HDF_Limited_Col!BI327/HDF_Limited_Col!$AH327," ")</f>
        <v xml:space="preserve"> </v>
      </c>
      <c r="BJ327" s="26" t="str">
        <f>IFERROR($AC327*HDF_Limited_Col!BJ327/HDF_Limited_Col!$AH327," ")</f>
        <v xml:space="preserve"> </v>
      </c>
      <c r="BK327" s="26" t="str">
        <f>IFERROR($AC327*HDF_Limited_Col!BK327/HDF_Limited_Col!$AH327," ")</f>
        <v xml:space="preserve"> </v>
      </c>
      <c r="BL327" s="26" t="str">
        <f>IFERROR($AC327*HDF_Limited_Col!BL327/HDF_Limited_Col!$AH327," ")</f>
        <v xml:space="preserve"> </v>
      </c>
      <c r="BM327" s="26" t="str">
        <f>IFERROR($AC327*HDF_Limited_Col!BM327/HDF_Limited_Col!$AH327," ")</f>
        <v xml:space="preserve"> </v>
      </c>
      <c r="BN327" s="26" t="str">
        <f>IFERROR($AC327*HDF_Limited_Col!BN327/HDF_Limited_Col!$AH327," ")</f>
        <v xml:space="preserve"> </v>
      </c>
      <c r="BO327" s="26" t="str">
        <f>IFERROR($AC327*HDF_Limited_Col!BO327/HDF_Limited_Col!$AH327," ")</f>
        <v xml:space="preserve"> </v>
      </c>
      <c r="BP327" s="26" t="str">
        <f>IFERROR($AC327*HDF_Limited_Col!BP327/HDF_Limited_Col!$AH327," ")</f>
        <v xml:space="preserve"> </v>
      </c>
      <c r="BQ327" s="26" t="str">
        <f>IFERROR($AC327*HDF_Limited_Col!BQ327/HDF_Limited_Col!$AH327," ")</f>
        <v xml:space="preserve"> </v>
      </c>
      <c r="BR327" s="26" t="str">
        <f>IFERROR($AC327*HDF_Limited_Col!BR327/HDF_Limited_Col!$AH327," ")</f>
        <v xml:space="preserve"> </v>
      </c>
      <c r="BS327" s="26" t="str">
        <f>IFERROR($AC327*HDF_Limited_Col!BS327/HDF_Limited_Col!$AH327," ")</f>
        <v xml:space="preserve"> </v>
      </c>
      <c r="BT327" s="26" t="str">
        <f>IFERROR($AC327*HDF_Limited_Col!BT327/HDF_Limited_Col!$AH327," ")</f>
        <v xml:space="preserve"> </v>
      </c>
      <c r="BU327" s="26" t="str">
        <f>IFERROR($AC327*HDF_Limited_Col!BU327/HDF_Limited_Col!$AH327," ")</f>
        <v xml:space="preserve"> </v>
      </c>
      <c r="BV327" s="26" t="str">
        <f>IFERROR($AC327*HDF_Limited_Col!BV327/HDF_Limited_Col!$AH327," ")</f>
        <v xml:space="preserve"> </v>
      </c>
      <c r="BW327" s="26" t="str">
        <f>IFERROR($AC327*HDF_Limited_Col!BW327/HDF_Limited_Col!$AH327," ")</f>
        <v xml:space="preserve"> </v>
      </c>
      <c r="BX327" s="26" t="str">
        <f>IFERROR($AC327*HDF_Limited_Col!BX327/HDF_Limited_Col!$AH327," ")</f>
        <v xml:space="preserve"> </v>
      </c>
      <c r="BY327" s="26" t="str">
        <f>IFERROR($AC327*HDF_Limited_Col!BY327/HDF_Limited_Col!$AH327," ")</f>
        <v xml:space="preserve"> </v>
      </c>
      <c r="BZ327" s="26" t="str">
        <f>IFERROR($AC327*HDF_Limited_Col!BZ327/HDF_Limited_Col!$AH327," ")</f>
        <v xml:space="preserve"> </v>
      </c>
      <c r="CA327" s="26" t="str">
        <f>IFERROR($AC327*HDF_Limited_Col!CA327/HDF_Limited_Col!$AH327," ")</f>
        <v xml:space="preserve"> </v>
      </c>
      <c r="CB327" s="26" t="str">
        <f>IFERROR($AC327*HDF_Limited_Col!CB327/HDF_Limited_Col!$AH327," ")</f>
        <v xml:space="preserve"> </v>
      </c>
      <c r="CC327" s="26" t="str">
        <f>IFERROR($AC327*HDF_Limited_Col!CC327/HDF_Limited_Col!$AH327," ")</f>
        <v xml:space="preserve"> </v>
      </c>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row>
    <row r="328" spans="1:109">
      <c r="A328" s="26" t="s">
        <v>1211</v>
      </c>
      <c r="B328" s="26" t="s">
        <v>24</v>
      </c>
      <c r="C328" s="26" t="s">
        <v>1369</v>
      </c>
      <c r="D328" s="26" t="s">
        <v>1204</v>
      </c>
      <c r="E328" s="26" t="s">
        <v>237</v>
      </c>
      <c r="F328" s="26" t="s">
        <v>163</v>
      </c>
      <c r="G328" s="26" t="s">
        <v>595</v>
      </c>
      <c r="H328" s="30">
        <v>355</v>
      </c>
      <c r="I328" s="26"/>
      <c r="J328" s="26" t="s">
        <v>1311</v>
      </c>
      <c r="K328" s="26" t="s">
        <v>1276</v>
      </c>
      <c r="L328" s="26"/>
      <c r="M328" s="26" t="s">
        <v>1423</v>
      </c>
      <c r="N328" s="26"/>
      <c r="AA328" s="26"/>
      <c r="AB328" s="26"/>
      <c r="AC328" s="26">
        <f t="shared" si="6"/>
        <v>0</v>
      </c>
      <c r="AD328" s="26" t="str">
        <f>IFERROR($AC328*HDF_Limited_Col!AD328/HDF_Limited_Col!$AH328," ")</f>
        <v xml:space="preserve"> </v>
      </c>
      <c r="AE328" s="26" t="str">
        <f>IFERROR($AC328*HDF_Limited_Col!AE328/HDF_Limited_Col!$AH328," ")</f>
        <v xml:space="preserve"> </v>
      </c>
      <c r="AF328" s="26" t="str">
        <f>IFERROR($AC328*HDF_Limited_Col!AF328/HDF_Limited_Col!$AH328," ")</f>
        <v xml:space="preserve"> </v>
      </c>
      <c r="AG328" s="26" t="str">
        <f>IFERROR($AC328*HDF_Limited_Col!AG328/HDF_Limited_Col!$AH328," ")</f>
        <v xml:space="preserve"> </v>
      </c>
      <c r="AH328" s="26" t="str">
        <f>IFERROR($AC328*HDF_Limited_Col!AH328/HDF_Limited_Col!$AH328," ")</f>
        <v xml:space="preserve"> </v>
      </c>
      <c r="AI328" s="26" t="str">
        <f>IFERROR($AC328*HDF_Limited_Col!AI328/HDF_Limited_Col!$AH328," ")</f>
        <v xml:space="preserve"> </v>
      </c>
      <c r="AJ328" s="26" t="str">
        <f>IFERROR($AC328*HDF_Limited_Col!AJ328/HDF_Limited_Col!$AH328," ")</f>
        <v xml:space="preserve"> </v>
      </c>
      <c r="AK328" s="26" t="str">
        <f>IFERROR($AC328*HDF_Limited_Col!AK328/HDF_Limited_Col!$AH328," ")</f>
        <v xml:space="preserve"> </v>
      </c>
      <c r="AL328" s="26" t="str">
        <f>IFERROR($AC328*HDF_Limited_Col!AL328/HDF_Limited_Col!$AH328," ")</f>
        <v xml:space="preserve"> </v>
      </c>
      <c r="AM328" s="26" t="str">
        <f>IFERROR($AC328*HDF_Limited_Col!AM328/HDF_Limited_Col!$AH328," ")</f>
        <v xml:space="preserve"> </v>
      </c>
      <c r="AN328" s="26" t="str">
        <f>IFERROR($AC328*HDF_Limited_Col!AN328/HDF_Limited_Col!$AH328," ")</f>
        <v xml:space="preserve"> </v>
      </c>
      <c r="AO328" s="26" t="str">
        <f>IFERROR($AC328*HDF_Limited_Col!AO328/HDF_Limited_Col!$AH328," ")</f>
        <v xml:space="preserve"> </v>
      </c>
      <c r="AP328" s="26" t="str">
        <f>IFERROR($AC328*HDF_Limited_Col!AP328/HDF_Limited_Col!$AH328," ")</f>
        <v xml:space="preserve"> </v>
      </c>
      <c r="AQ328" s="26" t="str">
        <f>IFERROR($AC328*HDF_Limited_Col!AQ328/HDF_Limited_Col!$AH328," ")</f>
        <v xml:space="preserve"> </v>
      </c>
      <c r="AR328" s="26" t="str">
        <f>IFERROR($AC328*HDF_Limited_Col!AR328/HDF_Limited_Col!$AH328," ")</f>
        <v xml:space="preserve"> </v>
      </c>
      <c r="AS328" s="26" t="str">
        <f>IFERROR($AC328*HDF_Limited_Col!AS328/HDF_Limited_Col!$AH328," ")</f>
        <v xml:space="preserve"> </v>
      </c>
      <c r="AT328" s="26" t="str">
        <f>IFERROR($AC328*HDF_Limited_Col!AT328/HDF_Limited_Col!$AH328," ")</f>
        <v xml:space="preserve"> </v>
      </c>
      <c r="AU328" s="26" t="str">
        <f>IFERROR($AC328*HDF_Limited_Col!AU328/HDF_Limited_Col!$AH328," ")</f>
        <v xml:space="preserve"> </v>
      </c>
      <c r="AV328" s="26" t="str">
        <f>IFERROR($AC328*HDF_Limited_Col!AV328/HDF_Limited_Col!$AH328," ")</f>
        <v xml:space="preserve"> </v>
      </c>
      <c r="AW328" s="26" t="str">
        <f>IFERROR($AC328*HDF_Limited_Col!AW328/HDF_Limited_Col!$AH328," ")</f>
        <v xml:space="preserve"> </v>
      </c>
      <c r="AX328" s="26" t="str">
        <f>IFERROR($AC328*HDF_Limited_Col!AX328/HDF_Limited_Col!$AH328," ")</f>
        <v xml:space="preserve"> </v>
      </c>
      <c r="AY328" s="26" t="str">
        <f>IFERROR($AC328*HDF_Limited_Col!AY328/HDF_Limited_Col!$AH328," ")</f>
        <v xml:space="preserve"> </v>
      </c>
      <c r="AZ328" s="26" t="str">
        <f>IFERROR($AC328*HDF_Limited_Col!AZ328/HDF_Limited_Col!$AH328," ")</f>
        <v xml:space="preserve"> </v>
      </c>
      <c r="BA328" s="26" t="str">
        <f>IFERROR($AC328*HDF_Limited_Col!BA328/HDF_Limited_Col!$AH328," ")</f>
        <v xml:space="preserve"> </v>
      </c>
      <c r="BB328" s="26" t="str">
        <f>IFERROR($AC328*HDF_Limited_Col!BB328/HDF_Limited_Col!$AH328," ")</f>
        <v xml:space="preserve"> </v>
      </c>
      <c r="BC328" s="26" t="str">
        <f>IFERROR($AC328*HDF_Limited_Col!BC328/HDF_Limited_Col!$AH328," ")</f>
        <v xml:space="preserve"> </v>
      </c>
      <c r="BD328" s="26" t="str">
        <f>IFERROR($AC328*HDF_Limited_Col!BD328/HDF_Limited_Col!$AH328," ")</f>
        <v xml:space="preserve"> </v>
      </c>
      <c r="BE328" s="26" t="str">
        <f>IFERROR($AC328*HDF_Limited_Col!BE328/HDF_Limited_Col!$AH328," ")</f>
        <v xml:space="preserve"> </v>
      </c>
      <c r="BF328" s="26" t="str">
        <f>IFERROR($AC328*HDF_Limited_Col!BF328/HDF_Limited_Col!$AH328," ")</f>
        <v xml:space="preserve"> </v>
      </c>
      <c r="BG328" s="26" t="str">
        <f>IFERROR($AC328*HDF_Limited_Col!BG328/HDF_Limited_Col!$AH328," ")</f>
        <v xml:space="preserve"> </v>
      </c>
      <c r="BH328" s="26" t="str">
        <f>IFERROR($AC328*HDF_Limited_Col!BH328/HDF_Limited_Col!$AH328," ")</f>
        <v xml:space="preserve"> </v>
      </c>
      <c r="BI328" s="26" t="str">
        <f>IFERROR($AC328*HDF_Limited_Col!BI328/HDF_Limited_Col!$AH328," ")</f>
        <v xml:space="preserve"> </v>
      </c>
      <c r="BJ328" s="26" t="str">
        <f>IFERROR($AC328*HDF_Limited_Col!BJ328/HDF_Limited_Col!$AH328," ")</f>
        <v xml:space="preserve"> </v>
      </c>
      <c r="BK328" s="26" t="str">
        <f>IFERROR($AC328*HDF_Limited_Col!BK328/HDF_Limited_Col!$AH328," ")</f>
        <v xml:space="preserve"> </v>
      </c>
      <c r="BL328" s="26" t="str">
        <f>IFERROR($AC328*HDF_Limited_Col!BL328/HDF_Limited_Col!$AH328," ")</f>
        <v xml:space="preserve"> </v>
      </c>
      <c r="BM328" s="26" t="str">
        <f>IFERROR($AC328*HDF_Limited_Col!BM328/HDF_Limited_Col!$AH328," ")</f>
        <v xml:space="preserve"> </v>
      </c>
      <c r="BN328" s="26" t="str">
        <f>IFERROR($AC328*HDF_Limited_Col!BN328/HDF_Limited_Col!$AH328," ")</f>
        <v xml:space="preserve"> </v>
      </c>
      <c r="BO328" s="26" t="str">
        <f>IFERROR($AC328*HDF_Limited_Col!BO328/HDF_Limited_Col!$AH328," ")</f>
        <v xml:space="preserve"> </v>
      </c>
      <c r="BP328" s="26" t="str">
        <f>IFERROR($AC328*HDF_Limited_Col!BP328/HDF_Limited_Col!$AH328," ")</f>
        <v xml:space="preserve"> </v>
      </c>
      <c r="BQ328" s="26" t="str">
        <f>IFERROR($AC328*HDF_Limited_Col!BQ328/HDF_Limited_Col!$AH328," ")</f>
        <v xml:space="preserve"> </v>
      </c>
      <c r="BR328" s="26" t="str">
        <f>IFERROR($AC328*HDF_Limited_Col!BR328/HDF_Limited_Col!$AH328," ")</f>
        <v xml:space="preserve"> </v>
      </c>
      <c r="BS328" s="26" t="str">
        <f>IFERROR($AC328*HDF_Limited_Col!BS328/HDF_Limited_Col!$AH328," ")</f>
        <v xml:space="preserve"> </v>
      </c>
      <c r="BT328" s="26" t="str">
        <f>IFERROR($AC328*HDF_Limited_Col!BT328/HDF_Limited_Col!$AH328," ")</f>
        <v xml:space="preserve"> </v>
      </c>
      <c r="BU328" s="26" t="str">
        <f>IFERROR($AC328*HDF_Limited_Col!BU328/HDF_Limited_Col!$AH328," ")</f>
        <v xml:space="preserve"> </v>
      </c>
      <c r="BV328" s="26" t="str">
        <f>IFERROR($AC328*HDF_Limited_Col!BV328/HDF_Limited_Col!$AH328," ")</f>
        <v xml:space="preserve"> </v>
      </c>
      <c r="BW328" s="26" t="str">
        <f>IFERROR($AC328*HDF_Limited_Col!BW328/HDF_Limited_Col!$AH328," ")</f>
        <v xml:space="preserve"> </v>
      </c>
      <c r="BX328" s="26" t="str">
        <f>IFERROR($AC328*HDF_Limited_Col!BX328/HDF_Limited_Col!$AH328," ")</f>
        <v xml:space="preserve"> </v>
      </c>
      <c r="BY328" s="26" t="str">
        <f>IFERROR($AC328*HDF_Limited_Col!BY328/HDF_Limited_Col!$AH328," ")</f>
        <v xml:space="preserve"> </v>
      </c>
      <c r="BZ328" s="26" t="str">
        <f>IFERROR($AC328*HDF_Limited_Col!BZ328/HDF_Limited_Col!$AH328," ")</f>
        <v xml:space="preserve"> </v>
      </c>
      <c r="CA328" s="26" t="str">
        <f>IFERROR($AC328*HDF_Limited_Col!CA328/HDF_Limited_Col!$AH328," ")</f>
        <v xml:space="preserve"> </v>
      </c>
      <c r="CB328" s="26" t="str">
        <f>IFERROR($AC328*HDF_Limited_Col!CB328/HDF_Limited_Col!$AH328," ")</f>
        <v xml:space="preserve"> </v>
      </c>
      <c r="CC328" s="26" t="str">
        <f>IFERROR($AC328*HDF_Limited_Col!CC328/HDF_Limited_Col!$AH328," ")</f>
        <v xml:space="preserve"> </v>
      </c>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row>
    <row r="329" spans="1:109">
      <c r="A329" s="26" t="s">
        <v>1211</v>
      </c>
      <c r="B329" s="26" t="s">
        <v>24</v>
      </c>
      <c r="C329" s="26" t="s">
        <v>1369</v>
      </c>
      <c r="D329" s="26" t="s">
        <v>119</v>
      </c>
      <c r="E329" s="26" t="s">
        <v>171</v>
      </c>
      <c r="F329" s="26" t="s">
        <v>120</v>
      </c>
      <c r="G329" s="26" t="s">
        <v>595</v>
      </c>
      <c r="H329" s="30">
        <v>53</v>
      </c>
      <c r="I329" s="26"/>
      <c r="J329" s="26" t="s">
        <v>1318</v>
      </c>
      <c r="K329" s="26" t="s">
        <v>968</v>
      </c>
      <c r="L329" s="26"/>
      <c r="M329" s="26" t="s">
        <v>1213</v>
      </c>
      <c r="N329" s="26"/>
      <c r="AA329" s="26"/>
      <c r="AB329" s="26"/>
      <c r="AC329" s="26">
        <f t="shared" si="6"/>
        <v>0</v>
      </c>
      <c r="AD329" s="26" t="str">
        <f>IFERROR($AC329*HDF_Limited_Col!AD329/HDF_Limited_Col!$AH329," ")</f>
        <v xml:space="preserve"> </v>
      </c>
      <c r="AE329" s="26" t="str">
        <f>IFERROR($AC329*HDF_Limited_Col!AE329/HDF_Limited_Col!$AH329," ")</f>
        <v xml:space="preserve"> </v>
      </c>
      <c r="AF329" s="26" t="str">
        <f>IFERROR($AC329*HDF_Limited_Col!AF329/HDF_Limited_Col!$AH329," ")</f>
        <v xml:space="preserve"> </v>
      </c>
      <c r="AG329" s="26" t="str">
        <f>IFERROR($AC329*HDF_Limited_Col!AG329/HDF_Limited_Col!$AH329," ")</f>
        <v xml:space="preserve"> </v>
      </c>
      <c r="AH329" s="26" t="str">
        <f>IFERROR($AC329*HDF_Limited_Col!AH329/HDF_Limited_Col!$AH329," ")</f>
        <v xml:space="preserve"> </v>
      </c>
      <c r="AI329" s="26" t="str">
        <f>IFERROR($AC329*HDF_Limited_Col!AI329/HDF_Limited_Col!$AH329," ")</f>
        <v xml:space="preserve"> </v>
      </c>
      <c r="AJ329" s="26" t="str">
        <f>IFERROR($AC329*HDF_Limited_Col!AJ329/HDF_Limited_Col!$AH329," ")</f>
        <v xml:space="preserve"> </v>
      </c>
      <c r="AK329" s="26" t="str">
        <f>IFERROR($AC329*HDF_Limited_Col!AK329/HDF_Limited_Col!$AH329," ")</f>
        <v xml:space="preserve"> </v>
      </c>
      <c r="AL329" s="26" t="str">
        <f>IFERROR($AC329*HDF_Limited_Col!AL329/HDF_Limited_Col!$AH329," ")</f>
        <v xml:space="preserve"> </v>
      </c>
      <c r="AM329" s="26" t="str">
        <f>IFERROR($AC329*HDF_Limited_Col!AM329/HDF_Limited_Col!$AH329," ")</f>
        <v xml:space="preserve"> </v>
      </c>
      <c r="AN329" s="26" t="str">
        <f>IFERROR($AC329*HDF_Limited_Col!AN329/HDF_Limited_Col!$AH329," ")</f>
        <v xml:space="preserve"> </v>
      </c>
      <c r="AO329" s="26" t="str">
        <f>IFERROR($AC329*HDF_Limited_Col!AO329/HDF_Limited_Col!$AH329," ")</f>
        <v xml:space="preserve"> </v>
      </c>
      <c r="AP329" s="26" t="str">
        <f>IFERROR($AC329*HDF_Limited_Col!AP329/HDF_Limited_Col!$AH329," ")</f>
        <v xml:space="preserve"> </v>
      </c>
      <c r="AQ329" s="26" t="str">
        <f>IFERROR($AC329*HDF_Limited_Col!AQ329/HDF_Limited_Col!$AH329," ")</f>
        <v xml:space="preserve"> </v>
      </c>
      <c r="AR329" s="26" t="str">
        <f>IFERROR($AC329*HDF_Limited_Col!AR329/HDF_Limited_Col!$AH329," ")</f>
        <v xml:space="preserve"> </v>
      </c>
      <c r="AS329" s="26" t="str">
        <f>IFERROR($AC329*HDF_Limited_Col!AS329/HDF_Limited_Col!$AH329," ")</f>
        <v xml:space="preserve"> </v>
      </c>
      <c r="AT329" s="26" t="str">
        <f>IFERROR($AC329*HDF_Limited_Col!AT329/HDF_Limited_Col!$AH329," ")</f>
        <v xml:space="preserve"> </v>
      </c>
      <c r="AU329" s="26" t="str">
        <f>IFERROR($AC329*HDF_Limited_Col!AU329/HDF_Limited_Col!$AH329," ")</f>
        <v xml:space="preserve"> </v>
      </c>
      <c r="AV329" s="26" t="str">
        <f>IFERROR($AC329*HDF_Limited_Col!AV329/HDF_Limited_Col!$AH329," ")</f>
        <v xml:space="preserve"> </v>
      </c>
      <c r="AW329" s="26" t="str">
        <f>IFERROR($AC329*HDF_Limited_Col!AW329/HDF_Limited_Col!$AH329," ")</f>
        <v xml:space="preserve"> </v>
      </c>
      <c r="AX329" s="26" t="str">
        <f>IFERROR($AC329*HDF_Limited_Col!AX329/HDF_Limited_Col!$AH329," ")</f>
        <v xml:space="preserve"> </v>
      </c>
      <c r="AY329" s="26" t="str">
        <f>IFERROR($AC329*HDF_Limited_Col!AY329/HDF_Limited_Col!$AH329," ")</f>
        <v xml:space="preserve"> </v>
      </c>
      <c r="AZ329" s="26" t="str">
        <f>IFERROR($AC329*HDF_Limited_Col!AZ329/HDF_Limited_Col!$AH329," ")</f>
        <v xml:space="preserve"> </v>
      </c>
      <c r="BA329" s="26" t="str">
        <f>IFERROR($AC329*HDF_Limited_Col!BA329/HDF_Limited_Col!$AH329," ")</f>
        <v xml:space="preserve"> </v>
      </c>
      <c r="BB329" s="26" t="str">
        <f>IFERROR($AC329*HDF_Limited_Col!BB329/HDF_Limited_Col!$AH329," ")</f>
        <v xml:space="preserve"> </v>
      </c>
      <c r="BC329" s="26" t="str">
        <f>IFERROR($AC329*HDF_Limited_Col!BC329/HDF_Limited_Col!$AH329," ")</f>
        <v xml:space="preserve"> </v>
      </c>
      <c r="BD329" s="26" t="str">
        <f>IFERROR($AC329*HDF_Limited_Col!BD329/HDF_Limited_Col!$AH329," ")</f>
        <v xml:space="preserve"> </v>
      </c>
      <c r="BE329" s="26" t="str">
        <f>IFERROR($AC329*HDF_Limited_Col!BE329/HDF_Limited_Col!$AH329," ")</f>
        <v xml:space="preserve"> </v>
      </c>
      <c r="BF329" s="26" t="str">
        <f>IFERROR($AC329*HDF_Limited_Col!BF329/HDF_Limited_Col!$AH329," ")</f>
        <v xml:space="preserve"> </v>
      </c>
      <c r="BG329" s="26" t="str">
        <f>IFERROR($AC329*HDF_Limited_Col!BG329/HDF_Limited_Col!$AH329," ")</f>
        <v xml:space="preserve"> </v>
      </c>
      <c r="BH329" s="26" t="str">
        <f>IFERROR($AC329*HDF_Limited_Col!BH329/HDF_Limited_Col!$AH329," ")</f>
        <v xml:space="preserve"> </v>
      </c>
      <c r="BI329" s="26" t="str">
        <f>IFERROR($AC329*HDF_Limited_Col!BI329/HDF_Limited_Col!$AH329," ")</f>
        <v xml:space="preserve"> </v>
      </c>
      <c r="BJ329" s="26" t="str">
        <f>IFERROR($AC329*HDF_Limited_Col!BJ329/HDF_Limited_Col!$AH329," ")</f>
        <v xml:space="preserve"> </v>
      </c>
      <c r="BK329" s="26" t="str">
        <f>IFERROR($AC329*HDF_Limited_Col!BK329/HDF_Limited_Col!$AH329," ")</f>
        <v xml:space="preserve"> </v>
      </c>
      <c r="BL329" s="26" t="str">
        <f>IFERROR($AC329*HDF_Limited_Col!BL329/HDF_Limited_Col!$AH329," ")</f>
        <v xml:space="preserve"> </v>
      </c>
      <c r="BM329" s="26" t="str">
        <f>IFERROR($AC329*HDF_Limited_Col!BM329/HDF_Limited_Col!$AH329," ")</f>
        <v xml:space="preserve"> </v>
      </c>
      <c r="BN329" s="26" t="str">
        <f>IFERROR($AC329*HDF_Limited_Col!BN329/HDF_Limited_Col!$AH329," ")</f>
        <v xml:space="preserve"> </v>
      </c>
      <c r="BO329" s="26" t="str">
        <f>IFERROR($AC329*HDF_Limited_Col!BO329/HDF_Limited_Col!$AH329," ")</f>
        <v xml:space="preserve"> </v>
      </c>
      <c r="BP329" s="26" t="str">
        <f>IFERROR($AC329*HDF_Limited_Col!BP329/HDF_Limited_Col!$AH329," ")</f>
        <v xml:space="preserve"> </v>
      </c>
      <c r="BQ329" s="26" t="str">
        <f>IFERROR($AC329*HDF_Limited_Col!BQ329/HDF_Limited_Col!$AH329," ")</f>
        <v xml:space="preserve"> </v>
      </c>
      <c r="BR329" s="26" t="str">
        <f>IFERROR($AC329*HDF_Limited_Col!BR329/HDF_Limited_Col!$AH329," ")</f>
        <v xml:space="preserve"> </v>
      </c>
      <c r="BS329" s="26" t="str">
        <f>IFERROR($AC329*HDF_Limited_Col!BS329/HDF_Limited_Col!$AH329," ")</f>
        <v xml:space="preserve"> </v>
      </c>
      <c r="BT329" s="26" t="str">
        <f>IFERROR($AC329*HDF_Limited_Col!BT329/HDF_Limited_Col!$AH329," ")</f>
        <v xml:space="preserve"> </v>
      </c>
      <c r="BU329" s="26" t="str">
        <f>IFERROR($AC329*HDF_Limited_Col!BU329/HDF_Limited_Col!$AH329," ")</f>
        <v xml:space="preserve"> </v>
      </c>
      <c r="BV329" s="26" t="str">
        <f>IFERROR($AC329*HDF_Limited_Col!BV329/HDF_Limited_Col!$AH329," ")</f>
        <v xml:space="preserve"> </v>
      </c>
      <c r="BW329" s="26" t="str">
        <f>IFERROR($AC329*HDF_Limited_Col!BW329/HDF_Limited_Col!$AH329," ")</f>
        <v xml:space="preserve"> </v>
      </c>
      <c r="BX329" s="26" t="str">
        <f>IFERROR($AC329*HDF_Limited_Col!BX329/HDF_Limited_Col!$AH329," ")</f>
        <v xml:space="preserve"> </v>
      </c>
      <c r="BY329" s="26" t="str">
        <f>IFERROR($AC329*HDF_Limited_Col!BY329/HDF_Limited_Col!$AH329," ")</f>
        <v xml:space="preserve"> </v>
      </c>
      <c r="BZ329" s="26" t="str">
        <f>IFERROR($AC329*HDF_Limited_Col!BZ329/HDF_Limited_Col!$AH329," ")</f>
        <v xml:space="preserve"> </v>
      </c>
      <c r="CA329" s="26" t="str">
        <f>IFERROR($AC329*HDF_Limited_Col!CA329/HDF_Limited_Col!$AH329," ")</f>
        <v xml:space="preserve"> </v>
      </c>
      <c r="CB329" s="26" t="str">
        <f>IFERROR($AC329*HDF_Limited_Col!CB329/HDF_Limited_Col!$AH329," ")</f>
        <v xml:space="preserve"> </v>
      </c>
      <c r="CC329" s="26" t="str">
        <f>IFERROR($AC329*HDF_Limited_Col!CC329/HDF_Limited_Col!$AH329," ")</f>
        <v xml:space="preserve"> </v>
      </c>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row>
    <row r="330" spans="1:109">
      <c r="A330" s="26" t="s">
        <v>1396</v>
      </c>
      <c r="B330" s="26" t="s">
        <v>24</v>
      </c>
      <c r="C330" s="26" t="s">
        <v>1369</v>
      </c>
      <c r="D330" s="26" t="s">
        <v>119</v>
      </c>
      <c r="E330" s="26" t="s">
        <v>171</v>
      </c>
      <c r="F330" s="26" t="s">
        <v>120</v>
      </c>
      <c r="G330" s="26" t="s">
        <v>595</v>
      </c>
      <c r="H330" s="30">
        <v>53</v>
      </c>
      <c r="I330" s="26" t="s">
        <v>712</v>
      </c>
      <c r="J330" s="26" t="s">
        <v>1318</v>
      </c>
      <c r="K330" s="26" t="s">
        <v>968</v>
      </c>
      <c r="L330" s="26"/>
      <c r="M330" s="26" t="s">
        <v>1480</v>
      </c>
      <c r="N330" s="26">
        <v>35</v>
      </c>
      <c r="O330" s="95">
        <v>6.0905045340059436</v>
      </c>
      <c r="P330" s="95">
        <v>0</v>
      </c>
      <c r="Q330" s="95">
        <v>1.9951652783812572</v>
      </c>
      <c r="R330" s="95">
        <v>28.142331295061947</v>
      </c>
      <c r="S330" s="95">
        <v>8.1906785112493719</v>
      </c>
      <c r="T330" s="95">
        <v>13.336104755495771</v>
      </c>
      <c r="U330" s="95">
        <v>11.970991670287544</v>
      </c>
      <c r="V330" s="95">
        <v>6.1955132328681142</v>
      </c>
      <c r="W330" s="95">
        <v>13.336104755495771</v>
      </c>
      <c r="X330" s="95">
        <v>0</v>
      </c>
      <c r="Y330" s="95">
        <v>13.756139550944457</v>
      </c>
      <c r="Z330" s="95">
        <v>103.01353358379016</v>
      </c>
      <c r="AA330" s="26"/>
      <c r="AB330" s="26"/>
      <c r="AC330" s="26">
        <f t="shared" si="6"/>
        <v>110707.98057060127</v>
      </c>
      <c r="AD330" s="26" t="str">
        <f>IFERROR($AC330*HDF_Limited_Col!AD330/HDF_Limited_Col!$AH330," ")</f>
        <v xml:space="preserve"> </v>
      </c>
      <c r="AE330" s="26" t="str">
        <f>IFERROR($AC330*HDF_Limited_Col!AE330/HDF_Limited_Col!$AH330," ")</f>
        <v xml:space="preserve"> </v>
      </c>
      <c r="AF330" s="26" t="str">
        <f>IFERROR($AC330*HDF_Limited_Col!AF330/HDF_Limited_Col!$AH330," ")</f>
        <v xml:space="preserve"> </v>
      </c>
      <c r="AG330" s="26" t="str">
        <f>IFERROR($AC330*HDF_Limited_Col!AG330/HDF_Limited_Col!$AH330," ")</f>
        <v xml:space="preserve"> </v>
      </c>
      <c r="AH330" s="26" t="str">
        <f>IFERROR($AC330*HDF_Limited_Col!AH330/HDF_Limited_Col!$AH330," ")</f>
        <v xml:space="preserve"> </v>
      </c>
      <c r="AI330" s="26" t="str">
        <f>IFERROR($AC330*HDF_Limited_Col!AI330/HDF_Limited_Col!$AH330," ")</f>
        <v xml:space="preserve"> </v>
      </c>
      <c r="AJ330" s="26" t="str">
        <f>IFERROR($AC330*HDF_Limited_Col!AJ330/HDF_Limited_Col!$AH330," ")</f>
        <v xml:space="preserve"> </v>
      </c>
      <c r="AK330" s="26" t="str">
        <f>IFERROR($AC330*HDF_Limited_Col!AK330/HDF_Limited_Col!$AH330," ")</f>
        <v xml:space="preserve"> </v>
      </c>
      <c r="AL330" s="26" t="str">
        <f>IFERROR($AC330*HDF_Limited_Col!AL330/HDF_Limited_Col!$AH330," ")</f>
        <v xml:space="preserve"> </v>
      </c>
      <c r="AM330" s="26" t="str">
        <f>IFERROR($AC330*HDF_Limited_Col!AM330/HDF_Limited_Col!$AH330," ")</f>
        <v xml:space="preserve"> </v>
      </c>
      <c r="AN330" s="26" t="str">
        <f>IFERROR($AC330*HDF_Limited_Col!AN330/HDF_Limited_Col!$AH330," ")</f>
        <v xml:space="preserve"> </v>
      </c>
      <c r="AO330" s="26" t="str">
        <f>IFERROR($AC330*HDF_Limited_Col!AO330/HDF_Limited_Col!$AH330," ")</f>
        <v xml:space="preserve"> </v>
      </c>
      <c r="AP330" s="26" t="str">
        <f>IFERROR($AC330*HDF_Limited_Col!AP330/HDF_Limited_Col!$AH330," ")</f>
        <v xml:space="preserve"> </v>
      </c>
      <c r="AQ330" s="26" t="str">
        <f>IFERROR($AC330*HDF_Limited_Col!AQ330/HDF_Limited_Col!$AH330," ")</f>
        <v xml:space="preserve"> </v>
      </c>
      <c r="AR330" s="26" t="str">
        <f>IFERROR($AC330*HDF_Limited_Col!AR330/HDF_Limited_Col!$AH330," ")</f>
        <v xml:space="preserve"> </v>
      </c>
      <c r="AS330" s="26" t="str">
        <f>IFERROR($AC330*HDF_Limited_Col!AS330/HDF_Limited_Col!$AH330," ")</f>
        <v xml:space="preserve"> </v>
      </c>
      <c r="AT330" s="26" t="str">
        <f>IFERROR($AC330*HDF_Limited_Col!AT330/HDF_Limited_Col!$AH330," ")</f>
        <v xml:space="preserve"> </v>
      </c>
      <c r="AU330" s="26" t="str">
        <f>IFERROR($AC330*HDF_Limited_Col!AU330/HDF_Limited_Col!$AH330," ")</f>
        <v xml:space="preserve"> </v>
      </c>
      <c r="AV330" s="26" t="str">
        <f>IFERROR($AC330*HDF_Limited_Col!AV330/HDF_Limited_Col!$AH330," ")</f>
        <v xml:space="preserve"> </v>
      </c>
      <c r="AW330" s="26" t="str">
        <f>IFERROR($AC330*HDF_Limited_Col!AW330/HDF_Limited_Col!$AH330," ")</f>
        <v xml:space="preserve"> </v>
      </c>
      <c r="AX330" s="26" t="str">
        <f>IFERROR($AC330*HDF_Limited_Col!AX330/HDF_Limited_Col!$AH330," ")</f>
        <v xml:space="preserve"> </v>
      </c>
      <c r="AY330" s="26" t="str">
        <f>IFERROR($AC330*HDF_Limited_Col!AY330/HDF_Limited_Col!$AH330," ")</f>
        <v xml:space="preserve"> </v>
      </c>
      <c r="AZ330" s="26" t="str">
        <f>IFERROR($AC330*HDF_Limited_Col!AZ330/HDF_Limited_Col!$AH330," ")</f>
        <v xml:space="preserve"> </v>
      </c>
      <c r="BA330" s="26" t="str">
        <f>IFERROR($AC330*HDF_Limited_Col!BA330/HDF_Limited_Col!$AH330," ")</f>
        <v xml:space="preserve"> </v>
      </c>
      <c r="BB330" s="26" t="str">
        <f>IFERROR($AC330*HDF_Limited_Col!BB330/HDF_Limited_Col!$AH330," ")</f>
        <v xml:space="preserve"> </v>
      </c>
      <c r="BC330" s="26" t="str">
        <f>IFERROR($AC330*HDF_Limited_Col!BC330/HDF_Limited_Col!$AH330," ")</f>
        <v xml:space="preserve"> </v>
      </c>
      <c r="BD330" s="26" t="str">
        <f>IFERROR($AC330*HDF_Limited_Col!BD330/HDF_Limited_Col!$AH330," ")</f>
        <v xml:space="preserve"> </v>
      </c>
      <c r="BE330" s="26" t="str">
        <f>IFERROR($AC330*HDF_Limited_Col!BE330/HDF_Limited_Col!$AH330," ")</f>
        <v xml:space="preserve"> </v>
      </c>
      <c r="BF330" s="26" t="str">
        <f>IFERROR($AC330*HDF_Limited_Col!BF330/HDF_Limited_Col!$AH330," ")</f>
        <v xml:space="preserve"> </v>
      </c>
      <c r="BG330" s="26" t="str">
        <f>IFERROR($AC330*HDF_Limited_Col!BG330/HDF_Limited_Col!$AH330," ")</f>
        <v xml:space="preserve"> </v>
      </c>
      <c r="BH330" s="26" t="str">
        <f>IFERROR($AC330*HDF_Limited_Col!BH330/HDF_Limited_Col!$AH330," ")</f>
        <v xml:space="preserve"> </v>
      </c>
      <c r="BI330" s="26" t="str">
        <f>IFERROR($AC330*HDF_Limited_Col!BI330/HDF_Limited_Col!$AH330," ")</f>
        <v xml:space="preserve"> </v>
      </c>
      <c r="BJ330" s="26" t="str">
        <f>IFERROR($AC330*HDF_Limited_Col!BJ330/HDF_Limited_Col!$AH330," ")</f>
        <v xml:space="preserve"> </v>
      </c>
      <c r="BK330" s="26" t="str">
        <f>IFERROR($AC330*HDF_Limited_Col!BK330/HDF_Limited_Col!$AH330," ")</f>
        <v xml:space="preserve"> </v>
      </c>
      <c r="BL330" s="26" t="str">
        <f>IFERROR($AC330*HDF_Limited_Col!BL330/HDF_Limited_Col!$AH330," ")</f>
        <v xml:space="preserve"> </v>
      </c>
      <c r="BM330" s="26" t="str">
        <f>IFERROR($AC330*HDF_Limited_Col!BM330/HDF_Limited_Col!$AH330," ")</f>
        <v xml:space="preserve"> </v>
      </c>
      <c r="BN330" s="26" t="str">
        <f>IFERROR($AC330*HDF_Limited_Col!BN330/HDF_Limited_Col!$AH330," ")</f>
        <v xml:space="preserve"> </v>
      </c>
      <c r="BO330" s="26" t="str">
        <f>IFERROR($AC330*HDF_Limited_Col!BO330/HDF_Limited_Col!$AH330," ")</f>
        <v xml:space="preserve"> </v>
      </c>
      <c r="BP330" s="26" t="str">
        <f>IFERROR($AC330*HDF_Limited_Col!BP330/HDF_Limited_Col!$AH330," ")</f>
        <v xml:space="preserve"> </v>
      </c>
      <c r="BQ330" s="26" t="str">
        <f>IFERROR($AC330*HDF_Limited_Col!BQ330/HDF_Limited_Col!$AH330," ")</f>
        <v xml:space="preserve"> </v>
      </c>
      <c r="BR330" s="26" t="str">
        <f>IFERROR($AC330*HDF_Limited_Col!BR330/HDF_Limited_Col!$AH330," ")</f>
        <v xml:space="preserve"> </v>
      </c>
      <c r="BS330" s="26" t="str">
        <f>IFERROR($AC330*HDF_Limited_Col!BS330/HDF_Limited_Col!$AH330," ")</f>
        <v xml:space="preserve"> </v>
      </c>
      <c r="BT330" s="26" t="str">
        <f>IFERROR($AC330*HDF_Limited_Col!BT330/HDF_Limited_Col!$AH330," ")</f>
        <v xml:space="preserve"> </v>
      </c>
      <c r="BU330" s="26" t="str">
        <f>IFERROR($AC330*HDF_Limited_Col!BU330/HDF_Limited_Col!$AH330," ")</f>
        <v xml:space="preserve"> </v>
      </c>
      <c r="BV330" s="26" t="str">
        <f>IFERROR($AC330*HDF_Limited_Col!BV330/HDF_Limited_Col!$AH330," ")</f>
        <v xml:space="preserve"> </v>
      </c>
      <c r="BW330" s="26" t="str">
        <f>IFERROR($AC330*HDF_Limited_Col!BW330/HDF_Limited_Col!$AH330," ")</f>
        <v xml:space="preserve"> </v>
      </c>
      <c r="BX330" s="26" t="str">
        <f>IFERROR($AC330*HDF_Limited_Col!BX330/HDF_Limited_Col!$AH330," ")</f>
        <v xml:space="preserve"> </v>
      </c>
      <c r="BY330" s="26" t="str">
        <f>IFERROR($AC330*HDF_Limited_Col!BY330/HDF_Limited_Col!$AH330," ")</f>
        <v xml:space="preserve"> </v>
      </c>
      <c r="BZ330" s="26" t="str">
        <f>IFERROR($AC330*HDF_Limited_Col!BZ330/HDF_Limited_Col!$AH330," ")</f>
        <v xml:space="preserve"> </v>
      </c>
      <c r="CA330" s="26" t="str">
        <f>IFERROR($AC330*HDF_Limited_Col!CA330/HDF_Limited_Col!$AH330," ")</f>
        <v xml:space="preserve"> </v>
      </c>
      <c r="CB330" s="26" t="str">
        <f>IFERROR($AC330*HDF_Limited_Col!CB330/HDF_Limited_Col!$AH330," ")</f>
        <v xml:space="preserve"> </v>
      </c>
      <c r="CC330" s="26" t="str">
        <f>IFERROR($AC330*HDF_Limited_Col!CC330/HDF_Limited_Col!$AH330," ")</f>
        <v xml:space="preserve"> </v>
      </c>
      <c r="CD330" s="26"/>
      <c r="CE330" s="26"/>
      <c r="CF330" s="26"/>
      <c r="CG330" s="26"/>
      <c r="CH330" s="26"/>
      <c r="CI330" s="26"/>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row>
    <row r="331" spans="1:109">
      <c r="A331" s="53" t="s">
        <v>1160</v>
      </c>
      <c r="B331" s="26" t="s">
        <v>24</v>
      </c>
      <c r="C331" s="26" t="s">
        <v>1369</v>
      </c>
      <c r="D331" s="53" t="s">
        <v>1279</v>
      </c>
      <c r="E331" s="53" t="s">
        <v>806</v>
      </c>
      <c r="F331" s="53" t="s">
        <v>139</v>
      </c>
      <c r="G331" s="53" t="s">
        <v>595</v>
      </c>
      <c r="H331" s="52">
        <v>2700</v>
      </c>
      <c r="I331" s="53"/>
      <c r="J331" s="53" t="s">
        <v>1311</v>
      </c>
      <c r="K331" s="53" t="s">
        <v>968</v>
      </c>
      <c r="L331" s="53"/>
      <c r="M331" s="53" t="s">
        <v>1187</v>
      </c>
      <c r="N331" s="53"/>
      <c r="AA331" s="53"/>
      <c r="AB331" s="53"/>
      <c r="AC331" s="26">
        <f t="shared" si="6"/>
        <v>0</v>
      </c>
      <c r="AD331" s="26" t="str">
        <f>IFERROR($AC331*HDF_Limited_Col!AD331/HDF_Limited_Col!$AH331," ")</f>
        <v xml:space="preserve"> </v>
      </c>
      <c r="AE331" s="26" t="str">
        <f>IFERROR($AC331*HDF_Limited_Col!AE331/HDF_Limited_Col!$AH331," ")</f>
        <v xml:space="preserve"> </v>
      </c>
      <c r="AF331" s="26" t="str">
        <f>IFERROR($AC331*HDF_Limited_Col!AF331/HDF_Limited_Col!$AH331," ")</f>
        <v xml:space="preserve"> </v>
      </c>
      <c r="AG331" s="26" t="str">
        <f>IFERROR($AC331*HDF_Limited_Col!AG331/HDF_Limited_Col!$AH331," ")</f>
        <v xml:space="preserve"> </v>
      </c>
      <c r="AH331" s="26" t="str">
        <f>IFERROR($AC331*HDF_Limited_Col!AH331/HDF_Limited_Col!$AH331," ")</f>
        <v xml:space="preserve"> </v>
      </c>
      <c r="AI331" s="26" t="str">
        <f>IFERROR($AC331*HDF_Limited_Col!AI331/HDF_Limited_Col!$AH331," ")</f>
        <v xml:space="preserve"> </v>
      </c>
      <c r="AJ331" s="26" t="str">
        <f>IFERROR($AC331*HDF_Limited_Col!AJ331/HDF_Limited_Col!$AH331," ")</f>
        <v xml:space="preserve"> </v>
      </c>
      <c r="AK331" s="26" t="str">
        <f>IFERROR($AC331*HDF_Limited_Col!AK331/HDF_Limited_Col!$AH331," ")</f>
        <v xml:space="preserve"> </v>
      </c>
      <c r="AL331" s="26" t="str">
        <f>IFERROR($AC331*HDF_Limited_Col!AL331/HDF_Limited_Col!$AH331," ")</f>
        <v xml:space="preserve"> </v>
      </c>
      <c r="AM331" s="26" t="str">
        <f>IFERROR($AC331*HDF_Limited_Col!AM331/HDF_Limited_Col!$AH331," ")</f>
        <v xml:space="preserve"> </v>
      </c>
      <c r="AN331" s="26" t="str">
        <f>IFERROR($AC331*HDF_Limited_Col!AN331/HDF_Limited_Col!$AH331," ")</f>
        <v xml:space="preserve"> </v>
      </c>
      <c r="AO331" s="26" t="str">
        <f>IFERROR($AC331*HDF_Limited_Col!AO331/HDF_Limited_Col!$AH331," ")</f>
        <v xml:space="preserve"> </v>
      </c>
      <c r="AP331" s="26" t="str">
        <f>IFERROR($AC331*HDF_Limited_Col!AP331/HDF_Limited_Col!$AH331," ")</f>
        <v xml:space="preserve"> </v>
      </c>
      <c r="AQ331" s="26" t="str">
        <f>IFERROR($AC331*HDF_Limited_Col!AQ331/HDF_Limited_Col!$AH331," ")</f>
        <v xml:space="preserve"> </v>
      </c>
      <c r="AR331" s="26" t="str">
        <f>IFERROR($AC331*HDF_Limited_Col!AR331/HDF_Limited_Col!$AH331," ")</f>
        <v xml:space="preserve"> </v>
      </c>
      <c r="AS331" s="26" t="str">
        <f>IFERROR($AC331*HDF_Limited_Col!AS331/HDF_Limited_Col!$AH331," ")</f>
        <v xml:space="preserve"> </v>
      </c>
      <c r="AT331" s="26" t="str">
        <f>IFERROR($AC331*HDF_Limited_Col!AT331/HDF_Limited_Col!$AH331," ")</f>
        <v xml:space="preserve"> </v>
      </c>
      <c r="AU331" s="26" t="str">
        <f>IFERROR($AC331*HDF_Limited_Col!AU331/HDF_Limited_Col!$AH331," ")</f>
        <v xml:space="preserve"> </v>
      </c>
      <c r="AV331" s="26" t="str">
        <f>IFERROR($AC331*HDF_Limited_Col!AV331/HDF_Limited_Col!$AH331," ")</f>
        <v xml:space="preserve"> </v>
      </c>
      <c r="AW331" s="26" t="str">
        <f>IFERROR($AC331*HDF_Limited_Col!AW331/HDF_Limited_Col!$AH331," ")</f>
        <v xml:space="preserve"> </v>
      </c>
      <c r="AX331" s="26" t="str">
        <f>IFERROR($AC331*HDF_Limited_Col!AX331/HDF_Limited_Col!$AH331," ")</f>
        <v xml:space="preserve"> </v>
      </c>
      <c r="AY331" s="26" t="str">
        <f>IFERROR($AC331*HDF_Limited_Col!AY331/HDF_Limited_Col!$AH331," ")</f>
        <v xml:space="preserve"> </v>
      </c>
      <c r="AZ331" s="26" t="str">
        <f>IFERROR($AC331*HDF_Limited_Col!AZ331/HDF_Limited_Col!$AH331," ")</f>
        <v xml:space="preserve"> </v>
      </c>
      <c r="BA331" s="26" t="str">
        <f>IFERROR($AC331*HDF_Limited_Col!BA331/HDF_Limited_Col!$AH331," ")</f>
        <v xml:space="preserve"> </v>
      </c>
      <c r="BB331" s="26" t="str">
        <f>IFERROR($AC331*HDF_Limited_Col!BB331/HDF_Limited_Col!$AH331," ")</f>
        <v xml:space="preserve"> </v>
      </c>
      <c r="BC331" s="26" t="str">
        <f>IFERROR($AC331*HDF_Limited_Col!BC331/HDF_Limited_Col!$AH331," ")</f>
        <v xml:space="preserve"> </v>
      </c>
      <c r="BD331" s="26" t="str">
        <f>IFERROR($AC331*HDF_Limited_Col!BD331/HDF_Limited_Col!$AH331," ")</f>
        <v xml:space="preserve"> </v>
      </c>
      <c r="BE331" s="26" t="str">
        <f>IFERROR($AC331*HDF_Limited_Col!BE331/HDF_Limited_Col!$AH331," ")</f>
        <v xml:space="preserve"> </v>
      </c>
      <c r="BF331" s="26" t="str">
        <f>IFERROR($AC331*HDF_Limited_Col!BF331/HDF_Limited_Col!$AH331," ")</f>
        <v xml:space="preserve"> </v>
      </c>
      <c r="BG331" s="26" t="str">
        <f>IFERROR($AC331*HDF_Limited_Col!BG331/HDF_Limited_Col!$AH331," ")</f>
        <v xml:space="preserve"> </v>
      </c>
      <c r="BH331" s="26" t="str">
        <f>IFERROR($AC331*HDF_Limited_Col!BH331/HDF_Limited_Col!$AH331," ")</f>
        <v xml:space="preserve"> </v>
      </c>
      <c r="BI331" s="26" t="str">
        <f>IFERROR($AC331*HDF_Limited_Col!BI331/HDF_Limited_Col!$AH331," ")</f>
        <v xml:space="preserve"> </v>
      </c>
      <c r="BJ331" s="26" t="str">
        <f>IFERROR($AC331*HDF_Limited_Col!BJ331/HDF_Limited_Col!$AH331," ")</f>
        <v xml:space="preserve"> </v>
      </c>
      <c r="BK331" s="26" t="str">
        <f>IFERROR($AC331*HDF_Limited_Col!BK331/HDF_Limited_Col!$AH331," ")</f>
        <v xml:space="preserve"> </v>
      </c>
      <c r="BL331" s="26" t="str">
        <f>IFERROR($AC331*HDF_Limited_Col!BL331/HDF_Limited_Col!$AH331," ")</f>
        <v xml:space="preserve"> </v>
      </c>
      <c r="BM331" s="26" t="str">
        <f>IFERROR($AC331*HDF_Limited_Col!BM331/HDF_Limited_Col!$AH331," ")</f>
        <v xml:space="preserve"> </v>
      </c>
      <c r="BN331" s="26" t="str">
        <f>IFERROR($AC331*HDF_Limited_Col!BN331/HDF_Limited_Col!$AH331," ")</f>
        <v xml:space="preserve"> </v>
      </c>
      <c r="BO331" s="26" t="str">
        <f>IFERROR($AC331*HDF_Limited_Col!BO331/HDF_Limited_Col!$AH331," ")</f>
        <v xml:space="preserve"> </v>
      </c>
      <c r="BP331" s="26" t="str">
        <f>IFERROR($AC331*HDF_Limited_Col!BP331/HDF_Limited_Col!$AH331," ")</f>
        <v xml:space="preserve"> </v>
      </c>
      <c r="BQ331" s="26" t="str">
        <f>IFERROR($AC331*HDF_Limited_Col!BQ331/HDF_Limited_Col!$AH331," ")</f>
        <v xml:space="preserve"> </v>
      </c>
      <c r="BR331" s="26" t="str">
        <f>IFERROR($AC331*HDF_Limited_Col!BR331/HDF_Limited_Col!$AH331," ")</f>
        <v xml:space="preserve"> </v>
      </c>
      <c r="BS331" s="26" t="str">
        <f>IFERROR($AC331*HDF_Limited_Col!BS331/HDF_Limited_Col!$AH331," ")</f>
        <v xml:space="preserve"> </v>
      </c>
      <c r="BT331" s="26" t="str">
        <f>IFERROR($AC331*HDF_Limited_Col!BT331/HDF_Limited_Col!$AH331," ")</f>
        <v xml:space="preserve"> </v>
      </c>
      <c r="BU331" s="26" t="str">
        <f>IFERROR($AC331*HDF_Limited_Col!BU331/HDF_Limited_Col!$AH331," ")</f>
        <v xml:space="preserve"> </v>
      </c>
      <c r="BV331" s="26" t="str">
        <f>IFERROR($AC331*HDF_Limited_Col!BV331/HDF_Limited_Col!$AH331," ")</f>
        <v xml:space="preserve"> </v>
      </c>
      <c r="BW331" s="26" t="str">
        <f>IFERROR($AC331*HDF_Limited_Col!BW331/HDF_Limited_Col!$AH331," ")</f>
        <v xml:space="preserve"> </v>
      </c>
      <c r="BX331" s="26" t="str">
        <f>IFERROR($AC331*HDF_Limited_Col!BX331/HDF_Limited_Col!$AH331," ")</f>
        <v xml:space="preserve"> </v>
      </c>
      <c r="BY331" s="26" t="str">
        <f>IFERROR($AC331*HDF_Limited_Col!BY331/HDF_Limited_Col!$AH331," ")</f>
        <v xml:space="preserve"> </v>
      </c>
      <c r="BZ331" s="26" t="str">
        <f>IFERROR($AC331*HDF_Limited_Col!BZ331/HDF_Limited_Col!$AH331," ")</f>
        <v xml:space="preserve"> </v>
      </c>
      <c r="CA331" s="26" t="str">
        <f>IFERROR($AC331*HDF_Limited_Col!CA331/HDF_Limited_Col!$AH331," ")</f>
        <v xml:space="preserve"> </v>
      </c>
      <c r="CB331" s="26" t="str">
        <f>IFERROR($AC331*HDF_Limited_Col!CB331/HDF_Limited_Col!$AH331," ")</f>
        <v xml:space="preserve"> </v>
      </c>
      <c r="CC331" s="26" t="str">
        <f>IFERROR($AC331*HDF_Limited_Col!CC331/HDF_Limited_Col!$AH331," ")</f>
        <v xml:space="preserve"> </v>
      </c>
      <c r="CD331" s="26"/>
      <c r="CE331" s="26"/>
      <c r="CF331" s="26"/>
      <c r="CG331" s="26"/>
      <c r="CH331" s="26"/>
      <c r="CI331" s="26"/>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row>
    <row r="332" spans="1:109">
      <c r="A332" s="53" t="s">
        <v>1160</v>
      </c>
      <c r="B332" s="26" t="s">
        <v>24</v>
      </c>
      <c r="C332" s="26" t="s">
        <v>1369</v>
      </c>
      <c r="D332" s="53" t="s">
        <v>1279</v>
      </c>
      <c r="E332" s="53" t="s">
        <v>806</v>
      </c>
      <c r="F332" s="53" t="s">
        <v>139</v>
      </c>
      <c r="G332" s="53" t="s">
        <v>595</v>
      </c>
      <c r="H332" s="52">
        <v>2700</v>
      </c>
      <c r="I332" s="53"/>
      <c r="J332" s="53" t="s">
        <v>1311</v>
      </c>
      <c r="K332" s="53" t="s">
        <v>968</v>
      </c>
      <c r="L332" s="53"/>
      <c r="M332" s="53" t="s">
        <v>1188</v>
      </c>
      <c r="N332" s="53"/>
      <c r="AA332" s="53"/>
      <c r="AB332" s="53"/>
      <c r="AC332" s="26">
        <f t="shared" si="6"/>
        <v>0</v>
      </c>
      <c r="AD332" s="26" t="str">
        <f>IFERROR($AC332*HDF_Limited_Col!AD332/HDF_Limited_Col!$AH332," ")</f>
        <v xml:space="preserve"> </v>
      </c>
      <c r="AE332" s="26" t="str">
        <f>IFERROR($AC332*HDF_Limited_Col!AE332/HDF_Limited_Col!$AH332," ")</f>
        <v xml:space="preserve"> </v>
      </c>
      <c r="AF332" s="26" t="str">
        <f>IFERROR($AC332*HDF_Limited_Col!AF332/HDF_Limited_Col!$AH332," ")</f>
        <v xml:space="preserve"> </v>
      </c>
      <c r="AG332" s="26" t="str">
        <f>IFERROR($AC332*HDF_Limited_Col!AG332/HDF_Limited_Col!$AH332," ")</f>
        <v xml:space="preserve"> </v>
      </c>
      <c r="AH332" s="26" t="str">
        <f>IFERROR($AC332*HDF_Limited_Col!AH332/HDF_Limited_Col!$AH332," ")</f>
        <v xml:space="preserve"> </v>
      </c>
      <c r="AI332" s="26" t="str">
        <f>IFERROR($AC332*HDF_Limited_Col!AI332/HDF_Limited_Col!$AH332," ")</f>
        <v xml:space="preserve"> </v>
      </c>
      <c r="AJ332" s="26" t="str">
        <f>IFERROR($AC332*HDF_Limited_Col!AJ332/HDF_Limited_Col!$AH332," ")</f>
        <v xml:space="preserve"> </v>
      </c>
      <c r="AK332" s="26" t="str">
        <f>IFERROR($AC332*HDF_Limited_Col!AK332/HDF_Limited_Col!$AH332," ")</f>
        <v xml:space="preserve"> </v>
      </c>
      <c r="AL332" s="26" t="str">
        <f>IFERROR($AC332*HDF_Limited_Col!AL332/HDF_Limited_Col!$AH332," ")</f>
        <v xml:space="preserve"> </v>
      </c>
      <c r="AM332" s="26" t="str">
        <f>IFERROR($AC332*HDF_Limited_Col!AM332/HDF_Limited_Col!$AH332," ")</f>
        <v xml:space="preserve"> </v>
      </c>
      <c r="AN332" s="26" t="str">
        <f>IFERROR($AC332*HDF_Limited_Col!AN332/HDF_Limited_Col!$AH332," ")</f>
        <v xml:space="preserve"> </v>
      </c>
      <c r="AO332" s="26" t="str">
        <f>IFERROR($AC332*HDF_Limited_Col!AO332/HDF_Limited_Col!$AH332," ")</f>
        <v xml:space="preserve"> </v>
      </c>
      <c r="AP332" s="26" t="str">
        <f>IFERROR($AC332*HDF_Limited_Col!AP332/HDF_Limited_Col!$AH332," ")</f>
        <v xml:space="preserve"> </v>
      </c>
      <c r="AQ332" s="26" t="str">
        <f>IFERROR($AC332*HDF_Limited_Col!AQ332/HDF_Limited_Col!$AH332," ")</f>
        <v xml:space="preserve"> </v>
      </c>
      <c r="AR332" s="26" t="str">
        <f>IFERROR($AC332*HDF_Limited_Col!AR332/HDF_Limited_Col!$AH332," ")</f>
        <v xml:space="preserve"> </v>
      </c>
      <c r="AS332" s="26" t="str">
        <f>IFERROR($AC332*HDF_Limited_Col!AS332/HDF_Limited_Col!$AH332," ")</f>
        <v xml:space="preserve"> </v>
      </c>
      <c r="AT332" s="26" t="str">
        <f>IFERROR($AC332*HDF_Limited_Col!AT332/HDF_Limited_Col!$AH332," ")</f>
        <v xml:space="preserve"> </v>
      </c>
      <c r="AU332" s="26" t="str">
        <f>IFERROR($AC332*HDF_Limited_Col!AU332/HDF_Limited_Col!$AH332," ")</f>
        <v xml:space="preserve"> </v>
      </c>
      <c r="AV332" s="26" t="str">
        <f>IFERROR($AC332*HDF_Limited_Col!AV332/HDF_Limited_Col!$AH332," ")</f>
        <v xml:space="preserve"> </v>
      </c>
      <c r="AW332" s="26" t="str">
        <f>IFERROR($AC332*HDF_Limited_Col!AW332/HDF_Limited_Col!$AH332," ")</f>
        <v xml:space="preserve"> </v>
      </c>
      <c r="AX332" s="26" t="str">
        <f>IFERROR($AC332*HDF_Limited_Col!AX332/HDF_Limited_Col!$AH332," ")</f>
        <v xml:space="preserve"> </v>
      </c>
      <c r="AY332" s="26" t="str">
        <f>IFERROR($AC332*HDF_Limited_Col!AY332/HDF_Limited_Col!$AH332," ")</f>
        <v xml:space="preserve"> </v>
      </c>
      <c r="AZ332" s="26" t="str">
        <f>IFERROR($AC332*HDF_Limited_Col!AZ332/HDF_Limited_Col!$AH332," ")</f>
        <v xml:space="preserve"> </v>
      </c>
      <c r="BA332" s="26" t="str">
        <f>IFERROR($AC332*HDF_Limited_Col!BA332/HDF_Limited_Col!$AH332," ")</f>
        <v xml:space="preserve"> </v>
      </c>
      <c r="BB332" s="26" t="str">
        <f>IFERROR($AC332*HDF_Limited_Col!BB332/HDF_Limited_Col!$AH332," ")</f>
        <v xml:space="preserve"> </v>
      </c>
      <c r="BC332" s="26" t="str">
        <f>IFERROR($AC332*HDF_Limited_Col!BC332/HDF_Limited_Col!$AH332," ")</f>
        <v xml:space="preserve"> </v>
      </c>
      <c r="BD332" s="26" t="str">
        <f>IFERROR($AC332*HDF_Limited_Col!BD332/HDF_Limited_Col!$AH332," ")</f>
        <v xml:space="preserve"> </v>
      </c>
      <c r="BE332" s="26" t="str">
        <f>IFERROR($AC332*HDF_Limited_Col!BE332/HDF_Limited_Col!$AH332," ")</f>
        <v xml:space="preserve"> </v>
      </c>
      <c r="BF332" s="26" t="str">
        <f>IFERROR($AC332*HDF_Limited_Col!BF332/HDF_Limited_Col!$AH332," ")</f>
        <v xml:space="preserve"> </v>
      </c>
      <c r="BG332" s="26" t="str">
        <f>IFERROR($AC332*HDF_Limited_Col!BG332/HDF_Limited_Col!$AH332," ")</f>
        <v xml:space="preserve"> </v>
      </c>
      <c r="BH332" s="26" t="str">
        <f>IFERROR($AC332*HDF_Limited_Col!BH332/HDF_Limited_Col!$AH332," ")</f>
        <v xml:space="preserve"> </v>
      </c>
      <c r="BI332" s="26" t="str">
        <f>IFERROR($AC332*HDF_Limited_Col!BI332/HDF_Limited_Col!$AH332," ")</f>
        <v xml:space="preserve"> </v>
      </c>
      <c r="BJ332" s="26" t="str">
        <f>IFERROR($AC332*HDF_Limited_Col!BJ332/HDF_Limited_Col!$AH332," ")</f>
        <v xml:space="preserve"> </v>
      </c>
      <c r="BK332" s="26" t="str">
        <f>IFERROR($AC332*HDF_Limited_Col!BK332/HDF_Limited_Col!$AH332," ")</f>
        <v xml:space="preserve"> </v>
      </c>
      <c r="BL332" s="26" t="str">
        <f>IFERROR($AC332*HDF_Limited_Col!BL332/HDF_Limited_Col!$AH332," ")</f>
        <v xml:space="preserve"> </v>
      </c>
      <c r="BM332" s="26" t="str">
        <f>IFERROR($AC332*HDF_Limited_Col!BM332/HDF_Limited_Col!$AH332," ")</f>
        <v xml:space="preserve"> </v>
      </c>
      <c r="BN332" s="26" t="str">
        <f>IFERROR($AC332*HDF_Limited_Col!BN332/HDF_Limited_Col!$AH332," ")</f>
        <v xml:space="preserve"> </v>
      </c>
      <c r="BO332" s="26" t="str">
        <f>IFERROR($AC332*HDF_Limited_Col!BO332/HDF_Limited_Col!$AH332," ")</f>
        <v xml:space="preserve"> </v>
      </c>
      <c r="BP332" s="26" t="str">
        <f>IFERROR($AC332*HDF_Limited_Col!BP332/HDF_Limited_Col!$AH332," ")</f>
        <v xml:space="preserve"> </v>
      </c>
      <c r="BQ332" s="26" t="str">
        <f>IFERROR($AC332*HDF_Limited_Col!BQ332/HDF_Limited_Col!$AH332," ")</f>
        <v xml:space="preserve"> </v>
      </c>
      <c r="BR332" s="26" t="str">
        <f>IFERROR($AC332*HDF_Limited_Col!BR332/HDF_Limited_Col!$AH332," ")</f>
        <v xml:space="preserve"> </v>
      </c>
      <c r="BS332" s="26" t="str">
        <f>IFERROR($AC332*HDF_Limited_Col!BS332/HDF_Limited_Col!$AH332," ")</f>
        <v xml:space="preserve"> </v>
      </c>
      <c r="BT332" s="26" t="str">
        <f>IFERROR($AC332*HDF_Limited_Col!BT332/HDF_Limited_Col!$AH332," ")</f>
        <v xml:space="preserve"> </v>
      </c>
      <c r="BU332" s="26" t="str">
        <f>IFERROR($AC332*HDF_Limited_Col!BU332/HDF_Limited_Col!$AH332," ")</f>
        <v xml:space="preserve"> </v>
      </c>
      <c r="BV332" s="26" t="str">
        <f>IFERROR($AC332*HDF_Limited_Col!BV332/HDF_Limited_Col!$AH332," ")</f>
        <v xml:space="preserve"> </v>
      </c>
      <c r="BW332" s="26" t="str">
        <f>IFERROR($AC332*HDF_Limited_Col!BW332/HDF_Limited_Col!$AH332," ")</f>
        <v xml:space="preserve"> </v>
      </c>
      <c r="BX332" s="26" t="str">
        <f>IFERROR($AC332*HDF_Limited_Col!BX332/HDF_Limited_Col!$AH332," ")</f>
        <v xml:space="preserve"> </v>
      </c>
      <c r="BY332" s="26" t="str">
        <f>IFERROR($AC332*HDF_Limited_Col!BY332/HDF_Limited_Col!$AH332," ")</f>
        <v xml:space="preserve"> </v>
      </c>
      <c r="BZ332" s="26" t="str">
        <f>IFERROR($AC332*HDF_Limited_Col!BZ332/HDF_Limited_Col!$AH332," ")</f>
        <v xml:space="preserve"> </v>
      </c>
      <c r="CA332" s="26" t="str">
        <f>IFERROR($AC332*HDF_Limited_Col!CA332/HDF_Limited_Col!$AH332," ")</f>
        <v xml:space="preserve"> </v>
      </c>
      <c r="CB332" s="26" t="str">
        <f>IFERROR($AC332*HDF_Limited_Col!CB332/HDF_Limited_Col!$AH332," ")</f>
        <v xml:space="preserve"> </v>
      </c>
      <c r="CC332" s="26" t="str">
        <f>IFERROR($AC332*HDF_Limited_Col!CC332/HDF_Limited_Col!$AH332," ")</f>
        <v xml:space="preserve"> </v>
      </c>
      <c r="CD332" s="26"/>
      <c r="CE332" s="26"/>
      <c r="CF332" s="26"/>
      <c r="CG332" s="26"/>
      <c r="CH332" s="26"/>
      <c r="CI332" s="26"/>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row>
    <row r="333" spans="1:109">
      <c r="A333" s="53" t="s">
        <v>1160</v>
      </c>
      <c r="B333" s="26" t="s">
        <v>24</v>
      </c>
      <c r="C333" s="26" t="s">
        <v>1369</v>
      </c>
      <c r="D333" s="53" t="s">
        <v>1279</v>
      </c>
      <c r="E333" s="53" t="s">
        <v>806</v>
      </c>
      <c r="F333" s="53" t="s">
        <v>139</v>
      </c>
      <c r="G333" s="53" t="s">
        <v>595</v>
      </c>
      <c r="H333" s="52">
        <v>2700</v>
      </c>
      <c r="I333" s="53"/>
      <c r="J333" s="53" t="s">
        <v>1311</v>
      </c>
      <c r="K333" s="53" t="s">
        <v>968</v>
      </c>
      <c r="L333" s="53"/>
      <c r="M333" s="53" t="s">
        <v>1189</v>
      </c>
      <c r="N333" s="53"/>
      <c r="AA333" s="53"/>
      <c r="AB333" s="53"/>
      <c r="AC333" s="26">
        <f t="shared" si="6"/>
        <v>0</v>
      </c>
      <c r="AD333" s="26" t="str">
        <f>IFERROR($AC333*HDF_Limited_Col!AD333/HDF_Limited_Col!$AH333," ")</f>
        <v xml:space="preserve"> </v>
      </c>
      <c r="AE333" s="26" t="str">
        <f>IFERROR($AC333*HDF_Limited_Col!AE333/HDF_Limited_Col!$AH333," ")</f>
        <v xml:space="preserve"> </v>
      </c>
      <c r="AF333" s="26" t="str">
        <f>IFERROR($AC333*HDF_Limited_Col!AF333/HDF_Limited_Col!$AH333," ")</f>
        <v xml:space="preserve"> </v>
      </c>
      <c r="AG333" s="26" t="str">
        <f>IFERROR($AC333*HDF_Limited_Col!AG333/HDF_Limited_Col!$AH333," ")</f>
        <v xml:space="preserve"> </v>
      </c>
      <c r="AH333" s="26" t="str">
        <f>IFERROR($AC333*HDF_Limited_Col!AH333/HDF_Limited_Col!$AH333," ")</f>
        <v xml:space="preserve"> </v>
      </c>
      <c r="AI333" s="26" t="str">
        <f>IFERROR($AC333*HDF_Limited_Col!AI333/HDF_Limited_Col!$AH333," ")</f>
        <v xml:space="preserve"> </v>
      </c>
      <c r="AJ333" s="26" t="str">
        <f>IFERROR($AC333*HDF_Limited_Col!AJ333/HDF_Limited_Col!$AH333," ")</f>
        <v xml:space="preserve"> </v>
      </c>
      <c r="AK333" s="26" t="str">
        <f>IFERROR($AC333*HDF_Limited_Col!AK333/HDF_Limited_Col!$AH333," ")</f>
        <v xml:space="preserve"> </v>
      </c>
      <c r="AL333" s="26" t="str">
        <f>IFERROR($AC333*HDF_Limited_Col!AL333/HDF_Limited_Col!$AH333," ")</f>
        <v xml:space="preserve"> </v>
      </c>
      <c r="AM333" s="26" t="str">
        <f>IFERROR($AC333*HDF_Limited_Col!AM333/HDF_Limited_Col!$AH333," ")</f>
        <v xml:space="preserve"> </v>
      </c>
      <c r="AN333" s="26" t="str">
        <f>IFERROR($AC333*HDF_Limited_Col!AN333/HDF_Limited_Col!$AH333," ")</f>
        <v xml:space="preserve"> </v>
      </c>
      <c r="AO333" s="26" t="str">
        <f>IFERROR($AC333*HDF_Limited_Col!AO333/HDF_Limited_Col!$AH333," ")</f>
        <v xml:space="preserve"> </v>
      </c>
      <c r="AP333" s="26" t="str">
        <f>IFERROR($AC333*HDF_Limited_Col!AP333/HDF_Limited_Col!$AH333," ")</f>
        <v xml:space="preserve"> </v>
      </c>
      <c r="AQ333" s="26" t="str">
        <f>IFERROR($AC333*HDF_Limited_Col!AQ333/HDF_Limited_Col!$AH333," ")</f>
        <v xml:space="preserve"> </v>
      </c>
      <c r="AR333" s="26" t="str">
        <f>IFERROR($AC333*HDF_Limited_Col!AR333/HDF_Limited_Col!$AH333," ")</f>
        <v xml:space="preserve"> </v>
      </c>
      <c r="AS333" s="26" t="str">
        <f>IFERROR($AC333*HDF_Limited_Col!AS333/HDF_Limited_Col!$AH333," ")</f>
        <v xml:space="preserve"> </v>
      </c>
      <c r="AT333" s="26" t="str">
        <f>IFERROR($AC333*HDF_Limited_Col!AT333/HDF_Limited_Col!$AH333," ")</f>
        <v xml:space="preserve"> </v>
      </c>
      <c r="AU333" s="26" t="str">
        <f>IFERROR($AC333*HDF_Limited_Col!AU333/HDF_Limited_Col!$AH333," ")</f>
        <v xml:space="preserve"> </v>
      </c>
      <c r="AV333" s="26" t="str">
        <f>IFERROR($AC333*HDF_Limited_Col!AV333/HDF_Limited_Col!$AH333," ")</f>
        <v xml:space="preserve"> </v>
      </c>
      <c r="AW333" s="26" t="str">
        <f>IFERROR($AC333*HDF_Limited_Col!AW333/HDF_Limited_Col!$AH333," ")</f>
        <v xml:space="preserve"> </v>
      </c>
      <c r="AX333" s="26" t="str">
        <f>IFERROR($AC333*HDF_Limited_Col!AX333/HDF_Limited_Col!$AH333," ")</f>
        <v xml:space="preserve"> </v>
      </c>
      <c r="AY333" s="26" t="str">
        <f>IFERROR($AC333*HDF_Limited_Col!AY333/HDF_Limited_Col!$AH333," ")</f>
        <v xml:space="preserve"> </v>
      </c>
      <c r="AZ333" s="26" t="str">
        <f>IFERROR($AC333*HDF_Limited_Col!AZ333/HDF_Limited_Col!$AH333," ")</f>
        <v xml:space="preserve"> </v>
      </c>
      <c r="BA333" s="26" t="str">
        <f>IFERROR($AC333*HDF_Limited_Col!BA333/HDF_Limited_Col!$AH333," ")</f>
        <v xml:space="preserve"> </v>
      </c>
      <c r="BB333" s="26" t="str">
        <f>IFERROR($AC333*HDF_Limited_Col!BB333/HDF_Limited_Col!$AH333," ")</f>
        <v xml:space="preserve"> </v>
      </c>
      <c r="BC333" s="26" t="str">
        <f>IFERROR($AC333*HDF_Limited_Col!BC333/HDF_Limited_Col!$AH333," ")</f>
        <v xml:space="preserve"> </v>
      </c>
      <c r="BD333" s="26" t="str">
        <f>IFERROR($AC333*HDF_Limited_Col!BD333/HDF_Limited_Col!$AH333," ")</f>
        <v xml:space="preserve"> </v>
      </c>
      <c r="BE333" s="26" t="str">
        <f>IFERROR($AC333*HDF_Limited_Col!BE333/HDF_Limited_Col!$AH333," ")</f>
        <v xml:space="preserve"> </v>
      </c>
      <c r="BF333" s="26" t="str">
        <f>IFERROR($AC333*HDF_Limited_Col!BF333/HDF_Limited_Col!$AH333," ")</f>
        <v xml:space="preserve"> </v>
      </c>
      <c r="BG333" s="26" t="str">
        <f>IFERROR($AC333*HDF_Limited_Col!BG333/HDF_Limited_Col!$AH333," ")</f>
        <v xml:space="preserve"> </v>
      </c>
      <c r="BH333" s="26" t="str">
        <f>IFERROR($AC333*HDF_Limited_Col!BH333/HDF_Limited_Col!$AH333," ")</f>
        <v xml:space="preserve"> </v>
      </c>
      <c r="BI333" s="26" t="str">
        <f>IFERROR($AC333*HDF_Limited_Col!BI333/HDF_Limited_Col!$AH333," ")</f>
        <v xml:space="preserve"> </v>
      </c>
      <c r="BJ333" s="26" t="str">
        <f>IFERROR($AC333*HDF_Limited_Col!BJ333/HDF_Limited_Col!$AH333," ")</f>
        <v xml:space="preserve"> </v>
      </c>
      <c r="BK333" s="26" t="str">
        <f>IFERROR($AC333*HDF_Limited_Col!BK333/HDF_Limited_Col!$AH333," ")</f>
        <v xml:space="preserve"> </v>
      </c>
      <c r="BL333" s="26" t="str">
        <f>IFERROR($AC333*HDF_Limited_Col!BL333/HDF_Limited_Col!$AH333," ")</f>
        <v xml:space="preserve"> </v>
      </c>
      <c r="BM333" s="26" t="str">
        <f>IFERROR($AC333*HDF_Limited_Col!BM333/HDF_Limited_Col!$AH333," ")</f>
        <v xml:space="preserve"> </v>
      </c>
      <c r="BN333" s="26" t="str">
        <f>IFERROR($AC333*HDF_Limited_Col!BN333/HDF_Limited_Col!$AH333," ")</f>
        <v xml:space="preserve"> </v>
      </c>
      <c r="BO333" s="26" t="str">
        <f>IFERROR($AC333*HDF_Limited_Col!BO333/HDF_Limited_Col!$AH333," ")</f>
        <v xml:space="preserve"> </v>
      </c>
      <c r="BP333" s="26" t="str">
        <f>IFERROR($AC333*HDF_Limited_Col!BP333/HDF_Limited_Col!$AH333," ")</f>
        <v xml:space="preserve"> </v>
      </c>
      <c r="BQ333" s="26" t="str">
        <f>IFERROR($AC333*HDF_Limited_Col!BQ333/HDF_Limited_Col!$AH333," ")</f>
        <v xml:space="preserve"> </v>
      </c>
      <c r="BR333" s="26" t="str">
        <f>IFERROR($AC333*HDF_Limited_Col!BR333/HDF_Limited_Col!$AH333," ")</f>
        <v xml:space="preserve"> </v>
      </c>
      <c r="BS333" s="26" t="str">
        <f>IFERROR($AC333*HDF_Limited_Col!BS333/HDF_Limited_Col!$AH333," ")</f>
        <v xml:space="preserve"> </v>
      </c>
      <c r="BT333" s="26" t="str">
        <f>IFERROR($AC333*HDF_Limited_Col!BT333/HDF_Limited_Col!$AH333," ")</f>
        <v xml:space="preserve"> </v>
      </c>
      <c r="BU333" s="26" t="str">
        <f>IFERROR($AC333*HDF_Limited_Col!BU333/HDF_Limited_Col!$AH333," ")</f>
        <v xml:space="preserve"> </v>
      </c>
      <c r="BV333" s="26" t="str">
        <f>IFERROR($AC333*HDF_Limited_Col!BV333/HDF_Limited_Col!$AH333," ")</f>
        <v xml:space="preserve"> </v>
      </c>
      <c r="BW333" s="26" t="str">
        <f>IFERROR($AC333*HDF_Limited_Col!BW333/HDF_Limited_Col!$AH333," ")</f>
        <v xml:space="preserve"> </v>
      </c>
      <c r="BX333" s="26" t="str">
        <f>IFERROR($AC333*HDF_Limited_Col!BX333/HDF_Limited_Col!$AH333," ")</f>
        <v xml:space="preserve"> </v>
      </c>
      <c r="BY333" s="26" t="str">
        <f>IFERROR($AC333*HDF_Limited_Col!BY333/HDF_Limited_Col!$AH333," ")</f>
        <v xml:space="preserve"> </v>
      </c>
      <c r="BZ333" s="26" t="str">
        <f>IFERROR($AC333*HDF_Limited_Col!BZ333/HDF_Limited_Col!$AH333," ")</f>
        <v xml:space="preserve"> </v>
      </c>
      <c r="CA333" s="26" t="str">
        <f>IFERROR($AC333*HDF_Limited_Col!CA333/HDF_Limited_Col!$AH333," ")</f>
        <v xml:space="preserve"> </v>
      </c>
      <c r="CB333" s="26" t="str">
        <f>IFERROR($AC333*HDF_Limited_Col!CB333/HDF_Limited_Col!$AH333," ")</f>
        <v xml:space="preserve"> </v>
      </c>
      <c r="CC333" s="26" t="str">
        <f>IFERROR($AC333*HDF_Limited_Col!CC333/HDF_Limited_Col!$AH333," ")</f>
        <v xml:space="preserve"> </v>
      </c>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row>
    <row r="334" spans="1:109">
      <c r="A334" s="26" t="s">
        <v>1656</v>
      </c>
      <c r="B334" s="53" t="s">
        <v>24</v>
      </c>
      <c r="C334" s="26" t="s">
        <v>1369</v>
      </c>
      <c r="D334" s="53" t="s">
        <v>1706</v>
      </c>
      <c r="E334" s="53" t="s">
        <v>237</v>
      </c>
      <c r="F334" s="53" t="s">
        <v>849</v>
      </c>
      <c r="G334" s="53" t="s">
        <v>595</v>
      </c>
      <c r="H334" s="52">
        <v>364</v>
      </c>
      <c r="I334" s="53" t="s">
        <v>1148</v>
      </c>
      <c r="J334" s="53" t="s">
        <v>635</v>
      </c>
      <c r="K334" s="53" t="s">
        <v>1678</v>
      </c>
      <c r="L334" s="53"/>
      <c r="M334" s="53" t="s">
        <v>1679</v>
      </c>
      <c r="N334" s="53">
        <v>25</v>
      </c>
      <c r="O334" s="95">
        <v>25.92009975752875</v>
      </c>
      <c r="P334" s="95">
        <v>8.1000311742277342E-2</v>
      </c>
      <c r="Q334" s="95">
        <v>1.103629247488529</v>
      </c>
      <c r="R334" s="95">
        <v>8.0089058235176722</v>
      </c>
      <c r="S334" s="95">
        <v>33.108877424655873</v>
      </c>
      <c r="T334" s="95">
        <v>8.5252828108746908</v>
      </c>
      <c r="U334" s="95">
        <v>0.37462644180803273</v>
      </c>
      <c r="V334" s="95">
        <v>1.7010065465878244</v>
      </c>
      <c r="W334" s="95">
        <v>15.390059231032696</v>
      </c>
      <c r="X334" s="95">
        <v>4.1613910157594987</v>
      </c>
      <c r="Y334" s="95">
        <v>2.0958830663314263</v>
      </c>
      <c r="Z334" s="95">
        <v>100.47076167732726</v>
      </c>
      <c r="AA334" s="53"/>
      <c r="AB334" s="26"/>
      <c r="AC334" s="26">
        <f t="shared" si="6"/>
        <v>127758.622893798</v>
      </c>
      <c r="AD334" s="26" t="str">
        <f>IFERROR($AC334*HDF_Limited_Col!AD334/HDF_Limited_Col!$AH334," ")</f>
        <v xml:space="preserve"> </v>
      </c>
      <c r="AE334" s="26" t="str">
        <f>IFERROR($AC334*HDF_Limited_Col!AE334/HDF_Limited_Col!$AH334," ")</f>
        <v xml:space="preserve"> </v>
      </c>
      <c r="AF334" s="26" t="str">
        <f>IFERROR($AC334*HDF_Limited_Col!AF334/HDF_Limited_Col!$AH334," ")</f>
        <v xml:space="preserve"> </v>
      </c>
      <c r="AG334" s="26" t="str">
        <f>IFERROR($AC334*HDF_Limited_Col!AG334/HDF_Limited_Col!$AH334," ")</f>
        <v xml:space="preserve"> </v>
      </c>
      <c r="AH334" s="26" t="str">
        <f>IFERROR($AC334*HDF_Limited_Col!AH334/HDF_Limited_Col!$AH334," ")</f>
        <v xml:space="preserve"> </v>
      </c>
      <c r="AI334" s="26" t="str">
        <f>IFERROR($AC334*HDF_Limited_Col!AI334/HDF_Limited_Col!$AH334," ")</f>
        <v xml:space="preserve"> </v>
      </c>
      <c r="AJ334" s="26" t="str">
        <f>IFERROR($AC334*HDF_Limited_Col!AJ334/HDF_Limited_Col!$AH334," ")</f>
        <v xml:space="preserve"> </v>
      </c>
      <c r="AK334" s="26" t="str">
        <f>IFERROR($AC334*HDF_Limited_Col!AK334/HDF_Limited_Col!$AH334," ")</f>
        <v xml:space="preserve"> </v>
      </c>
      <c r="AL334" s="26" t="str">
        <f>IFERROR($AC334*HDF_Limited_Col!AL334/HDF_Limited_Col!$AH334," ")</f>
        <v xml:space="preserve"> </v>
      </c>
      <c r="AM334" s="26" t="str">
        <f>IFERROR($AC334*HDF_Limited_Col!AM334/HDF_Limited_Col!$AH334," ")</f>
        <v xml:space="preserve"> </v>
      </c>
      <c r="AN334" s="26" t="str">
        <f>IFERROR($AC334*HDF_Limited_Col!AN334/HDF_Limited_Col!$AH334," ")</f>
        <v xml:space="preserve"> </v>
      </c>
      <c r="AO334" s="26" t="str">
        <f>IFERROR($AC334*HDF_Limited_Col!AO334/HDF_Limited_Col!$AH334," ")</f>
        <v xml:space="preserve"> </v>
      </c>
      <c r="AP334" s="26" t="str">
        <f>IFERROR($AC334*HDF_Limited_Col!AP334/HDF_Limited_Col!$AH334," ")</f>
        <v xml:space="preserve"> </v>
      </c>
      <c r="AQ334" s="26" t="str">
        <f>IFERROR($AC334*HDF_Limited_Col!AQ334/HDF_Limited_Col!$AH334," ")</f>
        <v xml:space="preserve"> </v>
      </c>
      <c r="AR334" s="26" t="str">
        <f>IFERROR($AC334*HDF_Limited_Col!AR334/HDF_Limited_Col!$AH334," ")</f>
        <v xml:space="preserve"> </v>
      </c>
      <c r="AS334" s="26" t="str">
        <f>IFERROR($AC334*HDF_Limited_Col!AS334/HDF_Limited_Col!$AH334," ")</f>
        <v xml:space="preserve"> </v>
      </c>
      <c r="AT334" s="26" t="str">
        <f>IFERROR($AC334*HDF_Limited_Col!AT334/HDF_Limited_Col!$AH334," ")</f>
        <v xml:space="preserve"> </v>
      </c>
      <c r="AU334" s="26" t="str">
        <f>IFERROR($AC334*HDF_Limited_Col!AU334/HDF_Limited_Col!$AH334," ")</f>
        <v xml:space="preserve"> </v>
      </c>
      <c r="AV334" s="26" t="str">
        <f>IFERROR($AC334*HDF_Limited_Col!AV334/HDF_Limited_Col!$AH334," ")</f>
        <v xml:space="preserve"> </v>
      </c>
      <c r="AW334" s="26" t="str">
        <f>IFERROR($AC334*HDF_Limited_Col!AW334/HDF_Limited_Col!$AH334," ")</f>
        <v xml:space="preserve"> </v>
      </c>
      <c r="AX334" s="26" t="str">
        <f>IFERROR($AC334*HDF_Limited_Col!AX334/HDF_Limited_Col!$AH334," ")</f>
        <v xml:space="preserve"> </v>
      </c>
      <c r="AY334" s="26" t="str">
        <f>IFERROR($AC334*HDF_Limited_Col!AY334/HDF_Limited_Col!$AH334," ")</f>
        <v xml:space="preserve"> </v>
      </c>
      <c r="AZ334" s="26" t="str">
        <f>IFERROR($AC334*HDF_Limited_Col!AZ334/HDF_Limited_Col!$AH334," ")</f>
        <v xml:space="preserve"> </v>
      </c>
      <c r="BA334" s="26" t="str">
        <f>IFERROR($AC334*HDF_Limited_Col!BA334/HDF_Limited_Col!$AH334," ")</f>
        <v xml:space="preserve"> </v>
      </c>
      <c r="BB334" s="26" t="str">
        <f>IFERROR($AC334*HDF_Limited_Col!BB334/HDF_Limited_Col!$AH334," ")</f>
        <v xml:space="preserve"> </v>
      </c>
      <c r="BC334" s="26" t="str">
        <f>IFERROR($AC334*HDF_Limited_Col!BC334/HDF_Limited_Col!$AH334," ")</f>
        <v xml:space="preserve"> </v>
      </c>
      <c r="BD334" s="26" t="str">
        <f>IFERROR($AC334*HDF_Limited_Col!BD334/HDF_Limited_Col!$AH334," ")</f>
        <v xml:space="preserve"> </v>
      </c>
      <c r="BE334" s="26" t="str">
        <f>IFERROR($AC334*HDF_Limited_Col!BE334/HDF_Limited_Col!$AH334," ")</f>
        <v xml:space="preserve"> </v>
      </c>
      <c r="BF334" s="26" t="str">
        <f>IFERROR($AC334*HDF_Limited_Col!BF334/HDF_Limited_Col!$AH334," ")</f>
        <v xml:space="preserve"> </v>
      </c>
      <c r="BG334" s="26" t="str">
        <f>IFERROR($AC334*HDF_Limited_Col!BG334/HDF_Limited_Col!$AH334," ")</f>
        <v xml:space="preserve"> </v>
      </c>
      <c r="BH334" s="26" t="str">
        <f>IFERROR($AC334*HDF_Limited_Col!BH334/HDF_Limited_Col!$AH334," ")</f>
        <v xml:space="preserve"> </v>
      </c>
      <c r="BI334" s="26" t="str">
        <f>IFERROR($AC334*HDF_Limited_Col!BI334/HDF_Limited_Col!$AH334," ")</f>
        <v xml:space="preserve"> </v>
      </c>
      <c r="BJ334" s="26" t="str">
        <f>IFERROR($AC334*HDF_Limited_Col!BJ334/HDF_Limited_Col!$AH334," ")</f>
        <v xml:space="preserve"> </v>
      </c>
      <c r="BK334" s="26" t="str">
        <f>IFERROR($AC334*HDF_Limited_Col!BK334/HDF_Limited_Col!$AH334," ")</f>
        <v xml:space="preserve"> </v>
      </c>
      <c r="BL334" s="26" t="str">
        <f>IFERROR($AC334*HDF_Limited_Col!BL334/HDF_Limited_Col!$AH334," ")</f>
        <v xml:space="preserve"> </v>
      </c>
      <c r="BM334" s="26" t="str">
        <f>IFERROR($AC334*HDF_Limited_Col!BM334/HDF_Limited_Col!$AH334," ")</f>
        <v xml:space="preserve"> </v>
      </c>
      <c r="BN334" s="26" t="str">
        <f>IFERROR($AC334*HDF_Limited_Col!BN334/HDF_Limited_Col!$AH334," ")</f>
        <v xml:space="preserve"> </v>
      </c>
      <c r="BO334" s="26" t="str">
        <f>IFERROR($AC334*HDF_Limited_Col!BO334/HDF_Limited_Col!$AH334," ")</f>
        <v xml:space="preserve"> </v>
      </c>
      <c r="BP334" s="26" t="str">
        <f>IFERROR($AC334*HDF_Limited_Col!BP334/HDF_Limited_Col!$AH334," ")</f>
        <v xml:space="preserve"> </v>
      </c>
      <c r="BQ334" s="26" t="str">
        <f>IFERROR($AC334*HDF_Limited_Col!BQ334/HDF_Limited_Col!$AH334," ")</f>
        <v xml:space="preserve"> </v>
      </c>
      <c r="BR334" s="26" t="str">
        <f>IFERROR($AC334*HDF_Limited_Col!BR334/HDF_Limited_Col!$AH334," ")</f>
        <v xml:space="preserve"> </v>
      </c>
      <c r="BS334" s="26" t="str">
        <f>IFERROR($AC334*HDF_Limited_Col!BS334/HDF_Limited_Col!$AH334," ")</f>
        <v xml:space="preserve"> </v>
      </c>
      <c r="BT334" s="26" t="str">
        <f>IFERROR($AC334*HDF_Limited_Col!BT334/HDF_Limited_Col!$AH334," ")</f>
        <v xml:space="preserve"> </v>
      </c>
      <c r="BU334" s="26" t="str">
        <f>IFERROR($AC334*HDF_Limited_Col!BU334/HDF_Limited_Col!$AH334," ")</f>
        <v xml:space="preserve"> </v>
      </c>
      <c r="BV334" s="26" t="str">
        <f>IFERROR($AC334*HDF_Limited_Col!BV334/HDF_Limited_Col!$AH334," ")</f>
        <v xml:space="preserve"> </v>
      </c>
      <c r="BW334" s="26" t="str">
        <f>IFERROR($AC334*HDF_Limited_Col!BW334/HDF_Limited_Col!$AH334," ")</f>
        <v xml:space="preserve"> </v>
      </c>
      <c r="BX334" s="26" t="str">
        <f>IFERROR($AC334*HDF_Limited_Col!BX334/HDF_Limited_Col!$AH334," ")</f>
        <v xml:space="preserve"> </v>
      </c>
      <c r="BY334" s="26" t="str">
        <f>IFERROR($AC334*HDF_Limited_Col!BY334/HDF_Limited_Col!$AH334," ")</f>
        <v xml:space="preserve"> </v>
      </c>
      <c r="BZ334" s="26" t="str">
        <f>IFERROR($AC334*HDF_Limited_Col!BZ334/HDF_Limited_Col!$AH334," ")</f>
        <v xml:space="preserve"> </v>
      </c>
      <c r="CA334" s="26" t="str">
        <f>IFERROR($AC334*HDF_Limited_Col!CA334/HDF_Limited_Col!$AH334," ")</f>
        <v xml:space="preserve"> </v>
      </c>
      <c r="CB334" s="26" t="str">
        <f>IFERROR($AC334*HDF_Limited_Col!CB334/HDF_Limited_Col!$AH334," ")</f>
        <v xml:space="preserve"> </v>
      </c>
      <c r="CC334" s="26" t="str">
        <f>IFERROR($AC334*HDF_Limited_Col!CC334/HDF_Limited_Col!$AH334," ")</f>
        <v xml:space="preserve"> </v>
      </c>
      <c r="CD334" s="26"/>
      <c r="CE334" s="26"/>
      <c r="CF334" s="26"/>
      <c r="CG334" s="26"/>
      <c r="CH334" s="26"/>
      <c r="CI334" s="26"/>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row>
    <row r="335" spans="1:109">
      <c r="A335" s="26" t="s">
        <v>1656</v>
      </c>
      <c r="B335" s="53" t="s">
        <v>24</v>
      </c>
      <c r="C335" s="26" t="s">
        <v>1369</v>
      </c>
      <c r="D335" s="53" t="s">
        <v>1706</v>
      </c>
      <c r="E335" s="53" t="s">
        <v>237</v>
      </c>
      <c r="F335" s="53" t="s">
        <v>849</v>
      </c>
      <c r="G335" s="53" t="s">
        <v>595</v>
      </c>
      <c r="H335" s="52">
        <v>364</v>
      </c>
      <c r="I335" s="53" t="s">
        <v>1148</v>
      </c>
      <c r="J335" s="53" t="s">
        <v>635</v>
      </c>
      <c r="K335" s="53" t="s">
        <v>1678</v>
      </c>
      <c r="L335" s="53"/>
      <c r="M335" s="53" t="s">
        <v>1687</v>
      </c>
      <c r="N335" s="53">
        <v>21</v>
      </c>
      <c r="O335" s="95">
        <v>21.053489538138315</v>
      </c>
      <c r="P335" s="95">
        <v>0</v>
      </c>
      <c r="Q335" s="95">
        <v>8.1695598159952976</v>
      </c>
      <c r="R335" s="95">
        <v>6.3865609412343041</v>
      </c>
      <c r="S335" s="95">
        <v>23.773318330146616</v>
      </c>
      <c r="T335" s="95">
        <v>10.27490876980913</v>
      </c>
      <c r="U335" s="95">
        <v>0.21154223937842329</v>
      </c>
      <c r="V335" s="95">
        <v>5.6612732633654232</v>
      </c>
      <c r="W335" s="95">
        <v>18.232926346426009</v>
      </c>
      <c r="X335" s="95">
        <v>4.0092291082196416</v>
      </c>
      <c r="Y335" s="95">
        <v>2.8709303915643161</v>
      </c>
      <c r="Z335" s="95">
        <v>100.64373874427747</v>
      </c>
      <c r="AA335" s="53"/>
      <c r="AB335" s="26"/>
      <c r="AC335" s="26">
        <f t="shared" si="6"/>
        <v>151358.32334201664</v>
      </c>
      <c r="AD335" s="26" t="str">
        <f>IFERROR($AC335*HDF_Limited_Col!AD335/HDF_Limited_Col!$AH335," ")</f>
        <v xml:space="preserve"> </v>
      </c>
      <c r="AE335" s="26" t="str">
        <f>IFERROR($AC335*HDF_Limited_Col!AE335/HDF_Limited_Col!$AH335," ")</f>
        <v xml:space="preserve"> </v>
      </c>
      <c r="AF335" s="26" t="str">
        <f>IFERROR($AC335*HDF_Limited_Col!AF335/HDF_Limited_Col!$AH335," ")</f>
        <v xml:space="preserve"> </v>
      </c>
      <c r="AG335" s="26" t="str">
        <f>IFERROR($AC335*HDF_Limited_Col!AG335/HDF_Limited_Col!$AH335," ")</f>
        <v xml:space="preserve"> </v>
      </c>
      <c r="AH335" s="26" t="str">
        <f>IFERROR($AC335*HDF_Limited_Col!AH335/HDF_Limited_Col!$AH335," ")</f>
        <v xml:space="preserve"> </v>
      </c>
      <c r="AI335" s="26" t="str">
        <f>IFERROR($AC335*HDF_Limited_Col!AI335/HDF_Limited_Col!$AH335," ")</f>
        <v xml:space="preserve"> </v>
      </c>
      <c r="AJ335" s="26" t="str">
        <f>IFERROR($AC335*HDF_Limited_Col!AJ335/HDF_Limited_Col!$AH335," ")</f>
        <v xml:space="preserve"> </v>
      </c>
      <c r="AK335" s="26" t="str">
        <f>IFERROR($AC335*HDF_Limited_Col!AK335/HDF_Limited_Col!$AH335," ")</f>
        <v xml:space="preserve"> </v>
      </c>
      <c r="AL335" s="26" t="str">
        <f>IFERROR($AC335*HDF_Limited_Col!AL335/HDF_Limited_Col!$AH335," ")</f>
        <v xml:space="preserve"> </v>
      </c>
      <c r="AM335" s="26" t="str">
        <f>IFERROR($AC335*HDF_Limited_Col!AM335/HDF_Limited_Col!$AH335," ")</f>
        <v xml:space="preserve"> </v>
      </c>
      <c r="AN335" s="26" t="str">
        <f>IFERROR($AC335*HDF_Limited_Col!AN335/HDF_Limited_Col!$AH335," ")</f>
        <v xml:space="preserve"> </v>
      </c>
      <c r="AO335" s="26" t="str">
        <f>IFERROR($AC335*HDF_Limited_Col!AO335/HDF_Limited_Col!$AH335," ")</f>
        <v xml:space="preserve"> </v>
      </c>
      <c r="AP335" s="26" t="str">
        <f>IFERROR($AC335*HDF_Limited_Col!AP335/HDF_Limited_Col!$AH335," ")</f>
        <v xml:space="preserve"> </v>
      </c>
      <c r="AQ335" s="26" t="str">
        <f>IFERROR($AC335*HDF_Limited_Col!AQ335/HDF_Limited_Col!$AH335," ")</f>
        <v xml:space="preserve"> </v>
      </c>
      <c r="AR335" s="26" t="str">
        <f>IFERROR($AC335*HDF_Limited_Col!AR335/HDF_Limited_Col!$AH335," ")</f>
        <v xml:space="preserve"> </v>
      </c>
      <c r="AS335" s="26" t="str">
        <f>IFERROR($AC335*HDF_Limited_Col!AS335/HDF_Limited_Col!$AH335," ")</f>
        <v xml:space="preserve"> </v>
      </c>
      <c r="AT335" s="26" t="str">
        <f>IFERROR($AC335*HDF_Limited_Col!AT335/HDF_Limited_Col!$AH335," ")</f>
        <v xml:space="preserve"> </v>
      </c>
      <c r="AU335" s="26" t="str">
        <f>IFERROR($AC335*HDF_Limited_Col!AU335/HDF_Limited_Col!$AH335," ")</f>
        <v xml:space="preserve"> </v>
      </c>
      <c r="AV335" s="26" t="str">
        <f>IFERROR($AC335*HDF_Limited_Col!AV335/HDF_Limited_Col!$AH335," ")</f>
        <v xml:space="preserve"> </v>
      </c>
      <c r="AW335" s="26" t="str">
        <f>IFERROR($AC335*HDF_Limited_Col!AW335/HDF_Limited_Col!$AH335," ")</f>
        <v xml:space="preserve"> </v>
      </c>
      <c r="AX335" s="26" t="str">
        <f>IFERROR($AC335*HDF_Limited_Col!AX335/HDF_Limited_Col!$AH335," ")</f>
        <v xml:space="preserve"> </v>
      </c>
      <c r="AY335" s="26" t="str">
        <f>IFERROR($AC335*HDF_Limited_Col!AY335/HDF_Limited_Col!$AH335," ")</f>
        <v xml:space="preserve"> </v>
      </c>
      <c r="AZ335" s="26" t="str">
        <f>IFERROR($AC335*HDF_Limited_Col!AZ335/HDF_Limited_Col!$AH335," ")</f>
        <v xml:space="preserve"> </v>
      </c>
      <c r="BA335" s="26" t="str">
        <f>IFERROR($AC335*HDF_Limited_Col!BA335/HDF_Limited_Col!$AH335," ")</f>
        <v xml:space="preserve"> </v>
      </c>
      <c r="BB335" s="26" t="str">
        <f>IFERROR($AC335*HDF_Limited_Col!BB335/HDF_Limited_Col!$AH335," ")</f>
        <v xml:space="preserve"> </v>
      </c>
      <c r="BC335" s="26" t="str">
        <f>IFERROR($AC335*HDF_Limited_Col!BC335/HDF_Limited_Col!$AH335," ")</f>
        <v xml:space="preserve"> </v>
      </c>
      <c r="BD335" s="26" t="str">
        <f>IFERROR($AC335*HDF_Limited_Col!BD335/HDF_Limited_Col!$AH335," ")</f>
        <v xml:space="preserve"> </v>
      </c>
      <c r="BE335" s="26" t="str">
        <f>IFERROR($AC335*HDF_Limited_Col!BE335/HDF_Limited_Col!$AH335," ")</f>
        <v xml:space="preserve"> </v>
      </c>
      <c r="BF335" s="26" t="str">
        <f>IFERROR($AC335*HDF_Limited_Col!BF335/HDF_Limited_Col!$AH335," ")</f>
        <v xml:space="preserve"> </v>
      </c>
      <c r="BG335" s="26" t="str">
        <f>IFERROR($AC335*HDF_Limited_Col!BG335/HDF_Limited_Col!$AH335," ")</f>
        <v xml:space="preserve"> </v>
      </c>
      <c r="BH335" s="26" t="str">
        <f>IFERROR($AC335*HDF_Limited_Col!BH335/HDF_Limited_Col!$AH335," ")</f>
        <v xml:space="preserve"> </v>
      </c>
      <c r="BI335" s="26" t="str">
        <f>IFERROR($AC335*HDF_Limited_Col!BI335/HDF_Limited_Col!$AH335," ")</f>
        <v xml:space="preserve"> </v>
      </c>
      <c r="BJ335" s="26" t="str">
        <f>IFERROR($AC335*HDF_Limited_Col!BJ335/HDF_Limited_Col!$AH335," ")</f>
        <v xml:space="preserve"> </v>
      </c>
      <c r="BK335" s="26" t="str">
        <f>IFERROR($AC335*HDF_Limited_Col!BK335/HDF_Limited_Col!$AH335," ")</f>
        <v xml:space="preserve"> </v>
      </c>
      <c r="BL335" s="26" t="str">
        <f>IFERROR($AC335*HDF_Limited_Col!BL335/HDF_Limited_Col!$AH335," ")</f>
        <v xml:space="preserve"> </v>
      </c>
      <c r="BM335" s="26" t="str">
        <f>IFERROR($AC335*HDF_Limited_Col!BM335/HDF_Limited_Col!$AH335," ")</f>
        <v xml:space="preserve"> </v>
      </c>
      <c r="BN335" s="26" t="str">
        <f>IFERROR($AC335*HDF_Limited_Col!BN335/HDF_Limited_Col!$AH335," ")</f>
        <v xml:space="preserve"> </v>
      </c>
      <c r="BO335" s="26" t="str">
        <f>IFERROR($AC335*HDF_Limited_Col!BO335/HDF_Limited_Col!$AH335," ")</f>
        <v xml:space="preserve"> </v>
      </c>
      <c r="BP335" s="26" t="str">
        <f>IFERROR($AC335*HDF_Limited_Col!BP335/HDF_Limited_Col!$AH335," ")</f>
        <v xml:space="preserve"> </v>
      </c>
      <c r="BQ335" s="26" t="str">
        <f>IFERROR($AC335*HDF_Limited_Col!BQ335/HDF_Limited_Col!$AH335," ")</f>
        <v xml:space="preserve"> </v>
      </c>
      <c r="BR335" s="26" t="str">
        <f>IFERROR($AC335*HDF_Limited_Col!BR335/HDF_Limited_Col!$AH335," ")</f>
        <v xml:space="preserve"> </v>
      </c>
      <c r="BS335" s="26" t="str">
        <f>IFERROR($AC335*HDF_Limited_Col!BS335/HDF_Limited_Col!$AH335," ")</f>
        <v xml:space="preserve"> </v>
      </c>
      <c r="BT335" s="26" t="str">
        <f>IFERROR($AC335*HDF_Limited_Col!BT335/HDF_Limited_Col!$AH335," ")</f>
        <v xml:space="preserve"> </v>
      </c>
      <c r="BU335" s="26" t="str">
        <f>IFERROR($AC335*HDF_Limited_Col!BU335/HDF_Limited_Col!$AH335," ")</f>
        <v xml:space="preserve"> </v>
      </c>
      <c r="BV335" s="26" t="str">
        <f>IFERROR($AC335*HDF_Limited_Col!BV335/HDF_Limited_Col!$AH335," ")</f>
        <v xml:space="preserve"> </v>
      </c>
      <c r="BW335" s="26" t="str">
        <f>IFERROR($AC335*HDF_Limited_Col!BW335/HDF_Limited_Col!$AH335," ")</f>
        <v xml:space="preserve"> </v>
      </c>
      <c r="BX335" s="26" t="str">
        <f>IFERROR($AC335*HDF_Limited_Col!BX335/HDF_Limited_Col!$AH335," ")</f>
        <v xml:space="preserve"> </v>
      </c>
      <c r="BY335" s="26" t="str">
        <f>IFERROR($AC335*HDF_Limited_Col!BY335/HDF_Limited_Col!$AH335," ")</f>
        <v xml:space="preserve"> </v>
      </c>
      <c r="BZ335" s="26" t="str">
        <f>IFERROR($AC335*HDF_Limited_Col!BZ335/HDF_Limited_Col!$AH335," ")</f>
        <v xml:space="preserve"> </v>
      </c>
      <c r="CA335" s="26" t="str">
        <f>IFERROR($AC335*HDF_Limited_Col!CA335/HDF_Limited_Col!$AH335," ")</f>
        <v xml:space="preserve"> </v>
      </c>
      <c r="CB335" s="26" t="str">
        <f>IFERROR($AC335*HDF_Limited_Col!CB335/HDF_Limited_Col!$AH335," ")</f>
        <v xml:space="preserve"> </v>
      </c>
      <c r="CC335" s="26" t="str">
        <f>IFERROR($AC335*HDF_Limited_Col!CC335/HDF_Limited_Col!$AH335," ")</f>
        <v xml:space="preserve"> </v>
      </c>
      <c r="CD335" s="26"/>
      <c r="CE335" s="26"/>
      <c r="CF335" s="26"/>
      <c r="CG335" s="26"/>
      <c r="CH335" s="26"/>
      <c r="CI335" s="26"/>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row>
    <row r="336" spans="1:109">
      <c r="A336" s="26" t="s">
        <v>1656</v>
      </c>
      <c r="B336" s="53" t="s">
        <v>24</v>
      </c>
      <c r="C336" s="26" t="s">
        <v>1369</v>
      </c>
      <c r="D336" s="53" t="s">
        <v>1706</v>
      </c>
      <c r="E336" s="53" t="s">
        <v>237</v>
      </c>
      <c r="F336" s="53" t="s">
        <v>849</v>
      </c>
      <c r="G336" s="53" t="s">
        <v>595</v>
      </c>
      <c r="H336" s="52">
        <v>364</v>
      </c>
      <c r="I336" s="53" t="s">
        <v>1148</v>
      </c>
      <c r="J336" s="53" t="s">
        <v>635</v>
      </c>
      <c r="K336" s="53" t="s">
        <v>1678</v>
      </c>
      <c r="L336" s="53"/>
      <c r="M336" s="53" t="s">
        <v>1695</v>
      </c>
      <c r="N336" s="53">
        <v>24</v>
      </c>
      <c r="O336" s="95">
        <v>33.113245298119253</v>
      </c>
      <c r="P336" s="95">
        <v>8.0032012805122052E-2</v>
      </c>
      <c r="Q336" s="95">
        <v>0</v>
      </c>
      <c r="R336" s="95">
        <v>8.0232092837134861</v>
      </c>
      <c r="S336" s="95">
        <v>35.414165666266506</v>
      </c>
      <c r="T336" s="95">
        <v>7.2629051620648255</v>
      </c>
      <c r="U336" s="95">
        <v>0</v>
      </c>
      <c r="V336" s="95">
        <v>3.8015206082432975</v>
      </c>
      <c r="W336" s="95">
        <v>12.304921968787516</v>
      </c>
      <c r="X336" s="95">
        <v>0</v>
      </c>
      <c r="Y336" s="95">
        <v>0</v>
      </c>
      <c r="Z336" s="95">
        <v>99.999999999999986</v>
      </c>
      <c r="AA336" s="53"/>
      <c r="AB336" s="53"/>
      <c r="AC336" s="26">
        <f t="shared" si="6"/>
        <v>102147.74757838584</v>
      </c>
      <c r="AD336" s="26" t="str">
        <f>IFERROR($AC336*HDF_Limited_Col!AD336/HDF_Limited_Col!$AH336," ")</f>
        <v xml:space="preserve"> </v>
      </c>
      <c r="AE336" s="26" t="str">
        <f>IFERROR($AC336*HDF_Limited_Col!AE336/HDF_Limited_Col!$AH336," ")</f>
        <v xml:space="preserve"> </v>
      </c>
      <c r="AF336" s="26" t="str">
        <f>IFERROR($AC336*HDF_Limited_Col!AF336/HDF_Limited_Col!$AH336," ")</f>
        <v xml:space="preserve"> </v>
      </c>
      <c r="AG336" s="26" t="str">
        <f>IFERROR($AC336*HDF_Limited_Col!AG336/HDF_Limited_Col!$AH336," ")</f>
        <v xml:space="preserve"> </v>
      </c>
      <c r="AH336" s="26" t="str">
        <f>IFERROR($AC336*HDF_Limited_Col!AH336/HDF_Limited_Col!$AH336," ")</f>
        <v xml:space="preserve"> </v>
      </c>
      <c r="AI336" s="26" t="str">
        <f>IFERROR($AC336*HDF_Limited_Col!AI336/HDF_Limited_Col!$AH336," ")</f>
        <v xml:space="preserve"> </v>
      </c>
      <c r="AJ336" s="26" t="str">
        <f>IFERROR($AC336*HDF_Limited_Col!AJ336/HDF_Limited_Col!$AH336," ")</f>
        <v xml:space="preserve"> </v>
      </c>
      <c r="AK336" s="26" t="str">
        <f>IFERROR($AC336*HDF_Limited_Col!AK336/HDF_Limited_Col!$AH336," ")</f>
        <v xml:space="preserve"> </v>
      </c>
      <c r="AL336" s="26" t="str">
        <f>IFERROR($AC336*HDF_Limited_Col!AL336/HDF_Limited_Col!$AH336," ")</f>
        <v xml:space="preserve"> </v>
      </c>
      <c r="AM336" s="26" t="str">
        <f>IFERROR($AC336*HDF_Limited_Col!AM336/HDF_Limited_Col!$AH336," ")</f>
        <v xml:space="preserve"> </v>
      </c>
      <c r="AN336" s="26" t="str">
        <f>IFERROR($AC336*HDF_Limited_Col!AN336/HDF_Limited_Col!$AH336," ")</f>
        <v xml:space="preserve"> </v>
      </c>
      <c r="AO336" s="26" t="str">
        <f>IFERROR($AC336*HDF_Limited_Col!AO336/HDF_Limited_Col!$AH336," ")</f>
        <v xml:space="preserve"> </v>
      </c>
      <c r="AP336" s="26" t="str">
        <f>IFERROR($AC336*HDF_Limited_Col!AP336/HDF_Limited_Col!$AH336," ")</f>
        <v xml:space="preserve"> </v>
      </c>
      <c r="AQ336" s="26" t="str">
        <f>IFERROR($AC336*HDF_Limited_Col!AQ336/HDF_Limited_Col!$AH336," ")</f>
        <v xml:space="preserve"> </v>
      </c>
      <c r="AR336" s="26" t="str">
        <f>IFERROR($AC336*HDF_Limited_Col!AR336/HDF_Limited_Col!$AH336," ")</f>
        <v xml:space="preserve"> </v>
      </c>
      <c r="AS336" s="26" t="str">
        <f>IFERROR($AC336*HDF_Limited_Col!AS336/HDF_Limited_Col!$AH336," ")</f>
        <v xml:space="preserve"> </v>
      </c>
      <c r="AT336" s="26" t="str">
        <f>IFERROR($AC336*HDF_Limited_Col!AT336/HDF_Limited_Col!$AH336," ")</f>
        <v xml:space="preserve"> </v>
      </c>
      <c r="AU336" s="26" t="str">
        <f>IFERROR($AC336*HDF_Limited_Col!AU336/HDF_Limited_Col!$AH336," ")</f>
        <v xml:space="preserve"> </v>
      </c>
      <c r="AV336" s="26" t="str">
        <f>IFERROR($AC336*HDF_Limited_Col!AV336/HDF_Limited_Col!$AH336," ")</f>
        <v xml:space="preserve"> </v>
      </c>
      <c r="AW336" s="26" t="str">
        <f>IFERROR($AC336*HDF_Limited_Col!AW336/HDF_Limited_Col!$AH336," ")</f>
        <v xml:space="preserve"> </v>
      </c>
      <c r="AX336" s="26" t="str">
        <f>IFERROR($AC336*HDF_Limited_Col!AX336/HDF_Limited_Col!$AH336," ")</f>
        <v xml:space="preserve"> </v>
      </c>
      <c r="AY336" s="26" t="str">
        <f>IFERROR($AC336*HDF_Limited_Col!AY336/HDF_Limited_Col!$AH336," ")</f>
        <v xml:space="preserve"> </v>
      </c>
      <c r="AZ336" s="26" t="str">
        <f>IFERROR($AC336*HDF_Limited_Col!AZ336/HDF_Limited_Col!$AH336," ")</f>
        <v xml:space="preserve"> </v>
      </c>
      <c r="BA336" s="26" t="str">
        <f>IFERROR($AC336*HDF_Limited_Col!BA336/HDF_Limited_Col!$AH336," ")</f>
        <v xml:space="preserve"> </v>
      </c>
      <c r="BB336" s="26" t="str">
        <f>IFERROR($AC336*HDF_Limited_Col!BB336/HDF_Limited_Col!$AH336," ")</f>
        <v xml:space="preserve"> </v>
      </c>
      <c r="BC336" s="26" t="str">
        <f>IFERROR($AC336*HDF_Limited_Col!BC336/HDF_Limited_Col!$AH336," ")</f>
        <v xml:space="preserve"> </v>
      </c>
      <c r="BD336" s="26" t="str">
        <f>IFERROR($AC336*HDF_Limited_Col!BD336/HDF_Limited_Col!$AH336," ")</f>
        <v xml:space="preserve"> </v>
      </c>
      <c r="BE336" s="26" t="str">
        <f>IFERROR($AC336*HDF_Limited_Col!BE336/HDF_Limited_Col!$AH336," ")</f>
        <v xml:space="preserve"> </v>
      </c>
      <c r="BF336" s="26" t="str">
        <f>IFERROR($AC336*HDF_Limited_Col!BF336/HDF_Limited_Col!$AH336," ")</f>
        <v xml:space="preserve"> </v>
      </c>
      <c r="BG336" s="26" t="str">
        <f>IFERROR($AC336*HDF_Limited_Col!BG336/HDF_Limited_Col!$AH336," ")</f>
        <v xml:space="preserve"> </v>
      </c>
      <c r="BH336" s="26" t="str">
        <f>IFERROR($AC336*HDF_Limited_Col!BH336/HDF_Limited_Col!$AH336," ")</f>
        <v xml:space="preserve"> </v>
      </c>
      <c r="BI336" s="26" t="str">
        <f>IFERROR($AC336*HDF_Limited_Col!BI336/HDF_Limited_Col!$AH336," ")</f>
        <v xml:space="preserve"> </v>
      </c>
      <c r="BJ336" s="26" t="str">
        <f>IFERROR($AC336*HDF_Limited_Col!BJ336/HDF_Limited_Col!$AH336," ")</f>
        <v xml:space="preserve"> </v>
      </c>
      <c r="BK336" s="26" t="str">
        <f>IFERROR($AC336*HDF_Limited_Col!BK336/HDF_Limited_Col!$AH336," ")</f>
        <v xml:space="preserve"> </v>
      </c>
      <c r="BL336" s="26" t="str">
        <f>IFERROR($AC336*HDF_Limited_Col!BL336/HDF_Limited_Col!$AH336," ")</f>
        <v xml:space="preserve"> </v>
      </c>
      <c r="BM336" s="26" t="str">
        <f>IFERROR($AC336*HDF_Limited_Col!BM336/HDF_Limited_Col!$AH336," ")</f>
        <v xml:space="preserve"> </v>
      </c>
      <c r="BN336" s="26" t="str">
        <f>IFERROR($AC336*HDF_Limited_Col!BN336/HDF_Limited_Col!$AH336," ")</f>
        <v xml:space="preserve"> </v>
      </c>
      <c r="BO336" s="26" t="str">
        <f>IFERROR($AC336*HDF_Limited_Col!BO336/HDF_Limited_Col!$AH336," ")</f>
        <v xml:space="preserve"> </v>
      </c>
      <c r="BP336" s="26" t="str">
        <f>IFERROR($AC336*HDF_Limited_Col!BP336/HDF_Limited_Col!$AH336," ")</f>
        <v xml:space="preserve"> </v>
      </c>
      <c r="BQ336" s="26" t="str">
        <f>IFERROR($AC336*HDF_Limited_Col!BQ336/HDF_Limited_Col!$AH336," ")</f>
        <v xml:space="preserve"> </v>
      </c>
      <c r="BR336" s="26" t="str">
        <f>IFERROR($AC336*HDF_Limited_Col!BR336/HDF_Limited_Col!$AH336," ")</f>
        <v xml:space="preserve"> </v>
      </c>
      <c r="BS336" s="26" t="str">
        <f>IFERROR($AC336*HDF_Limited_Col!BS336/HDF_Limited_Col!$AH336," ")</f>
        <v xml:space="preserve"> </v>
      </c>
      <c r="BT336" s="26" t="str">
        <f>IFERROR($AC336*HDF_Limited_Col!BT336/HDF_Limited_Col!$AH336," ")</f>
        <v xml:space="preserve"> </v>
      </c>
      <c r="BU336" s="26" t="str">
        <f>IFERROR($AC336*HDF_Limited_Col!BU336/HDF_Limited_Col!$AH336," ")</f>
        <v xml:space="preserve"> </v>
      </c>
      <c r="BV336" s="26" t="str">
        <f>IFERROR($AC336*HDF_Limited_Col!BV336/HDF_Limited_Col!$AH336," ")</f>
        <v xml:space="preserve"> </v>
      </c>
      <c r="BW336" s="26" t="str">
        <f>IFERROR($AC336*HDF_Limited_Col!BW336/HDF_Limited_Col!$AH336," ")</f>
        <v xml:space="preserve"> </v>
      </c>
      <c r="BX336" s="26" t="str">
        <f>IFERROR($AC336*HDF_Limited_Col!BX336/HDF_Limited_Col!$AH336," ")</f>
        <v xml:space="preserve"> </v>
      </c>
      <c r="BY336" s="26" t="str">
        <f>IFERROR($AC336*HDF_Limited_Col!BY336/HDF_Limited_Col!$AH336," ")</f>
        <v xml:space="preserve"> </v>
      </c>
      <c r="BZ336" s="26" t="str">
        <f>IFERROR($AC336*HDF_Limited_Col!BZ336/HDF_Limited_Col!$AH336," ")</f>
        <v xml:space="preserve"> </v>
      </c>
      <c r="CA336" s="26" t="str">
        <f>IFERROR($AC336*HDF_Limited_Col!CA336/HDF_Limited_Col!$AH336," ")</f>
        <v xml:space="preserve"> </v>
      </c>
      <c r="CB336" s="26" t="str">
        <f>IFERROR($AC336*HDF_Limited_Col!CB336/HDF_Limited_Col!$AH336," ")</f>
        <v xml:space="preserve"> </v>
      </c>
      <c r="CC336" s="26" t="str">
        <f>IFERROR($AC336*HDF_Limited_Col!CC336/HDF_Limited_Col!$AH336," ")</f>
        <v xml:space="preserve"> </v>
      </c>
      <c r="CD336" s="26"/>
      <c r="CE336" s="26"/>
      <c r="CF336" s="26"/>
      <c r="CG336" s="26"/>
      <c r="CH336" s="26"/>
      <c r="CI336" s="26"/>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row>
    <row r="337" spans="1:109">
      <c r="A337" s="26" t="s">
        <v>1656</v>
      </c>
      <c r="B337" s="53" t="s">
        <v>24</v>
      </c>
      <c r="C337" s="26" t="s">
        <v>1369</v>
      </c>
      <c r="D337" s="53" t="s">
        <v>1706</v>
      </c>
      <c r="E337" s="53" t="s">
        <v>237</v>
      </c>
      <c r="F337" s="53" t="s">
        <v>849</v>
      </c>
      <c r="G337" s="53" t="s">
        <v>595</v>
      </c>
      <c r="H337" s="52">
        <v>364</v>
      </c>
      <c r="I337" s="53" t="s">
        <v>1148</v>
      </c>
      <c r="J337" s="53" t="s">
        <v>635</v>
      </c>
      <c r="K337" s="53" t="s">
        <v>1678</v>
      </c>
      <c r="L337" s="53"/>
      <c r="M337" s="53" t="s">
        <v>1697</v>
      </c>
      <c r="N337" s="53">
        <v>36</v>
      </c>
      <c r="O337" s="95">
        <v>29.635584017202902</v>
      </c>
      <c r="P337" s="95">
        <v>0</v>
      </c>
      <c r="Q337" s="95">
        <v>1.3809778946791831</v>
      </c>
      <c r="R337" s="95">
        <v>6.995610648958781</v>
      </c>
      <c r="S337" s="95">
        <v>32.962027121174657</v>
      </c>
      <c r="T337" s="95">
        <v>11.995355435534508</v>
      </c>
      <c r="U337" s="95">
        <v>0.12096156741715471</v>
      </c>
      <c r="V337" s="95">
        <v>3.6893278062232189</v>
      </c>
      <c r="W337" s="95">
        <v>8.7495533765075226</v>
      </c>
      <c r="X337" s="95">
        <v>3.7598887205498923</v>
      </c>
      <c r="Y337" s="95">
        <v>0.91729188624675673</v>
      </c>
      <c r="Z337" s="95">
        <v>100.20657847449458</v>
      </c>
      <c r="AA337" s="53"/>
      <c r="AB337" s="53"/>
      <c r="AC337" s="26">
        <f t="shared" si="6"/>
        <v>72633.306573919763</v>
      </c>
      <c r="AD337" s="26" t="str">
        <f>IFERROR($AC337*HDF_Limited_Col!AD337/HDF_Limited_Col!$AH337," ")</f>
        <v xml:space="preserve"> </v>
      </c>
      <c r="AE337" s="26" t="str">
        <f>IFERROR($AC337*HDF_Limited_Col!AE337/HDF_Limited_Col!$AH337," ")</f>
        <v xml:space="preserve"> </v>
      </c>
      <c r="AF337" s="26" t="str">
        <f>IFERROR($AC337*HDF_Limited_Col!AF337/HDF_Limited_Col!$AH337," ")</f>
        <v xml:space="preserve"> </v>
      </c>
      <c r="AG337" s="26" t="str">
        <f>IFERROR($AC337*HDF_Limited_Col!AG337/HDF_Limited_Col!$AH337," ")</f>
        <v xml:space="preserve"> </v>
      </c>
      <c r="AH337" s="26" t="str">
        <f>IFERROR($AC337*HDF_Limited_Col!AH337/HDF_Limited_Col!$AH337," ")</f>
        <v xml:space="preserve"> </v>
      </c>
      <c r="AI337" s="26" t="str">
        <f>IFERROR($AC337*HDF_Limited_Col!AI337/HDF_Limited_Col!$AH337," ")</f>
        <v xml:space="preserve"> </v>
      </c>
      <c r="AJ337" s="26" t="str">
        <f>IFERROR($AC337*HDF_Limited_Col!AJ337/HDF_Limited_Col!$AH337," ")</f>
        <v xml:space="preserve"> </v>
      </c>
      <c r="AK337" s="26" t="str">
        <f>IFERROR($AC337*HDF_Limited_Col!AK337/HDF_Limited_Col!$AH337," ")</f>
        <v xml:space="preserve"> </v>
      </c>
      <c r="AL337" s="26" t="str">
        <f>IFERROR($AC337*HDF_Limited_Col!AL337/HDF_Limited_Col!$AH337," ")</f>
        <v xml:space="preserve"> </v>
      </c>
      <c r="AM337" s="26" t="str">
        <f>IFERROR($AC337*HDF_Limited_Col!AM337/HDF_Limited_Col!$AH337," ")</f>
        <v xml:space="preserve"> </v>
      </c>
      <c r="AN337" s="26" t="str">
        <f>IFERROR($AC337*HDF_Limited_Col!AN337/HDF_Limited_Col!$AH337," ")</f>
        <v xml:space="preserve"> </v>
      </c>
      <c r="AO337" s="26" t="str">
        <f>IFERROR($AC337*HDF_Limited_Col!AO337/HDF_Limited_Col!$AH337," ")</f>
        <v xml:space="preserve"> </v>
      </c>
      <c r="AP337" s="26" t="str">
        <f>IFERROR($AC337*HDF_Limited_Col!AP337/HDF_Limited_Col!$AH337," ")</f>
        <v xml:space="preserve"> </v>
      </c>
      <c r="AQ337" s="26" t="str">
        <f>IFERROR($AC337*HDF_Limited_Col!AQ337/HDF_Limited_Col!$AH337," ")</f>
        <v xml:space="preserve"> </v>
      </c>
      <c r="AR337" s="26" t="str">
        <f>IFERROR($AC337*HDF_Limited_Col!AR337/HDF_Limited_Col!$AH337," ")</f>
        <v xml:space="preserve"> </v>
      </c>
      <c r="AS337" s="26" t="str">
        <f>IFERROR($AC337*HDF_Limited_Col!AS337/HDF_Limited_Col!$AH337," ")</f>
        <v xml:space="preserve"> </v>
      </c>
      <c r="AT337" s="26" t="str">
        <f>IFERROR($AC337*HDF_Limited_Col!AT337/HDF_Limited_Col!$AH337," ")</f>
        <v xml:space="preserve"> </v>
      </c>
      <c r="AU337" s="26" t="str">
        <f>IFERROR($AC337*HDF_Limited_Col!AU337/HDF_Limited_Col!$AH337," ")</f>
        <v xml:space="preserve"> </v>
      </c>
      <c r="AV337" s="26" t="str">
        <f>IFERROR($AC337*HDF_Limited_Col!AV337/HDF_Limited_Col!$AH337," ")</f>
        <v xml:space="preserve"> </v>
      </c>
      <c r="AW337" s="26" t="str">
        <f>IFERROR($AC337*HDF_Limited_Col!AW337/HDF_Limited_Col!$AH337," ")</f>
        <v xml:space="preserve"> </v>
      </c>
      <c r="AX337" s="26" t="str">
        <f>IFERROR($AC337*HDF_Limited_Col!AX337/HDF_Limited_Col!$AH337," ")</f>
        <v xml:space="preserve"> </v>
      </c>
      <c r="AY337" s="26" t="str">
        <f>IFERROR($AC337*HDF_Limited_Col!AY337/HDF_Limited_Col!$AH337," ")</f>
        <v xml:space="preserve"> </v>
      </c>
      <c r="AZ337" s="26" t="str">
        <f>IFERROR($AC337*HDF_Limited_Col!AZ337/HDF_Limited_Col!$AH337," ")</f>
        <v xml:space="preserve"> </v>
      </c>
      <c r="BA337" s="26" t="str">
        <f>IFERROR($AC337*HDF_Limited_Col!BA337/HDF_Limited_Col!$AH337," ")</f>
        <v xml:space="preserve"> </v>
      </c>
      <c r="BB337" s="26" t="str">
        <f>IFERROR($AC337*HDF_Limited_Col!BB337/HDF_Limited_Col!$AH337," ")</f>
        <v xml:space="preserve"> </v>
      </c>
      <c r="BC337" s="26" t="str">
        <f>IFERROR($AC337*HDF_Limited_Col!BC337/HDF_Limited_Col!$AH337," ")</f>
        <v xml:space="preserve"> </v>
      </c>
      <c r="BD337" s="26" t="str">
        <f>IFERROR($AC337*HDF_Limited_Col!BD337/HDF_Limited_Col!$AH337," ")</f>
        <v xml:space="preserve"> </v>
      </c>
      <c r="BE337" s="26" t="str">
        <f>IFERROR($AC337*HDF_Limited_Col!BE337/HDF_Limited_Col!$AH337," ")</f>
        <v xml:space="preserve"> </v>
      </c>
      <c r="BF337" s="26" t="str">
        <f>IFERROR($AC337*HDF_Limited_Col!BF337/HDF_Limited_Col!$AH337," ")</f>
        <v xml:space="preserve"> </v>
      </c>
      <c r="BG337" s="26" t="str">
        <f>IFERROR($AC337*HDF_Limited_Col!BG337/HDF_Limited_Col!$AH337," ")</f>
        <v xml:space="preserve"> </v>
      </c>
      <c r="BH337" s="26" t="str">
        <f>IFERROR($AC337*HDF_Limited_Col!BH337/HDF_Limited_Col!$AH337," ")</f>
        <v xml:space="preserve"> </v>
      </c>
      <c r="BI337" s="26" t="str">
        <f>IFERROR($AC337*HDF_Limited_Col!BI337/HDF_Limited_Col!$AH337," ")</f>
        <v xml:space="preserve"> </v>
      </c>
      <c r="BJ337" s="26" t="str">
        <f>IFERROR($AC337*HDF_Limited_Col!BJ337/HDF_Limited_Col!$AH337," ")</f>
        <v xml:space="preserve"> </v>
      </c>
      <c r="BK337" s="26" t="str">
        <f>IFERROR($AC337*HDF_Limited_Col!BK337/HDF_Limited_Col!$AH337," ")</f>
        <v xml:space="preserve"> </v>
      </c>
      <c r="BL337" s="26" t="str">
        <f>IFERROR($AC337*HDF_Limited_Col!BL337/HDF_Limited_Col!$AH337," ")</f>
        <v xml:space="preserve"> </v>
      </c>
      <c r="BM337" s="26" t="str">
        <f>IFERROR($AC337*HDF_Limited_Col!BM337/HDF_Limited_Col!$AH337," ")</f>
        <v xml:space="preserve"> </v>
      </c>
      <c r="BN337" s="26" t="str">
        <f>IFERROR($AC337*HDF_Limited_Col!BN337/HDF_Limited_Col!$AH337," ")</f>
        <v xml:space="preserve"> </v>
      </c>
      <c r="BO337" s="26" t="str">
        <f>IFERROR($AC337*HDF_Limited_Col!BO337/HDF_Limited_Col!$AH337," ")</f>
        <v xml:space="preserve"> </v>
      </c>
      <c r="BP337" s="26" t="str">
        <f>IFERROR($AC337*HDF_Limited_Col!BP337/HDF_Limited_Col!$AH337," ")</f>
        <v xml:space="preserve"> </v>
      </c>
      <c r="BQ337" s="26" t="str">
        <f>IFERROR($AC337*HDF_Limited_Col!BQ337/HDF_Limited_Col!$AH337," ")</f>
        <v xml:space="preserve"> </v>
      </c>
      <c r="BR337" s="26" t="str">
        <f>IFERROR($AC337*HDF_Limited_Col!BR337/HDF_Limited_Col!$AH337," ")</f>
        <v xml:space="preserve"> </v>
      </c>
      <c r="BS337" s="26" t="str">
        <f>IFERROR($AC337*HDF_Limited_Col!BS337/HDF_Limited_Col!$AH337," ")</f>
        <v xml:space="preserve"> </v>
      </c>
      <c r="BT337" s="26" t="str">
        <f>IFERROR($AC337*HDF_Limited_Col!BT337/HDF_Limited_Col!$AH337," ")</f>
        <v xml:space="preserve"> </v>
      </c>
      <c r="BU337" s="26" t="str">
        <f>IFERROR($AC337*HDF_Limited_Col!BU337/HDF_Limited_Col!$AH337," ")</f>
        <v xml:space="preserve"> </v>
      </c>
      <c r="BV337" s="26" t="str">
        <f>IFERROR($AC337*HDF_Limited_Col!BV337/HDF_Limited_Col!$AH337," ")</f>
        <v xml:space="preserve"> </v>
      </c>
      <c r="BW337" s="26" t="str">
        <f>IFERROR($AC337*HDF_Limited_Col!BW337/HDF_Limited_Col!$AH337," ")</f>
        <v xml:space="preserve"> </v>
      </c>
      <c r="BX337" s="26" t="str">
        <f>IFERROR($AC337*HDF_Limited_Col!BX337/HDF_Limited_Col!$AH337," ")</f>
        <v xml:space="preserve"> </v>
      </c>
      <c r="BY337" s="26" t="str">
        <f>IFERROR($AC337*HDF_Limited_Col!BY337/HDF_Limited_Col!$AH337," ")</f>
        <v xml:space="preserve"> </v>
      </c>
      <c r="BZ337" s="26" t="str">
        <f>IFERROR($AC337*HDF_Limited_Col!BZ337/HDF_Limited_Col!$AH337," ")</f>
        <v xml:space="preserve"> </v>
      </c>
      <c r="CA337" s="26" t="str">
        <f>IFERROR($AC337*HDF_Limited_Col!CA337/HDF_Limited_Col!$AH337," ")</f>
        <v xml:space="preserve"> </v>
      </c>
      <c r="CB337" s="26" t="str">
        <f>IFERROR($AC337*HDF_Limited_Col!CB337/HDF_Limited_Col!$AH337," ")</f>
        <v xml:space="preserve"> </v>
      </c>
      <c r="CC337" s="26" t="str">
        <f>IFERROR($AC337*HDF_Limited_Col!CC337/HDF_Limited_Col!$AH337," ")</f>
        <v xml:space="preserve"> </v>
      </c>
      <c r="CD337" s="26"/>
      <c r="CE337" s="26"/>
      <c r="CF337" s="26"/>
      <c r="CG337" s="26"/>
      <c r="CH337" s="26"/>
      <c r="CI337" s="26"/>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row>
    <row r="338" spans="1:109">
      <c r="A338" s="4"/>
      <c r="B338" s="4"/>
      <c r="C338" s="4"/>
      <c r="D338" s="4"/>
      <c r="E338" s="4"/>
      <c r="F338" s="4"/>
      <c r="G338" s="4"/>
      <c r="H338" s="49"/>
      <c r="I338" s="4"/>
      <c r="J338" s="4"/>
      <c r="K338" s="4"/>
      <c r="L338" s="4"/>
      <c r="M338" s="4"/>
      <c r="N338" s="4"/>
    </row>
    <row r="339" spans="1:109">
      <c r="A339" s="16"/>
      <c r="B339" s="4"/>
      <c r="C339" s="16"/>
      <c r="D339" s="4"/>
      <c r="E339" s="4"/>
      <c r="F339" s="4"/>
      <c r="G339" s="4"/>
      <c r="H339" s="49"/>
      <c r="I339" s="4"/>
      <c r="J339" s="4"/>
      <c r="K339" s="4"/>
      <c r="L339" s="4"/>
      <c r="M339" s="4"/>
      <c r="N339" s="4"/>
    </row>
    <row r="340" spans="1:109">
      <c r="A340" s="16"/>
      <c r="B340" s="4"/>
      <c r="C340" s="16"/>
      <c r="D340" s="4"/>
      <c r="E340" s="4"/>
      <c r="F340" s="4"/>
      <c r="G340" s="4"/>
      <c r="H340" s="49"/>
      <c r="I340" s="4"/>
      <c r="J340" s="4"/>
      <c r="K340" s="4"/>
      <c r="L340" s="4"/>
      <c r="M340" s="4"/>
      <c r="N340" s="4"/>
    </row>
    <row r="341" spans="1:109">
      <c r="A341" s="4"/>
      <c r="B341" s="4"/>
      <c r="C341" s="4"/>
      <c r="D341" s="4"/>
      <c r="E341" s="4"/>
      <c r="F341" s="4"/>
      <c r="G341" s="4"/>
      <c r="H341" s="49"/>
      <c r="I341" s="4"/>
      <c r="J341" s="4"/>
      <c r="K341" s="4"/>
      <c r="L341" s="4"/>
      <c r="M341" s="4"/>
      <c r="N341" s="4"/>
    </row>
  </sheetData>
  <autoFilter ref="A1:DE341" xr:uid="{4A2DDF96-528B-064C-9CCC-66677029766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DF96-528B-064C-9CCC-66677029766A}">
  <dimension ref="A1:DP341"/>
  <sheetViews>
    <sheetView tabSelected="1" zoomScale="101" workbookViewId="0">
      <pane xSplit="5" ySplit="1" topLeftCell="DP2" activePane="bottomRight" state="frozen"/>
      <selection pane="topRight" activeCell="F1" sqref="F1"/>
      <selection pane="bottomLeft" activeCell="A2" sqref="A2"/>
      <selection pane="bottomRight" activeCell="DP31" sqref="DP31"/>
    </sheetView>
  </sheetViews>
  <sheetFormatPr baseColWidth="10" defaultColWidth="46" defaultRowHeight="15"/>
  <cols>
    <col min="1" max="1" width="75.33203125" bestFit="1" customWidth="1"/>
    <col min="2" max="2" width="8.1640625" bestFit="1" customWidth="1"/>
    <col min="3" max="3" width="22.33203125" bestFit="1" customWidth="1"/>
    <col min="4" max="4" width="3.6640625" customWidth="1"/>
    <col min="5" max="5" width="16.33203125" bestFit="1" customWidth="1"/>
    <col min="6" max="6" width="35.83203125" bestFit="1" customWidth="1"/>
    <col min="7" max="7" width="14.5" bestFit="1" customWidth="1"/>
    <col min="8" max="8" width="15.5" bestFit="1" customWidth="1"/>
    <col min="9" max="9" width="14.5" bestFit="1" customWidth="1"/>
    <col min="10" max="10" width="43.1640625" bestFit="1" customWidth="1"/>
    <col min="11" max="11" width="27" bestFit="1" customWidth="1"/>
    <col min="12" max="12" width="70.1640625" bestFit="1" customWidth="1"/>
    <col min="13" max="13" width="18.1640625" bestFit="1" customWidth="1"/>
    <col min="14" max="14" width="5.6640625" bestFit="1" customWidth="1"/>
    <col min="15" max="15" width="9.83203125" style="95" customWidth="1"/>
    <col min="16" max="16" width="7.1640625" style="95" bestFit="1" customWidth="1"/>
    <col min="17" max="17" width="8.33203125" style="95" bestFit="1" customWidth="1"/>
    <col min="18" max="18" width="6.5" style="95" bestFit="1" customWidth="1"/>
    <col min="19" max="19" width="7.1640625" style="95" bestFit="1" customWidth="1"/>
    <col min="20" max="21" width="18.5" style="95" bestFit="1" customWidth="1"/>
    <col min="22" max="22" width="19.83203125" style="95" bestFit="1" customWidth="1"/>
    <col min="23" max="23" width="18.83203125" style="95" bestFit="1" customWidth="1"/>
    <col min="24" max="24" width="19.83203125" style="95" bestFit="1" customWidth="1"/>
    <col min="25" max="25" width="17" style="95" bestFit="1" customWidth="1"/>
    <col min="26" max="26" width="19.5" style="95" bestFit="1" customWidth="1"/>
    <col min="27" max="29" width="5.6640625" style="44" bestFit="1" customWidth="1"/>
    <col min="30" max="30" width="7.6640625" style="44" bestFit="1" customWidth="1"/>
    <col min="31" max="31" width="8.6640625" style="131" bestFit="1" customWidth="1"/>
    <col min="32" max="32" width="7.6640625" style="131" bestFit="1" customWidth="1"/>
    <col min="33" max="33" width="6.6640625" style="44" bestFit="1" customWidth="1"/>
    <col min="34" max="34" width="10.6640625" style="44" bestFit="1" customWidth="1"/>
    <col min="35" max="35" width="7.6640625" style="44" bestFit="1" customWidth="1"/>
    <col min="36" max="36" width="9.6640625" style="44" bestFit="1" customWidth="1"/>
    <col min="37" max="37" width="6.6640625" style="138" bestFit="1" customWidth="1"/>
    <col min="38" max="38" width="6.6640625" style="44" bestFit="1" customWidth="1"/>
    <col min="39" max="39" width="7.6640625" style="138" bestFit="1" customWidth="1"/>
    <col min="40" max="40" width="6.6640625" style="131" bestFit="1" customWidth="1"/>
    <col min="41" max="41" width="6.6640625" style="44" bestFit="1" customWidth="1"/>
    <col min="42" max="43" width="5.6640625" style="44" bestFit="1" customWidth="1"/>
    <col min="44" max="44" width="6" style="44" bestFit="1" customWidth="1"/>
    <col min="45" max="45" width="5.6640625" style="44" bestFit="1" customWidth="1"/>
    <col min="46" max="46" width="6" style="44" bestFit="1" customWidth="1"/>
    <col min="47" max="49" width="5.6640625" style="44" bestFit="1" customWidth="1"/>
    <col min="50" max="51" width="9.6640625" style="131" bestFit="1" customWidth="1"/>
    <col min="52" max="52" width="7.6640625" style="131" bestFit="1" customWidth="1"/>
    <col min="53" max="53" width="8.6640625" style="131" bestFit="1" customWidth="1"/>
    <col min="54" max="54" width="7.5" style="44" bestFit="1" customWidth="1"/>
    <col min="55" max="55" width="8.6640625" style="131" bestFit="1" customWidth="1"/>
    <col min="56" max="56" width="6.33203125" style="44" bestFit="1" customWidth="1"/>
    <col min="57" max="57" width="5.83203125" style="44" bestFit="1" customWidth="1"/>
    <col min="58" max="59" width="5.6640625" style="44" bestFit="1" customWidth="1"/>
    <col min="60" max="61" width="10.6640625" style="131" bestFit="1" customWidth="1"/>
    <col min="62" max="62" width="5.6640625" style="44" bestFit="1" customWidth="1"/>
    <col min="63" max="66" width="8.6640625" style="131" bestFit="1" customWidth="1"/>
    <col min="67" max="67" width="8.6640625" style="44" bestFit="1" customWidth="1"/>
    <col min="68" max="70" width="7.6640625" style="44" bestFit="1" customWidth="1"/>
    <col min="71" max="72" width="6.6640625" style="44" bestFit="1" customWidth="1"/>
    <col min="73" max="73" width="6.33203125" style="44" bestFit="1" customWidth="1"/>
    <col min="74" max="74" width="6.6640625" style="44" bestFit="1" customWidth="1"/>
    <col min="75" max="76" width="7.6640625" style="44" bestFit="1" customWidth="1"/>
    <col min="77" max="77" width="7.6640625" style="131" bestFit="1" customWidth="1"/>
    <col min="78" max="78" width="5.6640625" style="44" bestFit="1" customWidth="1"/>
    <col min="79" max="80" width="8.6640625" style="131" bestFit="1" customWidth="1"/>
    <col min="81" max="81" width="6.6640625" style="131" bestFit="1" customWidth="1"/>
    <col min="82" max="82" width="8.33203125" customWidth="1"/>
    <col min="83" max="109" width="12.1640625" bestFit="1" customWidth="1"/>
  </cols>
  <sheetData>
    <row r="1" spans="1:120" ht="16">
      <c r="A1" s="119" t="s">
        <v>1174</v>
      </c>
      <c r="B1" s="119" t="s">
        <v>0</v>
      </c>
      <c r="C1" s="119" t="s">
        <v>1521</v>
      </c>
      <c r="D1" s="119" t="s">
        <v>1522</v>
      </c>
      <c r="E1" s="119" t="s">
        <v>1</v>
      </c>
      <c r="F1" s="119" t="s">
        <v>2</v>
      </c>
      <c r="G1" s="119" t="s">
        <v>588</v>
      </c>
      <c r="H1" s="120" t="s">
        <v>1715</v>
      </c>
      <c r="I1" s="119" t="s">
        <v>1268</v>
      </c>
      <c r="J1" s="119" t="s">
        <v>1269</v>
      </c>
      <c r="K1" s="119" t="s">
        <v>586</v>
      </c>
      <c r="L1" s="119" t="s">
        <v>312</v>
      </c>
      <c r="M1" s="119" t="s">
        <v>4</v>
      </c>
      <c r="N1" s="119" t="s">
        <v>156</v>
      </c>
      <c r="O1" s="95" t="s">
        <v>5</v>
      </c>
      <c r="P1" s="95" t="s">
        <v>6</v>
      </c>
      <c r="Q1" s="95" t="s">
        <v>8</v>
      </c>
      <c r="R1" s="95" t="s">
        <v>9</v>
      </c>
      <c r="S1" s="95" t="s">
        <v>10</v>
      </c>
      <c r="T1" s="95" t="s">
        <v>12</v>
      </c>
      <c r="U1" s="95" t="s">
        <v>18</v>
      </c>
      <c r="V1" s="95" t="s">
        <v>13</v>
      </c>
      <c r="W1" s="95" t="s">
        <v>14</v>
      </c>
      <c r="X1" s="95" t="s">
        <v>16</v>
      </c>
      <c r="Y1" s="95" t="s">
        <v>20</v>
      </c>
      <c r="Z1" s="95" t="s">
        <v>22</v>
      </c>
      <c r="AA1" s="55"/>
      <c r="AB1" s="55"/>
      <c r="AC1" s="55"/>
      <c r="AD1" s="55" t="s">
        <v>597</v>
      </c>
      <c r="AE1" s="126" t="s">
        <v>636</v>
      </c>
      <c r="AF1" s="126" t="s">
        <v>637</v>
      </c>
      <c r="AG1" s="55" t="s">
        <v>638</v>
      </c>
      <c r="AH1" s="55" t="s">
        <v>179</v>
      </c>
      <c r="AI1" s="55" t="s">
        <v>254</v>
      </c>
      <c r="AJ1" s="55" t="s">
        <v>255</v>
      </c>
      <c r="AK1" s="133" t="s">
        <v>256</v>
      </c>
      <c r="AL1" s="55" t="s">
        <v>257</v>
      </c>
      <c r="AM1" s="133" t="s">
        <v>258</v>
      </c>
      <c r="AN1" s="126" t="s">
        <v>270</v>
      </c>
      <c r="AO1" s="55" t="s">
        <v>271</v>
      </c>
      <c r="AP1" s="55" t="s">
        <v>275</v>
      </c>
      <c r="AQ1" s="55" t="s">
        <v>494</v>
      </c>
      <c r="AR1" s="55" t="s">
        <v>181</v>
      </c>
      <c r="AS1" s="55" t="s">
        <v>601</v>
      </c>
      <c r="AT1" s="55" t="s">
        <v>1019</v>
      </c>
      <c r="AU1" s="55" t="s">
        <v>602</v>
      </c>
      <c r="AV1" s="55" t="s">
        <v>981</v>
      </c>
      <c r="AW1" s="55" t="s">
        <v>603</v>
      </c>
      <c r="AX1" s="126" t="s">
        <v>182</v>
      </c>
      <c r="AY1" s="126" t="s">
        <v>184</v>
      </c>
      <c r="AZ1" s="126" t="s">
        <v>23</v>
      </c>
      <c r="BA1" s="126" t="s">
        <v>185</v>
      </c>
      <c r="BB1" s="55" t="s">
        <v>604</v>
      </c>
      <c r="BC1" s="126" t="s">
        <v>186</v>
      </c>
      <c r="BD1" s="55" t="s">
        <v>989</v>
      </c>
      <c r="BE1" s="55" t="s">
        <v>990</v>
      </c>
      <c r="BF1" s="55" t="s">
        <v>991</v>
      </c>
      <c r="BG1" s="55" t="s">
        <v>992</v>
      </c>
      <c r="BH1" s="126" t="s">
        <v>187</v>
      </c>
      <c r="BI1" s="126" t="s">
        <v>188</v>
      </c>
      <c r="BJ1" s="55" t="s">
        <v>493</v>
      </c>
      <c r="BK1" s="126" t="s">
        <v>189</v>
      </c>
      <c r="BL1" s="126" t="s">
        <v>190</v>
      </c>
      <c r="BM1" s="126" t="s">
        <v>191</v>
      </c>
      <c r="BN1" s="126" t="s">
        <v>192</v>
      </c>
      <c r="BO1" s="55" t="s">
        <v>193</v>
      </c>
      <c r="BP1" s="55" t="s">
        <v>194</v>
      </c>
      <c r="BQ1" s="55" t="s">
        <v>195</v>
      </c>
      <c r="BR1" s="55" t="s">
        <v>196</v>
      </c>
      <c r="BS1" s="55" t="s">
        <v>197</v>
      </c>
      <c r="BT1" s="55" t="s">
        <v>198</v>
      </c>
      <c r="BU1" s="55" t="s">
        <v>492</v>
      </c>
      <c r="BV1" s="55" t="s">
        <v>199</v>
      </c>
      <c r="BW1" s="55" t="s">
        <v>200</v>
      </c>
      <c r="BX1" s="55" t="s">
        <v>201</v>
      </c>
      <c r="BY1" s="126" t="s">
        <v>202</v>
      </c>
      <c r="BZ1" s="55" t="s">
        <v>203</v>
      </c>
      <c r="CA1" s="126" t="s">
        <v>204</v>
      </c>
      <c r="CB1" s="126" t="s">
        <v>205</v>
      </c>
      <c r="CC1" s="126" t="s">
        <v>206</v>
      </c>
      <c r="CE1" s="95" t="s">
        <v>1802</v>
      </c>
      <c r="CF1" s="95" t="s">
        <v>1803</v>
      </c>
      <c r="CG1" s="95" t="s">
        <v>1804</v>
      </c>
      <c r="CH1" s="95" t="s">
        <v>1805</v>
      </c>
      <c r="CI1" s="95" t="s">
        <v>1806</v>
      </c>
      <c r="CJ1" s="95" t="s">
        <v>1816</v>
      </c>
      <c r="CK1" s="95" t="s">
        <v>1807</v>
      </c>
      <c r="CL1" s="95" t="s">
        <v>1809</v>
      </c>
      <c r="CM1" s="95" t="s">
        <v>1810</v>
      </c>
      <c r="CN1" s="95" t="s">
        <v>1805</v>
      </c>
      <c r="CO1" s="95" t="s">
        <v>1808</v>
      </c>
      <c r="CP1" t="s">
        <v>1811</v>
      </c>
      <c r="CQ1" s="95" t="s">
        <v>1812</v>
      </c>
      <c r="CR1" s="95" t="s">
        <v>1463</v>
      </c>
      <c r="CS1" s="95" t="s">
        <v>1813</v>
      </c>
      <c r="CT1" s="95" t="s">
        <v>1814</v>
      </c>
      <c r="CU1" s="95" t="s">
        <v>1815</v>
      </c>
      <c r="CV1" s="95" t="s">
        <v>1817</v>
      </c>
      <c r="CW1" s="95" t="s">
        <v>1818</v>
      </c>
      <c r="CX1" s="95" t="s">
        <v>1819</v>
      </c>
      <c r="CY1" s="95" t="s">
        <v>1820</v>
      </c>
      <c r="CZ1" s="95" t="s">
        <v>1437</v>
      </c>
      <c r="DA1" s="95" t="s">
        <v>1821</v>
      </c>
      <c r="DB1" s="95" t="s">
        <v>1822</v>
      </c>
      <c r="DC1" s="95" t="s">
        <v>1823</v>
      </c>
      <c r="DD1" s="95" t="s">
        <v>1824</v>
      </c>
      <c r="DE1" s="95" t="s">
        <v>1825</v>
      </c>
      <c r="DF1" s="95" t="s">
        <v>1833</v>
      </c>
      <c r="DG1" s="95" t="s">
        <v>1834</v>
      </c>
      <c r="DH1" s="95" t="s">
        <v>1802</v>
      </c>
      <c r="DI1" s="95" t="s">
        <v>1835</v>
      </c>
      <c r="DJ1" s="95" t="s">
        <v>1836</v>
      </c>
      <c r="DK1" s="95" t="s">
        <v>1837</v>
      </c>
      <c r="DL1" s="95" t="s">
        <v>1838</v>
      </c>
      <c r="DM1" t="s">
        <v>1839</v>
      </c>
      <c r="DN1" t="s">
        <v>1840</v>
      </c>
      <c r="DO1" s="95" t="s">
        <v>1841</v>
      </c>
      <c r="DP1" s="95" t="s">
        <v>1842</v>
      </c>
    </row>
    <row r="2" spans="1:120">
      <c r="A2" s="16" t="s">
        <v>847</v>
      </c>
      <c r="B2" s="16" t="s">
        <v>24</v>
      </c>
      <c r="C2" s="121" t="s">
        <v>1800</v>
      </c>
      <c r="D2" s="16" t="s">
        <v>25</v>
      </c>
      <c r="E2" s="16" t="s">
        <v>1394</v>
      </c>
      <c r="F2" s="16" t="s">
        <v>97</v>
      </c>
      <c r="G2" s="16" t="s">
        <v>595</v>
      </c>
      <c r="H2" s="27">
        <v>118</v>
      </c>
      <c r="I2" s="16" t="s">
        <v>1148</v>
      </c>
      <c r="J2" s="16"/>
      <c r="K2" s="16"/>
      <c r="L2" s="16" t="s">
        <v>538</v>
      </c>
      <c r="M2" s="16" t="s">
        <v>1713</v>
      </c>
      <c r="N2" s="16">
        <v>33</v>
      </c>
      <c r="O2" s="95">
        <v>12.09458103208981</v>
      </c>
      <c r="P2" s="95">
        <v>1.233753655527873</v>
      </c>
      <c r="Q2" s="95">
        <v>0</v>
      </c>
      <c r="R2" s="95">
        <v>13.270473321019551</v>
      </c>
      <c r="S2" s="95">
        <v>29.371487366105704</v>
      </c>
      <c r="T2" s="95">
        <v>23.175343818247864</v>
      </c>
      <c r="U2" s="95">
        <v>0</v>
      </c>
      <c r="V2" s="95">
        <v>7.4392296818692794</v>
      </c>
      <c r="W2" s="95">
        <v>9.8734511530002944</v>
      </c>
      <c r="X2" s="95">
        <v>2.8905796689775589</v>
      </c>
      <c r="Y2" s="95">
        <v>0.84085631136960193</v>
      </c>
      <c r="Z2" s="95">
        <v>100.18975600820754</v>
      </c>
      <c r="AA2" s="18"/>
      <c r="AB2" s="18"/>
      <c r="AC2" s="18"/>
      <c r="AD2" s="18"/>
      <c r="AE2" s="127"/>
      <c r="AF2" s="127"/>
      <c r="AG2" s="18"/>
      <c r="AH2" s="18"/>
      <c r="AI2" s="18"/>
      <c r="AJ2" s="18"/>
      <c r="AK2" s="134"/>
      <c r="AL2" s="18"/>
      <c r="AM2" s="134"/>
      <c r="AN2" s="127"/>
      <c r="AO2" s="18"/>
      <c r="AP2" s="18"/>
      <c r="AQ2" s="18"/>
      <c r="AR2" s="18"/>
      <c r="AS2" s="18"/>
      <c r="AT2" s="18"/>
      <c r="AU2" s="18"/>
      <c r="AV2" s="18"/>
      <c r="AW2" s="18"/>
      <c r="AX2" s="127"/>
      <c r="AY2" s="127"/>
      <c r="AZ2" s="127"/>
      <c r="BA2" s="127"/>
      <c r="BB2" s="18"/>
      <c r="BC2" s="127"/>
      <c r="BD2" s="18"/>
      <c r="BE2" s="18"/>
      <c r="BF2" s="18"/>
      <c r="BG2" s="18"/>
      <c r="BH2" s="127"/>
      <c r="BI2" s="127"/>
      <c r="BJ2" s="18"/>
      <c r="BK2" s="127"/>
      <c r="BL2" s="127"/>
      <c r="BM2" s="127"/>
      <c r="BN2" s="127"/>
      <c r="BO2" s="18"/>
      <c r="BP2" s="18"/>
      <c r="BQ2" s="18"/>
      <c r="BR2" s="18"/>
      <c r="BS2" s="18"/>
      <c r="BT2" s="18"/>
      <c r="BU2" s="18"/>
      <c r="BV2" s="18"/>
      <c r="BW2" s="18"/>
      <c r="BX2" s="18"/>
      <c r="BY2" s="127"/>
      <c r="BZ2" s="18"/>
      <c r="CA2" s="127"/>
      <c r="CB2" s="127"/>
      <c r="CC2" s="127"/>
      <c r="CE2" t="e">
        <f t="shared" ref="CE2:CE65" si="0">BI2/AY2</f>
        <v>#DIV/0!</v>
      </c>
      <c r="CF2" t="e">
        <f t="shared" ref="CF2:CF65" si="1">BI2/BK2</f>
        <v>#DIV/0!</v>
      </c>
      <c r="CG2" t="e">
        <f t="shared" ref="CG2:CG65" si="2">AY2/BK2</f>
        <v>#DIV/0!</v>
      </c>
      <c r="CH2" t="e">
        <f t="shared" ref="CH2:CH65" si="3">BK2/BL2</f>
        <v>#DIV/0!</v>
      </c>
      <c r="CI2" t="e">
        <f t="shared" ref="CI2:CI65" si="4">AE2/BK2</f>
        <v>#DIV/0!</v>
      </c>
      <c r="CJ2" t="e">
        <f t="shared" ref="CJ2:CJ65" si="5">AE2/AF2</f>
        <v>#DIV/0!</v>
      </c>
      <c r="CK2" t="e">
        <f t="shared" ref="CK2:CK65" si="6">AE2/BL2</f>
        <v>#DIV/0!</v>
      </c>
      <c r="CL2" t="e">
        <f t="shared" ref="CL2:CL65" si="7">AY2/BL2</f>
        <v>#DIV/0!</v>
      </c>
      <c r="CM2" t="e">
        <f t="shared" ref="CM2:CM65" si="8">BI2/BL2</f>
        <v>#DIV/0!</v>
      </c>
      <c r="CN2" t="e">
        <f t="shared" ref="CN2:CN65" si="9">BI2/BL2</f>
        <v>#DIV/0!</v>
      </c>
      <c r="CO2" t="e">
        <f t="shared" ref="CO2:CO65" si="10">BY2/BL2</f>
        <v>#DIV/0!</v>
      </c>
      <c r="CP2" t="e">
        <f t="shared" ref="CP2:CP65" si="11">CA2/CC2</f>
        <v>#DIV/0!</v>
      </c>
      <c r="CQ2" t="e">
        <f t="shared" ref="CQ2:CQ65" si="12">CA2/BK2</f>
        <v>#DIV/0!</v>
      </c>
      <c r="CR2" t="e">
        <f t="shared" ref="CR2:CR65" si="13">BC2/BK2</f>
        <v>#DIV/0!</v>
      </c>
      <c r="CS2" t="e">
        <f t="shared" ref="CS2:CS65" si="14">BA2/BK2</f>
        <v>#DIV/0!</v>
      </c>
      <c r="CT2" t="e">
        <f t="shared" ref="CT2:CT65" si="15">AX2/AY2</f>
        <v>#DIV/0!</v>
      </c>
      <c r="CU2" t="e">
        <f t="shared" ref="CU2:CU65" si="16">AZ2/BK2</f>
        <v>#DIV/0!</v>
      </c>
      <c r="CV2" t="e">
        <f t="shared" ref="CV2:CV65" si="17">AE2/AM2</f>
        <v>#DIV/0!</v>
      </c>
      <c r="CW2" t="e">
        <f t="shared" ref="CW2:CW65" si="18">AN2/BK2</f>
        <v>#DIV/0!</v>
      </c>
      <c r="CX2" t="e">
        <f t="shared" ref="CX2:CX65" si="19">BA2/BC2</f>
        <v>#DIV/0!</v>
      </c>
      <c r="CY2" t="e">
        <f t="shared" ref="CY2:CY65" si="20">BY2/BK2</f>
        <v>#DIV/0!</v>
      </c>
      <c r="CZ2" t="e">
        <f t="shared" ref="CZ2:CZ65" si="21">CB2/CC2</f>
        <v>#DIV/0!</v>
      </c>
      <c r="DA2" t="e">
        <f t="shared" ref="DA2:DA65" si="22">BA2/AX2</f>
        <v>#DIV/0!</v>
      </c>
      <c r="DB2" t="e">
        <f t="shared" ref="DB2:DB65" si="23">BA2/AY2</f>
        <v>#DIV/0!</v>
      </c>
      <c r="DC2" t="e">
        <f t="shared" ref="DC2:DC65" si="24">BA2/AZ2</f>
        <v>#DIV/0!</v>
      </c>
      <c r="DD2" t="e">
        <f t="shared" ref="DD2:DD65" si="25">BA2/BL2</f>
        <v>#DIV/0!</v>
      </c>
      <c r="DE2" t="e">
        <f t="shared" ref="DE2:DE65" si="26">AF2/BK2</f>
        <v>#DIV/0!</v>
      </c>
      <c r="DF2" t="e">
        <f>AF2/AY2</f>
        <v>#DIV/0!</v>
      </c>
      <c r="DG2" t="e">
        <f>AE2/AY2</f>
        <v>#DIV/0!</v>
      </c>
      <c r="DH2" t="e">
        <f>BI2/AY2</f>
        <v>#DIV/0!</v>
      </c>
      <c r="DI2" t="e">
        <f>BC2/AY2</f>
        <v>#DIV/0!</v>
      </c>
      <c r="DJ2" t="e">
        <f>CC2/AY2</f>
        <v>#DIV/0!</v>
      </c>
      <c r="DK2" t="e">
        <f>S2/BK2</f>
        <v>#DIV/0!</v>
      </c>
      <c r="DL2" t="e">
        <f>Q2/BK2</f>
        <v>#DIV/0!</v>
      </c>
      <c r="DM2" t="e">
        <f>S2/AY2</f>
        <v>#DIV/0!</v>
      </c>
      <c r="DN2" t="e">
        <f>S2/BI2</f>
        <v>#DIV/0!</v>
      </c>
      <c r="DO2" t="e">
        <f>Q2/AY2</f>
        <v>#DIV/0!</v>
      </c>
      <c r="DP2" t="e">
        <f>Q2/BI2</f>
        <v>#DIV/0!</v>
      </c>
    </row>
    <row r="3" spans="1:120">
      <c r="A3" s="16" t="s">
        <v>771</v>
      </c>
      <c r="B3" s="16" t="s">
        <v>24</v>
      </c>
      <c r="C3" s="121" t="s">
        <v>1800</v>
      </c>
      <c r="D3" s="16" t="s">
        <v>25</v>
      </c>
      <c r="E3" s="16" t="s">
        <v>1394</v>
      </c>
      <c r="F3" s="16" t="s">
        <v>97</v>
      </c>
      <c r="G3" s="16" t="s">
        <v>595</v>
      </c>
      <c r="H3" s="27">
        <v>118</v>
      </c>
      <c r="I3" s="16" t="s">
        <v>735</v>
      </c>
      <c r="J3" s="16" t="s">
        <v>635</v>
      </c>
      <c r="K3" s="16" t="s">
        <v>760</v>
      </c>
      <c r="L3" s="16" t="s">
        <v>709</v>
      </c>
      <c r="M3" s="16" t="s">
        <v>753</v>
      </c>
      <c r="N3" s="16">
        <v>34</v>
      </c>
      <c r="O3" s="95">
        <v>7.6002036725948905</v>
      </c>
      <c r="P3" s="95">
        <v>1.0000267990256435</v>
      </c>
      <c r="Q3" s="95">
        <v>1.0000267990256435</v>
      </c>
      <c r="R3" s="95">
        <v>6.7001795534718118</v>
      </c>
      <c r="S3" s="95">
        <v>24.100645856518014</v>
      </c>
      <c r="T3" s="95">
        <v>20.200541340318001</v>
      </c>
      <c r="U3" s="95">
        <v>4.4001179157128325</v>
      </c>
      <c r="V3" s="95">
        <v>3.5000937965897525</v>
      </c>
      <c r="W3" s="95">
        <v>26.000696774666736</v>
      </c>
      <c r="X3" s="95">
        <v>2.4000643176615446</v>
      </c>
      <c r="Y3" s="95">
        <v>4.000107196102574</v>
      </c>
      <c r="Z3" s="95">
        <v>100.90270402168744</v>
      </c>
      <c r="AA3" s="18"/>
      <c r="AB3" s="18"/>
      <c r="AC3" s="18"/>
      <c r="AD3" s="18">
        <v>0</v>
      </c>
      <c r="AE3" s="127">
        <v>0</v>
      </c>
      <c r="AF3" s="127">
        <v>0</v>
      </c>
      <c r="AG3" s="18">
        <v>0</v>
      </c>
      <c r="AH3" s="18">
        <v>264</v>
      </c>
      <c r="AI3" s="18"/>
      <c r="AJ3" s="18">
        <v>3</v>
      </c>
      <c r="AK3" s="134">
        <v>0</v>
      </c>
      <c r="AL3" s="18">
        <v>0</v>
      </c>
      <c r="AM3" s="134">
        <v>0</v>
      </c>
      <c r="AN3" s="127">
        <v>0</v>
      </c>
      <c r="AO3" s="18"/>
      <c r="AP3" s="18"/>
      <c r="AQ3" s="18"/>
      <c r="AR3" s="18"/>
      <c r="AS3" s="18"/>
      <c r="AT3" s="18"/>
      <c r="AU3" s="18"/>
      <c r="AV3" s="18"/>
      <c r="AW3" s="18"/>
      <c r="AX3" s="127">
        <v>0.49</v>
      </c>
      <c r="AY3" s="127">
        <v>2.8</v>
      </c>
      <c r="AZ3" s="127">
        <v>3.6999999999999998E-2</v>
      </c>
      <c r="BA3" s="127">
        <v>0.23</v>
      </c>
      <c r="BB3" s="18"/>
      <c r="BC3" s="127">
        <v>0.14000000000000001</v>
      </c>
      <c r="BD3" s="18"/>
      <c r="BE3" s="18"/>
      <c r="BF3" s="18"/>
      <c r="BG3" s="18"/>
      <c r="BH3" s="127">
        <v>4.9000000000000002E-2</v>
      </c>
      <c r="BI3" s="127">
        <v>43</v>
      </c>
      <c r="BJ3" s="18">
        <v>0</v>
      </c>
      <c r="BK3" s="127">
        <v>0.31</v>
      </c>
      <c r="BL3" s="127">
        <v>0.76</v>
      </c>
      <c r="BM3" s="127">
        <v>0.17</v>
      </c>
      <c r="BN3" s="127">
        <v>1.1000000000000001</v>
      </c>
      <c r="BO3" s="18">
        <v>0.09</v>
      </c>
      <c r="BP3" s="18">
        <v>1.0999999999999999E-2</v>
      </c>
      <c r="BQ3" s="18">
        <v>2.5999999999999999E-2</v>
      </c>
      <c r="BR3" s="18">
        <v>1.7000000000000001E-2</v>
      </c>
      <c r="BS3" s="18">
        <v>4.0000000000000001E-3</v>
      </c>
      <c r="BT3" s="18">
        <v>1.9E-2</v>
      </c>
      <c r="BU3" s="18"/>
      <c r="BV3" s="18">
        <v>0.01</v>
      </c>
      <c r="BW3" s="18">
        <v>3.0000000000000001E-3</v>
      </c>
      <c r="BX3" s="18">
        <v>1.0999999999999999E-2</v>
      </c>
      <c r="BY3" s="127">
        <v>6.0000000000000001E-3</v>
      </c>
      <c r="BZ3" s="18"/>
      <c r="CA3" s="127"/>
      <c r="CB3" s="127">
        <v>6.2E-2</v>
      </c>
      <c r="CC3" s="127">
        <v>3.6999999999999998E-2</v>
      </c>
      <c r="CE3">
        <f t="shared" si="0"/>
        <v>15.357142857142858</v>
      </c>
      <c r="CF3">
        <f t="shared" si="1"/>
        <v>138.70967741935485</v>
      </c>
      <c r="CG3">
        <f t="shared" si="2"/>
        <v>9.0322580645161281</v>
      </c>
      <c r="CH3">
        <f t="shared" si="3"/>
        <v>0.40789473684210525</v>
      </c>
      <c r="CI3">
        <f t="shared" si="4"/>
        <v>0</v>
      </c>
      <c r="CJ3" t="e">
        <f t="shared" si="5"/>
        <v>#DIV/0!</v>
      </c>
      <c r="CK3">
        <f t="shared" si="6"/>
        <v>0</v>
      </c>
      <c r="CL3">
        <f t="shared" si="7"/>
        <v>3.6842105263157894</v>
      </c>
      <c r="CM3">
        <f t="shared" si="8"/>
        <v>56.578947368421055</v>
      </c>
      <c r="CN3">
        <f t="shared" si="9"/>
        <v>56.578947368421055</v>
      </c>
      <c r="CO3">
        <f t="shared" si="10"/>
        <v>7.8947368421052634E-3</v>
      </c>
      <c r="CP3">
        <f t="shared" si="11"/>
        <v>0</v>
      </c>
      <c r="CQ3">
        <f t="shared" si="12"/>
        <v>0</v>
      </c>
      <c r="CR3">
        <f t="shared" si="13"/>
        <v>0.45161290322580649</v>
      </c>
      <c r="CS3">
        <f t="shared" si="14"/>
        <v>0.74193548387096775</v>
      </c>
      <c r="CT3">
        <f t="shared" si="15"/>
        <v>0.17500000000000002</v>
      </c>
      <c r="CU3">
        <f t="shared" si="16"/>
        <v>0.11935483870967742</v>
      </c>
      <c r="CV3" t="e">
        <f t="shared" si="17"/>
        <v>#DIV/0!</v>
      </c>
      <c r="CW3">
        <f t="shared" si="18"/>
        <v>0</v>
      </c>
      <c r="CX3">
        <f t="shared" si="19"/>
        <v>1.6428571428571428</v>
      </c>
      <c r="CY3">
        <f t="shared" si="20"/>
        <v>1.935483870967742E-2</v>
      </c>
      <c r="CZ3">
        <f t="shared" si="21"/>
        <v>1.6756756756756757</v>
      </c>
      <c r="DA3">
        <f t="shared" si="22"/>
        <v>0.46938775510204084</v>
      </c>
      <c r="DB3">
        <f t="shared" si="23"/>
        <v>8.2142857142857156E-2</v>
      </c>
      <c r="DC3">
        <f t="shared" si="24"/>
        <v>6.2162162162162167</v>
      </c>
      <c r="DD3">
        <f t="shared" si="25"/>
        <v>0.30263157894736842</v>
      </c>
      <c r="DE3">
        <f t="shared" si="26"/>
        <v>0</v>
      </c>
      <c r="DF3">
        <f t="shared" ref="DF3:DF66" si="27">AF3/AY3</f>
        <v>0</v>
      </c>
      <c r="DG3">
        <f t="shared" ref="DG3:DG66" si="28">AE3/AY3</f>
        <v>0</v>
      </c>
      <c r="DH3">
        <f t="shared" ref="DH3:DH66" si="29">BI3/AY3</f>
        <v>15.357142857142858</v>
      </c>
      <c r="DI3">
        <f t="shared" ref="DI3:DI66" si="30">BC3/AY3</f>
        <v>5.000000000000001E-2</v>
      </c>
      <c r="DJ3">
        <f t="shared" ref="DJ3:DJ66" si="31">CC3/AY3</f>
        <v>1.3214285714285715E-2</v>
      </c>
      <c r="DK3">
        <f t="shared" ref="DK3:DK66" si="32">S3/BK3</f>
        <v>77.744018891993591</v>
      </c>
      <c r="DL3">
        <f t="shared" ref="DL3:DL66" si="33">Q3/BK3</f>
        <v>3.2258929000827212</v>
      </c>
      <c r="DM3">
        <f t="shared" ref="DM3:DM66" si="34">S3/AY3</f>
        <v>8.6073735201850052</v>
      </c>
      <c r="DN3">
        <f t="shared" ref="DN3:DN66" si="35">S3/BI3</f>
        <v>0.56048013619809334</v>
      </c>
      <c r="DO3">
        <f t="shared" ref="DO3:DO66" si="36">Q3/AY3</f>
        <v>0.35715242822344412</v>
      </c>
      <c r="DP3">
        <f t="shared" ref="DP3:DP66" si="37">Q3/BI3</f>
        <v>2.3256437186642873E-2</v>
      </c>
    </row>
    <row r="4" spans="1:120">
      <c r="A4" s="16" t="s">
        <v>771</v>
      </c>
      <c r="B4" s="16" t="s">
        <v>24</v>
      </c>
      <c r="C4" s="121" t="s">
        <v>1800</v>
      </c>
      <c r="D4" s="16" t="s">
        <v>25</v>
      </c>
      <c r="E4" s="16" t="s">
        <v>1394</v>
      </c>
      <c r="F4" s="16" t="s">
        <v>97</v>
      </c>
      <c r="G4" s="16" t="s">
        <v>595</v>
      </c>
      <c r="H4" s="27">
        <v>118</v>
      </c>
      <c r="I4" s="16" t="s">
        <v>735</v>
      </c>
      <c r="J4" s="16" t="s">
        <v>635</v>
      </c>
      <c r="K4" s="16" t="s">
        <v>761</v>
      </c>
      <c r="L4" s="16" t="s">
        <v>763</v>
      </c>
      <c r="M4" s="16" t="s">
        <v>757</v>
      </c>
      <c r="N4" s="16">
        <v>20</v>
      </c>
      <c r="O4" s="95">
        <v>5.0976129654379045</v>
      </c>
      <c r="P4" s="95">
        <v>1.1994383448089188</v>
      </c>
      <c r="Q4" s="95">
        <v>1.3993447356104054</v>
      </c>
      <c r="R4" s="95">
        <v>5.7972853332431082</v>
      </c>
      <c r="S4" s="95">
        <v>18.291434758336013</v>
      </c>
      <c r="T4" s="95">
        <v>12.494149425092905</v>
      </c>
      <c r="U4" s="95">
        <v>14.293306942306284</v>
      </c>
      <c r="V4" s="95">
        <v>1.2993915402096621</v>
      </c>
      <c r="W4" s="95">
        <v>29.786052229421482</v>
      </c>
      <c r="X4" s="95">
        <v>0.89957875860668912</v>
      </c>
      <c r="Y4" s="95">
        <v>12.194289838890676</v>
      </c>
      <c r="Z4" s="95">
        <v>102.75188487196405</v>
      </c>
      <c r="AA4" s="18"/>
      <c r="AB4" s="18"/>
      <c r="AC4" s="18"/>
      <c r="AD4" s="18">
        <v>0</v>
      </c>
      <c r="AE4" s="127">
        <v>0</v>
      </c>
      <c r="AF4" s="127">
        <v>0</v>
      </c>
      <c r="AG4" s="18">
        <v>0</v>
      </c>
      <c r="AH4" s="18">
        <v>495</v>
      </c>
      <c r="AI4" s="18"/>
      <c r="AJ4" s="18">
        <v>0.26</v>
      </c>
      <c r="AK4" s="134">
        <v>0</v>
      </c>
      <c r="AL4" s="18">
        <v>0</v>
      </c>
      <c r="AM4" s="134">
        <v>0</v>
      </c>
      <c r="AN4" s="127">
        <v>0</v>
      </c>
      <c r="AO4" s="18"/>
      <c r="AP4" s="18"/>
      <c r="AQ4" s="18"/>
      <c r="AR4" s="18"/>
      <c r="AS4" s="18"/>
      <c r="AT4" s="18"/>
      <c r="AU4" s="18"/>
      <c r="AV4" s="18"/>
      <c r="AW4" s="18"/>
      <c r="AX4" s="127">
        <v>1</v>
      </c>
      <c r="AY4" s="127">
        <v>43</v>
      </c>
      <c r="AZ4" s="127">
        <v>4.0000000000000001E-3</v>
      </c>
      <c r="BA4" s="127">
        <v>0.11</v>
      </c>
      <c r="BB4" s="18"/>
      <c r="BC4" s="127">
        <v>0.26</v>
      </c>
      <c r="BD4" s="18"/>
      <c r="BE4" s="18"/>
      <c r="BF4" s="18"/>
      <c r="BG4" s="18"/>
      <c r="BH4" s="127">
        <v>0.13</v>
      </c>
      <c r="BI4" s="127">
        <v>263</v>
      </c>
      <c r="BJ4" s="18">
        <v>0</v>
      </c>
      <c r="BK4" s="127">
        <v>8.6999999999999993</v>
      </c>
      <c r="BL4" s="127">
        <v>15.2</v>
      </c>
      <c r="BM4" s="127">
        <v>1.7</v>
      </c>
      <c r="BN4" s="127">
        <v>4.2</v>
      </c>
      <c r="BO4" s="18">
        <v>0.1</v>
      </c>
      <c r="BP4" s="18">
        <v>1.4999999999999999E-2</v>
      </c>
      <c r="BQ4" s="18">
        <v>4.3999999999999997E-2</v>
      </c>
      <c r="BR4" s="18"/>
      <c r="BS4" s="18"/>
      <c r="BT4" s="18"/>
      <c r="BU4" s="18"/>
      <c r="BV4" s="18"/>
      <c r="BW4" s="18">
        <v>2E-3</v>
      </c>
      <c r="BX4" s="18"/>
      <c r="BY4" s="127">
        <v>3.0000000000000001E-3</v>
      </c>
      <c r="BZ4" s="18"/>
      <c r="CA4" s="127"/>
      <c r="CB4" s="127">
        <v>3.2</v>
      </c>
      <c r="CC4" s="127">
        <v>0.76</v>
      </c>
      <c r="CE4">
        <f t="shared" si="0"/>
        <v>6.1162790697674421</v>
      </c>
      <c r="CF4">
        <f t="shared" si="1"/>
        <v>30.229885057471268</v>
      </c>
      <c r="CG4">
        <f t="shared" si="2"/>
        <v>4.9425287356321848</v>
      </c>
      <c r="CH4">
        <f t="shared" si="3"/>
        <v>0.57236842105263153</v>
      </c>
      <c r="CI4">
        <f t="shared" si="4"/>
        <v>0</v>
      </c>
      <c r="CJ4" t="e">
        <f t="shared" si="5"/>
        <v>#DIV/0!</v>
      </c>
      <c r="CK4">
        <f t="shared" si="6"/>
        <v>0</v>
      </c>
      <c r="CL4">
        <f t="shared" si="7"/>
        <v>2.8289473684210527</v>
      </c>
      <c r="CM4">
        <f t="shared" si="8"/>
        <v>17.30263157894737</v>
      </c>
      <c r="CN4">
        <f t="shared" si="9"/>
        <v>17.30263157894737</v>
      </c>
      <c r="CO4">
        <f t="shared" si="10"/>
        <v>1.973684210526316E-4</v>
      </c>
      <c r="CP4">
        <f t="shared" si="11"/>
        <v>0</v>
      </c>
      <c r="CQ4">
        <f t="shared" si="12"/>
        <v>0</v>
      </c>
      <c r="CR4">
        <f t="shared" si="13"/>
        <v>2.9885057471264371E-2</v>
      </c>
      <c r="CS4">
        <f t="shared" si="14"/>
        <v>1.2643678160919542E-2</v>
      </c>
      <c r="CT4">
        <f t="shared" si="15"/>
        <v>2.3255813953488372E-2</v>
      </c>
      <c r="CU4">
        <f t="shared" si="16"/>
        <v>4.5977011494252877E-4</v>
      </c>
      <c r="CV4" t="e">
        <f t="shared" si="17"/>
        <v>#DIV/0!</v>
      </c>
      <c r="CW4">
        <f t="shared" si="18"/>
        <v>0</v>
      </c>
      <c r="CX4">
        <f t="shared" si="19"/>
        <v>0.42307692307692307</v>
      </c>
      <c r="CY4">
        <f t="shared" si="20"/>
        <v>3.4482758620689658E-4</v>
      </c>
      <c r="CZ4">
        <f t="shared" si="21"/>
        <v>4.2105263157894735</v>
      </c>
      <c r="DA4">
        <f t="shared" si="22"/>
        <v>0.11</v>
      </c>
      <c r="DB4">
        <f t="shared" si="23"/>
        <v>2.5581395348837212E-3</v>
      </c>
      <c r="DC4">
        <f t="shared" si="24"/>
        <v>27.5</v>
      </c>
      <c r="DD4">
        <f t="shared" si="25"/>
        <v>7.2368421052631578E-3</v>
      </c>
      <c r="DE4">
        <f t="shared" si="26"/>
        <v>0</v>
      </c>
      <c r="DF4">
        <f t="shared" si="27"/>
        <v>0</v>
      </c>
      <c r="DG4">
        <f t="shared" si="28"/>
        <v>0</v>
      </c>
      <c r="DH4">
        <f t="shared" si="29"/>
        <v>6.1162790697674421</v>
      </c>
      <c r="DI4">
        <f t="shared" si="30"/>
        <v>6.0465116279069774E-3</v>
      </c>
      <c r="DJ4">
        <f t="shared" si="31"/>
        <v>1.7674418604651163E-2</v>
      </c>
      <c r="DK4">
        <f t="shared" si="32"/>
        <v>2.1024637653259788</v>
      </c>
      <c r="DL4">
        <f t="shared" si="33"/>
        <v>0.16084422248395466</v>
      </c>
      <c r="DM4">
        <f t="shared" si="34"/>
        <v>0.42538220368223284</v>
      </c>
      <c r="DN4">
        <f t="shared" si="35"/>
        <v>6.9549181590631226E-2</v>
      </c>
      <c r="DO4">
        <f t="shared" si="36"/>
        <v>3.2542900828148966E-2</v>
      </c>
      <c r="DP4">
        <f t="shared" si="37"/>
        <v>5.3207024167696024E-3</v>
      </c>
    </row>
    <row r="5" spans="1:120">
      <c r="A5" s="16" t="s">
        <v>771</v>
      </c>
      <c r="B5" s="16" t="s">
        <v>24</v>
      </c>
      <c r="C5" s="121" t="s">
        <v>1800</v>
      </c>
      <c r="D5" s="16" t="s">
        <v>25</v>
      </c>
      <c r="E5" s="16" t="s">
        <v>1394</v>
      </c>
      <c r="F5" s="16" t="s">
        <v>97</v>
      </c>
      <c r="G5" s="16" t="s">
        <v>595</v>
      </c>
      <c r="H5" s="27">
        <v>118</v>
      </c>
      <c r="I5" s="16" t="s">
        <v>735</v>
      </c>
      <c r="J5" s="16" t="s">
        <v>635</v>
      </c>
      <c r="K5" s="16" t="s">
        <v>761</v>
      </c>
      <c r="L5" s="16" t="s">
        <v>763</v>
      </c>
      <c r="M5" s="16" t="s">
        <v>759</v>
      </c>
      <c r="N5" s="16">
        <v>33</v>
      </c>
      <c r="O5" s="95">
        <v>5.2934447891046057</v>
      </c>
      <c r="P5" s="95">
        <v>2.1972789690622894</v>
      </c>
      <c r="Q5" s="95">
        <v>1.1985158013067032</v>
      </c>
      <c r="R5" s="95">
        <v>7.5906000749424534</v>
      </c>
      <c r="S5" s="95">
        <v>21.872913373847332</v>
      </c>
      <c r="T5" s="95">
        <v>14.082560665353764</v>
      </c>
      <c r="U5" s="95">
        <v>11.585652745964799</v>
      </c>
      <c r="V5" s="95">
        <v>1.3982684348578205</v>
      </c>
      <c r="W5" s="95">
        <v>25.768089728094125</v>
      </c>
      <c r="X5" s="95">
        <v>1.8976500187356133</v>
      </c>
      <c r="Y5" s="95">
        <v>9.1886211433513907</v>
      </c>
      <c r="Z5" s="95">
        <v>102.07359574462092</v>
      </c>
      <c r="AA5" s="18"/>
      <c r="AB5" s="18"/>
      <c r="AC5" s="18"/>
      <c r="AD5" s="18">
        <v>0</v>
      </c>
      <c r="AE5" s="127">
        <v>0</v>
      </c>
      <c r="AF5" s="127">
        <v>0</v>
      </c>
      <c r="AG5" s="18">
        <v>0</v>
      </c>
      <c r="AH5" s="18">
        <v>378</v>
      </c>
      <c r="AI5" s="18"/>
      <c r="AJ5" s="18">
        <v>0.19</v>
      </c>
      <c r="AK5" s="134">
        <v>0</v>
      </c>
      <c r="AL5" s="18">
        <v>0</v>
      </c>
      <c r="AM5" s="134">
        <v>0</v>
      </c>
      <c r="AN5" s="127">
        <v>0</v>
      </c>
      <c r="AO5" s="18"/>
      <c r="AP5" s="18"/>
      <c r="AQ5" s="18"/>
      <c r="AR5" s="18"/>
      <c r="AS5" s="18"/>
      <c r="AT5" s="18"/>
      <c r="AU5" s="18"/>
      <c r="AV5" s="18"/>
      <c r="AW5" s="18"/>
      <c r="AX5" s="127">
        <v>0.74</v>
      </c>
      <c r="AY5" s="127">
        <v>16.5</v>
      </c>
      <c r="AZ5" s="127">
        <v>8.0000000000000002E-3</v>
      </c>
      <c r="BA5" s="127">
        <v>5.6000000000000001E-2</v>
      </c>
      <c r="BB5" s="18"/>
      <c r="BC5" s="127">
        <v>0.13300000000000001</v>
      </c>
      <c r="BD5" s="18"/>
      <c r="BE5" s="18"/>
      <c r="BF5" s="18"/>
      <c r="BG5" s="18"/>
      <c r="BH5" s="127">
        <v>0.09</v>
      </c>
      <c r="BI5" s="127">
        <v>128</v>
      </c>
      <c r="BJ5" s="18">
        <v>0</v>
      </c>
      <c r="BK5" s="127">
        <v>2.27</v>
      </c>
      <c r="BL5" s="127">
        <v>3.7</v>
      </c>
      <c r="BM5" s="127">
        <v>0.44</v>
      </c>
      <c r="BN5" s="127">
        <v>1.19</v>
      </c>
      <c r="BO5" s="18">
        <v>0.04</v>
      </c>
      <c r="BP5" s="18">
        <v>1.0999999999999999E-2</v>
      </c>
      <c r="BQ5" s="18">
        <v>2.5000000000000001E-2</v>
      </c>
      <c r="BR5" s="18">
        <v>1.0999999999999999E-2</v>
      </c>
      <c r="BS5" s="18">
        <v>3.0000000000000001E-3</v>
      </c>
      <c r="BT5" s="18"/>
      <c r="BU5" s="18"/>
      <c r="BV5" s="18"/>
      <c r="BW5" s="18">
        <v>5.0000000000000001E-3</v>
      </c>
      <c r="BX5" s="18">
        <v>8.9999999999999993E-3</v>
      </c>
      <c r="BY5" s="127">
        <v>8.0000000000000002E-3</v>
      </c>
      <c r="BZ5" s="18"/>
      <c r="CA5" s="127"/>
      <c r="CB5" s="127">
        <v>0.71</v>
      </c>
      <c r="CC5" s="127">
        <v>0.16</v>
      </c>
      <c r="CE5">
        <f t="shared" si="0"/>
        <v>7.7575757575757578</v>
      </c>
      <c r="CF5">
        <f t="shared" si="1"/>
        <v>56.387665198237883</v>
      </c>
      <c r="CG5">
        <f t="shared" si="2"/>
        <v>7.2687224669603525</v>
      </c>
      <c r="CH5">
        <f t="shared" si="3"/>
        <v>0.61351351351351346</v>
      </c>
      <c r="CI5">
        <f t="shared" si="4"/>
        <v>0</v>
      </c>
      <c r="CJ5" t="e">
        <f t="shared" si="5"/>
        <v>#DIV/0!</v>
      </c>
      <c r="CK5">
        <f t="shared" si="6"/>
        <v>0</v>
      </c>
      <c r="CL5">
        <f t="shared" si="7"/>
        <v>4.4594594594594597</v>
      </c>
      <c r="CM5">
        <f t="shared" si="8"/>
        <v>34.594594594594589</v>
      </c>
      <c r="CN5">
        <f t="shared" si="9"/>
        <v>34.594594594594589</v>
      </c>
      <c r="CO5">
        <f t="shared" si="10"/>
        <v>2.1621621621621622E-3</v>
      </c>
      <c r="CP5">
        <f t="shared" si="11"/>
        <v>0</v>
      </c>
      <c r="CQ5">
        <f t="shared" si="12"/>
        <v>0</v>
      </c>
      <c r="CR5">
        <f t="shared" si="13"/>
        <v>5.8590308370044059E-2</v>
      </c>
      <c r="CS5">
        <f t="shared" si="14"/>
        <v>2.4669603524229075E-2</v>
      </c>
      <c r="CT5">
        <f t="shared" si="15"/>
        <v>4.4848484848484846E-2</v>
      </c>
      <c r="CU5">
        <f t="shared" si="16"/>
        <v>3.524229074889868E-3</v>
      </c>
      <c r="CV5" t="e">
        <f t="shared" si="17"/>
        <v>#DIV/0!</v>
      </c>
      <c r="CW5">
        <f t="shared" si="18"/>
        <v>0</v>
      </c>
      <c r="CX5">
        <f t="shared" si="19"/>
        <v>0.42105263157894735</v>
      </c>
      <c r="CY5">
        <f t="shared" si="20"/>
        <v>3.524229074889868E-3</v>
      </c>
      <c r="CZ5">
        <f t="shared" si="21"/>
        <v>4.4375</v>
      </c>
      <c r="DA5">
        <f t="shared" si="22"/>
        <v>7.567567567567568E-2</v>
      </c>
      <c r="DB5">
        <f t="shared" si="23"/>
        <v>3.393939393939394E-3</v>
      </c>
      <c r="DC5">
        <f t="shared" si="24"/>
        <v>7</v>
      </c>
      <c r="DD5">
        <f t="shared" si="25"/>
        <v>1.5135135135135135E-2</v>
      </c>
      <c r="DE5">
        <f t="shared" si="26"/>
        <v>0</v>
      </c>
      <c r="DF5">
        <f t="shared" si="27"/>
        <v>0</v>
      </c>
      <c r="DG5">
        <f t="shared" si="28"/>
        <v>0</v>
      </c>
      <c r="DH5">
        <f t="shared" si="29"/>
        <v>7.7575757575757578</v>
      </c>
      <c r="DI5">
        <f t="shared" si="30"/>
        <v>8.0606060606060615E-3</v>
      </c>
      <c r="DJ5">
        <f t="shared" si="31"/>
        <v>9.696969696969697E-3</v>
      </c>
      <c r="DK5">
        <f t="shared" si="32"/>
        <v>9.6356446580825246</v>
      </c>
      <c r="DL5">
        <f t="shared" si="33"/>
        <v>0.52798052921000138</v>
      </c>
      <c r="DM5">
        <f t="shared" si="34"/>
        <v>1.3256311135665051</v>
      </c>
      <c r="DN5">
        <f t="shared" si="35"/>
        <v>0.17088213573318228</v>
      </c>
      <c r="DO5">
        <f t="shared" si="36"/>
        <v>7.2637321291315352E-2</v>
      </c>
      <c r="DP5">
        <f t="shared" si="37"/>
        <v>9.3634046977086188E-3</v>
      </c>
    </row>
    <row r="6" spans="1:120">
      <c r="A6" s="16" t="s">
        <v>847</v>
      </c>
      <c r="B6" s="16" t="s">
        <v>24</v>
      </c>
      <c r="C6" s="121" t="s">
        <v>1800</v>
      </c>
      <c r="D6" s="16" t="s">
        <v>25</v>
      </c>
      <c r="E6" s="16" t="s">
        <v>1394</v>
      </c>
      <c r="F6" s="16" t="s">
        <v>142</v>
      </c>
      <c r="G6" s="16" t="s">
        <v>595</v>
      </c>
      <c r="H6" s="27">
        <v>90</v>
      </c>
      <c r="I6" s="16" t="s">
        <v>1148</v>
      </c>
      <c r="J6" s="16"/>
      <c r="K6" s="16"/>
      <c r="L6" s="16" t="s">
        <v>160</v>
      </c>
      <c r="M6" s="16" t="s">
        <v>1714</v>
      </c>
      <c r="N6" s="16">
        <v>38</v>
      </c>
      <c r="O6" s="95">
        <v>4.8926720288707575</v>
      </c>
      <c r="P6" s="95">
        <v>0.78831524399742492</v>
      </c>
      <c r="Q6" s="95">
        <v>0</v>
      </c>
      <c r="R6" s="95">
        <v>10.401623654568233</v>
      </c>
      <c r="S6" s="95">
        <v>22.801800665983528</v>
      </c>
      <c r="T6" s="95">
        <v>23.852524713576777</v>
      </c>
      <c r="U6" s="95">
        <v>0</v>
      </c>
      <c r="V6" s="95">
        <v>7.2489070951835028</v>
      </c>
      <c r="W6" s="95">
        <v>23.78719472098031</v>
      </c>
      <c r="X6" s="95">
        <v>0.47690894595424316</v>
      </c>
      <c r="Y6" s="95">
        <v>7.4258424917989476</v>
      </c>
      <c r="Z6" s="95">
        <v>101.67578956091373</v>
      </c>
      <c r="AA6" s="18"/>
      <c r="AB6" s="18"/>
      <c r="AC6" s="18"/>
      <c r="AD6" s="18"/>
      <c r="AE6" s="127"/>
      <c r="AF6" s="127"/>
      <c r="AG6" s="18"/>
      <c r="AH6" s="18"/>
      <c r="AI6" s="18"/>
      <c r="AJ6" s="18"/>
      <c r="AK6" s="134"/>
      <c r="AL6" s="18"/>
      <c r="AM6" s="134"/>
      <c r="AN6" s="127"/>
      <c r="AO6" s="18"/>
      <c r="AP6" s="18"/>
      <c r="AQ6" s="18"/>
      <c r="AR6" s="18"/>
      <c r="AS6" s="18"/>
      <c r="AT6" s="18"/>
      <c r="AU6" s="18"/>
      <c r="AV6" s="18"/>
      <c r="AW6" s="18"/>
      <c r="AX6" s="127"/>
      <c r="AY6" s="127"/>
      <c r="AZ6" s="127"/>
      <c r="BA6" s="127"/>
      <c r="BB6" s="18"/>
      <c r="BC6" s="127"/>
      <c r="BD6" s="18"/>
      <c r="BE6" s="18"/>
      <c r="BF6" s="18"/>
      <c r="BG6" s="18"/>
      <c r="BH6" s="127"/>
      <c r="BI6" s="127"/>
      <c r="BJ6" s="18"/>
      <c r="BK6" s="127"/>
      <c r="BL6" s="127"/>
      <c r="BM6" s="127"/>
      <c r="BN6" s="127"/>
      <c r="BO6" s="18"/>
      <c r="BP6" s="18"/>
      <c r="BQ6" s="18"/>
      <c r="BR6" s="18"/>
      <c r="BS6" s="18"/>
      <c r="BT6" s="18"/>
      <c r="BU6" s="18"/>
      <c r="BV6" s="18"/>
      <c r="BW6" s="18"/>
      <c r="BX6" s="18"/>
      <c r="BY6" s="127"/>
      <c r="BZ6" s="18"/>
      <c r="CA6" s="127"/>
      <c r="CB6" s="127"/>
      <c r="CC6" s="127"/>
      <c r="CE6" t="e">
        <f t="shared" si="0"/>
        <v>#DIV/0!</v>
      </c>
      <c r="CF6" t="e">
        <f t="shared" si="1"/>
        <v>#DIV/0!</v>
      </c>
      <c r="CG6" t="e">
        <f t="shared" si="2"/>
        <v>#DIV/0!</v>
      </c>
      <c r="CH6" t="e">
        <f t="shared" si="3"/>
        <v>#DIV/0!</v>
      </c>
      <c r="CI6" t="e">
        <f t="shared" si="4"/>
        <v>#DIV/0!</v>
      </c>
      <c r="CJ6" t="e">
        <f t="shared" si="5"/>
        <v>#DIV/0!</v>
      </c>
      <c r="CK6" t="e">
        <f t="shared" si="6"/>
        <v>#DIV/0!</v>
      </c>
      <c r="CL6" t="e">
        <f t="shared" si="7"/>
        <v>#DIV/0!</v>
      </c>
      <c r="CM6" t="e">
        <f t="shared" si="8"/>
        <v>#DIV/0!</v>
      </c>
      <c r="CN6" t="e">
        <f t="shared" si="9"/>
        <v>#DIV/0!</v>
      </c>
      <c r="CO6" t="e">
        <f t="shared" si="10"/>
        <v>#DIV/0!</v>
      </c>
      <c r="CP6" t="e">
        <f t="shared" si="11"/>
        <v>#DIV/0!</v>
      </c>
      <c r="CQ6" t="e">
        <f t="shared" si="12"/>
        <v>#DIV/0!</v>
      </c>
      <c r="CR6" t="e">
        <f t="shared" si="13"/>
        <v>#DIV/0!</v>
      </c>
      <c r="CS6" t="e">
        <f t="shared" si="14"/>
        <v>#DIV/0!</v>
      </c>
      <c r="CT6" t="e">
        <f t="shared" si="15"/>
        <v>#DIV/0!</v>
      </c>
      <c r="CU6" t="e">
        <f t="shared" si="16"/>
        <v>#DIV/0!</v>
      </c>
      <c r="CV6" t="e">
        <f t="shared" si="17"/>
        <v>#DIV/0!</v>
      </c>
      <c r="CW6" t="e">
        <f t="shared" si="18"/>
        <v>#DIV/0!</v>
      </c>
      <c r="CX6" t="e">
        <f t="shared" si="19"/>
        <v>#DIV/0!</v>
      </c>
      <c r="CY6" t="e">
        <f t="shared" si="20"/>
        <v>#DIV/0!</v>
      </c>
      <c r="CZ6" t="e">
        <f t="shared" si="21"/>
        <v>#DIV/0!</v>
      </c>
      <c r="DA6" t="e">
        <f t="shared" si="22"/>
        <v>#DIV/0!</v>
      </c>
      <c r="DB6" t="e">
        <f t="shared" si="23"/>
        <v>#DIV/0!</v>
      </c>
      <c r="DC6" t="e">
        <f t="shared" si="24"/>
        <v>#DIV/0!</v>
      </c>
      <c r="DD6" t="e">
        <f t="shared" si="25"/>
        <v>#DIV/0!</v>
      </c>
      <c r="DE6" t="e">
        <f t="shared" si="26"/>
        <v>#DIV/0!</v>
      </c>
      <c r="DF6" t="e">
        <f t="shared" si="27"/>
        <v>#DIV/0!</v>
      </c>
      <c r="DG6" t="e">
        <f t="shared" si="28"/>
        <v>#DIV/0!</v>
      </c>
      <c r="DH6" t="e">
        <f t="shared" si="29"/>
        <v>#DIV/0!</v>
      </c>
      <c r="DI6" t="e">
        <f t="shared" si="30"/>
        <v>#DIV/0!</v>
      </c>
      <c r="DJ6" t="e">
        <f t="shared" si="31"/>
        <v>#DIV/0!</v>
      </c>
      <c r="DK6" t="e">
        <f t="shared" si="32"/>
        <v>#DIV/0!</v>
      </c>
      <c r="DL6" t="e">
        <f t="shared" si="33"/>
        <v>#DIV/0!</v>
      </c>
      <c r="DM6" t="e">
        <f t="shared" si="34"/>
        <v>#DIV/0!</v>
      </c>
      <c r="DN6" t="e">
        <f t="shared" si="35"/>
        <v>#DIV/0!</v>
      </c>
      <c r="DO6" t="e">
        <f t="shared" si="36"/>
        <v>#DIV/0!</v>
      </c>
      <c r="DP6" t="e">
        <f t="shared" si="37"/>
        <v>#DIV/0!</v>
      </c>
    </row>
    <row r="7" spans="1:120">
      <c r="A7" s="16" t="s">
        <v>641</v>
      </c>
      <c r="B7" s="16" t="s">
        <v>24</v>
      </c>
      <c r="C7" s="121" t="s">
        <v>1800</v>
      </c>
      <c r="D7" s="16" t="s">
        <v>1707</v>
      </c>
      <c r="E7" s="16" t="s">
        <v>237</v>
      </c>
      <c r="F7" s="16" t="s">
        <v>639</v>
      </c>
      <c r="G7" s="16" t="s">
        <v>640</v>
      </c>
      <c r="H7" s="27"/>
      <c r="I7" s="16" t="s">
        <v>712</v>
      </c>
      <c r="J7" s="16" t="s">
        <v>635</v>
      </c>
      <c r="K7" s="16" t="s">
        <v>642</v>
      </c>
      <c r="L7" s="16"/>
      <c r="M7" s="16" t="s">
        <v>618</v>
      </c>
      <c r="N7" s="16" t="s">
        <v>1084</v>
      </c>
      <c r="O7" s="95">
        <v>13.712648383135489</v>
      </c>
      <c r="P7" s="95">
        <v>4.164961113385182</v>
      </c>
      <c r="Q7" s="95">
        <v>5.2087597216537045</v>
      </c>
      <c r="R7" s="95">
        <v>10.642652476463365</v>
      </c>
      <c r="S7" s="95">
        <v>22.615636512484652</v>
      </c>
      <c r="T7" s="95">
        <v>34.383954154727796</v>
      </c>
      <c r="U7" s="95">
        <v>1.5963978714695046</v>
      </c>
      <c r="V7" s="95">
        <v>1.4019647973802702</v>
      </c>
      <c r="W7" s="95">
        <v>1.8624641833810889</v>
      </c>
      <c r="X7" s="95">
        <v>4.4105607859189515</v>
      </c>
      <c r="Y7" s="95">
        <v>0</v>
      </c>
      <c r="Z7" s="95">
        <v>100.00000000000001</v>
      </c>
      <c r="AA7" s="18"/>
      <c r="AB7" s="18"/>
      <c r="AC7" s="18"/>
      <c r="AD7" s="18">
        <v>294.83999999999997</v>
      </c>
      <c r="AE7" s="127">
        <v>314.51</v>
      </c>
      <c r="AF7" s="127">
        <v>33.4</v>
      </c>
      <c r="AG7" s="18">
        <v>54.99</v>
      </c>
      <c r="AH7" s="18">
        <v>474.34</v>
      </c>
      <c r="AI7" s="18">
        <v>542.67999999999995</v>
      </c>
      <c r="AJ7" s="18">
        <v>43.01</v>
      </c>
      <c r="AK7" s="134">
        <v>1.88</v>
      </c>
      <c r="AL7" s="18">
        <v>10.18</v>
      </c>
      <c r="AM7" s="134">
        <v>196.68</v>
      </c>
      <c r="AN7" s="127">
        <v>0.23499999999999999</v>
      </c>
      <c r="AO7" s="18">
        <v>0.313</v>
      </c>
      <c r="AP7" s="18">
        <v>2.72</v>
      </c>
      <c r="AQ7" s="18">
        <v>0.17599999999999999</v>
      </c>
      <c r="AR7" s="18">
        <v>6.3E-2</v>
      </c>
      <c r="AS7" s="18"/>
      <c r="AT7" s="18"/>
      <c r="AU7" s="18"/>
      <c r="AV7" s="18"/>
      <c r="AW7" s="18"/>
      <c r="AX7" s="127">
        <v>1.42</v>
      </c>
      <c r="AY7" s="127">
        <v>13.92</v>
      </c>
      <c r="AZ7" s="127">
        <v>0.115</v>
      </c>
      <c r="BA7" s="127">
        <v>0.94</v>
      </c>
      <c r="BB7" s="18"/>
      <c r="BC7" s="127">
        <v>4.0599999999999996</v>
      </c>
      <c r="BD7" s="18"/>
      <c r="BE7" s="18"/>
      <c r="BF7" s="18"/>
      <c r="BG7" s="18"/>
      <c r="BH7" s="127">
        <v>2.5999999999999999E-2</v>
      </c>
      <c r="BI7" s="127">
        <v>66.31</v>
      </c>
      <c r="BJ7" s="18">
        <v>0.32300000000000001</v>
      </c>
      <c r="BK7" s="127">
        <v>4.37</v>
      </c>
      <c r="BL7" s="127">
        <v>5.22</v>
      </c>
      <c r="BM7" s="127">
        <v>0.51700000000000002</v>
      </c>
      <c r="BN7" s="127">
        <v>1.82</v>
      </c>
      <c r="BO7" s="18">
        <v>0.151</v>
      </c>
      <c r="BP7" s="18">
        <v>4.1000000000000002E-2</v>
      </c>
      <c r="BQ7" s="18">
        <v>9.5000000000000001E-2</v>
      </c>
      <c r="BR7" s="18">
        <v>3.4000000000000002E-2</v>
      </c>
      <c r="BS7" s="18">
        <v>6.0000000000000001E-3</v>
      </c>
      <c r="BT7" s="18">
        <v>1.4E-2</v>
      </c>
      <c r="BU7" s="18"/>
      <c r="BV7" s="18">
        <v>1.7000000000000001E-2</v>
      </c>
      <c r="BW7" s="18">
        <v>3.0000000000000001E-3</v>
      </c>
      <c r="BX7" s="18">
        <v>2.3E-2</v>
      </c>
      <c r="BY7" s="127">
        <v>0.11</v>
      </c>
      <c r="BZ7" s="18">
        <v>0.22</v>
      </c>
      <c r="CA7" s="127">
        <v>0.39</v>
      </c>
      <c r="CB7" s="127">
        <v>0.85</v>
      </c>
      <c r="CC7" s="127">
        <v>0.11799999999999999</v>
      </c>
      <c r="CE7">
        <f t="shared" si="0"/>
        <v>4.7636494252873565</v>
      </c>
      <c r="CF7">
        <f t="shared" si="1"/>
        <v>15.173913043478262</v>
      </c>
      <c r="CG7">
        <f t="shared" si="2"/>
        <v>3.1853546910755148</v>
      </c>
      <c r="CH7">
        <f t="shared" si="3"/>
        <v>0.83716475095785448</v>
      </c>
      <c r="CI7">
        <f t="shared" si="4"/>
        <v>71.970251716247134</v>
      </c>
      <c r="CJ7">
        <f t="shared" si="5"/>
        <v>9.4164670658682628</v>
      </c>
      <c r="CK7">
        <f t="shared" si="6"/>
        <v>60.250957854406131</v>
      </c>
      <c r="CL7">
        <f t="shared" si="7"/>
        <v>2.666666666666667</v>
      </c>
      <c r="CM7">
        <f t="shared" si="8"/>
        <v>12.703065134099617</v>
      </c>
      <c r="CN7">
        <f t="shared" si="9"/>
        <v>12.703065134099617</v>
      </c>
      <c r="CO7">
        <f t="shared" si="10"/>
        <v>2.1072796934865901E-2</v>
      </c>
      <c r="CP7">
        <f t="shared" si="11"/>
        <v>3.3050847457627119</v>
      </c>
      <c r="CQ7">
        <f t="shared" si="12"/>
        <v>8.924485125858124E-2</v>
      </c>
      <c r="CR7">
        <f t="shared" si="13"/>
        <v>0.92906178489702507</v>
      </c>
      <c r="CS7">
        <f t="shared" si="14"/>
        <v>0.21510297482837526</v>
      </c>
      <c r="CT7">
        <f t="shared" si="15"/>
        <v>0.10201149425287356</v>
      </c>
      <c r="CU7">
        <f t="shared" si="16"/>
        <v>2.6315789473684213E-2</v>
      </c>
      <c r="CV7">
        <f t="shared" si="17"/>
        <v>1.599094976611755</v>
      </c>
      <c r="CW7">
        <f t="shared" si="18"/>
        <v>5.3775743707093815E-2</v>
      </c>
      <c r="CX7">
        <f t="shared" si="19"/>
        <v>0.23152709359605914</v>
      </c>
      <c r="CY7">
        <f t="shared" si="20"/>
        <v>2.5171624713958809E-2</v>
      </c>
      <c r="CZ7">
        <f t="shared" si="21"/>
        <v>7.2033898305084749</v>
      </c>
      <c r="DA7">
        <f t="shared" si="22"/>
        <v>0.6619718309859155</v>
      </c>
      <c r="DB7">
        <f t="shared" si="23"/>
        <v>6.7528735632183909E-2</v>
      </c>
      <c r="DC7">
        <f t="shared" si="24"/>
        <v>8.1739130434782599</v>
      </c>
      <c r="DD7">
        <f t="shared" si="25"/>
        <v>0.18007662835249041</v>
      </c>
      <c r="DE7">
        <f t="shared" si="26"/>
        <v>7.6430205949656749</v>
      </c>
      <c r="DF7">
        <f t="shared" si="27"/>
        <v>2.3994252873563218</v>
      </c>
      <c r="DG7">
        <f t="shared" si="28"/>
        <v>22.594109195402297</v>
      </c>
      <c r="DH7">
        <f t="shared" si="29"/>
        <v>4.7636494252873565</v>
      </c>
      <c r="DI7">
        <f t="shared" si="30"/>
        <v>0.29166666666666663</v>
      </c>
      <c r="DJ7">
        <f t="shared" si="31"/>
        <v>8.4770114942528726E-3</v>
      </c>
      <c r="DK7">
        <f t="shared" si="32"/>
        <v>5.1752028632687992</v>
      </c>
      <c r="DL7">
        <f t="shared" si="33"/>
        <v>1.191935863078651</v>
      </c>
      <c r="DM7">
        <f t="shared" si="34"/>
        <v>1.6246865310692997</v>
      </c>
      <c r="DN7">
        <f t="shared" si="35"/>
        <v>0.34105921448476328</v>
      </c>
      <c r="DO7">
        <f t="shared" si="36"/>
        <v>0.37419250873949028</v>
      </c>
      <c r="DP7">
        <f t="shared" si="37"/>
        <v>7.8551647136988451E-2</v>
      </c>
    </row>
    <row r="8" spans="1:120">
      <c r="A8" s="16" t="s">
        <v>641</v>
      </c>
      <c r="B8" s="16" t="s">
        <v>24</v>
      </c>
      <c r="C8" s="121" t="s">
        <v>1800</v>
      </c>
      <c r="D8" s="16" t="s">
        <v>1707</v>
      </c>
      <c r="E8" s="16" t="s">
        <v>237</v>
      </c>
      <c r="F8" s="16" t="s">
        <v>639</v>
      </c>
      <c r="G8" s="16" t="s">
        <v>640</v>
      </c>
      <c r="H8" s="27"/>
      <c r="I8" s="16" t="s">
        <v>712</v>
      </c>
      <c r="J8" s="16" t="s">
        <v>635</v>
      </c>
      <c r="K8" s="16" t="s">
        <v>642</v>
      </c>
      <c r="L8" s="16"/>
      <c r="M8" s="16" t="s">
        <v>617</v>
      </c>
      <c r="N8" s="16" t="s">
        <v>1084</v>
      </c>
      <c r="O8" s="95">
        <v>6.2824562948090854</v>
      </c>
      <c r="P8" s="95">
        <v>2.6823970696937671</v>
      </c>
      <c r="Q8" s="95">
        <v>1.7344823157418341</v>
      </c>
      <c r="R8" s="95">
        <v>15.126299265190413</v>
      </c>
      <c r="S8" s="95">
        <v>18.958295079038653</v>
      </c>
      <c r="T8" s="95">
        <v>33.378700378520179</v>
      </c>
      <c r="U8" s="95">
        <v>0.80673596081015553</v>
      </c>
      <c r="V8" s="95">
        <v>6.7967504698255592</v>
      </c>
      <c r="W8" s="95">
        <v>5.9900145090154044</v>
      </c>
      <c r="X8" s="95">
        <v>7.1194448541496218</v>
      </c>
      <c r="Y8" s="95">
        <v>1.4521247294582798</v>
      </c>
      <c r="Z8" s="95">
        <v>100.32770092625294</v>
      </c>
      <c r="AA8" s="18"/>
      <c r="AB8" s="18"/>
      <c r="AC8" s="18"/>
      <c r="AD8" s="18">
        <v>153.03</v>
      </c>
      <c r="AE8" s="127">
        <v>153.69</v>
      </c>
      <c r="AF8" s="127">
        <v>21.33</v>
      </c>
      <c r="AG8" s="18">
        <v>38.9</v>
      </c>
      <c r="AH8" s="18">
        <v>376.54</v>
      </c>
      <c r="AI8" s="18">
        <v>361.58</v>
      </c>
      <c r="AJ8" s="18">
        <v>29.77</v>
      </c>
      <c r="AK8" s="134">
        <v>3.05</v>
      </c>
      <c r="AL8" s="18">
        <v>9.2200000000000006</v>
      </c>
      <c r="AM8" s="134">
        <v>210.54</v>
      </c>
      <c r="AN8" s="127">
        <v>0.16700000000000001</v>
      </c>
      <c r="AO8" s="18">
        <v>0.24099999999999999</v>
      </c>
      <c r="AP8" s="18">
        <v>1.82</v>
      </c>
      <c r="AQ8" s="18">
        <v>0.60499999999999998</v>
      </c>
      <c r="AR8" s="18">
        <v>8.1000000000000003E-2</v>
      </c>
      <c r="AS8" s="18"/>
      <c r="AT8" s="18"/>
      <c r="AU8" s="18"/>
      <c r="AV8" s="18"/>
      <c r="AW8" s="18"/>
      <c r="AX8" s="127">
        <v>1.1719999999999999</v>
      </c>
      <c r="AY8" s="127">
        <v>9.51</v>
      </c>
      <c r="AZ8" s="127">
        <v>0.23699999999999999</v>
      </c>
      <c r="BA8" s="127">
        <v>0.66200000000000003</v>
      </c>
      <c r="BB8" s="18"/>
      <c r="BC8" s="127">
        <v>2.75</v>
      </c>
      <c r="BD8" s="18"/>
      <c r="BE8" s="18"/>
      <c r="BF8" s="18"/>
      <c r="BG8" s="18"/>
      <c r="BH8" s="127">
        <v>3.2000000000000001E-2</v>
      </c>
      <c r="BI8" s="127">
        <v>73.97</v>
      </c>
      <c r="BJ8" s="18">
        <v>0.32</v>
      </c>
      <c r="BK8" s="127">
        <v>5.0599999999999996</v>
      </c>
      <c r="BL8" s="127">
        <v>6.35</v>
      </c>
      <c r="BM8" s="127">
        <v>0.64300000000000002</v>
      </c>
      <c r="BN8" s="127">
        <v>2.2200000000000002</v>
      </c>
      <c r="BO8" s="18">
        <v>0.24099999999999999</v>
      </c>
      <c r="BP8" s="18">
        <v>3.7999999999999999E-2</v>
      </c>
      <c r="BQ8" s="18">
        <v>0.184</v>
      </c>
      <c r="BR8" s="18">
        <v>6.4000000000000001E-2</v>
      </c>
      <c r="BS8" s="18">
        <v>1.0999999999999999E-2</v>
      </c>
      <c r="BT8" s="18">
        <v>2.4E-2</v>
      </c>
      <c r="BU8" s="18"/>
      <c r="BV8" s="18">
        <v>2.7E-2</v>
      </c>
      <c r="BW8" s="18">
        <v>2E-3</v>
      </c>
      <c r="BX8" s="18">
        <v>1.6E-2</v>
      </c>
      <c r="BY8" s="127">
        <v>4.2000000000000003E-2</v>
      </c>
      <c r="BZ8" s="18">
        <v>0.223</v>
      </c>
      <c r="CA8" s="127">
        <v>0.57499999999999996</v>
      </c>
      <c r="CB8" s="127">
        <v>1.05</v>
      </c>
      <c r="CC8" s="127">
        <v>0.113</v>
      </c>
      <c r="CE8">
        <f t="shared" si="0"/>
        <v>7.7781282860147218</v>
      </c>
      <c r="CF8">
        <f t="shared" si="1"/>
        <v>14.618577075098814</v>
      </c>
      <c r="CG8">
        <f t="shared" si="2"/>
        <v>1.8794466403162056</v>
      </c>
      <c r="CH8">
        <f t="shared" si="3"/>
        <v>0.79685039370078736</v>
      </c>
      <c r="CI8">
        <f t="shared" si="4"/>
        <v>30.373517786561266</v>
      </c>
      <c r="CJ8">
        <f t="shared" si="5"/>
        <v>7.2053445850914208</v>
      </c>
      <c r="CK8">
        <f t="shared" si="6"/>
        <v>24.203149606299213</v>
      </c>
      <c r="CL8">
        <f t="shared" si="7"/>
        <v>1.4976377952755906</v>
      </c>
      <c r="CM8">
        <f t="shared" si="8"/>
        <v>11.648818897637796</v>
      </c>
      <c r="CN8">
        <f t="shared" si="9"/>
        <v>11.648818897637796</v>
      </c>
      <c r="CO8">
        <f t="shared" si="10"/>
        <v>6.6141732283464573E-3</v>
      </c>
      <c r="CP8">
        <f t="shared" si="11"/>
        <v>5.0884955752212386</v>
      </c>
      <c r="CQ8">
        <f t="shared" si="12"/>
        <v>0.11363636363636363</v>
      </c>
      <c r="CR8">
        <f t="shared" si="13"/>
        <v>0.5434782608695653</v>
      </c>
      <c r="CS8">
        <f t="shared" si="14"/>
        <v>0.13083003952569172</v>
      </c>
      <c r="CT8">
        <f t="shared" si="15"/>
        <v>0.12323869610935856</v>
      </c>
      <c r="CU8">
        <f t="shared" si="16"/>
        <v>4.6837944664031621E-2</v>
      </c>
      <c r="CV8">
        <f t="shared" si="17"/>
        <v>0.72998005129666577</v>
      </c>
      <c r="CW8">
        <f t="shared" si="18"/>
        <v>3.3003952569169964E-2</v>
      </c>
      <c r="CX8">
        <f t="shared" si="19"/>
        <v>0.24072727272727273</v>
      </c>
      <c r="CY8">
        <f t="shared" si="20"/>
        <v>8.3003952569169967E-3</v>
      </c>
      <c r="CZ8">
        <f t="shared" si="21"/>
        <v>9.2920353982300892</v>
      </c>
      <c r="DA8">
        <f t="shared" si="22"/>
        <v>0.56484641638225264</v>
      </c>
      <c r="DB8">
        <f t="shared" si="23"/>
        <v>6.9610935856992642E-2</v>
      </c>
      <c r="DC8">
        <f t="shared" si="24"/>
        <v>2.7932489451476794</v>
      </c>
      <c r="DD8">
        <f t="shared" si="25"/>
        <v>0.10425196850393702</v>
      </c>
      <c r="DE8">
        <f t="shared" si="26"/>
        <v>4.2154150197628457</v>
      </c>
      <c r="DF8">
        <f t="shared" si="27"/>
        <v>2.2429022082018926</v>
      </c>
      <c r="DG8">
        <f t="shared" si="28"/>
        <v>16.160883280757098</v>
      </c>
      <c r="DH8">
        <f t="shared" si="29"/>
        <v>7.7781282860147218</v>
      </c>
      <c r="DI8">
        <f t="shared" si="30"/>
        <v>0.28916929547844378</v>
      </c>
      <c r="DJ8">
        <f t="shared" si="31"/>
        <v>1.1882229232386961E-2</v>
      </c>
      <c r="DK8">
        <f t="shared" si="32"/>
        <v>3.746698632221078</v>
      </c>
      <c r="DL8">
        <f t="shared" si="33"/>
        <v>0.34278306635214117</v>
      </c>
      <c r="DM8">
        <f t="shared" si="34"/>
        <v>1.9935115750829289</v>
      </c>
      <c r="DN8">
        <f t="shared" si="35"/>
        <v>0.25629708096577875</v>
      </c>
      <c r="DO8">
        <f t="shared" si="36"/>
        <v>0.18238510155014029</v>
      </c>
      <c r="DP8">
        <f t="shared" si="37"/>
        <v>2.3448456343677627E-2</v>
      </c>
    </row>
    <row r="9" spans="1:120">
      <c r="A9" s="16" t="s">
        <v>641</v>
      </c>
      <c r="B9" s="16" t="s">
        <v>24</v>
      </c>
      <c r="C9" s="121" t="s">
        <v>1800</v>
      </c>
      <c r="D9" s="16" t="s">
        <v>1707</v>
      </c>
      <c r="E9" s="16" t="s">
        <v>237</v>
      </c>
      <c r="F9" s="16" t="s">
        <v>639</v>
      </c>
      <c r="G9" s="16" t="s">
        <v>640</v>
      </c>
      <c r="H9" s="27"/>
      <c r="I9" s="16" t="s">
        <v>712</v>
      </c>
      <c r="J9" s="16" t="s">
        <v>635</v>
      </c>
      <c r="K9" s="16" t="s">
        <v>642</v>
      </c>
      <c r="L9" s="16" t="s">
        <v>161</v>
      </c>
      <c r="M9" s="16" t="s">
        <v>616</v>
      </c>
      <c r="N9" s="16" t="s">
        <v>1084</v>
      </c>
      <c r="O9" s="95">
        <v>9.8448719039809376</v>
      </c>
      <c r="P9" s="95">
        <v>2.8682704113492847</v>
      </c>
      <c r="Q9" s="95">
        <v>2.0566859891573084</v>
      </c>
      <c r="R9" s="95">
        <v>6.4069801279875955</v>
      </c>
      <c r="S9" s="95">
        <v>19.760316366413353</v>
      </c>
      <c r="T9" s="95">
        <v>28.02738749930057</v>
      </c>
      <c r="U9" s="95">
        <v>0.92752505393368789</v>
      </c>
      <c r="V9" s="95">
        <v>6.7497611261804797</v>
      </c>
      <c r="W9" s="95">
        <v>11.533572409784119</v>
      </c>
      <c r="X9" s="95">
        <v>9.1391463194661746</v>
      </c>
      <c r="Y9" s="95">
        <v>3.4681371581868334</v>
      </c>
      <c r="Z9" s="95">
        <v>100.78265436574034</v>
      </c>
      <c r="AA9" s="16"/>
      <c r="AB9" s="16"/>
      <c r="AC9" s="16"/>
      <c r="AD9" s="16">
        <v>74.224999999999994</v>
      </c>
      <c r="AE9" s="128">
        <v>109.37</v>
      </c>
      <c r="AF9" s="128">
        <v>26.5</v>
      </c>
      <c r="AG9" s="16">
        <v>20.94</v>
      </c>
      <c r="AH9" s="16">
        <v>175.76</v>
      </c>
      <c r="AI9" s="16">
        <v>194.57</v>
      </c>
      <c r="AJ9" s="16">
        <v>14.484999999999999</v>
      </c>
      <c r="AK9" s="135">
        <v>1.9500000000000002</v>
      </c>
      <c r="AL9" s="16">
        <v>2.6100000000000003</v>
      </c>
      <c r="AM9" s="135">
        <v>37.200000000000003</v>
      </c>
      <c r="AN9" s="128">
        <v>0.03</v>
      </c>
      <c r="AO9" s="16">
        <v>0.13950000000000001</v>
      </c>
      <c r="AP9" s="16">
        <v>0.8899999999999999</v>
      </c>
      <c r="AQ9" s="16">
        <v>3.9E-2</v>
      </c>
      <c r="AR9" s="16">
        <v>3.7999999999999999E-2</v>
      </c>
      <c r="AS9" s="16"/>
      <c r="AT9" s="16"/>
      <c r="AU9" s="16"/>
      <c r="AV9" s="16"/>
      <c r="AW9" s="16"/>
      <c r="AX9" s="128">
        <v>0.56399999999999995</v>
      </c>
      <c r="AY9" s="128">
        <v>4.593</v>
      </c>
      <c r="AZ9" s="128">
        <v>3.3500000000000002E-2</v>
      </c>
      <c r="BA9" s="128">
        <v>0.3155</v>
      </c>
      <c r="BB9" s="16"/>
      <c r="BC9" s="128">
        <v>0.80799999999999994</v>
      </c>
      <c r="BD9" s="16"/>
      <c r="BE9" s="16"/>
      <c r="BF9" s="16"/>
      <c r="BG9" s="16"/>
      <c r="BH9" s="128">
        <v>1.4499999999999999E-2</v>
      </c>
      <c r="BI9" s="128">
        <v>34.019999999999996</v>
      </c>
      <c r="BJ9" s="16">
        <v>0.21000000000000002</v>
      </c>
      <c r="BK9" s="128">
        <v>1.7530000000000001</v>
      </c>
      <c r="BL9" s="128">
        <v>1.9700000000000002</v>
      </c>
      <c r="BM9" s="128">
        <v>0.1855</v>
      </c>
      <c r="BN9" s="128">
        <v>0.57150000000000001</v>
      </c>
      <c r="BO9" s="16">
        <v>6.1499999999999999E-2</v>
      </c>
      <c r="BP9" s="16">
        <v>1.15E-2</v>
      </c>
      <c r="BQ9" s="16">
        <v>2.8999999999999998E-2</v>
      </c>
      <c r="BR9" s="16">
        <v>1.35E-2</v>
      </c>
      <c r="BS9" s="16">
        <v>3.5000000000000001E-3</v>
      </c>
      <c r="BT9" s="16">
        <v>8.9999999999999993E-3</v>
      </c>
      <c r="BU9" s="16"/>
      <c r="BV9" s="16">
        <v>1.3000000000000001E-2</v>
      </c>
      <c r="BW9" s="16">
        <v>2.5000000000000001E-3</v>
      </c>
      <c r="BX9" s="16">
        <v>1.3000000000000001E-2</v>
      </c>
      <c r="BY9" s="128">
        <v>1.0499999999999999E-2</v>
      </c>
      <c r="BZ9" s="16">
        <v>8.8499999999999995E-2</v>
      </c>
      <c r="CA9" s="128">
        <v>0.1225</v>
      </c>
      <c r="CB9" s="128">
        <v>0.35599999999999998</v>
      </c>
      <c r="CC9" s="128">
        <v>5.6500000000000002E-2</v>
      </c>
      <c r="CE9">
        <f t="shared" si="0"/>
        <v>7.4069235793598951</v>
      </c>
      <c r="CF9">
        <f t="shared" si="1"/>
        <v>19.406731317741013</v>
      </c>
      <c r="CG9">
        <f t="shared" si="2"/>
        <v>2.6200798630918425</v>
      </c>
      <c r="CH9">
        <f t="shared" si="3"/>
        <v>0.8898477157360406</v>
      </c>
      <c r="CI9">
        <f t="shared" si="4"/>
        <v>62.390188248716484</v>
      </c>
      <c r="CJ9">
        <f t="shared" si="5"/>
        <v>4.1271698113207549</v>
      </c>
      <c r="CK9">
        <f t="shared" si="6"/>
        <v>55.517766497461928</v>
      </c>
      <c r="CL9">
        <f t="shared" si="7"/>
        <v>2.3314720812182737</v>
      </c>
      <c r="CM9">
        <f t="shared" si="8"/>
        <v>17.26903553299492</v>
      </c>
      <c r="CN9">
        <f t="shared" si="9"/>
        <v>17.26903553299492</v>
      </c>
      <c r="CO9">
        <f t="shared" si="10"/>
        <v>5.329949238578679E-3</v>
      </c>
      <c r="CP9">
        <f t="shared" si="11"/>
        <v>2.168141592920354</v>
      </c>
      <c r="CQ9">
        <f t="shared" si="12"/>
        <v>6.9880205362236159E-2</v>
      </c>
      <c r="CR9">
        <f t="shared" si="13"/>
        <v>0.46092413006274952</v>
      </c>
      <c r="CS9">
        <f t="shared" si="14"/>
        <v>0.17997718197375925</v>
      </c>
      <c r="CT9">
        <f t="shared" si="15"/>
        <v>0.12279555845852383</v>
      </c>
      <c r="CU9">
        <f t="shared" si="16"/>
        <v>1.9110096976611524E-2</v>
      </c>
      <c r="CV9">
        <f t="shared" si="17"/>
        <v>2.9400537634408601</v>
      </c>
      <c r="CW9">
        <f t="shared" si="18"/>
        <v>1.7113519680547629E-2</v>
      </c>
      <c r="CX9">
        <f t="shared" si="19"/>
        <v>0.39047029702970298</v>
      </c>
      <c r="CY9">
        <f t="shared" si="20"/>
        <v>5.9897318881916703E-3</v>
      </c>
      <c r="CZ9">
        <f t="shared" si="21"/>
        <v>6.3008849557522115</v>
      </c>
      <c r="DA9">
        <f t="shared" si="22"/>
        <v>0.55939716312056742</v>
      </c>
      <c r="DB9">
        <f t="shared" si="23"/>
        <v>6.8691487045504027E-2</v>
      </c>
      <c r="DC9">
        <f t="shared" si="24"/>
        <v>9.4179104477611943</v>
      </c>
      <c r="DD9">
        <f t="shared" si="25"/>
        <v>0.16015228426395939</v>
      </c>
      <c r="DE9">
        <f t="shared" si="26"/>
        <v>15.116942384483741</v>
      </c>
      <c r="DF9">
        <f t="shared" si="27"/>
        <v>5.7696494665795779</v>
      </c>
      <c r="DG9">
        <f t="shared" si="28"/>
        <v>23.812323100370129</v>
      </c>
      <c r="DH9">
        <f t="shared" si="29"/>
        <v>7.4069235793598951</v>
      </c>
      <c r="DI9">
        <f t="shared" si="30"/>
        <v>0.17591987807533202</v>
      </c>
      <c r="DJ9">
        <f t="shared" si="31"/>
        <v>1.2301328107990421E-2</v>
      </c>
      <c r="DK9">
        <f t="shared" si="32"/>
        <v>11.272285434348746</v>
      </c>
      <c r="DL9">
        <f t="shared" si="33"/>
        <v>1.1732378717383389</v>
      </c>
      <c r="DM9">
        <f t="shared" si="34"/>
        <v>4.3022678786007731</v>
      </c>
      <c r="DN9">
        <f t="shared" si="35"/>
        <v>0.58084410248128615</v>
      </c>
      <c r="DO9">
        <f t="shared" si="36"/>
        <v>0.44778706491559078</v>
      </c>
      <c r="DP9">
        <f t="shared" si="37"/>
        <v>6.0455202503154282E-2</v>
      </c>
    </row>
    <row r="10" spans="1:120">
      <c r="A10" s="16" t="s">
        <v>641</v>
      </c>
      <c r="B10" s="16" t="s">
        <v>24</v>
      </c>
      <c r="C10" s="121" t="s">
        <v>1800</v>
      </c>
      <c r="D10" s="16" t="s">
        <v>1707</v>
      </c>
      <c r="E10" s="16" t="s">
        <v>237</v>
      </c>
      <c r="F10" s="16" t="s">
        <v>639</v>
      </c>
      <c r="G10" s="16" t="s">
        <v>640</v>
      </c>
      <c r="H10" s="27"/>
      <c r="I10" s="16" t="s">
        <v>712</v>
      </c>
      <c r="J10" s="16" t="s">
        <v>635</v>
      </c>
      <c r="K10" s="16" t="s">
        <v>642</v>
      </c>
      <c r="L10" s="16"/>
      <c r="M10" s="16" t="s">
        <v>619</v>
      </c>
      <c r="N10" s="16" t="s">
        <v>1084</v>
      </c>
      <c r="O10" s="95">
        <v>12.643621385431459</v>
      </c>
      <c r="P10" s="95">
        <v>0.53183486779989475</v>
      </c>
      <c r="Q10" s="95">
        <v>2.759520540471152</v>
      </c>
      <c r="R10" s="95">
        <v>10.93773596041293</v>
      </c>
      <c r="S10" s="95">
        <v>24.885857964976207</v>
      </c>
      <c r="T10" s="95">
        <v>28.598667419428303</v>
      </c>
      <c r="U10" s="95">
        <v>0.34117708500370608</v>
      </c>
      <c r="V10" s="95">
        <v>9.5529583801037692</v>
      </c>
      <c r="W10" s="95">
        <v>5.9806336077120239</v>
      </c>
      <c r="X10" s="95">
        <v>2.8899706023843335</v>
      </c>
      <c r="Y10" s="95">
        <v>1.1339120766299642</v>
      </c>
      <c r="Z10" s="95">
        <v>100.25588989035374</v>
      </c>
      <c r="AA10" s="18"/>
      <c r="AB10" s="18"/>
      <c r="AC10" s="18"/>
      <c r="AD10" s="18">
        <v>189.99</v>
      </c>
      <c r="AE10" s="127">
        <v>178.32</v>
      </c>
      <c r="AF10" s="127">
        <v>26.23</v>
      </c>
      <c r="AG10" s="18">
        <v>26.35</v>
      </c>
      <c r="AH10" s="18">
        <v>260.10000000000002</v>
      </c>
      <c r="AI10" s="18">
        <v>289.64</v>
      </c>
      <c r="AJ10" s="18">
        <v>27.67</v>
      </c>
      <c r="AK10" s="134">
        <v>2.12</v>
      </c>
      <c r="AL10" s="18">
        <v>6.48</v>
      </c>
      <c r="AM10" s="134">
        <v>106.11</v>
      </c>
      <c r="AN10" s="127">
        <v>2.7E-2</v>
      </c>
      <c r="AO10" s="18">
        <v>0.25</v>
      </c>
      <c r="AP10" s="18">
        <v>1.36</v>
      </c>
      <c r="AQ10" s="18">
        <v>8.6999999999999994E-2</v>
      </c>
      <c r="AR10" s="18">
        <v>4.8000000000000001E-2</v>
      </c>
      <c r="AS10" s="18"/>
      <c r="AT10" s="18"/>
      <c r="AU10" s="18"/>
      <c r="AV10" s="18"/>
      <c r="AW10" s="18"/>
      <c r="AX10" s="127">
        <v>0.83399999999999996</v>
      </c>
      <c r="AY10" s="127">
        <v>7.43</v>
      </c>
      <c r="AZ10" s="127">
        <v>7.0999999999999994E-2</v>
      </c>
      <c r="BA10" s="127">
        <v>0.54900000000000004</v>
      </c>
      <c r="BB10" s="18"/>
      <c r="BC10" s="127">
        <v>1.99</v>
      </c>
      <c r="BD10" s="18"/>
      <c r="BE10" s="18"/>
      <c r="BF10" s="18"/>
      <c r="BG10" s="18"/>
      <c r="BH10" s="127">
        <v>1.7000000000000001E-2</v>
      </c>
      <c r="BI10" s="127">
        <v>33.43</v>
      </c>
      <c r="BJ10" s="18">
        <v>0.186</v>
      </c>
      <c r="BK10" s="127">
        <v>1.7529999999999999</v>
      </c>
      <c r="BL10" s="127">
        <v>2.2799999999999998</v>
      </c>
      <c r="BM10" s="127">
        <v>0.23400000000000001</v>
      </c>
      <c r="BN10" s="127">
        <v>0.77200000000000002</v>
      </c>
      <c r="BO10" s="18">
        <v>8.1000000000000003E-2</v>
      </c>
      <c r="BP10" s="18">
        <v>3.2000000000000001E-2</v>
      </c>
      <c r="BQ10" s="18">
        <v>6.0999999999999999E-2</v>
      </c>
      <c r="BR10" s="18">
        <v>2.1999999999999999E-2</v>
      </c>
      <c r="BS10" s="18">
        <v>8.0000000000000002E-3</v>
      </c>
      <c r="BT10" s="18">
        <v>1.7999999999999999E-2</v>
      </c>
      <c r="BU10" s="18"/>
      <c r="BV10" s="18">
        <v>2.1999999999999999E-2</v>
      </c>
      <c r="BW10" s="18">
        <v>0.01</v>
      </c>
      <c r="BX10" s="18">
        <v>2.1000000000000001E-2</v>
      </c>
      <c r="BY10" s="127">
        <v>8.7999999999999995E-2</v>
      </c>
      <c r="BZ10" s="18">
        <v>0.106</v>
      </c>
      <c r="CA10" s="127">
        <v>0.219</v>
      </c>
      <c r="CB10" s="127">
        <v>0.34200000000000003</v>
      </c>
      <c r="CC10" s="127">
        <v>4.8000000000000001E-2</v>
      </c>
      <c r="CE10">
        <f t="shared" si="0"/>
        <v>4.4993270524899058</v>
      </c>
      <c r="CF10">
        <f t="shared" si="1"/>
        <v>19.070165430690246</v>
      </c>
      <c r="CG10">
        <f t="shared" si="2"/>
        <v>4.23844837421563</v>
      </c>
      <c r="CH10">
        <f t="shared" si="3"/>
        <v>0.76885964912280702</v>
      </c>
      <c r="CI10">
        <f t="shared" si="4"/>
        <v>101.72276098117513</v>
      </c>
      <c r="CJ10">
        <f t="shared" si="5"/>
        <v>6.7983225314525351</v>
      </c>
      <c r="CK10">
        <f t="shared" si="6"/>
        <v>78.21052631578948</v>
      </c>
      <c r="CL10">
        <f t="shared" si="7"/>
        <v>3.2587719298245617</v>
      </c>
      <c r="CM10">
        <f t="shared" si="8"/>
        <v>14.662280701754387</v>
      </c>
      <c r="CN10">
        <f t="shared" si="9"/>
        <v>14.662280701754387</v>
      </c>
      <c r="CO10">
        <f t="shared" si="10"/>
        <v>3.8596491228070177E-2</v>
      </c>
      <c r="CP10">
        <f t="shared" si="11"/>
        <v>4.5625</v>
      </c>
      <c r="CQ10">
        <f t="shared" si="12"/>
        <v>0.12492869366799772</v>
      </c>
      <c r="CR10">
        <f t="shared" si="13"/>
        <v>1.1351968054763264</v>
      </c>
      <c r="CS10">
        <f t="shared" si="14"/>
        <v>0.31317741015402173</v>
      </c>
      <c r="CT10">
        <f t="shared" si="15"/>
        <v>0.11224764468371468</v>
      </c>
      <c r="CU10">
        <f t="shared" si="16"/>
        <v>4.0501996577296064E-2</v>
      </c>
      <c r="CV10">
        <f t="shared" si="17"/>
        <v>1.6805202148713598</v>
      </c>
      <c r="CW10">
        <f t="shared" si="18"/>
        <v>1.540216771249287E-2</v>
      </c>
      <c r="CX10">
        <f t="shared" si="19"/>
        <v>0.27587939698492464</v>
      </c>
      <c r="CY10">
        <f t="shared" si="20"/>
        <v>5.0199657729606391E-2</v>
      </c>
      <c r="CZ10">
        <f t="shared" si="21"/>
        <v>7.125</v>
      </c>
      <c r="DA10">
        <f t="shared" si="22"/>
        <v>0.65827338129496415</v>
      </c>
      <c r="DB10">
        <f t="shared" si="23"/>
        <v>7.3889636608344564E-2</v>
      </c>
      <c r="DC10">
        <f t="shared" si="24"/>
        <v>7.7323943661971848</v>
      </c>
      <c r="DD10">
        <f t="shared" si="25"/>
        <v>0.24078947368421055</v>
      </c>
      <c r="DE10">
        <f t="shared" si="26"/>
        <v>14.962920707358814</v>
      </c>
      <c r="DF10">
        <f t="shared" si="27"/>
        <v>3.5302826379542398</v>
      </c>
      <c r="DG10">
        <f t="shared" si="28"/>
        <v>24</v>
      </c>
      <c r="DH10">
        <f t="shared" si="29"/>
        <v>4.4993270524899058</v>
      </c>
      <c r="DI10">
        <f t="shared" si="30"/>
        <v>0.26783310901749663</v>
      </c>
      <c r="DJ10">
        <f t="shared" si="31"/>
        <v>6.4602960969044419E-3</v>
      </c>
      <c r="DK10">
        <f t="shared" si="32"/>
        <v>14.19615400169778</v>
      </c>
      <c r="DL10">
        <f t="shared" si="33"/>
        <v>1.5741703026076168</v>
      </c>
      <c r="DM10">
        <f t="shared" si="34"/>
        <v>3.349375230817794</v>
      </c>
      <c r="DN10">
        <f t="shared" si="35"/>
        <v>0.74441692985271335</v>
      </c>
      <c r="DO10">
        <f t="shared" si="36"/>
        <v>0.37140249535277958</v>
      </c>
      <c r="DP10">
        <f t="shared" si="37"/>
        <v>8.2546232140925879E-2</v>
      </c>
    </row>
    <row r="11" spans="1:120">
      <c r="A11" s="16" t="s">
        <v>842</v>
      </c>
      <c r="B11" s="16" t="s">
        <v>24</v>
      </c>
      <c r="C11" s="121" t="s">
        <v>1800</v>
      </c>
      <c r="D11" s="16" t="s">
        <v>1709</v>
      </c>
      <c r="E11" s="16" t="s">
        <v>237</v>
      </c>
      <c r="F11" s="16" t="s">
        <v>29</v>
      </c>
      <c r="G11" s="16" t="s">
        <v>595</v>
      </c>
      <c r="H11" s="27">
        <v>360</v>
      </c>
      <c r="I11" s="16" t="s">
        <v>712</v>
      </c>
      <c r="J11" s="16"/>
      <c r="K11" s="16" t="s">
        <v>913</v>
      </c>
      <c r="L11" s="16"/>
      <c r="M11" s="16" t="s">
        <v>63</v>
      </c>
      <c r="N11" s="16" t="s">
        <v>1084</v>
      </c>
      <c r="O11" s="95">
        <v>9.7167163254843629</v>
      </c>
      <c r="P11" s="95">
        <v>0</v>
      </c>
      <c r="Q11" s="95">
        <v>0</v>
      </c>
      <c r="R11" s="95">
        <v>3.9586622066788149</v>
      </c>
      <c r="S11" s="95">
        <v>45.464635646402144</v>
      </c>
      <c r="T11" s="95">
        <v>7.3175271093153844</v>
      </c>
      <c r="U11" s="95">
        <v>0</v>
      </c>
      <c r="V11" s="95">
        <v>10.556432551143507</v>
      </c>
      <c r="W11" s="95">
        <v>18.113878582075792</v>
      </c>
      <c r="X11" s="95">
        <v>3.4788243634450189</v>
      </c>
      <c r="Y11" s="95">
        <v>1.7993919121267341</v>
      </c>
      <c r="Z11" s="95">
        <v>100.40606869667174</v>
      </c>
      <c r="AA11" s="18"/>
      <c r="AB11" s="18"/>
      <c r="AC11" s="18"/>
      <c r="AD11" s="18"/>
      <c r="AE11" s="127"/>
      <c r="AF11" s="127"/>
      <c r="AG11" s="18"/>
      <c r="AH11" s="18"/>
      <c r="AI11" s="18"/>
      <c r="AJ11" s="18"/>
      <c r="AK11" s="134"/>
      <c r="AL11" s="18"/>
      <c r="AM11" s="134"/>
      <c r="AN11" s="127"/>
      <c r="AO11" s="18"/>
      <c r="AP11" s="18"/>
      <c r="AQ11" s="18"/>
      <c r="AR11" s="18"/>
      <c r="AS11" s="18"/>
      <c r="AT11" s="18"/>
      <c r="AU11" s="18"/>
      <c r="AV11" s="18"/>
      <c r="AW11" s="18"/>
      <c r="AX11" s="127"/>
      <c r="AY11" s="127"/>
      <c r="AZ11" s="127"/>
      <c r="BA11" s="127"/>
      <c r="BB11" s="18"/>
      <c r="BC11" s="127"/>
      <c r="BD11" s="18"/>
      <c r="BE11" s="18"/>
      <c r="BF11" s="18"/>
      <c r="BG11" s="18"/>
      <c r="BH11" s="127"/>
      <c r="BI11" s="127"/>
      <c r="BJ11" s="18"/>
      <c r="BK11" s="127"/>
      <c r="BL11" s="127"/>
      <c r="BM11" s="127"/>
      <c r="BN11" s="127"/>
      <c r="BO11" s="18"/>
      <c r="BP11" s="18"/>
      <c r="BQ11" s="18"/>
      <c r="BR11" s="18"/>
      <c r="BS11" s="18"/>
      <c r="BT11" s="18"/>
      <c r="BU11" s="18"/>
      <c r="BV11" s="18"/>
      <c r="BW11" s="18"/>
      <c r="BX11" s="18"/>
      <c r="BY11" s="127"/>
      <c r="BZ11" s="18"/>
      <c r="CA11" s="127"/>
      <c r="CB11" s="127"/>
      <c r="CC11" s="127"/>
      <c r="CE11" t="e">
        <f t="shared" si="0"/>
        <v>#DIV/0!</v>
      </c>
      <c r="CF11" t="e">
        <f t="shared" si="1"/>
        <v>#DIV/0!</v>
      </c>
      <c r="CG11" t="e">
        <f t="shared" si="2"/>
        <v>#DIV/0!</v>
      </c>
      <c r="CH11" t="e">
        <f t="shared" si="3"/>
        <v>#DIV/0!</v>
      </c>
      <c r="CI11" t="e">
        <f t="shared" si="4"/>
        <v>#DIV/0!</v>
      </c>
      <c r="CJ11" t="e">
        <f t="shared" si="5"/>
        <v>#DIV/0!</v>
      </c>
      <c r="CK11" t="e">
        <f t="shared" si="6"/>
        <v>#DIV/0!</v>
      </c>
      <c r="CL11" t="e">
        <f t="shared" si="7"/>
        <v>#DIV/0!</v>
      </c>
      <c r="CM11" t="e">
        <f t="shared" si="8"/>
        <v>#DIV/0!</v>
      </c>
      <c r="CN11" t="e">
        <f t="shared" si="9"/>
        <v>#DIV/0!</v>
      </c>
      <c r="CO11" t="e">
        <f t="shared" si="10"/>
        <v>#DIV/0!</v>
      </c>
      <c r="CP11" t="e">
        <f t="shared" si="11"/>
        <v>#DIV/0!</v>
      </c>
      <c r="CQ11" t="e">
        <f t="shared" si="12"/>
        <v>#DIV/0!</v>
      </c>
      <c r="CR11" t="e">
        <f t="shared" si="13"/>
        <v>#DIV/0!</v>
      </c>
      <c r="CS11" t="e">
        <f t="shared" si="14"/>
        <v>#DIV/0!</v>
      </c>
      <c r="CT11" t="e">
        <f t="shared" si="15"/>
        <v>#DIV/0!</v>
      </c>
      <c r="CU11" t="e">
        <f t="shared" si="16"/>
        <v>#DIV/0!</v>
      </c>
      <c r="CV11" t="e">
        <f t="shared" si="17"/>
        <v>#DIV/0!</v>
      </c>
      <c r="CW11" t="e">
        <f t="shared" si="18"/>
        <v>#DIV/0!</v>
      </c>
      <c r="CX11" t="e">
        <f t="shared" si="19"/>
        <v>#DIV/0!</v>
      </c>
      <c r="CY11" t="e">
        <f t="shared" si="20"/>
        <v>#DIV/0!</v>
      </c>
      <c r="CZ11" t="e">
        <f t="shared" si="21"/>
        <v>#DIV/0!</v>
      </c>
      <c r="DA11" t="e">
        <f t="shared" si="22"/>
        <v>#DIV/0!</v>
      </c>
      <c r="DB11" t="e">
        <f t="shared" si="23"/>
        <v>#DIV/0!</v>
      </c>
      <c r="DC11" t="e">
        <f t="shared" si="24"/>
        <v>#DIV/0!</v>
      </c>
      <c r="DD11" t="e">
        <f t="shared" si="25"/>
        <v>#DIV/0!</v>
      </c>
      <c r="DE11" t="e">
        <f t="shared" si="26"/>
        <v>#DIV/0!</v>
      </c>
      <c r="DF11" t="e">
        <f t="shared" si="27"/>
        <v>#DIV/0!</v>
      </c>
      <c r="DG11" t="e">
        <f t="shared" si="28"/>
        <v>#DIV/0!</v>
      </c>
      <c r="DH11" t="e">
        <f t="shared" si="29"/>
        <v>#DIV/0!</v>
      </c>
      <c r="DI11" t="e">
        <f t="shared" si="30"/>
        <v>#DIV/0!</v>
      </c>
      <c r="DJ11" t="e">
        <f t="shared" si="31"/>
        <v>#DIV/0!</v>
      </c>
      <c r="DK11" t="e">
        <f t="shared" si="32"/>
        <v>#DIV/0!</v>
      </c>
      <c r="DL11" t="e">
        <f t="shared" si="33"/>
        <v>#DIV/0!</v>
      </c>
      <c r="DM11" t="e">
        <f t="shared" si="34"/>
        <v>#DIV/0!</v>
      </c>
      <c r="DN11" t="e">
        <f t="shared" si="35"/>
        <v>#DIV/0!</v>
      </c>
      <c r="DO11" t="e">
        <f t="shared" si="36"/>
        <v>#DIV/0!</v>
      </c>
      <c r="DP11" t="e">
        <f t="shared" si="37"/>
        <v>#DIV/0!</v>
      </c>
    </row>
    <row r="12" spans="1:120">
      <c r="A12" s="16" t="s">
        <v>842</v>
      </c>
      <c r="B12" s="16" t="s">
        <v>24</v>
      </c>
      <c r="C12" s="121" t="s">
        <v>1800</v>
      </c>
      <c r="D12" s="16" t="s">
        <v>1709</v>
      </c>
      <c r="E12" s="16" t="s">
        <v>237</v>
      </c>
      <c r="F12" s="16" t="s">
        <v>29</v>
      </c>
      <c r="G12" s="16" t="s">
        <v>595</v>
      </c>
      <c r="H12" s="27">
        <v>360</v>
      </c>
      <c r="I12" s="16" t="s">
        <v>712</v>
      </c>
      <c r="J12" s="16"/>
      <c r="K12" s="16" t="s">
        <v>913</v>
      </c>
      <c r="L12" s="16"/>
      <c r="M12" s="16" t="s">
        <v>55</v>
      </c>
      <c r="N12" s="16" t="s">
        <v>1084</v>
      </c>
      <c r="O12" s="95">
        <v>12.900640302677605</v>
      </c>
      <c r="P12" s="95">
        <v>0.53308431002800027</v>
      </c>
      <c r="Q12" s="95">
        <v>3.5183564461848014</v>
      </c>
      <c r="R12" s="95">
        <v>3.9448238942072016</v>
      </c>
      <c r="S12" s="95">
        <v>45.312166352380018</v>
      </c>
      <c r="T12" s="95">
        <v>17.165314782901607</v>
      </c>
      <c r="U12" s="95">
        <v>0</v>
      </c>
      <c r="V12" s="95">
        <v>9.0624332704760029</v>
      </c>
      <c r="W12" s="95">
        <v>4.7977587902520016</v>
      </c>
      <c r="X12" s="95">
        <v>1.2794023440672004</v>
      </c>
      <c r="Y12" s="95">
        <v>1.9191035161008008</v>
      </c>
      <c r="Z12" s="95">
        <v>100.43308400927523</v>
      </c>
      <c r="AA12" s="18"/>
      <c r="AB12" s="18"/>
      <c r="AC12" s="18"/>
      <c r="AD12" s="18"/>
      <c r="AE12" s="127"/>
      <c r="AF12" s="127"/>
      <c r="AG12" s="18"/>
      <c r="AH12" s="18"/>
      <c r="AI12" s="18"/>
      <c r="AJ12" s="18"/>
      <c r="AK12" s="134"/>
      <c r="AL12" s="18"/>
      <c r="AM12" s="134"/>
      <c r="AN12" s="127"/>
      <c r="AO12" s="18"/>
      <c r="AP12" s="18"/>
      <c r="AQ12" s="18"/>
      <c r="AR12" s="18"/>
      <c r="AS12" s="18"/>
      <c r="AT12" s="18"/>
      <c r="AU12" s="18"/>
      <c r="AV12" s="18"/>
      <c r="AW12" s="18"/>
      <c r="AX12" s="127"/>
      <c r="AY12" s="127"/>
      <c r="AZ12" s="127"/>
      <c r="BA12" s="127"/>
      <c r="BB12" s="18"/>
      <c r="BC12" s="127"/>
      <c r="BD12" s="18"/>
      <c r="BE12" s="18"/>
      <c r="BF12" s="18"/>
      <c r="BG12" s="18"/>
      <c r="BH12" s="127"/>
      <c r="BI12" s="127"/>
      <c r="BJ12" s="18"/>
      <c r="BK12" s="127"/>
      <c r="BL12" s="127"/>
      <c r="BM12" s="127"/>
      <c r="BN12" s="127"/>
      <c r="BO12" s="18"/>
      <c r="BP12" s="18"/>
      <c r="BQ12" s="18"/>
      <c r="BR12" s="18"/>
      <c r="BS12" s="18"/>
      <c r="BT12" s="18"/>
      <c r="BU12" s="18"/>
      <c r="BV12" s="18"/>
      <c r="BW12" s="18"/>
      <c r="BX12" s="18"/>
      <c r="BY12" s="127"/>
      <c r="BZ12" s="18"/>
      <c r="CA12" s="127"/>
      <c r="CB12" s="127"/>
      <c r="CC12" s="127"/>
      <c r="CE12" t="e">
        <f t="shared" si="0"/>
        <v>#DIV/0!</v>
      </c>
      <c r="CF12" t="e">
        <f t="shared" si="1"/>
        <v>#DIV/0!</v>
      </c>
      <c r="CG12" t="e">
        <f t="shared" si="2"/>
        <v>#DIV/0!</v>
      </c>
      <c r="CH12" t="e">
        <f t="shared" si="3"/>
        <v>#DIV/0!</v>
      </c>
      <c r="CI12" t="e">
        <f t="shared" si="4"/>
        <v>#DIV/0!</v>
      </c>
      <c r="CJ12" t="e">
        <f t="shared" si="5"/>
        <v>#DIV/0!</v>
      </c>
      <c r="CK12" t="e">
        <f t="shared" si="6"/>
        <v>#DIV/0!</v>
      </c>
      <c r="CL12" t="e">
        <f t="shared" si="7"/>
        <v>#DIV/0!</v>
      </c>
      <c r="CM12" t="e">
        <f t="shared" si="8"/>
        <v>#DIV/0!</v>
      </c>
      <c r="CN12" t="e">
        <f t="shared" si="9"/>
        <v>#DIV/0!</v>
      </c>
      <c r="CO12" t="e">
        <f t="shared" si="10"/>
        <v>#DIV/0!</v>
      </c>
      <c r="CP12" t="e">
        <f t="shared" si="11"/>
        <v>#DIV/0!</v>
      </c>
      <c r="CQ12" t="e">
        <f t="shared" si="12"/>
        <v>#DIV/0!</v>
      </c>
      <c r="CR12" t="e">
        <f t="shared" si="13"/>
        <v>#DIV/0!</v>
      </c>
      <c r="CS12" t="e">
        <f t="shared" si="14"/>
        <v>#DIV/0!</v>
      </c>
      <c r="CT12" t="e">
        <f t="shared" si="15"/>
        <v>#DIV/0!</v>
      </c>
      <c r="CU12" t="e">
        <f t="shared" si="16"/>
        <v>#DIV/0!</v>
      </c>
      <c r="CV12" t="e">
        <f t="shared" si="17"/>
        <v>#DIV/0!</v>
      </c>
      <c r="CW12" t="e">
        <f t="shared" si="18"/>
        <v>#DIV/0!</v>
      </c>
      <c r="CX12" t="e">
        <f t="shared" si="19"/>
        <v>#DIV/0!</v>
      </c>
      <c r="CY12" t="e">
        <f t="shared" si="20"/>
        <v>#DIV/0!</v>
      </c>
      <c r="CZ12" t="e">
        <f t="shared" si="21"/>
        <v>#DIV/0!</v>
      </c>
      <c r="DA12" t="e">
        <f t="shared" si="22"/>
        <v>#DIV/0!</v>
      </c>
      <c r="DB12" t="e">
        <f t="shared" si="23"/>
        <v>#DIV/0!</v>
      </c>
      <c r="DC12" t="e">
        <f t="shared" si="24"/>
        <v>#DIV/0!</v>
      </c>
      <c r="DD12" t="e">
        <f t="shared" si="25"/>
        <v>#DIV/0!</v>
      </c>
      <c r="DE12" t="e">
        <f t="shared" si="26"/>
        <v>#DIV/0!</v>
      </c>
      <c r="DF12" t="e">
        <f t="shared" si="27"/>
        <v>#DIV/0!</v>
      </c>
      <c r="DG12" t="e">
        <f t="shared" si="28"/>
        <v>#DIV/0!</v>
      </c>
      <c r="DH12" t="e">
        <f t="shared" si="29"/>
        <v>#DIV/0!</v>
      </c>
      <c r="DI12" t="e">
        <f t="shared" si="30"/>
        <v>#DIV/0!</v>
      </c>
      <c r="DJ12" t="e">
        <f t="shared" si="31"/>
        <v>#DIV/0!</v>
      </c>
      <c r="DK12" t="e">
        <f t="shared" si="32"/>
        <v>#DIV/0!</v>
      </c>
      <c r="DL12" t="e">
        <f t="shared" si="33"/>
        <v>#DIV/0!</v>
      </c>
      <c r="DM12" t="e">
        <f t="shared" si="34"/>
        <v>#DIV/0!</v>
      </c>
      <c r="DN12" t="e">
        <f t="shared" si="35"/>
        <v>#DIV/0!</v>
      </c>
      <c r="DO12" t="e">
        <f t="shared" si="36"/>
        <v>#DIV/0!</v>
      </c>
      <c r="DP12" t="e">
        <f t="shared" si="37"/>
        <v>#DIV/0!</v>
      </c>
    </row>
    <row r="13" spans="1:120">
      <c r="A13" s="16" t="s">
        <v>842</v>
      </c>
      <c r="B13" s="16" t="s">
        <v>24</v>
      </c>
      <c r="C13" s="121" t="s">
        <v>1800</v>
      </c>
      <c r="D13" s="16" t="s">
        <v>1709</v>
      </c>
      <c r="E13" s="16" t="s">
        <v>237</v>
      </c>
      <c r="F13" s="16" t="s">
        <v>29</v>
      </c>
      <c r="G13" s="16" t="s">
        <v>595</v>
      </c>
      <c r="H13" s="27">
        <v>360</v>
      </c>
      <c r="I13" s="16" t="s">
        <v>712</v>
      </c>
      <c r="J13" s="16"/>
      <c r="K13" s="16" t="s">
        <v>913</v>
      </c>
      <c r="L13" s="16"/>
      <c r="M13" s="16" t="s">
        <v>61</v>
      </c>
      <c r="N13" s="16" t="s">
        <v>1084</v>
      </c>
      <c r="O13" s="95">
        <v>10.048767849795022</v>
      </c>
      <c r="P13" s="95">
        <v>0.43220506880838799</v>
      </c>
      <c r="Q13" s="95">
        <v>4.6462044896901711</v>
      </c>
      <c r="R13" s="95">
        <v>6.0508709633174318</v>
      </c>
      <c r="S13" s="95">
        <v>43.436609415242998</v>
      </c>
      <c r="T13" s="95">
        <v>19.773381897983754</v>
      </c>
      <c r="U13" s="95">
        <v>0</v>
      </c>
      <c r="V13" s="95">
        <v>6.6991785665300148</v>
      </c>
      <c r="W13" s="95">
        <v>5.4025633601048497</v>
      </c>
      <c r="X13" s="95">
        <v>1.8368715424356488</v>
      </c>
      <c r="Y13" s="95">
        <v>2.1610253440419402</v>
      </c>
      <c r="Z13" s="95">
        <v>100.48767849795021</v>
      </c>
      <c r="AA13" s="18"/>
      <c r="AB13" s="18"/>
      <c r="AC13" s="18"/>
      <c r="AD13" s="18"/>
      <c r="AE13" s="127"/>
      <c r="AF13" s="127"/>
      <c r="AG13" s="18"/>
      <c r="AH13" s="18"/>
      <c r="AI13" s="18"/>
      <c r="AJ13" s="18"/>
      <c r="AK13" s="134"/>
      <c r="AL13" s="18"/>
      <c r="AM13" s="134"/>
      <c r="AN13" s="127"/>
      <c r="AO13" s="18"/>
      <c r="AP13" s="18"/>
      <c r="AQ13" s="18"/>
      <c r="AR13" s="18"/>
      <c r="AS13" s="18"/>
      <c r="AT13" s="18"/>
      <c r="AU13" s="18"/>
      <c r="AV13" s="18"/>
      <c r="AW13" s="18"/>
      <c r="AX13" s="127"/>
      <c r="AY13" s="127"/>
      <c r="AZ13" s="127"/>
      <c r="BA13" s="127"/>
      <c r="BB13" s="18"/>
      <c r="BC13" s="127"/>
      <c r="BD13" s="18"/>
      <c r="BE13" s="18"/>
      <c r="BF13" s="18"/>
      <c r="BG13" s="18"/>
      <c r="BH13" s="127"/>
      <c r="BI13" s="127"/>
      <c r="BJ13" s="18"/>
      <c r="BK13" s="127"/>
      <c r="BL13" s="127"/>
      <c r="BM13" s="127"/>
      <c r="BN13" s="127"/>
      <c r="BO13" s="18"/>
      <c r="BP13" s="18"/>
      <c r="BQ13" s="18"/>
      <c r="BR13" s="18"/>
      <c r="BS13" s="18"/>
      <c r="BT13" s="18"/>
      <c r="BU13" s="18"/>
      <c r="BV13" s="18"/>
      <c r="BW13" s="18"/>
      <c r="BX13" s="18"/>
      <c r="BY13" s="127"/>
      <c r="BZ13" s="18"/>
      <c r="CA13" s="127"/>
      <c r="CB13" s="127"/>
      <c r="CC13" s="127"/>
      <c r="CE13" t="e">
        <f t="shared" si="0"/>
        <v>#DIV/0!</v>
      </c>
      <c r="CF13" t="e">
        <f t="shared" si="1"/>
        <v>#DIV/0!</v>
      </c>
      <c r="CG13" t="e">
        <f t="shared" si="2"/>
        <v>#DIV/0!</v>
      </c>
      <c r="CH13" t="e">
        <f t="shared" si="3"/>
        <v>#DIV/0!</v>
      </c>
      <c r="CI13" t="e">
        <f t="shared" si="4"/>
        <v>#DIV/0!</v>
      </c>
      <c r="CJ13" t="e">
        <f t="shared" si="5"/>
        <v>#DIV/0!</v>
      </c>
      <c r="CK13" t="e">
        <f t="shared" si="6"/>
        <v>#DIV/0!</v>
      </c>
      <c r="CL13" t="e">
        <f t="shared" si="7"/>
        <v>#DIV/0!</v>
      </c>
      <c r="CM13" t="e">
        <f t="shared" si="8"/>
        <v>#DIV/0!</v>
      </c>
      <c r="CN13" t="e">
        <f t="shared" si="9"/>
        <v>#DIV/0!</v>
      </c>
      <c r="CO13" t="e">
        <f t="shared" si="10"/>
        <v>#DIV/0!</v>
      </c>
      <c r="CP13" t="e">
        <f t="shared" si="11"/>
        <v>#DIV/0!</v>
      </c>
      <c r="CQ13" t="e">
        <f t="shared" si="12"/>
        <v>#DIV/0!</v>
      </c>
      <c r="CR13" t="e">
        <f t="shared" si="13"/>
        <v>#DIV/0!</v>
      </c>
      <c r="CS13" t="e">
        <f t="shared" si="14"/>
        <v>#DIV/0!</v>
      </c>
      <c r="CT13" t="e">
        <f t="shared" si="15"/>
        <v>#DIV/0!</v>
      </c>
      <c r="CU13" t="e">
        <f t="shared" si="16"/>
        <v>#DIV/0!</v>
      </c>
      <c r="CV13" t="e">
        <f t="shared" si="17"/>
        <v>#DIV/0!</v>
      </c>
      <c r="CW13" t="e">
        <f t="shared" si="18"/>
        <v>#DIV/0!</v>
      </c>
      <c r="CX13" t="e">
        <f t="shared" si="19"/>
        <v>#DIV/0!</v>
      </c>
      <c r="CY13" t="e">
        <f t="shared" si="20"/>
        <v>#DIV/0!</v>
      </c>
      <c r="CZ13" t="e">
        <f t="shared" si="21"/>
        <v>#DIV/0!</v>
      </c>
      <c r="DA13" t="e">
        <f t="shared" si="22"/>
        <v>#DIV/0!</v>
      </c>
      <c r="DB13" t="e">
        <f t="shared" si="23"/>
        <v>#DIV/0!</v>
      </c>
      <c r="DC13" t="e">
        <f t="shared" si="24"/>
        <v>#DIV/0!</v>
      </c>
      <c r="DD13" t="e">
        <f t="shared" si="25"/>
        <v>#DIV/0!</v>
      </c>
      <c r="DE13" t="e">
        <f t="shared" si="26"/>
        <v>#DIV/0!</v>
      </c>
      <c r="DF13" t="e">
        <f t="shared" si="27"/>
        <v>#DIV/0!</v>
      </c>
      <c r="DG13" t="e">
        <f t="shared" si="28"/>
        <v>#DIV/0!</v>
      </c>
      <c r="DH13" t="e">
        <f t="shared" si="29"/>
        <v>#DIV/0!</v>
      </c>
      <c r="DI13" t="e">
        <f t="shared" si="30"/>
        <v>#DIV/0!</v>
      </c>
      <c r="DJ13" t="e">
        <f t="shared" si="31"/>
        <v>#DIV/0!</v>
      </c>
      <c r="DK13" t="e">
        <f t="shared" si="32"/>
        <v>#DIV/0!</v>
      </c>
      <c r="DL13" t="e">
        <f t="shared" si="33"/>
        <v>#DIV/0!</v>
      </c>
      <c r="DM13" t="e">
        <f t="shared" si="34"/>
        <v>#DIV/0!</v>
      </c>
      <c r="DN13" t="e">
        <f t="shared" si="35"/>
        <v>#DIV/0!</v>
      </c>
      <c r="DO13" t="e">
        <f t="shared" si="36"/>
        <v>#DIV/0!</v>
      </c>
      <c r="DP13" t="e">
        <f t="shared" si="37"/>
        <v>#DIV/0!</v>
      </c>
    </row>
    <row r="14" spans="1:120">
      <c r="A14" s="16" t="s">
        <v>842</v>
      </c>
      <c r="B14" s="16" t="s">
        <v>24</v>
      </c>
      <c r="C14" s="121" t="s">
        <v>1800</v>
      </c>
      <c r="D14" s="16" t="s">
        <v>1709</v>
      </c>
      <c r="E14" s="16" t="s">
        <v>237</v>
      </c>
      <c r="F14" s="16" t="s">
        <v>29</v>
      </c>
      <c r="G14" s="16" t="s">
        <v>595</v>
      </c>
      <c r="H14" s="27">
        <v>360</v>
      </c>
      <c r="I14" s="16" t="s">
        <v>712</v>
      </c>
      <c r="J14" s="16"/>
      <c r="K14" s="16" t="s">
        <v>913</v>
      </c>
      <c r="L14" s="16"/>
      <c r="M14" s="16" t="s">
        <v>59</v>
      </c>
      <c r="N14" s="16" t="s">
        <v>1084</v>
      </c>
      <c r="O14" s="95">
        <v>14.784660713857084</v>
      </c>
      <c r="P14" s="95">
        <v>0.85091572453853714</v>
      </c>
      <c r="Q14" s="95">
        <v>2.3400182424809772</v>
      </c>
      <c r="R14" s="95">
        <v>6.0627745373370772</v>
      </c>
      <c r="S14" s="95">
        <v>43.396701951465396</v>
      </c>
      <c r="T14" s="95">
        <v>16.699221094068793</v>
      </c>
      <c r="U14" s="95">
        <v>0</v>
      </c>
      <c r="V14" s="95">
        <v>8.8282506420873244</v>
      </c>
      <c r="W14" s="95">
        <v>4.1482141571253681</v>
      </c>
      <c r="X14" s="95">
        <v>1.48910251794244</v>
      </c>
      <c r="Y14" s="95">
        <v>1.8081959146443913</v>
      </c>
      <c r="Z14" s="95">
        <v>100.40805549554739</v>
      </c>
      <c r="AA14" s="18"/>
      <c r="AB14" s="18"/>
      <c r="AC14" s="18"/>
      <c r="AD14" s="18"/>
      <c r="AE14" s="127"/>
      <c r="AF14" s="127"/>
      <c r="AG14" s="18"/>
      <c r="AH14" s="18"/>
      <c r="AI14" s="18"/>
      <c r="AJ14" s="18"/>
      <c r="AK14" s="134"/>
      <c r="AL14" s="18"/>
      <c r="AM14" s="134"/>
      <c r="AN14" s="127"/>
      <c r="AO14" s="18"/>
      <c r="AP14" s="18"/>
      <c r="AQ14" s="18"/>
      <c r="AR14" s="18"/>
      <c r="AS14" s="18"/>
      <c r="AT14" s="18"/>
      <c r="AU14" s="18"/>
      <c r="AV14" s="18"/>
      <c r="AW14" s="18"/>
      <c r="AX14" s="127"/>
      <c r="AY14" s="127"/>
      <c r="AZ14" s="127"/>
      <c r="BA14" s="127"/>
      <c r="BB14" s="18"/>
      <c r="BC14" s="127"/>
      <c r="BD14" s="18"/>
      <c r="BE14" s="18"/>
      <c r="BF14" s="18"/>
      <c r="BG14" s="18"/>
      <c r="BH14" s="127"/>
      <c r="BI14" s="127"/>
      <c r="BJ14" s="18"/>
      <c r="BK14" s="127"/>
      <c r="BL14" s="127"/>
      <c r="BM14" s="127"/>
      <c r="BN14" s="127"/>
      <c r="BO14" s="18"/>
      <c r="BP14" s="18"/>
      <c r="BQ14" s="18"/>
      <c r="BR14" s="18"/>
      <c r="BS14" s="18"/>
      <c r="BT14" s="18"/>
      <c r="BU14" s="18"/>
      <c r="BV14" s="18"/>
      <c r="BW14" s="18"/>
      <c r="BX14" s="18"/>
      <c r="BY14" s="127"/>
      <c r="BZ14" s="18"/>
      <c r="CA14" s="127"/>
      <c r="CB14" s="127"/>
      <c r="CC14" s="127"/>
      <c r="CE14" t="e">
        <f t="shared" si="0"/>
        <v>#DIV/0!</v>
      </c>
      <c r="CF14" t="e">
        <f t="shared" si="1"/>
        <v>#DIV/0!</v>
      </c>
      <c r="CG14" t="e">
        <f t="shared" si="2"/>
        <v>#DIV/0!</v>
      </c>
      <c r="CH14" t="e">
        <f t="shared" si="3"/>
        <v>#DIV/0!</v>
      </c>
      <c r="CI14" t="e">
        <f t="shared" si="4"/>
        <v>#DIV/0!</v>
      </c>
      <c r="CJ14" t="e">
        <f t="shared" si="5"/>
        <v>#DIV/0!</v>
      </c>
      <c r="CK14" t="e">
        <f t="shared" si="6"/>
        <v>#DIV/0!</v>
      </c>
      <c r="CL14" t="e">
        <f t="shared" si="7"/>
        <v>#DIV/0!</v>
      </c>
      <c r="CM14" t="e">
        <f t="shared" si="8"/>
        <v>#DIV/0!</v>
      </c>
      <c r="CN14" t="e">
        <f t="shared" si="9"/>
        <v>#DIV/0!</v>
      </c>
      <c r="CO14" t="e">
        <f t="shared" si="10"/>
        <v>#DIV/0!</v>
      </c>
      <c r="CP14" t="e">
        <f t="shared" si="11"/>
        <v>#DIV/0!</v>
      </c>
      <c r="CQ14" t="e">
        <f t="shared" si="12"/>
        <v>#DIV/0!</v>
      </c>
      <c r="CR14" t="e">
        <f t="shared" si="13"/>
        <v>#DIV/0!</v>
      </c>
      <c r="CS14" t="e">
        <f t="shared" si="14"/>
        <v>#DIV/0!</v>
      </c>
      <c r="CT14" t="e">
        <f t="shared" si="15"/>
        <v>#DIV/0!</v>
      </c>
      <c r="CU14" t="e">
        <f t="shared" si="16"/>
        <v>#DIV/0!</v>
      </c>
      <c r="CV14" t="e">
        <f t="shared" si="17"/>
        <v>#DIV/0!</v>
      </c>
      <c r="CW14" t="e">
        <f t="shared" si="18"/>
        <v>#DIV/0!</v>
      </c>
      <c r="CX14" t="e">
        <f t="shared" si="19"/>
        <v>#DIV/0!</v>
      </c>
      <c r="CY14" t="e">
        <f t="shared" si="20"/>
        <v>#DIV/0!</v>
      </c>
      <c r="CZ14" t="e">
        <f t="shared" si="21"/>
        <v>#DIV/0!</v>
      </c>
      <c r="DA14" t="e">
        <f t="shared" si="22"/>
        <v>#DIV/0!</v>
      </c>
      <c r="DB14" t="e">
        <f t="shared" si="23"/>
        <v>#DIV/0!</v>
      </c>
      <c r="DC14" t="e">
        <f t="shared" si="24"/>
        <v>#DIV/0!</v>
      </c>
      <c r="DD14" t="e">
        <f t="shared" si="25"/>
        <v>#DIV/0!</v>
      </c>
      <c r="DE14" t="e">
        <f t="shared" si="26"/>
        <v>#DIV/0!</v>
      </c>
      <c r="DF14" t="e">
        <f t="shared" si="27"/>
        <v>#DIV/0!</v>
      </c>
      <c r="DG14" t="e">
        <f t="shared" si="28"/>
        <v>#DIV/0!</v>
      </c>
      <c r="DH14" t="e">
        <f t="shared" si="29"/>
        <v>#DIV/0!</v>
      </c>
      <c r="DI14" t="e">
        <f t="shared" si="30"/>
        <v>#DIV/0!</v>
      </c>
      <c r="DJ14" t="e">
        <f t="shared" si="31"/>
        <v>#DIV/0!</v>
      </c>
      <c r="DK14" t="e">
        <f t="shared" si="32"/>
        <v>#DIV/0!</v>
      </c>
      <c r="DL14" t="e">
        <f t="shared" si="33"/>
        <v>#DIV/0!</v>
      </c>
      <c r="DM14" t="e">
        <f t="shared" si="34"/>
        <v>#DIV/0!</v>
      </c>
      <c r="DN14" t="e">
        <f t="shared" si="35"/>
        <v>#DIV/0!</v>
      </c>
      <c r="DO14" t="e">
        <f t="shared" si="36"/>
        <v>#DIV/0!</v>
      </c>
      <c r="DP14" t="e">
        <f t="shared" si="37"/>
        <v>#DIV/0!</v>
      </c>
    </row>
    <row r="15" spans="1:120">
      <c r="A15" s="16" t="s">
        <v>842</v>
      </c>
      <c r="B15" s="16" t="s">
        <v>24</v>
      </c>
      <c r="C15" s="121" t="s">
        <v>1800</v>
      </c>
      <c r="D15" s="16" t="s">
        <v>1709</v>
      </c>
      <c r="E15" s="16" t="s">
        <v>237</v>
      </c>
      <c r="F15" s="16" t="s">
        <v>29</v>
      </c>
      <c r="G15" s="16" t="s">
        <v>595</v>
      </c>
      <c r="H15" s="27">
        <v>360</v>
      </c>
      <c r="I15" s="16" t="s">
        <v>712</v>
      </c>
      <c r="J15" s="16"/>
      <c r="K15" s="16" t="s">
        <v>913</v>
      </c>
      <c r="L15" s="16"/>
      <c r="M15" s="16" t="s">
        <v>66</v>
      </c>
      <c r="N15" s="16" t="s">
        <v>1084</v>
      </c>
      <c r="O15" s="95">
        <v>17.720279865928571</v>
      </c>
      <c r="P15" s="95">
        <v>2.7424242649651358</v>
      </c>
      <c r="Q15" s="95">
        <v>1.8986014142066328</v>
      </c>
      <c r="R15" s="95">
        <v>11.91899776696386</v>
      </c>
      <c r="S15" s="95">
        <v>38.60489542220153</v>
      </c>
      <c r="T15" s="95">
        <v>16.24358987710119</v>
      </c>
      <c r="U15" s="95">
        <v>0</v>
      </c>
      <c r="V15" s="95">
        <v>4.9574592482062068</v>
      </c>
      <c r="W15" s="95">
        <v>3.7972028284132655</v>
      </c>
      <c r="X15" s="95">
        <v>1.054778563448129</v>
      </c>
      <c r="Y15" s="95">
        <v>1.3712121324825679</v>
      </c>
      <c r="Z15" s="95">
        <v>100.30944138391708</v>
      </c>
      <c r="AA15" s="18"/>
      <c r="AB15" s="18"/>
      <c r="AC15" s="18"/>
      <c r="AD15" s="18"/>
      <c r="AE15" s="127"/>
      <c r="AF15" s="127"/>
      <c r="AG15" s="18"/>
      <c r="AH15" s="18"/>
      <c r="AI15" s="18"/>
      <c r="AJ15" s="18"/>
      <c r="AK15" s="134"/>
      <c r="AL15" s="18"/>
      <c r="AM15" s="134"/>
      <c r="AN15" s="127"/>
      <c r="AO15" s="18"/>
      <c r="AP15" s="18"/>
      <c r="AQ15" s="18"/>
      <c r="AR15" s="18"/>
      <c r="AS15" s="18"/>
      <c r="AT15" s="18"/>
      <c r="AU15" s="18"/>
      <c r="AV15" s="18"/>
      <c r="AW15" s="18"/>
      <c r="AX15" s="127"/>
      <c r="AY15" s="127"/>
      <c r="AZ15" s="127"/>
      <c r="BA15" s="127"/>
      <c r="BB15" s="18"/>
      <c r="BC15" s="127"/>
      <c r="BD15" s="18"/>
      <c r="BE15" s="18"/>
      <c r="BF15" s="18"/>
      <c r="BG15" s="18"/>
      <c r="BH15" s="127"/>
      <c r="BI15" s="127"/>
      <c r="BJ15" s="18"/>
      <c r="BK15" s="127"/>
      <c r="BL15" s="127"/>
      <c r="BM15" s="127"/>
      <c r="BN15" s="127"/>
      <c r="BO15" s="18"/>
      <c r="BP15" s="18"/>
      <c r="BQ15" s="18"/>
      <c r="BR15" s="18"/>
      <c r="BS15" s="18"/>
      <c r="BT15" s="18"/>
      <c r="BU15" s="18"/>
      <c r="BV15" s="18"/>
      <c r="BW15" s="18"/>
      <c r="BX15" s="18"/>
      <c r="BY15" s="127"/>
      <c r="BZ15" s="18"/>
      <c r="CA15" s="127"/>
      <c r="CB15" s="127"/>
      <c r="CC15" s="127"/>
      <c r="CE15" t="e">
        <f t="shared" si="0"/>
        <v>#DIV/0!</v>
      </c>
      <c r="CF15" t="e">
        <f t="shared" si="1"/>
        <v>#DIV/0!</v>
      </c>
      <c r="CG15" t="e">
        <f t="shared" si="2"/>
        <v>#DIV/0!</v>
      </c>
      <c r="CH15" t="e">
        <f t="shared" si="3"/>
        <v>#DIV/0!</v>
      </c>
      <c r="CI15" t="e">
        <f t="shared" si="4"/>
        <v>#DIV/0!</v>
      </c>
      <c r="CJ15" t="e">
        <f t="shared" si="5"/>
        <v>#DIV/0!</v>
      </c>
      <c r="CK15" t="e">
        <f t="shared" si="6"/>
        <v>#DIV/0!</v>
      </c>
      <c r="CL15" t="e">
        <f t="shared" si="7"/>
        <v>#DIV/0!</v>
      </c>
      <c r="CM15" t="e">
        <f t="shared" si="8"/>
        <v>#DIV/0!</v>
      </c>
      <c r="CN15" t="e">
        <f t="shared" si="9"/>
        <v>#DIV/0!</v>
      </c>
      <c r="CO15" t="e">
        <f t="shared" si="10"/>
        <v>#DIV/0!</v>
      </c>
      <c r="CP15" t="e">
        <f t="shared" si="11"/>
        <v>#DIV/0!</v>
      </c>
      <c r="CQ15" t="e">
        <f t="shared" si="12"/>
        <v>#DIV/0!</v>
      </c>
      <c r="CR15" t="e">
        <f t="shared" si="13"/>
        <v>#DIV/0!</v>
      </c>
      <c r="CS15" t="e">
        <f t="shared" si="14"/>
        <v>#DIV/0!</v>
      </c>
      <c r="CT15" t="e">
        <f t="shared" si="15"/>
        <v>#DIV/0!</v>
      </c>
      <c r="CU15" t="e">
        <f t="shared" si="16"/>
        <v>#DIV/0!</v>
      </c>
      <c r="CV15" t="e">
        <f t="shared" si="17"/>
        <v>#DIV/0!</v>
      </c>
      <c r="CW15" t="e">
        <f t="shared" si="18"/>
        <v>#DIV/0!</v>
      </c>
      <c r="CX15" t="e">
        <f t="shared" si="19"/>
        <v>#DIV/0!</v>
      </c>
      <c r="CY15" t="e">
        <f t="shared" si="20"/>
        <v>#DIV/0!</v>
      </c>
      <c r="CZ15" t="e">
        <f t="shared" si="21"/>
        <v>#DIV/0!</v>
      </c>
      <c r="DA15" t="e">
        <f t="shared" si="22"/>
        <v>#DIV/0!</v>
      </c>
      <c r="DB15" t="e">
        <f t="shared" si="23"/>
        <v>#DIV/0!</v>
      </c>
      <c r="DC15" t="e">
        <f t="shared" si="24"/>
        <v>#DIV/0!</v>
      </c>
      <c r="DD15" t="e">
        <f t="shared" si="25"/>
        <v>#DIV/0!</v>
      </c>
      <c r="DE15" t="e">
        <f t="shared" si="26"/>
        <v>#DIV/0!</v>
      </c>
      <c r="DF15" t="e">
        <f t="shared" si="27"/>
        <v>#DIV/0!</v>
      </c>
      <c r="DG15" t="e">
        <f t="shared" si="28"/>
        <v>#DIV/0!</v>
      </c>
      <c r="DH15" t="e">
        <f t="shared" si="29"/>
        <v>#DIV/0!</v>
      </c>
      <c r="DI15" t="e">
        <f t="shared" si="30"/>
        <v>#DIV/0!</v>
      </c>
      <c r="DJ15" t="e">
        <f t="shared" si="31"/>
        <v>#DIV/0!</v>
      </c>
      <c r="DK15" t="e">
        <f t="shared" si="32"/>
        <v>#DIV/0!</v>
      </c>
      <c r="DL15" t="e">
        <f t="shared" si="33"/>
        <v>#DIV/0!</v>
      </c>
      <c r="DM15" t="e">
        <f t="shared" si="34"/>
        <v>#DIV/0!</v>
      </c>
      <c r="DN15" t="e">
        <f t="shared" si="35"/>
        <v>#DIV/0!</v>
      </c>
      <c r="DO15" t="e">
        <f t="shared" si="36"/>
        <v>#DIV/0!</v>
      </c>
      <c r="DP15" t="e">
        <f t="shared" si="37"/>
        <v>#DIV/0!</v>
      </c>
    </row>
    <row r="16" spans="1:120">
      <c r="A16" s="16" t="s">
        <v>842</v>
      </c>
      <c r="B16" s="16" t="s">
        <v>24</v>
      </c>
      <c r="C16" s="121" t="s">
        <v>1800</v>
      </c>
      <c r="D16" s="16" t="s">
        <v>1709</v>
      </c>
      <c r="E16" s="16" t="s">
        <v>237</v>
      </c>
      <c r="F16" s="16" t="s">
        <v>29</v>
      </c>
      <c r="G16" s="16" t="s">
        <v>595</v>
      </c>
      <c r="H16" s="27">
        <v>360</v>
      </c>
      <c r="I16" s="16" t="s">
        <v>712</v>
      </c>
      <c r="J16" s="16"/>
      <c r="K16" s="16" t="s">
        <v>913</v>
      </c>
      <c r="L16" s="16"/>
      <c r="M16" s="16" t="s">
        <v>51</v>
      </c>
      <c r="N16" s="16" t="s">
        <v>1084</v>
      </c>
      <c r="O16" s="95">
        <v>10.700113336746259</v>
      </c>
      <c r="P16" s="95">
        <v>0.62941843157330934</v>
      </c>
      <c r="Q16" s="95">
        <v>3.251995229795432</v>
      </c>
      <c r="R16" s="95">
        <v>4.091219805226511</v>
      </c>
      <c r="S16" s="95">
        <v>47.940703871500403</v>
      </c>
      <c r="T16" s="95">
        <v>20.246292882274787</v>
      </c>
      <c r="U16" s="95">
        <v>0</v>
      </c>
      <c r="V16" s="95">
        <v>6.8186996753775198</v>
      </c>
      <c r="W16" s="95">
        <v>3.251995229795432</v>
      </c>
      <c r="X16" s="95">
        <v>1.3637399350755037</v>
      </c>
      <c r="Y16" s="95">
        <v>2.2029645105065834</v>
      </c>
      <c r="Z16" s="95">
        <v>100.49714290787173</v>
      </c>
      <c r="AA16" s="18"/>
      <c r="AB16" s="18"/>
      <c r="AC16" s="18"/>
      <c r="AD16" s="18"/>
      <c r="AE16" s="127"/>
      <c r="AF16" s="127"/>
      <c r="AG16" s="18"/>
      <c r="AH16" s="18"/>
      <c r="AI16" s="18"/>
      <c r="AJ16" s="18"/>
      <c r="AK16" s="134"/>
      <c r="AL16" s="18"/>
      <c r="AM16" s="134"/>
      <c r="AN16" s="127"/>
      <c r="AO16" s="18"/>
      <c r="AP16" s="18"/>
      <c r="AQ16" s="18"/>
      <c r="AR16" s="18"/>
      <c r="AS16" s="18"/>
      <c r="AT16" s="18"/>
      <c r="AU16" s="18"/>
      <c r="AV16" s="18"/>
      <c r="AW16" s="18"/>
      <c r="AX16" s="127"/>
      <c r="AY16" s="127"/>
      <c r="AZ16" s="127"/>
      <c r="BA16" s="127"/>
      <c r="BB16" s="18"/>
      <c r="BC16" s="127"/>
      <c r="BD16" s="18"/>
      <c r="BE16" s="18"/>
      <c r="BF16" s="18"/>
      <c r="BG16" s="18"/>
      <c r="BH16" s="127"/>
      <c r="BI16" s="127"/>
      <c r="BJ16" s="18"/>
      <c r="BK16" s="127"/>
      <c r="BL16" s="127"/>
      <c r="BM16" s="127"/>
      <c r="BN16" s="127"/>
      <c r="BO16" s="18"/>
      <c r="BP16" s="18"/>
      <c r="BQ16" s="18"/>
      <c r="BR16" s="18"/>
      <c r="BS16" s="18"/>
      <c r="BT16" s="18"/>
      <c r="BU16" s="18"/>
      <c r="BV16" s="18"/>
      <c r="BW16" s="18"/>
      <c r="BX16" s="18"/>
      <c r="BY16" s="127"/>
      <c r="BZ16" s="18"/>
      <c r="CA16" s="127"/>
      <c r="CB16" s="127"/>
      <c r="CC16" s="127"/>
      <c r="CE16" t="e">
        <f t="shared" si="0"/>
        <v>#DIV/0!</v>
      </c>
      <c r="CF16" t="e">
        <f t="shared" si="1"/>
        <v>#DIV/0!</v>
      </c>
      <c r="CG16" t="e">
        <f t="shared" si="2"/>
        <v>#DIV/0!</v>
      </c>
      <c r="CH16" t="e">
        <f t="shared" si="3"/>
        <v>#DIV/0!</v>
      </c>
      <c r="CI16" t="e">
        <f t="shared" si="4"/>
        <v>#DIV/0!</v>
      </c>
      <c r="CJ16" t="e">
        <f t="shared" si="5"/>
        <v>#DIV/0!</v>
      </c>
      <c r="CK16" t="e">
        <f t="shared" si="6"/>
        <v>#DIV/0!</v>
      </c>
      <c r="CL16" t="e">
        <f t="shared" si="7"/>
        <v>#DIV/0!</v>
      </c>
      <c r="CM16" t="e">
        <f t="shared" si="8"/>
        <v>#DIV/0!</v>
      </c>
      <c r="CN16" t="e">
        <f t="shared" si="9"/>
        <v>#DIV/0!</v>
      </c>
      <c r="CO16" t="e">
        <f t="shared" si="10"/>
        <v>#DIV/0!</v>
      </c>
      <c r="CP16" t="e">
        <f t="shared" si="11"/>
        <v>#DIV/0!</v>
      </c>
      <c r="CQ16" t="e">
        <f t="shared" si="12"/>
        <v>#DIV/0!</v>
      </c>
      <c r="CR16" t="e">
        <f t="shared" si="13"/>
        <v>#DIV/0!</v>
      </c>
      <c r="CS16" t="e">
        <f t="shared" si="14"/>
        <v>#DIV/0!</v>
      </c>
      <c r="CT16" t="e">
        <f t="shared" si="15"/>
        <v>#DIV/0!</v>
      </c>
      <c r="CU16" t="e">
        <f t="shared" si="16"/>
        <v>#DIV/0!</v>
      </c>
      <c r="CV16" t="e">
        <f t="shared" si="17"/>
        <v>#DIV/0!</v>
      </c>
      <c r="CW16" t="e">
        <f t="shared" si="18"/>
        <v>#DIV/0!</v>
      </c>
      <c r="CX16" t="e">
        <f t="shared" si="19"/>
        <v>#DIV/0!</v>
      </c>
      <c r="CY16" t="e">
        <f t="shared" si="20"/>
        <v>#DIV/0!</v>
      </c>
      <c r="CZ16" t="e">
        <f t="shared" si="21"/>
        <v>#DIV/0!</v>
      </c>
      <c r="DA16" t="e">
        <f t="shared" si="22"/>
        <v>#DIV/0!</v>
      </c>
      <c r="DB16" t="e">
        <f t="shared" si="23"/>
        <v>#DIV/0!</v>
      </c>
      <c r="DC16" t="e">
        <f t="shared" si="24"/>
        <v>#DIV/0!</v>
      </c>
      <c r="DD16" t="e">
        <f t="shared" si="25"/>
        <v>#DIV/0!</v>
      </c>
      <c r="DE16" t="e">
        <f t="shared" si="26"/>
        <v>#DIV/0!</v>
      </c>
      <c r="DF16" t="e">
        <f t="shared" si="27"/>
        <v>#DIV/0!</v>
      </c>
      <c r="DG16" t="e">
        <f t="shared" si="28"/>
        <v>#DIV/0!</v>
      </c>
      <c r="DH16" t="e">
        <f t="shared" si="29"/>
        <v>#DIV/0!</v>
      </c>
      <c r="DI16" t="e">
        <f t="shared" si="30"/>
        <v>#DIV/0!</v>
      </c>
      <c r="DJ16" t="e">
        <f t="shared" si="31"/>
        <v>#DIV/0!</v>
      </c>
      <c r="DK16" t="e">
        <f t="shared" si="32"/>
        <v>#DIV/0!</v>
      </c>
      <c r="DL16" t="e">
        <f t="shared" si="33"/>
        <v>#DIV/0!</v>
      </c>
      <c r="DM16" t="e">
        <f t="shared" si="34"/>
        <v>#DIV/0!</v>
      </c>
      <c r="DN16" t="e">
        <f t="shared" si="35"/>
        <v>#DIV/0!</v>
      </c>
      <c r="DO16" t="e">
        <f t="shared" si="36"/>
        <v>#DIV/0!</v>
      </c>
      <c r="DP16" t="e">
        <f t="shared" si="37"/>
        <v>#DIV/0!</v>
      </c>
    </row>
    <row r="17" spans="1:120">
      <c r="A17" s="16" t="s">
        <v>842</v>
      </c>
      <c r="B17" s="16" t="s">
        <v>24</v>
      </c>
      <c r="C17" s="121" t="s">
        <v>1800</v>
      </c>
      <c r="D17" s="16" t="s">
        <v>1709</v>
      </c>
      <c r="E17" s="16" t="s">
        <v>237</v>
      </c>
      <c r="F17" s="16" t="s">
        <v>29</v>
      </c>
      <c r="G17" s="16" t="s">
        <v>595</v>
      </c>
      <c r="H17" s="27">
        <v>360</v>
      </c>
      <c r="I17" s="16" t="s">
        <v>712</v>
      </c>
      <c r="J17" s="16"/>
      <c r="K17" s="16" t="s">
        <v>913</v>
      </c>
      <c r="L17" s="16"/>
      <c r="M17" s="16" t="s">
        <v>60</v>
      </c>
      <c r="N17" s="16" t="s">
        <v>1084</v>
      </c>
      <c r="O17" s="95">
        <v>12.700971830355142</v>
      </c>
      <c r="P17" s="95">
        <v>0.52920715959813103</v>
      </c>
      <c r="Q17" s="95">
        <v>1.6934629107140191</v>
      </c>
      <c r="R17" s="95">
        <v>5.9271201874990664</v>
      </c>
      <c r="S17" s="95">
        <v>42.654097063609356</v>
      </c>
      <c r="T17" s="95">
        <v>17.993043426336452</v>
      </c>
      <c r="U17" s="95">
        <v>0</v>
      </c>
      <c r="V17" s="95">
        <v>9.9490946004448624</v>
      </c>
      <c r="W17" s="95">
        <v>4.2336572767850482</v>
      </c>
      <c r="X17" s="95">
        <v>2.4343529341514025</v>
      </c>
      <c r="Y17" s="95">
        <v>2.4343529341514025</v>
      </c>
      <c r="Z17" s="95">
        <v>100.5493603236449</v>
      </c>
      <c r="AA17" s="18"/>
      <c r="AB17" s="18"/>
      <c r="AC17" s="18"/>
      <c r="AD17" s="18"/>
      <c r="AE17" s="127"/>
      <c r="AF17" s="127"/>
      <c r="AG17" s="18"/>
      <c r="AH17" s="18"/>
      <c r="AI17" s="18"/>
      <c r="AJ17" s="18"/>
      <c r="AK17" s="134"/>
      <c r="AL17" s="18"/>
      <c r="AM17" s="134"/>
      <c r="AN17" s="127"/>
      <c r="AO17" s="18"/>
      <c r="AP17" s="18"/>
      <c r="AQ17" s="18"/>
      <c r="AR17" s="18"/>
      <c r="AS17" s="18"/>
      <c r="AT17" s="18"/>
      <c r="AU17" s="18"/>
      <c r="AV17" s="18"/>
      <c r="AW17" s="18"/>
      <c r="AX17" s="127"/>
      <c r="AY17" s="127"/>
      <c r="AZ17" s="127"/>
      <c r="BA17" s="127"/>
      <c r="BB17" s="18"/>
      <c r="BC17" s="127"/>
      <c r="BD17" s="18"/>
      <c r="BE17" s="18"/>
      <c r="BF17" s="18"/>
      <c r="BG17" s="18"/>
      <c r="BH17" s="127"/>
      <c r="BI17" s="127"/>
      <c r="BJ17" s="18"/>
      <c r="BK17" s="127"/>
      <c r="BL17" s="127"/>
      <c r="BM17" s="127"/>
      <c r="BN17" s="127"/>
      <c r="BO17" s="18"/>
      <c r="BP17" s="18"/>
      <c r="BQ17" s="18"/>
      <c r="BR17" s="18"/>
      <c r="BS17" s="18"/>
      <c r="BT17" s="18"/>
      <c r="BU17" s="18"/>
      <c r="BV17" s="18"/>
      <c r="BW17" s="18"/>
      <c r="BX17" s="18"/>
      <c r="BY17" s="127"/>
      <c r="BZ17" s="18"/>
      <c r="CA17" s="127"/>
      <c r="CB17" s="127"/>
      <c r="CC17" s="127"/>
      <c r="CE17" t="e">
        <f t="shared" si="0"/>
        <v>#DIV/0!</v>
      </c>
      <c r="CF17" t="e">
        <f t="shared" si="1"/>
        <v>#DIV/0!</v>
      </c>
      <c r="CG17" t="e">
        <f t="shared" si="2"/>
        <v>#DIV/0!</v>
      </c>
      <c r="CH17" t="e">
        <f t="shared" si="3"/>
        <v>#DIV/0!</v>
      </c>
      <c r="CI17" t="e">
        <f t="shared" si="4"/>
        <v>#DIV/0!</v>
      </c>
      <c r="CJ17" t="e">
        <f t="shared" si="5"/>
        <v>#DIV/0!</v>
      </c>
      <c r="CK17" t="e">
        <f t="shared" si="6"/>
        <v>#DIV/0!</v>
      </c>
      <c r="CL17" t="e">
        <f t="shared" si="7"/>
        <v>#DIV/0!</v>
      </c>
      <c r="CM17" t="e">
        <f t="shared" si="8"/>
        <v>#DIV/0!</v>
      </c>
      <c r="CN17" t="e">
        <f t="shared" si="9"/>
        <v>#DIV/0!</v>
      </c>
      <c r="CO17" t="e">
        <f t="shared" si="10"/>
        <v>#DIV/0!</v>
      </c>
      <c r="CP17" t="e">
        <f t="shared" si="11"/>
        <v>#DIV/0!</v>
      </c>
      <c r="CQ17" t="e">
        <f t="shared" si="12"/>
        <v>#DIV/0!</v>
      </c>
      <c r="CR17" t="e">
        <f t="shared" si="13"/>
        <v>#DIV/0!</v>
      </c>
      <c r="CS17" t="e">
        <f t="shared" si="14"/>
        <v>#DIV/0!</v>
      </c>
      <c r="CT17" t="e">
        <f t="shared" si="15"/>
        <v>#DIV/0!</v>
      </c>
      <c r="CU17" t="e">
        <f t="shared" si="16"/>
        <v>#DIV/0!</v>
      </c>
      <c r="CV17" t="e">
        <f t="shared" si="17"/>
        <v>#DIV/0!</v>
      </c>
      <c r="CW17" t="e">
        <f t="shared" si="18"/>
        <v>#DIV/0!</v>
      </c>
      <c r="CX17" t="e">
        <f t="shared" si="19"/>
        <v>#DIV/0!</v>
      </c>
      <c r="CY17" t="e">
        <f t="shared" si="20"/>
        <v>#DIV/0!</v>
      </c>
      <c r="CZ17" t="e">
        <f t="shared" si="21"/>
        <v>#DIV/0!</v>
      </c>
      <c r="DA17" t="e">
        <f t="shared" si="22"/>
        <v>#DIV/0!</v>
      </c>
      <c r="DB17" t="e">
        <f t="shared" si="23"/>
        <v>#DIV/0!</v>
      </c>
      <c r="DC17" t="e">
        <f t="shared" si="24"/>
        <v>#DIV/0!</v>
      </c>
      <c r="DD17" t="e">
        <f t="shared" si="25"/>
        <v>#DIV/0!</v>
      </c>
      <c r="DE17" t="e">
        <f t="shared" si="26"/>
        <v>#DIV/0!</v>
      </c>
      <c r="DF17" t="e">
        <f t="shared" si="27"/>
        <v>#DIV/0!</v>
      </c>
      <c r="DG17" t="e">
        <f t="shared" si="28"/>
        <v>#DIV/0!</v>
      </c>
      <c r="DH17" t="e">
        <f t="shared" si="29"/>
        <v>#DIV/0!</v>
      </c>
      <c r="DI17" t="e">
        <f t="shared" si="30"/>
        <v>#DIV/0!</v>
      </c>
      <c r="DJ17" t="e">
        <f t="shared" si="31"/>
        <v>#DIV/0!</v>
      </c>
      <c r="DK17" t="e">
        <f t="shared" si="32"/>
        <v>#DIV/0!</v>
      </c>
      <c r="DL17" t="e">
        <f t="shared" si="33"/>
        <v>#DIV/0!</v>
      </c>
      <c r="DM17" t="e">
        <f t="shared" si="34"/>
        <v>#DIV/0!</v>
      </c>
      <c r="DN17" t="e">
        <f t="shared" si="35"/>
        <v>#DIV/0!</v>
      </c>
      <c r="DO17" t="e">
        <f t="shared" si="36"/>
        <v>#DIV/0!</v>
      </c>
      <c r="DP17" t="e">
        <f t="shared" si="37"/>
        <v>#DIV/0!</v>
      </c>
    </row>
    <row r="18" spans="1:120">
      <c r="A18" s="16" t="s">
        <v>842</v>
      </c>
      <c r="B18" s="16" t="s">
        <v>24</v>
      </c>
      <c r="C18" s="121" t="s">
        <v>1800</v>
      </c>
      <c r="D18" s="16" t="s">
        <v>1709</v>
      </c>
      <c r="E18" s="16" t="s">
        <v>237</v>
      </c>
      <c r="F18" s="16" t="s">
        <v>29</v>
      </c>
      <c r="G18" s="16" t="s">
        <v>595</v>
      </c>
      <c r="H18" s="27">
        <v>360</v>
      </c>
      <c r="I18" s="16" t="s">
        <v>712</v>
      </c>
      <c r="J18" s="16"/>
      <c r="K18" s="16" t="s">
        <v>913</v>
      </c>
      <c r="L18" s="16"/>
      <c r="M18" s="16" t="s">
        <v>57</v>
      </c>
      <c r="N18" s="16" t="s">
        <v>1084</v>
      </c>
      <c r="O18" s="95">
        <v>14.235475215536914</v>
      </c>
      <c r="P18" s="95">
        <v>0.43137803683445197</v>
      </c>
      <c r="Q18" s="95">
        <v>2.4804237117980987</v>
      </c>
      <c r="R18" s="95">
        <v>16.284520890500559</v>
      </c>
      <c r="S18" s="95">
        <v>44.324093284739938</v>
      </c>
      <c r="T18" s="95">
        <v>5.5000699696392621</v>
      </c>
      <c r="U18" s="95">
        <v>0</v>
      </c>
      <c r="V18" s="95">
        <v>8.8432497551062639</v>
      </c>
      <c r="W18" s="95">
        <v>4.9608474235961975</v>
      </c>
      <c r="X18" s="95">
        <v>1.1862896012947428</v>
      </c>
      <c r="Y18" s="95">
        <v>2.2647346933808725</v>
      </c>
      <c r="Z18" s="95">
        <v>100.51108258242729</v>
      </c>
      <c r="AA18" s="18"/>
      <c r="AB18" s="18"/>
      <c r="AC18" s="18"/>
      <c r="AD18" s="18"/>
      <c r="AE18" s="127"/>
      <c r="AF18" s="127"/>
      <c r="AG18" s="18"/>
      <c r="AH18" s="18"/>
      <c r="AI18" s="18"/>
      <c r="AJ18" s="18"/>
      <c r="AK18" s="134"/>
      <c r="AL18" s="18"/>
      <c r="AM18" s="134"/>
      <c r="AN18" s="127"/>
      <c r="AO18" s="18"/>
      <c r="AP18" s="18"/>
      <c r="AQ18" s="18"/>
      <c r="AR18" s="18"/>
      <c r="AS18" s="18"/>
      <c r="AT18" s="18"/>
      <c r="AU18" s="18"/>
      <c r="AV18" s="18"/>
      <c r="AW18" s="18"/>
      <c r="AX18" s="127"/>
      <c r="AY18" s="127"/>
      <c r="AZ18" s="127"/>
      <c r="BA18" s="127"/>
      <c r="BB18" s="18"/>
      <c r="BC18" s="127"/>
      <c r="BD18" s="18"/>
      <c r="BE18" s="18"/>
      <c r="BF18" s="18"/>
      <c r="BG18" s="18"/>
      <c r="BH18" s="127"/>
      <c r="BI18" s="127"/>
      <c r="BJ18" s="18"/>
      <c r="BK18" s="127"/>
      <c r="BL18" s="127"/>
      <c r="BM18" s="127"/>
      <c r="BN18" s="127"/>
      <c r="BO18" s="18"/>
      <c r="BP18" s="18"/>
      <c r="BQ18" s="18"/>
      <c r="BR18" s="18"/>
      <c r="BS18" s="18"/>
      <c r="BT18" s="18"/>
      <c r="BU18" s="18"/>
      <c r="BV18" s="18"/>
      <c r="BW18" s="18"/>
      <c r="BX18" s="18"/>
      <c r="BY18" s="127"/>
      <c r="BZ18" s="18"/>
      <c r="CA18" s="127"/>
      <c r="CB18" s="127"/>
      <c r="CC18" s="127"/>
      <c r="CE18" t="e">
        <f t="shared" si="0"/>
        <v>#DIV/0!</v>
      </c>
      <c r="CF18" t="e">
        <f t="shared" si="1"/>
        <v>#DIV/0!</v>
      </c>
      <c r="CG18" t="e">
        <f t="shared" si="2"/>
        <v>#DIV/0!</v>
      </c>
      <c r="CH18" t="e">
        <f t="shared" si="3"/>
        <v>#DIV/0!</v>
      </c>
      <c r="CI18" t="e">
        <f t="shared" si="4"/>
        <v>#DIV/0!</v>
      </c>
      <c r="CJ18" t="e">
        <f t="shared" si="5"/>
        <v>#DIV/0!</v>
      </c>
      <c r="CK18" t="e">
        <f t="shared" si="6"/>
        <v>#DIV/0!</v>
      </c>
      <c r="CL18" t="e">
        <f t="shared" si="7"/>
        <v>#DIV/0!</v>
      </c>
      <c r="CM18" t="e">
        <f t="shared" si="8"/>
        <v>#DIV/0!</v>
      </c>
      <c r="CN18" t="e">
        <f t="shared" si="9"/>
        <v>#DIV/0!</v>
      </c>
      <c r="CO18" t="e">
        <f t="shared" si="10"/>
        <v>#DIV/0!</v>
      </c>
      <c r="CP18" t="e">
        <f t="shared" si="11"/>
        <v>#DIV/0!</v>
      </c>
      <c r="CQ18" t="e">
        <f t="shared" si="12"/>
        <v>#DIV/0!</v>
      </c>
      <c r="CR18" t="e">
        <f t="shared" si="13"/>
        <v>#DIV/0!</v>
      </c>
      <c r="CS18" t="e">
        <f t="shared" si="14"/>
        <v>#DIV/0!</v>
      </c>
      <c r="CT18" t="e">
        <f t="shared" si="15"/>
        <v>#DIV/0!</v>
      </c>
      <c r="CU18" t="e">
        <f t="shared" si="16"/>
        <v>#DIV/0!</v>
      </c>
      <c r="CV18" t="e">
        <f t="shared" si="17"/>
        <v>#DIV/0!</v>
      </c>
      <c r="CW18" t="e">
        <f t="shared" si="18"/>
        <v>#DIV/0!</v>
      </c>
      <c r="CX18" t="e">
        <f t="shared" si="19"/>
        <v>#DIV/0!</v>
      </c>
      <c r="CY18" t="e">
        <f t="shared" si="20"/>
        <v>#DIV/0!</v>
      </c>
      <c r="CZ18" t="e">
        <f t="shared" si="21"/>
        <v>#DIV/0!</v>
      </c>
      <c r="DA18" t="e">
        <f t="shared" si="22"/>
        <v>#DIV/0!</v>
      </c>
      <c r="DB18" t="e">
        <f t="shared" si="23"/>
        <v>#DIV/0!</v>
      </c>
      <c r="DC18" t="e">
        <f t="shared" si="24"/>
        <v>#DIV/0!</v>
      </c>
      <c r="DD18" t="e">
        <f t="shared" si="25"/>
        <v>#DIV/0!</v>
      </c>
      <c r="DE18" t="e">
        <f t="shared" si="26"/>
        <v>#DIV/0!</v>
      </c>
      <c r="DF18" t="e">
        <f t="shared" si="27"/>
        <v>#DIV/0!</v>
      </c>
      <c r="DG18" t="e">
        <f t="shared" si="28"/>
        <v>#DIV/0!</v>
      </c>
      <c r="DH18" t="e">
        <f t="shared" si="29"/>
        <v>#DIV/0!</v>
      </c>
      <c r="DI18" t="e">
        <f t="shared" si="30"/>
        <v>#DIV/0!</v>
      </c>
      <c r="DJ18" t="e">
        <f t="shared" si="31"/>
        <v>#DIV/0!</v>
      </c>
      <c r="DK18" t="e">
        <f t="shared" si="32"/>
        <v>#DIV/0!</v>
      </c>
      <c r="DL18" t="e">
        <f t="shared" si="33"/>
        <v>#DIV/0!</v>
      </c>
      <c r="DM18" t="e">
        <f t="shared" si="34"/>
        <v>#DIV/0!</v>
      </c>
      <c r="DN18" t="e">
        <f t="shared" si="35"/>
        <v>#DIV/0!</v>
      </c>
      <c r="DO18" t="e">
        <f t="shared" si="36"/>
        <v>#DIV/0!</v>
      </c>
      <c r="DP18" t="e">
        <f t="shared" si="37"/>
        <v>#DIV/0!</v>
      </c>
    </row>
    <row r="19" spans="1:120">
      <c r="A19" s="16" t="s">
        <v>842</v>
      </c>
      <c r="B19" s="16" t="s">
        <v>24</v>
      </c>
      <c r="C19" s="121" t="s">
        <v>1800</v>
      </c>
      <c r="D19" s="16" t="s">
        <v>1709</v>
      </c>
      <c r="E19" s="16" t="s">
        <v>237</v>
      </c>
      <c r="F19" s="16" t="s">
        <v>29</v>
      </c>
      <c r="G19" s="16" t="s">
        <v>595</v>
      </c>
      <c r="H19" s="27">
        <v>360</v>
      </c>
      <c r="I19" s="16" t="s">
        <v>712</v>
      </c>
      <c r="J19" s="16"/>
      <c r="K19" s="16" t="s">
        <v>913</v>
      </c>
      <c r="L19" s="16"/>
      <c r="M19" s="16" t="s">
        <v>56</v>
      </c>
      <c r="N19" s="16" t="s">
        <v>1084</v>
      </c>
      <c r="O19" s="95">
        <v>12.149924203033342</v>
      </c>
      <c r="P19" s="95">
        <v>0.93460955407948776</v>
      </c>
      <c r="Q19" s="95">
        <v>1.1423005660971519</v>
      </c>
      <c r="R19" s="95">
        <v>12.772997239086333</v>
      </c>
      <c r="S19" s="95">
        <v>43.615112523709435</v>
      </c>
      <c r="T19" s="95">
        <v>19.730646141678076</v>
      </c>
      <c r="U19" s="95">
        <v>0</v>
      </c>
      <c r="V19" s="95">
        <v>4.3615112523709438</v>
      </c>
      <c r="W19" s="95">
        <v>2.4922921442119672</v>
      </c>
      <c r="X19" s="95">
        <v>2.0769101201766391</v>
      </c>
      <c r="Y19" s="95">
        <v>0.93460955407948776</v>
      </c>
      <c r="Z19" s="95">
        <v>100.21091329852287</v>
      </c>
      <c r="AA19" s="18"/>
      <c r="AB19" s="18"/>
      <c r="AC19" s="18"/>
      <c r="AD19" s="18"/>
      <c r="AE19" s="127"/>
      <c r="AF19" s="127"/>
      <c r="AG19" s="18"/>
      <c r="AH19" s="18"/>
      <c r="AI19" s="18"/>
      <c r="AJ19" s="18"/>
      <c r="AK19" s="134"/>
      <c r="AL19" s="18"/>
      <c r="AM19" s="134"/>
      <c r="AN19" s="127"/>
      <c r="AO19" s="18"/>
      <c r="AP19" s="18"/>
      <c r="AQ19" s="18"/>
      <c r="AR19" s="18"/>
      <c r="AS19" s="18"/>
      <c r="AT19" s="18"/>
      <c r="AU19" s="18"/>
      <c r="AV19" s="18"/>
      <c r="AW19" s="18"/>
      <c r="AX19" s="127"/>
      <c r="AY19" s="127"/>
      <c r="AZ19" s="127"/>
      <c r="BA19" s="127"/>
      <c r="BB19" s="18"/>
      <c r="BC19" s="127"/>
      <c r="BD19" s="18"/>
      <c r="BE19" s="18"/>
      <c r="BF19" s="18"/>
      <c r="BG19" s="18"/>
      <c r="BH19" s="127"/>
      <c r="BI19" s="127"/>
      <c r="BJ19" s="18"/>
      <c r="BK19" s="127"/>
      <c r="BL19" s="127"/>
      <c r="BM19" s="127"/>
      <c r="BN19" s="127"/>
      <c r="BO19" s="18"/>
      <c r="BP19" s="18"/>
      <c r="BQ19" s="18"/>
      <c r="BR19" s="18"/>
      <c r="BS19" s="18"/>
      <c r="BT19" s="18"/>
      <c r="BU19" s="18"/>
      <c r="BV19" s="18"/>
      <c r="BW19" s="18"/>
      <c r="BX19" s="18"/>
      <c r="BY19" s="127"/>
      <c r="BZ19" s="18"/>
      <c r="CA19" s="127"/>
      <c r="CB19" s="127"/>
      <c r="CC19" s="127"/>
      <c r="CE19" t="e">
        <f t="shared" si="0"/>
        <v>#DIV/0!</v>
      </c>
      <c r="CF19" t="e">
        <f t="shared" si="1"/>
        <v>#DIV/0!</v>
      </c>
      <c r="CG19" t="e">
        <f t="shared" si="2"/>
        <v>#DIV/0!</v>
      </c>
      <c r="CH19" t="e">
        <f t="shared" si="3"/>
        <v>#DIV/0!</v>
      </c>
      <c r="CI19" t="e">
        <f t="shared" si="4"/>
        <v>#DIV/0!</v>
      </c>
      <c r="CJ19" t="e">
        <f t="shared" si="5"/>
        <v>#DIV/0!</v>
      </c>
      <c r="CK19" t="e">
        <f t="shared" si="6"/>
        <v>#DIV/0!</v>
      </c>
      <c r="CL19" t="e">
        <f t="shared" si="7"/>
        <v>#DIV/0!</v>
      </c>
      <c r="CM19" t="e">
        <f t="shared" si="8"/>
        <v>#DIV/0!</v>
      </c>
      <c r="CN19" t="e">
        <f t="shared" si="9"/>
        <v>#DIV/0!</v>
      </c>
      <c r="CO19" t="e">
        <f t="shared" si="10"/>
        <v>#DIV/0!</v>
      </c>
      <c r="CP19" t="e">
        <f t="shared" si="11"/>
        <v>#DIV/0!</v>
      </c>
      <c r="CQ19" t="e">
        <f t="shared" si="12"/>
        <v>#DIV/0!</v>
      </c>
      <c r="CR19" t="e">
        <f t="shared" si="13"/>
        <v>#DIV/0!</v>
      </c>
      <c r="CS19" t="e">
        <f t="shared" si="14"/>
        <v>#DIV/0!</v>
      </c>
      <c r="CT19" t="e">
        <f t="shared" si="15"/>
        <v>#DIV/0!</v>
      </c>
      <c r="CU19" t="e">
        <f t="shared" si="16"/>
        <v>#DIV/0!</v>
      </c>
      <c r="CV19" t="e">
        <f t="shared" si="17"/>
        <v>#DIV/0!</v>
      </c>
      <c r="CW19" t="e">
        <f t="shared" si="18"/>
        <v>#DIV/0!</v>
      </c>
      <c r="CX19" t="e">
        <f t="shared" si="19"/>
        <v>#DIV/0!</v>
      </c>
      <c r="CY19" t="e">
        <f t="shared" si="20"/>
        <v>#DIV/0!</v>
      </c>
      <c r="CZ19" t="e">
        <f t="shared" si="21"/>
        <v>#DIV/0!</v>
      </c>
      <c r="DA19" t="e">
        <f t="shared" si="22"/>
        <v>#DIV/0!</v>
      </c>
      <c r="DB19" t="e">
        <f t="shared" si="23"/>
        <v>#DIV/0!</v>
      </c>
      <c r="DC19" t="e">
        <f t="shared" si="24"/>
        <v>#DIV/0!</v>
      </c>
      <c r="DD19" t="e">
        <f t="shared" si="25"/>
        <v>#DIV/0!</v>
      </c>
      <c r="DE19" t="e">
        <f t="shared" si="26"/>
        <v>#DIV/0!</v>
      </c>
      <c r="DF19" t="e">
        <f t="shared" si="27"/>
        <v>#DIV/0!</v>
      </c>
      <c r="DG19" t="e">
        <f t="shared" si="28"/>
        <v>#DIV/0!</v>
      </c>
      <c r="DH19" t="e">
        <f t="shared" si="29"/>
        <v>#DIV/0!</v>
      </c>
      <c r="DI19" t="e">
        <f t="shared" si="30"/>
        <v>#DIV/0!</v>
      </c>
      <c r="DJ19" t="e">
        <f t="shared" si="31"/>
        <v>#DIV/0!</v>
      </c>
      <c r="DK19" t="e">
        <f t="shared" si="32"/>
        <v>#DIV/0!</v>
      </c>
      <c r="DL19" t="e">
        <f t="shared" si="33"/>
        <v>#DIV/0!</v>
      </c>
      <c r="DM19" t="e">
        <f t="shared" si="34"/>
        <v>#DIV/0!</v>
      </c>
      <c r="DN19" t="e">
        <f t="shared" si="35"/>
        <v>#DIV/0!</v>
      </c>
      <c r="DO19" t="e">
        <f t="shared" si="36"/>
        <v>#DIV/0!</v>
      </c>
      <c r="DP19" t="e">
        <f t="shared" si="37"/>
        <v>#DIV/0!</v>
      </c>
    </row>
    <row r="20" spans="1:120">
      <c r="A20" s="16" t="s">
        <v>842</v>
      </c>
      <c r="B20" s="16" t="s">
        <v>24</v>
      </c>
      <c r="C20" s="121" t="s">
        <v>1800</v>
      </c>
      <c r="D20" s="16" t="s">
        <v>1709</v>
      </c>
      <c r="E20" s="16" t="s">
        <v>237</v>
      </c>
      <c r="F20" s="16" t="s">
        <v>29</v>
      </c>
      <c r="G20" s="16" t="s">
        <v>595</v>
      </c>
      <c r="H20" s="27">
        <v>360</v>
      </c>
      <c r="I20" s="16" t="s">
        <v>712</v>
      </c>
      <c r="J20" s="16"/>
      <c r="K20" s="16" t="s">
        <v>913</v>
      </c>
      <c r="L20" s="16"/>
      <c r="M20" s="16" t="s">
        <v>64</v>
      </c>
      <c r="N20" s="16" t="s">
        <v>1084</v>
      </c>
      <c r="O20" s="95">
        <v>13.221836588199597</v>
      </c>
      <c r="P20" s="95">
        <v>0.10493521101745715</v>
      </c>
      <c r="Q20" s="95">
        <v>1.0493521101745713</v>
      </c>
      <c r="R20" s="95">
        <v>11.018197156832999</v>
      </c>
      <c r="S20" s="95">
        <v>39.455639342563877</v>
      </c>
      <c r="T20" s="95">
        <v>28.75224781878325</v>
      </c>
      <c r="U20" s="95">
        <v>0</v>
      </c>
      <c r="V20" s="95">
        <v>0</v>
      </c>
      <c r="W20" s="95">
        <v>4.4072788627331994</v>
      </c>
      <c r="X20" s="95">
        <v>1.2592225322094854</v>
      </c>
      <c r="Y20" s="95">
        <v>0.94441689915711424</v>
      </c>
      <c r="Z20" s="95">
        <v>100.21312652167155</v>
      </c>
      <c r="AA20" s="18"/>
      <c r="AB20" s="18"/>
      <c r="AC20" s="18"/>
      <c r="AD20" s="18"/>
      <c r="AE20" s="127"/>
      <c r="AF20" s="127"/>
      <c r="AG20" s="18"/>
      <c r="AH20" s="18"/>
      <c r="AI20" s="18"/>
      <c r="AJ20" s="18"/>
      <c r="AK20" s="134"/>
      <c r="AL20" s="18"/>
      <c r="AM20" s="134"/>
      <c r="AN20" s="127"/>
      <c r="AO20" s="18"/>
      <c r="AP20" s="18"/>
      <c r="AQ20" s="18"/>
      <c r="AR20" s="18"/>
      <c r="AS20" s="18"/>
      <c r="AT20" s="18"/>
      <c r="AU20" s="18"/>
      <c r="AV20" s="18"/>
      <c r="AW20" s="18"/>
      <c r="AX20" s="127"/>
      <c r="AY20" s="127"/>
      <c r="AZ20" s="127"/>
      <c r="BA20" s="127"/>
      <c r="BB20" s="18"/>
      <c r="BC20" s="127"/>
      <c r="BD20" s="18"/>
      <c r="BE20" s="18"/>
      <c r="BF20" s="18"/>
      <c r="BG20" s="18"/>
      <c r="BH20" s="127"/>
      <c r="BI20" s="127"/>
      <c r="BJ20" s="18"/>
      <c r="BK20" s="127"/>
      <c r="BL20" s="127"/>
      <c r="BM20" s="127"/>
      <c r="BN20" s="127"/>
      <c r="BO20" s="18"/>
      <c r="BP20" s="18"/>
      <c r="BQ20" s="18"/>
      <c r="BR20" s="18"/>
      <c r="BS20" s="18"/>
      <c r="BT20" s="18"/>
      <c r="BU20" s="18"/>
      <c r="BV20" s="18"/>
      <c r="BW20" s="18"/>
      <c r="BX20" s="18"/>
      <c r="BY20" s="127"/>
      <c r="BZ20" s="18"/>
      <c r="CA20" s="127"/>
      <c r="CB20" s="127"/>
      <c r="CC20" s="127"/>
      <c r="CE20" t="e">
        <f t="shared" si="0"/>
        <v>#DIV/0!</v>
      </c>
      <c r="CF20" t="e">
        <f t="shared" si="1"/>
        <v>#DIV/0!</v>
      </c>
      <c r="CG20" t="e">
        <f t="shared" si="2"/>
        <v>#DIV/0!</v>
      </c>
      <c r="CH20" t="e">
        <f t="shared" si="3"/>
        <v>#DIV/0!</v>
      </c>
      <c r="CI20" t="e">
        <f t="shared" si="4"/>
        <v>#DIV/0!</v>
      </c>
      <c r="CJ20" t="e">
        <f t="shared" si="5"/>
        <v>#DIV/0!</v>
      </c>
      <c r="CK20" t="e">
        <f t="shared" si="6"/>
        <v>#DIV/0!</v>
      </c>
      <c r="CL20" t="e">
        <f t="shared" si="7"/>
        <v>#DIV/0!</v>
      </c>
      <c r="CM20" t="e">
        <f t="shared" si="8"/>
        <v>#DIV/0!</v>
      </c>
      <c r="CN20" t="e">
        <f t="shared" si="9"/>
        <v>#DIV/0!</v>
      </c>
      <c r="CO20" t="e">
        <f t="shared" si="10"/>
        <v>#DIV/0!</v>
      </c>
      <c r="CP20" t="e">
        <f t="shared" si="11"/>
        <v>#DIV/0!</v>
      </c>
      <c r="CQ20" t="e">
        <f t="shared" si="12"/>
        <v>#DIV/0!</v>
      </c>
      <c r="CR20" t="e">
        <f t="shared" si="13"/>
        <v>#DIV/0!</v>
      </c>
      <c r="CS20" t="e">
        <f t="shared" si="14"/>
        <v>#DIV/0!</v>
      </c>
      <c r="CT20" t="e">
        <f t="shared" si="15"/>
        <v>#DIV/0!</v>
      </c>
      <c r="CU20" t="e">
        <f t="shared" si="16"/>
        <v>#DIV/0!</v>
      </c>
      <c r="CV20" t="e">
        <f t="shared" si="17"/>
        <v>#DIV/0!</v>
      </c>
      <c r="CW20" t="e">
        <f t="shared" si="18"/>
        <v>#DIV/0!</v>
      </c>
      <c r="CX20" t="e">
        <f t="shared" si="19"/>
        <v>#DIV/0!</v>
      </c>
      <c r="CY20" t="e">
        <f t="shared" si="20"/>
        <v>#DIV/0!</v>
      </c>
      <c r="CZ20" t="e">
        <f t="shared" si="21"/>
        <v>#DIV/0!</v>
      </c>
      <c r="DA20" t="e">
        <f t="shared" si="22"/>
        <v>#DIV/0!</v>
      </c>
      <c r="DB20" t="e">
        <f t="shared" si="23"/>
        <v>#DIV/0!</v>
      </c>
      <c r="DC20" t="e">
        <f t="shared" si="24"/>
        <v>#DIV/0!</v>
      </c>
      <c r="DD20" t="e">
        <f t="shared" si="25"/>
        <v>#DIV/0!</v>
      </c>
      <c r="DE20" t="e">
        <f t="shared" si="26"/>
        <v>#DIV/0!</v>
      </c>
      <c r="DF20" t="e">
        <f t="shared" si="27"/>
        <v>#DIV/0!</v>
      </c>
      <c r="DG20" t="e">
        <f t="shared" si="28"/>
        <v>#DIV/0!</v>
      </c>
      <c r="DH20" t="e">
        <f t="shared" si="29"/>
        <v>#DIV/0!</v>
      </c>
      <c r="DI20" t="e">
        <f t="shared" si="30"/>
        <v>#DIV/0!</v>
      </c>
      <c r="DJ20" t="e">
        <f t="shared" si="31"/>
        <v>#DIV/0!</v>
      </c>
      <c r="DK20" t="e">
        <f t="shared" si="32"/>
        <v>#DIV/0!</v>
      </c>
      <c r="DL20" t="e">
        <f t="shared" si="33"/>
        <v>#DIV/0!</v>
      </c>
      <c r="DM20" t="e">
        <f t="shared" si="34"/>
        <v>#DIV/0!</v>
      </c>
      <c r="DN20" t="e">
        <f t="shared" si="35"/>
        <v>#DIV/0!</v>
      </c>
      <c r="DO20" t="e">
        <f t="shared" si="36"/>
        <v>#DIV/0!</v>
      </c>
      <c r="DP20" t="e">
        <f t="shared" si="37"/>
        <v>#DIV/0!</v>
      </c>
    </row>
    <row r="21" spans="1:120">
      <c r="A21" s="16" t="s">
        <v>842</v>
      </c>
      <c r="B21" s="16" t="s">
        <v>24</v>
      </c>
      <c r="C21" s="121" t="s">
        <v>1800</v>
      </c>
      <c r="D21" s="16" t="s">
        <v>1709</v>
      </c>
      <c r="E21" s="16" t="s">
        <v>237</v>
      </c>
      <c r="F21" s="16" t="s">
        <v>29</v>
      </c>
      <c r="G21" s="16" t="s">
        <v>595</v>
      </c>
      <c r="H21" s="27">
        <v>360</v>
      </c>
      <c r="I21" s="16" t="s">
        <v>712</v>
      </c>
      <c r="J21" s="16"/>
      <c r="K21" s="16" t="s">
        <v>913</v>
      </c>
      <c r="L21" s="16"/>
      <c r="M21" s="16" t="s">
        <v>65</v>
      </c>
      <c r="N21" s="16" t="s">
        <v>1084</v>
      </c>
      <c r="O21" s="95">
        <v>12.936587400278141</v>
      </c>
      <c r="P21" s="95">
        <v>0</v>
      </c>
      <c r="Q21" s="95">
        <v>0.76097572942812586</v>
      </c>
      <c r="R21" s="95">
        <v>17.393730958357164</v>
      </c>
      <c r="S21" s="95">
        <v>40.223002841200937</v>
      </c>
      <c r="T21" s="95">
        <v>15.436936225541981</v>
      </c>
      <c r="U21" s="95">
        <v>0</v>
      </c>
      <c r="V21" s="95">
        <v>4.2397219210995587</v>
      </c>
      <c r="W21" s="95">
        <v>7.9358897497504559</v>
      </c>
      <c r="X21" s="95">
        <v>0.65226491093839356</v>
      </c>
      <c r="Y21" s="95">
        <v>0.54355409244866137</v>
      </c>
      <c r="Z21" s="95">
        <v>100.12266382904343</v>
      </c>
      <c r="AA21" s="18"/>
      <c r="AB21" s="18"/>
      <c r="AC21" s="18"/>
      <c r="AD21" s="18"/>
      <c r="AE21" s="127"/>
      <c r="AF21" s="127"/>
      <c r="AG21" s="18"/>
      <c r="AH21" s="18"/>
      <c r="AI21" s="18"/>
      <c r="AJ21" s="18"/>
      <c r="AK21" s="134"/>
      <c r="AL21" s="18"/>
      <c r="AM21" s="134"/>
      <c r="AN21" s="127"/>
      <c r="AO21" s="18"/>
      <c r="AP21" s="18"/>
      <c r="AQ21" s="18"/>
      <c r="AR21" s="18"/>
      <c r="AS21" s="18"/>
      <c r="AT21" s="18"/>
      <c r="AU21" s="18"/>
      <c r="AV21" s="18"/>
      <c r="AW21" s="18"/>
      <c r="AX21" s="127"/>
      <c r="AY21" s="127"/>
      <c r="AZ21" s="127"/>
      <c r="BA21" s="127"/>
      <c r="BB21" s="18"/>
      <c r="BC21" s="127"/>
      <c r="BD21" s="18"/>
      <c r="BE21" s="18"/>
      <c r="BF21" s="18"/>
      <c r="BG21" s="18"/>
      <c r="BH21" s="127"/>
      <c r="BI21" s="127"/>
      <c r="BJ21" s="18"/>
      <c r="BK21" s="127"/>
      <c r="BL21" s="127"/>
      <c r="BM21" s="127"/>
      <c r="BN21" s="127"/>
      <c r="BO21" s="18"/>
      <c r="BP21" s="18"/>
      <c r="BQ21" s="18"/>
      <c r="BR21" s="18"/>
      <c r="BS21" s="18"/>
      <c r="BT21" s="18"/>
      <c r="BU21" s="18"/>
      <c r="BV21" s="18"/>
      <c r="BW21" s="18"/>
      <c r="BX21" s="18"/>
      <c r="BY21" s="127"/>
      <c r="BZ21" s="18"/>
      <c r="CA21" s="127"/>
      <c r="CB21" s="127"/>
      <c r="CC21" s="127"/>
      <c r="CE21" t="e">
        <f t="shared" si="0"/>
        <v>#DIV/0!</v>
      </c>
      <c r="CF21" t="e">
        <f t="shared" si="1"/>
        <v>#DIV/0!</v>
      </c>
      <c r="CG21" t="e">
        <f t="shared" si="2"/>
        <v>#DIV/0!</v>
      </c>
      <c r="CH21" t="e">
        <f t="shared" si="3"/>
        <v>#DIV/0!</v>
      </c>
      <c r="CI21" t="e">
        <f t="shared" si="4"/>
        <v>#DIV/0!</v>
      </c>
      <c r="CJ21" t="e">
        <f t="shared" si="5"/>
        <v>#DIV/0!</v>
      </c>
      <c r="CK21" t="e">
        <f t="shared" si="6"/>
        <v>#DIV/0!</v>
      </c>
      <c r="CL21" t="e">
        <f t="shared" si="7"/>
        <v>#DIV/0!</v>
      </c>
      <c r="CM21" t="e">
        <f t="shared" si="8"/>
        <v>#DIV/0!</v>
      </c>
      <c r="CN21" t="e">
        <f t="shared" si="9"/>
        <v>#DIV/0!</v>
      </c>
      <c r="CO21" t="e">
        <f t="shared" si="10"/>
        <v>#DIV/0!</v>
      </c>
      <c r="CP21" t="e">
        <f t="shared" si="11"/>
        <v>#DIV/0!</v>
      </c>
      <c r="CQ21" t="e">
        <f t="shared" si="12"/>
        <v>#DIV/0!</v>
      </c>
      <c r="CR21" t="e">
        <f t="shared" si="13"/>
        <v>#DIV/0!</v>
      </c>
      <c r="CS21" t="e">
        <f t="shared" si="14"/>
        <v>#DIV/0!</v>
      </c>
      <c r="CT21" t="e">
        <f t="shared" si="15"/>
        <v>#DIV/0!</v>
      </c>
      <c r="CU21" t="e">
        <f t="shared" si="16"/>
        <v>#DIV/0!</v>
      </c>
      <c r="CV21" t="e">
        <f t="shared" si="17"/>
        <v>#DIV/0!</v>
      </c>
      <c r="CW21" t="e">
        <f t="shared" si="18"/>
        <v>#DIV/0!</v>
      </c>
      <c r="CX21" t="e">
        <f t="shared" si="19"/>
        <v>#DIV/0!</v>
      </c>
      <c r="CY21" t="e">
        <f t="shared" si="20"/>
        <v>#DIV/0!</v>
      </c>
      <c r="CZ21" t="e">
        <f t="shared" si="21"/>
        <v>#DIV/0!</v>
      </c>
      <c r="DA21" t="e">
        <f t="shared" si="22"/>
        <v>#DIV/0!</v>
      </c>
      <c r="DB21" t="e">
        <f t="shared" si="23"/>
        <v>#DIV/0!</v>
      </c>
      <c r="DC21" t="e">
        <f t="shared" si="24"/>
        <v>#DIV/0!</v>
      </c>
      <c r="DD21" t="e">
        <f t="shared" si="25"/>
        <v>#DIV/0!</v>
      </c>
      <c r="DE21" t="e">
        <f t="shared" si="26"/>
        <v>#DIV/0!</v>
      </c>
      <c r="DF21" t="e">
        <f t="shared" si="27"/>
        <v>#DIV/0!</v>
      </c>
      <c r="DG21" t="e">
        <f t="shared" si="28"/>
        <v>#DIV/0!</v>
      </c>
      <c r="DH21" t="e">
        <f t="shared" si="29"/>
        <v>#DIV/0!</v>
      </c>
      <c r="DI21" t="e">
        <f t="shared" si="30"/>
        <v>#DIV/0!</v>
      </c>
      <c r="DJ21" t="e">
        <f t="shared" si="31"/>
        <v>#DIV/0!</v>
      </c>
      <c r="DK21" t="e">
        <f t="shared" si="32"/>
        <v>#DIV/0!</v>
      </c>
      <c r="DL21" t="e">
        <f t="shared" si="33"/>
        <v>#DIV/0!</v>
      </c>
      <c r="DM21" t="e">
        <f t="shared" si="34"/>
        <v>#DIV/0!</v>
      </c>
      <c r="DN21" t="e">
        <f t="shared" si="35"/>
        <v>#DIV/0!</v>
      </c>
      <c r="DO21" t="e">
        <f t="shared" si="36"/>
        <v>#DIV/0!</v>
      </c>
      <c r="DP21" t="e">
        <f t="shared" si="37"/>
        <v>#DIV/0!</v>
      </c>
    </row>
    <row r="22" spans="1:120">
      <c r="A22" s="16" t="s">
        <v>842</v>
      </c>
      <c r="B22" s="16" t="s">
        <v>24</v>
      </c>
      <c r="C22" s="121" t="s">
        <v>1800</v>
      </c>
      <c r="D22" s="16" t="s">
        <v>1709</v>
      </c>
      <c r="E22" s="16" t="s">
        <v>237</v>
      </c>
      <c r="F22" s="16" t="s">
        <v>29</v>
      </c>
      <c r="G22" s="16" t="s">
        <v>595</v>
      </c>
      <c r="H22" s="27">
        <v>360</v>
      </c>
      <c r="I22" s="16" t="s">
        <v>712</v>
      </c>
      <c r="J22" s="16"/>
      <c r="K22" s="16" t="s">
        <v>913</v>
      </c>
      <c r="L22" s="16"/>
      <c r="M22" s="16" t="s">
        <v>53</v>
      </c>
      <c r="N22" s="16" t="s">
        <v>1084</v>
      </c>
      <c r="O22" s="95">
        <v>11.459294960467115</v>
      </c>
      <c r="P22" s="95">
        <v>1.2388426984288774</v>
      </c>
      <c r="Q22" s="95">
        <v>3.6132912037508929</v>
      </c>
      <c r="R22" s="95">
        <v>13.524032791181911</v>
      </c>
      <c r="S22" s="95">
        <v>45.837179841868462</v>
      </c>
      <c r="T22" s="95">
        <v>17.756745344147244</v>
      </c>
      <c r="U22" s="95">
        <v>0</v>
      </c>
      <c r="V22" s="95">
        <v>3.7165280952866322</v>
      </c>
      <c r="W22" s="95">
        <v>1.651790264571837</v>
      </c>
      <c r="X22" s="95">
        <v>0.72265824075017848</v>
      </c>
      <c r="Y22" s="95">
        <v>0.6194213492144387</v>
      </c>
      <c r="Z22" s="95">
        <v>100.1397847896676</v>
      </c>
      <c r="AA22" s="18"/>
      <c r="AB22" s="18"/>
      <c r="AC22" s="18"/>
      <c r="AD22" s="18"/>
      <c r="AE22" s="127"/>
      <c r="AF22" s="127"/>
      <c r="AG22" s="18"/>
      <c r="AH22" s="18"/>
      <c r="AI22" s="18"/>
      <c r="AJ22" s="18"/>
      <c r="AK22" s="134"/>
      <c r="AL22" s="18"/>
      <c r="AM22" s="134"/>
      <c r="AN22" s="127"/>
      <c r="AO22" s="18"/>
      <c r="AP22" s="18"/>
      <c r="AQ22" s="18"/>
      <c r="AR22" s="18"/>
      <c r="AS22" s="18"/>
      <c r="AT22" s="18"/>
      <c r="AU22" s="18"/>
      <c r="AV22" s="18"/>
      <c r="AW22" s="18"/>
      <c r="AX22" s="127"/>
      <c r="AY22" s="127"/>
      <c r="AZ22" s="127"/>
      <c r="BA22" s="127"/>
      <c r="BB22" s="18"/>
      <c r="BC22" s="127"/>
      <c r="BD22" s="18"/>
      <c r="BE22" s="18"/>
      <c r="BF22" s="18"/>
      <c r="BG22" s="18"/>
      <c r="BH22" s="127"/>
      <c r="BI22" s="127"/>
      <c r="BJ22" s="18"/>
      <c r="BK22" s="127"/>
      <c r="BL22" s="127"/>
      <c r="BM22" s="127"/>
      <c r="BN22" s="127"/>
      <c r="BO22" s="18"/>
      <c r="BP22" s="18"/>
      <c r="BQ22" s="18"/>
      <c r="BR22" s="18"/>
      <c r="BS22" s="18"/>
      <c r="BT22" s="18"/>
      <c r="BU22" s="18"/>
      <c r="BV22" s="18"/>
      <c r="BW22" s="18"/>
      <c r="BX22" s="18"/>
      <c r="BY22" s="127"/>
      <c r="BZ22" s="18"/>
      <c r="CA22" s="127"/>
      <c r="CB22" s="127"/>
      <c r="CC22" s="127"/>
      <c r="CE22" t="e">
        <f t="shared" si="0"/>
        <v>#DIV/0!</v>
      </c>
      <c r="CF22" t="e">
        <f t="shared" si="1"/>
        <v>#DIV/0!</v>
      </c>
      <c r="CG22" t="e">
        <f t="shared" si="2"/>
        <v>#DIV/0!</v>
      </c>
      <c r="CH22" t="e">
        <f t="shared" si="3"/>
        <v>#DIV/0!</v>
      </c>
      <c r="CI22" t="e">
        <f t="shared" si="4"/>
        <v>#DIV/0!</v>
      </c>
      <c r="CJ22" t="e">
        <f t="shared" si="5"/>
        <v>#DIV/0!</v>
      </c>
      <c r="CK22" t="e">
        <f t="shared" si="6"/>
        <v>#DIV/0!</v>
      </c>
      <c r="CL22" t="e">
        <f t="shared" si="7"/>
        <v>#DIV/0!</v>
      </c>
      <c r="CM22" t="e">
        <f t="shared" si="8"/>
        <v>#DIV/0!</v>
      </c>
      <c r="CN22" t="e">
        <f t="shared" si="9"/>
        <v>#DIV/0!</v>
      </c>
      <c r="CO22" t="e">
        <f t="shared" si="10"/>
        <v>#DIV/0!</v>
      </c>
      <c r="CP22" t="e">
        <f t="shared" si="11"/>
        <v>#DIV/0!</v>
      </c>
      <c r="CQ22" t="e">
        <f t="shared" si="12"/>
        <v>#DIV/0!</v>
      </c>
      <c r="CR22" t="e">
        <f t="shared" si="13"/>
        <v>#DIV/0!</v>
      </c>
      <c r="CS22" t="e">
        <f t="shared" si="14"/>
        <v>#DIV/0!</v>
      </c>
      <c r="CT22" t="e">
        <f t="shared" si="15"/>
        <v>#DIV/0!</v>
      </c>
      <c r="CU22" t="e">
        <f t="shared" si="16"/>
        <v>#DIV/0!</v>
      </c>
      <c r="CV22" t="e">
        <f t="shared" si="17"/>
        <v>#DIV/0!</v>
      </c>
      <c r="CW22" t="e">
        <f t="shared" si="18"/>
        <v>#DIV/0!</v>
      </c>
      <c r="CX22" t="e">
        <f t="shared" si="19"/>
        <v>#DIV/0!</v>
      </c>
      <c r="CY22" t="e">
        <f t="shared" si="20"/>
        <v>#DIV/0!</v>
      </c>
      <c r="CZ22" t="e">
        <f t="shared" si="21"/>
        <v>#DIV/0!</v>
      </c>
      <c r="DA22" t="e">
        <f t="shared" si="22"/>
        <v>#DIV/0!</v>
      </c>
      <c r="DB22" t="e">
        <f t="shared" si="23"/>
        <v>#DIV/0!</v>
      </c>
      <c r="DC22" t="e">
        <f t="shared" si="24"/>
        <v>#DIV/0!</v>
      </c>
      <c r="DD22" t="e">
        <f t="shared" si="25"/>
        <v>#DIV/0!</v>
      </c>
      <c r="DE22" t="e">
        <f t="shared" si="26"/>
        <v>#DIV/0!</v>
      </c>
      <c r="DF22" t="e">
        <f t="shared" si="27"/>
        <v>#DIV/0!</v>
      </c>
      <c r="DG22" t="e">
        <f t="shared" si="28"/>
        <v>#DIV/0!</v>
      </c>
      <c r="DH22" t="e">
        <f t="shared" si="29"/>
        <v>#DIV/0!</v>
      </c>
      <c r="DI22" t="e">
        <f t="shared" si="30"/>
        <v>#DIV/0!</v>
      </c>
      <c r="DJ22" t="e">
        <f t="shared" si="31"/>
        <v>#DIV/0!</v>
      </c>
      <c r="DK22" t="e">
        <f t="shared" si="32"/>
        <v>#DIV/0!</v>
      </c>
      <c r="DL22" t="e">
        <f t="shared" si="33"/>
        <v>#DIV/0!</v>
      </c>
      <c r="DM22" t="e">
        <f t="shared" si="34"/>
        <v>#DIV/0!</v>
      </c>
      <c r="DN22" t="e">
        <f t="shared" si="35"/>
        <v>#DIV/0!</v>
      </c>
      <c r="DO22" t="e">
        <f t="shared" si="36"/>
        <v>#DIV/0!</v>
      </c>
      <c r="DP22" t="e">
        <f t="shared" si="37"/>
        <v>#DIV/0!</v>
      </c>
    </row>
    <row r="23" spans="1:120">
      <c r="A23" s="16" t="s">
        <v>842</v>
      </c>
      <c r="B23" s="16" t="s">
        <v>24</v>
      </c>
      <c r="C23" s="121" t="s">
        <v>1800</v>
      </c>
      <c r="D23" s="16" t="s">
        <v>1709</v>
      </c>
      <c r="E23" s="16" t="s">
        <v>237</v>
      </c>
      <c r="F23" s="16" t="s">
        <v>29</v>
      </c>
      <c r="G23" s="16" t="s">
        <v>595</v>
      </c>
      <c r="H23" s="27">
        <v>360</v>
      </c>
      <c r="I23" s="16" t="s">
        <v>712</v>
      </c>
      <c r="J23" s="16"/>
      <c r="K23" s="16" t="s">
        <v>913</v>
      </c>
      <c r="L23" s="16"/>
      <c r="M23" s="16" t="s">
        <v>54</v>
      </c>
      <c r="N23" s="16" t="s">
        <v>1084</v>
      </c>
      <c r="O23" s="95">
        <v>16.356070307855656</v>
      </c>
      <c r="P23" s="95">
        <v>1.7823922771381167</v>
      </c>
      <c r="Q23" s="95">
        <v>1.7823922771381167</v>
      </c>
      <c r="R23" s="95">
        <v>7.4441089221650758</v>
      </c>
      <c r="S23" s="95">
        <v>46.027659391978418</v>
      </c>
      <c r="T23" s="95">
        <v>16.880303330543342</v>
      </c>
      <c r="U23" s="95">
        <v>0</v>
      </c>
      <c r="V23" s="95">
        <v>4.1938641815014508</v>
      </c>
      <c r="W23" s="95">
        <v>4.50840399511406</v>
      </c>
      <c r="X23" s="95">
        <v>0.94361944083782656</v>
      </c>
      <c r="Y23" s="95">
        <v>0.10484660453753628</v>
      </c>
      <c r="Z23" s="95">
        <v>100.0236607288096</v>
      </c>
      <c r="AA23" s="18"/>
      <c r="AB23" s="18"/>
      <c r="AC23" s="18"/>
      <c r="AD23" s="18"/>
      <c r="AE23" s="127"/>
      <c r="AF23" s="127"/>
      <c r="AG23" s="18"/>
      <c r="AH23" s="18"/>
      <c r="AI23" s="18"/>
      <c r="AJ23" s="18"/>
      <c r="AK23" s="134"/>
      <c r="AL23" s="18"/>
      <c r="AM23" s="134"/>
      <c r="AN23" s="127"/>
      <c r="AO23" s="18"/>
      <c r="AP23" s="18"/>
      <c r="AQ23" s="18"/>
      <c r="AR23" s="18"/>
      <c r="AS23" s="18"/>
      <c r="AT23" s="18"/>
      <c r="AU23" s="18"/>
      <c r="AV23" s="18"/>
      <c r="AW23" s="18"/>
      <c r="AX23" s="127"/>
      <c r="AY23" s="127"/>
      <c r="AZ23" s="127"/>
      <c r="BA23" s="127"/>
      <c r="BB23" s="18"/>
      <c r="BC23" s="127"/>
      <c r="BD23" s="18"/>
      <c r="BE23" s="18"/>
      <c r="BF23" s="18"/>
      <c r="BG23" s="18"/>
      <c r="BH23" s="127"/>
      <c r="BI23" s="127"/>
      <c r="BJ23" s="18"/>
      <c r="BK23" s="127"/>
      <c r="BL23" s="127"/>
      <c r="BM23" s="127"/>
      <c r="BN23" s="127"/>
      <c r="BO23" s="18"/>
      <c r="BP23" s="18"/>
      <c r="BQ23" s="18"/>
      <c r="BR23" s="18"/>
      <c r="BS23" s="18"/>
      <c r="BT23" s="18"/>
      <c r="BU23" s="18"/>
      <c r="BV23" s="18"/>
      <c r="BW23" s="18"/>
      <c r="BX23" s="18"/>
      <c r="BY23" s="127"/>
      <c r="BZ23" s="18"/>
      <c r="CA23" s="127"/>
      <c r="CB23" s="127"/>
      <c r="CC23" s="127"/>
      <c r="CE23" t="e">
        <f t="shared" si="0"/>
        <v>#DIV/0!</v>
      </c>
      <c r="CF23" t="e">
        <f t="shared" si="1"/>
        <v>#DIV/0!</v>
      </c>
      <c r="CG23" t="e">
        <f t="shared" si="2"/>
        <v>#DIV/0!</v>
      </c>
      <c r="CH23" t="e">
        <f t="shared" si="3"/>
        <v>#DIV/0!</v>
      </c>
      <c r="CI23" t="e">
        <f t="shared" si="4"/>
        <v>#DIV/0!</v>
      </c>
      <c r="CJ23" t="e">
        <f t="shared" si="5"/>
        <v>#DIV/0!</v>
      </c>
      <c r="CK23" t="e">
        <f t="shared" si="6"/>
        <v>#DIV/0!</v>
      </c>
      <c r="CL23" t="e">
        <f t="shared" si="7"/>
        <v>#DIV/0!</v>
      </c>
      <c r="CM23" t="e">
        <f t="shared" si="8"/>
        <v>#DIV/0!</v>
      </c>
      <c r="CN23" t="e">
        <f t="shared" si="9"/>
        <v>#DIV/0!</v>
      </c>
      <c r="CO23" t="e">
        <f t="shared" si="10"/>
        <v>#DIV/0!</v>
      </c>
      <c r="CP23" t="e">
        <f t="shared" si="11"/>
        <v>#DIV/0!</v>
      </c>
      <c r="CQ23" t="e">
        <f t="shared" si="12"/>
        <v>#DIV/0!</v>
      </c>
      <c r="CR23" t="e">
        <f t="shared" si="13"/>
        <v>#DIV/0!</v>
      </c>
      <c r="CS23" t="e">
        <f t="shared" si="14"/>
        <v>#DIV/0!</v>
      </c>
      <c r="CT23" t="e">
        <f t="shared" si="15"/>
        <v>#DIV/0!</v>
      </c>
      <c r="CU23" t="e">
        <f t="shared" si="16"/>
        <v>#DIV/0!</v>
      </c>
      <c r="CV23" t="e">
        <f t="shared" si="17"/>
        <v>#DIV/0!</v>
      </c>
      <c r="CW23" t="e">
        <f t="shared" si="18"/>
        <v>#DIV/0!</v>
      </c>
      <c r="CX23" t="e">
        <f t="shared" si="19"/>
        <v>#DIV/0!</v>
      </c>
      <c r="CY23" t="e">
        <f t="shared" si="20"/>
        <v>#DIV/0!</v>
      </c>
      <c r="CZ23" t="e">
        <f t="shared" si="21"/>
        <v>#DIV/0!</v>
      </c>
      <c r="DA23" t="e">
        <f t="shared" si="22"/>
        <v>#DIV/0!</v>
      </c>
      <c r="DB23" t="e">
        <f t="shared" si="23"/>
        <v>#DIV/0!</v>
      </c>
      <c r="DC23" t="e">
        <f t="shared" si="24"/>
        <v>#DIV/0!</v>
      </c>
      <c r="DD23" t="e">
        <f t="shared" si="25"/>
        <v>#DIV/0!</v>
      </c>
      <c r="DE23" t="e">
        <f t="shared" si="26"/>
        <v>#DIV/0!</v>
      </c>
      <c r="DF23" t="e">
        <f t="shared" si="27"/>
        <v>#DIV/0!</v>
      </c>
      <c r="DG23" t="e">
        <f t="shared" si="28"/>
        <v>#DIV/0!</v>
      </c>
      <c r="DH23" t="e">
        <f t="shared" si="29"/>
        <v>#DIV/0!</v>
      </c>
      <c r="DI23" t="e">
        <f t="shared" si="30"/>
        <v>#DIV/0!</v>
      </c>
      <c r="DJ23" t="e">
        <f t="shared" si="31"/>
        <v>#DIV/0!</v>
      </c>
      <c r="DK23" t="e">
        <f t="shared" si="32"/>
        <v>#DIV/0!</v>
      </c>
      <c r="DL23" t="e">
        <f t="shared" si="33"/>
        <v>#DIV/0!</v>
      </c>
      <c r="DM23" t="e">
        <f t="shared" si="34"/>
        <v>#DIV/0!</v>
      </c>
      <c r="DN23" t="e">
        <f t="shared" si="35"/>
        <v>#DIV/0!</v>
      </c>
      <c r="DO23" t="e">
        <f t="shared" si="36"/>
        <v>#DIV/0!</v>
      </c>
      <c r="DP23" t="e">
        <f t="shared" si="37"/>
        <v>#DIV/0!</v>
      </c>
    </row>
    <row r="24" spans="1:120">
      <c r="A24" s="16" t="s">
        <v>1179</v>
      </c>
      <c r="B24" s="16" t="s">
        <v>24</v>
      </c>
      <c r="C24" s="121" t="s">
        <v>1800</v>
      </c>
      <c r="D24" s="16" t="s">
        <v>1709</v>
      </c>
      <c r="E24" s="16" t="s">
        <v>237</v>
      </c>
      <c r="F24" s="16" t="s">
        <v>29</v>
      </c>
      <c r="G24" s="16" t="s">
        <v>595</v>
      </c>
      <c r="H24" s="27">
        <v>360</v>
      </c>
      <c r="I24" s="16" t="s">
        <v>712</v>
      </c>
      <c r="J24" s="16"/>
      <c r="K24" s="16" t="s">
        <v>913</v>
      </c>
      <c r="L24" s="16"/>
      <c r="M24" s="16" t="s">
        <v>49</v>
      </c>
      <c r="N24" s="16" t="s">
        <v>1084</v>
      </c>
      <c r="O24" s="95">
        <v>4.2838769820375822</v>
      </c>
      <c r="P24" s="95">
        <v>1.5299560650134223</v>
      </c>
      <c r="Q24" s="95">
        <v>0.91797363900805329</v>
      </c>
      <c r="R24" s="95">
        <v>8.4657568930742713</v>
      </c>
      <c r="S24" s="95">
        <v>50.896538429446515</v>
      </c>
      <c r="T24" s="95">
        <v>24.173305827212069</v>
      </c>
      <c r="U24" s="95">
        <v>0</v>
      </c>
      <c r="V24" s="95">
        <v>6.1198242600536892</v>
      </c>
      <c r="W24" s="95">
        <v>0.91797363900805329</v>
      </c>
      <c r="X24" s="95">
        <v>2.1419384910187911</v>
      </c>
      <c r="Y24" s="95">
        <v>0.71397949700626362</v>
      </c>
      <c r="Z24" s="95">
        <v>100.16112372287871</v>
      </c>
      <c r="AA24" s="18"/>
      <c r="AB24" s="18"/>
      <c r="AC24" s="18"/>
      <c r="AD24" s="18"/>
      <c r="AE24" s="127"/>
      <c r="AF24" s="127"/>
      <c r="AG24" s="18"/>
      <c r="AH24" s="18">
        <v>1428</v>
      </c>
      <c r="AI24" s="18"/>
      <c r="AJ24" s="18"/>
      <c r="AK24" s="134">
        <v>7.82</v>
      </c>
      <c r="AL24" s="18">
        <v>7.95</v>
      </c>
      <c r="AM24" s="134"/>
      <c r="AN24" s="127">
        <v>10.6</v>
      </c>
      <c r="AO24" s="18">
        <v>2.93</v>
      </c>
      <c r="AP24" s="18">
        <v>1.1399999999999999</v>
      </c>
      <c r="AQ24" s="18">
        <v>0.42</v>
      </c>
      <c r="AR24" s="18">
        <v>1.02</v>
      </c>
      <c r="AS24" s="18"/>
      <c r="AT24" s="18"/>
      <c r="AU24" s="18"/>
      <c r="AV24" s="18"/>
      <c r="AW24" s="18"/>
      <c r="AX24" s="127">
        <v>3.35</v>
      </c>
      <c r="AY24" s="127">
        <v>22.2</v>
      </c>
      <c r="AZ24" s="127">
        <v>0.02</v>
      </c>
      <c r="BA24" s="127">
        <v>0.45</v>
      </c>
      <c r="BB24" s="18"/>
      <c r="BC24" s="127">
        <v>3.07</v>
      </c>
      <c r="BD24" s="18"/>
      <c r="BE24" s="18"/>
      <c r="BF24" s="18"/>
      <c r="BG24" s="18"/>
      <c r="BH24" s="127">
        <v>0.05</v>
      </c>
      <c r="BI24" s="127">
        <v>40.1</v>
      </c>
      <c r="BJ24" s="18">
        <v>0.73</v>
      </c>
      <c r="BK24" s="127">
        <v>2.4900000000000002</v>
      </c>
      <c r="BL24" s="127">
        <v>4.76</v>
      </c>
      <c r="BM24" s="127">
        <v>0.44</v>
      </c>
      <c r="BN24" s="127">
        <v>1.5</v>
      </c>
      <c r="BO24" s="18">
        <v>0.12</v>
      </c>
      <c r="BP24" s="18">
        <v>0.03</v>
      </c>
      <c r="BQ24" s="18">
        <v>0.05</v>
      </c>
      <c r="BR24" s="18">
        <v>0.02</v>
      </c>
      <c r="BS24" s="18">
        <v>0.02</v>
      </c>
      <c r="BT24" s="18">
        <v>0.01</v>
      </c>
      <c r="BU24" s="18">
        <v>0.01</v>
      </c>
      <c r="BV24" s="18">
        <v>0.01</v>
      </c>
      <c r="BW24" s="18" t="s">
        <v>491</v>
      </c>
      <c r="BX24" s="18">
        <v>0.02</v>
      </c>
      <c r="BY24" s="127">
        <v>0.14000000000000001</v>
      </c>
      <c r="BZ24" s="18"/>
      <c r="CA24" s="127">
        <v>0.44</v>
      </c>
      <c r="CB24" s="127">
        <v>0.28000000000000003</v>
      </c>
      <c r="CC24" s="127">
        <v>7.0000000000000007E-2</v>
      </c>
      <c r="CE24">
        <f t="shared" si="0"/>
        <v>1.8063063063063065</v>
      </c>
      <c r="CF24">
        <f t="shared" si="1"/>
        <v>16.104417670682729</v>
      </c>
      <c r="CG24">
        <f t="shared" si="2"/>
        <v>8.9156626506024086</v>
      </c>
      <c r="CH24">
        <f t="shared" si="3"/>
        <v>0.52310924369747902</v>
      </c>
      <c r="CI24">
        <f t="shared" si="4"/>
        <v>0</v>
      </c>
      <c r="CJ24" t="e">
        <f t="shared" si="5"/>
        <v>#DIV/0!</v>
      </c>
      <c r="CK24">
        <f t="shared" si="6"/>
        <v>0</v>
      </c>
      <c r="CL24">
        <f t="shared" si="7"/>
        <v>4.6638655462184877</v>
      </c>
      <c r="CM24">
        <f t="shared" si="8"/>
        <v>8.4243697478991599</v>
      </c>
      <c r="CN24">
        <f t="shared" si="9"/>
        <v>8.4243697478991599</v>
      </c>
      <c r="CO24">
        <f t="shared" si="10"/>
        <v>2.9411764705882356E-2</v>
      </c>
      <c r="CP24">
        <f t="shared" si="11"/>
        <v>6.2857142857142856</v>
      </c>
      <c r="CQ24">
        <f t="shared" si="12"/>
        <v>0.17670682730923692</v>
      </c>
      <c r="CR24">
        <f t="shared" si="13"/>
        <v>1.2329317269076303</v>
      </c>
      <c r="CS24">
        <f t="shared" si="14"/>
        <v>0.18072289156626506</v>
      </c>
      <c r="CT24">
        <f t="shared" si="15"/>
        <v>0.15090090090090091</v>
      </c>
      <c r="CU24">
        <f t="shared" si="16"/>
        <v>8.0321285140562242E-3</v>
      </c>
      <c r="CV24" t="e">
        <f t="shared" si="17"/>
        <v>#DIV/0!</v>
      </c>
      <c r="CW24">
        <f t="shared" si="18"/>
        <v>4.2570281124497988</v>
      </c>
      <c r="CX24">
        <f t="shared" si="19"/>
        <v>0.1465798045602606</v>
      </c>
      <c r="CY24">
        <f t="shared" si="20"/>
        <v>5.6224899598393573E-2</v>
      </c>
      <c r="CZ24">
        <f t="shared" si="21"/>
        <v>4</v>
      </c>
      <c r="DA24">
        <f t="shared" si="22"/>
        <v>0.13432835820895522</v>
      </c>
      <c r="DB24">
        <f t="shared" si="23"/>
        <v>2.0270270270270271E-2</v>
      </c>
      <c r="DC24">
        <f t="shared" si="24"/>
        <v>22.5</v>
      </c>
      <c r="DD24">
        <f t="shared" si="25"/>
        <v>9.4537815126050431E-2</v>
      </c>
      <c r="DE24">
        <f t="shared" si="26"/>
        <v>0</v>
      </c>
      <c r="DF24">
        <f t="shared" si="27"/>
        <v>0</v>
      </c>
      <c r="DG24">
        <f t="shared" si="28"/>
        <v>0</v>
      </c>
      <c r="DH24">
        <f t="shared" si="29"/>
        <v>1.8063063063063065</v>
      </c>
      <c r="DI24">
        <f t="shared" si="30"/>
        <v>0.13828828828828829</v>
      </c>
      <c r="DJ24">
        <f t="shared" si="31"/>
        <v>3.1531531531531535E-3</v>
      </c>
      <c r="DK24">
        <f t="shared" si="32"/>
        <v>20.440376879295787</v>
      </c>
      <c r="DL24">
        <f t="shared" si="33"/>
        <v>0.36866411205142702</v>
      </c>
      <c r="DM24">
        <f t="shared" si="34"/>
        <v>2.2926368661912844</v>
      </c>
      <c r="DN24">
        <f t="shared" si="35"/>
        <v>1.2692403598365714</v>
      </c>
      <c r="DO24">
        <f t="shared" si="36"/>
        <v>4.1350163919281681E-2</v>
      </c>
      <c r="DP24">
        <f t="shared" si="37"/>
        <v>2.2892110698455193E-2</v>
      </c>
    </row>
    <row r="25" spans="1:120">
      <c r="A25" s="16" t="s">
        <v>1179</v>
      </c>
      <c r="B25" s="16" t="s">
        <v>24</v>
      </c>
      <c r="C25" s="121" t="s">
        <v>1800</v>
      </c>
      <c r="D25" s="16" t="s">
        <v>1709</v>
      </c>
      <c r="E25" s="16" t="s">
        <v>237</v>
      </c>
      <c r="F25" s="16" t="s">
        <v>29</v>
      </c>
      <c r="G25" s="16" t="s">
        <v>595</v>
      </c>
      <c r="H25" s="27">
        <v>360</v>
      </c>
      <c r="I25" s="16" t="s">
        <v>712</v>
      </c>
      <c r="J25" s="16"/>
      <c r="K25" s="16" t="s">
        <v>913</v>
      </c>
      <c r="L25" s="16"/>
      <c r="M25" s="16" t="s">
        <v>52</v>
      </c>
      <c r="N25" s="16" t="s">
        <v>1084</v>
      </c>
      <c r="O25" s="95">
        <v>8.3356490883050824</v>
      </c>
      <c r="P25" s="95">
        <v>0.10825518296500107</v>
      </c>
      <c r="Q25" s="95">
        <v>0</v>
      </c>
      <c r="R25" s="95">
        <v>3.6806762208100361</v>
      </c>
      <c r="S25" s="95">
        <v>48.281811602390476</v>
      </c>
      <c r="T25" s="95">
        <v>16.130022261785161</v>
      </c>
      <c r="U25" s="95">
        <v>0</v>
      </c>
      <c r="V25" s="95">
        <v>14.181428968415139</v>
      </c>
      <c r="W25" s="95">
        <v>7.5778628075500745</v>
      </c>
      <c r="X25" s="95">
        <v>0.86604146372000856</v>
      </c>
      <c r="Y25" s="95">
        <v>1.0825518296500107</v>
      </c>
      <c r="Z25" s="95">
        <v>100.244299425591</v>
      </c>
      <c r="AA25" s="18"/>
      <c r="AB25" s="18"/>
      <c r="AC25" s="18"/>
      <c r="AD25" s="18"/>
      <c r="AE25" s="127"/>
      <c r="AF25" s="127"/>
      <c r="AG25" s="18"/>
      <c r="AH25" s="18">
        <v>104</v>
      </c>
      <c r="AI25" s="18"/>
      <c r="AJ25" s="18"/>
      <c r="AK25" s="134">
        <v>2.39</v>
      </c>
      <c r="AL25" s="18">
        <v>0.53</v>
      </c>
      <c r="AM25" s="134"/>
      <c r="AN25" s="127">
        <v>2.02</v>
      </c>
      <c r="AO25" s="18">
        <v>0.09</v>
      </c>
      <c r="AP25" s="18">
        <v>0.3</v>
      </c>
      <c r="AQ25" s="18">
        <v>0.04</v>
      </c>
      <c r="AR25" s="18">
        <v>7.0000000000000007E-2</v>
      </c>
      <c r="AS25" s="18"/>
      <c r="AT25" s="18"/>
      <c r="AU25" s="18"/>
      <c r="AV25" s="18"/>
      <c r="AW25" s="18"/>
      <c r="AX25" s="127">
        <v>0.38</v>
      </c>
      <c r="AY25" s="127">
        <v>1.1399999999999999</v>
      </c>
      <c r="AZ25" s="127" t="s">
        <v>491</v>
      </c>
      <c r="BA25" s="127">
        <v>0.02</v>
      </c>
      <c r="BB25" s="18"/>
      <c r="BC25" s="127">
        <v>7.0000000000000007E-2</v>
      </c>
      <c r="BD25" s="18"/>
      <c r="BE25" s="18"/>
      <c r="BF25" s="18"/>
      <c r="BG25" s="18"/>
      <c r="BH25" s="127" t="s">
        <v>491</v>
      </c>
      <c r="BI25" s="127">
        <v>2.13</v>
      </c>
      <c r="BJ25" s="18">
        <v>0.05</v>
      </c>
      <c r="BK25" s="127">
        <v>0.15</v>
      </c>
      <c r="BL25" s="127">
        <v>0.31</v>
      </c>
      <c r="BM25" s="127">
        <v>0.03</v>
      </c>
      <c r="BN25" s="127">
        <v>0.1</v>
      </c>
      <c r="BO25" s="18">
        <v>0.01</v>
      </c>
      <c r="BP25" s="18"/>
      <c r="BQ25" s="18" t="s">
        <v>491</v>
      </c>
      <c r="BR25" s="18" t="s">
        <v>491</v>
      </c>
      <c r="BS25" s="18" t="s">
        <v>491</v>
      </c>
      <c r="BT25" s="18" t="s">
        <v>491</v>
      </c>
      <c r="BU25" s="18" t="s">
        <v>491</v>
      </c>
      <c r="BV25" s="18" t="s">
        <v>491</v>
      </c>
      <c r="BW25" s="18" t="s">
        <v>491</v>
      </c>
      <c r="BX25" s="18" t="s">
        <v>491</v>
      </c>
      <c r="BY25" s="127">
        <v>0.01</v>
      </c>
      <c r="BZ25" s="18"/>
      <c r="CA25" s="127">
        <v>0.05</v>
      </c>
      <c r="CB25" s="127">
        <v>0.02</v>
      </c>
      <c r="CC25" s="127"/>
      <c r="CE25">
        <f t="shared" si="0"/>
        <v>1.868421052631579</v>
      </c>
      <c r="CF25">
        <f t="shared" si="1"/>
        <v>14.2</v>
      </c>
      <c r="CG25">
        <f t="shared" si="2"/>
        <v>7.6</v>
      </c>
      <c r="CH25">
        <f t="shared" si="3"/>
        <v>0.48387096774193544</v>
      </c>
      <c r="CI25">
        <f t="shared" si="4"/>
        <v>0</v>
      </c>
      <c r="CJ25" t="e">
        <f t="shared" si="5"/>
        <v>#DIV/0!</v>
      </c>
      <c r="CK25">
        <f t="shared" si="6"/>
        <v>0</v>
      </c>
      <c r="CL25">
        <f t="shared" si="7"/>
        <v>3.6774193548387095</v>
      </c>
      <c r="CM25">
        <f t="shared" si="8"/>
        <v>6.870967741935484</v>
      </c>
      <c r="CN25">
        <f t="shared" si="9"/>
        <v>6.870967741935484</v>
      </c>
      <c r="CO25">
        <f t="shared" si="10"/>
        <v>3.2258064516129031E-2</v>
      </c>
      <c r="CP25" t="e">
        <f t="shared" si="11"/>
        <v>#DIV/0!</v>
      </c>
      <c r="CQ25">
        <f t="shared" si="12"/>
        <v>0.33333333333333337</v>
      </c>
      <c r="CR25">
        <f t="shared" si="13"/>
        <v>0.46666666666666673</v>
      </c>
      <c r="CS25">
        <f t="shared" si="14"/>
        <v>0.13333333333333333</v>
      </c>
      <c r="CT25">
        <f t="shared" si="15"/>
        <v>0.33333333333333337</v>
      </c>
      <c r="CU25" t="e">
        <f t="shared" si="16"/>
        <v>#VALUE!</v>
      </c>
      <c r="CV25" t="e">
        <f t="shared" si="17"/>
        <v>#DIV/0!</v>
      </c>
      <c r="CW25">
        <f t="shared" si="18"/>
        <v>13.466666666666667</v>
      </c>
      <c r="CX25">
        <f t="shared" si="19"/>
        <v>0.2857142857142857</v>
      </c>
      <c r="CY25">
        <f t="shared" si="20"/>
        <v>6.6666666666666666E-2</v>
      </c>
      <c r="CZ25" t="e">
        <f t="shared" si="21"/>
        <v>#DIV/0!</v>
      </c>
      <c r="DA25">
        <f t="shared" si="22"/>
        <v>5.2631578947368418E-2</v>
      </c>
      <c r="DB25">
        <f t="shared" si="23"/>
        <v>1.754385964912281E-2</v>
      </c>
      <c r="DC25" t="e">
        <f t="shared" si="24"/>
        <v>#VALUE!</v>
      </c>
      <c r="DD25">
        <f t="shared" si="25"/>
        <v>6.4516129032258063E-2</v>
      </c>
      <c r="DE25">
        <f t="shared" si="26"/>
        <v>0</v>
      </c>
      <c r="DF25">
        <f t="shared" si="27"/>
        <v>0</v>
      </c>
      <c r="DG25">
        <f t="shared" si="28"/>
        <v>0</v>
      </c>
      <c r="DH25">
        <f t="shared" si="29"/>
        <v>1.868421052631579</v>
      </c>
      <c r="DI25">
        <f t="shared" si="30"/>
        <v>6.1403508771929835E-2</v>
      </c>
      <c r="DJ25">
        <f t="shared" si="31"/>
        <v>0</v>
      </c>
      <c r="DK25">
        <f t="shared" si="32"/>
        <v>321.87874401593655</v>
      </c>
      <c r="DL25">
        <f t="shared" si="33"/>
        <v>0</v>
      </c>
      <c r="DM25">
        <f t="shared" si="34"/>
        <v>42.352466317886389</v>
      </c>
      <c r="DN25">
        <f t="shared" si="35"/>
        <v>22.66751718422088</v>
      </c>
      <c r="DO25">
        <f t="shared" si="36"/>
        <v>0</v>
      </c>
      <c r="DP25">
        <f t="shared" si="37"/>
        <v>0</v>
      </c>
    </row>
    <row r="26" spans="1:120">
      <c r="A26" s="16" t="s">
        <v>1179</v>
      </c>
      <c r="B26" s="16" t="s">
        <v>24</v>
      </c>
      <c r="C26" s="121" t="s">
        <v>1800</v>
      </c>
      <c r="D26" s="16" t="s">
        <v>1709</v>
      </c>
      <c r="E26" s="16" t="s">
        <v>237</v>
      </c>
      <c r="F26" s="16" t="s">
        <v>29</v>
      </c>
      <c r="G26" s="16" t="s">
        <v>595</v>
      </c>
      <c r="H26" s="27">
        <v>360</v>
      </c>
      <c r="I26" s="16" t="s">
        <v>712</v>
      </c>
      <c r="J26" s="16"/>
      <c r="K26" s="16" t="s">
        <v>913</v>
      </c>
      <c r="L26" s="16"/>
      <c r="M26" s="16" t="s">
        <v>62</v>
      </c>
      <c r="N26" s="16" t="s">
        <v>1084</v>
      </c>
      <c r="O26" s="95">
        <v>10.221190354457754</v>
      </c>
      <c r="P26" s="95">
        <v>0</v>
      </c>
      <c r="Q26" s="95">
        <v>0</v>
      </c>
      <c r="R26" s="95">
        <v>4.2786378227962691</v>
      </c>
      <c r="S26" s="95">
        <v>46.827313949492499</v>
      </c>
      <c r="T26" s="95">
        <v>6.655658835460863</v>
      </c>
      <c r="U26" s="95">
        <v>0</v>
      </c>
      <c r="V26" s="95">
        <v>10.221190354457754</v>
      </c>
      <c r="W26" s="95">
        <v>17.352253392451537</v>
      </c>
      <c r="X26" s="95">
        <v>2.9712762658307428</v>
      </c>
      <c r="Y26" s="95">
        <v>1.9016168101316753</v>
      </c>
      <c r="Z26" s="95">
        <v>100.42913778507908</v>
      </c>
      <c r="AA26" s="18"/>
      <c r="AB26" s="18"/>
      <c r="AC26" s="18"/>
      <c r="AD26" s="18"/>
      <c r="AE26" s="127"/>
      <c r="AF26" s="127"/>
      <c r="AG26" s="18"/>
      <c r="AH26" s="18">
        <v>0.81</v>
      </c>
      <c r="AI26" s="18"/>
      <c r="AJ26" s="18"/>
      <c r="AK26" s="134">
        <v>2.2799999999999998</v>
      </c>
      <c r="AL26" s="18" t="s">
        <v>491</v>
      </c>
      <c r="AM26" s="134"/>
      <c r="AN26" s="127">
        <v>0.28000000000000003</v>
      </c>
      <c r="AO26" s="18">
        <v>0.08</v>
      </c>
      <c r="AP26" s="18">
        <v>0.15</v>
      </c>
      <c r="AQ26" s="18" t="s">
        <v>491</v>
      </c>
      <c r="AR26" s="18" t="s">
        <v>491</v>
      </c>
      <c r="AS26" s="18"/>
      <c r="AT26" s="18"/>
      <c r="AU26" s="18"/>
      <c r="AV26" s="18"/>
      <c r="AW26" s="18"/>
      <c r="AX26" s="127" t="s">
        <v>491</v>
      </c>
      <c r="AY26" s="127">
        <v>0.02</v>
      </c>
      <c r="AZ26" s="127">
        <v>0</v>
      </c>
      <c r="BA26" s="127">
        <v>0</v>
      </c>
      <c r="BB26" s="18"/>
      <c r="BC26" s="127" t="s">
        <v>491</v>
      </c>
      <c r="BD26" s="18"/>
      <c r="BE26" s="18"/>
      <c r="BF26" s="18"/>
      <c r="BG26" s="18"/>
      <c r="BH26" s="127" t="s">
        <v>491</v>
      </c>
      <c r="BI26" s="127">
        <v>0.05</v>
      </c>
      <c r="BJ26" s="18">
        <v>0.01</v>
      </c>
      <c r="BK26" s="127">
        <v>0.01</v>
      </c>
      <c r="BL26" s="127">
        <v>0.04</v>
      </c>
      <c r="BM26" s="127"/>
      <c r="BN26" s="127">
        <v>0.03</v>
      </c>
      <c r="BO26" s="18" t="s">
        <v>491</v>
      </c>
      <c r="BP26" s="18">
        <v>0.01</v>
      </c>
      <c r="BQ26" s="18" t="s">
        <v>491</v>
      </c>
      <c r="BR26" s="18" t="s">
        <v>491</v>
      </c>
      <c r="BS26" s="18">
        <v>0.01</v>
      </c>
      <c r="BT26" s="18">
        <v>0.02</v>
      </c>
      <c r="BU26" s="18" t="s">
        <v>491</v>
      </c>
      <c r="BV26" s="18"/>
      <c r="BW26" s="18"/>
      <c r="BX26" s="18" t="s">
        <v>491</v>
      </c>
      <c r="BY26" s="127"/>
      <c r="BZ26" s="18"/>
      <c r="CA26" s="127">
        <v>0.01</v>
      </c>
      <c r="CB26" s="127"/>
      <c r="CC26" s="127">
        <v>0.01</v>
      </c>
      <c r="CE26">
        <f t="shared" si="0"/>
        <v>2.5</v>
      </c>
      <c r="CF26">
        <f t="shared" si="1"/>
        <v>5</v>
      </c>
      <c r="CG26">
        <f t="shared" si="2"/>
        <v>2</v>
      </c>
      <c r="CH26">
        <f t="shared" si="3"/>
        <v>0.25</v>
      </c>
      <c r="CI26">
        <f t="shared" si="4"/>
        <v>0</v>
      </c>
      <c r="CJ26" t="e">
        <f t="shared" si="5"/>
        <v>#DIV/0!</v>
      </c>
      <c r="CK26">
        <f t="shared" si="6"/>
        <v>0</v>
      </c>
      <c r="CL26">
        <f t="shared" si="7"/>
        <v>0.5</v>
      </c>
      <c r="CM26">
        <f t="shared" si="8"/>
        <v>1.25</v>
      </c>
      <c r="CN26">
        <f t="shared" si="9"/>
        <v>1.25</v>
      </c>
      <c r="CO26">
        <f t="shared" si="10"/>
        <v>0</v>
      </c>
      <c r="CP26">
        <f t="shared" si="11"/>
        <v>1</v>
      </c>
      <c r="CQ26">
        <f t="shared" si="12"/>
        <v>1</v>
      </c>
      <c r="CR26" t="e">
        <f t="shared" si="13"/>
        <v>#VALUE!</v>
      </c>
      <c r="CS26">
        <f t="shared" si="14"/>
        <v>0</v>
      </c>
      <c r="CT26" t="e">
        <f t="shared" si="15"/>
        <v>#VALUE!</v>
      </c>
      <c r="CU26">
        <f t="shared" si="16"/>
        <v>0</v>
      </c>
      <c r="CV26" t="e">
        <f t="shared" si="17"/>
        <v>#DIV/0!</v>
      </c>
      <c r="CW26">
        <f t="shared" si="18"/>
        <v>28.000000000000004</v>
      </c>
      <c r="CX26" t="e">
        <f t="shared" si="19"/>
        <v>#VALUE!</v>
      </c>
      <c r="CY26">
        <f t="shared" si="20"/>
        <v>0</v>
      </c>
      <c r="CZ26">
        <f t="shared" si="21"/>
        <v>0</v>
      </c>
      <c r="DA26" t="e">
        <f t="shared" si="22"/>
        <v>#VALUE!</v>
      </c>
      <c r="DB26">
        <f t="shared" si="23"/>
        <v>0</v>
      </c>
      <c r="DC26" t="e">
        <f t="shared" si="24"/>
        <v>#DIV/0!</v>
      </c>
      <c r="DD26">
        <f t="shared" si="25"/>
        <v>0</v>
      </c>
      <c r="DE26">
        <f t="shared" si="26"/>
        <v>0</v>
      </c>
      <c r="DF26">
        <f t="shared" si="27"/>
        <v>0</v>
      </c>
      <c r="DG26">
        <f t="shared" si="28"/>
        <v>0</v>
      </c>
      <c r="DH26">
        <f t="shared" si="29"/>
        <v>2.5</v>
      </c>
      <c r="DI26" t="e">
        <f t="shared" si="30"/>
        <v>#VALUE!</v>
      </c>
      <c r="DJ26">
        <f t="shared" si="31"/>
        <v>0.5</v>
      </c>
      <c r="DK26">
        <f t="shared" si="32"/>
        <v>4682.73139494925</v>
      </c>
      <c r="DL26">
        <f t="shared" si="33"/>
        <v>0</v>
      </c>
      <c r="DM26">
        <f t="shared" si="34"/>
        <v>2341.365697474625</v>
      </c>
      <c r="DN26">
        <f t="shared" si="35"/>
        <v>936.54627898984995</v>
      </c>
      <c r="DO26">
        <f t="shared" si="36"/>
        <v>0</v>
      </c>
      <c r="DP26">
        <f t="shared" si="37"/>
        <v>0</v>
      </c>
    </row>
    <row r="27" spans="1:120">
      <c r="A27" s="16" t="s">
        <v>1179</v>
      </c>
      <c r="B27" s="16" t="s">
        <v>24</v>
      </c>
      <c r="C27" s="121" t="s">
        <v>1800</v>
      </c>
      <c r="D27" s="16" t="s">
        <v>1709</v>
      </c>
      <c r="E27" s="16" t="s">
        <v>237</v>
      </c>
      <c r="F27" s="16" t="s">
        <v>29</v>
      </c>
      <c r="G27" s="16" t="s">
        <v>595</v>
      </c>
      <c r="H27" s="27">
        <v>360</v>
      </c>
      <c r="I27" s="16" t="s">
        <v>712</v>
      </c>
      <c r="J27" s="16"/>
      <c r="K27" s="16" t="s">
        <v>913</v>
      </c>
      <c r="L27" s="16"/>
      <c r="M27" s="16" t="s">
        <v>50</v>
      </c>
      <c r="N27" s="16" t="s">
        <v>1084</v>
      </c>
      <c r="O27" s="95">
        <v>13.282088642412168</v>
      </c>
      <c r="P27" s="95">
        <v>0.10541340192390611</v>
      </c>
      <c r="Q27" s="95">
        <v>1.7920278327064036</v>
      </c>
      <c r="R27" s="95">
        <v>8.960139163532018</v>
      </c>
      <c r="S27" s="95">
        <v>49.122645296540249</v>
      </c>
      <c r="T27" s="95">
        <v>19.817719561694346</v>
      </c>
      <c r="U27" s="95">
        <v>0</v>
      </c>
      <c r="V27" s="95">
        <v>0</v>
      </c>
      <c r="W27" s="95">
        <v>4.9544298904235866</v>
      </c>
      <c r="X27" s="95">
        <v>1.4757876269346855</v>
      </c>
      <c r="Y27" s="95">
        <v>0.63248041154343659</v>
      </c>
      <c r="Z27" s="95">
        <v>100.1427318277108</v>
      </c>
      <c r="AA27" s="18"/>
      <c r="AB27" s="18"/>
      <c r="AC27" s="18"/>
      <c r="AD27" s="18"/>
      <c r="AE27" s="127"/>
      <c r="AF27" s="127"/>
      <c r="AG27" s="18"/>
      <c r="AH27" s="18">
        <v>671</v>
      </c>
      <c r="AI27" s="18"/>
      <c r="AJ27" s="18"/>
      <c r="AK27" s="134">
        <v>4.05</v>
      </c>
      <c r="AL27" s="18">
        <v>5.96</v>
      </c>
      <c r="AM27" s="134"/>
      <c r="AN27" s="127">
        <v>4.3899999999999997</v>
      </c>
      <c r="AO27" s="18">
        <v>2.15</v>
      </c>
      <c r="AP27" s="18">
        <v>0.99</v>
      </c>
      <c r="AQ27" s="18">
        <v>0.26</v>
      </c>
      <c r="AR27" s="18">
        <v>0.42</v>
      </c>
      <c r="AS27" s="18"/>
      <c r="AT27" s="18"/>
      <c r="AU27" s="18"/>
      <c r="AV27" s="18"/>
      <c r="AW27" s="18"/>
      <c r="AX27" s="127">
        <v>1.83</v>
      </c>
      <c r="AY27" s="127">
        <v>7.33</v>
      </c>
      <c r="AZ27" s="127">
        <v>0.02</v>
      </c>
      <c r="BA27" s="127">
        <v>0.55000000000000004</v>
      </c>
      <c r="BB27" s="18"/>
      <c r="BC27" s="127">
        <v>1.41</v>
      </c>
      <c r="BD27" s="18"/>
      <c r="BE27" s="18"/>
      <c r="BF27" s="18"/>
      <c r="BG27" s="18"/>
      <c r="BH27" s="127">
        <v>0.02</v>
      </c>
      <c r="BI27" s="127">
        <v>15</v>
      </c>
      <c r="BJ27" s="18">
        <v>0.55000000000000004</v>
      </c>
      <c r="BK27" s="127">
        <v>1.19</v>
      </c>
      <c r="BL27" s="127">
        <v>2.19</v>
      </c>
      <c r="BM27" s="127">
        <v>0.22</v>
      </c>
      <c r="BN27" s="127">
        <v>0.81</v>
      </c>
      <c r="BO27" s="18">
        <v>0.08</v>
      </c>
      <c r="BP27" s="18">
        <v>0.02</v>
      </c>
      <c r="BQ27" s="18">
        <v>0.04</v>
      </c>
      <c r="BR27" s="18">
        <v>0.01</v>
      </c>
      <c r="BS27" s="18"/>
      <c r="BT27" s="18"/>
      <c r="BU27" s="18" t="s">
        <v>491</v>
      </c>
      <c r="BV27" s="18" t="s">
        <v>491</v>
      </c>
      <c r="BW27" s="18" t="s">
        <v>491</v>
      </c>
      <c r="BX27" s="18">
        <v>0.02</v>
      </c>
      <c r="BY27" s="127">
        <v>7.0000000000000007E-2</v>
      </c>
      <c r="BZ27" s="18"/>
      <c r="CA27" s="127">
        <v>0.18</v>
      </c>
      <c r="CB27" s="127">
        <v>0.12</v>
      </c>
      <c r="CC27" s="127">
        <v>0.03</v>
      </c>
      <c r="CE27">
        <f t="shared" si="0"/>
        <v>2.0463847203274215</v>
      </c>
      <c r="CF27">
        <f t="shared" si="1"/>
        <v>12.605042016806724</v>
      </c>
      <c r="CG27">
        <f t="shared" si="2"/>
        <v>6.1596638655462188</v>
      </c>
      <c r="CH27">
        <f t="shared" si="3"/>
        <v>0.54337899543378998</v>
      </c>
      <c r="CI27">
        <f t="shared" si="4"/>
        <v>0</v>
      </c>
      <c r="CJ27" t="e">
        <f t="shared" si="5"/>
        <v>#DIV/0!</v>
      </c>
      <c r="CK27">
        <f t="shared" si="6"/>
        <v>0</v>
      </c>
      <c r="CL27">
        <f t="shared" si="7"/>
        <v>3.3470319634703198</v>
      </c>
      <c r="CM27">
        <f t="shared" si="8"/>
        <v>6.8493150684931505</v>
      </c>
      <c r="CN27">
        <f t="shared" si="9"/>
        <v>6.8493150684931505</v>
      </c>
      <c r="CO27">
        <f t="shared" si="10"/>
        <v>3.1963470319634708E-2</v>
      </c>
      <c r="CP27">
        <f t="shared" si="11"/>
        <v>6</v>
      </c>
      <c r="CQ27">
        <f t="shared" si="12"/>
        <v>0.15126050420168066</v>
      </c>
      <c r="CR27">
        <f t="shared" si="13"/>
        <v>1.1848739495798319</v>
      </c>
      <c r="CS27">
        <f t="shared" si="14"/>
        <v>0.46218487394957991</v>
      </c>
      <c r="CT27">
        <f t="shared" si="15"/>
        <v>0.24965893587994545</v>
      </c>
      <c r="CU27">
        <f t="shared" si="16"/>
        <v>1.6806722689075633E-2</v>
      </c>
      <c r="CV27" t="e">
        <f t="shared" si="17"/>
        <v>#DIV/0!</v>
      </c>
      <c r="CW27">
        <f t="shared" si="18"/>
        <v>3.6890756302521006</v>
      </c>
      <c r="CX27">
        <f t="shared" si="19"/>
        <v>0.39007092198581567</v>
      </c>
      <c r="CY27">
        <f t="shared" si="20"/>
        <v>5.8823529411764712E-2</v>
      </c>
      <c r="CZ27">
        <f t="shared" si="21"/>
        <v>4</v>
      </c>
      <c r="DA27">
        <f t="shared" si="22"/>
        <v>0.30054644808743169</v>
      </c>
      <c r="DB27">
        <f t="shared" si="23"/>
        <v>7.5034106412005461E-2</v>
      </c>
      <c r="DC27">
        <f t="shared" si="24"/>
        <v>27.5</v>
      </c>
      <c r="DD27">
        <f t="shared" si="25"/>
        <v>0.25114155251141557</v>
      </c>
      <c r="DE27">
        <f t="shared" si="26"/>
        <v>0</v>
      </c>
      <c r="DF27">
        <f t="shared" si="27"/>
        <v>0</v>
      </c>
      <c r="DG27">
        <f t="shared" si="28"/>
        <v>0</v>
      </c>
      <c r="DH27">
        <f t="shared" si="29"/>
        <v>2.0463847203274215</v>
      </c>
      <c r="DI27">
        <f t="shared" si="30"/>
        <v>0.1923601637107776</v>
      </c>
      <c r="DJ27">
        <f t="shared" si="31"/>
        <v>4.0927694406548429E-3</v>
      </c>
      <c r="DK27">
        <f t="shared" si="32"/>
        <v>41.279533862638864</v>
      </c>
      <c r="DL27">
        <f t="shared" si="33"/>
        <v>1.5059057417700872</v>
      </c>
      <c r="DM27">
        <f t="shared" si="34"/>
        <v>6.70158871712691</v>
      </c>
      <c r="DN27">
        <f t="shared" si="35"/>
        <v>3.2748430197693499</v>
      </c>
      <c r="DO27">
        <f t="shared" si="36"/>
        <v>0.24447855835012328</v>
      </c>
      <c r="DP27">
        <f t="shared" si="37"/>
        <v>0.1194685221804269</v>
      </c>
    </row>
    <row r="28" spans="1:120">
      <c r="A28" s="16" t="s">
        <v>842</v>
      </c>
      <c r="B28" s="16" t="s">
        <v>24</v>
      </c>
      <c r="C28" s="121" t="s">
        <v>1800</v>
      </c>
      <c r="D28" s="16" t="s">
        <v>1709</v>
      </c>
      <c r="E28" s="16" t="s">
        <v>237</v>
      </c>
      <c r="F28" s="16" t="s">
        <v>29</v>
      </c>
      <c r="G28" s="16" t="s">
        <v>595</v>
      </c>
      <c r="H28" s="27">
        <v>360</v>
      </c>
      <c r="I28" s="16" t="s">
        <v>712</v>
      </c>
      <c r="J28" s="16"/>
      <c r="K28" s="16" t="s">
        <v>913</v>
      </c>
      <c r="L28" s="16"/>
      <c r="M28" s="16" t="s">
        <v>68</v>
      </c>
      <c r="N28" s="16" t="s">
        <v>1084</v>
      </c>
      <c r="O28" s="95">
        <v>5.8526279153819729</v>
      </c>
      <c r="P28" s="95">
        <v>0</v>
      </c>
      <c r="Q28" s="95">
        <v>2.21450785987426</v>
      </c>
      <c r="R28" s="95">
        <v>14.868838487727173</v>
      </c>
      <c r="S28" s="95">
        <v>42.07564933761094</v>
      </c>
      <c r="T28" s="95">
        <v>13.919763690638206</v>
      </c>
      <c r="U28" s="95">
        <v>0</v>
      </c>
      <c r="V28" s="95">
        <v>9.6489271037378455</v>
      </c>
      <c r="W28" s="95">
        <v>9.9652853694341701</v>
      </c>
      <c r="X28" s="95">
        <v>0.47453739854448429</v>
      </c>
      <c r="Y28" s="95">
        <v>1.2654330627852914</v>
      </c>
      <c r="Z28" s="95">
        <v>100.28557022573435</v>
      </c>
      <c r="AA28" s="18"/>
      <c r="AB28" s="18"/>
      <c r="AC28" s="18"/>
      <c r="AD28" s="18"/>
      <c r="AE28" s="127"/>
      <c r="AF28" s="127"/>
      <c r="AG28" s="18"/>
      <c r="AH28" s="18"/>
      <c r="AI28" s="18"/>
      <c r="AJ28" s="18"/>
      <c r="AK28" s="134"/>
      <c r="AL28" s="18"/>
      <c r="AM28" s="134"/>
      <c r="AN28" s="127"/>
      <c r="AO28" s="18"/>
      <c r="AP28" s="18"/>
      <c r="AQ28" s="18"/>
      <c r="AR28" s="18"/>
      <c r="AS28" s="18"/>
      <c r="AT28" s="18"/>
      <c r="AU28" s="18"/>
      <c r="AV28" s="18"/>
      <c r="AW28" s="18"/>
      <c r="AX28" s="127"/>
      <c r="AY28" s="127"/>
      <c r="AZ28" s="127"/>
      <c r="BA28" s="127"/>
      <c r="BB28" s="18"/>
      <c r="BC28" s="127"/>
      <c r="BD28" s="18"/>
      <c r="BE28" s="18"/>
      <c r="BF28" s="18"/>
      <c r="BG28" s="18"/>
      <c r="BH28" s="127"/>
      <c r="BI28" s="127"/>
      <c r="BJ28" s="18"/>
      <c r="BK28" s="127"/>
      <c r="BL28" s="127"/>
      <c r="BM28" s="127"/>
      <c r="BN28" s="127"/>
      <c r="BO28" s="18">
        <v>0</v>
      </c>
      <c r="BP28" s="18">
        <v>0</v>
      </c>
      <c r="BQ28" s="18"/>
      <c r="BR28" s="18"/>
      <c r="BS28" s="18"/>
      <c r="BT28" s="18"/>
      <c r="BU28" s="18"/>
      <c r="BV28" s="18"/>
      <c r="BW28" s="18"/>
      <c r="BX28" s="18"/>
      <c r="BY28" s="127"/>
      <c r="BZ28" s="18"/>
      <c r="CA28" s="127"/>
      <c r="CB28" s="127"/>
      <c r="CC28" s="127"/>
      <c r="CE28" t="e">
        <f t="shared" si="0"/>
        <v>#DIV/0!</v>
      </c>
      <c r="CF28" t="e">
        <f t="shared" si="1"/>
        <v>#DIV/0!</v>
      </c>
      <c r="CG28" t="e">
        <f t="shared" si="2"/>
        <v>#DIV/0!</v>
      </c>
      <c r="CH28" t="e">
        <f t="shared" si="3"/>
        <v>#DIV/0!</v>
      </c>
      <c r="CI28" t="e">
        <f t="shared" si="4"/>
        <v>#DIV/0!</v>
      </c>
      <c r="CJ28" t="e">
        <f t="shared" si="5"/>
        <v>#DIV/0!</v>
      </c>
      <c r="CK28" t="e">
        <f t="shared" si="6"/>
        <v>#DIV/0!</v>
      </c>
      <c r="CL28" t="e">
        <f t="shared" si="7"/>
        <v>#DIV/0!</v>
      </c>
      <c r="CM28" t="e">
        <f t="shared" si="8"/>
        <v>#DIV/0!</v>
      </c>
      <c r="CN28" t="e">
        <f t="shared" si="9"/>
        <v>#DIV/0!</v>
      </c>
      <c r="CO28" t="e">
        <f t="shared" si="10"/>
        <v>#DIV/0!</v>
      </c>
      <c r="CP28" t="e">
        <f t="shared" si="11"/>
        <v>#DIV/0!</v>
      </c>
      <c r="CQ28" t="e">
        <f t="shared" si="12"/>
        <v>#DIV/0!</v>
      </c>
      <c r="CR28" t="e">
        <f t="shared" si="13"/>
        <v>#DIV/0!</v>
      </c>
      <c r="CS28" t="e">
        <f t="shared" si="14"/>
        <v>#DIV/0!</v>
      </c>
      <c r="CT28" t="e">
        <f t="shared" si="15"/>
        <v>#DIV/0!</v>
      </c>
      <c r="CU28" t="e">
        <f t="shared" si="16"/>
        <v>#DIV/0!</v>
      </c>
      <c r="CV28" t="e">
        <f t="shared" si="17"/>
        <v>#DIV/0!</v>
      </c>
      <c r="CW28" t="e">
        <f t="shared" si="18"/>
        <v>#DIV/0!</v>
      </c>
      <c r="CX28" t="e">
        <f t="shared" si="19"/>
        <v>#DIV/0!</v>
      </c>
      <c r="CY28" t="e">
        <f t="shared" si="20"/>
        <v>#DIV/0!</v>
      </c>
      <c r="CZ28" t="e">
        <f t="shared" si="21"/>
        <v>#DIV/0!</v>
      </c>
      <c r="DA28" t="e">
        <f t="shared" si="22"/>
        <v>#DIV/0!</v>
      </c>
      <c r="DB28" t="e">
        <f t="shared" si="23"/>
        <v>#DIV/0!</v>
      </c>
      <c r="DC28" t="e">
        <f t="shared" si="24"/>
        <v>#DIV/0!</v>
      </c>
      <c r="DD28" t="e">
        <f t="shared" si="25"/>
        <v>#DIV/0!</v>
      </c>
      <c r="DE28" t="e">
        <f t="shared" si="26"/>
        <v>#DIV/0!</v>
      </c>
      <c r="DF28" t="e">
        <f t="shared" si="27"/>
        <v>#DIV/0!</v>
      </c>
      <c r="DG28" t="e">
        <f t="shared" si="28"/>
        <v>#DIV/0!</v>
      </c>
      <c r="DH28" t="e">
        <f t="shared" si="29"/>
        <v>#DIV/0!</v>
      </c>
      <c r="DI28" t="e">
        <f t="shared" si="30"/>
        <v>#DIV/0!</v>
      </c>
      <c r="DJ28" t="e">
        <f t="shared" si="31"/>
        <v>#DIV/0!</v>
      </c>
      <c r="DK28" t="e">
        <f t="shared" si="32"/>
        <v>#DIV/0!</v>
      </c>
      <c r="DL28" t="e">
        <f t="shared" si="33"/>
        <v>#DIV/0!</v>
      </c>
      <c r="DM28" t="e">
        <f t="shared" si="34"/>
        <v>#DIV/0!</v>
      </c>
      <c r="DN28" t="e">
        <f t="shared" si="35"/>
        <v>#DIV/0!</v>
      </c>
      <c r="DO28" t="e">
        <f t="shared" si="36"/>
        <v>#DIV/0!</v>
      </c>
      <c r="DP28" t="e">
        <f t="shared" si="37"/>
        <v>#DIV/0!</v>
      </c>
    </row>
    <row r="29" spans="1:120">
      <c r="A29" s="16" t="s">
        <v>1179</v>
      </c>
      <c r="B29" s="16" t="s">
        <v>24</v>
      </c>
      <c r="C29" s="121" t="s">
        <v>1800</v>
      </c>
      <c r="D29" s="16" t="s">
        <v>1709</v>
      </c>
      <c r="E29" s="16" t="s">
        <v>237</v>
      </c>
      <c r="F29" s="16" t="s">
        <v>29</v>
      </c>
      <c r="G29" s="16" t="s">
        <v>595</v>
      </c>
      <c r="H29" s="27">
        <v>360</v>
      </c>
      <c r="I29" s="16" t="s">
        <v>712</v>
      </c>
      <c r="J29" s="16"/>
      <c r="K29" s="16" t="s">
        <v>913</v>
      </c>
      <c r="L29" s="16"/>
      <c r="M29" s="16" t="s">
        <v>69</v>
      </c>
      <c r="N29" s="16" t="s">
        <v>1084</v>
      </c>
      <c r="O29" s="95">
        <v>17.312121273417112</v>
      </c>
      <c r="P29" s="95">
        <v>1.8438945735000476</v>
      </c>
      <c r="Q29" s="95">
        <v>1.8438945735000476</v>
      </c>
      <c r="R29" s="95">
        <v>9.0145956926668998</v>
      </c>
      <c r="S29" s="95">
        <v>21.10234900783388</v>
      </c>
      <c r="T29" s="95">
        <v>38.926663218334333</v>
      </c>
      <c r="U29" s="95">
        <v>0</v>
      </c>
      <c r="V29" s="95">
        <v>5.121929370833465</v>
      </c>
      <c r="W29" s="95">
        <v>1.43414022383337</v>
      </c>
      <c r="X29" s="95">
        <v>2.7658418602500712</v>
      </c>
      <c r="Y29" s="95">
        <v>0.81950869933335446</v>
      </c>
      <c r="Z29" s="95">
        <v>100.1849384935026</v>
      </c>
      <c r="AA29" s="18"/>
      <c r="AB29" s="18"/>
      <c r="AC29" s="18"/>
      <c r="AD29" s="18"/>
      <c r="AE29" s="127"/>
      <c r="AF29" s="127"/>
      <c r="AG29" s="18"/>
      <c r="AH29" s="18">
        <v>116</v>
      </c>
      <c r="AI29" s="18"/>
      <c r="AJ29" s="18"/>
      <c r="AK29" s="134">
        <v>2.42</v>
      </c>
      <c r="AL29" s="18">
        <v>1.22</v>
      </c>
      <c r="AM29" s="134"/>
      <c r="AN29" s="127">
        <v>0.7</v>
      </c>
      <c r="AO29" s="18">
        <v>0.16</v>
      </c>
      <c r="AP29" s="18">
        <v>0.98</v>
      </c>
      <c r="AQ29" s="18">
        <v>0.06</v>
      </c>
      <c r="AR29" s="18">
        <v>0.1</v>
      </c>
      <c r="AS29" s="18"/>
      <c r="AT29" s="18"/>
      <c r="AU29" s="18"/>
      <c r="AV29" s="18"/>
      <c r="AW29" s="18"/>
      <c r="AX29" s="127">
        <v>0.46</v>
      </c>
      <c r="AY29" s="127">
        <v>2.29</v>
      </c>
      <c r="AZ29" s="127">
        <v>0.06</v>
      </c>
      <c r="BA29" s="127">
        <v>0.24</v>
      </c>
      <c r="BB29" s="18"/>
      <c r="BC29" s="127">
        <v>0.18</v>
      </c>
      <c r="BD29" s="18"/>
      <c r="BE29" s="18"/>
      <c r="BF29" s="18"/>
      <c r="BG29" s="18"/>
      <c r="BH29" s="127">
        <v>0.02</v>
      </c>
      <c r="BI29" s="127">
        <v>3.61</v>
      </c>
      <c r="BJ29" s="18">
        <v>0.1</v>
      </c>
      <c r="BK29" s="127">
        <v>0.27</v>
      </c>
      <c r="BL29" s="127">
        <v>0.48</v>
      </c>
      <c r="BM29" s="127">
        <v>0.05</v>
      </c>
      <c r="BN29" s="127">
        <v>0.21</v>
      </c>
      <c r="BO29" s="18">
        <v>0.03</v>
      </c>
      <c r="BP29" s="18">
        <v>0.01</v>
      </c>
      <c r="BQ29" s="18">
        <v>0.03</v>
      </c>
      <c r="BR29" s="18">
        <v>0.02</v>
      </c>
      <c r="BS29" s="18"/>
      <c r="BT29" s="18">
        <v>0.01</v>
      </c>
      <c r="BU29" s="18"/>
      <c r="BV29" s="18" t="s">
        <v>491</v>
      </c>
      <c r="BW29" s="18" t="s">
        <v>491</v>
      </c>
      <c r="BX29" s="18">
        <v>0.02</v>
      </c>
      <c r="BY29" s="127"/>
      <c r="BZ29" s="18"/>
      <c r="CA29" s="127">
        <v>0.04</v>
      </c>
      <c r="CB29" s="127">
        <v>0.03</v>
      </c>
      <c r="CC29" s="127">
        <v>0.01</v>
      </c>
      <c r="CE29">
        <f t="shared" si="0"/>
        <v>1.5764192139737991</v>
      </c>
      <c r="CF29">
        <f t="shared" si="1"/>
        <v>13.370370370370368</v>
      </c>
      <c r="CG29">
        <f t="shared" si="2"/>
        <v>8.481481481481481</v>
      </c>
      <c r="CH29">
        <f t="shared" si="3"/>
        <v>0.56250000000000011</v>
      </c>
      <c r="CI29">
        <f t="shared" si="4"/>
        <v>0</v>
      </c>
      <c r="CJ29" t="e">
        <f t="shared" si="5"/>
        <v>#DIV/0!</v>
      </c>
      <c r="CK29">
        <f t="shared" si="6"/>
        <v>0</v>
      </c>
      <c r="CL29">
        <f t="shared" si="7"/>
        <v>4.7708333333333339</v>
      </c>
      <c r="CM29">
        <f t="shared" si="8"/>
        <v>7.520833333333333</v>
      </c>
      <c r="CN29">
        <f t="shared" si="9"/>
        <v>7.520833333333333</v>
      </c>
      <c r="CO29">
        <f t="shared" si="10"/>
        <v>0</v>
      </c>
      <c r="CP29">
        <f t="shared" si="11"/>
        <v>4</v>
      </c>
      <c r="CQ29">
        <f t="shared" si="12"/>
        <v>0.14814814814814814</v>
      </c>
      <c r="CR29">
        <f t="shared" si="13"/>
        <v>0.66666666666666663</v>
      </c>
      <c r="CS29">
        <f t="shared" si="14"/>
        <v>0.88888888888888884</v>
      </c>
      <c r="CT29">
        <f t="shared" si="15"/>
        <v>0.20087336244541484</v>
      </c>
      <c r="CU29">
        <f t="shared" si="16"/>
        <v>0.22222222222222221</v>
      </c>
      <c r="CV29" t="e">
        <f t="shared" si="17"/>
        <v>#DIV/0!</v>
      </c>
      <c r="CW29">
        <f t="shared" si="18"/>
        <v>2.5925925925925921</v>
      </c>
      <c r="CX29">
        <f t="shared" si="19"/>
        <v>1.3333333333333333</v>
      </c>
      <c r="CY29">
        <f t="shared" si="20"/>
        <v>0</v>
      </c>
      <c r="CZ29">
        <f t="shared" si="21"/>
        <v>3</v>
      </c>
      <c r="DA29">
        <f t="shared" si="22"/>
        <v>0.52173913043478259</v>
      </c>
      <c r="DB29">
        <f t="shared" si="23"/>
        <v>0.10480349344978165</v>
      </c>
      <c r="DC29">
        <f t="shared" si="24"/>
        <v>4</v>
      </c>
      <c r="DD29">
        <f t="shared" si="25"/>
        <v>0.5</v>
      </c>
      <c r="DE29">
        <f t="shared" si="26"/>
        <v>0</v>
      </c>
      <c r="DF29">
        <f t="shared" si="27"/>
        <v>0</v>
      </c>
      <c r="DG29">
        <f t="shared" si="28"/>
        <v>0</v>
      </c>
      <c r="DH29">
        <f t="shared" si="29"/>
        <v>1.5764192139737991</v>
      </c>
      <c r="DI29">
        <f t="shared" si="30"/>
        <v>7.8602620087336234E-2</v>
      </c>
      <c r="DJ29">
        <f t="shared" si="31"/>
        <v>4.3668122270742356E-3</v>
      </c>
      <c r="DK29">
        <f t="shared" si="32"/>
        <v>78.156848177162516</v>
      </c>
      <c r="DL29">
        <f t="shared" si="33"/>
        <v>6.8292391611112873</v>
      </c>
      <c r="DM29">
        <f t="shared" si="34"/>
        <v>9.2149995667396851</v>
      </c>
      <c r="DN29">
        <f t="shared" si="35"/>
        <v>5.8455260409512135</v>
      </c>
      <c r="DO29">
        <f t="shared" si="36"/>
        <v>0.80519413689958408</v>
      </c>
      <c r="DP29">
        <f t="shared" si="37"/>
        <v>0.51077412008311573</v>
      </c>
    </row>
    <row r="30" spans="1:120">
      <c r="A30" s="16" t="s">
        <v>672</v>
      </c>
      <c r="B30" s="16" t="s">
        <v>24</v>
      </c>
      <c r="C30" s="121" t="s">
        <v>1800</v>
      </c>
      <c r="D30" s="16" t="s">
        <v>1723</v>
      </c>
      <c r="E30" s="16" t="s">
        <v>237</v>
      </c>
      <c r="F30" s="16" t="s">
        <v>29</v>
      </c>
      <c r="G30" s="16" t="s">
        <v>595</v>
      </c>
      <c r="H30" s="27">
        <v>360</v>
      </c>
      <c r="I30" s="16" t="s">
        <v>735</v>
      </c>
      <c r="J30" s="16" t="s">
        <v>1496</v>
      </c>
      <c r="K30" s="16"/>
      <c r="L30" s="16"/>
      <c r="M30" s="16" t="s">
        <v>31</v>
      </c>
      <c r="N30" s="16">
        <v>25</v>
      </c>
      <c r="O30" s="95">
        <v>4.9411137544017203</v>
      </c>
      <c r="P30" s="95">
        <v>0.59829769886283868</v>
      </c>
      <c r="Q30" s="95">
        <v>4.8585899338689149</v>
      </c>
      <c r="R30" s="95">
        <v>12.192894483721989</v>
      </c>
      <c r="S30" s="95">
        <v>37.197612105162008</v>
      </c>
      <c r="T30" s="95">
        <v>20.352437238903118</v>
      </c>
      <c r="U30" s="95">
        <v>0</v>
      </c>
      <c r="V30" s="95">
        <v>6.4471734791254178</v>
      </c>
      <c r="W30" s="95">
        <v>8.8094178418769697</v>
      </c>
      <c r="X30" s="95">
        <v>2.1662502889861401</v>
      </c>
      <c r="Y30" s="95">
        <v>3.1462206578132035</v>
      </c>
      <c r="Z30" s="95">
        <v>100.71000748272232</v>
      </c>
      <c r="AA30" s="18"/>
      <c r="AB30" s="18"/>
      <c r="AC30" s="18"/>
      <c r="AD30" s="18">
        <v>17</v>
      </c>
      <c r="AE30" s="127">
        <v>39</v>
      </c>
      <c r="AF30" s="127">
        <v>5</v>
      </c>
      <c r="AG30" s="18"/>
      <c r="AH30" s="18">
        <v>40</v>
      </c>
      <c r="AI30" s="18">
        <v>186</v>
      </c>
      <c r="AJ30" s="18">
        <v>13.41</v>
      </c>
      <c r="AK30" s="134"/>
      <c r="AL30" s="18">
        <v>0.65</v>
      </c>
      <c r="AM30" s="134">
        <v>16</v>
      </c>
      <c r="AN30" s="127">
        <v>0.32200000000000001</v>
      </c>
      <c r="AO30" s="18">
        <v>0.8</v>
      </c>
      <c r="AP30" s="18"/>
      <c r="AQ30" s="18">
        <v>2.9000000000000001E-2</v>
      </c>
      <c r="AR30" s="18">
        <v>2.9000000000000001E-2</v>
      </c>
      <c r="AS30" s="18"/>
      <c r="AT30" s="18"/>
      <c r="AU30" s="18"/>
      <c r="AV30" s="18"/>
      <c r="AW30" s="18"/>
      <c r="AX30" s="127">
        <v>0.08</v>
      </c>
      <c r="AY30" s="127">
        <v>2.2400000000000002</v>
      </c>
      <c r="AZ30" s="127">
        <v>0.02</v>
      </c>
      <c r="BA30" s="127">
        <v>0.14799999999999999</v>
      </c>
      <c r="BB30" s="18"/>
      <c r="BC30" s="127">
        <v>0.379</v>
      </c>
      <c r="BD30" s="18"/>
      <c r="BE30" s="18"/>
      <c r="BF30" s="18"/>
      <c r="BG30" s="18"/>
      <c r="BH30" s="127">
        <v>4.0000000000000001E-3</v>
      </c>
      <c r="BI30" s="127">
        <v>3.76</v>
      </c>
      <c r="BJ30" s="18">
        <v>5.8000000000000003E-2</v>
      </c>
      <c r="BK30" s="127">
        <v>0.26300000000000001</v>
      </c>
      <c r="BL30" s="127">
        <v>0.52</v>
      </c>
      <c r="BM30" s="127">
        <v>7.2999999999999995E-2</v>
      </c>
      <c r="BN30" s="127">
        <v>0.25700000000000001</v>
      </c>
      <c r="BO30" s="18">
        <v>1.2E-2</v>
      </c>
      <c r="BP30" s="18">
        <v>6.0000000000000001E-3</v>
      </c>
      <c r="BQ30" s="18">
        <v>8.0000000000000002E-3</v>
      </c>
      <c r="BR30" s="18">
        <v>5.0000000000000001E-3</v>
      </c>
      <c r="BS30" s="18">
        <v>3.0000000000000001E-3</v>
      </c>
      <c r="BT30" s="18">
        <v>5.0000000000000001E-3</v>
      </c>
      <c r="BU30" s="18"/>
      <c r="BV30" s="18">
        <v>8.0000000000000002E-3</v>
      </c>
      <c r="BW30" s="18">
        <v>3.0000000000000001E-3</v>
      </c>
      <c r="BX30" s="18">
        <v>8.0000000000000002E-3</v>
      </c>
      <c r="BY30" s="127">
        <v>2.1999999999999999E-2</v>
      </c>
      <c r="BZ30" s="18"/>
      <c r="CA30" s="127">
        <v>0.17299999999999999</v>
      </c>
      <c r="CB30" s="127">
        <v>2.9000000000000001E-2</v>
      </c>
      <c r="CC30" s="127">
        <v>8.0000000000000002E-3</v>
      </c>
      <c r="CE30">
        <f t="shared" si="0"/>
        <v>1.6785714285714284</v>
      </c>
      <c r="CF30">
        <f t="shared" si="1"/>
        <v>14.296577946768059</v>
      </c>
      <c r="CG30">
        <f t="shared" si="2"/>
        <v>8.5171102661596958</v>
      </c>
      <c r="CH30">
        <f t="shared" si="3"/>
        <v>0.50576923076923075</v>
      </c>
      <c r="CI30">
        <f t="shared" si="4"/>
        <v>148.28897338403041</v>
      </c>
      <c r="CJ30">
        <f t="shared" si="5"/>
        <v>7.8</v>
      </c>
      <c r="CK30">
        <f t="shared" si="6"/>
        <v>75</v>
      </c>
      <c r="CL30">
        <f t="shared" si="7"/>
        <v>4.3076923076923084</v>
      </c>
      <c r="CM30">
        <f t="shared" si="8"/>
        <v>7.2307692307692299</v>
      </c>
      <c r="CN30">
        <f t="shared" si="9"/>
        <v>7.2307692307692299</v>
      </c>
      <c r="CO30">
        <f t="shared" si="10"/>
        <v>4.2307692307692303E-2</v>
      </c>
      <c r="CP30">
        <f t="shared" si="11"/>
        <v>21.624999999999996</v>
      </c>
      <c r="CQ30">
        <f t="shared" si="12"/>
        <v>0.65779467680608361</v>
      </c>
      <c r="CR30">
        <f t="shared" si="13"/>
        <v>1.44106463878327</v>
      </c>
      <c r="CS30">
        <f t="shared" si="14"/>
        <v>0.56273764258555126</v>
      </c>
      <c r="CT30">
        <f t="shared" si="15"/>
        <v>3.5714285714285712E-2</v>
      </c>
      <c r="CU30">
        <f t="shared" si="16"/>
        <v>7.6045627376425853E-2</v>
      </c>
      <c r="CV30">
        <f t="shared" si="17"/>
        <v>2.4375</v>
      </c>
      <c r="CW30">
        <f t="shared" si="18"/>
        <v>1.2243346007604563</v>
      </c>
      <c r="CX30">
        <f t="shared" si="19"/>
        <v>0.39050131926121368</v>
      </c>
      <c r="CY30">
        <f t="shared" si="20"/>
        <v>8.3650190114068435E-2</v>
      </c>
      <c r="CZ30">
        <f t="shared" si="21"/>
        <v>3.625</v>
      </c>
      <c r="DA30">
        <f t="shared" si="22"/>
        <v>1.8499999999999999</v>
      </c>
      <c r="DB30">
        <f t="shared" si="23"/>
        <v>6.6071428571428559E-2</v>
      </c>
      <c r="DC30">
        <f t="shared" si="24"/>
        <v>7.3999999999999995</v>
      </c>
      <c r="DD30">
        <f t="shared" si="25"/>
        <v>0.2846153846153846</v>
      </c>
      <c r="DE30">
        <f t="shared" si="26"/>
        <v>19.011406844106464</v>
      </c>
      <c r="DF30">
        <f t="shared" si="27"/>
        <v>2.2321428571428568</v>
      </c>
      <c r="DG30">
        <f t="shared" si="28"/>
        <v>17.410714285714285</v>
      </c>
      <c r="DH30">
        <f t="shared" si="29"/>
        <v>1.6785714285714284</v>
      </c>
      <c r="DI30">
        <f t="shared" si="30"/>
        <v>0.16919642857142855</v>
      </c>
      <c r="DJ30">
        <f t="shared" si="31"/>
        <v>3.5714285714285713E-3</v>
      </c>
      <c r="DK30">
        <f t="shared" si="32"/>
        <v>141.43578747209889</v>
      </c>
      <c r="DL30">
        <f t="shared" si="33"/>
        <v>18.47372598429245</v>
      </c>
      <c r="DM30">
        <f t="shared" si="34"/>
        <v>16.606076832661611</v>
      </c>
      <c r="DN30">
        <f t="shared" si="35"/>
        <v>9.892981942862237</v>
      </c>
      <c r="DO30">
        <f t="shared" si="36"/>
        <v>2.1690133633343369</v>
      </c>
      <c r="DP30">
        <f t="shared" si="37"/>
        <v>1.2921781739013072</v>
      </c>
    </row>
    <row r="31" spans="1:120">
      <c r="A31" s="16" t="s">
        <v>672</v>
      </c>
      <c r="B31" s="16" t="s">
        <v>24</v>
      </c>
      <c r="C31" s="121" t="s">
        <v>1800</v>
      </c>
      <c r="D31" s="16" t="s">
        <v>1723</v>
      </c>
      <c r="E31" s="16" t="s">
        <v>237</v>
      </c>
      <c r="F31" s="16" t="s">
        <v>29</v>
      </c>
      <c r="G31" s="16" t="s">
        <v>595</v>
      </c>
      <c r="H31" s="27">
        <v>360</v>
      </c>
      <c r="I31" s="16" t="s">
        <v>735</v>
      </c>
      <c r="J31" s="16" t="s">
        <v>1496</v>
      </c>
      <c r="K31" s="16"/>
      <c r="L31" s="16"/>
      <c r="M31" s="16" t="s">
        <v>30</v>
      </c>
      <c r="N31" s="16">
        <v>24</v>
      </c>
      <c r="O31" s="95">
        <v>12.674489047557106</v>
      </c>
      <c r="P31" s="95">
        <v>0.96696265908352008</v>
      </c>
      <c r="Q31" s="95">
        <v>5.6146218914526971</v>
      </c>
      <c r="R31" s="95">
        <v>10.251883675874739</v>
      </c>
      <c r="S31" s="95">
        <v>25.317785751272808</v>
      </c>
      <c r="T31" s="95">
        <v>15.616966816596205</v>
      </c>
      <c r="U31" s="95">
        <v>0</v>
      </c>
      <c r="V31" s="95">
        <v>7.2574186670999685</v>
      </c>
      <c r="W31" s="95">
        <v>15.034709731556667</v>
      </c>
      <c r="X31" s="95">
        <v>3.2959909992416754</v>
      </c>
      <c r="Y31" s="95">
        <v>5.1259418379373693</v>
      </c>
      <c r="Z31" s="95">
        <v>101.15677107767276</v>
      </c>
      <c r="AA31" s="18"/>
      <c r="AB31" s="18"/>
      <c r="AC31" s="18"/>
      <c r="AD31" s="18">
        <v>91</v>
      </c>
      <c r="AE31" s="127">
        <v>114</v>
      </c>
      <c r="AF31" s="127">
        <v>26</v>
      </c>
      <c r="AG31" s="18"/>
      <c r="AH31" s="18">
        <v>298</v>
      </c>
      <c r="AI31" s="18">
        <v>281</v>
      </c>
      <c r="AJ31" s="18">
        <v>34.99</v>
      </c>
      <c r="AK31" s="134"/>
      <c r="AL31" s="18">
        <v>2.54</v>
      </c>
      <c r="AM31" s="134">
        <v>210</v>
      </c>
      <c r="AN31" s="127">
        <v>0.72199999999999998</v>
      </c>
      <c r="AO31" s="18">
        <v>2.69</v>
      </c>
      <c r="AP31" s="18"/>
      <c r="AQ31" s="18">
        <v>0.14899999999999999</v>
      </c>
      <c r="AR31" s="18">
        <v>6.9000000000000006E-2</v>
      </c>
      <c r="AS31" s="18"/>
      <c r="AT31" s="18"/>
      <c r="AU31" s="18"/>
      <c r="AV31" s="18"/>
      <c r="AW31" s="18"/>
      <c r="AX31" s="127">
        <v>1.18</v>
      </c>
      <c r="AY31" s="127">
        <v>7.24</v>
      </c>
      <c r="AZ31" s="127">
        <v>6.3E-2</v>
      </c>
      <c r="BA31" s="127">
        <v>0.72899999999999998</v>
      </c>
      <c r="BB31" s="18"/>
      <c r="BC31" s="127">
        <v>2.4289999999999998</v>
      </c>
      <c r="BD31" s="18"/>
      <c r="BE31" s="18"/>
      <c r="BF31" s="18"/>
      <c r="BG31" s="18"/>
      <c r="BH31" s="127">
        <v>1.7000000000000001E-2</v>
      </c>
      <c r="BI31" s="127">
        <v>17.28</v>
      </c>
      <c r="BJ31" s="18">
        <v>0.23699999999999999</v>
      </c>
      <c r="BK31" s="127">
        <v>1.04</v>
      </c>
      <c r="BL31" s="127">
        <v>1.53</v>
      </c>
      <c r="BM31" s="127">
        <v>0.18099999999999999</v>
      </c>
      <c r="BN31" s="127">
        <v>0.62</v>
      </c>
      <c r="BO31" s="18">
        <v>7.2999999999999995E-2</v>
      </c>
      <c r="BP31" s="18">
        <v>2.3E-2</v>
      </c>
      <c r="BQ31" s="18">
        <v>5.8000000000000003E-2</v>
      </c>
      <c r="BR31" s="18">
        <v>2.4E-2</v>
      </c>
      <c r="BS31" s="18">
        <v>1.2E-2</v>
      </c>
      <c r="BT31" s="18">
        <v>8.0000000000000002E-3</v>
      </c>
      <c r="BU31" s="18"/>
      <c r="BV31" s="18" t="s">
        <v>1366</v>
      </c>
      <c r="BW31" s="18">
        <v>8.0000000000000002E-3</v>
      </c>
      <c r="BX31" s="18">
        <v>3.1E-2</v>
      </c>
      <c r="BY31" s="127">
        <v>0.107</v>
      </c>
      <c r="BZ31" s="18"/>
      <c r="CA31" s="127">
        <v>0.47</v>
      </c>
      <c r="CB31" s="127">
        <v>0.16</v>
      </c>
      <c r="CC31" s="127">
        <v>3.1E-2</v>
      </c>
      <c r="CE31">
        <f t="shared" si="0"/>
        <v>2.3867403314917128</v>
      </c>
      <c r="CF31">
        <f t="shared" si="1"/>
        <v>16.615384615384617</v>
      </c>
      <c r="CG31">
        <f t="shared" si="2"/>
        <v>6.9615384615384617</v>
      </c>
      <c r="CH31">
        <f t="shared" si="3"/>
        <v>0.6797385620915033</v>
      </c>
      <c r="CI31">
        <f t="shared" si="4"/>
        <v>109.61538461538461</v>
      </c>
      <c r="CJ31">
        <f t="shared" si="5"/>
        <v>4.384615384615385</v>
      </c>
      <c r="CK31">
        <f t="shared" si="6"/>
        <v>74.509803921568633</v>
      </c>
      <c r="CL31">
        <f t="shared" si="7"/>
        <v>4.7320261437908497</v>
      </c>
      <c r="CM31">
        <f t="shared" si="8"/>
        <v>11.294117647058824</v>
      </c>
      <c r="CN31">
        <f t="shared" si="9"/>
        <v>11.294117647058824</v>
      </c>
      <c r="CO31">
        <f t="shared" si="10"/>
        <v>6.9934640522875818E-2</v>
      </c>
      <c r="CP31">
        <f t="shared" si="11"/>
        <v>15.161290322580644</v>
      </c>
      <c r="CQ31">
        <f t="shared" si="12"/>
        <v>0.45192307692307687</v>
      </c>
      <c r="CR31">
        <f t="shared" si="13"/>
        <v>2.335576923076923</v>
      </c>
      <c r="CS31">
        <f t="shared" si="14"/>
        <v>0.70096153846153841</v>
      </c>
      <c r="CT31">
        <f t="shared" si="15"/>
        <v>0.16298342541436464</v>
      </c>
      <c r="CU31">
        <f t="shared" si="16"/>
        <v>6.0576923076923077E-2</v>
      </c>
      <c r="CV31">
        <f t="shared" si="17"/>
        <v>0.54285714285714282</v>
      </c>
      <c r="CW31">
        <f t="shared" si="18"/>
        <v>0.69423076923076921</v>
      </c>
      <c r="CX31">
        <f t="shared" si="19"/>
        <v>0.30012350761630302</v>
      </c>
      <c r="CY31">
        <f t="shared" si="20"/>
        <v>0.10288461538461538</v>
      </c>
      <c r="CZ31">
        <f t="shared" si="21"/>
        <v>5.161290322580645</v>
      </c>
      <c r="DA31">
        <f t="shared" si="22"/>
        <v>0.6177966101694915</v>
      </c>
      <c r="DB31">
        <f t="shared" si="23"/>
        <v>0.10069060773480662</v>
      </c>
      <c r="DC31">
        <f t="shared" si="24"/>
        <v>11.571428571428571</v>
      </c>
      <c r="DD31">
        <f t="shared" si="25"/>
        <v>0.47647058823529409</v>
      </c>
      <c r="DE31">
        <f t="shared" si="26"/>
        <v>25</v>
      </c>
      <c r="DF31">
        <f t="shared" si="27"/>
        <v>3.5911602209944751</v>
      </c>
      <c r="DG31">
        <f t="shared" si="28"/>
        <v>15.74585635359116</v>
      </c>
      <c r="DH31">
        <f t="shared" si="29"/>
        <v>2.3867403314917128</v>
      </c>
      <c r="DI31">
        <f t="shared" si="30"/>
        <v>0.33549723756906075</v>
      </c>
      <c r="DJ31">
        <f t="shared" si="31"/>
        <v>4.2817679558011046E-3</v>
      </c>
      <c r="DK31">
        <f t="shared" si="32"/>
        <v>24.344024760839236</v>
      </c>
      <c r="DL31">
        <f t="shared" si="33"/>
        <v>5.3986748956275932</v>
      </c>
      <c r="DM31">
        <f t="shared" si="34"/>
        <v>3.4969317336012167</v>
      </c>
      <c r="DN31">
        <f t="shared" si="35"/>
        <v>1.4651496383838429</v>
      </c>
      <c r="DO31">
        <f t="shared" si="36"/>
        <v>0.77550026125037252</v>
      </c>
      <c r="DP31">
        <f t="shared" si="37"/>
        <v>0.32492024834795696</v>
      </c>
    </row>
    <row r="32" spans="1:120">
      <c r="A32" s="16" t="s">
        <v>672</v>
      </c>
      <c r="B32" s="16" t="s">
        <v>24</v>
      </c>
      <c r="C32" s="121" t="s">
        <v>1800</v>
      </c>
      <c r="D32" s="16" t="s">
        <v>1723</v>
      </c>
      <c r="E32" s="16" t="s">
        <v>237</v>
      </c>
      <c r="F32" s="16" t="s">
        <v>29</v>
      </c>
      <c r="G32" s="16" t="s">
        <v>595</v>
      </c>
      <c r="H32" s="27">
        <v>360</v>
      </c>
      <c r="I32" s="16" t="s">
        <v>735</v>
      </c>
      <c r="J32" s="16" t="s">
        <v>1496</v>
      </c>
      <c r="K32" s="16"/>
      <c r="L32" s="16"/>
      <c r="M32" s="16" t="s">
        <v>32</v>
      </c>
      <c r="N32" s="16">
        <v>27</v>
      </c>
      <c r="O32" s="95">
        <v>8.5279905892319441</v>
      </c>
      <c r="P32" s="95">
        <v>1.4281323953259235</v>
      </c>
      <c r="Q32" s="95">
        <v>3.866158413060893</v>
      </c>
      <c r="R32" s="95">
        <v>27.083510782788057</v>
      </c>
      <c r="S32" s="95">
        <v>22.023841725061924</v>
      </c>
      <c r="T32" s="95">
        <v>24.93111124411827</v>
      </c>
      <c r="U32" s="95">
        <v>0</v>
      </c>
      <c r="V32" s="95">
        <v>2.8970685733754453</v>
      </c>
      <c r="W32" s="95">
        <v>6.0287588974115787</v>
      </c>
      <c r="X32" s="95">
        <v>2.4788298004585676</v>
      </c>
      <c r="Y32" s="95">
        <v>0.94868794832364944</v>
      </c>
      <c r="Z32" s="95">
        <v>100.21409036915627</v>
      </c>
      <c r="AA32" s="18"/>
      <c r="AB32" s="18"/>
      <c r="AC32" s="18"/>
      <c r="AD32" s="18">
        <v>49</v>
      </c>
      <c r="AE32" s="127">
        <v>352</v>
      </c>
      <c r="AF32" s="127">
        <v>12</v>
      </c>
      <c r="AG32" s="18"/>
      <c r="AH32" s="18">
        <v>359</v>
      </c>
      <c r="AI32" s="18">
        <v>384</v>
      </c>
      <c r="AJ32" s="18">
        <v>25.46</v>
      </c>
      <c r="AK32" s="134"/>
      <c r="AL32" s="18">
        <v>5.36</v>
      </c>
      <c r="AM32" s="134">
        <v>202</v>
      </c>
      <c r="AN32" s="127">
        <v>1.9019999999999999</v>
      </c>
      <c r="AO32" s="18">
        <v>0.92</v>
      </c>
      <c r="AP32" s="18"/>
      <c r="AQ32" s="18">
        <v>0.17699999999999999</v>
      </c>
      <c r="AR32" s="18">
        <v>4.7E-2</v>
      </c>
      <c r="AS32" s="18"/>
      <c r="AT32" s="18"/>
      <c r="AU32" s="18"/>
      <c r="AV32" s="18"/>
      <c r="AW32" s="18"/>
      <c r="AX32" s="127">
        <v>1.06</v>
      </c>
      <c r="AY32" s="127">
        <v>7.85</v>
      </c>
      <c r="AZ32" s="127">
        <v>6.6000000000000003E-2</v>
      </c>
      <c r="BA32" s="127">
        <v>1.2390000000000001</v>
      </c>
      <c r="BB32" s="18"/>
      <c r="BC32" s="127">
        <v>0.56899999999999995</v>
      </c>
      <c r="BD32" s="18"/>
      <c r="BE32" s="18"/>
      <c r="BF32" s="18"/>
      <c r="BG32" s="18"/>
      <c r="BH32" s="127">
        <v>1.0999999999999999E-2</v>
      </c>
      <c r="BI32" s="127">
        <v>11.85</v>
      </c>
      <c r="BJ32" s="18">
        <v>0.373</v>
      </c>
      <c r="BK32" s="127">
        <v>0.9</v>
      </c>
      <c r="BL32" s="127">
        <v>1.48</v>
      </c>
      <c r="BM32" s="127">
        <v>0.184</v>
      </c>
      <c r="BN32" s="127">
        <v>0.74</v>
      </c>
      <c r="BO32" s="18">
        <v>0.11799999999999999</v>
      </c>
      <c r="BP32" s="18">
        <v>3.7999999999999999E-2</v>
      </c>
      <c r="BQ32" s="18">
        <v>7.1999999999999995E-2</v>
      </c>
      <c r="BR32" s="18">
        <v>2.5999999999999999E-2</v>
      </c>
      <c r="BS32" s="18">
        <v>4.0000000000000001E-3</v>
      </c>
      <c r="BT32" s="18">
        <v>6.0000000000000001E-3</v>
      </c>
      <c r="BU32" s="18"/>
      <c r="BV32" s="18">
        <v>1.2E-2</v>
      </c>
      <c r="BW32" s="18">
        <v>5.0000000000000001E-3</v>
      </c>
      <c r="BX32" s="18">
        <v>2.9000000000000001E-2</v>
      </c>
      <c r="BY32" s="127">
        <v>2.1000000000000001E-2</v>
      </c>
      <c r="BZ32" s="18"/>
      <c r="CA32" s="127">
        <v>9.5000000000000001E-2</v>
      </c>
      <c r="CB32" s="127">
        <v>9.0999999999999998E-2</v>
      </c>
      <c r="CC32" s="127">
        <v>1.9E-2</v>
      </c>
      <c r="CE32">
        <f t="shared" si="0"/>
        <v>1.5095541401273886</v>
      </c>
      <c r="CF32">
        <f t="shared" si="1"/>
        <v>13.166666666666666</v>
      </c>
      <c r="CG32">
        <f t="shared" si="2"/>
        <v>8.7222222222222214</v>
      </c>
      <c r="CH32">
        <f t="shared" si="3"/>
        <v>0.60810810810810811</v>
      </c>
      <c r="CI32">
        <f t="shared" si="4"/>
        <v>391.11111111111109</v>
      </c>
      <c r="CJ32">
        <f t="shared" si="5"/>
        <v>29.333333333333332</v>
      </c>
      <c r="CK32">
        <f t="shared" si="6"/>
        <v>237.83783783783784</v>
      </c>
      <c r="CL32">
        <f t="shared" si="7"/>
        <v>5.3040540540540535</v>
      </c>
      <c r="CM32">
        <f t="shared" si="8"/>
        <v>8.0067567567567561</v>
      </c>
      <c r="CN32">
        <f t="shared" si="9"/>
        <v>8.0067567567567561</v>
      </c>
      <c r="CO32">
        <f t="shared" si="10"/>
        <v>1.418918918918919E-2</v>
      </c>
      <c r="CP32">
        <f t="shared" si="11"/>
        <v>5</v>
      </c>
      <c r="CQ32">
        <f t="shared" si="12"/>
        <v>0.10555555555555556</v>
      </c>
      <c r="CR32">
        <f t="shared" si="13"/>
        <v>0.63222222222222213</v>
      </c>
      <c r="CS32">
        <f t="shared" si="14"/>
        <v>1.3766666666666667</v>
      </c>
      <c r="CT32">
        <f t="shared" si="15"/>
        <v>0.13503184713375799</v>
      </c>
      <c r="CU32">
        <f t="shared" si="16"/>
        <v>7.3333333333333334E-2</v>
      </c>
      <c r="CV32">
        <f t="shared" si="17"/>
        <v>1.7425742574257426</v>
      </c>
      <c r="CW32">
        <f t="shared" si="18"/>
        <v>2.1133333333333333</v>
      </c>
      <c r="CX32">
        <f t="shared" si="19"/>
        <v>2.1775043936731109</v>
      </c>
      <c r="CY32">
        <f t="shared" si="20"/>
        <v>2.3333333333333334E-2</v>
      </c>
      <c r="CZ32">
        <f t="shared" si="21"/>
        <v>4.7894736842105265</v>
      </c>
      <c r="DA32">
        <f t="shared" si="22"/>
        <v>1.168867924528302</v>
      </c>
      <c r="DB32">
        <f t="shared" si="23"/>
        <v>0.15783439490445861</v>
      </c>
      <c r="DC32">
        <f t="shared" si="24"/>
        <v>18.772727272727273</v>
      </c>
      <c r="DD32">
        <f t="shared" si="25"/>
        <v>0.83716216216216222</v>
      </c>
      <c r="DE32">
        <f t="shared" si="26"/>
        <v>13.333333333333332</v>
      </c>
      <c r="DF32">
        <f t="shared" si="27"/>
        <v>1.5286624203821657</v>
      </c>
      <c r="DG32">
        <f t="shared" si="28"/>
        <v>44.840764331210195</v>
      </c>
      <c r="DH32">
        <f t="shared" si="29"/>
        <v>1.5095541401273886</v>
      </c>
      <c r="DI32">
        <f t="shared" si="30"/>
        <v>7.248407643312102E-2</v>
      </c>
      <c r="DJ32">
        <f t="shared" si="31"/>
        <v>2.4203821656050956E-3</v>
      </c>
      <c r="DK32">
        <f t="shared" si="32"/>
        <v>24.470935250068806</v>
      </c>
      <c r="DL32">
        <f t="shared" si="33"/>
        <v>4.2957315700676588</v>
      </c>
      <c r="DM32">
        <f t="shared" si="34"/>
        <v>2.8055849331289076</v>
      </c>
      <c r="DN32">
        <f t="shared" si="35"/>
        <v>1.8585520443090231</v>
      </c>
      <c r="DO32">
        <f t="shared" si="36"/>
        <v>0.49250425644087814</v>
      </c>
      <c r="DP32">
        <f t="shared" si="37"/>
        <v>0.32625809392918931</v>
      </c>
    </row>
    <row r="33" spans="1:120">
      <c r="A33" s="16" t="s">
        <v>672</v>
      </c>
      <c r="B33" s="16" t="s">
        <v>24</v>
      </c>
      <c r="C33" s="121" t="s">
        <v>1800</v>
      </c>
      <c r="D33" s="16" t="s">
        <v>1723</v>
      </c>
      <c r="E33" s="16" t="s">
        <v>237</v>
      </c>
      <c r="F33" s="16" t="s">
        <v>29</v>
      </c>
      <c r="G33" s="16" t="s">
        <v>595</v>
      </c>
      <c r="H33" s="27">
        <v>360</v>
      </c>
      <c r="I33" s="16" t="s">
        <v>735</v>
      </c>
      <c r="J33" s="16" t="s">
        <v>1496</v>
      </c>
      <c r="K33" s="16"/>
      <c r="L33" s="16"/>
      <c r="M33" s="16" t="s">
        <v>33</v>
      </c>
      <c r="N33" s="16">
        <v>24</v>
      </c>
      <c r="O33" s="95">
        <v>9.5525728194038582</v>
      </c>
      <c r="P33" s="95">
        <v>0.34625530475451083</v>
      </c>
      <c r="Q33" s="95">
        <v>3.5032889657515214</v>
      </c>
      <c r="R33" s="95">
        <v>27.282881218745132</v>
      </c>
      <c r="S33" s="95">
        <v>20.877158080786682</v>
      </c>
      <c r="T33" s="95">
        <v>17.455340951447987</v>
      </c>
      <c r="U33" s="95">
        <v>0</v>
      </c>
      <c r="V33" s="95">
        <v>4.7253665119439114</v>
      </c>
      <c r="W33" s="95">
        <v>13.178069539774617</v>
      </c>
      <c r="X33" s="95">
        <v>1.8331163192885869</v>
      </c>
      <c r="Y33" s="95">
        <v>1.609068769153315</v>
      </c>
      <c r="Z33" s="95">
        <v>100.36311848105012</v>
      </c>
      <c r="AA33" s="18"/>
      <c r="AB33" s="18"/>
      <c r="AC33" s="18"/>
      <c r="AD33" s="18">
        <v>24</v>
      </c>
      <c r="AE33" s="127">
        <v>45</v>
      </c>
      <c r="AF33" s="127">
        <v>2</v>
      </c>
      <c r="AG33" s="18"/>
      <c r="AH33" s="18">
        <v>57</v>
      </c>
      <c r="AI33" s="18">
        <v>75</v>
      </c>
      <c r="AJ33" s="18">
        <v>0.49</v>
      </c>
      <c r="AK33" s="134"/>
      <c r="AL33" s="18">
        <v>0.44</v>
      </c>
      <c r="AM33" s="134">
        <v>14</v>
      </c>
      <c r="AN33" s="127">
        <v>0.71199999999999997</v>
      </c>
      <c r="AO33" s="18">
        <v>0.13800000000000001</v>
      </c>
      <c r="AP33" s="18"/>
      <c r="AQ33" s="18">
        <v>0.02</v>
      </c>
      <c r="AR33" s="18" t="s">
        <v>1366</v>
      </c>
      <c r="AS33" s="18"/>
      <c r="AT33" s="18"/>
      <c r="AU33" s="18"/>
      <c r="AV33" s="18"/>
      <c r="AW33" s="18"/>
      <c r="AX33" s="127">
        <v>0.2</v>
      </c>
      <c r="AY33" s="127">
        <v>1.01</v>
      </c>
      <c r="AZ33" s="127">
        <v>7.0000000000000001E-3</v>
      </c>
      <c r="BA33" s="127">
        <v>0.08</v>
      </c>
      <c r="BB33" s="18"/>
      <c r="BC33" s="127">
        <v>0.121</v>
      </c>
      <c r="BD33" s="18"/>
      <c r="BE33" s="18"/>
      <c r="BF33" s="18"/>
      <c r="BG33" s="18"/>
      <c r="BH33" s="127">
        <v>8.9999999999999993E-3</v>
      </c>
      <c r="BI33" s="127">
        <v>1.85</v>
      </c>
      <c r="BJ33" s="18">
        <v>7.0999999999999994E-2</v>
      </c>
      <c r="BK33" s="127">
        <v>0.122</v>
      </c>
      <c r="BL33" s="127">
        <v>0.193</v>
      </c>
      <c r="BM33" s="127">
        <v>2.5000000000000001E-2</v>
      </c>
      <c r="BN33" s="127">
        <v>8.3000000000000004E-2</v>
      </c>
      <c r="BO33" s="18">
        <v>8.0000000000000002E-3</v>
      </c>
      <c r="BP33" s="18">
        <v>4.0000000000000001E-3</v>
      </c>
      <c r="BQ33" s="18">
        <v>5.0000000000000001E-3</v>
      </c>
      <c r="BR33" s="18">
        <v>5.0000000000000001E-3</v>
      </c>
      <c r="BS33" s="18">
        <v>1E-3</v>
      </c>
      <c r="BT33" s="18">
        <v>5.0000000000000001E-3</v>
      </c>
      <c r="BU33" s="18"/>
      <c r="BV33" s="18" t="s">
        <v>1366</v>
      </c>
      <c r="BW33" s="18">
        <v>1E-3</v>
      </c>
      <c r="BX33" s="18">
        <v>4.0000000000000001E-3</v>
      </c>
      <c r="BY33" s="127">
        <v>6.0000000000000001E-3</v>
      </c>
      <c r="BZ33" s="18"/>
      <c r="CA33" s="127">
        <v>2.1000000000000001E-2</v>
      </c>
      <c r="CB33" s="127">
        <v>1.2E-2</v>
      </c>
      <c r="CC33" s="127">
        <v>4.0000000000000001E-3</v>
      </c>
      <c r="CE33">
        <f t="shared" si="0"/>
        <v>1.8316831683168318</v>
      </c>
      <c r="CF33">
        <f t="shared" si="1"/>
        <v>15.16393442622951</v>
      </c>
      <c r="CG33">
        <f t="shared" si="2"/>
        <v>8.278688524590164</v>
      </c>
      <c r="CH33">
        <f t="shared" si="3"/>
        <v>0.63212435233160624</v>
      </c>
      <c r="CI33">
        <f t="shared" si="4"/>
        <v>368.85245901639342</v>
      </c>
      <c r="CJ33">
        <f t="shared" si="5"/>
        <v>22.5</v>
      </c>
      <c r="CK33">
        <f t="shared" si="6"/>
        <v>233.16062176165804</v>
      </c>
      <c r="CL33">
        <f t="shared" si="7"/>
        <v>5.233160621761658</v>
      </c>
      <c r="CM33">
        <f t="shared" si="8"/>
        <v>9.5854922279792749</v>
      </c>
      <c r="CN33">
        <f t="shared" si="9"/>
        <v>9.5854922279792749</v>
      </c>
      <c r="CO33">
        <f t="shared" si="10"/>
        <v>3.1088082901554404E-2</v>
      </c>
      <c r="CP33">
        <f t="shared" si="11"/>
        <v>5.25</v>
      </c>
      <c r="CQ33">
        <f t="shared" si="12"/>
        <v>0.17213114754098363</v>
      </c>
      <c r="CR33">
        <f t="shared" si="13"/>
        <v>0.99180327868852458</v>
      </c>
      <c r="CS33">
        <f t="shared" si="14"/>
        <v>0.65573770491803285</v>
      </c>
      <c r="CT33">
        <f t="shared" si="15"/>
        <v>0.19801980198019803</v>
      </c>
      <c r="CU33">
        <f t="shared" si="16"/>
        <v>5.737704918032787E-2</v>
      </c>
      <c r="CV33">
        <f t="shared" si="17"/>
        <v>3.2142857142857144</v>
      </c>
      <c r="CW33">
        <f t="shared" si="18"/>
        <v>5.8360655737704921</v>
      </c>
      <c r="CX33">
        <f t="shared" si="19"/>
        <v>0.66115702479338845</v>
      </c>
      <c r="CY33">
        <f t="shared" si="20"/>
        <v>4.9180327868852458E-2</v>
      </c>
      <c r="CZ33">
        <f t="shared" si="21"/>
        <v>3</v>
      </c>
      <c r="DA33">
        <f t="shared" si="22"/>
        <v>0.39999999999999997</v>
      </c>
      <c r="DB33">
        <f t="shared" si="23"/>
        <v>7.9207920792079209E-2</v>
      </c>
      <c r="DC33">
        <f t="shared" si="24"/>
        <v>11.428571428571429</v>
      </c>
      <c r="DD33">
        <f t="shared" si="25"/>
        <v>0.41450777202072536</v>
      </c>
      <c r="DE33">
        <f t="shared" si="26"/>
        <v>16.393442622950818</v>
      </c>
      <c r="DF33">
        <f t="shared" si="27"/>
        <v>1.9801980198019802</v>
      </c>
      <c r="DG33">
        <f t="shared" si="28"/>
        <v>44.554455445544555</v>
      </c>
      <c r="DH33">
        <f t="shared" si="29"/>
        <v>1.8316831683168318</v>
      </c>
      <c r="DI33">
        <f t="shared" si="30"/>
        <v>0.1198019801980198</v>
      </c>
      <c r="DJ33">
        <f t="shared" si="31"/>
        <v>3.9603960396039604E-3</v>
      </c>
      <c r="DK33">
        <f t="shared" si="32"/>
        <v>171.12424656382527</v>
      </c>
      <c r="DL33">
        <f t="shared" si="33"/>
        <v>28.715483325832142</v>
      </c>
      <c r="DM33">
        <f t="shared" si="34"/>
        <v>20.670453545333348</v>
      </c>
      <c r="DN33">
        <f t="shared" si="35"/>
        <v>11.284950313938747</v>
      </c>
      <c r="DO33">
        <f t="shared" si="36"/>
        <v>3.4686029363876449</v>
      </c>
      <c r="DP33">
        <f t="shared" si="37"/>
        <v>1.8936697112170384</v>
      </c>
    </row>
    <row r="34" spans="1:120">
      <c r="A34" s="16" t="s">
        <v>672</v>
      </c>
      <c r="B34" s="16" t="s">
        <v>24</v>
      </c>
      <c r="C34" s="121" t="s">
        <v>1800</v>
      </c>
      <c r="D34" s="16" t="s">
        <v>1723</v>
      </c>
      <c r="E34" s="16" t="s">
        <v>237</v>
      </c>
      <c r="F34" s="16" t="s">
        <v>29</v>
      </c>
      <c r="G34" s="16" t="s">
        <v>595</v>
      </c>
      <c r="H34" s="27">
        <v>360</v>
      </c>
      <c r="I34" s="16" t="s">
        <v>735</v>
      </c>
      <c r="J34" s="16" t="s">
        <v>1496</v>
      </c>
      <c r="K34" s="16"/>
      <c r="L34" s="16"/>
      <c r="M34" s="16" t="s">
        <v>35</v>
      </c>
      <c r="N34" s="16">
        <v>30</v>
      </c>
      <c r="O34" s="95">
        <v>10.852221354296637</v>
      </c>
      <c r="P34" s="95">
        <v>2.7361998864861663</v>
      </c>
      <c r="Q34" s="95">
        <v>4.9169306230841636</v>
      </c>
      <c r="R34" s="95">
        <v>16.499491044826357</v>
      </c>
      <c r="S34" s="95">
        <v>22.30105772143612</v>
      </c>
      <c r="T34" s="95">
        <v>25.01668467644495</v>
      </c>
      <c r="U34" s="95">
        <v>0</v>
      </c>
      <c r="V34" s="95">
        <v>5.2975298554149459</v>
      </c>
      <c r="W34" s="95">
        <v>8.517193631618591</v>
      </c>
      <c r="X34" s="95">
        <v>2.2218765995526768</v>
      </c>
      <c r="Y34" s="95">
        <v>2.1190119421659785</v>
      </c>
      <c r="Z34" s="95">
        <v>100.4781973353266</v>
      </c>
      <c r="AA34" s="18"/>
      <c r="AB34" s="18"/>
      <c r="AC34" s="18"/>
      <c r="AD34" s="18">
        <v>178</v>
      </c>
      <c r="AE34" s="127">
        <v>547</v>
      </c>
      <c r="AF34" s="127">
        <v>29</v>
      </c>
      <c r="AG34" s="18"/>
      <c r="AH34" s="18">
        <v>423</v>
      </c>
      <c r="AI34" s="18">
        <v>469</v>
      </c>
      <c r="AJ34" s="18">
        <v>13.39</v>
      </c>
      <c r="AK34" s="134"/>
      <c r="AL34" s="18">
        <v>6.14</v>
      </c>
      <c r="AM34" s="134">
        <v>789</v>
      </c>
      <c r="AN34" s="127">
        <v>1.8120000000000001</v>
      </c>
      <c r="AO34" s="18">
        <v>2.21</v>
      </c>
      <c r="AP34" s="18"/>
      <c r="AQ34" s="18">
        <v>0.26600000000000001</v>
      </c>
      <c r="AR34" s="18">
        <v>0.125</v>
      </c>
      <c r="AS34" s="18"/>
      <c r="AT34" s="18"/>
      <c r="AU34" s="18"/>
      <c r="AV34" s="18"/>
      <c r="AW34" s="18"/>
      <c r="AX34" s="127">
        <v>0.92</v>
      </c>
      <c r="AY34" s="127">
        <v>17.29</v>
      </c>
      <c r="AZ34" s="127">
        <v>1.6E-2</v>
      </c>
      <c r="BA34" s="127">
        <v>0.629</v>
      </c>
      <c r="BB34" s="18"/>
      <c r="BC34" s="127">
        <v>3.1789999999999998</v>
      </c>
      <c r="BD34" s="18"/>
      <c r="BE34" s="18"/>
      <c r="BF34" s="18"/>
      <c r="BG34" s="18"/>
      <c r="BH34" s="127">
        <v>2.5000000000000001E-2</v>
      </c>
      <c r="BI34" s="127">
        <v>34.97</v>
      </c>
      <c r="BJ34" s="18">
        <v>0.84</v>
      </c>
      <c r="BK34" s="127">
        <v>2.4300000000000002</v>
      </c>
      <c r="BL34" s="127">
        <v>4.1100000000000003</v>
      </c>
      <c r="BM34" s="127">
        <v>0.52</v>
      </c>
      <c r="BN34" s="127">
        <v>1.71</v>
      </c>
      <c r="BO34" s="18">
        <v>0.125</v>
      </c>
      <c r="BP34" s="18">
        <v>2.3E-2</v>
      </c>
      <c r="BQ34" s="18">
        <v>4.1000000000000002E-2</v>
      </c>
      <c r="BR34" s="18">
        <v>0.01</v>
      </c>
      <c r="BS34" s="18">
        <v>2E-3</v>
      </c>
      <c r="BT34" s="18" t="s">
        <v>1366</v>
      </c>
      <c r="BU34" s="18"/>
      <c r="BV34" s="18">
        <v>5.0000000000000001E-3</v>
      </c>
      <c r="BW34" s="18">
        <v>1E-3</v>
      </c>
      <c r="BX34" s="18">
        <v>1.6E-2</v>
      </c>
      <c r="BY34" s="127">
        <v>0.16300000000000001</v>
      </c>
      <c r="BZ34" s="18"/>
      <c r="CA34" s="127">
        <v>0.36199999999999999</v>
      </c>
      <c r="CB34" s="127">
        <v>0.309</v>
      </c>
      <c r="CC34" s="127">
        <v>7.3999999999999996E-2</v>
      </c>
      <c r="CE34">
        <f t="shared" si="0"/>
        <v>2.0225563909774436</v>
      </c>
      <c r="CF34">
        <f t="shared" si="1"/>
        <v>14.390946502057611</v>
      </c>
      <c r="CG34">
        <f t="shared" si="2"/>
        <v>7.1152263374485587</v>
      </c>
      <c r="CH34">
        <f t="shared" si="3"/>
        <v>0.5912408759124087</v>
      </c>
      <c r="CI34">
        <f t="shared" si="4"/>
        <v>225.10288065843619</v>
      </c>
      <c r="CJ34">
        <f t="shared" si="5"/>
        <v>18.862068965517242</v>
      </c>
      <c r="CK34">
        <f t="shared" si="6"/>
        <v>133.09002433090023</v>
      </c>
      <c r="CL34">
        <f t="shared" si="7"/>
        <v>4.2068126520681259</v>
      </c>
      <c r="CM34">
        <f t="shared" si="8"/>
        <v>8.5085158150851576</v>
      </c>
      <c r="CN34">
        <f t="shared" si="9"/>
        <v>8.5085158150851576</v>
      </c>
      <c r="CO34">
        <f t="shared" si="10"/>
        <v>3.9659367396593675E-2</v>
      </c>
      <c r="CP34">
        <f t="shared" si="11"/>
        <v>4.8918918918918921</v>
      </c>
      <c r="CQ34">
        <f t="shared" si="12"/>
        <v>0.14897119341563786</v>
      </c>
      <c r="CR34">
        <f t="shared" si="13"/>
        <v>1.3082304526748969</v>
      </c>
      <c r="CS34">
        <f t="shared" si="14"/>
        <v>0.25884773662551441</v>
      </c>
      <c r="CT34">
        <f t="shared" si="15"/>
        <v>5.3209947946790057E-2</v>
      </c>
      <c r="CU34">
        <f t="shared" si="16"/>
        <v>6.5843621399176953E-3</v>
      </c>
      <c r="CV34">
        <f t="shared" si="17"/>
        <v>0.69328263624841568</v>
      </c>
      <c r="CW34">
        <f t="shared" si="18"/>
        <v>0.74567901234567902</v>
      </c>
      <c r="CX34">
        <f t="shared" si="19"/>
        <v>0.19786096256684493</v>
      </c>
      <c r="CY34">
        <f t="shared" si="20"/>
        <v>6.7078189300411525E-2</v>
      </c>
      <c r="CZ34">
        <f t="shared" si="21"/>
        <v>4.1756756756756754</v>
      </c>
      <c r="DA34">
        <f t="shared" si="22"/>
        <v>0.68369565217391304</v>
      </c>
      <c r="DB34">
        <f t="shared" si="23"/>
        <v>3.6379410063620589E-2</v>
      </c>
      <c r="DC34">
        <f t="shared" si="24"/>
        <v>39.3125</v>
      </c>
      <c r="DD34">
        <f t="shared" si="25"/>
        <v>0.15304136253041362</v>
      </c>
      <c r="DE34">
        <f t="shared" si="26"/>
        <v>11.934156378600822</v>
      </c>
      <c r="DF34">
        <f t="shared" si="27"/>
        <v>1.67727009832273</v>
      </c>
      <c r="DG34">
        <f t="shared" si="28"/>
        <v>31.636784268363218</v>
      </c>
      <c r="DH34">
        <f t="shared" si="29"/>
        <v>2.0225563909774436</v>
      </c>
      <c r="DI34">
        <f t="shared" si="30"/>
        <v>0.18386350491613648</v>
      </c>
      <c r="DJ34">
        <f t="shared" si="31"/>
        <v>4.2799305957200691E-3</v>
      </c>
      <c r="DK34">
        <f t="shared" si="32"/>
        <v>9.1773900088214475</v>
      </c>
      <c r="DL34">
        <f t="shared" si="33"/>
        <v>2.0234282399523305</v>
      </c>
      <c r="DM34">
        <f t="shared" si="34"/>
        <v>1.2898240440391047</v>
      </c>
      <c r="DN34">
        <f t="shared" si="35"/>
        <v>0.63771969463643463</v>
      </c>
      <c r="DO34">
        <f t="shared" si="36"/>
        <v>0.28438002446987648</v>
      </c>
      <c r="DP34">
        <f t="shared" si="37"/>
        <v>0.14060425001670471</v>
      </c>
    </row>
    <row r="35" spans="1:120">
      <c r="A35" s="16" t="s">
        <v>672</v>
      </c>
      <c r="B35" s="16" t="s">
        <v>24</v>
      </c>
      <c r="C35" s="121" t="s">
        <v>1800</v>
      </c>
      <c r="D35" s="16" t="s">
        <v>1723</v>
      </c>
      <c r="E35" s="16" t="s">
        <v>237</v>
      </c>
      <c r="F35" s="16" t="s">
        <v>29</v>
      </c>
      <c r="G35" s="16" t="s">
        <v>595</v>
      </c>
      <c r="H35" s="27">
        <v>360</v>
      </c>
      <c r="I35" s="16" t="s">
        <v>735</v>
      </c>
      <c r="J35" s="16" t="s">
        <v>1496</v>
      </c>
      <c r="K35" s="16"/>
      <c r="L35" s="16"/>
      <c r="M35" s="16" t="s">
        <v>36</v>
      </c>
      <c r="N35" s="16">
        <v>24</v>
      </c>
      <c r="O35" s="95">
        <v>9.7094746106954002</v>
      </c>
      <c r="P35" s="95">
        <v>0.55424062259783458</v>
      </c>
      <c r="Q35" s="95">
        <v>7.9133244448690823</v>
      </c>
      <c r="R35" s="95">
        <v>15.744539167871817</v>
      </c>
      <c r="S35" s="95">
        <v>24.437905970471185</v>
      </c>
      <c r="T35" s="95">
        <v>26.572758738996182</v>
      </c>
      <c r="U35" s="95">
        <v>0</v>
      </c>
      <c r="V35" s="95">
        <v>3.4793994640864057</v>
      </c>
      <c r="W35" s="95">
        <v>8.0467527429018944</v>
      </c>
      <c r="X35" s="95">
        <v>1.8885236029259549</v>
      </c>
      <c r="Y35" s="95">
        <v>2.1348527685249925</v>
      </c>
      <c r="Z35" s="95">
        <v>100.48177213394075</v>
      </c>
      <c r="AA35" s="18"/>
      <c r="AB35" s="18"/>
      <c r="AC35" s="18"/>
      <c r="AD35" s="18">
        <v>55</v>
      </c>
      <c r="AE35" s="127">
        <v>124</v>
      </c>
      <c r="AF35" s="127">
        <v>10</v>
      </c>
      <c r="AG35" s="18"/>
      <c r="AH35" s="18">
        <v>144</v>
      </c>
      <c r="AI35" s="18">
        <v>188</v>
      </c>
      <c r="AJ35" s="18">
        <v>1.84</v>
      </c>
      <c r="AK35" s="134"/>
      <c r="AL35" s="18">
        <v>1.68</v>
      </c>
      <c r="AM35" s="134">
        <v>52</v>
      </c>
      <c r="AN35" s="127">
        <v>0.58899999999999997</v>
      </c>
      <c r="AO35" s="18">
        <v>0.88600000000000001</v>
      </c>
      <c r="AP35" s="18"/>
      <c r="AQ35" s="18">
        <v>6.6000000000000003E-2</v>
      </c>
      <c r="AR35" s="18">
        <v>4.2000000000000003E-2</v>
      </c>
      <c r="AS35" s="18"/>
      <c r="AT35" s="18"/>
      <c r="AU35" s="18"/>
      <c r="AV35" s="18"/>
      <c r="AW35" s="18"/>
      <c r="AX35" s="127">
        <v>0.31</v>
      </c>
      <c r="AY35" s="127">
        <v>6.49</v>
      </c>
      <c r="AZ35" s="127">
        <v>0.01</v>
      </c>
      <c r="BA35" s="127">
        <v>0.32500000000000001</v>
      </c>
      <c r="BB35" s="18"/>
      <c r="BC35" s="127">
        <v>0.89400000000000002</v>
      </c>
      <c r="BD35" s="18"/>
      <c r="BE35" s="18"/>
      <c r="BF35" s="18"/>
      <c r="BG35" s="18"/>
      <c r="BH35" s="127">
        <v>1.0999999999999999E-2</v>
      </c>
      <c r="BI35" s="127">
        <v>12.78</v>
      </c>
      <c r="BJ35" s="18">
        <v>0.217</v>
      </c>
      <c r="BK35" s="127">
        <v>0.746</v>
      </c>
      <c r="BL35" s="127">
        <v>1.286</v>
      </c>
      <c r="BM35" s="127">
        <v>0.151</v>
      </c>
      <c r="BN35" s="127">
        <v>0.44400000000000001</v>
      </c>
      <c r="BO35" s="18">
        <v>3.4000000000000002E-2</v>
      </c>
      <c r="BP35" s="18">
        <v>5.0000000000000001E-3</v>
      </c>
      <c r="BQ35" s="18">
        <v>4.0000000000000001E-3</v>
      </c>
      <c r="BR35" s="18">
        <v>3.0000000000000001E-3</v>
      </c>
      <c r="BS35" s="18">
        <v>1E-3</v>
      </c>
      <c r="BT35" s="18">
        <v>1E-3</v>
      </c>
      <c r="BU35" s="18"/>
      <c r="BV35" s="18" t="s">
        <v>1366</v>
      </c>
      <c r="BW35" s="18">
        <v>1E-3</v>
      </c>
      <c r="BX35" s="18">
        <v>1.0999999999999999E-2</v>
      </c>
      <c r="BY35" s="127">
        <v>4.2999999999999997E-2</v>
      </c>
      <c r="BZ35" s="18"/>
      <c r="CA35" s="127">
        <v>0.14299999999999999</v>
      </c>
      <c r="CB35" s="127">
        <v>6.6000000000000003E-2</v>
      </c>
      <c r="CC35" s="127">
        <v>1.7000000000000001E-2</v>
      </c>
      <c r="CE35">
        <f t="shared" si="0"/>
        <v>1.9691833590138674</v>
      </c>
      <c r="CF35">
        <f t="shared" si="1"/>
        <v>17.1313672922252</v>
      </c>
      <c r="CG35">
        <f t="shared" si="2"/>
        <v>8.6997319034852545</v>
      </c>
      <c r="CH35">
        <f t="shared" si="3"/>
        <v>0.58009331259720065</v>
      </c>
      <c r="CI35">
        <f t="shared" si="4"/>
        <v>166.21983914209116</v>
      </c>
      <c r="CJ35">
        <f t="shared" si="5"/>
        <v>12.4</v>
      </c>
      <c r="CK35">
        <f t="shared" si="6"/>
        <v>96.423017107309491</v>
      </c>
      <c r="CL35">
        <f t="shared" si="7"/>
        <v>5.0466562986003112</v>
      </c>
      <c r="CM35">
        <f t="shared" si="8"/>
        <v>9.9377916018662518</v>
      </c>
      <c r="CN35">
        <f t="shared" si="9"/>
        <v>9.9377916018662518</v>
      </c>
      <c r="CO35">
        <f t="shared" si="10"/>
        <v>3.3437013996889579E-2</v>
      </c>
      <c r="CP35">
        <f t="shared" si="11"/>
        <v>8.4117647058823515</v>
      </c>
      <c r="CQ35">
        <f t="shared" si="12"/>
        <v>0.19168900804289543</v>
      </c>
      <c r="CR35">
        <f t="shared" si="13"/>
        <v>1.1983914209115283</v>
      </c>
      <c r="CS35">
        <f t="shared" si="14"/>
        <v>0.43565683646112602</v>
      </c>
      <c r="CT35">
        <f t="shared" si="15"/>
        <v>4.7765793528505393E-2</v>
      </c>
      <c r="CU35">
        <f t="shared" si="16"/>
        <v>1.3404825737265416E-2</v>
      </c>
      <c r="CV35">
        <f t="shared" si="17"/>
        <v>2.3846153846153846</v>
      </c>
      <c r="CW35">
        <f t="shared" si="18"/>
        <v>0.78954423592493295</v>
      </c>
      <c r="CX35">
        <f t="shared" si="19"/>
        <v>0.36353467561521252</v>
      </c>
      <c r="CY35">
        <f t="shared" si="20"/>
        <v>5.7640750670241284E-2</v>
      </c>
      <c r="CZ35">
        <f t="shared" si="21"/>
        <v>3.8823529411764706</v>
      </c>
      <c r="DA35">
        <f t="shared" si="22"/>
        <v>1.0483870967741935</v>
      </c>
      <c r="DB35">
        <f t="shared" si="23"/>
        <v>5.007704160246533E-2</v>
      </c>
      <c r="DC35">
        <f t="shared" si="24"/>
        <v>32.5</v>
      </c>
      <c r="DD35">
        <f t="shared" si="25"/>
        <v>0.25272161741835147</v>
      </c>
      <c r="DE35">
        <f t="shared" si="26"/>
        <v>13.404825737265416</v>
      </c>
      <c r="DF35">
        <f t="shared" si="27"/>
        <v>1.5408320493066254</v>
      </c>
      <c r="DG35">
        <f t="shared" si="28"/>
        <v>19.106317411402156</v>
      </c>
      <c r="DH35">
        <f t="shared" si="29"/>
        <v>1.9691833590138674</v>
      </c>
      <c r="DI35">
        <f t="shared" si="30"/>
        <v>0.13775038520801233</v>
      </c>
      <c r="DJ35">
        <f t="shared" si="31"/>
        <v>2.6194144838212635E-3</v>
      </c>
      <c r="DK35">
        <f t="shared" si="32"/>
        <v>32.758587091784428</v>
      </c>
      <c r="DL35">
        <f t="shared" si="33"/>
        <v>10.607673518591263</v>
      </c>
      <c r="DM35">
        <f t="shared" si="34"/>
        <v>3.7654708737243734</v>
      </c>
      <c r="DN35">
        <f t="shared" si="35"/>
        <v>1.9121992152168377</v>
      </c>
      <c r="DO35">
        <f t="shared" si="36"/>
        <v>1.2193103921215842</v>
      </c>
      <c r="DP35">
        <f t="shared" si="37"/>
        <v>0.61919596595219739</v>
      </c>
    </row>
    <row r="36" spans="1:120">
      <c r="A36" s="16" t="s">
        <v>672</v>
      </c>
      <c r="B36" s="16" t="s">
        <v>24</v>
      </c>
      <c r="C36" s="121" t="s">
        <v>1800</v>
      </c>
      <c r="D36" s="16" t="s">
        <v>1723</v>
      </c>
      <c r="E36" s="16" t="s">
        <v>237</v>
      </c>
      <c r="F36" s="16" t="s">
        <v>29</v>
      </c>
      <c r="G36" s="16" t="s">
        <v>595</v>
      </c>
      <c r="H36" s="27">
        <v>360</v>
      </c>
      <c r="I36" s="16" t="s">
        <v>735</v>
      </c>
      <c r="J36" s="16" t="s">
        <v>1496</v>
      </c>
      <c r="K36" s="16"/>
      <c r="L36" s="16"/>
      <c r="M36" s="16" t="s">
        <v>37</v>
      </c>
      <c r="N36" s="16">
        <v>26</v>
      </c>
      <c r="O36" s="95">
        <v>7.4380967554611805</v>
      </c>
      <c r="P36" s="95">
        <v>0.54525467225372415</v>
      </c>
      <c r="Q36" s="95">
        <v>4.6398086261590485</v>
      </c>
      <c r="R36" s="95">
        <v>20.555072361564921</v>
      </c>
      <c r="S36" s="95">
        <v>23.291633546838327</v>
      </c>
      <c r="T36" s="95">
        <v>24.114659467221308</v>
      </c>
      <c r="U36" s="95">
        <v>0</v>
      </c>
      <c r="V36" s="95">
        <v>6.1624065788675617</v>
      </c>
      <c r="W36" s="95">
        <v>10.473004836873418</v>
      </c>
      <c r="X36" s="95">
        <v>0.7407233283446818</v>
      </c>
      <c r="Y36" s="95">
        <v>2.6336829452255355</v>
      </c>
      <c r="Z36" s="95">
        <v>100.5943431188097</v>
      </c>
      <c r="AA36" s="18"/>
      <c r="AB36" s="18"/>
      <c r="AC36" s="18"/>
      <c r="AD36" s="18">
        <v>159</v>
      </c>
      <c r="AE36" s="127">
        <v>368</v>
      </c>
      <c r="AF36" s="127">
        <v>17</v>
      </c>
      <c r="AG36" s="18"/>
      <c r="AH36" s="18">
        <v>420</v>
      </c>
      <c r="AI36" s="18">
        <v>562</v>
      </c>
      <c r="AJ36" s="18">
        <v>2.67</v>
      </c>
      <c r="AK36" s="134"/>
      <c r="AL36" s="18">
        <v>5.09</v>
      </c>
      <c r="AM36" s="134">
        <v>141</v>
      </c>
      <c r="AN36" s="127">
        <v>1.0920000000000001</v>
      </c>
      <c r="AO36" s="18">
        <v>1.1399999999999999</v>
      </c>
      <c r="AP36" s="18"/>
      <c r="AQ36" s="18">
        <v>0.16600000000000001</v>
      </c>
      <c r="AR36" s="18">
        <v>7.4999999999999997E-2</v>
      </c>
      <c r="AS36" s="18"/>
      <c r="AT36" s="18"/>
      <c r="AU36" s="18"/>
      <c r="AV36" s="18"/>
      <c r="AW36" s="18"/>
      <c r="AX36" s="127">
        <v>0.85</v>
      </c>
      <c r="AY36" s="127">
        <v>15.97</v>
      </c>
      <c r="AZ36" s="127">
        <v>1.4999999999999999E-2</v>
      </c>
      <c r="BA36" s="127">
        <v>0.26600000000000001</v>
      </c>
      <c r="BB36" s="18"/>
      <c r="BC36" s="127">
        <v>2.6789999999999998</v>
      </c>
      <c r="BD36" s="18"/>
      <c r="BE36" s="18"/>
      <c r="BF36" s="18"/>
      <c r="BG36" s="18"/>
      <c r="BH36" s="127">
        <v>4.7E-2</v>
      </c>
      <c r="BI36" s="127">
        <v>30.19</v>
      </c>
      <c r="BJ36" s="18">
        <v>0.51900000000000002</v>
      </c>
      <c r="BK36" s="127">
        <v>2.13</v>
      </c>
      <c r="BL36" s="127">
        <v>3.62</v>
      </c>
      <c r="BM36" s="127">
        <v>0.44800000000000001</v>
      </c>
      <c r="BN36" s="127">
        <v>1.52</v>
      </c>
      <c r="BO36" s="18">
        <v>9.4E-2</v>
      </c>
      <c r="BP36" s="18">
        <v>1.4E-2</v>
      </c>
      <c r="BQ36" s="18">
        <v>2.5999999999999999E-2</v>
      </c>
      <c r="BR36" s="18">
        <v>3.0000000000000001E-3</v>
      </c>
      <c r="BS36" s="18">
        <v>1E-3</v>
      </c>
      <c r="BT36" s="18">
        <v>2E-3</v>
      </c>
      <c r="BU36" s="18"/>
      <c r="BV36" s="18" t="s">
        <v>1366</v>
      </c>
      <c r="BW36" s="18">
        <v>1E-3</v>
      </c>
      <c r="BX36" s="18">
        <v>0.01</v>
      </c>
      <c r="BY36" s="127">
        <v>0.13200000000000001</v>
      </c>
      <c r="BZ36" s="18"/>
      <c r="CA36" s="127">
        <v>0.26</v>
      </c>
      <c r="CB36" s="127">
        <v>0.251</v>
      </c>
      <c r="CC36" s="127">
        <v>5.3999999999999999E-2</v>
      </c>
      <c r="CE36">
        <f t="shared" si="0"/>
        <v>1.8904195366311836</v>
      </c>
      <c r="CF36">
        <f t="shared" si="1"/>
        <v>14.173708920187794</v>
      </c>
      <c r="CG36">
        <f t="shared" si="2"/>
        <v>7.4976525821596249</v>
      </c>
      <c r="CH36">
        <f t="shared" si="3"/>
        <v>0.58839779005524862</v>
      </c>
      <c r="CI36">
        <f t="shared" si="4"/>
        <v>172.7699530516432</v>
      </c>
      <c r="CJ36">
        <f t="shared" si="5"/>
        <v>21.647058823529413</v>
      </c>
      <c r="CK36">
        <f t="shared" si="6"/>
        <v>101.65745856353591</v>
      </c>
      <c r="CL36">
        <f t="shared" si="7"/>
        <v>4.4116022099447516</v>
      </c>
      <c r="CM36">
        <f t="shared" si="8"/>
        <v>8.3397790055248624</v>
      </c>
      <c r="CN36">
        <f t="shared" si="9"/>
        <v>8.3397790055248624</v>
      </c>
      <c r="CO36">
        <f t="shared" si="10"/>
        <v>3.6464088397790057E-2</v>
      </c>
      <c r="CP36">
        <f t="shared" si="11"/>
        <v>4.8148148148148149</v>
      </c>
      <c r="CQ36">
        <f t="shared" si="12"/>
        <v>0.12206572769953053</v>
      </c>
      <c r="CR36">
        <f t="shared" si="13"/>
        <v>1.2577464788732393</v>
      </c>
      <c r="CS36">
        <f t="shared" si="14"/>
        <v>0.12488262910798123</v>
      </c>
      <c r="CT36">
        <f t="shared" si="15"/>
        <v>5.3224796493425167E-2</v>
      </c>
      <c r="CU36">
        <f t="shared" si="16"/>
        <v>7.0422535211267607E-3</v>
      </c>
      <c r="CV36">
        <f t="shared" si="17"/>
        <v>2.6099290780141846</v>
      </c>
      <c r="CW36">
        <f t="shared" si="18"/>
        <v>0.51267605633802826</v>
      </c>
      <c r="CX36">
        <f t="shared" si="19"/>
        <v>9.929078014184399E-2</v>
      </c>
      <c r="CY36">
        <f t="shared" si="20"/>
        <v>6.1971830985915501E-2</v>
      </c>
      <c r="CZ36">
        <f t="shared" si="21"/>
        <v>4.6481481481481479</v>
      </c>
      <c r="DA36">
        <f t="shared" si="22"/>
        <v>0.31294117647058828</v>
      </c>
      <c r="DB36">
        <f t="shared" si="23"/>
        <v>1.6656230432060114E-2</v>
      </c>
      <c r="DC36">
        <f t="shared" si="24"/>
        <v>17.733333333333334</v>
      </c>
      <c r="DD36">
        <f t="shared" si="25"/>
        <v>7.3480662983425413E-2</v>
      </c>
      <c r="DE36">
        <f t="shared" si="26"/>
        <v>7.9812206572769959</v>
      </c>
      <c r="DF36">
        <f t="shared" si="27"/>
        <v>1.0644959298685035</v>
      </c>
      <c r="DG36">
        <f t="shared" si="28"/>
        <v>23.043206011271131</v>
      </c>
      <c r="DH36">
        <f t="shared" si="29"/>
        <v>1.8904195366311836</v>
      </c>
      <c r="DI36">
        <f t="shared" si="30"/>
        <v>0.16775203506574826</v>
      </c>
      <c r="DJ36">
        <f t="shared" si="31"/>
        <v>3.3813400125234814E-3</v>
      </c>
      <c r="DK36">
        <f t="shared" si="32"/>
        <v>10.93503922386776</v>
      </c>
      <c r="DL36">
        <f t="shared" si="33"/>
        <v>2.1783139089948587</v>
      </c>
      <c r="DM36">
        <f t="shared" si="34"/>
        <v>1.4584617123881232</v>
      </c>
      <c r="DN36">
        <f t="shared" si="35"/>
        <v>0.77150160804366763</v>
      </c>
      <c r="DO36">
        <f t="shared" si="36"/>
        <v>0.29053278811265176</v>
      </c>
      <c r="DP36">
        <f t="shared" si="37"/>
        <v>0.15368693693802743</v>
      </c>
    </row>
    <row r="37" spans="1:120">
      <c r="A37" s="16" t="s">
        <v>672</v>
      </c>
      <c r="B37" s="16" t="s">
        <v>24</v>
      </c>
      <c r="C37" s="121" t="s">
        <v>1800</v>
      </c>
      <c r="D37" s="16" t="s">
        <v>1723</v>
      </c>
      <c r="E37" s="16" t="s">
        <v>237</v>
      </c>
      <c r="F37" s="16" t="s">
        <v>29</v>
      </c>
      <c r="G37" s="16" t="s">
        <v>595</v>
      </c>
      <c r="H37" s="27">
        <v>360</v>
      </c>
      <c r="I37" s="16" t="s">
        <v>735</v>
      </c>
      <c r="J37" s="16" t="s">
        <v>1496</v>
      </c>
      <c r="K37" s="16"/>
      <c r="L37" s="16"/>
      <c r="M37" s="16" t="s">
        <v>38</v>
      </c>
      <c r="N37" s="16">
        <v>41</v>
      </c>
      <c r="O37" s="95">
        <v>7.2073385832161625</v>
      </c>
      <c r="P37" s="95">
        <v>1.0473974056184638</v>
      </c>
      <c r="Q37" s="95">
        <v>5.4962438116612455</v>
      </c>
      <c r="R37" s="95">
        <v>13.273947318729048</v>
      </c>
      <c r="S37" s="95">
        <v>20.273880475090067</v>
      </c>
      <c r="T37" s="95">
        <v>21.653126563676757</v>
      </c>
      <c r="U37" s="95">
        <v>0</v>
      </c>
      <c r="V37" s="95">
        <v>5.0710626866082054</v>
      </c>
      <c r="W37" s="95">
        <v>15.524296200107331</v>
      </c>
      <c r="X37" s="95">
        <v>7.7465926930395295</v>
      </c>
      <c r="Y37" s="95">
        <v>3.4947814425091317</v>
      </c>
      <c r="Z37" s="95">
        <v>100.78866718025594</v>
      </c>
      <c r="AA37" s="18"/>
      <c r="AB37" s="18"/>
      <c r="AC37" s="18"/>
      <c r="AD37" s="18">
        <v>77</v>
      </c>
      <c r="AE37" s="127">
        <v>281</v>
      </c>
      <c r="AF37" s="127">
        <v>11</v>
      </c>
      <c r="AG37" s="18"/>
      <c r="AH37" s="18">
        <v>431</v>
      </c>
      <c r="AI37" s="18">
        <v>228</v>
      </c>
      <c r="AJ37" s="18">
        <v>6.83</v>
      </c>
      <c r="AK37" s="134"/>
      <c r="AL37" s="18">
        <v>3.95</v>
      </c>
      <c r="AM37" s="134">
        <v>113</v>
      </c>
      <c r="AN37" s="127">
        <v>2.1419999999999999</v>
      </c>
      <c r="AO37" s="18">
        <v>1.98</v>
      </c>
      <c r="AP37" s="18"/>
      <c r="AQ37" s="18">
        <v>0.122</v>
      </c>
      <c r="AR37" s="18">
        <v>0.113</v>
      </c>
      <c r="AS37" s="18"/>
      <c r="AT37" s="18"/>
      <c r="AU37" s="18"/>
      <c r="AV37" s="18"/>
      <c r="AW37" s="18"/>
      <c r="AX37" s="127">
        <v>1.17</v>
      </c>
      <c r="AY37" s="127">
        <v>20.71</v>
      </c>
      <c r="AZ37" s="127">
        <v>2.9000000000000001E-2</v>
      </c>
      <c r="BA37" s="127">
        <v>0.85899999999999999</v>
      </c>
      <c r="BB37" s="18"/>
      <c r="BC37" s="127">
        <v>3.9089999999999998</v>
      </c>
      <c r="BD37" s="18"/>
      <c r="BE37" s="18"/>
      <c r="BF37" s="18"/>
      <c r="BG37" s="18"/>
      <c r="BH37" s="127">
        <v>2.3E-2</v>
      </c>
      <c r="BI37" s="127">
        <v>45.44</v>
      </c>
      <c r="BJ37" s="18">
        <v>0.32200000000000001</v>
      </c>
      <c r="BK37" s="127">
        <v>4.54</v>
      </c>
      <c r="BL37" s="127">
        <v>5.86</v>
      </c>
      <c r="BM37" s="127">
        <v>0.59</v>
      </c>
      <c r="BN37" s="127">
        <v>1.79</v>
      </c>
      <c r="BO37" s="18">
        <v>0.17</v>
      </c>
      <c r="BP37" s="18">
        <v>3.3000000000000002E-2</v>
      </c>
      <c r="BQ37" s="18">
        <v>5.6000000000000001E-2</v>
      </c>
      <c r="BR37" s="18">
        <v>1.4E-2</v>
      </c>
      <c r="BS37" s="18">
        <v>2E-3</v>
      </c>
      <c r="BT37" s="18">
        <v>7.0000000000000001E-3</v>
      </c>
      <c r="BU37" s="18"/>
      <c r="BV37" s="18" t="s">
        <v>1366</v>
      </c>
      <c r="BW37" s="18">
        <v>1E-3</v>
      </c>
      <c r="BX37" s="18">
        <v>2.9000000000000001E-2</v>
      </c>
      <c r="BY37" s="127">
        <v>0.17</v>
      </c>
      <c r="BZ37" s="18"/>
      <c r="CA37" s="127">
        <v>2.2999999999999998</v>
      </c>
      <c r="CB37" s="127">
        <v>0.64</v>
      </c>
      <c r="CC37" s="127">
        <v>0.104</v>
      </c>
      <c r="CE37">
        <f t="shared" si="0"/>
        <v>2.1941091260260741</v>
      </c>
      <c r="CF37">
        <f t="shared" si="1"/>
        <v>10.008810572687224</v>
      </c>
      <c r="CG37">
        <f t="shared" si="2"/>
        <v>4.5616740088105727</v>
      </c>
      <c r="CH37">
        <f t="shared" si="3"/>
        <v>0.77474402730375425</v>
      </c>
      <c r="CI37">
        <f t="shared" si="4"/>
        <v>61.894273127753301</v>
      </c>
      <c r="CJ37">
        <f t="shared" si="5"/>
        <v>25.545454545454547</v>
      </c>
      <c r="CK37">
        <f t="shared" si="6"/>
        <v>47.952218430034129</v>
      </c>
      <c r="CL37">
        <f t="shared" si="7"/>
        <v>3.5341296928327646</v>
      </c>
      <c r="CM37">
        <f t="shared" si="8"/>
        <v>7.7542662116040946</v>
      </c>
      <c r="CN37">
        <f t="shared" si="9"/>
        <v>7.7542662116040946</v>
      </c>
      <c r="CO37">
        <f t="shared" si="10"/>
        <v>2.9010238907849831E-2</v>
      </c>
      <c r="CP37">
        <f t="shared" si="11"/>
        <v>22.115384615384613</v>
      </c>
      <c r="CQ37">
        <f t="shared" si="12"/>
        <v>0.50660792951541844</v>
      </c>
      <c r="CR37">
        <f t="shared" si="13"/>
        <v>0.86101321585903079</v>
      </c>
      <c r="CS37">
        <f t="shared" si="14"/>
        <v>0.18920704845814978</v>
      </c>
      <c r="CT37">
        <f t="shared" si="15"/>
        <v>5.6494447126991788E-2</v>
      </c>
      <c r="CU37">
        <f t="shared" si="16"/>
        <v>6.387665198237886E-3</v>
      </c>
      <c r="CV37">
        <f t="shared" si="17"/>
        <v>2.4867256637168142</v>
      </c>
      <c r="CW37">
        <f t="shared" si="18"/>
        <v>0.47180616740088105</v>
      </c>
      <c r="CX37">
        <f t="shared" si="19"/>
        <v>0.21974929649526734</v>
      </c>
      <c r="CY37">
        <f t="shared" si="20"/>
        <v>3.7444933920704845E-2</v>
      </c>
      <c r="CZ37">
        <f t="shared" si="21"/>
        <v>6.1538461538461542</v>
      </c>
      <c r="DA37">
        <f t="shared" si="22"/>
        <v>0.73418803418803424</v>
      </c>
      <c r="DB37">
        <f t="shared" si="23"/>
        <v>4.1477547078705934E-2</v>
      </c>
      <c r="DC37">
        <f t="shared" si="24"/>
        <v>29.620689655172413</v>
      </c>
      <c r="DD37">
        <f t="shared" si="25"/>
        <v>0.14658703071672355</v>
      </c>
      <c r="DE37">
        <f t="shared" si="26"/>
        <v>2.4229074889867843</v>
      </c>
      <c r="DF37">
        <f t="shared" si="27"/>
        <v>0.53114437469821341</v>
      </c>
      <c r="DG37">
        <f t="shared" si="28"/>
        <v>13.568324480927087</v>
      </c>
      <c r="DH37">
        <f t="shared" si="29"/>
        <v>2.1941091260260741</v>
      </c>
      <c r="DI37">
        <f t="shared" si="30"/>
        <v>0.1887493964268469</v>
      </c>
      <c r="DJ37">
        <f t="shared" si="31"/>
        <v>5.0217286335103809E-3</v>
      </c>
      <c r="DK37">
        <f t="shared" si="32"/>
        <v>4.4656124394471517</v>
      </c>
      <c r="DL37">
        <f t="shared" si="33"/>
        <v>1.2106263902337546</v>
      </c>
      <c r="DM37">
        <f t="shared" si="34"/>
        <v>0.97894159705891193</v>
      </c>
      <c r="DN37">
        <f t="shared" si="35"/>
        <v>0.44616814425814411</v>
      </c>
      <c r="DO37">
        <f t="shared" si="36"/>
        <v>0.26539081659397612</v>
      </c>
      <c r="DP37">
        <f t="shared" si="37"/>
        <v>0.12095606979888306</v>
      </c>
    </row>
    <row r="38" spans="1:120">
      <c r="A38" s="16" t="s">
        <v>672</v>
      </c>
      <c r="B38" s="16" t="s">
        <v>24</v>
      </c>
      <c r="C38" s="121" t="s">
        <v>1800</v>
      </c>
      <c r="D38" s="16" t="s">
        <v>1723</v>
      </c>
      <c r="E38" s="16" t="s">
        <v>237</v>
      </c>
      <c r="F38" s="16" t="s">
        <v>29</v>
      </c>
      <c r="G38" s="16" t="s">
        <v>595</v>
      </c>
      <c r="H38" s="27">
        <v>360</v>
      </c>
      <c r="I38" s="16" t="s">
        <v>735</v>
      </c>
      <c r="J38" s="16" t="s">
        <v>1496</v>
      </c>
      <c r="K38" s="16"/>
      <c r="L38" s="16"/>
      <c r="M38" s="16" t="s">
        <v>39</v>
      </c>
      <c r="N38" s="16">
        <v>24</v>
      </c>
      <c r="O38" s="95">
        <v>11.100101981425901</v>
      </c>
      <c r="P38" s="95">
        <v>0.63722807671148696</v>
      </c>
      <c r="Q38" s="95">
        <v>4.7175433421060076</v>
      </c>
      <c r="R38" s="95">
        <v>18.109610825252258</v>
      </c>
      <c r="S38" s="95">
        <v>25.499400940664501</v>
      </c>
      <c r="T38" s="95">
        <v>25.540512429484597</v>
      </c>
      <c r="U38" s="95">
        <v>0</v>
      </c>
      <c r="V38" s="95">
        <v>3.9569807989342336</v>
      </c>
      <c r="W38" s="95">
        <v>7.4411794764373633</v>
      </c>
      <c r="X38" s="95">
        <v>1.3977906198832617</v>
      </c>
      <c r="Y38" s="95">
        <v>2.0658523132098203</v>
      </c>
      <c r="Z38" s="95">
        <v>100.46620080410945</v>
      </c>
      <c r="AA38" s="18"/>
      <c r="AB38" s="18"/>
      <c r="AC38" s="18"/>
      <c r="AD38" s="18">
        <v>142</v>
      </c>
      <c r="AE38" s="127">
        <v>567</v>
      </c>
      <c r="AF38" s="127">
        <v>23</v>
      </c>
      <c r="AG38" s="18"/>
      <c r="AH38" s="18">
        <v>362</v>
      </c>
      <c r="AI38" s="18">
        <v>615</v>
      </c>
      <c r="AJ38" s="18">
        <v>5.87</v>
      </c>
      <c r="AK38" s="134"/>
      <c r="AL38" s="18">
        <v>5.87</v>
      </c>
      <c r="AM38" s="134">
        <v>201</v>
      </c>
      <c r="AN38" s="127">
        <v>1.3919999999999999</v>
      </c>
      <c r="AO38" s="18">
        <v>7.59</v>
      </c>
      <c r="AP38" s="18"/>
      <c r="AQ38" s="18">
        <v>0.22</v>
      </c>
      <c r="AR38" s="18">
        <v>0.184</v>
      </c>
      <c r="AS38" s="18"/>
      <c r="AT38" s="18"/>
      <c r="AU38" s="18"/>
      <c r="AV38" s="18"/>
      <c r="AW38" s="18"/>
      <c r="AX38" s="127">
        <v>0.86</v>
      </c>
      <c r="AY38" s="127">
        <v>40.06</v>
      </c>
      <c r="AZ38" s="127">
        <v>1.4E-2</v>
      </c>
      <c r="BA38" s="127">
        <v>0.33200000000000002</v>
      </c>
      <c r="BB38" s="18"/>
      <c r="BC38" s="127">
        <v>5.9690000000000003</v>
      </c>
      <c r="BD38" s="18"/>
      <c r="BE38" s="18"/>
      <c r="BF38" s="18"/>
      <c r="BG38" s="18"/>
      <c r="BH38" s="127">
        <v>2.3E-2</v>
      </c>
      <c r="BI38" s="127">
        <v>59.38</v>
      </c>
      <c r="BJ38" s="18">
        <v>0.78</v>
      </c>
      <c r="BK38" s="127">
        <v>7.04</v>
      </c>
      <c r="BL38" s="127">
        <v>10.5</v>
      </c>
      <c r="BM38" s="127">
        <v>0.96699999999999997</v>
      </c>
      <c r="BN38" s="127">
        <v>2.56</v>
      </c>
      <c r="BO38" s="18">
        <v>0.13700000000000001</v>
      </c>
      <c r="BP38" s="18">
        <v>1.7999999999999999E-2</v>
      </c>
      <c r="BQ38" s="18">
        <v>4.1000000000000002E-2</v>
      </c>
      <c r="BR38" s="18">
        <v>7.0000000000000001E-3</v>
      </c>
      <c r="BS38" s="18">
        <v>2E-3</v>
      </c>
      <c r="BT38" s="18">
        <v>6.0000000000000001E-3</v>
      </c>
      <c r="BU38" s="18"/>
      <c r="BV38" s="18" t="s">
        <v>1366</v>
      </c>
      <c r="BW38" s="18">
        <v>3.0000000000000001E-3</v>
      </c>
      <c r="BX38" s="18">
        <v>8.9999999999999993E-3</v>
      </c>
      <c r="BY38" s="127">
        <v>0.26800000000000002</v>
      </c>
      <c r="BZ38" s="18"/>
      <c r="CA38" s="127">
        <v>0.39700000000000002</v>
      </c>
      <c r="CB38" s="127">
        <v>1.0680000000000001</v>
      </c>
      <c r="CC38" s="127">
        <v>0.16600000000000001</v>
      </c>
      <c r="CE38">
        <f t="shared" si="0"/>
        <v>1.4822765851223165</v>
      </c>
      <c r="CF38">
        <f t="shared" si="1"/>
        <v>8.4346590909090917</v>
      </c>
      <c r="CG38">
        <f t="shared" si="2"/>
        <v>5.6903409090909092</v>
      </c>
      <c r="CH38">
        <f t="shared" si="3"/>
        <v>0.67047619047619045</v>
      </c>
      <c r="CI38">
        <f t="shared" si="4"/>
        <v>80.539772727272734</v>
      </c>
      <c r="CJ38">
        <f t="shared" si="5"/>
        <v>24.652173913043477</v>
      </c>
      <c r="CK38">
        <f t="shared" si="6"/>
        <v>54</v>
      </c>
      <c r="CL38">
        <f t="shared" si="7"/>
        <v>3.8152380952380955</v>
      </c>
      <c r="CM38">
        <f t="shared" si="8"/>
        <v>5.6552380952380954</v>
      </c>
      <c r="CN38">
        <f t="shared" si="9"/>
        <v>5.6552380952380954</v>
      </c>
      <c r="CO38">
        <f t="shared" si="10"/>
        <v>2.5523809523809525E-2</v>
      </c>
      <c r="CP38">
        <f t="shared" si="11"/>
        <v>2.3915662650602409</v>
      </c>
      <c r="CQ38">
        <f t="shared" si="12"/>
        <v>5.6392045454545459E-2</v>
      </c>
      <c r="CR38">
        <f t="shared" si="13"/>
        <v>0.84786931818181821</v>
      </c>
      <c r="CS38">
        <f t="shared" si="14"/>
        <v>4.7159090909090914E-2</v>
      </c>
      <c r="CT38">
        <f t="shared" si="15"/>
        <v>2.1467798302546179E-2</v>
      </c>
      <c r="CU38">
        <f t="shared" si="16"/>
        <v>1.9886363636363639E-3</v>
      </c>
      <c r="CV38">
        <f t="shared" si="17"/>
        <v>2.8208955223880596</v>
      </c>
      <c r="CW38">
        <f t="shared" si="18"/>
        <v>0.19772727272727272</v>
      </c>
      <c r="CX38">
        <f t="shared" si="19"/>
        <v>5.5620706986094823E-2</v>
      </c>
      <c r="CY38">
        <f t="shared" si="20"/>
        <v>3.806818181818182E-2</v>
      </c>
      <c r="CZ38">
        <f t="shared" si="21"/>
        <v>6.4337349397590362</v>
      </c>
      <c r="DA38">
        <f t="shared" si="22"/>
        <v>0.38604651162790699</v>
      </c>
      <c r="DB38">
        <f t="shared" si="23"/>
        <v>8.2875686470294564E-3</v>
      </c>
      <c r="DC38">
        <f t="shared" si="24"/>
        <v>23.714285714285715</v>
      </c>
      <c r="DD38">
        <f t="shared" si="25"/>
        <v>3.1619047619047623E-2</v>
      </c>
      <c r="DE38">
        <f t="shared" si="26"/>
        <v>3.2670454545454546</v>
      </c>
      <c r="DF38">
        <f t="shared" si="27"/>
        <v>0.57413879181228156</v>
      </c>
      <c r="DG38">
        <f t="shared" si="28"/>
        <v>14.153769345981027</v>
      </c>
      <c r="DH38">
        <f t="shared" si="29"/>
        <v>1.4822765851223165</v>
      </c>
      <c r="DI38">
        <f t="shared" si="30"/>
        <v>0.14900149775336993</v>
      </c>
      <c r="DJ38">
        <f t="shared" si="31"/>
        <v>4.1437843235147282E-3</v>
      </c>
      <c r="DK38">
        <f t="shared" si="32"/>
        <v>3.6220739972534801</v>
      </c>
      <c r="DL38">
        <f t="shared" si="33"/>
        <v>0.67010558836733058</v>
      </c>
      <c r="DM38">
        <f t="shared" si="34"/>
        <v>0.6365302281743509</v>
      </c>
      <c r="DN38">
        <f t="shared" si="35"/>
        <v>0.42942743248003534</v>
      </c>
      <c r="DO38">
        <f t="shared" si="36"/>
        <v>0.11776194064168766</v>
      </c>
      <c r="DP38">
        <f t="shared" si="37"/>
        <v>7.9446671305254415E-2</v>
      </c>
    </row>
    <row r="39" spans="1:120">
      <c r="A39" s="16" t="s">
        <v>672</v>
      </c>
      <c r="B39" s="16" t="s">
        <v>24</v>
      </c>
      <c r="C39" s="121" t="s">
        <v>1800</v>
      </c>
      <c r="D39" s="16" t="s">
        <v>1723</v>
      </c>
      <c r="E39" s="16" t="s">
        <v>237</v>
      </c>
      <c r="F39" s="16" t="s">
        <v>29</v>
      </c>
      <c r="G39" s="16" t="s">
        <v>595</v>
      </c>
      <c r="H39" s="27">
        <v>360</v>
      </c>
      <c r="I39" s="16" t="s">
        <v>735</v>
      </c>
      <c r="J39" s="16" t="s">
        <v>1496</v>
      </c>
      <c r="K39" s="16"/>
      <c r="L39" s="16"/>
      <c r="M39" s="16" t="s">
        <v>40</v>
      </c>
      <c r="N39" s="16">
        <v>26</v>
      </c>
      <c r="O39" s="95">
        <v>8.1232311162051669</v>
      </c>
      <c r="P39" s="95">
        <v>1.0307114858501532</v>
      </c>
      <c r="Q39" s="95">
        <v>5.6229903832023194</v>
      </c>
      <c r="R39" s="95">
        <v>12.562434050312262</v>
      </c>
      <c r="S39" s="95">
        <v>23.25734134903464</v>
      </c>
      <c r="T39" s="95">
        <v>27.645518962060045</v>
      </c>
      <c r="U39" s="95">
        <v>0</v>
      </c>
      <c r="V39" s="95">
        <v>5.4699144199572478</v>
      </c>
      <c r="W39" s="95">
        <v>8.4395881069116498</v>
      </c>
      <c r="X39" s="95">
        <v>6.4496005847257107</v>
      </c>
      <c r="Y39" s="95">
        <v>1.8062963662918523</v>
      </c>
      <c r="Z39" s="95">
        <v>100.40762682455103</v>
      </c>
      <c r="AA39" s="18"/>
      <c r="AB39" s="18"/>
      <c r="AC39" s="18"/>
      <c r="AD39" s="18">
        <v>33</v>
      </c>
      <c r="AE39" s="127">
        <v>68</v>
      </c>
      <c r="AF39" s="127">
        <v>3</v>
      </c>
      <c r="AG39" s="18"/>
      <c r="AH39" s="18">
        <v>87</v>
      </c>
      <c r="AI39" s="18">
        <v>95</v>
      </c>
      <c r="AJ39" s="18">
        <v>2.59</v>
      </c>
      <c r="AK39" s="134"/>
      <c r="AL39" s="18">
        <v>0.93</v>
      </c>
      <c r="AM39" s="134">
        <v>25</v>
      </c>
      <c r="AN39" s="127">
        <v>1.6220000000000001</v>
      </c>
      <c r="AO39" s="18">
        <v>0.27400000000000002</v>
      </c>
      <c r="AP39" s="18"/>
      <c r="AQ39" s="18">
        <v>0.05</v>
      </c>
      <c r="AR39" s="18">
        <v>3.6999999999999998E-2</v>
      </c>
      <c r="AS39" s="18"/>
      <c r="AT39" s="18"/>
      <c r="AU39" s="18"/>
      <c r="AV39" s="18"/>
      <c r="AW39" s="18"/>
      <c r="AX39" s="127">
        <v>0.33</v>
      </c>
      <c r="AY39" s="127">
        <v>3.26</v>
      </c>
      <c r="AZ39" s="127">
        <v>7.0000000000000001E-3</v>
      </c>
      <c r="BA39" s="127">
        <v>0.20899999999999999</v>
      </c>
      <c r="BB39" s="18"/>
      <c r="BC39" s="127">
        <v>0.76900000000000002</v>
      </c>
      <c r="BD39" s="18"/>
      <c r="BE39" s="18"/>
      <c r="BF39" s="18"/>
      <c r="BG39" s="18"/>
      <c r="BH39" s="127">
        <v>8.0000000000000002E-3</v>
      </c>
      <c r="BI39" s="127">
        <v>7.09</v>
      </c>
      <c r="BJ39" s="18">
        <v>8.8999999999999996E-2</v>
      </c>
      <c r="BK39" s="127">
        <v>0.66</v>
      </c>
      <c r="BL39" s="127">
        <v>0.8</v>
      </c>
      <c r="BM39" s="127">
        <v>8.5999999999999993E-2</v>
      </c>
      <c r="BN39" s="127">
        <v>0.25800000000000001</v>
      </c>
      <c r="BO39" s="18">
        <v>2.9000000000000001E-2</v>
      </c>
      <c r="BP39" s="18">
        <v>5.0000000000000001E-3</v>
      </c>
      <c r="BQ39" s="18">
        <v>1.9E-2</v>
      </c>
      <c r="BR39" s="18">
        <v>4.0000000000000001E-3</v>
      </c>
      <c r="BS39" s="18">
        <v>1E-3</v>
      </c>
      <c r="BT39" s="18" t="s">
        <v>1366</v>
      </c>
      <c r="BU39" s="18"/>
      <c r="BV39" s="18">
        <v>8.0000000000000002E-3</v>
      </c>
      <c r="BW39" s="18">
        <v>3.0000000000000001E-3</v>
      </c>
      <c r="BX39" s="18">
        <v>5.0000000000000001E-3</v>
      </c>
      <c r="BY39" s="127">
        <v>3.2000000000000001E-2</v>
      </c>
      <c r="BZ39" s="18"/>
      <c r="CA39" s="127">
        <v>7.0000000000000007E-2</v>
      </c>
      <c r="CB39" s="127">
        <v>7.3999999999999996E-2</v>
      </c>
      <c r="CC39" s="127">
        <v>1.2999999999999999E-2</v>
      </c>
      <c r="CE39">
        <f t="shared" si="0"/>
        <v>2.1748466257668713</v>
      </c>
      <c r="CF39">
        <f t="shared" si="1"/>
        <v>10.742424242424242</v>
      </c>
      <c r="CG39">
        <f t="shared" si="2"/>
        <v>4.9393939393939386</v>
      </c>
      <c r="CH39">
        <f t="shared" si="3"/>
        <v>0.82499999999999996</v>
      </c>
      <c r="CI39">
        <f t="shared" si="4"/>
        <v>103.03030303030303</v>
      </c>
      <c r="CJ39">
        <f t="shared" si="5"/>
        <v>22.666666666666668</v>
      </c>
      <c r="CK39">
        <f t="shared" si="6"/>
        <v>85</v>
      </c>
      <c r="CL39">
        <f t="shared" si="7"/>
        <v>4.0749999999999993</v>
      </c>
      <c r="CM39">
        <f t="shared" si="8"/>
        <v>8.8624999999999989</v>
      </c>
      <c r="CN39">
        <f t="shared" si="9"/>
        <v>8.8624999999999989</v>
      </c>
      <c r="CO39">
        <f t="shared" si="10"/>
        <v>0.04</v>
      </c>
      <c r="CP39">
        <f t="shared" si="11"/>
        <v>5.384615384615385</v>
      </c>
      <c r="CQ39">
        <f t="shared" si="12"/>
        <v>0.10606060606060606</v>
      </c>
      <c r="CR39">
        <f t="shared" si="13"/>
        <v>1.165151515151515</v>
      </c>
      <c r="CS39">
        <f t="shared" si="14"/>
        <v>0.31666666666666665</v>
      </c>
      <c r="CT39">
        <f t="shared" si="15"/>
        <v>0.10122699386503069</v>
      </c>
      <c r="CU39">
        <f t="shared" si="16"/>
        <v>1.0606060606060605E-2</v>
      </c>
      <c r="CV39">
        <f t="shared" si="17"/>
        <v>2.72</v>
      </c>
      <c r="CW39">
        <f t="shared" si="18"/>
        <v>2.4575757575757575</v>
      </c>
      <c r="CX39">
        <f t="shared" si="19"/>
        <v>0.27178153446033809</v>
      </c>
      <c r="CY39">
        <f t="shared" si="20"/>
        <v>4.8484848484848485E-2</v>
      </c>
      <c r="CZ39">
        <f t="shared" si="21"/>
        <v>5.6923076923076925</v>
      </c>
      <c r="DA39">
        <f t="shared" si="22"/>
        <v>0.6333333333333333</v>
      </c>
      <c r="DB39">
        <f t="shared" si="23"/>
        <v>6.4110429447852765E-2</v>
      </c>
      <c r="DC39">
        <f t="shared" si="24"/>
        <v>29.857142857142854</v>
      </c>
      <c r="DD39">
        <f t="shared" si="25"/>
        <v>0.26124999999999998</v>
      </c>
      <c r="DE39">
        <f t="shared" si="26"/>
        <v>4.545454545454545</v>
      </c>
      <c r="DF39">
        <f t="shared" si="27"/>
        <v>0.92024539877300615</v>
      </c>
      <c r="DG39">
        <f t="shared" si="28"/>
        <v>20.858895705521473</v>
      </c>
      <c r="DH39">
        <f t="shared" si="29"/>
        <v>2.1748466257668713</v>
      </c>
      <c r="DI39">
        <f t="shared" si="30"/>
        <v>0.23588957055214727</v>
      </c>
      <c r="DJ39">
        <f t="shared" si="31"/>
        <v>3.9877300613496936E-3</v>
      </c>
      <c r="DK39">
        <f t="shared" si="32"/>
        <v>35.238395983385814</v>
      </c>
      <c r="DL39">
        <f t="shared" si="33"/>
        <v>8.5196823987913923</v>
      </c>
      <c r="DM39">
        <f t="shared" si="34"/>
        <v>7.1341537880474357</v>
      </c>
      <c r="DN39">
        <f t="shared" si="35"/>
        <v>3.280302023841275</v>
      </c>
      <c r="DO39">
        <f t="shared" si="36"/>
        <v>1.7248436758289325</v>
      </c>
      <c r="DP39">
        <f t="shared" si="37"/>
        <v>0.79308750115688564</v>
      </c>
    </row>
    <row r="40" spans="1:120">
      <c r="A40" s="16" t="s">
        <v>672</v>
      </c>
      <c r="B40" s="16" t="s">
        <v>24</v>
      </c>
      <c r="C40" s="121" t="s">
        <v>1800</v>
      </c>
      <c r="D40" s="16" t="s">
        <v>1723</v>
      </c>
      <c r="E40" s="16" t="s">
        <v>237</v>
      </c>
      <c r="F40" s="16" t="s">
        <v>29</v>
      </c>
      <c r="G40" s="16" t="s">
        <v>595</v>
      </c>
      <c r="H40" s="27">
        <v>360</v>
      </c>
      <c r="I40" s="16" t="s">
        <v>735</v>
      </c>
      <c r="J40" s="16" t="s">
        <v>1496</v>
      </c>
      <c r="K40" s="16"/>
      <c r="L40" s="16"/>
      <c r="M40" s="16" t="s">
        <v>41</v>
      </c>
      <c r="N40" s="16">
        <v>27</v>
      </c>
      <c r="O40" s="95">
        <v>8.2031416866535452</v>
      </c>
      <c r="P40" s="95">
        <v>0.80080732360322471</v>
      </c>
      <c r="Q40" s="95">
        <v>4.0656371813702172</v>
      </c>
      <c r="R40" s="95">
        <v>23.42874759567383</v>
      </c>
      <c r="S40" s="95">
        <v>21.786065906231318</v>
      </c>
      <c r="T40" s="95">
        <v>23.059144215549267</v>
      </c>
      <c r="U40" s="95">
        <v>0</v>
      </c>
      <c r="V40" s="95">
        <v>6.1395228142913894</v>
      </c>
      <c r="W40" s="95">
        <v>8.952615207461692</v>
      </c>
      <c r="X40" s="95">
        <v>1.1396104220507428</v>
      </c>
      <c r="Y40" s="95">
        <v>3.1313619704997886</v>
      </c>
      <c r="Z40" s="95">
        <v>100.706654323385</v>
      </c>
      <c r="AA40" s="18"/>
      <c r="AB40" s="18"/>
      <c r="AC40" s="18"/>
      <c r="AD40" s="18">
        <v>64</v>
      </c>
      <c r="AE40" s="127">
        <v>112</v>
      </c>
      <c r="AF40" s="127">
        <v>7</v>
      </c>
      <c r="AG40" s="18"/>
      <c r="AH40" s="18">
        <v>161</v>
      </c>
      <c r="AI40" s="18">
        <v>125</v>
      </c>
      <c r="AJ40" s="18">
        <v>0.71</v>
      </c>
      <c r="AK40" s="134"/>
      <c r="AL40" s="18">
        <v>1.8</v>
      </c>
      <c r="AM40" s="134">
        <v>60</v>
      </c>
      <c r="AN40" s="127">
        <v>0.47199999999999998</v>
      </c>
      <c r="AO40" s="18">
        <v>0.59</v>
      </c>
      <c r="AP40" s="18"/>
      <c r="AQ40" s="18">
        <v>0.111</v>
      </c>
      <c r="AR40" s="18">
        <v>8.2000000000000003E-2</v>
      </c>
      <c r="AS40" s="18"/>
      <c r="AT40" s="18"/>
      <c r="AU40" s="18"/>
      <c r="AV40" s="18"/>
      <c r="AW40" s="18"/>
      <c r="AX40" s="127">
        <v>0.31</v>
      </c>
      <c r="AY40" s="127">
        <v>14.17</v>
      </c>
      <c r="AZ40" s="127">
        <v>1.4E-2</v>
      </c>
      <c r="BA40" s="127">
        <v>5.7000000000000002E-2</v>
      </c>
      <c r="BB40" s="18"/>
      <c r="BC40" s="127">
        <v>1.829</v>
      </c>
      <c r="BD40" s="18"/>
      <c r="BE40" s="18"/>
      <c r="BF40" s="18"/>
      <c r="BG40" s="18"/>
      <c r="BH40" s="127">
        <v>1.7000000000000001E-2</v>
      </c>
      <c r="BI40" s="127">
        <v>26.59</v>
      </c>
      <c r="BJ40" s="18">
        <v>0.19800000000000001</v>
      </c>
      <c r="BK40" s="127">
        <v>2.44</v>
      </c>
      <c r="BL40" s="127">
        <v>3.66</v>
      </c>
      <c r="BM40" s="127">
        <v>0.30499999999999999</v>
      </c>
      <c r="BN40" s="127">
        <v>0.59</v>
      </c>
      <c r="BO40" s="18">
        <v>3.5999999999999997E-2</v>
      </c>
      <c r="BP40" s="18">
        <v>1.2E-2</v>
      </c>
      <c r="BQ40" s="18">
        <v>1.9E-2</v>
      </c>
      <c r="BR40" s="18">
        <v>1.2999999999999999E-2</v>
      </c>
      <c r="BS40" s="18">
        <v>1.0999999999999999E-2</v>
      </c>
      <c r="BT40" s="18">
        <v>0.01</v>
      </c>
      <c r="BU40" s="18"/>
      <c r="BV40" s="18">
        <v>1.0999999999999999E-2</v>
      </c>
      <c r="BW40" s="18">
        <v>8.9999999999999993E-3</v>
      </c>
      <c r="BX40" s="18">
        <v>1.9E-2</v>
      </c>
      <c r="BY40" s="127">
        <v>8.2000000000000003E-2</v>
      </c>
      <c r="BZ40" s="18"/>
      <c r="CA40" s="127">
        <v>0.16600000000000001</v>
      </c>
      <c r="CB40" s="127">
        <v>0.42</v>
      </c>
      <c r="CC40" s="127">
        <v>5.6000000000000001E-2</v>
      </c>
      <c r="CE40">
        <f t="shared" si="0"/>
        <v>1.8764996471418489</v>
      </c>
      <c r="CF40">
        <f t="shared" si="1"/>
        <v>10.897540983606557</v>
      </c>
      <c r="CG40">
        <f t="shared" si="2"/>
        <v>5.807377049180328</v>
      </c>
      <c r="CH40">
        <f t="shared" si="3"/>
        <v>0.66666666666666663</v>
      </c>
      <c r="CI40">
        <f t="shared" si="4"/>
        <v>45.901639344262293</v>
      </c>
      <c r="CJ40">
        <f t="shared" si="5"/>
        <v>16</v>
      </c>
      <c r="CK40">
        <f t="shared" si="6"/>
        <v>30.601092896174862</v>
      </c>
      <c r="CL40">
        <f t="shared" si="7"/>
        <v>3.8715846994535519</v>
      </c>
      <c r="CM40">
        <f t="shared" si="8"/>
        <v>7.2650273224043715</v>
      </c>
      <c r="CN40">
        <f t="shared" si="9"/>
        <v>7.2650273224043715</v>
      </c>
      <c r="CO40">
        <f t="shared" si="10"/>
        <v>2.2404371584699455E-2</v>
      </c>
      <c r="CP40">
        <f t="shared" si="11"/>
        <v>2.9642857142857144</v>
      </c>
      <c r="CQ40">
        <f t="shared" si="12"/>
        <v>6.8032786885245902E-2</v>
      </c>
      <c r="CR40">
        <f t="shared" si="13"/>
        <v>0.74959016393442623</v>
      </c>
      <c r="CS40">
        <f t="shared" si="14"/>
        <v>2.3360655737704919E-2</v>
      </c>
      <c r="CT40">
        <f t="shared" si="15"/>
        <v>2.1877205363443897E-2</v>
      </c>
      <c r="CU40">
        <f t="shared" si="16"/>
        <v>5.7377049180327875E-3</v>
      </c>
      <c r="CV40">
        <f t="shared" si="17"/>
        <v>1.8666666666666667</v>
      </c>
      <c r="CW40">
        <f t="shared" si="18"/>
        <v>0.19344262295081965</v>
      </c>
      <c r="CX40">
        <f t="shared" si="19"/>
        <v>3.116457080371788E-2</v>
      </c>
      <c r="CY40">
        <f t="shared" si="20"/>
        <v>3.3606557377049186E-2</v>
      </c>
      <c r="CZ40">
        <f t="shared" si="21"/>
        <v>7.5</v>
      </c>
      <c r="DA40">
        <f t="shared" si="22"/>
        <v>0.18387096774193548</v>
      </c>
      <c r="DB40">
        <f t="shared" si="23"/>
        <v>4.0225829216654907E-3</v>
      </c>
      <c r="DC40">
        <f t="shared" si="24"/>
        <v>4.0714285714285712</v>
      </c>
      <c r="DD40">
        <f t="shared" si="25"/>
        <v>1.5573770491803279E-2</v>
      </c>
      <c r="DE40">
        <f t="shared" si="26"/>
        <v>2.8688524590163933</v>
      </c>
      <c r="DF40">
        <f t="shared" si="27"/>
        <v>0.49400141143260412</v>
      </c>
      <c r="DG40">
        <f t="shared" si="28"/>
        <v>7.9040225829216659</v>
      </c>
      <c r="DH40">
        <f t="shared" si="29"/>
        <v>1.8764996471418489</v>
      </c>
      <c r="DI40">
        <f t="shared" si="30"/>
        <v>0.12907551164431899</v>
      </c>
      <c r="DJ40">
        <f t="shared" si="31"/>
        <v>3.952011291460833E-3</v>
      </c>
      <c r="DK40">
        <f t="shared" si="32"/>
        <v>8.9287155353407037</v>
      </c>
      <c r="DL40">
        <f t="shared" si="33"/>
        <v>1.6662447464632038</v>
      </c>
      <c r="DM40">
        <f t="shared" si="34"/>
        <v>1.5374781867488581</v>
      </c>
      <c r="DN40">
        <f t="shared" si="35"/>
        <v>0.81933305401396461</v>
      </c>
      <c r="DO40">
        <f t="shared" si="36"/>
        <v>0.28691864370996595</v>
      </c>
      <c r="DP40">
        <f t="shared" si="37"/>
        <v>0.15290098463220073</v>
      </c>
    </row>
    <row r="41" spans="1:120">
      <c r="A41" s="16" t="s">
        <v>672</v>
      </c>
      <c r="B41" s="16" t="s">
        <v>24</v>
      </c>
      <c r="C41" s="121" t="s">
        <v>1800</v>
      </c>
      <c r="D41" s="16" t="s">
        <v>1723</v>
      </c>
      <c r="E41" s="16" t="s">
        <v>237</v>
      </c>
      <c r="F41" s="16" t="s">
        <v>29</v>
      </c>
      <c r="G41" s="16" t="s">
        <v>595</v>
      </c>
      <c r="H41" s="27">
        <v>360</v>
      </c>
      <c r="I41" s="16" t="s">
        <v>735</v>
      </c>
      <c r="J41" s="16" t="s">
        <v>1496</v>
      </c>
      <c r="K41" s="16"/>
      <c r="L41" s="16"/>
      <c r="M41" s="16" t="s">
        <v>84</v>
      </c>
      <c r="N41" s="16">
        <v>30</v>
      </c>
      <c r="O41" s="95">
        <v>6.8708740435498701</v>
      </c>
      <c r="P41" s="95">
        <v>0.78761150423799409</v>
      </c>
      <c r="Q41" s="95">
        <v>4.3525898918415473</v>
      </c>
      <c r="R41" s="95">
        <v>37.121373791848619</v>
      </c>
      <c r="S41" s="95">
        <v>16.591658135329325</v>
      </c>
      <c r="T41" s="95">
        <v>17.275636546904423</v>
      </c>
      <c r="U41" s="95">
        <v>0</v>
      </c>
      <c r="V41" s="95">
        <v>4.9329352107537527</v>
      </c>
      <c r="W41" s="95">
        <v>7.4097661253969189</v>
      </c>
      <c r="X41" s="95">
        <v>2.2902913478499567</v>
      </c>
      <c r="Y41" s="95">
        <v>3.057176233555372</v>
      </c>
      <c r="Z41" s="95">
        <v>100.68991283126778</v>
      </c>
      <c r="AA41" s="18"/>
      <c r="AB41" s="18"/>
      <c r="AC41" s="18"/>
      <c r="AD41" s="18">
        <v>125</v>
      </c>
      <c r="AE41" s="127">
        <v>314</v>
      </c>
      <c r="AF41" s="127">
        <v>17</v>
      </c>
      <c r="AG41" s="18"/>
      <c r="AH41" s="18">
        <v>360</v>
      </c>
      <c r="AI41" s="18">
        <v>299</v>
      </c>
      <c r="AJ41" s="18">
        <v>6.66</v>
      </c>
      <c r="AK41" s="134"/>
      <c r="AL41" s="18">
        <v>4.33</v>
      </c>
      <c r="AM41" s="134">
        <v>210</v>
      </c>
      <c r="AN41" s="127">
        <v>0.95199999999999996</v>
      </c>
      <c r="AO41" s="18">
        <v>0.62</v>
      </c>
      <c r="AP41" s="18"/>
      <c r="AQ41" s="18">
        <v>0.18</v>
      </c>
      <c r="AR41" s="18">
        <v>0.153</v>
      </c>
      <c r="AS41" s="18"/>
      <c r="AT41" s="18"/>
      <c r="AU41" s="18"/>
      <c r="AV41" s="18"/>
      <c r="AW41" s="18"/>
      <c r="AX41" s="127">
        <v>0.85</v>
      </c>
      <c r="AY41" s="127">
        <v>35.71</v>
      </c>
      <c r="AZ41" s="127">
        <v>1.4999999999999999E-2</v>
      </c>
      <c r="BA41" s="127">
        <v>0.28899999999999998</v>
      </c>
      <c r="BB41" s="18"/>
      <c r="BC41" s="127">
        <v>3.3690000000000002</v>
      </c>
      <c r="BD41" s="18"/>
      <c r="BE41" s="18"/>
      <c r="BF41" s="18"/>
      <c r="BG41" s="18"/>
      <c r="BH41" s="127">
        <v>2.9000000000000001E-2</v>
      </c>
      <c r="BI41" s="127">
        <v>88.01</v>
      </c>
      <c r="BJ41" s="18">
        <v>0.39</v>
      </c>
      <c r="BK41" s="127">
        <v>6.71</v>
      </c>
      <c r="BL41" s="127">
        <v>7.72</v>
      </c>
      <c r="BM41" s="127">
        <v>0.59</v>
      </c>
      <c r="BN41" s="127">
        <v>1.31</v>
      </c>
      <c r="BO41" s="18">
        <v>7.2999999999999995E-2</v>
      </c>
      <c r="BP41" s="18">
        <v>0.02</v>
      </c>
      <c r="BQ41" s="18">
        <v>0.03</v>
      </c>
      <c r="BR41" s="18">
        <v>8.9999999999999993E-3</v>
      </c>
      <c r="BS41" s="18">
        <v>8.0000000000000002E-3</v>
      </c>
      <c r="BT41" s="18">
        <v>8.0000000000000002E-3</v>
      </c>
      <c r="BU41" s="18"/>
      <c r="BV41" s="18">
        <v>8.0000000000000002E-3</v>
      </c>
      <c r="BW41" s="18">
        <v>6.0000000000000001E-3</v>
      </c>
      <c r="BX41" s="18">
        <v>1.4999999999999999E-2</v>
      </c>
      <c r="BY41" s="127">
        <v>0.14599999999999999</v>
      </c>
      <c r="BZ41" s="18"/>
      <c r="CA41" s="127">
        <v>0.43</v>
      </c>
      <c r="CB41" s="127">
        <v>1.18</v>
      </c>
      <c r="CC41" s="127">
        <v>0.105</v>
      </c>
      <c r="CE41">
        <f t="shared" si="0"/>
        <v>2.464575749089891</v>
      </c>
      <c r="CF41">
        <f t="shared" si="1"/>
        <v>13.116244411326379</v>
      </c>
      <c r="CG41">
        <f t="shared" si="2"/>
        <v>5.3219076005961252</v>
      </c>
      <c r="CH41">
        <f t="shared" si="3"/>
        <v>0.86917098445595853</v>
      </c>
      <c r="CI41">
        <f t="shared" si="4"/>
        <v>46.795827123695979</v>
      </c>
      <c r="CJ41">
        <f t="shared" si="5"/>
        <v>18.470588235294116</v>
      </c>
      <c r="CK41">
        <f t="shared" si="6"/>
        <v>40.673575129533681</v>
      </c>
      <c r="CL41">
        <f t="shared" si="7"/>
        <v>4.6256476683937828</v>
      </c>
      <c r="CM41">
        <f t="shared" si="8"/>
        <v>11.400259067357513</v>
      </c>
      <c r="CN41">
        <f t="shared" si="9"/>
        <v>11.400259067357513</v>
      </c>
      <c r="CO41">
        <f t="shared" si="10"/>
        <v>1.8911917098445596E-2</v>
      </c>
      <c r="CP41">
        <f t="shared" si="11"/>
        <v>4.0952380952380949</v>
      </c>
      <c r="CQ41">
        <f t="shared" si="12"/>
        <v>6.4083457526080481E-2</v>
      </c>
      <c r="CR41">
        <f t="shared" si="13"/>
        <v>0.50208643815201193</v>
      </c>
      <c r="CS41">
        <f t="shared" si="14"/>
        <v>4.3070044709388966E-2</v>
      </c>
      <c r="CT41">
        <f t="shared" si="15"/>
        <v>2.3802856342761129E-2</v>
      </c>
      <c r="CU41">
        <f t="shared" si="16"/>
        <v>2.2354694485842027E-3</v>
      </c>
      <c r="CV41">
        <f t="shared" si="17"/>
        <v>1.4952380952380953</v>
      </c>
      <c r="CW41">
        <f t="shared" si="18"/>
        <v>0.14187779433681072</v>
      </c>
      <c r="CX41">
        <f t="shared" si="19"/>
        <v>8.5782131196200637E-2</v>
      </c>
      <c r="CY41">
        <f t="shared" si="20"/>
        <v>2.1758569299552905E-2</v>
      </c>
      <c r="CZ41">
        <f t="shared" si="21"/>
        <v>11.238095238095237</v>
      </c>
      <c r="DA41">
        <f t="shared" si="22"/>
        <v>0.33999999999999997</v>
      </c>
      <c r="DB41">
        <f t="shared" si="23"/>
        <v>8.0929711565387846E-3</v>
      </c>
      <c r="DC41">
        <f t="shared" si="24"/>
        <v>19.266666666666666</v>
      </c>
      <c r="DD41">
        <f t="shared" si="25"/>
        <v>3.7435233160621757E-2</v>
      </c>
      <c r="DE41">
        <f t="shared" si="26"/>
        <v>2.5335320417287632</v>
      </c>
      <c r="DF41">
        <f t="shared" si="27"/>
        <v>0.47605712685522261</v>
      </c>
      <c r="DG41">
        <f t="shared" si="28"/>
        <v>8.793055166619995</v>
      </c>
      <c r="DH41">
        <f t="shared" si="29"/>
        <v>2.464575749089891</v>
      </c>
      <c r="DI41">
        <f t="shared" si="30"/>
        <v>9.4343321198543828E-2</v>
      </c>
      <c r="DJ41">
        <f t="shared" si="31"/>
        <v>2.9403528423410808E-3</v>
      </c>
      <c r="DK41">
        <f t="shared" si="32"/>
        <v>2.4726763241921499</v>
      </c>
      <c r="DL41">
        <f t="shared" si="33"/>
        <v>0.6486721150285466</v>
      </c>
      <c r="DM41">
        <f t="shared" si="34"/>
        <v>0.46462218245111525</v>
      </c>
      <c r="DN41">
        <f t="shared" si="35"/>
        <v>0.1885201469756769</v>
      </c>
      <c r="DO41">
        <f t="shared" si="36"/>
        <v>0.12188714342877477</v>
      </c>
      <c r="DP41">
        <f t="shared" si="37"/>
        <v>4.9455628813107E-2</v>
      </c>
    </row>
    <row r="42" spans="1:120">
      <c r="A42" s="16" t="s">
        <v>672</v>
      </c>
      <c r="B42" s="16" t="s">
        <v>24</v>
      </c>
      <c r="C42" s="121" t="s">
        <v>1800</v>
      </c>
      <c r="D42" s="16" t="s">
        <v>1723</v>
      </c>
      <c r="E42" s="16" t="s">
        <v>237</v>
      </c>
      <c r="F42" s="16" t="s">
        <v>29</v>
      </c>
      <c r="G42" s="16" t="s">
        <v>595</v>
      </c>
      <c r="H42" s="27">
        <v>360</v>
      </c>
      <c r="I42" s="16" t="s">
        <v>735</v>
      </c>
      <c r="J42" s="16" t="s">
        <v>1496</v>
      </c>
      <c r="K42" s="16"/>
      <c r="L42" s="16"/>
      <c r="M42" s="16" t="s">
        <v>94</v>
      </c>
      <c r="N42" s="16">
        <v>24</v>
      </c>
      <c r="O42" s="95">
        <v>9.3372026067245564</v>
      </c>
      <c r="P42" s="95">
        <v>2.0222007855447655</v>
      </c>
      <c r="Q42" s="95">
        <v>4.9316937525020306</v>
      </c>
      <c r="R42" s="95">
        <v>29.342546092292416</v>
      </c>
      <c r="S42" s="95">
        <v>17.42600574890362</v>
      </c>
      <c r="T42" s="95">
        <v>25.463222136349394</v>
      </c>
      <c r="U42" s="95">
        <v>0</v>
      </c>
      <c r="V42" s="95">
        <v>2.6825112461308116</v>
      </c>
      <c r="W42" s="95">
        <v>6.1078717604209238</v>
      </c>
      <c r="X42" s="95">
        <v>1.3206209211720918</v>
      </c>
      <c r="Y42" s="95">
        <v>1.7642670118783412</v>
      </c>
      <c r="Z42" s="95">
        <v>100.39814206191896</v>
      </c>
      <c r="AA42" s="18"/>
      <c r="AB42" s="18"/>
      <c r="AC42" s="18"/>
      <c r="AD42" s="18">
        <v>41</v>
      </c>
      <c r="AE42" s="127">
        <v>69</v>
      </c>
      <c r="AF42" s="127">
        <v>33</v>
      </c>
      <c r="AG42" s="18"/>
      <c r="AH42" s="18">
        <v>26</v>
      </c>
      <c r="AI42" s="18">
        <v>159</v>
      </c>
      <c r="AJ42" s="18">
        <v>4.33</v>
      </c>
      <c r="AK42" s="134"/>
      <c r="AL42" s="18">
        <v>0.8</v>
      </c>
      <c r="AM42" s="134">
        <v>53</v>
      </c>
      <c r="AN42" s="127">
        <v>0.34699999999999998</v>
      </c>
      <c r="AO42" s="18">
        <v>1.78</v>
      </c>
      <c r="AP42" s="18"/>
      <c r="AQ42" s="18">
        <v>4.2999999999999997E-2</v>
      </c>
      <c r="AR42" s="18">
        <v>3.5000000000000003E-2</v>
      </c>
      <c r="AS42" s="18"/>
      <c r="AT42" s="18"/>
      <c r="AU42" s="18"/>
      <c r="AV42" s="18"/>
      <c r="AW42" s="18"/>
      <c r="AX42" s="127">
        <v>7.0000000000000007E-2</v>
      </c>
      <c r="AY42" s="127">
        <v>0.86</v>
      </c>
      <c r="AZ42" s="127">
        <v>1.2E-2</v>
      </c>
      <c r="BA42" s="127">
        <v>9.5000000000000001E-2</v>
      </c>
      <c r="BB42" s="18"/>
      <c r="BC42" s="127">
        <v>0.10100000000000001</v>
      </c>
      <c r="BD42" s="18"/>
      <c r="BE42" s="18"/>
      <c r="BF42" s="18"/>
      <c r="BG42" s="18"/>
      <c r="BH42" s="127">
        <v>4.0000000000000001E-3</v>
      </c>
      <c r="BI42" s="127">
        <v>1.69</v>
      </c>
      <c r="BJ42" s="18">
        <v>0.4</v>
      </c>
      <c r="BK42" s="127">
        <v>0.11899999999999999</v>
      </c>
      <c r="BL42" s="127">
        <v>0.17899999999999999</v>
      </c>
      <c r="BM42" s="127">
        <v>2.8000000000000001E-2</v>
      </c>
      <c r="BN42" s="127">
        <v>6.8000000000000005E-2</v>
      </c>
      <c r="BO42" s="18">
        <v>1.7000000000000001E-2</v>
      </c>
      <c r="BP42" s="18">
        <v>7.0000000000000001E-3</v>
      </c>
      <c r="BQ42" s="18">
        <v>6.0000000000000001E-3</v>
      </c>
      <c r="BR42" s="18">
        <v>5.0000000000000001E-3</v>
      </c>
      <c r="BS42" s="18">
        <v>4.0000000000000001E-3</v>
      </c>
      <c r="BT42" s="18">
        <v>4.0000000000000001E-3</v>
      </c>
      <c r="BU42" s="18"/>
      <c r="BV42" s="18" t="s">
        <v>1366</v>
      </c>
      <c r="BW42" s="18">
        <v>3.0000000000000001E-3</v>
      </c>
      <c r="BX42" s="18">
        <v>3.0000000000000001E-3</v>
      </c>
      <c r="BY42" s="127">
        <v>6.0000000000000001E-3</v>
      </c>
      <c r="BZ42" s="18"/>
      <c r="CA42" s="127">
        <v>6.3E-2</v>
      </c>
      <c r="CB42" s="127">
        <v>1.4999999999999999E-2</v>
      </c>
      <c r="CC42" s="127">
        <v>6.0000000000000001E-3</v>
      </c>
      <c r="CE42">
        <f t="shared" si="0"/>
        <v>1.9651162790697674</v>
      </c>
      <c r="CF42">
        <f t="shared" si="1"/>
        <v>14.201680672268909</v>
      </c>
      <c r="CG42">
        <f t="shared" si="2"/>
        <v>7.2268907563025211</v>
      </c>
      <c r="CH42">
        <f t="shared" si="3"/>
        <v>0.66480446927374304</v>
      </c>
      <c r="CI42">
        <f t="shared" si="4"/>
        <v>579.83193277310932</v>
      </c>
      <c r="CJ42">
        <f t="shared" si="5"/>
        <v>2.0909090909090908</v>
      </c>
      <c r="CK42">
        <f t="shared" si="6"/>
        <v>385.47486033519556</v>
      </c>
      <c r="CL42">
        <f t="shared" si="7"/>
        <v>4.8044692737430168</v>
      </c>
      <c r="CM42">
        <f t="shared" si="8"/>
        <v>9.4413407821229054</v>
      </c>
      <c r="CN42">
        <f t="shared" si="9"/>
        <v>9.4413407821229054</v>
      </c>
      <c r="CO42">
        <f t="shared" si="10"/>
        <v>3.3519553072625698E-2</v>
      </c>
      <c r="CP42">
        <f t="shared" si="11"/>
        <v>10.5</v>
      </c>
      <c r="CQ42">
        <f t="shared" si="12"/>
        <v>0.52941176470588236</v>
      </c>
      <c r="CR42">
        <f t="shared" si="13"/>
        <v>0.84873949579831942</v>
      </c>
      <c r="CS42">
        <f t="shared" si="14"/>
        <v>0.79831932773109249</v>
      </c>
      <c r="CT42">
        <f t="shared" si="15"/>
        <v>8.1395348837209308E-2</v>
      </c>
      <c r="CU42">
        <f t="shared" si="16"/>
        <v>0.10084033613445378</v>
      </c>
      <c r="CV42">
        <f t="shared" si="17"/>
        <v>1.3018867924528301</v>
      </c>
      <c r="CW42">
        <f t="shared" si="18"/>
        <v>2.9159663865546217</v>
      </c>
      <c r="CX42">
        <f t="shared" si="19"/>
        <v>0.94059405940594054</v>
      </c>
      <c r="CY42">
        <f t="shared" si="20"/>
        <v>5.0420168067226892E-2</v>
      </c>
      <c r="CZ42">
        <f t="shared" si="21"/>
        <v>2.5</v>
      </c>
      <c r="DA42">
        <f t="shared" si="22"/>
        <v>1.357142857142857</v>
      </c>
      <c r="DB42">
        <f t="shared" si="23"/>
        <v>0.11046511627906977</v>
      </c>
      <c r="DC42">
        <f t="shared" si="24"/>
        <v>7.916666666666667</v>
      </c>
      <c r="DD42">
        <f t="shared" si="25"/>
        <v>0.53072625698324027</v>
      </c>
      <c r="DE42">
        <f t="shared" si="26"/>
        <v>277.31092436974791</v>
      </c>
      <c r="DF42">
        <f t="shared" si="27"/>
        <v>38.372093023255815</v>
      </c>
      <c r="DG42">
        <f t="shared" si="28"/>
        <v>80.232558139534888</v>
      </c>
      <c r="DH42">
        <f t="shared" si="29"/>
        <v>1.9651162790697674</v>
      </c>
      <c r="DI42">
        <f t="shared" si="30"/>
        <v>0.11744186046511629</v>
      </c>
      <c r="DJ42">
        <f t="shared" si="31"/>
        <v>6.9767441860465115E-3</v>
      </c>
      <c r="DK42">
        <f t="shared" si="32"/>
        <v>146.43702310003042</v>
      </c>
      <c r="DL42">
        <f t="shared" si="33"/>
        <v>41.442804642874208</v>
      </c>
      <c r="DM42">
        <f t="shared" si="34"/>
        <v>20.26279738244607</v>
      </c>
      <c r="DN42">
        <f t="shared" si="35"/>
        <v>10.311246005268414</v>
      </c>
      <c r="DO42">
        <f t="shared" si="36"/>
        <v>5.734527619188408</v>
      </c>
      <c r="DP42">
        <f t="shared" si="37"/>
        <v>2.9181619837290125</v>
      </c>
    </row>
    <row r="43" spans="1:120">
      <c r="A43" s="16" t="s">
        <v>844</v>
      </c>
      <c r="B43" s="16" t="s">
        <v>24</v>
      </c>
      <c r="C43" s="121" t="s">
        <v>1800</v>
      </c>
      <c r="D43" s="16" t="s">
        <v>25</v>
      </c>
      <c r="E43" s="16" t="s">
        <v>237</v>
      </c>
      <c r="F43" s="16" t="s">
        <v>238</v>
      </c>
      <c r="G43" s="16" t="s">
        <v>595</v>
      </c>
      <c r="H43" s="27">
        <v>355</v>
      </c>
      <c r="I43" s="16" t="s">
        <v>712</v>
      </c>
      <c r="J43" s="16"/>
      <c r="K43" s="16" t="s">
        <v>488</v>
      </c>
      <c r="L43" s="16"/>
      <c r="M43" s="16" t="s">
        <v>480</v>
      </c>
      <c r="N43" s="16">
        <v>10</v>
      </c>
      <c r="O43" s="95">
        <v>9.1293463890958684</v>
      </c>
      <c r="P43" s="95">
        <v>0.93240238092898342</v>
      </c>
      <c r="Q43" s="95">
        <v>0.82994058082689715</v>
      </c>
      <c r="R43" s="95">
        <v>9.9695331499329765</v>
      </c>
      <c r="S43" s="95">
        <v>26.537606226440293</v>
      </c>
      <c r="T43" s="95">
        <v>23.156366823071455</v>
      </c>
      <c r="U43" s="95">
        <v>0</v>
      </c>
      <c r="V43" s="95">
        <v>6.198938906176207</v>
      </c>
      <c r="W43" s="95">
        <v>18.033276817967149</v>
      </c>
      <c r="X43" s="95">
        <v>0</v>
      </c>
      <c r="Y43" s="95">
        <v>6.7317402667070549</v>
      </c>
      <c r="Z43" s="95">
        <v>101.51915154114688</v>
      </c>
      <c r="AA43" s="18"/>
      <c r="AB43" s="18"/>
      <c r="AC43" s="18"/>
      <c r="AD43" s="18"/>
      <c r="AE43" s="127"/>
      <c r="AF43" s="127"/>
      <c r="AG43" s="18"/>
      <c r="AH43" s="18">
        <v>187</v>
      </c>
      <c r="AI43" s="18"/>
      <c r="AJ43" s="18"/>
      <c r="AK43" s="134">
        <v>2.6</v>
      </c>
      <c r="AL43" s="18">
        <v>0.68</v>
      </c>
      <c r="AM43" s="134"/>
      <c r="AN43" s="127">
        <v>2.11</v>
      </c>
      <c r="AO43" s="18">
        <v>38.200000000000003</v>
      </c>
      <c r="AP43" s="18">
        <v>4.3600000000000003</v>
      </c>
      <c r="AQ43" s="18">
        <v>0.06</v>
      </c>
      <c r="AR43" s="18">
        <v>0.23</v>
      </c>
      <c r="AS43" s="18"/>
      <c r="AT43" s="18"/>
      <c r="AU43" s="18"/>
      <c r="AV43" s="18"/>
      <c r="AW43" s="18"/>
      <c r="AX43" s="127">
        <v>0.54</v>
      </c>
      <c r="AY43" s="127">
        <v>1.67</v>
      </c>
      <c r="AZ43" s="127"/>
      <c r="BA43" s="127">
        <v>0.05</v>
      </c>
      <c r="BB43" s="18"/>
      <c r="BC43" s="127">
        <v>0.59</v>
      </c>
      <c r="BD43" s="18"/>
      <c r="BE43" s="18"/>
      <c r="BF43" s="18"/>
      <c r="BG43" s="18"/>
      <c r="BH43" s="127">
        <v>0.04</v>
      </c>
      <c r="BI43" s="127">
        <v>9.02</v>
      </c>
      <c r="BJ43" s="18">
        <v>0.06</v>
      </c>
      <c r="BK43" s="127">
        <v>0.43</v>
      </c>
      <c r="BL43" s="127">
        <v>0.86</v>
      </c>
      <c r="BM43" s="127">
        <v>7.0000000000000007E-2</v>
      </c>
      <c r="BN43" s="127">
        <v>0.09</v>
      </c>
      <c r="BO43" s="18">
        <v>0.01</v>
      </c>
      <c r="BP43" s="18">
        <v>0.01</v>
      </c>
      <c r="BQ43" s="18">
        <v>0.01</v>
      </c>
      <c r="BR43" s="18">
        <v>0.01</v>
      </c>
      <c r="BS43" s="18">
        <v>0.01</v>
      </c>
      <c r="BT43" s="18">
        <v>0.01</v>
      </c>
      <c r="BU43" s="18">
        <v>0.01</v>
      </c>
      <c r="BV43" s="18">
        <v>0.01</v>
      </c>
      <c r="BW43" s="18">
        <v>0.02</v>
      </c>
      <c r="BX43" s="18">
        <v>0</v>
      </c>
      <c r="BY43" s="127">
        <v>0.03</v>
      </c>
      <c r="BZ43" s="18">
        <v>0</v>
      </c>
      <c r="CA43" s="127">
        <v>0.11</v>
      </c>
      <c r="CB43" s="127">
        <v>0.05</v>
      </c>
      <c r="CC43" s="127">
        <v>0.01</v>
      </c>
      <c r="CE43">
        <f t="shared" si="0"/>
        <v>5.4011976047904193</v>
      </c>
      <c r="CF43">
        <f t="shared" si="1"/>
        <v>20.97674418604651</v>
      </c>
      <c r="CG43">
        <f t="shared" si="2"/>
        <v>3.8837209302325579</v>
      </c>
      <c r="CH43">
        <f t="shared" si="3"/>
        <v>0.5</v>
      </c>
      <c r="CI43">
        <f t="shared" si="4"/>
        <v>0</v>
      </c>
      <c r="CJ43" t="e">
        <f t="shared" si="5"/>
        <v>#DIV/0!</v>
      </c>
      <c r="CK43">
        <f t="shared" si="6"/>
        <v>0</v>
      </c>
      <c r="CL43">
        <f t="shared" si="7"/>
        <v>1.941860465116279</v>
      </c>
      <c r="CM43">
        <f t="shared" si="8"/>
        <v>10.488372093023255</v>
      </c>
      <c r="CN43">
        <f t="shared" si="9"/>
        <v>10.488372093023255</v>
      </c>
      <c r="CO43">
        <f t="shared" si="10"/>
        <v>3.4883720930232558E-2</v>
      </c>
      <c r="CP43">
        <f t="shared" si="11"/>
        <v>11</v>
      </c>
      <c r="CQ43">
        <f t="shared" si="12"/>
        <v>0.2558139534883721</v>
      </c>
      <c r="CR43">
        <f t="shared" si="13"/>
        <v>1.3720930232558139</v>
      </c>
      <c r="CS43">
        <f t="shared" si="14"/>
        <v>0.11627906976744187</v>
      </c>
      <c r="CT43">
        <f t="shared" si="15"/>
        <v>0.3233532934131737</v>
      </c>
      <c r="CU43">
        <f t="shared" si="16"/>
        <v>0</v>
      </c>
      <c r="CV43" t="e">
        <f t="shared" si="17"/>
        <v>#DIV/0!</v>
      </c>
      <c r="CW43">
        <f t="shared" si="18"/>
        <v>4.9069767441860463</v>
      </c>
      <c r="CX43">
        <f t="shared" si="19"/>
        <v>8.4745762711864417E-2</v>
      </c>
      <c r="CY43">
        <f t="shared" si="20"/>
        <v>6.9767441860465115E-2</v>
      </c>
      <c r="CZ43">
        <f t="shared" si="21"/>
        <v>5</v>
      </c>
      <c r="DA43">
        <f t="shared" si="22"/>
        <v>9.2592592592592587E-2</v>
      </c>
      <c r="DB43">
        <f t="shared" si="23"/>
        <v>2.9940119760479045E-2</v>
      </c>
      <c r="DC43" t="e">
        <f t="shared" si="24"/>
        <v>#DIV/0!</v>
      </c>
      <c r="DD43">
        <f t="shared" si="25"/>
        <v>5.8139534883720936E-2</v>
      </c>
      <c r="DE43">
        <f t="shared" si="26"/>
        <v>0</v>
      </c>
      <c r="DF43">
        <f t="shared" si="27"/>
        <v>0</v>
      </c>
      <c r="DG43">
        <f t="shared" si="28"/>
        <v>0</v>
      </c>
      <c r="DH43">
        <f t="shared" si="29"/>
        <v>5.4011976047904193</v>
      </c>
      <c r="DI43">
        <f t="shared" si="30"/>
        <v>0.3532934131736527</v>
      </c>
      <c r="DJ43">
        <f t="shared" si="31"/>
        <v>5.9880239520958087E-3</v>
      </c>
      <c r="DK43">
        <f t="shared" si="32"/>
        <v>61.715363317303009</v>
      </c>
      <c r="DL43">
        <f t="shared" si="33"/>
        <v>1.9300943740160399</v>
      </c>
      <c r="DM43">
        <f t="shared" si="34"/>
        <v>15.890782171521135</v>
      </c>
      <c r="DN43">
        <f t="shared" si="35"/>
        <v>2.9420849474989241</v>
      </c>
      <c r="DO43">
        <f t="shared" si="36"/>
        <v>0.49697040768077677</v>
      </c>
      <c r="DP43">
        <f t="shared" si="37"/>
        <v>9.201115086772696E-2</v>
      </c>
    </row>
    <row r="44" spans="1:120">
      <c r="A44" s="16" t="s">
        <v>844</v>
      </c>
      <c r="B44" s="16" t="s">
        <v>24</v>
      </c>
      <c r="C44" s="121" t="s">
        <v>1800</v>
      </c>
      <c r="D44" s="16" t="s">
        <v>25</v>
      </c>
      <c r="E44" s="16" t="s">
        <v>237</v>
      </c>
      <c r="F44" s="16" t="s">
        <v>238</v>
      </c>
      <c r="G44" s="16" t="s">
        <v>595</v>
      </c>
      <c r="H44" s="27">
        <v>355</v>
      </c>
      <c r="I44" s="16" t="s">
        <v>712</v>
      </c>
      <c r="J44" s="16"/>
      <c r="K44" s="16" t="s">
        <v>488</v>
      </c>
      <c r="L44" s="16"/>
      <c r="M44" s="16" t="s">
        <v>482</v>
      </c>
      <c r="N44" s="16">
        <v>18</v>
      </c>
      <c r="O44" s="95">
        <v>12.194717966453151</v>
      </c>
      <c r="P44" s="95">
        <v>0.55157030275898311</v>
      </c>
      <c r="Q44" s="95">
        <v>1.3538543794993221</v>
      </c>
      <c r="R44" s="95">
        <v>12.535688699067796</v>
      </c>
      <c r="S44" s="95">
        <v>28.180228195504409</v>
      </c>
      <c r="T44" s="95">
        <v>25.572804946098305</v>
      </c>
      <c r="U44" s="95">
        <v>0</v>
      </c>
      <c r="V44" s="95">
        <v>4.934047071953084</v>
      </c>
      <c r="W44" s="95">
        <v>13.438258285400678</v>
      </c>
      <c r="X44" s="95">
        <v>0.43122769124793214</v>
      </c>
      <c r="Y44" s="95">
        <v>1.0429692997624407</v>
      </c>
      <c r="Z44" s="95">
        <v>100.2353668377461</v>
      </c>
      <c r="AA44" s="18"/>
      <c r="AB44" s="18"/>
      <c r="AC44" s="18"/>
      <c r="AD44" s="18"/>
      <c r="AE44" s="127"/>
      <c r="AF44" s="127"/>
      <c r="AG44" s="18"/>
      <c r="AH44" s="18"/>
      <c r="AI44" s="18"/>
      <c r="AJ44" s="18"/>
      <c r="AK44" s="134"/>
      <c r="AL44" s="18"/>
      <c r="AM44" s="134"/>
      <c r="AN44" s="127"/>
      <c r="AO44" s="18"/>
      <c r="AP44" s="18"/>
      <c r="AQ44" s="18"/>
      <c r="AR44" s="18"/>
      <c r="AS44" s="18"/>
      <c r="AT44" s="18"/>
      <c r="AU44" s="18"/>
      <c r="AV44" s="18"/>
      <c r="AW44" s="18"/>
      <c r="AX44" s="127"/>
      <c r="AY44" s="127"/>
      <c r="AZ44" s="127"/>
      <c r="BA44" s="127"/>
      <c r="BB44" s="18"/>
      <c r="BC44" s="127"/>
      <c r="BD44" s="18"/>
      <c r="BE44" s="18"/>
      <c r="BF44" s="18"/>
      <c r="BG44" s="18"/>
      <c r="BH44" s="127"/>
      <c r="BI44" s="127"/>
      <c r="BJ44" s="18"/>
      <c r="BK44" s="127"/>
      <c r="BL44" s="127"/>
      <c r="BM44" s="127"/>
      <c r="BN44" s="127"/>
      <c r="BO44" s="18"/>
      <c r="BP44" s="18"/>
      <c r="BQ44" s="18"/>
      <c r="BR44" s="18"/>
      <c r="BS44" s="18"/>
      <c r="BT44" s="18"/>
      <c r="BU44" s="18"/>
      <c r="BV44" s="18"/>
      <c r="BW44" s="18"/>
      <c r="BX44" s="18"/>
      <c r="BY44" s="127"/>
      <c r="BZ44" s="18"/>
      <c r="CA44" s="127"/>
      <c r="CB44" s="127"/>
      <c r="CC44" s="127"/>
      <c r="CE44" t="e">
        <f t="shared" si="0"/>
        <v>#DIV/0!</v>
      </c>
      <c r="CF44" t="e">
        <f t="shared" si="1"/>
        <v>#DIV/0!</v>
      </c>
      <c r="CG44" t="e">
        <f t="shared" si="2"/>
        <v>#DIV/0!</v>
      </c>
      <c r="CH44" t="e">
        <f t="shared" si="3"/>
        <v>#DIV/0!</v>
      </c>
      <c r="CI44" t="e">
        <f t="shared" si="4"/>
        <v>#DIV/0!</v>
      </c>
      <c r="CJ44" t="e">
        <f t="shared" si="5"/>
        <v>#DIV/0!</v>
      </c>
      <c r="CK44" t="e">
        <f t="shared" si="6"/>
        <v>#DIV/0!</v>
      </c>
      <c r="CL44" t="e">
        <f t="shared" si="7"/>
        <v>#DIV/0!</v>
      </c>
      <c r="CM44" t="e">
        <f t="shared" si="8"/>
        <v>#DIV/0!</v>
      </c>
      <c r="CN44" t="e">
        <f t="shared" si="9"/>
        <v>#DIV/0!</v>
      </c>
      <c r="CO44" t="e">
        <f t="shared" si="10"/>
        <v>#DIV/0!</v>
      </c>
      <c r="CP44" t="e">
        <f t="shared" si="11"/>
        <v>#DIV/0!</v>
      </c>
      <c r="CQ44" t="e">
        <f t="shared" si="12"/>
        <v>#DIV/0!</v>
      </c>
      <c r="CR44" t="e">
        <f t="shared" si="13"/>
        <v>#DIV/0!</v>
      </c>
      <c r="CS44" t="e">
        <f t="shared" si="14"/>
        <v>#DIV/0!</v>
      </c>
      <c r="CT44" t="e">
        <f t="shared" si="15"/>
        <v>#DIV/0!</v>
      </c>
      <c r="CU44" t="e">
        <f t="shared" si="16"/>
        <v>#DIV/0!</v>
      </c>
      <c r="CV44" t="e">
        <f t="shared" si="17"/>
        <v>#DIV/0!</v>
      </c>
      <c r="CW44" t="e">
        <f t="shared" si="18"/>
        <v>#DIV/0!</v>
      </c>
      <c r="CX44" t="e">
        <f t="shared" si="19"/>
        <v>#DIV/0!</v>
      </c>
      <c r="CY44" t="e">
        <f t="shared" si="20"/>
        <v>#DIV/0!</v>
      </c>
      <c r="CZ44" t="e">
        <f t="shared" si="21"/>
        <v>#DIV/0!</v>
      </c>
      <c r="DA44" t="e">
        <f t="shared" si="22"/>
        <v>#DIV/0!</v>
      </c>
      <c r="DB44" t="e">
        <f t="shared" si="23"/>
        <v>#DIV/0!</v>
      </c>
      <c r="DC44" t="e">
        <f t="shared" si="24"/>
        <v>#DIV/0!</v>
      </c>
      <c r="DD44" t="e">
        <f t="shared" si="25"/>
        <v>#DIV/0!</v>
      </c>
      <c r="DE44" t="e">
        <f t="shared" si="26"/>
        <v>#DIV/0!</v>
      </c>
      <c r="DF44" t="e">
        <f t="shared" si="27"/>
        <v>#DIV/0!</v>
      </c>
      <c r="DG44" t="e">
        <f t="shared" si="28"/>
        <v>#DIV/0!</v>
      </c>
      <c r="DH44" t="e">
        <f t="shared" si="29"/>
        <v>#DIV/0!</v>
      </c>
      <c r="DI44" t="e">
        <f t="shared" si="30"/>
        <v>#DIV/0!</v>
      </c>
      <c r="DJ44" t="e">
        <f t="shared" si="31"/>
        <v>#DIV/0!</v>
      </c>
      <c r="DK44" t="e">
        <f t="shared" si="32"/>
        <v>#DIV/0!</v>
      </c>
      <c r="DL44" t="e">
        <f t="shared" si="33"/>
        <v>#DIV/0!</v>
      </c>
      <c r="DM44" t="e">
        <f t="shared" si="34"/>
        <v>#DIV/0!</v>
      </c>
      <c r="DN44" t="e">
        <f t="shared" si="35"/>
        <v>#DIV/0!</v>
      </c>
      <c r="DO44" t="e">
        <f t="shared" si="36"/>
        <v>#DIV/0!</v>
      </c>
      <c r="DP44" t="e">
        <f t="shared" si="37"/>
        <v>#DIV/0!</v>
      </c>
    </row>
    <row r="45" spans="1:120">
      <c r="A45" s="16" t="s">
        <v>844</v>
      </c>
      <c r="B45" s="16" t="s">
        <v>24</v>
      </c>
      <c r="C45" s="121" t="s">
        <v>1800</v>
      </c>
      <c r="D45" s="16" t="s">
        <v>25</v>
      </c>
      <c r="E45" s="16" t="s">
        <v>237</v>
      </c>
      <c r="F45" s="16" t="s">
        <v>238</v>
      </c>
      <c r="G45" s="16" t="s">
        <v>595</v>
      </c>
      <c r="H45" s="27">
        <v>355</v>
      </c>
      <c r="I45" s="16" t="s">
        <v>712</v>
      </c>
      <c r="J45" s="16"/>
      <c r="K45" s="16" t="s">
        <v>488</v>
      </c>
      <c r="L45" s="16"/>
      <c r="M45" s="16" t="s">
        <v>483</v>
      </c>
      <c r="N45" s="16">
        <v>20</v>
      </c>
      <c r="O45" s="95">
        <v>6.4000149879266308</v>
      </c>
      <c r="P45" s="95">
        <v>0.68427833204246991</v>
      </c>
      <c r="Q45" s="95">
        <v>0.56352333227026929</v>
      </c>
      <c r="R45" s="95">
        <v>8.3522208175772068</v>
      </c>
      <c r="S45" s="95">
        <v>33.106995770878314</v>
      </c>
      <c r="T45" s="95">
        <v>28.679312445897629</v>
      </c>
      <c r="U45" s="95">
        <v>0</v>
      </c>
      <c r="V45" s="95">
        <v>6.5912104042326138</v>
      </c>
      <c r="W45" s="95">
        <v>14.088083306756733</v>
      </c>
      <c r="X45" s="95">
        <v>0.10062916647683381</v>
      </c>
      <c r="Y45" s="95">
        <v>1.8515766631737418</v>
      </c>
      <c r="Z45" s="95">
        <v>100.41784522723243</v>
      </c>
      <c r="AA45" s="18"/>
      <c r="AB45" s="18"/>
      <c r="AC45" s="18"/>
      <c r="AD45" s="18"/>
      <c r="AE45" s="127"/>
      <c r="AF45" s="127"/>
      <c r="AG45" s="18"/>
      <c r="AH45" s="18" t="s">
        <v>491</v>
      </c>
      <c r="AI45" s="18"/>
      <c r="AJ45" s="18"/>
      <c r="AK45" s="134">
        <v>2.5099999999999998</v>
      </c>
      <c r="AL45" s="18" t="s">
        <v>491</v>
      </c>
      <c r="AM45" s="134"/>
      <c r="AN45" s="127">
        <v>0.23</v>
      </c>
      <c r="AO45" s="18">
        <v>3.86</v>
      </c>
      <c r="AP45" s="18">
        <v>0.56000000000000005</v>
      </c>
      <c r="AQ45" s="18">
        <v>0.01</v>
      </c>
      <c r="AR45" s="18" t="s">
        <v>491</v>
      </c>
      <c r="AS45" s="18"/>
      <c r="AT45" s="18"/>
      <c r="AU45" s="18"/>
      <c r="AV45" s="18"/>
      <c r="AW45" s="18"/>
      <c r="AX45" s="127" t="s">
        <v>491</v>
      </c>
      <c r="AY45" s="127">
        <v>0.01</v>
      </c>
      <c r="AZ45" s="127" t="s">
        <v>491</v>
      </c>
      <c r="BA45" s="127" t="s">
        <v>491</v>
      </c>
      <c r="BB45" s="18"/>
      <c r="BC45" s="127" t="s">
        <v>491</v>
      </c>
      <c r="BD45" s="18"/>
      <c r="BE45" s="18"/>
      <c r="BF45" s="18"/>
      <c r="BG45" s="18"/>
      <c r="BH45" s="127" t="s">
        <v>491</v>
      </c>
      <c r="BI45" s="127">
        <v>0.01</v>
      </c>
      <c r="BJ45" s="18">
        <v>0.01</v>
      </c>
      <c r="BK45" s="127">
        <v>0.02</v>
      </c>
      <c r="BL45" s="127">
        <v>0.11</v>
      </c>
      <c r="BM45" s="127">
        <v>0</v>
      </c>
      <c r="BN45" s="127" t="s">
        <v>491</v>
      </c>
      <c r="BO45" s="18" t="s">
        <v>491</v>
      </c>
      <c r="BP45" s="18">
        <v>0.01</v>
      </c>
      <c r="BQ45" s="18" t="s">
        <v>491</v>
      </c>
      <c r="BR45" s="18">
        <v>0.01</v>
      </c>
      <c r="BS45" s="18" t="s">
        <v>491</v>
      </c>
      <c r="BT45" s="18"/>
      <c r="BU45" s="18"/>
      <c r="BV45" s="18" t="s">
        <v>491</v>
      </c>
      <c r="BW45" s="18" t="s">
        <v>491</v>
      </c>
      <c r="BX45" s="18" t="s">
        <v>491</v>
      </c>
      <c r="BY45" s="127" t="s">
        <v>491</v>
      </c>
      <c r="BZ45" s="18"/>
      <c r="CA45" s="127">
        <v>0.01</v>
      </c>
      <c r="CB45" s="127" t="s">
        <v>491</v>
      </c>
      <c r="CC45" s="127"/>
      <c r="CE45">
        <f t="shared" si="0"/>
        <v>1</v>
      </c>
      <c r="CF45">
        <f t="shared" si="1"/>
        <v>0.5</v>
      </c>
      <c r="CG45">
        <f t="shared" si="2"/>
        <v>0.5</v>
      </c>
      <c r="CH45">
        <f t="shared" si="3"/>
        <v>0.18181818181818182</v>
      </c>
      <c r="CI45">
        <f t="shared" si="4"/>
        <v>0</v>
      </c>
      <c r="CJ45" t="e">
        <f t="shared" si="5"/>
        <v>#DIV/0!</v>
      </c>
      <c r="CK45">
        <f t="shared" si="6"/>
        <v>0</v>
      </c>
      <c r="CL45">
        <f t="shared" si="7"/>
        <v>9.0909090909090912E-2</v>
      </c>
      <c r="CM45">
        <f t="shared" si="8"/>
        <v>9.0909090909090912E-2</v>
      </c>
      <c r="CN45">
        <f t="shared" si="9"/>
        <v>9.0909090909090912E-2</v>
      </c>
      <c r="CO45" t="e">
        <f t="shared" si="10"/>
        <v>#VALUE!</v>
      </c>
      <c r="CP45" t="e">
        <f t="shared" si="11"/>
        <v>#DIV/0!</v>
      </c>
      <c r="CQ45">
        <f t="shared" si="12"/>
        <v>0.5</v>
      </c>
      <c r="CR45" t="e">
        <f t="shared" si="13"/>
        <v>#VALUE!</v>
      </c>
      <c r="CS45" t="e">
        <f t="shared" si="14"/>
        <v>#VALUE!</v>
      </c>
      <c r="CT45" t="e">
        <f t="shared" si="15"/>
        <v>#VALUE!</v>
      </c>
      <c r="CU45" t="e">
        <f t="shared" si="16"/>
        <v>#VALUE!</v>
      </c>
      <c r="CV45" t="e">
        <f t="shared" si="17"/>
        <v>#DIV/0!</v>
      </c>
      <c r="CW45">
        <f t="shared" si="18"/>
        <v>11.5</v>
      </c>
      <c r="CX45" t="e">
        <f t="shared" si="19"/>
        <v>#VALUE!</v>
      </c>
      <c r="CY45" t="e">
        <f t="shared" si="20"/>
        <v>#VALUE!</v>
      </c>
      <c r="CZ45" t="e">
        <f t="shared" si="21"/>
        <v>#VALUE!</v>
      </c>
      <c r="DA45" t="e">
        <f t="shared" si="22"/>
        <v>#VALUE!</v>
      </c>
      <c r="DB45" t="e">
        <f t="shared" si="23"/>
        <v>#VALUE!</v>
      </c>
      <c r="DC45" t="e">
        <f t="shared" si="24"/>
        <v>#VALUE!</v>
      </c>
      <c r="DD45" t="e">
        <f t="shared" si="25"/>
        <v>#VALUE!</v>
      </c>
      <c r="DE45">
        <f t="shared" si="26"/>
        <v>0</v>
      </c>
      <c r="DF45">
        <f t="shared" si="27"/>
        <v>0</v>
      </c>
      <c r="DG45">
        <f t="shared" si="28"/>
        <v>0</v>
      </c>
      <c r="DH45">
        <f t="shared" si="29"/>
        <v>1</v>
      </c>
      <c r="DI45" t="e">
        <f t="shared" si="30"/>
        <v>#VALUE!</v>
      </c>
      <c r="DJ45">
        <f t="shared" si="31"/>
        <v>0</v>
      </c>
      <c r="DK45">
        <f t="shared" si="32"/>
        <v>1655.3497885439156</v>
      </c>
      <c r="DL45">
        <f t="shared" si="33"/>
        <v>28.176166613513463</v>
      </c>
      <c r="DM45">
        <f t="shared" si="34"/>
        <v>3310.6995770878311</v>
      </c>
      <c r="DN45">
        <f t="shared" si="35"/>
        <v>3310.6995770878311</v>
      </c>
      <c r="DO45">
        <f t="shared" si="36"/>
        <v>56.352333227026925</v>
      </c>
      <c r="DP45">
        <f t="shared" si="37"/>
        <v>56.352333227026925</v>
      </c>
    </row>
    <row r="46" spans="1:120">
      <c r="A46" s="16" t="s">
        <v>844</v>
      </c>
      <c r="B46" s="16" t="s">
        <v>24</v>
      </c>
      <c r="C46" s="121" t="s">
        <v>1800</v>
      </c>
      <c r="D46" s="16" t="s">
        <v>25</v>
      </c>
      <c r="E46" s="16" t="s">
        <v>237</v>
      </c>
      <c r="F46" s="16" t="s">
        <v>238</v>
      </c>
      <c r="G46" s="16" t="s">
        <v>595</v>
      </c>
      <c r="H46" s="27">
        <v>355</v>
      </c>
      <c r="I46" s="16" t="s">
        <v>712</v>
      </c>
      <c r="J46" s="16"/>
      <c r="K46" s="16" t="s">
        <v>488</v>
      </c>
      <c r="L46" s="16"/>
      <c r="M46" s="16" t="s">
        <v>484</v>
      </c>
      <c r="N46" s="16">
        <v>10</v>
      </c>
      <c r="O46" s="95">
        <v>8.6155067490837354</v>
      </c>
      <c r="P46" s="95">
        <v>0</v>
      </c>
      <c r="Q46" s="95">
        <v>1.0482366264817986</v>
      </c>
      <c r="R46" s="95">
        <v>8.885053310179055</v>
      </c>
      <c r="S46" s="95">
        <v>30.049449959144891</v>
      </c>
      <c r="T46" s="95">
        <v>30.348946138139688</v>
      </c>
      <c r="U46" s="95">
        <v>0</v>
      </c>
      <c r="V46" s="95">
        <v>5.2910991622414594</v>
      </c>
      <c r="W46" s="95">
        <v>14.475648651415312</v>
      </c>
      <c r="X46" s="95">
        <v>0.38934503269323945</v>
      </c>
      <c r="Y46" s="95">
        <v>1.1580518921132248</v>
      </c>
      <c r="Z46" s="95">
        <v>100.26133752149242</v>
      </c>
      <c r="AA46" s="18"/>
      <c r="AB46" s="18"/>
      <c r="AC46" s="18"/>
      <c r="AD46" s="18"/>
      <c r="AE46" s="127"/>
      <c r="AF46" s="127"/>
      <c r="AG46" s="18"/>
      <c r="AH46" s="18">
        <v>1.08</v>
      </c>
      <c r="AI46" s="18"/>
      <c r="AJ46" s="18"/>
      <c r="AK46" s="134">
        <v>2.54</v>
      </c>
      <c r="AL46" s="18" t="s">
        <v>491</v>
      </c>
      <c r="AM46" s="134"/>
      <c r="AN46" s="127" t="s">
        <v>491</v>
      </c>
      <c r="AO46" s="18">
        <v>7.0000000000000007E-2</v>
      </c>
      <c r="AP46" s="18">
        <v>0.15</v>
      </c>
      <c r="AQ46" s="18" t="s">
        <v>491</v>
      </c>
      <c r="AR46" s="18">
        <v>0.06</v>
      </c>
      <c r="AS46" s="18"/>
      <c r="AT46" s="18"/>
      <c r="AU46" s="18"/>
      <c r="AV46" s="18"/>
      <c r="AW46" s="18"/>
      <c r="AX46" s="127" t="s">
        <v>491</v>
      </c>
      <c r="AY46" s="127">
        <v>0.01</v>
      </c>
      <c r="AZ46" s="127">
        <v>0.01</v>
      </c>
      <c r="BA46" s="127">
        <v>0.02</v>
      </c>
      <c r="BB46" s="18"/>
      <c r="BC46" s="127">
        <v>0.01</v>
      </c>
      <c r="BD46" s="18"/>
      <c r="BE46" s="18"/>
      <c r="BF46" s="18"/>
      <c r="BG46" s="18"/>
      <c r="BH46" s="127" t="s">
        <v>491</v>
      </c>
      <c r="BI46" s="127">
        <v>0.03</v>
      </c>
      <c r="BJ46" s="18">
        <v>0.06</v>
      </c>
      <c r="BK46" s="127">
        <v>0.01</v>
      </c>
      <c r="BL46" s="127">
        <v>0</v>
      </c>
      <c r="BM46" s="127">
        <v>0.01</v>
      </c>
      <c r="BN46" s="127">
        <v>0.01</v>
      </c>
      <c r="BO46" s="18">
        <v>0.04</v>
      </c>
      <c r="BP46" s="18">
        <v>0.02</v>
      </c>
      <c r="BQ46" s="18">
        <v>0.03</v>
      </c>
      <c r="BR46" s="18">
        <v>0.01</v>
      </c>
      <c r="BS46" s="18"/>
      <c r="BT46" s="18" t="s">
        <v>491</v>
      </c>
      <c r="BU46" s="18">
        <v>0.03</v>
      </c>
      <c r="BV46" s="18">
        <v>0.01</v>
      </c>
      <c r="BW46" s="18"/>
      <c r="BX46" s="18" t="s">
        <v>491</v>
      </c>
      <c r="BY46" s="127">
        <v>0.01</v>
      </c>
      <c r="BZ46" s="18"/>
      <c r="CA46" s="127">
        <v>0.24</v>
      </c>
      <c r="CB46" s="127" t="s">
        <v>491</v>
      </c>
      <c r="CC46" s="127">
        <v>0.01</v>
      </c>
      <c r="CE46">
        <f t="shared" si="0"/>
        <v>3</v>
      </c>
      <c r="CF46">
        <f t="shared" si="1"/>
        <v>3</v>
      </c>
      <c r="CG46">
        <f t="shared" si="2"/>
        <v>1</v>
      </c>
      <c r="CH46" t="e">
        <f t="shared" si="3"/>
        <v>#DIV/0!</v>
      </c>
      <c r="CI46">
        <f t="shared" si="4"/>
        <v>0</v>
      </c>
      <c r="CJ46" t="e">
        <f t="shared" si="5"/>
        <v>#DIV/0!</v>
      </c>
      <c r="CK46" t="e">
        <f t="shared" si="6"/>
        <v>#DIV/0!</v>
      </c>
      <c r="CL46" t="e">
        <f t="shared" si="7"/>
        <v>#DIV/0!</v>
      </c>
      <c r="CM46" t="e">
        <f t="shared" si="8"/>
        <v>#DIV/0!</v>
      </c>
      <c r="CN46" t="e">
        <f t="shared" si="9"/>
        <v>#DIV/0!</v>
      </c>
      <c r="CO46" t="e">
        <f t="shared" si="10"/>
        <v>#DIV/0!</v>
      </c>
      <c r="CP46">
        <f t="shared" si="11"/>
        <v>24</v>
      </c>
      <c r="CQ46">
        <f t="shared" si="12"/>
        <v>24</v>
      </c>
      <c r="CR46">
        <f t="shared" si="13"/>
        <v>1</v>
      </c>
      <c r="CS46">
        <f t="shared" si="14"/>
        <v>2</v>
      </c>
      <c r="CT46" t="e">
        <f t="shared" si="15"/>
        <v>#VALUE!</v>
      </c>
      <c r="CU46">
        <f t="shared" si="16"/>
        <v>1</v>
      </c>
      <c r="CV46" t="e">
        <f t="shared" si="17"/>
        <v>#DIV/0!</v>
      </c>
      <c r="CW46" t="e">
        <f t="shared" si="18"/>
        <v>#VALUE!</v>
      </c>
      <c r="CX46">
        <f t="shared" si="19"/>
        <v>2</v>
      </c>
      <c r="CY46">
        <f t="shared" si="20"/>
        <v>1</v>
      </c>
      <c r="CZ46" t="e">
        <f t="shared" si="21"/>
        <v>#VALUE!</v>
      </c>
      <c r="DA46" t="e">
        <f t="shared" si="22"/>
        <v>#VALUE!</v>
      </c>
      <c r="DB46">
        <f t="shared" si="23"/>
        <v>2</v>
      </c>
      <c r="DC46">
        <f t="shared" si="24"/>
        <v>2</v>
      </c>
      <c r="DD46" t="e">
        <f t="shared" si="25"/>
        <v>#DIV/0!</v>
      </c>
      <c r="DE46">
        <f t="shared" si="26"/>
        <v>0</v>
      </c>
      <c r="DF46">
        <f t="shared" si="27"/>
        <v>0</v>
      </c>
      <c r="DG46">
        <f t="shared" si="28"/>
        <v>0</v>
      </c>
      <c r="DH46">
        <f t="shared" si="29"/>
        <v>3</v>
      </c>
      <c r="DI46">
        <f t="shared" si="30"/>
        <v>1</v>
      </c>
      <c r="DJ46">
        <f t="shared" si="31"/>
        <v>1</v>
      </c>
      <c r="DK46">
        <f t="shared" si="32"/>
        <v>3004.944995914489</v>
      </c>
      <c r="DL46">
        <f t="shared" si="33"/>
        <v>104.82366264817986</v>
      </c>
      <c r="DM46">
        <f t="shared" si="34"/>
        <v>3004.944995914489</v>
      </c>
      <c r="DN46">
        <f t="shared" si="35"/>
        <v>1001.6483319714964</v>
      </c>
      <c r="DO46">
        <f t="shared" si="36"/>
        <v>104.82366264817986</v>
      </c>
      <c r="DP46">
        <f t="shared" si="37"/>
        <v>34.941220882726618</v>
      </c>
    </row>
    <row r="47" spans="1:120">
      <c r="A47" s="16" t="s">
        <v>844</v>
      </c>
      <c r="B47" s="16" t="s">
        <v>24</v>
      </c>
      <c r="C47" s="121" t="s">
        <v>1800</v>
      </c>
      <c r="D47" s="16" t="s">
        <v>25</v>
      </c>
      <c r="E47" s="16" t="s">
        <v>237</v>
      </c>
      <c r="F47" s="16" t="s">
        <v>238</v>
      </c>
      <c r="G47" s="16" t="s">
        <v>595</v>
      </c>
      <c r="H47" s="27">
        <v>355</v>
      </c>
      <c r="I47" s="16" t="s">
        <v>712</v>
      </c>
      <c r="J47" s="16"/>
      <c r="K47" s="16" t="s">
        <v>488</v>
      </c>
      <c r="L47" s="16"/>
      <c r="M47" s="16" t="s">
        <v>486</v>
      </c>
      <c r="N47" s="16">
        <v>19</v>
      </c>
      <c r="O47" s="95">
        <v>12.005222017588466</v>
      </c>
      <c r="P47" s="95">
        <v>0.13005657185720837</v>
      </c>
      <c r="Q47" s="95">
        <v>0.48020888070353862</v>
      </c>
      <c r="R47" s="95">
        <v>10.504569265389907</v>
      </c>
      <c r="S47" s="95">
        <v>30.213142077597638</v>
      </c>
      <c r="T47" s="95">
        <v>24.71074865286959</v>
      </c>
      <c r="U47" s="95">
        <v>0</v>
      </c>
      <c r="V47" s="95">
        <v>2.8412358774959365</v>
      </c>
      <c r="W47" s="95">
        <v>18.207920060009172</v>
      </c>
      <c r="X47" s="95">
        <v>0.62026980424207068</v>
      </c>
      <c r="Y47" s="95">
        <v>0.37016101220897768</v>
      </c>
      <c r="Z47" s="95">
        <v>100.08353421996252</v>
      </c>
      <c r="AA47" s="18"/>
      <c r="AB47" s="18"/>
      <c r="AC47" s="18"/>
      <c r="AD47" s="18"/>
      <c r="AE47" s="127"/>
      <c r="AF47" s="127"/>
      <c r="AG47" s="18"/>
      <c r="AH47" s="18"/>
      <c r="AI47" s="18"/>
      <c r="AJ47" s="18"/>
      <c r="AK47" s="134"/>
      <c r="AL47" s="18"/>
      <c r="AM47" s="134"/>
      <c r="AN47" s="127"/>
      <c r="AO47" s="18"/>
      <c r="AP47" s="18"/>
      <c r="AQ47" s="18"/>
      <c r="AR47" s="18"/>
      <c r="AS47" s="18"/>
      <c r="AT47" s="18"/>
      <c r="AU47" s="18"/>
      <c r="AV47" s="18"/>
      <c r="AW47" s="18"/>
      <c r="AX47" s="127"/>
      <c r="AY47" s="127"/>
      <c r="AZ47" s="127"/>
      <c r="BA47" s="127"/>
      <c r="BB47" s="18"/>
      <c r="BC47" s="127"/>
      <c r="BD47" s="18"/>
      <c r="BE47" s="18"/>
      <c r="BF47" s="18"/>
      <c r="BG47" s="18"/>
      <c r="BH47" s="127"/>
      <c r="BI47" s="127"/>
      <c r="BJ47" s="18"/>
      <c r="BK47" s="127"/>
      <c r="BL47" s="127"/>
      <c r="BM47" s="127"/>
      <c r="BN47" s="127"/>
      <c r="BO47" s="18"/>
      <c r="BP47" s="18"/>
      <c r="BQ47" s="18"/>
      <c r="BR47" s="18"/>
      <c r="BS47" s="18"/>
      <c r="BT47" s="18"/>
      <c r="BU47" s="18"/>
      <c r="BV47" s="18"/>
      <c r="BW47" s="18"/>
      <c r="BX47" s="18"/>
      <c r="BY47" s="127"/>
      <c r="BZ47" s="18"/>
      <c r="CA47" s="127"/>
      <c r="CB47" s="127"/>
      <c r="CC47" s="127"/>
      <c r="CE47" t="e">
        <f t="shared" si="0"/>
        <v>#DIV/0!</v>
      </c>
      <c r="CF47" t="e">
        <f t="shared" si="1"/>
        <v>#DIV/0!</v>
      </c>
      <c r="CG47" t="e">
        <f t="shared" si="2"/>
        <v>#DIV/0!</v>
      </c>
      <c r="CH47" t="e">
        <f t="shared" si="3"/>
        <v>#DIV/0!</v>
      </c>
      <c r="CI47" t="e">
        <f t="shared" si="4"/>
        <v>#DIV/0!</v>
      </c>
      <c r="CJ47" t="e">
        <f t="shared" si="5"/>
        <v>#DIV/0!</v>
      </c>
      <c r="CK47" t="e">
        <f t="shared" si="6"/>
        <v>#DIV/0!</v>
      </c>
      <c r="CL47" t="e">
        <f t="shared" si="7"/>
        <v>#DIV/0!</v>
      </c>
      <c r="CM47" t="e">
        <f t="shared" si="8"/>
        <v>#DIV/0!</v>
      </c>
      <c r="CN47" t="e">
        <f t="shared" si="9"/>
        <v>#DIV/0!</v>
      </c>
      <c r="CO47" t="e">
        <f t="shared" si="10"/>
        <v>#DIV/0!</v>
      </c>
      <c r="CP47" t="e">
        <f t="shared" si="11"/>
        <v>#DIV/0!</v>
      </c>
      <c r="CQ47" t="e">
        <f t="shared" si="12"/>
        <v>#DIV/0!</v>
      </c>
      <c r="CR47" t="e">
        <f t="shared" si="13"/>
        <v>#DIV/0!</v>
      </c>
      <c r="CS47" t="e">
        <f t="shared" si="14"/>
        <v>#DIV/0!</v>
      </c>
      <c r="CT47" t="e">
        <f t="shared" si="15"/>
        <v>#DIV/0!</v>
      </c>
      <c r="CU47" t="e">
        <f t="shared" si="16"/>
        <v>#DIV/0!</v>
      </c>
      <c r="CV47" t="e">
        <f t="shared" si="17"/>
        <v>#DIV/0!</v>
      </c>
      <c r="CW47" t="e">
        <f t="shared" si="18"/>
        <v>#DIV/0!</v>
      </c>
      <c r="CX47" t="e">
        <f t="shared" si="19"/>
        <v>#DIV/0!</v>
      </c>
      <c r="CY47" t="e">
        <f t="shared" si="20"/>
        <v>#DIV/0!</v>
      </c>
      <c r="CZ47" t="e">
        <f t="shared" si="21"/>
        <v>#DIV/0!</v>
      </c>
      <c r="DA47" t="e">
        <f t="shared" si="22"/>
        <v>#DIV/0!</v>
      </c>
      <c r="DB47" t="e">
        <f t="shared" si="23"/>
        <v>#DIV/0!</v>
      </c>
      <c r="DC47" t="e">
        <f t="shared" si="24"/>
        <v>#DIV/0!</v>
      </c>
      <c r="DD47" t="e">
        <f t="shared" si="25"/>
        <v>#DIV/0!</v>
      </c>
      <c r="DE47" t="e">
        <f t="shared" si="26"/>
        <v>#DIV/0!</v>
      </c>
      <c r="DF47" t="e">
        <f t="shared" si="27"/>
        <v>#DIV/0!</v>
      </c>
      <c r="DG47" t="e">
        <f t="shared" si="28"/>
        <v>#DIV/0!</v>
      </c>
      <c r="DH47" t="e">
        <f t="shared" si="29"/>
        <v>#DIV/0!</v>
      </c>
      <c r="DI47" t="e">
        <f t="shared" si="30"/>
        <v>#DIV/0!</v>
      </c>
      <c r="DJ47" t="e">
        <f t="shared" si="31"/>
        <v>#DIV/0!</v>
      </c>
      <c r="DK47" t="e">
        <f t="shared" si="32"/>
        <v>#DIV/0!</v>
      </c>
      <c r="DL47" t="e">
        <f t="shared" si="33"/>
        <v>#DIV/0!</v>
      </c>
      <c r="DM47" t="e">
        <f t="shared" si="34"/>
        <v>#DIV/0!</v>
      </c>
      <c r="DN47" t="e">
        <f t="shared" si="35"/>
        <v>#DIV/0!</v>
      </c>
      <c r="DO47" t="e">
        <f t="shared" si="36"/>
        <v>#DIV/0!</v>
      </c>
      <c r="DP47" t="e">
        <f t="shared" si="37"/>
        <v>#DIV/0!</v>
      </c>
    </row>
    <row r="48" spans="1:120">
      <c r="A48" s="16" t="s">
        <v>836</v>
      </c>
      <c r="B48" s="16" t="s">
        <v>24</v>
      </c>
      <c r="C48" s="121" t="s">
        <v>1800</v>
      </c>
      <c r="D48" s="16" t="s">
        <v>1706</v>
      </c>
      <c r="E48" s="16" t="s">
        <v>237</v>
      </c>
      <c r="F48" s="16" t="s">
        <v>163</v>
      </c>
      <c r="G48" s="16" t="s">
        <v>595</v>
      </c>
      <c r="H48" s="27">
        <v>355</v>
      </c>
      <c r="I48" s="16" t="s">
        <v>1148</v>
      </c>
      <c r="J48" s="3" t="s">
        <v>635</v>
      </c>
      <c r="K48" s="16" t="s">
        <v>128</v>
      </c>
      <c r="L48" s="16" t="s">
        <v>1509</v>
      </c>
      <c r="M48" s="16" t="s">
        <v>379</v>
      </c>
      <c r="N48" s="16">
        <v>15</v>
      </c>
      <c r="O48" s="95">
        <v>6.157511577902147</v>
      </c>
      <c r="P48" s="95">
        <v>0</v>
      </c>
      <c r="Q48" s="95">
        <v>0.30787557889510736</v>
      </c>
      <c r="R48" s="95">
        <v>9.8212309667539266</v>
      </c>
      <c r="S48" s="95">
        <v>21.448665329692478</v>
      </c>
      <c r="T48" s="95">
        <v>12.109772769874223</v>
      </c>
      <c r="U48" s="95">
        <v>4.5257710097580786</v>
      </c>
      <c r="V48" s="95">
        <v>13.64915066434976</v>
      </c>
      <c r="W48" s="95">
        <v>21.140789750797374</v>
      </c>
      <c r="X48" s="95">
        <v>1.3033399506559546</v>
      </c>
      <c r="Y48" s="95">
        <v>12.315023155804294</v>
      </c>
      <c r="Z48" s="95">
        <v>102.77913075448335</v>
      </c>
      <c r="AA48" s="18"/>
      <c r="AB48" s="18"/>
      <c r="AC48" s="18"/>
      <c r="AD48" s="18"/>
      <c r="AE48" s="127"/>
      <c r="AF48" s="127"/>
      <c r="AG48" s="18"/>
      <c r="AH48" s="18"/>
      <c r="AI48" s="18"/>
      <c r="AJ48" s="18"/>
      <c r="AK48" s="134"/>
      <c r="AL48" s="18"/>
      <c r="AM48" s="134"/>
      <c r="AN48" s="127"/>
      <c r="AO48" s="18"/>
      <c r="AP48" s="18"/>
      <c r="AQ48" s="18"/>
      <c r="AR48" s="18"/>
      <c r="AS48" s="18"/>
      <c r="AT48" s="18"/>
      <c r="AU48" s="18"/>
      <c r="AV48" s="18"/>
      <c r="AW48" s="18"/>
      <c r="AX48" s="127"/>
      <c r="AY48" s="127"/>
      <c r="AZ48" s="127"/>
      <c r="BA48" s="127"/>
      <c r="BB48" s="18"/>
      <c r="BC48" s="127"/>
      <c r="BD48" s="18"/>
      <c r="BE48" s="18"/>
      <c r="BF48" s="18"/>
      <c r="BG48" s="18"/>
      <c r="BH48" s="127"/>
      <c r="BI48" s="127"/>
      <c r="BJ48" s="18"/>
      <c r="BK48" s="127"/>
      <c r="BL48" s="127"/>
      <c r="BM48" s="127"/>
      <c r="BN48" s="127"/>
      <c r="BO48" s="18"/>
      <c r="BP48" s="18"/>
      <c r="BQ48" s="18"/>
      <c r="BR48" s="18"/>
      <c r="BS48" s="18"/>
      <c r="BT48" s="18"/>
      <c r="BU48" s="18"/>
      <c r="BV48" s="18"/>
      <c r="BW48" s="18"/>
      <c r="BX48" s="18"/>
      <c r="BY48" s="127"/>
      <c r="BZ48" s="18"/>
      <c r="CA48" s="127"/>
      <c r="CB48" s="127"/>
      <c r="CC48" s="127"/>
      <c r="CE48" t="e">
        <f t="shared" si="0"/>
        <v>#DIV/0!</v>
      </c>
      <c r="CF48" t="e">
        <f t="shared" si="1"/>
        <v>#DIV/0!</v>
      </c>
      <c r="CG48" t="e">
        <f t="shared" si="2"/>
        <v>#DIV/0!</v>
      </c>
      <c r="CH48" t="e">
        <f t="shared" si="3"/>
        <v>#DIV/0!</v>
      </c>
      <c r="CI48" t="e">
        <f t="shared" si="4"/>
        <v>#DIV/0!</v>
      </c>
      <c r="CJ48" t="e">
        <f t="shared" si="5"/>
        <v>#DIV/0!</v>
      </c>
      <c r="CK48" t="e">
        <f t="shared" si="6"/>
        <v>#DIV/0!</v>
      </c>
      <c r="CL48" t="e">
        <f t="shared" si="7"/>
        <v>#DIV/0!</v>
      </c>
      <c r="CM48" t="e">
        <f t="shared" si="8"/>
        <v>#DIV/0!</v>
      </c>
      <c r="CN48" t="e">
        <f t="shared" si="9"/>
        <v>#DIV/0!</v>
      </c>
      <c r="CO48" t="e">
        <f t="shared" si="10"/>
        <v>#DIV/0!</v>
      </c>
      <c r="CP48" t="e">
        <f t="shared" si="11"/>
        <v>#DIV/0!</v>
      </c>
      <c r="CQ48" t="e">
        <f t="shared" si="12"/>
        <v>#DIV/0!</v>
      </c>
      <c r="CR48" t="e">
        <f t="shared" si="13"/>
        <v>#DIV/0!</v>
      </c>
      <c r="CS48" t="e">
        <f t="shared" si="14"/>
        <v>#DIV/0!</v>
      </c>
      <c r="CT48" t="e">
        <f t="shared" si="15"/>
        <v>#DIV/0!</v>
      </c>
      <c r="CU48" t="e">
        <f t="shared" si="16"/>
        <v>#DIV/0!</v>
      </c>
      <c r="CV48" t="e">
        <f t="shared" si="17"/>
        <v>#DIV/0!</v>
      </c>
      <c r="CW48" t="e">
        <f t="shared" si="18"/>
        <v>#DIV/0!</v>
      </c>
      <c r="CX48" t="e">
        <f t="shared" si="19"/>
        <v>#DIV/0!</v>
      </c>
      <c r="CY48" t="e">
        <f t="shared" si="20"/>
        <v>#DIV/0!</v>
      </c>
      <c r="CZ48" t="e">
        <f t="shared" si="21"/>
        <v>#DIV/0!</v>
      </c>
      <c r="DA48" t="e">
        <f t="shared" si="22"/>
        <v>#DIV/0!</v>
      </c>
      <c r="DB48" t="e">
        <f t="shared" si="23"/>
        <v>#DIV/0!</v>
      </c>
      <c r="DC48" t="e">
        <f t="shared" si="24"/>
        <v>#DIV/0!</v>
      </c>
      <c r="DD48" t="e">
        <f t="shared" si="25"/>
        <v>#DIV/0!</v>
      </c>
      <c r="DE48" t="e">
        <f t="shared" si="26"/>
        <v>#DIV/0!</v>
      </c>
      <c r="DF48" t="e">
        <f t="shared" si="27"/>
        <v>#DIV/0!</v>
      </c>
      <c r="DG48" t="e">
        <f t="shared" si="28"/>
        <v>#DIV/0!</v>
      </c>
      <c r="DH48" t="e">
        <f t="shared" si="29"/>
        <v>#DIV/0!</v>
      </c>
      <c r="DI48" t="e">
        <f t="shared" si="30"/>
        <v>#DIV/0!</v>
      </c>
      <c r="DJ48" t="e">
        <f t="shared" si="31"/>
        <v>#DIV/0!</v>
      </c>
      <c r="DK48" t="e">
        <f t="shared" si="32"/>
        <v>#DIV/0!</v>
      </c>
      <c r="DL48" t="e">
        <f t="shared" si="33"/>
        <v>#DIV/0!</v>
      </c>
      <c r="DM48" t="e">
        <f t="shared" si="34"/>
        <v>#DIV/0!</v>
      </c>
      <c r="DN48" t="e">
        <f t="shared" si="35"/>
        <v>#DIV/0!</v>
      </c>
      <c r="DO48" t="e">
        <f t="shared" si="36"/>
        <v>#DIV/0!</v>
      </c>
      <c r="DP48" t="e">
        <f t="shared" si="37"/>
        <v>#DIV/0!</v>
      </c>
    </row>
    <row r="49" spans="1:120">
      <c r="A49" s="16" t="s">
        <v>836</v>
      </c>
      <c r="B49" s="16" t="s">
        <v>24</v>
      </c>
      <c r="C49" s="121" t="s">
        <v>1800</v>
      </c>
      <c r="D49" s="16" t="s">
        <v>1706</v>
      </c>
      <c r="E49" s="16" t="s">
        <v>237</v>
      </c>
      <c r="F49" s="16" t="s">
        <v>163</v>
      </c>
      <c r="G49" s="16" t="s">
        <v>595</v>
      </c>
      <c r="H49" s="27">
        <v>355</v>
      </c>
      <c r="I49" s="16" t="s">
        <v>1148</v>
      </c>
      <c r="J49" s="3" t="s">
        <v>635</v>
      </c>
      <c r="K49" s="16" t="s">
        <v>128</v>
      </c>
      <c r="L49" s="16" t="s">
        <v>1509</v>
      </c>
      <c r="M49" s="16" t="s">
        <v>382</v>
      </c>
      <c r="N49" s="16">
        <v>31</v>
      </c>
      <c r="O49" s="95">
        <v>9.433281331695353</v>
      </c>
      <c r="P49" s="95">
        <v>1.3662686486800513</v>
      </c>
      <c r="Q49" s="95">
        <v>2.5014771582450934</v>
      </c>
      <c r="R49" s="95">
        <v>13.66268648680051</v>
      </c>
      <c r="S49" s="95">
        <v>18.987115779450708</v>
      </c>
      <c r="T49" s="95">
        <v>33.855333426851267</v>
      </c>
      <c r="U49" s="95">
        <v>0.10046093005000377</v>
      </c>
      <c r="V49" s="95">
        <v>6.2587159421152343</v>
      </c>
      <c r="W49" s="95">
        <v>9.9456320749503728</v>
      </c>
      <c r="X49" s="95">
        <v>2.6521685533200992</v>
      </c>
      <c r="Y49" s="95">
        <v>1.5973287877950597</v>
      </c>
      <c r="Z49" s="95">
        <v>100.36046911995375</v>
      </c>
      <c r="AA49" s="18"/>
      <c r="AB49" s="18"/>
      <c r="AC49" s="18"/>
      <c r="AD49" s="18"/>
      <c r="AE49" s="127"/>
      <c r="AF49" s="127"/>
      <c r="AG49" s="18"/>
      <c r="AH49" s="18">
        <v>114082</v>
      </c>
      <c r="AI49" s="18"/>
      <c r="AJ49" s="18">
        <v>11605</v>
      </c>
      <c r="AK49" s="134"/>
      <c r="AL49" s="18"/>
      <c r="AM49" s="134"/>
      <c r="AN49" s="127"/>
      <c r="AO49" s="18"/>
      <c r="AP49" s="18"/>
      <c r="AQ49" s="18"/>
      <c r="AR49" s="18"/>
      <c r="AS49" s="18"/>
      <c r="AT49" s="18"/>
      <c r="AU49" s="18"/>
      <c r="AV49" s="18"/>
      <c r="AW49" s="18"/>
      <c r="AX49" s="127">
        <v>609</v>
      </c>
      <c r="AY49" s="127">
        <v>6141</v>
      </c>
      <c r="AZ49" s="127">
        <v>40.700000000000003</v>
      </c>
      <c r="BA49" s="127">
        <v>5920</v>
      </c>
      <c r="BB49" s="18"/>
      <c r="BC49" s="127">
        <v>133</v>
      </c>
      <c r="BD49" s="18"/>
      <c r="BE49" s="18"/>
      <c r="BF49" s="18"/>
      <c r="BG49" s="18"/>
      <c r="BH49" s="127"/>
      <c r="BI49" s="127">
        <v>10856</v>
      </c>
      <c r="BJ49" s="18"/>
      <c r="BK49" s="127">
        <v>425</v>
      </c>
      <c r="BL49" s="127">
        <v>549</v>
      </c>
      <c r="BM49" s="127">
        <v>77.099999999999994</v>
      </c>
      <c r="BN49" s="127">
        <v>196</v>
      </c>
      <c r="BO49" s="18">
        <v>84.5</v>
      </c>
      <c r="BP49" s="18">
        <v>25.4</v>
      </c>
      <c r="BQ49" s="18">
        <v>24.6</v>
      </c>
      <c r="BR49" s="18">
        <v>14.4</v>
      </c>
      <c r="BS49" s="18">
        <v>16.399999999999999</v>
      </c>
      <c r="BT49" s="18">
        <v>23.8</v>
      </c>
      <c r="BU49" s="18"/>
      <c r="BV49" s="18">
        <v>22.2</v>
      </c>
      <c r="BW49" s="18">
        <v>9.81</v>
      </c>
      <c r="BX49" s="18">
        <v>95.7</v>
      </c>
      <c r="BY49" s="127">
        <v>22</v>
      </c>
      <c r="BZ49" s="18"/>
      <c r="CA49" s="127"/>
      <c r="CB49" s="127">
        <v>43.3</v>
      </c>
      <c r="CC49" s="127">
        <v>12.8</v>
      </c>
      <c r="CE49">
        <f t="shared" si="0"/>
        <v>1.7677902621722847</v>
      </c>
      <c r="CF49">
        <f t="shared" si="1"/>
        <v>25.543529411764705</v>
      </c>
      <c r="CG49">
        <f t="shared" si="2"/>
        <v>14.449411764705882</v>
      </c>
      <c r="CH49">
        <f t="shared" si="3"/>
        <v>0.7741347905282332</v>
      </c>
      <c r="CI49">
        <f t="shared" si="4"/>
        <v>0</v>
      </c>
      <c r="CJ49" t="e">
        <f t="shared" si="5"/>
        <v>#DIV/0!</v>
      </c>
      <c r="CK49">
        <f t="shared" si="6"/>
        <v>0</v>
      </c>
      <c r="CL49">
        <f t="shared" si="7"/>
        <v>11.185792349726777</v>
      </c>
      <c r="CM49">
        <f t="shared" si="8"/>
        <v>19.774134790528233</v>
      </c>
      <c r="CN49">
        <f t="shared" si="9"/>
        <v>19.774134790528233</v>
      </c>
      <c r="CO49">
        <f t="shared" si="10"/>
        <v>4.0072859744990891E-2</v>
      </c>
      <c r="CP49">
        <f t="shared" si="11"/>
        <v>0</v>
      </c>
      <c r="CQ49">
        <f t="shared" si="12"/>
        <v>0</v>
      </c>
      <c r="CR49">
        <f t="shared" si="13"/>
        <v>0.31294117647058822</v>
      </c>
      <c r="CS49">
        <f t="shared" si="14"/>
        <v>13.929411764705883</v>
      </c>
      <c r="CT49">
        <f t="shared" si="15"/>
        <v>9.9169516365412796E-2</v>
      </c>
      <c r="CU49">
        <f t="shared" si="16"/>
        <v>9.5764705882352946E-2</v>
      </c>
      <c r="CV49" t="e">
        <f t="shared" si="17"/>
        <v>#DIV/0!</v>
      </c>
      <c r="CW49">
        <f t="shared" si="18"/>
        <v>0</v>
      </c>
      <c r="CX49">
        <f t="shared" si="19"/>
        <v>44.511278195488721</v>
      </c>
      <c r="CY49">
        <f t="shared" si="20"/>
        <v>5.1764705882352942E-2</v>
      </c>
      <c r="CZ49">
        <f t="shared" si="21"/>
        <v>3.3828124999999996</v>
      </c>
      <c r="DA49">
        <f t="shared" si="22"/>
        <v>9.7208538587848938</v>
      </c>
      <c r="DB49">
        <f t="shared" si="23"/>
        <v>0.96401237583455468</v>
      </c>
      <c r="DC49">
        <f t="shared" si="24"/>
        <v>145.45454545454544</v>
      </c>
      <c r="DD49">
        <f t="shared" si="25"/>
        <v>10.783242258652095</v>
      </c>
      <c r="DE49">
        <f t="shared" si="26"/>
        <v>0</v>
      </c>
      <c r="DF49">
        <f t="shared" si="27"/>
        <v>0</v>
      </c>
      <c r="DG49">
        <f t="shared" si="28"/>
        <v>0</v>
      </c>
      <c r="DH49">
        <f t="shared" si="29"/>
        <v>1.7677902621722847</v>
      </c>
      <c r="DI49">
        <f t="shared" si="30"/>
        <v>2.1657710470607393E-2</v>
      </c>
      <c r="DJ49">
        <f t="shared" si="31"/>
        <v>2.0843510828855234E-3</v>
      </c>
      <c r="DK49">
        <f t="shared" si="32"/>
        <v>4.4675566539884019E-2</v>
      </c>
      <c r="DL49">
        <f t="shared" si="33"/>
        <v>5.885828607635514E-3</v>
      </c>
      <c r="DM49">
        <f t="shared" si="34"/>
        <v>3.0918605731071009E-3</v>
      </c>
      <c r="DN49">
        <f t="shared" si="35"/>
        <v>1.7489974004652458E-3</v>
      </c>
      <c r="DO49">
        <f t="shared" si="36"/>
        <v>4.073403612188721E-4</v>
      </c>
      <c r="DP49">
        <f t="shared" si="37"/>
        <v>2.3042346704542127E-4</v>
      </c>
    </row>
    <row r="50" spans="1:120">
      <c r="A50" s="16" t="s">
        <v>836</v>
      </c>
      <c r="B50" s="16" t="s">
        <v>24</v>
      </c>
      <c r="C50" s="121" t="s">
        <v>1800</v>
      </c>
      <c r="D50" s="16" t="s">
        <v>1706</v>
      </c>
      <c r="E50" s="16" t="s">
        <v>237</v>
      </c>
      <c r="F50" s="16" t="s">
        <v>163</v>
      </c>
      <c r="G50" s="16" t="s">
        <v>595</v>
      </c>
      <c r="H50" s="27">
        <v>355</v>
      </c>
      <c r="I50" s="16" t="s">
        <v>1148</v>
      </c>
      <c r="J50" s="3" t="s">
        <v>635</v>
      </c>
      <c r="K50" s="16" t="s">
        <v>128</v>
      </c>
      <c r="L50" s="16" t="s">
        <v>1509</v>
      </c>
      <c r="M50" s="16" t="s">
        <v>383</v>
      </c>
      <c r="N50" s="16">
        <v>24</v>
      </c>
      <c r="O50" s="95">
        <v>10.065364000190238</v>
      </c>
      <c r="P50" s="95">
        <v>0</v>
      </c>
      <c r="Q50" s="95">
        <v>0.65621731194821009</v>
      </c>
      <c r="R50" s="95">
        <v>7.5414512619278913</v>
      </c>
      <c r="S50" s="95">
        <v>30.993648425861615</v>
      </c>
      <c r="T50" s="95">
        <v>18.878867282202354</v>
      </c>
      <c r="U50" s="95">
        <v>0.44420864193417303</v>
      </c>
      <c r="V50" s="95">
        <v>10.085555302096337</v>
      </c>
      <c r="W50" s="95">
        <v>16.153041524879018</v>
      </c>
      <c r="X50" s="95">
        <v>3.4930952297550872</v>
      </c>
      <c r="Y50" s="95">
        <v>2.1806606058586677</v>
      </c>
      <c r="Z50" s="95">
        <v>100.49210958665357</v>
      </c>
      <c r="AA50" s="18"/>
      <c r="AB50" s="18"/>
      <c r="AC50" s="18"/>
      <c r="AD50" s="18"/>
      <c r="AE50" s="127"/>
      <c r="AF50" s="127"/>
      <c r="AG50" s="18"/>
      <c r="AH50" s="18">
        <v>193507</v>
      </c>
      <c r="AI50" s="18"/>
      <c r="AJ50" s="18" t="s">
        <v>1366</v>
      </c>
      <c r="AK50" s="134"/>
      <c r="AL50" s="18"/>
      <c r="AM50" s="134"/>
      <c r="AN50" s="127"/>
      <c r="AO50" s="18"/>
      <c r="AP50" s="18"/>
      <c r="AQ50" s="18"/>
      <c r="AR50" s="18"/>
      <c r="AS50" s="18"/>
      <c r="AT50" s="18"/>
      <c r="AU50" s="18"/>
      <c r="AV50" s="18"/>
      <c r="AW50" s="18"/>
      <c r="AX50" s="127">
        <v>993</v>
      </c>
      <c r="AY50" s="127">
        <v>6074</v>
      </c>
      <c r="AZ50" s="127">
        <v>12.2</v>
      </c>
      <c r="BA50" s="127">
        <v>472</v>
      </c>
      <c r="BB50" s="18"/>
      <c r="BC50" s="127">
        <v>1607</v>
      </c>
      <c r="BD50" s="18"/>
      <c r="BE50" s="18"/>
      <c r="BF50" s="18"/>
      <c r="BG50" s="18"/>
      <c r="BH50" s="127"/>
      <c r="BI50" s="127">
        <v>16422</v>
      </c>
      <c r="BJ50" s="18"/>
      <c r="BK50" s="127">
        <v>1383</v>
      </c>
      <c r="BL50" s="127">
        <v>2275</v>
      </c>
      <c r="BM50" s="127">
        <v>158</v>
      </c>
      <c r="BN50" s="127">
        <v>527</v>
      </c>
      <c r="BO50" s="18" t="s">
        <v>1366</v>
      </c>
      <c r="BP50" s="18">
        <v>3.39</v>
      </c>
      <c r="BQ50" s="18">
        <v>12.2</v>
      </c>
      <c r="BR50" s="18" t="s">
        <v>1366</v>
      </c>
      <c r="BS50" s="18">
        <v>1.48</v>
      </c>
      <c r="BT50" s="18">
        <v>18.8</v>
      </c>
      <c r="BU50" s="18"/>
      <c r="BV50" s="18">
        <v>6.94</v>
      </c>
      <c r="BW50" s="18" t="s">
        <v>1366</v>
      </c>
      <c r="BX50" s="18" t="s">
        <v>1366</v>
      </c>
      <c r="BY50" s="127">
        <v>62.4</v>
      </c>
      <c r="BZ50" s="18"/>
      <c r="CA50" s="127"/>
      <c r="CB50" s="127">
        <v>186</v>
      </c>
      <c r="CC50" s="127">
        <v>22.5</v>
      </c>
      <c r="CE50">
        <f t="shared" si="0"/>
        <v>2.7036549226210074</v>
      </c>
      <c r="CF50">
        <f t="shared" si="1"/>
        <v>11.874186550976139</v>
      </c>
      <c r="CG50">
        <f t="shared" si="2"/>
        <v>4.3919016630513381</v>
      </c>
      <c r="CH50">
        <f t="shared" si="3"/>
        <v>0.60791208791208795</v>
      </c>
      <c r="CI50">
        <f t="shared" si="4"/>
        <v>0</v>
      </c>
      <c r="CJ50" t="e">
        <f t="shared" si="5"/>
        <v>#DIV/0!</v>
      </c>
      <c r="CK50">
        <f t="shared" si="6"/>
        <v>0</v>
      </c>
      <c r="CL50">
        <f t="shared" si="7"/>
        <v>2.66989010989011</v>
      </c>
      <c r="CM50">
        <f t="shared" si="8"/>
        <v>7.218461538461538</v>
      </c>
      <c r="CN50">
        <f t="shared" si="9"/>
        <v>7.218461538461538</v>
      </c>
      <c r="CO50">
        <f t="shared" si="10"/>
        <v>2.7428571428571427E-2</v>
      </c>
      <c r="CP50">
        <f t="shared" si="11"/>
        <v>0</v>
      </c>
      <c r="CQ50">
        <f t="shared" si="12"/>
        <v>0</v>
      </c>
      <c r="CR50">
        <f t="shared" si="13"/>
        <v>1.1619667389732466</v>
      </c>
      <c r="CS50">
        <f t="shared" si="14"/>
        <v>0.34128705712219815</v>
      </c>
      <c r="CT50">
        <f t="shared" si="15"/>
        <v>0.16348370102074417</v>
      </c>
      <c r="CU50">
        <f t="shared" si="16"/>
        <v>8.8214027476500364E-3</v>
      </c>
      <c r="CV50" t="e">
        <f t="shared" si="17"/>
        <v>#DIV/0!</v>
      </c>
      <c r="CW50">
        <f t="shared" si="18"/>
        <v>0</v>
      </c>
      <c r="CX50">
        <f t="shared" si="19"/>
        <v>0.2937149968886123</v>
      </c>
      <c r="CY50">
        <f t="shared" si="20"/>
        <v>4.5119305856832971E-2</v>
      </c>
      <c r="CZ50">
        <f t="shared" si="21"/>
        <v>8.2666666666666675</v>
      </c>
      <c r="DA50">
        <f t="shared" si="22"/>
        <v>0.47532729103726085</v>
      </c>
      <c r="DB50">
        <f t="shared" si="23"/>
        <v>7.7708264734935792E-2</v>
      </c>
      <c r="DC50">
        <f t="shared" si="24"/>
        <v>38.688524590163937</v>
      </c>
      <c r="DD50">
        <f t="shared" si="25"/>
        <v>0.20747252747252748</v>
      </c>
      <c r="DE50">
        <f t="shared" si="26"/>
        <v>0</v>
      </c>
      <c r="DF50">
        <f t="shared" si="27"/>
        <v>0</v>
      </c>
      <c r="DG50">
        <f t="shared" si="28"/>
        <v>0</v>
      </c>
      <c r="DH50">
        <f t="shared" si="29"/>
        <v>2.7036549226210074</v>
      </c>
      <c r="DI50">
        <f t="shared" si="30"/>
        <v>0.26457029963780049</v>
      </c>
      <c r="DJ50">
        <f t="shared" si="31"/>
        <v>3.7043134672374053E-3</v>
      </c>
      <c r="DK50">
        <f t="shared" si="32"/>
        <v>2.2410447162589744E-2</v>
      </c>
      <c r="DL50">
        <f t="shared" si="33"/>
        <v>4.7448829497339848E-4</v>
      </c>
      <c r="DM50">
        <f t="shared" si="34"/>
        <v>5.1026750783440258E-3</v>
      </c>
      <c r="DN50">
        <f t="shared" si="35"/>
        <v>1.8873248341165275E-3</v>
      </c>
      <c r="DO50">
        <f t="shared" si="36"/>
        <v>1.0803709449262596E-4</v>
      </c>
      <c r="DP50">
        <f t="shared" si="37"/>
        <v>3.9959646324942766E-5</v>
      </c>
    </row>
    <row r="51" spans="1:120">
      <c r="A51" s="16" t="s">
        <v>1494</v>
      </c>
      <c r="B51" s="16" t="s">
        <v>24</v>
      </c>
      <c r="C51" s="121" t="s">
        <v>1800</v>
      </c>
      <c r="D51" s="16" t="s">
        <v>25</v>
      </c>
      <c r="E51" s="16" t="s">
        <v>237</v>
      </c>
      <c r="F51" s="16" t="s">
        <v>163</v>
      </c>
      <c r="G51" s="16" t="s">
        <v>595</v>
      </c>
      <c r="H51" s="27">
        <v>355</v>
      </c>
      <c r="I51" s="16" t="s">
        <v>735</v>
      </c>
      <c r="J51" s="16" t="s">
        <v>1426</v>
      </c>
      <c r="K51" s="16" t="s">
        <v>115</v>
      </c>
      <c r="L51" s="16"/>
      <c r="M51" s="16" t="s">
        <v>807</v>
      </c>
      <c r="N51" s="16">
        <v>52</v>
      </c>
      <c r="O51" s="95">
        <v>9.9658491597114764</v>
      </c>
      <c r="P51" s="95">
        <v>1.3220003987372366</v>
      </c>
      <c r="Q51" s="95">
        <v>1.118615722008431</v>
      </c>
      <c r="R51" s="95">
        <v>7.4235407006014054</v>
      </c>
      <c r="S51" s="95">
        <v>25.931546282922717</v>
      </c>
      <c r="T51" s="95">
        <v>20.846929364702575</v>
      </c>
      <c r="U51" s="95">
        <v>0.61015403018641678</v>
      </c>
      <c r="V51" s="95">
        <v>9.6607721446182673</v>
      </c>
      <c r="W51" s="95">
        <v>17.592774537041684</v>
      </c>
      <c r="X51" s="95">
        <v>3.5592318427540985</v>
      </c>
      <c r="Y51" s="95">
        <v>2.5423084591100702</v>
      </c>
      <c r="Z51" s="95">
        <v>100.5737226423944</v>
      </c>
      <c r="AA51" s="18"/>
      <c r="AB51" s="18"/>
      <c r="AC51" s="18"/>
      <c r="AD51" s="18"/>
      <c r="AE51" s="127"/>
      <c r="AF51" s="127"/>
      <c r="AG51" s="18"/>
      <c r="AH51" s="18">
        <v>329</v>
      </c>
      <c r="AI51" s="18"/>
      <c r="AJ51" s="18">
        <v>14.5</v>
      </c>
      <c r="AK51" s="134"/>
      <c r="AL51" s="18"/>
      <c r="AM51" s="134"/>
      <c r="AN51" s="127"/>
      <c r="AO51" s="18"/>
      <c r="AP51" s="18">
        <v>0</v>
      </c>
      <c r="AQ51" s="18">
        <v>0</v>
      </c>
      <c r="AR51" s="18"/>
      <c r="AS51" s="18"/>
      <c r="AT51" s="18"/>
      <c r="AU51" s="18"/>
      <c r="AV51" s="18"/>
      <c r="AW51" s="18"/>
      <c r="AX51" s="127">
        <v>1.62</v>
      </c>
      <c r="AY51" s="127">
        <v>12.7</v>
      </c>
      <c r="AZ51" s="127">
        <v>5.7000000000000002E-2</v>
      </c>
      <c r="BA51" s="127">
        <v>1.51</v>
      </c>
      <c r="BB51" s="18"/>
      <c r="BC51" s="127">
        <v>2.7915000000000001</v>
      </c>
      <c r="BD51" s="18"/>
      <c r="BE51" s="18"/>
      <c r="BF51" s="18"/>
      <c r="BG51" s="18"/>
      <c r="BH51" s="127">
        <v>1.6E-2</v>
      </c>
      <c r="BI51" s="127">
        <v>26.8</v>
      </c>
      <c r="BJ51" s="18"/>
      <c r="BK51" s="127">
        <v>2.2599999999999998</v>
      </c>
      <c r="BL51" s="127">
        <v>3.28</v>
      </c>
      <c r="BM51" s="127">
        <v>0.374</v>
      </c>
      <c r="BN51" s="127">
        <v>1.81</v>
      </c>
      <c r="BO51" s="18">
        <v>0.16</v>
      </c>
      <c r="BP51" s="18">
        <v>3.4000000000000002E-2</v>
      </c>
      <c r="BQ51" s="18">
        <v>7.5999999999999998E-2</v>
      </c>
      <c r="BR51" s="18"/>
      <c r="BS51" s="18"/>
      <c r="BT51" s="18"/>
      <c r="BU51" s="18"/>
      <c r="BV51" s="18"/>
      <c r="BW51" s="18"/>
      <c r="BX51" s="18">
        <v>0.04</v>
      </c>
      <c r="BY51" s="127">
        <v>0.13300000000000001</v>
      </c>
      <c r="BZ51" s="18"/>
      <c r="CA51" s="127"/>
      <c r="CB51" s="127">
        <v>0.27400000000000002</v>
      </c>
      <c r="CC51" s="127">
        <v>0.05</v>
      </c>
      <c r="CE51">
        <f t="shared" si="0"/>
        <v>2.1102362204724412</v>
      </c>
      <c r="CF51">
        <f t="shared" si="1"/>
        <v>11.858407079646019</v>
      </c>
      <c r="CG51">
        <f t="shared" si="2"/>
        <v>5.6194690265486731</v>
      </c>
      <c r="CH51">
        <f t="shared" si="3"/>
        <v>0.68902439024390238</v>
      </c>
      <c r="CI51">
        <f t="shared" si="4"/>
        <v>0</v>
      </c>
      <c r="CJ51" t="e">
        <f t="shared" si="5"/>
        <v>#DIV/0!</v>
      </c>
      <c r="CK51">
        <f t="shared" si="6"/>
        <v>0</v>
      </c>
      <c r="CL51">
        <f t="shared" si="7"/>
        <v>3.8719512195121952</v>
      </c>
      <c r="CM51">
        <f t="shared" si="8"/>
        <v>8.1707317073170742</v>
      </c>
      <c r="CN51">
        <f t="shared" si="9"/>
        <v>8.1707317073170742</v>
      </c>
      <c r="CO51">
        <f t="shared" si="10"/>
        <v>4.0548780487804879E-2</v>
      </c>
      <c r="CP51">
        <f t="shared" si="11"/>
        <v>0</v>
      </c>
      <c r="CQ51">
        <f t="shared" si="12"/>
        <v>0</v>
      </c>
      <c r="CR51">
        <f t="shared" si="13"/>
        <v>1.2351769911504427</v>
      </c>
      <c r="CS51">
        <f t="shared" si="14"/>
        <v>0.66814159292035402</v>
      </c>
      <c r="CT51">
        <f t="shared" si="15"/>
        <v>0.12755905511811025</v>
      </c>
      <c r="CU51">
        <f t="shared" si="16"/>
        <v>2.52212389380531E-2</v>
      </c>
      <c r="CV51" t="e">
        <f t="shared" si="17"/>
        <v>#DIV/0!</v>
      </c>
      <c r="CW51">
        <f t="shared" si="18"/>
        <v>0</v>
      </c>
      <c r="CX51">
        <f t="shared" si="19"/>
        <v>0.54092781658606481</v>
      </c>
      <c r="CY51">
        <f t="shared" si="20"/>
        <v>5.8849557522123903E-2</v>
      </c>
      <c r="CZ51">
        <f t="shared" si="21"/>
        <v>5.48</v>
      </c>
      <c r="DA51">
        <f t="shared" si="22"/>
        <v>0.93209876543209869</v>
      </c>
      <c r="DB51">
        <f t="shared" si="23"/>
        <v>0.1188976377952756</v>
      </c>
      <c r="DC51">
        <f t="shared" si="24"/>
        <v>26.491228070175438</v>
      </c>
      <c r="DD51">
        <f t="shared" si="25"/>
        <v>0.46036585365853661</v>
      </c>
      <c r="DE51">
        <f t="shared" si="26"/>
        <v>0</v>
      </c>
      <c r="DF51">
        <f t="shared" si="27"/>
        <v>0</v>
      </c>
      <c r="DG51">
        <f t="shared" si="28"/>
        <v>0</v>
      </c>
      <c r="DH51">
        <f t="shared" si="29"/>
        <v>2.1102362204724412</v>
      </c>
      <c r="DI51">
        <f t="shared" si="30"/>
        <v>0.21980314960629924</v>
      </c>
      <c r="DJ51">
        <f t="shared" si="31"/>
        <v>3.9370078740157488E-3</v>
      </c>
      <c r="DK51">
        <f t="shared" si="32"/>
        <v>11.474135523417132</v>
      </c>
      <c r="DL51">
        <f t="shared" si="33"/>
        <v>0.49496270885328808</v>
      </c>
      <c r="DM51">
        <f t="shared" si="34"/>
        <v>2.0418540380254111</v>
      </c>
      <c r="DN51">
        <f t="shared" si="35"/>
        <v>0.96759501055681774</v>
      </c>
      <c r="DO51">
        <f t="shared" si="36"/>
        <v>8.8079978110900084E-2</v>
      </c>
      <c r="DP51">
        <f t="shared" si="37"/>
        <v>4.1739392612254886E-2</v>
      </c>
    </row>
    <row r="52" spans="1:120">
      <c r="A52" s="16" t="s">
        <v>1494</v>
      </c>
      <c r="B52" s="16" t="s">
        <v>24</v>
      </c>
      <c r="C52" s="121" t="s">
        <v>1800</v>
      </c>
      <c r="D52" s="16" t="s">
        <v>25</v>
      </c>
      <c r="E52" s="16" t="s">
        <v>237</v>
      </c>
      <c r="F52" s="16" t="s">
        <v>163</v>
      </c>
      <c r="G52" s="16" t="s">
        <v>595</v>
      </c>
      <c r="H52" s="27">
        <v>355</v>
      </c>
      <c r="I52" s="16" t="s">
        <v>735</v>
      </c>
      <c r="J52" s="16" t="s">
        <v>1426</v>
      </c>
      <c r="K52" s="16" t="s">
        <v>115</v>
      </c>
      <c r="L52" s="16"/>
      <c r="M52" s="16" t="s">
        <v>808</v>
      </c>
      <c r="N52" s="16">
        <v>35</v>
      </c>
      <c r="O52" s="95">
        <v>8.5529098201284661</v>
      </c>
      <c r="P52" s="95">
        <v>1.7105819640256936</v>
      </c>
      <c r="Q52" s="95">
        <v>0.60373481083259761</v>
      </c>
      <c r="R52" s="95">
        <v>7.9491750092958693</v>
      </c>
      <c r="S52" s="95">
        <v>19.218891478171027</v>
      </c>
      <c r="T52" s="95">
        <v>17.810176919561631</v>
      </c>
      <c r="U52" s="95">
        <v>2.7168066487466898</v>
      </c>
      <c r="V52" s="95">
        <v>10.56535918957046</v>
      </c>
      <c r="W52" s="95">
        <v>24.149392433303905</v>
      </c>
      <c r="X52" s="95">
        <v>2.5155617118024902</v>
      </c>
      <c r="Y52" s="95">
        <v>5.4336132974933795</v>
      </c>
      <c r="Z52" s="95">
        <v>101.2262032829322</v>
      </c>
      <c r="AA52" s="18"/>
      <c r="AB52" s="18"/>
      <c r="AC52" s="18"/>
      <c r="AD52" s="18"/>
      <c r="AE52" s="127"/>
      <c r="AF52" s="127"/>
      <c r="AG52" s="18"/>
      <c r="AH52" s="18">
        <v>163</v>
      </c>
      <c r="AI52" s="18"/>
      <c r="AJ52" s="18">
        <v>5.1100000000000003</v>
      </c>
      <c r="AK52" s="134"/>
      <c r="AL52" s="18"/>
      <c r="AM52" s="134"/>
      <c r="AN52" s="127"/>
      <c r="AO52" s="18"/>
      <c r="AP52" s="18">
        <v>0</v>
      </c>
      <c r="AQ52" s="18">
        <v>0</v>
      </c>
      <c r="AR52" s="18"/>
      <c r="AS52" s="18"/>
      <c r="AT52" s="18"/>
      <c r="AU52" s="18"/>
      <c r="AV52" s="18"/>
      <c r="AW52" s="18"/>
      <c r="AX52" s="127">
        <v>0.503</v>
      </c>
      <c r="AY52" s="127">
        <v>5.17</v>
      </c>
      <c r="AZ52" s="127">
        <v>2.8000000000000001E-2</v>
      </c>
      <c r="BA52" s="127">
        <v>0.30299999999999999</v>
      </c>
      <c r="BB52" s="18"/>
      <c r="BC52" s="127">
        <v>1.7585</v>
      </c>
      <c r="BD52" s="18"/>
      <c r="BE52" s="18"/>
      <c r="BF52" s="18"/>
      <c r="BG52" s="18"/>
      <c r="BH52" s="127">
        <v>0.02</v>
      </c>
      <c r="BI52" s="127">
        <v>16.600000000000001</v>
      </c>
      <c r="BJ52" s="18"/>
      <c r="BK52" s="127">
        <v>1.2</v>
      </c>
      <c r="BL52" s="127">
        <v>1.48</v>
      </c>
      <c r="BM52" s="127">
        <v>0.14699999999999999</v>
      </c>
      <c r="BN52" s="127">
        <v>0.46800000000000003</v>
      </c>
      <c r="BO52" s="18">
        <v>0.06</v>
      </c>
      <c r="BP52" s="18">
        <v>1.2999999999999999E-2</v>
      </c>
      <c r="BQ52" s="18">
        <v>3.7999999999999999E-2</v>
      </c>
      <c r="BR52" s="18"/>
      <c r="BS52" s="18"/>
      <c r="BT52" s="18"/>
      <c r="BU52" s="18"/>
      <c r="BV52" s="18"/>
      <c r="BW52" s="18"/>
      <c r="BX52" s="18"/>
      <c r="BY52" s="127">
        <v>9.5000000000000001E-2</v>
      </c>
      <c r="BZ52" s="18"/>
      <c r="CA52" s="127"/>
      <c r="CB52" s="127">
        <v>0.17399999999999999</v>
      </c>
      <c r="CC52" s="127">
        <v>2.8000000000000001E-2</v>
      </c>
      <c r="CE52">
        <f t="shared" si="0"/>
        <v>3.2108317214700195</v>
      </c>
      <c r="CF52">
        <f t="shared" si="1"/>
        <v>13.833333333333336</v>
      </c>
      <c r="CG52">
        <f t="shared" si="2"/>
        <v>4.3083333333333336</v>
      </c>
      <c r="CH52">
        <f t="shared" si="3"/>
        <v>0.81081081081081074</v>
      </c>
      <c r="CI52">
        <f t="shared" si="4"/>
        <v>0</v>
      </c>
      <c r="CJ52" t="e">
        <f t="shared" si="5"/>
        <v>#DIV/0!</v>
      </c>
      <c r="CK52">
        <f t="shared" si="6"/>
        <v>0</v>
      </c>
      <c r="CL52">
        <f t="shared" si="7"/>
        <v>3.4932432432432434</v>
      </c>
      <c r="CM52">
        <f t="shared" si="8"/>
        <v>11.216216216216218</v>
      </c>
      <c r="CN52">
        <f t="shared" si="9"/>
        <v>11.216216216216218</v>
      </c>
      <c r="CO52">
        <f t="shared" si="10"/>
        <v>6.4189189189189186E-2</v>
      </c>
      <c r="CP52">
        <f t="shared" si="11"/>
        <v>0</v>
      </c>
      <c r="CQ52">
        <f t="shared" si="12"/>
        <v>0</v>
      </c>
      <c r="CR52">
        <f t="shared" si="13"/>
        <v>1.4654166666666666</v>
      </c>
      <c r="CS52">
        <f t="shared" si="14"/>
        <v>0.2525</v>
      </c>
      <c r="CT52">
        <f t="shared" si="15"/>
        <v>9.7292069632495162E-2</v>
      </c>
      <c r="CU52">
        <f t="shared" si="16"/>
        <v>2.3333333333333334E-2</v>
      </c>
      <c r="CV52" t="e">
        <f t="shared" si="17"/>
        <v>#DIV/0!</v>
      </c>
      <c r="CW52">
        <f t="shared" si="18"/>
        <v>0</v>
      </c>
      <c r="CX52">
        <f t="shared" si="19"/>
        <v>0.17230594256468582</v>
      </c>
      <c r="CY52">
        <f t="shared" si="20"/>
        <v>7.9166666666666677E-2</v>
      </c>
      <c r="CZ52">
        <f t="shared" si="21"/>
        <v>6.2142857142857135</v>
      </c>
      <c r="DA52">
        <f t="shared" si="22"/>
        <v>0.60238568588469188</v>
      </c>
      <c r="DB52">
        <f t="shared" si="23"/>
        <v>5.8607350096711801E-2</v>
      </c>
      <c r="DC52">
        <f t="shared" si="24"/>
        <v>10.821428571428571</v>
      </c>
      <c r="DD52">
        <f t="shared" si="25"/>
        <v>0.20472972972972972</v>
      </c>
      <c r="DE52">
        <f t="shared" si="26"/>
        <v>0</v>
      </c>
      <c r="DF52">
        <f t="shared" si="27"/>
        <v>0</v>
      </c>
      <c r="DG52">
        <f t="shared" si="28"/>
        <v>0</v>
      </c>
      <c r="DH52">
        <f t="shared" si="29"/>
        <v>3.2108317214700195</v>
      </c>
      <c r="DI52">
        <f t="shared" si="30"/>
        <v>0.34013539651837521</v>
      </c>
      <c r="DJ52">
        <f t="shared" si="31"/>
        <v>5.415860735009671E-3</v>
      </c>
      <c r="DK52">
        <f t="shared" si="32"/>
        <v>16.015742898475857</v>
      </c>
      <c r="DL52">
        <f t="shared" si="33"/>
        <v>0.50311234236049807</v>
      </c>
      <c r="DM52">
        <f t="shared" si="34"/>
        <v>3.7173871331085162</v>
      </c>
      <c r="DN52">
        <f t="shared" si="35"/>
        <v>1.1577645468777726</v>
      </c>
      <c r="DO52">
        <f t="shared" si="36"/>
        <v>0.11677655915524132</v>
      </c>
      <c r="DP52">
        <f t="shared" si="37"/>
        <v>3.6369566917626356E-2</v>
      </c>
    </row>
    <row r="53" spans="1:120">
      <c r="A53" s="16" t="s">
        <v>1494</v>
      </c>
      <c r="B53" s="16" t="s">
        <v>24</v>
      </c>
      <c r="C53" s="121" t="s">
        <v>1800</v>
      </c>
      <c r="D53" s="16" t="s">
        <v>25</v>
      </c>
      <c r="E53" s="16" t="s">
        <v>237</v>
      </c>
      <c r="F53" s="16" t="s">
        <v>163</v>
      </c>
      <c r="G53" s="16" t="s">
        <v>595</v>
      </c>
      <c r="H53" s="27">
        <v>355</v>
      </c>
      <c r="I53" s="16" t="s">
        <v>735</v>
      </c>
      <c r="J53" s="16" t="s">
        <v>1426</v>
      </c>
      <c r="K53" s="16" t="s">
        <v>115</v>
      </c>
      <c r="L53" s="16"/>
      <c r="M53" s="16" t="s">
        <v>810</v>
      </c>
      <c r="N53" s="16">
        <v>27</v>
      </c>
      <c r="O53" s="95">
        <v>9.3815306329383361</v>
      </c>
      <c r="P53" s="95">
        <v>1.1217047495904533</v>
      </c>
      <c r="Q53" s="95">
        <v>0.71381211337574291</v>
      </c>
      <c r="R53" s="95">
        <v>7.2400942928111069</v>
      </c>
      <c r="S53" s="95">
        <v>23.249880264238488</v>
      </c>
      <c r="T53" s="95">
        <v>19.170953902091384</v>
      </c>
      <c r="U53" s="95">
        <v>2.1414363401272287</v>
      </c>
      <c r="V53" s="95">
        <v>12.338752245494986</v>
      </c>
      <c r="W53" s="95">
        <v>18.967007583984032</v>
      </c>
      <c r="X53" s="95">
        <v>2.7532752944492946</v>
      </c>
      <c r="Y53" s="95">
        <v>3.7730068849860703</v>
      </c>
      <c r="Z53" s="95">
        <v>100.85145430408713</v>
      </c>
      <c r="AA53" s="18"/>
      <c r="AB53" s="18"/>
      <c r="AC53" s="18"/>
      <c r="AD53" s="18"/>
      <c r="AE53" s="127"/>
      <c r="AF53" s="127"/>
      <c r="AG53" s="18"/>
      <c r="AH53" s="18">
        <v>740</v>
      </c>
      <c r="AI53" s="18"/>
      <c r="AJ53" s="18">
        <v>58.1</v>
      </c>
      <c r="AK53" s="134"/>
      <c r="AL53" s="18"/>
      <c r="AM53" s="134"/>
      <c r="AN53" s="127"/>
      <c r="AO53" s="18"/>
      <c r="AP53" s="18">
        <v>0</v>
      </c>
      <c r="AQ53" s="18">
        <v>0</v>
      </c>
      <c r="AR53" s="18"/>
      <c r="AS53" s="18"/>
      <c r="AT53" s="18"/>
      <c r="AU53" s="18"/>
      <c r="AV53" s="18"/>
      <c r="AW53" s="18"/>
      <c r="AX53" s="127">
        <v>3.77</v>
      </c>
      <c r="AY53" s="127">
        <v>21</v>
      </c>
      <c r="AZ53" s="127">
        <v>0.125</v>
      </c>
      <c r="BA53" s="127">
        <v>2.74</v>
      </c>
      <c r="BB53" s="18"/>
      <c r="BC53" s="127">
        <v>5.4189999999999996</v>
      </c>
      <c r="BD53" s="18"/>
      <c r="BE53" s="18"/>
      <c r="BF53" s="18"/>
      <c r="BG53" s="18"/>
      <c r="BH53" s="127">
        <v>4.1000000000000002E-2</v>
      </c>
      <c r="BI53" s="127">
        <v>48.4</v>
      </c>
      <c r="BJ53" s="18"/>
      <c r="BK53" s="127">
        <v>3.98</v>
      </c>
      <c r="BL53" s="127">
        <v>5.62</v>
      </c>
      <c r="BM53" s="127">
        <v>0.628</v>
      </c>
      <c r="BN53" s="127">
        <v>2.15</v>
      </c>
      <c r="BO53" s="18">
        <v>0.22800000000000001</v>
      </c>
      <c r="BP53" s="18">
        <v>5.8999999999999997E-2</v>
      </c>
      <c r="BQ53" s="18">
        <v>0.13500000000000001</v>
      </c>
      <c r="BR53" s="18">
        <v>4.2999999999999997E-2</v>
      </c>
      <c r="BS53" s="18">
        <v>6.0000000000000001E-3</v>
      </c>
      <c r="BT53" s="18">
        <v>0</v>
      </c>
      <c r="BU53" s="18"/>
      <c r="BV53" s="18">
        <v>1.2E-2</v>
      </c>
      <c r="BW53" s="18"/>
      <c r="BX53" s="18">
        <v>6.7000000000000004E-2</v>
      </c>
      <c r="BY53" s="127">
        <v>0.22700000000000001</v>
      </c>
      <c r="BZ53" s="18"/>
      <c r="CA53" s="127"/>
      <c r="CB53" s="127">
        <v>0.47899999999999998</v>
      </c>
      <c r="CC53" s="127">
        <v>8.6999999999999994E-2</v>
      </c>
      <c r="CE53">
        <f t="shared" si="0"/>
        <v>2.3047619047619046</v>
      </c>
      <c r="CF53">
        <f t="shared" si="1"/>
        <v>12.160804020100501</v>
      </c>
      <c r="CG53">
        <f t="shared" si="2"/>
        <v>5.2763819095477391</v>
      </c>
      <c r="CH53">
        <f t="shared" si="3"/>
        <v>0.70818505338078286</v>
      </c>
      <c r="CI53">
        <f t="shared" si="4"/>
        <v>0</v>
      </c>
      <c r="CJ53" t="e">
        <f t="shared" si="5"/>
        <v>#DIV/0!</v>
      </c>
      <c r="CK53">
        <f t="shared" si="6"/>
        <v>0</v>
      </c>
      <c r="CL53">
        <f t="shared" si="7"/>
        <v>3.7366548042704624</v>
      </c>
      <c r="CM53">
        <f t="shared" si="8"/>
        <v>8.6120996441281132</v>
      </c>
      <c r="CN53">
        <f t="shared" si="9"/>
        <v>8.6120996441281132</v>
      </c>
      <c r="CO53">
        <f t="shared" si="10"/>
        <v>4.0391459074733099E-2</v>
      </c>
      <c r="CP53">
        <f t="shared" si="11"/>
        <v>0</v>
      </c>
      <c r="CQ53">
        <f t="shared" si="12"/>
        <v>0</v>
      </c>
      <c r="CR53">
        <f t="shared" si="13"/>
        <v>1.3615577889447235</v>
      </c>
      <c r="CS53">
        <f t="shared" si="14"/>
        <v>0.68844221105527648</v>
      </c>
      <c r="CT53">
        <f t="shared" si="15"/>
        <v>0.17952380952380953</v>
      </c>
      <c r="CU53">
        <f t="shared" si="16"/>
        <v>3.1407035175879394E-2</v>
      </c>
      <c r="CV53" t="e">
        <f t="shared" si="17"/>
        <v>#DIV/0!</v>
      </c>
      <c r="CW53">
        <f t="shared" si="18"/>
        <v>0</v>
      </c>
      <c r="CX53">
        <f t="shared" si="19"/>
        <v>0.50562834471304674</v>
      </c>
      <c r="CY53">
        <f t="shared" si="20"/>
        <v>5.7035175879396986E-2</v>
      </c>
      <c r="CZ53">
        <f t="shared" si="21"/>
        <v>5.5057471264367814</v>
      </c>
      <c r="DA53">
        <f t="shared" si="22"/>
        <v>0.72679045092838201</v>
      </c>
      <c r="DB53">
        <f t="shared" si="23"/>
        <v>0.1304761904761905</v>
      </c>
      <c r="DC53">
        <f t="shared" si="24"/>
        <v>21.92</v>
      </c>
      <c r="DD53">
        <f t="shared" si="25"/>
        <v>0.48754448398576516</v>
      </c>
      <c r="DE53">
        <f t="shared" si="26"/>
        <v>0</v>
      </c>
      <c r="DF53">
        <f t="shared" si="27"/>
        <v>0</v>
      </c>
      <c r="DG53">
        <f t="shared" si="28"/>
        <v>0</v>
      </c>
      <c r="DH53">
        <f t="shared" si="29"/>
        <v>2.3047619047619046</v>
      </c>
      <c r="DI53">
        <f t="shared" si="30"/>
        <v>0.25804761904761903</v>
      </c>
      <c r="DJ53">
        <f t="shared" si="31"/>
        <v>4.1428571428571426E-3</v>
      </c>
      <c r="DK53">
        <f t="shared" si="32"/>
        <v>5.841678458351379</v>
      </c>
      <c r="DL53">
        <f t="shared" si="33"/>
        <v>0.17934977723008616</v>
      </c>
      <c r="DM53">
        <f t="shared" si="34"/>
        <v>1.1071371554399281</v>
      </c>
      <c r="DN53">
        <f t="shared" si="35"/>
        <v>0.48036942694707624</v>
      </c>
      <c r="DO53">
        <f t="shared" si="36"/>
        <v>3.3991053017892521E-2</v>
      </c>
      <c r="DP53">
        <f t="shared" si="37"/>
        <v>1.4748184160655846E-2</v>
      </c>
    </row>
    <row r="54" spans="1:120">
      <c r="A54" s="16" t="s">
        <v>1494</v>
      </c>
      <c r="B54" s="16" t="s">
        <v>24</v>
      </c>
      <c r="C54" s="121" t="s">
        <v>1800</v>
      </c>
      <c r="D54" s="16" t="s">
        <v>25</v>
      </c>
      <c r="E54" s="16" t="s">
        <v>237</v>
      </c>
      <c r="F54" s="16" t="s">
        <v>163</v>
      </c>
      <c r="G54" s="16" t="s">
        <v>595</v>
      </c>
      <c r="H54" s="27">
        <v>355</v>
      </c>
      <c r="I54" s="16" t="s">
        <v>735</v>
      </c>
      <c r="J54" s="16" t="s">
        <v>1426</v>
      </c>
      <c r="K54" s="16" t="s">
        <v>115</v>
      </c>
      <c r="L54" s="16"/>
      <c r="M54" s="16" t="s">
        <v>812</v>
      </c>
      <c r="N54" s="16">
        <v>28</v>
      </c>
      <c r="O54" s="95">
        <v>8.024287901037555</v>
      </c>
      <c r="P54" s="95">
        <v>0.60182159257781664</v>
      </c>
      <c r="Q54" s="95">
        <v>0.60182159257781664</v>
      </c>
      <c r="R54" s="95">
        <v>8.525805894852402</v>
      </c>
      <c r="S54" s="95">
        <v>22.066791727853278</v>
      </c>
      <c r="T54" s="95">
        <v>20.662541345171707</v>
      </c>
      <c r="U54" s="95">
        <v>1.5045539814445417</v>
      </c>
      <c r="V54" s="95">
        <v>8.2248950985634934</v>
      </c>
      <c r="W54" s="95">
        <v>23.57134570929782</v>
      </c>
      <c r="X54" s="95">
        <v>3.1094115616520526</v>
      </c>
      <c r="Y54" s="95">
        <v>4.0121439505187775</v>
      </c>
      <c r="Z54" s="95">
        <v>100.90542035554726</v>
      </c>
      <c r="AA54" s="18"/>
      <c r="AB54" s="18"/>
      <c r="AC54" s="18"/>
      <c r="AD54" s="18"/>
      <c r="AE54" s="127"/>
      <c r="AF54" s="127"/>
      <c r="AG54" s="18"/>
      <c r="AH54" s="18">
        <v>435</v>
      </c>
      <c r="AI54" s="18"/>
      <c r="AJ54" s="18">
        <v>9.6199999999999992</v>
      </c>
      <c r="AK54" s="134"/>
      <c r="AL54" s="18"/>
      <c r="AM54" s="134"/>
      <c r="AN54" s="127"/>
      <c r="AO54" s="18"/>
      <c r="AP54" s="18">
        <v>0</v>
      </c>
      <c r="AQ54" s="18">
        <v>0</v>
      </c>
      <c r="AR54" s="18"/>
      <c r="AS54" s="18"/>
      <c r="AT54" s="18"/>
      <c r="AU54" s="18"/>
      <c r="AV54" s="18"/>
      <c r="AW54" s="18"/>
      <c r="AX54" s="127">
        <v>1.56</v>
      </c>
      <c r="AY54" s="127">
        <v>13</v>
      </c>
      <c r="AZ54" s="127">
        <v>2.3E-2</v>
      </c>
      <c r="BA54" s="127">
        <v>0.91</v>
      </c>
      <c r="BB54" s="18"/>
      <c r="BC54" s="127">
        <v>3.6644999999999999</v>
      </c>
      <c r="BD54" s="18"/>
      <c r="BE54" s="18"/>
      <c r="BF54" s="18"/>
      <c r="BG54" s="18"/>
      <c r="BH54" s="127">
        <v>2.1999999999999999E-2</v>
      </c>
      <c r="BI54" s="127">
        <v>36</v>
      </c>
      <c r="BJ54" s="18"/>
      <c r="BK54" s="127">
        <v>2.83</v>
      </c>
      <c r="BL54" s="127">
        <v>3.72</v>
      </c>
      <c r="BM54" s="127">
        <v>0.38300000000000001</v>
      </c>
      <c r="BN54" s="127">
        <v>1.41</v>
      </c>
      <c r="BO54" s="18">
        <v>0.106</v>
      </c>
      <c r="BP54" s="18">
        <v>2.3E-2</v>
      </c>
      <c r="BQ54" s="18">
        <v>4.7E-2</v>
      </c>
      <c r="BR54" s="18"/>
      <c r="BS54" s="18"/>
      <c r="BT54" s="18"/>
      <c r="BU54" s="18"/>
      <c r="BV54" s="18"/>
      <c r="BW54" s="18"/>
      <c r="BX54" s="18">
        <v>2.4E-2</v>
      </c>
      <c r="BY54" s="127">
        <v>0.21099999999999999</v>
      </c>
      <c r="BZ54" s="18"/>
      <c r="CA54" s="127"/>
      <c r="CB54" s="127">
        <v>0.36399999999999999</v>
      </c>
      <c r="CC54" s="127">
        <v>6.5000000000000002E-2</v>
      </c>
      <c r="CE54">
        <f t="shared" si="0"/>
        <v>2.7692307692307692</v>
      </c>
      <c r="CF54">
        <f t="shared" si="1"/>
        <v>12.720848056537102</v>
      </c>
      <c r="CG54">
        <f t="shared" si="2"/>
        <v>4.5936395759717312</v>
      </c>
      <c r="CH54">
        <f t="shared" si="3"/>
        <v>0.760752688172043</v>
      </c>
      <c r="CI54">
        <f t="shared" si="4"/>
        <v>0</v>
      </c>
      <c r="CJ54" t="e">
        <f t="shared" si="5"/>
        <v>#DIV/0!</v>
      </c>
      <c r="CK54">
        <f t="shared" si="6"/>
        <v>0</v>
      </c>
      <c r="CL54">
        <f t="shared" si="7"/>
        <v>3.4946236559139785</v>
      </c>
      <c r="CM54">
        <f t="shared" si="8"/>
        <v>9.67741935483871</v>
      </c>
      <c r="CN54">
        <f t="shared" si="9"/>
        <v>9.67741935483871</v>
      </c>
      <c r="CO54">
        <f t="shared" si="10"/>
        <v>5.6720430107526879E-2</v>
      </c>
      <c r="CP54">
        <f t="shared" si="11"/>
        <v>0</v>
      </c>
      <c r="CQ54">
        <f t="shared" si="12"/>
        <v>0</v>
      </c>
      <c r="CR54">
        <f t="shared" si="13"/>
        <v>1.2948763250883391</v>
      </c>
      <c r="CS54">
        <f t="shared" si="14"/>
        <v>0.32155477031802121</v>
      </c>
      <c r="CT54">
        <f t="shared" si="15"/>
        <v>0.12000000000000001</v>
      </c>
      <c r="CU54">
        <f t="shared" si="16"/>
        <v>8.1272084805653708E-3</v>
      </c>
      <c r="CV54" t="e">
        <f t="shared" si="17"/>
        <v>#DIV/0!</v>
      </c>
      <c r="CW54">
        <f t="shared" si="18"/>
        <v>0</v>
      </c>
      <c r="CX54">
        <f t="shared" si="19"/>
        <v>0.2483285577841452</v>
      </c>
      <c r="CY54">
        <f t="shared" si="20"/>
        <v>7.4558303886925789E-2</v>
      </c>
      <c r="CZ54">
        <f t="shared" si="21"/>
        <v>5.6</v>
      </c>
      <c r="DA54">
        <f t="shared" si="22"/>
        <v>0.58333333333333337</v>
      </c>
      <c r="DB54">
        <f t="shared" si="23"/>
        <v>7.0000000000000007E-2</v>
      </c>
      <c r="DC54">
        <f t="shared" si="24"/>
        <v>39.565217391304351</v>
      </c>
      <c r="DD54">
        <f t="shared" si="25"/>
        <v>0.2446236559139785</v>
      </c>
      <c r="DE54">
        <f t="shared" si="26"/>
        <v>0</v>
      </c>
      <c r="DF54">
        <f t="shared" si="27"/>
        <v>0</v>
      </c>
      <c r="DG54">
        <f t="shared" si="28"/>
        <v>0</v>
      </c>
      <c r="DH54">
        <f t="shared" si="29"/>
        <v>2.7692307692307692</v>
      </c>
      <c r="DI54">
        <f t="shared" si="30"/>
        <v>0.2818846153846154</v>
      </c>
      <c r="DJ54">
        <f t="shared" si="31"/>
        <v>5.0000000000000001E-3</v>
      </c>
      <c r="DK54">
        <f t="shared" si="32"/>
        <v>7.7974529073686494</v>
      </c>
      <c r="DL54">
        <f t="shared" si="33"/>
        <v>0.21265780656459951</v>
      </c>
      <c r="DM54">
        <f t="shared" si="34"/>
        <v>1.6974455175271752</v>
      </c>
      <c r="DN54">
        <f t="shared" si="35"/>
        <v>0.61296643688481334</v>
      </c>
      <c r="DO54">
        <f t="shared" si="36"/>
        <v>4.6293968659832048E-2</v>
      </c>
      <c r="DP54">
        <f t="shared" si="37"/>
        <v>1.6717266460494908E-2</v>
      </c>
    </row>
    <row r="55" spans="1:120">
      <c r="A55" s="16" t="s">
        <v>1469</v>
      </c>
      <c r="B55" s="16" t="s">
        <v>24</v>
      </c>
      <c r="C55" s="121" t="s">
        <v>1800</v>
      </c>
      <c r="D55" s="16" t="s">
        <v>25</v>
      </c>
      <c r="E55" s="16" t="s">
        <v>237</v>
      </c>
      <c r="F55" s="16" t="s">
        <v>163</v>
      </c>
      <c r="G55" s="16" t="s">
        <v>595</v>
      </c>
      <c r="H55" s="27">
        <v>355</v>
      </c>
      <c r="I55" s="16" t="s">
        <v>735</v>
      </c>
      <c r="J55" s="16" t="s">
        <v>596</v>
      </c>
      <c r="K55" s="16" t="s">
        <v>115</v>
      </c>
      <c r="L55" s="16"/>
      <c r="M55" s="16" t="s">
        <v>591</v>
      </c>
      <c r="N55" s="16">
        <v>29</v>
      </c>
      <c r="O55" s="95">
        <v>8.6555345936055161</v>
      </c>
      <c r="P55" s="95">
        <v>1.2077490130612349</v>
      </c>
      <c r="Q55" s="95">
        <v>0.50322875544218126</v>
      </c>
      <c r="R55" s="95">
        <v>10.064575108843623</v>
      </c>
      <c r="S55" s="95">
        <v>23.752397256870953</v>
      </c>
      <c r="T55" s="95">
        <v>25.060792021020621</v>
      </c>
      <c r="U55" s="95">
        <v>0</v>
      </c>
      <c r="V55" s="95">
        <v>6.9445568251021008</v>
      </c>
      <c r="W55" s="95">
        <v>19.927858715510375</v>
      </c>
      <c r="X55" s="95">
        <v>2.0129150217687251</v>
      </c>
      <c r="Y55" s="95">
        <v>2.4154980261224699</v>
      </c>
      <c r="Z55" s="95">
        <v>100.54510533734779</v>
      </c>
      <c r="AA55" s="18"/>
      <c r="AB55" s="18"/>
      <c r="AC55" s="18"/>
      <c r="AD55" s="18">
        <v>188.2</v>
      </c>
      <c r="AE55" s="127">
        <v>0</v>
      </c>
      <c r="AF55" s="127">
        <v>0</v>
      </c>
      <c r="AG55" s="18">
        <v>0</v>
      </c>
      <c r="AH55" s="18">
        <v>42.8</v>
      </c>
      <c r="AI55" s="18"/>
      <c r="AJ55" s="18"/>
      <c r="AK55" s="134">
        <v>5.14</v>
      </c>
      <c r="AL55" s="18"/>
      <c r="AM55" s="134">
        <v>165</v>
      </c>
      <c r="AN55" s="127"/>
      <c r="AO55" s="18"/>
      <c r="AP55" s="18">
        <v>0.40100000000000002</v>
      </c>
      <c r="AQ55" s="18">
        <v>0.154</v>
      </c>
      <c r="AR55" s="18"/>
      <c r="AS55" s="18">
        <v>9.35E-2</v>
      </c>
      <c r="AT55" s="18"/>
      <c r="AU55" s="18">
        <v>2.75E-2</v>
      </c>
      <c r="AV55" s="18"/>
      <c r="AW55" s="18">
        <v>0.89500000000000002</v>
      </c>
      <c r="AX55" s="127">
        <v>1.81</v>
      </c>
      <c r="AY55" s="127">
        <v>16.399999999999999</v>
      </c>
      <c r="AZ55" s="127"/>
      <c r="BA55" s="127">
        <v>1.9</v>
      </c>
      <c r="BB55" s="18">
        <v>1.8E-3</v>
      </c>
      <c r="BC55" s="127">
        <v>0</v>
      </c>
      <c r="BD55" s="18"/>
      <c r="BE55" s="18"/>
      <c r="BF55" s="18"/>
      <c r="BG55" s="18"/>
      <c r="BH55" s="127">
        <v>2.2200000000000001E-2</v>
      </c>
      <c r="BI55" s="127">
        <v>21.9</v>
      </c>
      <c r="BJ55" s="18"/>
      <c r="BK55" s="127">
        <v>2.38</v>
      </c>
      <c r="BL55" s="127">
        <v>3.34</v>
      </c>
      <c r="BM55" s="127"/>
      <c r="BN55" s="127">
        <v>0.86</v>
      </c>
      <c r="BO55" s="18">
        <v>0.13200000000000001</v>
      </c>
      <c r="BP55" s="18">
        <v>2.6199999999999998E-2</v>
      </c>
      <c r="BQ55" s="18">
        <v>0.27700000000000002</v>
      </c>
      <c r="BR55" s="18"/>
      <c r="BS55" s="18"/>
      <c r="BT55" s="18"/>
      <c r="BU55" s="18"/>
      <c r="BV55" s="18">
        <v>2.5000000000000001E-3</v>
      </c>
      <c r="BW55" s="18">
        <v>3.8999999999999999E-4</v>
      </c>
      <c r="BX55" s="18">
        <v>2.6800000000000001E-2</v>
      </c>
      <c r="BY55" s="127">
        <v>0.14799999999999999</v>
      </c>
      <c r="BZ55" s="18"/>
      <c r="CA55" s="127"/>
      <c r="CB55" s="127">
        <v>0.28199999999999997</v>
      </c>
      <c r="CC55" s="127">
        <v>7.0000000000000007E-2</v>
      </c>
      <c r="CE55">
        <f t="shared" si="0"/>
        <v>1.3353658536585367</v>
      </c>
      <c r="CF55">
        <f t="shared" si="1"/>
        <v>9.2016806722689068</v>
      </c>
      <c r="CG55">
        <f t="shared" si="2"/>
        <v>6.8907563025210079</v>
      </c>
      <c r="CH55">
        <f t="shared" si="3"/>
        <v>0.71257485029940115</v>
      </c>
      <c r="CI55">
        <f t="shared" si="4"/>
        <v>0</v>
      </c>
      <c r="CJ55" t="e">
        <f t="shared" si="5"/>
        <v>#DIV/0!</v>
      </c>
      <c r="CK55">
        <f t="shared" si="6"/>
        <v>0</v>
      </c>
      <c r="CL55">
        <f t="shared" si="7"/>
        <v>4.9101796407185629</v>
      </c>
      <c r="CM55">
        <f t="shared" si="8"/>
        <v>6.5568862275449105</v>
      </c>
      <c r="CN55">
        <f t="shared" si="9"/>
        <v>6.5568862275449105</v>
      </c>
      <c r="CO55">
        <f t="shared" si="10"/>
        <v>4.431137724550898E-2</v>
      </c>
      <c r="CP55">
        <f t="shared" si="11"/>
        <v>0</v>
      </c>
      <c r="CQ55">
        <f t="shared" si="12"/>
        <v>0</v>
      </c>
      <c r="CR55">
        <f t="shared" si="13"/>
        <v>0</v>
      </c>
      <c r="CS55">
        <f t="shared" si="14"/>
        <v>0.79831932773109249</v>
      </c>
      <c r="CT55">
        <f t="shared" si="15"/>
        <v>0.1103658536585366</v>
      </c>
      <c r="CU55">
        <f t="shared" si="16"/>
        <v>0</v>
      </c>
      <c r="CV55">
        <f t="shared" si="17"/>
        <v>0</v>
      </c>
      <c r="CW55">
        <f t="shared" si="18"/>
        <v>0</v>
      </c>
      <c r="CX55" t="e">
        <f t="shared" si="19"/>
        <v>#DIV/0!</v>
      </c>
      <c r="CY55">
        <f t="shared" si="20"/>
        <v>6.2184873949579833E-2</v>
      </c>
      <c r="CZ55">
        <f t="shared" si="21"/>
        <v>4.0285714285714276</v>
      </c>
      <c r="DA55">
        <f t="shared" si="22"/>
        <v>1.0497237569060773</v>
      </c>
      <c r="DB55">
        <f t="shared" si="23"/>
        <v>0.11585365853658537</v>
      </c>
      <c r="DC55" t="e">
        <f t="shared" si="24"/>
        <v>#DIV/0!</v>
      </c>
      <c r="DD55">
        <f t="shared" si="25"/>
        <v>0.56886227544910184</v>
      </c>
      <c r="DE55">
        <f t="shared" si="26"/>
        <v>0</v>
      </c>
      <c r="DF55">
        <f t="shared" si="27"/>
        <v>0</v>
      </c>
      <c r="DG55">
        <f t="shared" si="28"/>
        <v>0</v>
      </c>
      <c r="DH55">
        <f t="shared" si="29"/>
        <v>1.3353658536585367</v>
      </c>
      <c r="DI55">
        <f t="shared" si="30"/>
        <v>0</v>
      </c>
      <c r="DJ55">
        <f t="shared" si="31"/>
        <v>4.2682926829268305E-3</v>
      </c>
      <c r="DK55">
        <f t="shared" si="32"/>
        <v>9.9799988474247705</v>
      </c>
      <c r="DL55">
        <f t="shared" si="33"/>
        <v>0.21144065354713498</v>
      </c>
      <c r="DM55">
        <f t="shared" si="34"/>
        <v>1.4483169059067655</v>
      </c>
      <c r="DN55">
        <f t="shared" si="35"/>
        <v>1.0845843496288108</v>
      </c>
      <c r="DO55">
        <f t="shared" si="36"/>
        <v>3.0684680209889105E-2</v>
      </c>
      <c r="DP55">
        <f t="shared" si="37"/>
        <v>2.2978481983661245E-2</v>
      </c>
    </row>
    <row r="56" spans="1:120">
      <c r="A56" s="16" t="s">
        <v>1469</v>
      </c>
      <c r="B56" s="16" t="s">
        <v>24</v>
      </c>
      <c r="C56" s="121" t="s">
        <v>1800</v>
      </c>
      <c r="D56" s="16" t="s">
        <v>25</v>
      </c>
      <c r="E56" s="16" t="s">
        <v>237</v>
      </c>
      <c r="F56" s="16" t="s">
        <v>163</v>
      </c>
      <c r="G56" s="16" t="s">
        <v>595</v>
      </c>
      <c r="H56" s="27">
        <v>355</v>
      </c>
      <c r="I56" s="16" t="s">
        <v>735</v>
      </c>
      <c r="J56" s="16" t="s">
        <v>596</v>
      </c>
      <c r="K56" s="16" t="s">
        <v>115</v>
      </c>
      <c r="L56" s="16"/>
      <c r="M56" s="16" t="s">
        <v>593</v>
      </c>
      <c r="N56" s="16">
        <v>50</v>
      </c>
      <c r="O56" s="95">
        <v>8.6625561175200332</v>
      </c>
      <c r="P56" s="95">
        <v>0.90654657043814302</v>
      </c>
      <c r="Q56" s="95">
        <v>0.60436438029209527</v>
      </c>
      <c r="R56" s="95">
        <v>8.2596465306586353</v>
      </c>
      <c r="S56" s="95">
        <v>25.484031368983352</v>
      </c>
      <c r="T56" s="95">
        <v>26.491305336136843</v>
      </c>
      <c r="U56" s="95">
        <v>0</v>
      </c>
      <c r="V56" s="95">
        <v>7.5545547536511908</v>
      </c>
      <c r="W56" s="95">
        <v>17.425839631755416</v>
      </c>
      <c r="X56" s="95">
        <v>2.1152753310223336</v>
      </c>
      <c r="Y56" s="95">
        <v>3.2232766948911751</v>
      </c>
      <c r="Z56" s="95">
        <v>100.7273967153492</v>
      </c>
      <c r="AA56" s="18"/>
      <c r="AB56" s="18"/>
      <c r="AC56" s="18"/>
      <c r="AD56" s="18">
        <v>109.3</v>
      </c>
      <c r="AE56" s="127">
        <v>0</v>
      </c>
      <c r="AF56" s="127">
        <v>0</v>
      </c>
      <c r="AG56" s="18">
        <v>0</v>
      </c>
      <c r="AH56" s="18">
        <v>219.5</v>
      </c>
      <c r="AI56" s="18"/>
      <c r="AJ56" s="18"/>
      <c r="AK56" s="134">
        <v>3.18</v>
      </c>
      <c r="AL56" s="18"/>
      <c r="AM56" s="134">
        <v>80.099999999999994</v>
      </c>
      <c r="AN56" s="127"/>
      <c r="AO56" s="18"/>
      <c r="AP56" s="18">
        <v>0.192</v>
      </c>
      <c r="AQ56" s="18">
        <v>8.3000000000000004E-2</v>
      </c>
      <c r="AR56" s="18"/>
      <c r="AS56" s="18">
        <v>4.5899999999999996E-2</v>
      </c>
      <c r="AT56" s="18"/>
      <c r="AU56" s="18">
        <v>2.2200000000000001E-2</v>
      </c>
      <c r="AV56" s="18"/>
      <c r="AW56" s="18">
        <v>0.27700000000000002</v>
      </c>
      <c r="AX56" s="127">
        <v>0.86899999999999999</v>
      </c>
      <c r="AY56" s="127">
        <v>9</v>
      </c>
      <c r="AZ56" s="127"/>
      <c r="BA56" s="127">
        <v>1.23</v>
      </c>
      <c r="BB56" s="18">
        <v>1.1000000000000001E-3</v>
      </c>
      <c r="BC56" s="127">
        <v>0</v>
      </c>
      <c r="BD56" s="18"/>
      <c r="BE56" s="18"/>
      <c r="BF56" s="18"/>
      <c r="BG56" s="18"/>
      <c r="BH56" s="127">
        <v>1.0500000000000001E-2</v>
      </c>
      <c r="BI56" s="127">
        <v>11</v>
      </c>
      <c r="BJ56" s="18"/>
      <c r="BK56" s="127">
        <v>1.42</v>
      </c>
      <c r="BL56" s="127">
        <v>1.86</v>
      </c>
      <c r="BM56" s="127"/>
      <c r="BN56" s="127">
        <v>0.498</v>
      </c>
      <c r="BO56" s="18">
        <v>8.6999999999999994E-2</v>
      </c>
      <c r="BP56" s="18">
        <v>1.6899999999999998E-2</v>
      </c>
      <c r="BQ56" s="18">
        <v>2.4899999999999999E-2</v>
      </c>
      <c r="BR56" s="18"/>
      <c r="BS56" s="18"/>
      <c r="BT56" s="18"/>
      <c r="BU56" s="18"/>
      <c r="BV56" s="18">
        <v>1E-3</v>
      </c>
      <c r="BW56" s="18">
        <v>5.0000000000000002E-5</v>
      </c>
      <c r="BX56" s="18">
        <v>1.7999999999999999E-2</v>
      </c>
      <c r="BY56" s="127">
        <v>7.4499999999999997E-2</v>
      </c>
      <c r="BZ56" s="18"/>
      <c r="CA56" s="127"/>
      <c r="CB56" s="127">
        <v>0.14399999999999999</v>
      </c>
      <c r="CC56" s="127">
        <v>3.2500000000000001E-2</v>
      </c>
      <c r="CE56">
        <f t="shared" si="0"/>
        <v>1.2222222222222223</v>
      </c>
      <c r="CF56">
        <f t="shared" si="1"/>
        <v>7.746478873239437</v>
      </c>
      <c r="CG56">
        <f t="shared" si="2"/>
        <v>6.3380281690140849</v>
      </c>
      <c r="CH56">
        <f t="shared" si="3"/>
        <v>0.76344086021505364</v>
      </c>
      <c r="CI56">
        <f t="shared" si="4"/>
        <v>0</v>
      </c>
      <c r="CJ56" t="e">
        <f t="shared" si="5"/>
        <v>#DIV/0!</v>
      </c>
      <c r="CK56">
        <f t="shared" si="6"/>
        <v>0</v>
      </c>
      <c r="CL56">
        <f t="shared" si="7"/>
        <v>4.838709677419355</v>
      </c>
      <c r="CM56">
        <f t="shared" si="8"/>
        <v>5.913978494623656</v>
      </c>
      <c r="CN56">
        <f t="shared" si="9"/>
        <v>5.913978494623656</v>
      </c>
      <c r="CO56">
        <f t="shared" si="10"/>
        <v>4.0053763440860209E-2</v>
      </c>
      <c r="CP56">
        <f t="shared" si="11"/>
        <v>0</v>
      </c>
      <c r="CQ56">
        <f t="shared" si="12"/>
        <v>0</v>
      </c>
      <c r="CR56">
        <f t="shared" si="13"/>
        <v>0</v>
      </c>
      <c r="CS56">
        <f t="shared" si="14"/>
        <v>0.86619718309859162</v>
      </c>
      <c r="CT56">
        <f t="shared" si="15"/>
        <v>9.6555555555555561E-2</v>
      </c>
      <c r="CU56">
        <f t="shared" si="16"/>
        <v>0</v>
      </c>
      <c r="CV56">
        <f t="shared" si="17"/>
        <v>0</v>
      </c>
      <c r="CW56">
        <f t="shared" si="18"/>
        <v>0</v>
      </c>
      <c r="CX56" t="e">
        <f t="shared" si="19"/>
        <v>#DIV/0!</v>
      </c>
      <c r="CY56">
        <f t="shared" si="20"/>
        <v>5.2464788732394366E-2</v>
      </c>
      <c r="CZ56">
        <f t="shared" si="21"/>
        <v>4.4307692307692301</v>
      </c>
      <c r="DA56">
        <f t="shared" si="22"/>
        <v>1.4154200230149596</v>
      </c>
      <c r="DB56">
        <f t="shared" si="23"/>
        <v>0.13666666666666666</v>
      </c>
      <c r="DC56" t="e">
        <f t="shared" si="24"/>
        <v>#DIV/0!</v>
      </c>
      <c r="DD56">
        <f t="shared" si="25"/>
        <v>0.66129032258064513</v>
      </c>
      <c r="DE56">
        <f t="shared" si="26"/>
        <v>0</v>
      </c>
      <c r="DF56">
        <f t="shared" si="27"/>
        <v>0</v>
      </c>
      <c r="DG56">
        <f t="shared" si="28"/>
        <v>0</v>
      </c>
      <c r="DH56">
        <f t="shared" si="29"/>
        <v>1.2222222222222223</v>
      </c>
      <c r="DI56">
        <f t="shared" si="30"/>
        <v>0</v>
      </c>
      <c r="DJ56">
        <f t="shared" si="31"/>
        <v>3.6111111111111114E-3</v>
      </c>
      <c r="DK56">
        <f t="shared" si="32"/>
        <v>17.946500964072783</v>
      </c>
      <c r="DL56">
        <f t="shared" si="33"/>
        <v>0.42560871851556009</v>
      </c>
      <c r="DM56">
        <f t="shared" si="34"/>
        <v>2.8315590409981501</v>
      </c>
      <c r="DN56">
        <f t="shared" si="35"/>
        <v>2.3167301244530321</v>
      </c>
      <c r="DO56">
        <f t="shared" si="36"/>
        <v>6.7151597810232805E-2</v>
      </c>
      <c r="DP56">
        <f t="shared" si="37"/>
        <v>5.4942216390190479E-2</v>
      </c>
    </row>
    <row r="57" spans="1:120">
      <c r="A57" s="16" t="s">
        <v>1469</v>
      </c>
      <c r="B57" s="16" t="s">
        <v>24</v>
      </c>
      <c r="C57" s="121" t="s">
        <v>1800</v>
      </c>
      <c r="D57" s="16" t="s">
        <v>25</v>
      </c>
      <c r="E57" s="16" t="s">
        <v>237</v>
      </c>
      <c r="F57" s="16" t="s">
        <v>163</v>
      </c>
      <c r="G57" s="16" t="s">
        <v>595</v>
      </c>
      <c r="H57" s="27">
        <v>355</v>
      </c>
      <c r="I57" s="16" t="s">
        <v>735</v>
      </c>
      <c r="J57" s="16" t="s">
        <v>596</v>
      </c>
      <c r="K57" s="16" t="s">
        <v>115</v>
      </c>
      <c r="L57" s="16"/>
      <c r="M57" s="16" t="s">
        <v>594</v>
      </c>
      <c r="N57" s="16">
        <v>15</v>
      </c>
      <c r="O57" s="95">
        <v>9.9264112370369624</v>
      </c>
      <c r="P57" s="95">
        <v>0.20257982116401962</v>
      </c>
      <c r="Q57" s="95">
        <v>0.30386973174602944</v>
      </c>
      <c r="R57" s="95">
        <v>10.534150700529022</v>
      </c>
      <c r="S57" s="95">
        <v>21.878620685714122</v>
      </c>
      <c r="T57" s="95">
        <v>16.307675603703579</v>
      </c>
      <c r="U57" s="95">
        <v>0</v>
      </c>
      <c r="V57" s="95">
        <v>6.3812643666666187</v>
      </c>
      <c r="W57" s="95">
        <v>27.550855678306668</v>
      </c>
      <c r="X57" s="95">
        <v>2.8361174962962745</v>
      </c>
      <c r="Y57" s="95">
        <v>5.2670753502645109</v>
      </c>
      <c r="Z57" s="95">
        <v>101.1886206714278</v>
      </c>
      <c r="AA57" s="18"/>
      <c r="AB57" s="18"/>
      <c r="AC57" s="18"/>
      <c r="AD57" s="18">
        <v>12.44</v>
      </c>
      <c r="AE57" s="127">
        <v>0</v>
      </c>
      <c r="AF57" s="127">
        <v>0</v>
      </c>
      <c r="AG57" s="18">
        <v>0</v>
      </c>
      <c r="AH57" s="18">
        <v>31.9</v>
      </c>
      <c r="AI57" s="18"/>
      <c r="AJ57" s="18"/>
      <c r="AK57" s="134">
        <v>1.05</v>
      </c>
      <c r="AL57" s="18"/>
      <c r="AM57" s="134">
        <v>8.0500000000000007</v>
      </c>
      <c r="AN57" s="127"/>
      <c r="AO57" s="18"/>
      <c r="AP57" s="18">
        <v>3.5499999999999997E-2</v>
      </c>
      <c r="AQ57" s="18">
        <v>3.7600000000000001E-2</v>
      </c>
      <c r="AR57" s="18"/>
      <c r="AS57" s="18">
        <v>4.7000000000000002E-3</v>
      </c>
      <c r="AT57" s="18"/>
      <c r="AU57" s="18">
        <v>2E-3</v>
      </c>
      <c r="AV57" s="18"/>
      <c r="AW57" s="18">
        <v>3.1800000000000002E-2</v>
      </c>
      <c r="AX57" s="127">
        <v>0.112</v>
      </c>
      <c r="AY57" s="127">
        <v>1.64</v>
      </c>
      <c r="AZ57" s="127"/>
      <c r="BA57" s="127">
        <v>0.06</v>
      </c>
      <c r="BB57" s="18" t="s">
        <v>225</v>
      </c>
      <c r="BC57" s="127">
        <v>0</v>
      </c>
      <c r="BD57" s="18"/>
      <c r="BE57" s="18"/>
      <c r="BF57" s="18"/>
      <c r="BG57" s="18"/>
      <c r="BH57" s="127">
        <v>2.5999999999999999E-3</v>
      </c>
      <c r="BI57" s="127">
        <v>2.2000000000000002</v>
      </c>
      <c r="BJ57" s="18"/>
      <c r="BK57" s="127">
        <v>0.255</v>
      </c>
      <c r="BL57" s="127">
        <v>0.3</v>
      </c>
      <c r="BM57" s="127"/>
      <c r="BN57" s="127">
        <v>6.9000000000000006E-2</v>
      </c>
      <c r="BO57" s="18">
        <v>9.8000000000000014E-3</v>
      </c>
      <c r="BP57" s="18">
        <v>1.4E-3</v>
      </c>
      <c r="BQ57" s="18">
        <v>3.5000000000000001E-3</v>
      </c>
      <c r="BR57" s="18"/>
      <c r="BS57" s="18"/>
      <c r="BT57" s="18"/>
      <c r="BU57" s="18"/>
      <c r="BV57" s="18">
        <v>1E-3</v>
      </c>
      <c r="BW57" s="18" t="s">
        <v>34</v>
      </c>
      <c r="BX57" s="18">
        <v>1.3500000000000001E-3</v>
      </c>
      <c r="BY57" s="127">
        <v>1.12E-2</v>
      </c>
      <c r="BZ57" s="18"/>
      <c r="CA57" s="127"/>
      <c r="CB57" s="127">
        <v>0.03</v>
      </c>
      <c r="CC57" s="127">
        <v>3.3000000000000002E-2</v>
      </c>
      <c r="CE57">
        <f t="shared" si="0"/>
        <v>1.3414634146341464</v>
      </c>
      <c r="CF57">
        <f t="shared" si="1"/>
        <v>8.6274509803921582</v>
      </c>
      <c r="CG57">
        <f t="shared" si="2"/>
        <v>6.4313725490196072</v>
      </c>
      <c r="CH57">
        <f t="shared" si="3"/>
        <v>0.85000000000000009</v>
      </c>
      <c r="CI57">
        <f t="shared" si="4"/>
        <v>0</v>
      </c>
      <c r="CJ57" t="e">
        <f t="shared" si="5"/>
        <v>#DIV/0!</v>
      </c>
      <c r="CK57">
        <f t="shared" si="6"/>
        <v>0</v>
      </c>
      <c r="CL57">
        <f t="shared" si="7"/>
        <v>5.4666666666666668</v>
      </c>
      <c r="CM57">
        <f t="shared" si="8"/>
        <v>7.3333333333333339</v>
      </c>
      <c r="CN57">
        <f t="shared" si="9"/>
        <v>7.3333333333333339</v>
      </c>
      <c r="CO57">
        <f t="shared" si="10"/>
        <v>3.7333333333333336E-2</v>
      </c>
      <c r="CP57">
        <f t="shared" si="11"/>
        <v>0</v>
      </c>
      <c r="CQ57">
        <f t="shared" si="12"/>
        <v>0</v>
      </c>
      <c r="CR57">
        <f t="shared" si="13"/>
        <v>0</v>
      </c>
      <c r="CS57">
        <f t="shared" si="14"/>
        <v>0.23529411764705882</v>
      </c>
      <c r="CT57">
        <f t="shared" si="15"/>
        <v>6.8292682926829273E-2</v>
      </c>
      <c r="CU57">
        <f t="shared" si="16"/>
        <v>0</v>
      </c>
      <c r="CV57">
        <f t="shared" si="17"/>
        <v>0</v>
      </c>
      <c r="CW57">
        <f t="shared" si="18"/>
        <v>0</v>
      </c>
      <c r="CX57" t="e">
        <f t="shared" si="19"/>
        <v>#DIV/0!</v>
      </c>
      <c r="CY57">
        <f t="shared" si="20"/>
        <v>4.3921568627450981E-2</v>
      </c>
      <c r="CZ57">
        <f t="shared" si="21"/>
        <v>0.90909090909090906</v>
      </c>
      <c r="DA57">
        <f t="shared" si="22"/>
        <v>0.5357142857142857</v>
      </c>
      <c r="DB57">
        <f t="shared" si="23"/>
        <v>3.6585365853658534E-2</v>
      </c>
      <c r="DC57" t="e">
        <f t="shared" si="24"/>
        <v>#DIV/0!</v>
      </c>
      <c r="DD57">
        <f t="shared" si="25"/>
        <v>0.2</v>
      </c>
      <c r="DE57">
        <f t="shared" si="26"/>
        <v>0</v>
      </c>
      <c r="DF57">
        <f t="shared" si="27"/>
        <v>0</v>
      </c>
      <c r="DG57">
        <f t="shared" si="28"/>
        <v>0</v>
      </c>
      <c r="DH57">
        <f t="shared" si="29"/>
        <v>1.3414634146341464</v>
      </c>
      <c r="DI57">
        <f t="shared" si="30"/>
        <v>0</v>
      </c>
      <c r="DJ57">
        <f t="shared" si="31"/>
        <v>2.0121951219512196E-2</v>
      </c>
      <c r="DK57">
        <f t="shared" si="32"/>
        <v>85.798512492996551</v>
      </c>
      <c r="DL57">
        <f t="shared" si="33"/>
        <v>1.1916460068471741</v>
      </c>
      <c r="DM57">
        <f t="shared" si="34"/>
        <v>13.340622369337879</v>
      </c>
      <c r="DN57">
        <f t="shared" si="35"/>
        <v>9.9448275844155098</v>
      </c>
      <c r="DO57">
        <f t="shared" si="36"/>
        <v>0.18528642179635943</v>
      </c>
      <c r="DP57">
        <f t="shared" si="37"/>
        <v>0.13812260533910428</v>
      </c>
    </row>
    <row r="58" spans="1:120">
      <c r="A58" s="16" t="s">
        <v>670</v>
      </c>
      <c r="B58" s="16" t="s">
        <v>24</v>
      </c>
      <c r="C58" s="121" t="s">
        <v>1800</v>
      </c>
      <c r="D58" s="16" t="s">
        <v>1707</v>
      </c>
      <c r="E58" s="16" t="s">
        <v>237</v>
      </c>
      <c r="F58" s="16" t="s">
        <v>661</v>
      </c>
      <c r="G58" s="16" t="s">
        <v>595</v>
      </c>
      <c r="H58" s="27">
        <v>376</v>
      </c>
      <c r="I58" s="16" t="s">
        <v>712</v>
      </c>
      <c r="J58" s="16" t="s">
        <v>635</v>
      </c>
      <c r="K58" s="16" t="s">
        <v>662</v>
      </c>
      <c r="L58" s="16"/>
      <c r="M58" s="16" t="s">
        <v>659</v>
      </c>
      <c r="N58" s="16">
        <v>19</v>
      </c>
      <c r="O58" s="95">
        <v>9.3435192595044825</v>
      </c>
      <c r="P58" s="95">
        <v>0.87274630445921009</v>
      </c>
      <c r="Q58" s="95">
        <v>5.6574495736120545</v>
      </c>
      <c r="R58" s="95">
        <v>7.4234773896942219</v>
      </c>
      <c r="S58" s="95">
        <v>36.244640644011895</v>
      </c>
      <c r="T58" s="95">
        <v>23.204784095033116</v>
      </c>
      <c r="U58" s="95">
        <v>1.0883659796785443</v>
      </c>
      <c r="V58" s="95">
        <v>5.7806608165945326</v>
      </c>
      <c r="W58" s="95">
        <v>6.9511676249280603</v>
      </c>
      <c r="X58" s="95">
        <v>2.4950276703951535</v>
      </c>
      <c r="Y58" s="95">
        <v>1.2115772226610209</v>
      </c>
      <c r="Z58" s="95">
        <v>100.2734165805723</v>
      </c>
      <c r="AA58" s="18"/>
      <c r="AB58" s="18"/>
      <c r="AC58" s="18"/>
      <c r="AD58" s="18"/>
      <c r="AE58" s="127"/>
      <c r="AF58" s="127"/>
      <c r="AG58" s="18"/>
      <c r="AH58" s="18">
        <v>107858</v>
      </c>
      <c r="AI58" s="18"/>
      <c r="AJ58" s="18">
        <v>5723</v>
      </c>
      <c r="AK58" s="134"/>
      <c r="AL58" s="18"/>
      <c r="AM58" s="134"/>
      <c r="AN58" s="127"/>
      <c r="AO58" s="18"/>
      <c r="AP58" s="18"/>
      <c r="AQ58" s="18"/>
      <c r="AR58" s="18"/>
      <c r="AS58" s="18"/>
      <c r="AT58" s="18"/>
      <c r="AU58" s="18"/>
      <c r="AV58" s="18"/>
      <c r="AW58" s="18"/>
      <c r="AX58" s="127">
        <v>551</v>
      </c>
      <c r="AY58" s="127">
        <v>3198</v>
      </c>
      <c r="AZ58" s="127">
        <v>9</v>
      </c>
      <c r="BA58" s="127">
        <v>121</v>
      </c>
      <c r="BB58" s="18"/>
      <c r="BC58" s="127">
        <v>437</v>
      </c>
      <c r="BD58" s="18"/>
      <c r="BE58" s="18"/>
      <c r="BF58" s="18"/>
      <c r="BG58" s="18"/>
      <c r="BH58" s="127">
        <v>5</v>
      </c>
      <c r="BI58" s="127">
        <v>6960</v>
      </c>
      <c r="BJ58" s="18"/>
      <c r="BK58" s="127">
        <v>297</v>
      </c>
      <c r="BL58" s="127">
        <v>448</v>
      </c>
      <c r="BM58" s="127">
        <v>57</v>
      </c>
      <c r="BN58" s="127">
        <v>217</v>
      </c>
      <c r="BO58" s="18">
        <v>25</v>
      </c>
      <c r="BP58" s="18">
        <v>3</v>
      </c>
      <c r="BQ58" s="18" t="s">
        <v>669</v>
      </c>
      <c r="BR58" s="18" t="s">
        <v>669</v>
      </c>
      <c r="BS58" s="18" t="s">
        <v>669</v>
      </c>
      <c r="BT58" s="18">
        <v>6</v>
      </c>
      <c r="BU58" s="18"/>
      <c r="BV58" s="18" t="s">
        <v>669</v>
      </c>
      <c r="BW58" s="18" t="s">
        <v>669</v>
      </c>
      <c r="BX58" s="18">
        <v>8</v>
      </c>
      <c r="BY58" s="127">
        <v>20</v>
      </c>
      <c r="BZ58" s="18"/>
      <c r="CA58" s="127"/>
      <c r="CB58" s="127">
        <v>33</v>
      </c>
      <c r="CC58" s="127">
        <v>5</v>
      </c>
      <c r="CE58">
        <f t="shared" si="0"/>
        <v>2.176360225140713</v>
      </c>
      <c r="CF58">
        <f t="shared" si="1"/>
        <v>23.434343434343436</v>
      </c>
      <c r="CG58">
        <f t="shared" si="2"/>
        <v>10.767676767676768</v>
      </c>
      <c r="CH58">
        <f t="shared" si="3"/>
        <v>0.6629464285714286</v>
      </c>
      <c r="CI58">
        <f t="shared" si="4"/>
        <v>0</v>
      </c>
      <c r="CJ58" t="e">
        <f t="shared" si="5"/>
        <v>#DIV/0!</v>
      </c>
      <c r="CK58">
        <f t="shared" si="6"/>
        <v>0</v>
      </c>
      <c r="CL58">
        <f t="shared" si="7"/>
        <v>7.1383928571428568</v>
      </c>
      <c r="CM58">
        <f t="shared" si="8"/>
        <v>15.535714285714286</v>
      </c>
      <c r="CN58">
        <f t="shared" si="9"/>
        <v>15.535714285714286</v>
      </c>
      <c r="CO58">
        <f t="shared" si="10"/>
        <v>4.4642857142857144E-2</v>
      </c>
      <c r="CP58">
        <f t="shared" si="11"/>
        <v>0</v>
      </c>
      <c r="CQ58">
        <f t="shared" si="12"/>
        <v>0</v>
      </c>
      <c r="CR58">
        <f t="shared" si="13"/>
        <v>1.4713804713804715</v>
      </c>
      <c r="CS58">
        <f t="shared" si="14"/>
        <v>0.40740740740740738</v>
      </c>
      <c r="CT58">
        <f t="shared" si="15"/>
        <v>0.17229518449030645</v>
      </c>
      <c r="CU58">
        <f t="shared" si="16"/>
        <v>3.0303030303030304E-2</v>
      </c>
      <c r="CV58" t="e">
        <f t="shared" si="17"/>
        <v>#DIV/0!</v>
      </c>
      <c r="CW58">
        <f t="shared" si="18"/>
        <v>0</v>
      </c>
      <c r="CX58">
        <f t="shared" si="19"/>
        <v>0.27688787185354691</v>
      </c>
      <c r="CY58">
        <f t="shared" si="20"/>
        <v>6.7340067340067339E-2</v>
      </c>
      <c r="CZ58">
        <f t="shared" si="21"/>
        <v>6.6</v>
      </c>
      <c r="DA58">
        <f t="shared" si="22"/>
        <v>0.21960072595281308</v>
      </c>
      <c r="DB58">
        <f t="shared" si="23"/>
        <v>3.7836147592245156E-2</v>
      </c>
      <c r="DC58">
        <f t="shared" si="24"/>
        <v>13.444444444444445</v>
      </c>
      <c r="DD58">
        <f t="shared" si="25"/>
        <v>0.2700892857142857</v>
      </c>
      <c r="DE58">
        <f t="shared" si="26"/>
        <v>0</v>
      </c>
      <c r="DF58">
        <f t="shared" si="27"/>
        <v>0</v>
      </c>
      <c r="DG58">
        <f t="shared" si="28"/>
        <v>0</v>
      </c>
      <c r="DH58">
        <f t="shared" si="29"/>
        <v>2.176360225140713</v>
      </c>
      <c r="DI58">
        <f t="shared" si="30"/>
        <v>0.13664790494058787</v>
      </c>
      <c r="DJ58">
        <f t="shared" si="31"/>
        <v>1.5634771732332708E-3</v>
      </c>
      <c r="DK58">
        <f t="shared" si="32"/>
        <v>0.12203582708421513</v>
      </c>
      <c r="DL58">
        <f t="shared" si="33"/>
        <v>1.9048651763003549E-2</v>
      </c>
      <c r="DM58">
        <f t="shared" si="34"/>
        <v>1.1333533659791086E-2</v>
      </c>
      <c r="DN58">
        <f t="shared" si="35"/>
        <v>5.2075633109212489E-3</v>
      </c>
      <c r="DO58">
        <f t="shared" si="36"/>
        <v>1.7690586534121497E-3</v>
      </c>
      <c r="DP58">
        <f t="shared" si="37"/>
        <v>8.1285195023161698E-4</v>
      </c>
    </row>
    <row r="59" spans="1:120">
      <c r="A59" s="16" t="s">
        <v>827</v>
      </c>
      <c r="B59" s="16" t="s">
        <v>24</v>
      </c>
      <c r="C59" s="121" t="s">
        <v>1800</v>
      </c>
      <c r="D59" s="16" t="s">
        <v>25</v>
      </c>
      <c r="E59" s="16" t="s">
        <v>237</v>
      </c>
      <c r="F59" s="16" t="s">
        <v>826</v>
      </c>
      <c r="G59" s="16" t="s">
        <v>595</v>
      </c>
      <c r="H59" s="27"/>
      <c r="I59" s="16" t="s">
        <v>735</v>
      </c>
      <c r="J59" s="16"/>
      <c r="K59" s="16" t="s">
        <v>115</v>
      </c>
      <c r="L59" s="16"/>
      <c r="M59" s="16" t="s">
        <v>816</v>
      </c>
      <c r="N59" s="16">
        <v>23</v>
      </c>
      <c r="O59" s="95">
        <v>8.9272351354638406</v>
      </c>
      <c r="P59" s="95">
        <v>1.3187960995571579</v>
      </c>
      <c r="Q59" s="95">
        <v>0.50722926906044541</v>
      </c>
      <c r="R59" s="95">
        <v>7.5069931820945914</v>
      </c>
      <c r="S59" s="95">
        <v>24.448450768713471</v>
      </c>
      <c r="T59" s="95">
        <v>18.463145393800211</v>
      </c>
      <c r="U59" s="95">
        <v>1.6231336609934255</v>
      </c>
      <c r="V59" s="95">
        <v>9.535910258336374</v>
      </c>
      <c r="W59" s="95">
        <v>20.897845885290351</v>
      </c>
      <c r="X59" s="95">
        <v>3.5506048834231176</v>
      </c>
      <c r="Y59" s="95">
        <v>4.1592800062956519</v>
      </c>
      <c r="Z59" s="95">
        <v>100.93862454302864</v>
      </c>
      <c r="AA59" s="18"/>
      <c r="AB59" s="18"/>
      <c r="AC59" s="18"/>
      <c r="AD59" s="18"/>
      <c r="AE59" s="127"/>
      <c r="AF59" s="127"/>
      <c r="AG59" s="18"/>
      <c r="AH59" s="18"/>
      <c r="AI59" s="18"/>
      <c r="AJ59" s="18"/>
      <c r="AK59" s="134"/>
      <c r="AL59" s="18"/>
      <c r="AM59" s="134"/>
      <c r="AN59" s="127"/>
      <c r="AO59" s="18"/>
      <c r="AP59" s="18"/>
      <c r="AQ59" s="18"/>
      <c r="AR59" s="18"/>
      <c r="AS59" s="18"/>
      <c r="AT59" s="18"/>
      <c r="AU59" s="18"/>
      <c r="AV59" s="18"/>
      <c r="AW59" s="18"/>
      <c r="AX59" s="127"/>
      <c r="AY59" s="127"/>
      <c r="AZ59" s="127"/>
      <c r="BA59" s="127"/>
      <c r="BB59" s="18"/>
      <c r="BC59" s="127"/>
      <c r="BD59" s="18"/>
      <c r="BE59" s="18"/>
      <c r="BF59" s="18"/>
      <c r="BG59" s="18"/>
      <c r="BH59" s="127"/>
      <c r="BI59" s="127"/>
      <c r="BJ59" s="18"/>
      <c r="BK59" s="127"/>
      <c r="BL59" s="127"/>
      <c r="BM59" s="127"/>
      <c r="BN59" s="127"/>
      <c r="BO59" s="18"/>
      <c r="BP59" s="18"/>
      <c r="BQ59" s="18"/>
      <c r="BR59" s="18"/>
      <c r="BS59" s="18"/>
      <c r="BT59" s="18"/>
      <c r="BU59" s="18"/>
      <c r="BV59" s="18"/>
      <c r="BW59" s="18"/>
      <c r="BX59" s="18"/>
      <c r="BY59" s="127"/>
      <c r="BZ59" s="18"/>
      <c r="CA59" s="127"/>
      <c r="CB59" s="127"/>
      <c r="CC59" s="127"/>
      <c r="CE59" t="e">
        <f t="shared" si="0"/>
        <v>#DIV/0!</v>
      </c>
      <c r="CF59" t="e">
        <f t="shared" si="1"/>
        <v>#DIV/0!</v>
      </c>
      <c r="CG59" t="e">
        <f t="shared" si="2"/>
        <v>#DIV/0!</v>
      </c>
      <c r="CH59" t="e">
        <f t="shared" si="3"/>
        <v>#DIV/0!</v>
      </c>
      <c r="CI59" t="e">
        <f t="shared" si="4"/>
        <v>#DIV/0!</v>
      </c>
      <c r="CJ59" t="e">
        <f t="shared" si="5"/>
        <v>#DIV/0!</v>
      </c>
      <c r="CK59" t="e">
        <f t="shared" si="6"/>
        <v>#DIV/0!</v>
      </c>
      <c r="CL59" t="e">
        <f t="shared" si="7"/>
        <v>#DIV/0!</v>
      </c>
      <c r="CM59" t="e">
        <f t="shared" si="8"/>
        <v>#DIV/0!</v>
      </c>
      <c r="CN59" t="e">
        <f t="shared" si="9"/>
        <v>#DIV/0!</v>
      </c>
      <c r="CO59" t="e">
        <f t="shared" si="10"/>
        <v>#DIV/0!</v>
      </c>
      <c r="CP59" t="e">
        <f t="shared" si="11"/>
        <v>#DIV/0!</v>
      </c>
      <c r="CQ59" t="e">
        <f t="shared" si="12"/>
        <v>#DIV/0!</v>
      </c>
      <c r="CR59" t="e">
        <f t="shared" si="13"/>
        <v>#DIV/0!</v>
      </c>
      <c r="CS59" t="e">
        <f t="shared" si="14"/>
        <v>#DIV/0!</v>
      </c>
      <c r="CT59" t="e">
        <f t="shared" si="15"/>
        <v>#DIV/0!</v>
      </c>
      <c r="CU59" t="e">
        <f t="shared" si="16"/>
        <v>#DIV/0!</v>
      </c>
      <c r="CV59" t="e">
        <f t="shared" si="17"/>
        <v>#DIV/0!</v>
      </c>
      <c r="CW59" t="e">
        <f t="shared" si="18"/>
        <v>#DIV/0!</v>
      </c>
      <c r="CX59" t="e">
        <f t="shared" si="19"/>
        <v>#DIV/0!</v>
      </c>
      <c r="CY59" t="e">
        <f t="shared" si="20"/>
        <v>#DIV/0!</v>
      </c>
      <c r="CZ59" t="e">
        <f t="shared" si="21"/>
        <v>#DIV/0!</v>
      </c>
      <c r="DA59" t="e">
        <f t="shared" si="22"/>
        <v>#DIV/0!</v>
      </c>
      <c r="DB59" t="e">
        <f t="shared" si="23"/>
        <v>#DIV/0!</v>
      </c>
      <c r="DC59" t="e">
        <f t="shared" si="24"/>
        <v>#DIV/0!</v>
      </c>
      <c r="DD59" t="e">
        <f t="shared" si="25"/>
        <v>#DIV/0!</v>
      </c>
      <c r="DE59" t="e">
        <f t="shared" si="26"/>
        <v>#DIV/0!</v>
      </c>
      <c r="DF59" t="e">
        <f t="shared" si="27"/>
        <v>#DIV/0!</v>
      </c>
      <c r="DG59" t="e">
        <f t="shared" si="28"/>
        <v>#DIV/0!</v>
      </c>
      <c r="DH59" t="e">
        <f t="shared" si="29"/>
        <v>#DIV/0!</v>
      </c>
      <c r="DI59" t="e">
        <f t="shared" si="30"/>
        <v>#DIV/0!</v>
      </c>
      <c r="DJ59" t="e">
        <f t="shared" si="31"/>
        <v>#DIV/0!</v>
      </c>
      <c r="DK59" t="e">
        <f t="shared" si="32"/>
        <v>#DIV/0!</v>
      </c>
      <c r="DL59" t="e">
        <f t="shared" si="33"/>
        <v>#DIV/0!</v>
      </c>
      <c r="DM59" t="e">
        <f t="shared" si="34"/>
        <v>#DIV/0!</v>
      </c>
      <c r="DN59" t="e">
        <f t="shared" si="35"/>
        <v>#DIV/0!</v>
      </c>
      <c r="DO59" t="e">
        <f t="shared" si="36"/>
        <v>#DIV/0!</v>
      </c>
      <c r="DP59" t="e">
        <f t="shared" si="37"/>
        <v>#DIV/0!</v>
      </c>
    </row>
    <row r="60" spans="1:120">
      <c r="A60" s="16" t="s">
        <v>827</v>
      </c>
      <c r="B60" s="16" t="s">
        <v>24</v>
      </c>
      <c r="C60" s="121" t="s">
        <v>1800</v>
      </c>
      <c r="D60" s="16" t="s">
        <v>25</v>
      </c>
      <c r="E60" s="16" t="s">
        <v>237</v>
      </c>
      <c r="F60" s="16" t="s">
        <v>26</v>
      </c>
      <c r="G60" s="16" t="s">
        <v>595</v>
      </c>
      <c r="H60" s="27">
        <v>358</v>
      </c>
      <c r="I60" s="16" t="s">
        <v>735</v>
      </c>
      <c r="J60" s="16"/>
      <c r="K60" s="16" t="s">
        <v>115</v>
      </c>
      <c r="L60" s="16"/>
      <c r="M60" s="16" t="s">
        <v>815</v>
      </c>
      <c r="N60" s="16">
        <v>14</v>
      </c>
      <c r="O60" s="95">
        <v>8.8327146808914279</v>
      </c>
      <c r="P60" s="95">
        <v>1.2044610928488308</v>
      </c>
      <c r="Q60" s="95">
        <v>1.7063198815358438</v>
      </c>
      <c r="R60" s="95">
        <v>8.0297406189922054</v>
      </c>
      <c r="S60" s="95">
        <v>22.684017248652982</v>
      </c>
      <c r="T60" s="95">
        <v>18.669146939156882</v>
      </c>
      <c r="U60" s="95">
        <v>2.208178670222857</v>
      </c>
      <c r="V60" s="95">
        <v>4.0148703094961027</v>
      </c>
      <c r="W60" s="95">
        <v>25.695169980775063</v>
      </c>
      <c r="X60" s="95">
        <v>3.6133832785464928</v>
      </c>
      <c r="Y60" s="95">
        <v>4.3159855827083105</v>
      </c>
      <c r="Z60" s="95">
        <v>100.973988283827</v>
      </c>
      <c r="AA60" s="18"/>
      <c r="AB60" s="18"/>
      <c r="AC60" s="18"/>
      <c r="AD60" s="18"/>
      <c r="AE60" s="127"/>
      <c r="AF60" s="127"/>
      <c r="AG60" s="18"/>
      <c r="AH60" s="18"/>
      <c r="AI60" s="18"/>
      <c r="AJ60" s="18"/>
      <c r="AK60" s="134"/>
      <c r="AL60" s="18"/>
      <c r="AM60" s="134"/>
      <c r="AN60" s="127"/>
      <c r="AO60" s="18"/>
      <c r="AP60" s="18"/>
      <c r="AQ60" s="18"/>
      <c r="AR60" s="18"/>
      <c r="AS60" s="18"/>
      <c r="AT60" s="18"/>
      <c r="AU60" s="18"/>
      <c r="AV60" s="18"/>
      <c r="AW60" s="18"/>
      <c r="AX60" s="127"/>
      <c r="AY60" s="127"/>
      <c r="AZ60" s="127"/>
      <c r="BA60" s="127"/>
      <c r="BB60" s="18"/>
      <c r="BC60" s="127"/>
      <c r="BD60" s="18"/>
      <c r="BE60" s="18"/>
      <c r="BF60" s="18"/>
      <c r="BG60" s="18"/>
      <c r="BH60" s="127"/>
      <c r="BI60" s="127"/>
      <c r="BJ60" s="18"/>
      <c r="BK60" s="127"/>
      <c r="BL60" s="127"/>
      <c r="BM60" s="127"/>
      <c r="BN60" s="127"/>
      <c r="BO60" s="18"/>
      <c r="BP60" s="18"/>
      <c r="BQ60" s="18"/>
      <c r="BR60" s="18"/>
      <c r="BS60" s="18"/>
      <c r="BT60" s="18"/>
      <c r="BU60" s="18"/>
      <c r="BV60" s="18"/>
      <c r="BW60" s="18"/>
      <c r="BX60" s="18"/>
      <c r="BY60" s="127"/>
      <c r="BZ60" s="18"/>
      <c r="CA60" s="127"/>
      <c r="CB60" s="127"/>
      <c r="CC60" s="127"/>
      <c r="CE60" t="e">
        <f t="shared" si="0"/>
        <v>#DIV/0!</v>
      </c>
      <c r="CF60" t="e">
        <f t="shared" si="1"/>
        <v>#DIV/0!</v>
      </c>
      <c r="CG60" t="e">
        <f t="shared" si="2"/>
        <v>#DIV/0!</v>
      </c>
      <c r="CH60" t="e">
        <f t="shared" si="3"/>
        <v>#DIV/0!</v>
      </c>
      <c r="CI60" t="e">
        <f t="shared" si="4"/>
        <v>#DIV/0!</v>
      </c>
      <c r="CJ60" t="e">
        <f t="shared" si="5"/>
        <v>#DIV/0!</v>
      </c>
      <c r="CK60" t="e">
        <f t="shared" si="6"/>
        <v>#DIV/0!</v>
      </c>
      <c r="CL60" t="e">
        <f t="shared" si="7"/>
        <v>#DIV/0!</v>
      </c>
      <c r="CM60" t="e">
        <f t="shared" si="8"/>
        <v>#DIV/0!</v>
      </c>
      <c r="CN60" t="e">
        <f t="shared" si="9"/>
        <v>#DIV/0!</v>
      </c>
      <c r="CO60" t="e">
        <f t="shared" si="10"/>
        <v>#DIV/0!</v>
      </c>
      <c r="CP60" t="e">
        <f t="shared" si="11"/>
        <v>#DIV/0!</v>
      </c>
      <c r="CQ60" t="e">
        <f t="shared" si="12"/>
        <v>#DIV/0!</v>
      </c>
      <c r="CR60" t="e">
        <f t="shared" si="13"/>
        <v>#DIV/0!</v>
      </c>
      <c r="CS60" t="e">
        <f t="shared" si="14"/>
        <v>#DIV/0!</v>
      </c>
      <c r="CT60" t="e">
        <f t="shared" si="15"/>
        <v>#DIV/0!</v>
      </c>
      <c r="CU60" t="e">
        <f t="shared" si="16"/>
        <v>#DIV/0!</v>
      </c>
      <c r="CV60" t="e">
        <f t="shared" si="17"/>
        <v>#DIV/0!</v>
      </c>
      <c r="CW60" t="e">
        <f t="shared" si="18"/>
        <v>#DIV/0!</v>
      </c>
      <c r="CX60" t="e">
        <f t="shared" si="19"/>
        <v>#DIV/0!</v>
      </c>
      <c r="CY60" t="e">
        <f t="shared" si="20"/>
        <v>#DIV/0!</v>
      </c>
      <c r="CZ60" t="e">
        <f t="shared" si="21"/>
        <v>#DIV/0!</v>
      </c>
      <c r="DA60" t="e">
        <f t="shared" si="22"/>
        <v>#DIV/0!</v>
      </c>
      <c r="DB60" t="e">
        <f t="shared" si="23"/>
        <v>#DIV/0!</v>
      </c>
      <c r="DC60" t="e">
        <f t="shared" si="24"/>
        <v>#DIV/0!</v>
      </c>
      <c r="DD60" t="e">
        <f t="shared" si="25"/>
        <v>#DIV/0!</v>
      </c>
      <c r="DE60" t="e">
        <f t="shared" si="26"/>
        <v>#DIV/0!</v>
      </c>
      <c r="DF60" t="e">
        <f t="shared" si="27"/>
        <v>#DIV/0!</v>
      </c>
      <c r="DG60" t="e">
        <f t="shared" si="28"/>
        <v>#DIV/0!</v>
      </c>
      <c r="DH60" t="e">
        <f t="shared" si="29"/>
        <v>#DIV/0!</v>
      </c>
      <c r="DI60" t="e">
        <f t="shared" si="30"/>
        <v>#DIV/0!</v>
      </c>
      <c r="DJ60" t="e">
        <f t="shared" si="31"/>
        <v>#DIV/0!</v>
      </c>
      <c r="DK60" t="e">
        <f t="shared" si="32"/>
        <v>#DIV/0!</v>
      </c>
      <c r="DL60" t="e">
        <f t="shared" si="33"/>
        <v>#DIV/0!</v>
      </c>
      <c r="DM60" t="e">
        <f t="shared" si="34"/>
        <v>#DIV/0!</v>
      </c>
      <c r="DN60" t="e">
        <f t="shared" si="35"/>
        <v>#DIV/0!</v>
      </c>
      <c r="DO60" t="e">
        <f t="shared" si="36"/>
        <v>#DIV/0!</v>
      </c>
      <c r="DP60" t="e">
        <f t="shared" si="37"/>
        <v>#DIV/0!</v>
      </c>
    </row>
    <row r="61" spans="1:120">
      <c r="A61" s="16" t="s">
        <v>1323</v>
      </c>
      <c r="B61" s="16" t="s">
        <v>24</v>
      </c>
      <c r="C61" s="121" t="s">
        <v>1800</v>
      </c>
      <c r="D61" s="16" t="s">
        <v>25</v>
      </c>
      <c r="E61" s="16" t="s">
        <v>237</v>
      </c>
      <c r="F61" s="16" t="s">
        <v>26</v>
      </c>
      <c r="G61" s="16" t="s">
        <v>595</v>
      </c>
      <c r="H61" s="27">
        <v>358</v>
      </c>
      <c r="I61" s="16" t="s">
        <v>735</v>
      </c>
      <c r="J61" s="16" t="s">
        <v>635</v>
      </c>
      <c r="K61" s="16" t="s">
        <v>115</v>
      </c>
      <c r="L61" s="16"/>
      <c r="M61" s="16" t="s">
        <v>813</v>
      </c>
      <c r="N61" s="16">
        <v>25</v>
      </c>
      <c r="O61" s="95">
        <v>9.7464236825578752</v>
      </c>
      <c r="P61" s="95">
        <v>0.92334540150548294</v>
      </c>
      <c r="Q61" s="95">
        <v>1.7440968695103567</v>
      </c>
      <c r="R61" s="95">
        <v>6.4634178105383802</v>
      </c>
      <c r="S61" s="95">
        <v>23.699198638640727</v>
      </c>
      <c r="T61" s="95">
        <v>17.338374761602953</v>
      </c>
      <c r="U61" s="95">
        <v>0.61556360100365526</v>
      </c>
      <c r="V61" s="95">
        <v>9.9516115495590931</v>
      </c>
      <c r="W61" s="95">
        <v>23.596604705140116</v>
      </c>
      <c r="X61" s="95">
        <v>1.9492847365115746</v>
      </c>
      <c r="Y61" s="95">
        <v>5.12969667503046</v>
      </c>
      <c r="Z61" s="95">
        <v>101.15761843160067</v>
      </c>
      <c r="AA61" s="18"/>
      <c r="AB61" s="18"/>
      <c r="AC61" s="18"/>
      <c r="AD61" s="18"/>
      <c r="AE61" s="127"/>
      <c r="AF61" s="127"/>
      <c r="AG61" s="18"/>
      <c r="AH61" s="18">
        <v>480</v>
      </c>
      <c r="AI61" s="18"/>
      <c r="AJ61" s="18">
        <v>30.4</v>
      </c>
      <c r="AK61" s="134"/>
      <c r="AL61" s="18"/>
      <c r="AM61" s="134"/>
      <c r="AN61" s="127"/>
      <c r="AO61" s="18"/>
      <c r="AP61" s="18"/>
      <c r="AQ61" s="18"/>
      <c r="AR61" s="18"/>
      <c r="AS61" s="18"/>
      <c r="AT61" s="18"/>
      <c r="AU61" s="18"/>
      <c r="AV61" s="18"/>
      <c r="AW61" s="18"/>
      <c r="AX61" s="127">
        <v>2.2400000000000002</v>
      </c>
      <c r="AY61" s="127">
        <v>12</v>
      </c>
      <c r="AZ61" s="127">
        <v>5.2999999999999999E-2</v>
      </c>
      <c r="BA61" s="127">
        <v>0.93899999999999995</v>
      </c>
      <c r="BB61" s="18"/>
      <c r="BC61" s="127">
        <v>4.3540000000000001</v>
      </c>
      <c r="BD61" s="18"/>
      <c r="BE61" s="18"/>
      <c r="BF61" s="18"/>
      <c r="BG61" s="18"/>
      <c r="BH61" s="127">
        <v>2.8000000000000001E-2</v>
      </c>
      <c r="BI61" s="127">
        <v>36.299999999999997</v>
      </c>
      <c r="BJ61" s="18"/>
      <c r="BK61" s="127">
        <v>2.68</v>
      </c>
      <c r="BL61" s="127">
        <v>3.36</v>
      </c>
      <c r="BM61" s="127">
        <v>0.34</v>
      </c>
      <c r="BN61" s="127">
        <v>1.22</v>
      </c>
      <c r="BO61" s="18">
        <v>0.106</v>
      </c>
      <c r="BP61" s="18">
        <v>2.5999999999999999E-2</v>
      </c>
      <c r="BQ61" s="18">
        <v>4.4999999999999998E-2</v>
      </c>
      <c r="BR61" s="18">
        <v>2.1000000000000001E-2</v>
      </c>
      <c r="BS61" s="18">
        <v>0</v>
      </c>
      <c r="BT61" s="18">
        <v>0</v>
      </c>
      <c r="BU61" s="18"/>
      <c r="BV61" s="18">
        <v>0</v>
      </c>
      <c r="BW61" s="18"/>
      <c r="BX61" s="18"/>
      <c r="BY61" s="127">
        <v>0.28000000000000003</v>
      </c>
      <c r="BZ61" s="18"/>
      <c r="CA61" s="127"/>
      <c r="CB61" s="127">
        <v>0.39800000000000002</v>
      </c>
      <c r="CC61" s="127">
        <v>5.8000000000000003E-2</v>
      </c>
      <c r="CE61">
        <f t="shared" si="0"/>
        <v>3.0249999999999999</v>
      </c>
      <c r="CF61">
        <f t="shared" si="1"/>
        <v>13.544776119402984</v>
      </c>
      <c r="CG61">
        <f t="shared" si="2"/>
        <v>4.4776119402985071</v>
      </c>
      <c r="CH61">
        <f t="shared" si="3"/>
        <v>0.79761904761904767</v>
      </c>
      <c r="CI61">
        <f t="shared" si="4"/>
        <v>0</v>
      </c>
      <c r="CJ61" t="e">
        <f t="shared" si="5"/>
        <v>#DIV/0!</v>
      </c>
      <c r="CK61">
        <f t="shared" si="6"/>
        <v>0</v>
      </c>
      <c r="CL61">
        <f t="shared" si="7"/>
        <v>3.5714285714285716</v>
      </c>
      <c r="CM61">
        <f t="shared" si="8"/>
        <v>10.803571428571429</v>
      </c>
      <c r="CN61">
        <f t="shared" si="9"/>
        <v>10.803571428571429</v>
      </c>
      <c r="CO61">
        <f t="shared" si="10"/>
        <v>8.3333333333333343E-2</v>
      </c>
      <c r="CP61">
        <f t="shared" si="11"/>
        <v>0</v>
      </c>
      <c r="CQ61">
        <f t="shared" si="12"/>
        <v>0</v>
      </c>
      <c r="CR61">
        <f t="shared" si="13"/>
        <v>1.6246268656716418</v>
      </c>
      <c r="CS61">
        <f t="shared" si="14"/>
        <v>0.35037313432835815</v>
      </c>
      <c r="CT61">
        <f t="shared" si="15"/>
        <v>0.18666666666666668</v>
      </c>
      <c r="CU61">
        <f t="shared" si="16"/>
        <v>1.9776119402985074E-2</v>
      </c>
      <c r="CV61" t="e">
        <f t="shared" si="17"/>
        <v>#DIV/0!</v>
      </c>
      <c r="CW61">
        <f t="shared" si="18"/>
        <v>0</v>
      </c>
      <c r="CX61">
        <f t="shared" si="19"/>
        <v>0.21566375746440053</v>
      </c>
      <c r="CY61">
        <f t="shared" si="20"/>
        <v>0.10447761194029852</v>
      </c>
      <c r="CZ61">
        <f t="shared" si="21"/>
        <v>6.8620689655172411</v>
      </c>
      <c r="DA61">
        <f t="shared" si="22"/>
        <v>0.41919642857142853</v>
      </c>
      <c r="DB61">
        <f t="shared" si="23"/>
        <v>7.825E-2</v>
      </c>
      <c r="DC61">
        <f t="shared" si="24"/>
        <v>17.716981132075471</v>
      </c>
      <c r="DD61">
        <f t="shared" si="25"/>
        <v>0.27946428571428572</v>
      </c>
      <c r="DE61">
        <f t="shared" si="26"/>
        <v>0</v>
      </c>
      <c r="DF61">
        <f t="shared" si="27"/>
        <v>0</v>
      </c>
      <c r="DG61">
        <f t="shared" si="28"/>
        <v>0</v>
      </c>
      <c r="DH61">
        <f t="shared" si="29"/>
        <v>3.0249999999999999</v>
      </c>
      <c r="DI61">
        <f t="shared" si="30"/>
        <v>0.36283333333333334</v>
      </c>
      <c r="DJ61">
        <f t="shared" si="31"/>
        <v>4.8333333333333336E-3</v>
      </c>
      <c r="DK61">
        <f t="shared" si="32"/>
        <v>8.8429845666569875</v>
      </c>
      <c r="DL61">
        <f t="shared" si="33"/>
        <v>0.65078241399640169</v>
      </c>
      <c r="DM61">
        <f t="shared" si="34"/>
        <v>1.9749332198867273</v>
      </c>
      <c r="DN61">
        <f t="shared" si="35"/>
        <v>0.6528704859129677</v>
      </c>
      <c r="DO61">
        <f t="shared" si="36"/>
        <v>0.14534140579252972</v>
      </c>
      <c r="DP61">
        <f t="shared" si="37"/>
        <v>4.8046745716538754E-2</v>
      </c>
    </row>
    <row r="62" spans="1:120">
      <c r="A62" s="16" t="s">
        <v>1175</v>
      </c>
      <c r="B62" s="16" t="s">
        <v>24</v>
      </c>
      <c r="C62" s="121" t="s">
        <v>1800</v>
      </c>
      <c r="D62" s="16" t="s">
        <v>1707</v>
      </c>
      <c r="E62" s="16" t="s">
        <v>171</v>
      </c>
      <c r="F62" s="16" t="s">
        <v>45</v>
      </c>
      <c r="G62" s="16" t="s">
        <v>595</v>
      </c>
      <c r="H62" s="27">
        <v>55</v>
      </c>
      <c r="I62" s="16" t="s">
        <v>712</v>
      </c>
      <c r="J62" s="16"/>
      <c r="K62" s="16"/>
      <c r="L62" s="16" t="s">
        <v>773</v>
      </c>
      <c r="M62" s="16" t="s">
        <v>46</v>
      </c>
      <c r="N62" s="16">
        <v>60</v>
      </c>
      <c r="O62" s="95">
        <v>9.5437077993038031</v>
      </c>
      <c r="P62" s="95">
        <v>1.0262051397100862</v>
      </c>
      <c r="Q62" s="95">
        <v>1.6419282235361381</v>
      </c>
      <c r="R62" s="95">
        <v>7.9017795757676641</v>
      </c>
      <c r="S62" s="95">
        <v>19.087415598607606</v>
      </c>
      <c r="T62" s="95">
        <v>13.340666816231121</v>
      </c>
      <c r="U62" s="95">
        <v>7.9017795757676641</v>
      </c>
      <c r="V62" s="95">
        <v>15.906179665506336</v>
      </c>
      <c r="W62" s="95">
        <v>13.340666816231121</v>
      </c>
      <c r="X62" s="95">
        <v>3.0786154191302586</v>
      </c>
      <c r="Y62" s="95">
        <v>9.3384667713617837</v>
      </c>
      <c r="Z62" s="95">
        <v>102.10741140115358</v>
      </c>
      <c r="AA62" s="18"/>
      <c r="AB62" s="18"/>
      <c r="AC62" s="18"/>
      <c r="AD62" s="18"/>
      <c r="AE62" s="127"/>
      <c r="AF62" s="127"/>
      <c r="AG62" s="18"/>
      <c r="AH62" s="18">
        <v>250</v>
      </c>
      <c r="AI62" s="18"/>
      <c r="AJ62" s="18">
        <v>1.3</v>
      </c>
      <c r="AK62" s="134"/>
      <c r="AL62" s="18"/>
      <c r="AM62" s="134"/>
      <c r="AN62" s="127"/>
      <c r="AO62" s="18"/>
      <c r="AP62" s="18"/>
      <c r="AQ62" s="18"/>
      <c r="AR62" s="18"/>
      <c r="AS62" s="18"/>
      <c r="AT62" s="18"/>
      <c r="AU62" s="18"/>
      <c r="AV62" s="18"/>
      <c r="AW62" s="18"/>
      <c r="AX62" s="127">
        <v>0.35</v>
      </c>
      <c r="AY62" s="127">
        <v>10.199999999999999</v>
      </c>
      <c r="AZ62" s="127">
        <v>4.3E-3</v>
      </c>
      <c r="BA62" s="127">
        <v>0.27</v>
      </c>
      <c r="BB62" s="18"/>
      <c r="BC62" s="127">
        <v>1.9490000000000001</v>
      </c>
      <c r="BD62" s="18"/>
      <c r="BE62" s="18"/>
      <c r="BF62" s="18"/>
      <c r="BG62" s="18"/>
      <c r="BH62" s="127">
        <v>3.1E-2</v>
      </c>
      <c r="BI62" s="127">
        <v>130</v>
      </c>
      <c r="BJ62" s="18"/>
      <c r="BK62" s="127">
        <v>6.2</v>
      </c>
      <c r="BL62" s="127">
        <v>5.0999999999999996</v>
      </c>
      <c r="BM62" s="127">
        <v>0.28999999999999998</v>
      </c>
      <c r="BN62" s="127">
        <v>0.79</v>
      </c>
      <c r="BO62" s="18">
        <v>0.05</v>
      </c>
      <c r="BP62" s="18">
        <v>1.4E-2</v>
      </c>
      <c r="BQ62" s="18">
        <v>2.7E-2</v>
      </c>
      <c r="BR62" s="18"/>
      <c r="BS62" s="18"/>
      <c r="BT62" s="18"/>
      <c r="BU62" s="18"/>
      <c r="BV62" s="18">
        <v>1.4E-2</v>
      </c>
      <c r="BW62" s="18"/>
      <c r="BX62" s="18"/>
      <c r="BY62" s="127">
        <v>8.6999999999999994E-2</v>
      </c>
      <c r="BZ62" s="18"/>
      <c r="CA62" s="127"/>
      <c r="CB62" s="127">
        <v>1.5</v>
      </c>
      <c r="CC62" s="127">
        <v>0.18</v>
      </c>
      <c r="CE62">
        <f t="shared" si="0"/>
        <v>12.745098039215687</v>
      </c>
      <c r="CF62">
        <f t="shared" si="1"/>
        <v>20.967741935483872</v>
      </c>
      <c r="CG62">
        <f t="shared" si="2"/>
        <v>1.6451612903225805</v>
      </c>
      <c r="CH62">
        <f t="shared" si="3"/>
        <v>1.215686274509804</v>
      </c>
      <c r="CI62">
        <f t="shared" si="4"/>
        <v>0</v>
      </c>
      <c r="CJ62" t="e">
        <f t="shared" si="5"/>
        <v>#DIV/0!</v>
      </c>
      <c r="CK62">
        <f t="shared" si="6"/>
        <v>0</v>
      </c>
      <c r="CL62">
        <f t="shared" si="7"/>
        <v>2</v>
      </c>
      <c r="CM62">
        <f t="shared" si="8"/>
        <v>25.490196078431374</v>
      </c>
      <c r="CN62">
        <f t="shared" si="9"/>
        <v>25.490196078431374</v>
      </c>
      <c r="CO62">
        <f t="shared" si="10"/>
        <v>1.7058823529411765E-2</v>
      </c>
      <c r="CP62">
        <f t="shared" si="11"/>
        <v>0</v>
      </c>
      <c r="CQ62">
        <f t="shared" si="12"/>
        <v>0</v>
      </c>
      <c r="CR62">
        <f t="shared" si="13"/>
        <v>0.3143548387096774</v>
      </c>
      <c r="CS62">
        <f t="shared" si="14"/>
        <v>4.3548387096774194E-2</v>
      </c>
      <c r="CT62">
        <f t="shared" si="15"/>
        <v>3.4313725490196081E-2</v>
      </c>
      <c r="CU62">
        <f t="shared" si="16"/>
        <v>6.9354838709677423E-4</v>
      </c>
      <c r="CV62" t="e">
        <f t="shared" si="17"/>
        <v>#DIV/0!</v>
      </c>
      <c r="CW62">
        <f t="shared" si="18"/>
        <v>0</v>
      </c>
      <c r="CX62">
        <f t="shared" si="19"/>
        <v>0.13853258081067216</v>
      </c>
      <c r="CY62">
        <f t="shared" si="20"/>
        <v>1.4032258064516127E-2</v>
      </c>
      <c r="CZ62">
        <f t="shared" si="21"/>
        <v>8.3333333333333339</v>
      </c>
      <c r="DA62">
        <f t="shared" si="22"/>
        <v>0.77142857142857157</v>
      </c>
      <c r="DB62">
        <f t="shared" si="23"/>
        <v>2.6470588235294121E-2</v>
      </c>
      <c r="DC62">
        <f t="shared" si="24"/>
        <v>62.79069767441861</v>
      </c>
      <c r="DD62">
        <f t="shared" si="25"/>
        <v>5.2941176470588241E-2</v>
      </c>
      <c r="DE62">
        <f t="shared" si="26"/>
        <v>0</v>
      </c>
      <c r="DF62">
        <f t="shared" si="27"/>
        <v>0</v>
      </c>
      <c r="DG62">
        <f t="shared" si="28"/>
        <v>0</v>
      </c>
      <c r="DH62">
        <f t="shared" si="29"/>
        <v>12.745098039215687</v>
      </c>
      <c r="DI62">
        <f t="shared" si="30"/>
        <v>0.19107843137254904</v>
      </c>
      <c r="DJ62">
        <f t="shared" si="31"/>
        <v>1.7647058823529412E-2</v>
      </c>
      <c r="DK62">
        <f t="shared" si="32"/>
        <v>3.078615419130259</v>
      </c>
      <c r="DL62">
        <f t="shared" si="33"/>
        <v>0.26482713282840936</v>
      </c>
      <c r="DM62">
        <f t="shared" si="34"/>
        <v>1.8713152547654517</v>
      </c>
      <c r="DN62">
        <f t="shared" si="35"/>
        <v>0.14682627383544311</v>
      </c>
      <c r="DO62">
        <f t="shared" si="36"/>
        <v>0.16097335524864101</v>
      </c>
      <c r="DP62">
        <f t="shared" si="37"/>
        <v>1.2630217104124139E-2</v>
      </c>
    </row>
    <row r="63" spans="1:120">
      <c r="A63" s="16" t="s">
        <v>1361</v>
      </c>
      <c r="B63" s="16" t="s">
        <v>24</v>
      </c>
      <c r="C63" s="121" t="s">
        <v>1800</v>
      </c>
      <c r="D63" s="16" t="s">
        <v>1265</v>
      </c>
      <c r="E63" s="16" t="s">
        <v>171</v>
      </c>
      <c r="F63" s="16" t="s">
        <v>1266</v>
      </c>
      <c r="G63" s="16" t="s">
        <v>595</v>
      </c>
      <c r="H63" s="27">
        <v>540</v>
      </c>
      <c r="I63" s="16" t="s">
        <v>735</v>
      </c>
      <c r="J63" s="16"/>
      <c r="K63" s="16" t="s">
        <v>115</v>
      </c>
      <c r="L63" s="16"/>
      <c r="M63" s="16" t="s">
        <v>1363</v>
      </c>
      <c r="N63" s="16">
        <v>13</v>
      </c>
      <c r="O63" s="95">
        <v>10.542030011741122</v>
      </c>
      <c r="P63" s="95">
        <v>2.4222903050338305</v>
      </c>
      <c r="Q63" s="95">
        <v>0.48382458284648217</v>
      </c>
      <c r="R63" s="95">
        <v>9.4652264236810932</v>
      </c>
      <c r="S63" s="95">
        <v>17.949472631284703</v>
      </c>
      <c r="T63" s="95">
        <v>13.11649503080714</v>
      </c>
      <c r="U63" s="95">
        <v>5.2924937228278583</v>
      </c>
      <c r="V63" s="95">
        <v>11.078649289440145</v>
      </c>
      <c r="W63" s="95">
        <v>21.398658119291238</v>
      </c>
      <c r="X63" s="95">
        <v>2.1960020017427584</v>
      </c>
      <c r="Y63" s="95">
        <v>7.8194794860551724</v>
      </c>
      <c r="Z63" s="95">
        <v>101.76462160475155</v>
      </c>
      <c r="AA63" s="18"/>
      <c r="AB63" s="18"/>
      <c r="AC63" s="18"/>
      <c r="AD63" s="18"/>
      <c r="AE63" s="127"/>
      <c r="AF63" s="127"/>
      <c r="AG63" s="18"/>
      <c r="AH63" s="18"/>
      <c r="AI63" s="18"/>
      <c r="AJ63" s="18"/>
      <c r="AK63" s="134"/>
      <c r="AL63" s="18"/>
      <c r="AM63" s="134"/>
      <c r="AN63" s="127"/>
      <c r="AO63" s="18"/>
      <c r="AP63" s="18"/>
      <c r="AQ63" s="18"/>
      <c r="AR63" s="18"/>
      <c r="AS63" s="18"/>
      <c r="AT63" s="18"/>
      <c r="AU63" s="18"/>
      <c r="AV63" s="18"/>
      <c r="AW63" s="18"/>
      <c r="AX63" s="127"/>
      <c r="AY63" s="127"/>
      <c r="AZ63" s="127"/>
      <c r="BA63" s="127"/>
      <c r="BB63" s="18"/>
      <c r="BC63" s="127"/>
      <c r="BD63" s="18"/>
      <c r="BE63" s="18"/>
      <c r="BF63" s="18"/>
      <c r="BG63" s="18"/>
      <c r="BH63" s="127"/>
      <c r="BI63" s="127"/>
      <c r="BJ63" s="18"/>
      <c r="BK63" s="127"/>
      <c r="BL63" s="127"/>
      <c r="BM63" s="127"/>
      <c r="BN63" s="127"/>
      <c r="BO63" s="18"/>
      <c r="BP63" s="18"/>
      <c r="BQ63" s="18"/>
      <c r="BR63" s="18"/>
      <c r="BS63" s="18"/>
      <c r="BT63" s="18"/>
      <c r="BU63" s="18"/>
      <c r="BV63" s="18"/>
      <c r="BW63" s="18"/>
      <c r="BX63" s="18"/>
      <c r="BY63" s="127"/>
      <c r="BZ63" s="18"/>
      <c r="CA63" s="127"/>
      <c r="CB63" s="127"/>
      <c r="CC63" s="127"/>
      <c r="CE63" t="e">
        <f t="shared" si="0"/>
        <v>#DIV/0!</v>
      </c>
      <c r="CF63" t="e">
        <f t="shared" si="1"/>
        <v>#DIV/0!</v>
      </c>
      <c r="CG63" t="e">
        <f t="shared" si="2"/>
        <v>#DIV/0!</v>
      </c>
      <c r="CH63" t="e">
        <f t="shared" si="3"/>
        <v>#DIV/0!</v>
      </c>
      <c r="CI63" t="e">
        <f t="shared" si="4"/>
        <v>#DIV/0!</v>
      </c>
      <c r="CJ63" t="e">
        <f t="shared" si="5"/>
        <v>#DIV/0!</v>
      </c>
      <c r="CK63" t="e">
        <f t="shared" si="6"/>
        <v>#DIV/0!</v>
      </c>
      <c r="CL63" t="e">
        <f t="shared" si="7"/>
        <v>#DIV/0!</v>
      </c>
      <c r="CM63" t="e">
        <f t="shared" si="8"/>
        <v>#DIV/0!</v>
      </c>
      <c r="CN63" t="e">
        <f t="shared" si="9"/>
        <v>#DIV/0!</v>
      </c>
      <c r="CO63" t="e">
        <f t="shared" si="10"/>
        <v>#DIV/0!</v>
      </c>
      <c r="CP63" t="e">
        <f t="shared" si="11"/>
        <v>#DIV/0!</v>
      </c>
      <c r="CQ63" t="e">
        <f t="shared" si="12"/>
        <v>#DIV/0!</v>
      </c>
      <c r="CR63" t="e">
        <f t="shared" si="13"/>
        <v>#DIV/0!</v>
      </c>
      <c r="CS63" t="e">
        <f t="shared" si="14"/>
        <v>#DIV/0!</v>
      </c>
      <c r="CT63" t="e">
        <f t="shared" si="15"/>
        <v>#DIV/0!</v>
      </c>
      <c r="CU63" t="e">
        <f t="shared" si="16"/>
        <v>#DIV/0!</v>
      </c>
      <c r="CV63" t="e">
        <f t="shared" si="17"/>
        <v>#DIV/0!</v>
      </c>
      <c r="CW63" t="e">
        <f t="shared" si="18"/>
        <v>#DIV/0!</v>
      </c>
      <c r="CX63" t="e">
        <f t="shared" si="19"/>
        <v>#DIV/0!</v>
      </c>
      <c r="CY63" t="e">
        <f t="shared" si="20"/>
        <v>#DIV/0!</v>
      </c>
      <c r="CZ63" t="e">
        <f t="shared" si="21"/>
        <v>#DIV/0!</v>
      </c>
      <c r="DA63" t="e">
        <f t="shared" si="22"/>
        <v>#DIV/0!</v>
      </c>
      <c r="DB63" t="e">
        <f t="shared" si="23"/>
        <v>#DIV/0!</v>
      </c>
      <c r="DC63" t="e">
        <f t="shared" si="24"/>
        <v>#DIV/0!</v>
      </c>
      <c r="DD63" t="e">
        <f t="shared" si="25"/>
        <v>#DIV/0!</v>
      </c>
      <c r="DE63" t="e">
        <f t="shared" si="26"/>
        <v>#DIV/0!</v>
      </c>
      <c r="DF63" t="e">
        <f t="shared" si="27"/>
        <v>#DIV/0!</v>
      </c>
      <c r="DG63" t="e">
        <f t="shared" si="28"/>
        <v>#DIV/0!</v>
      </c>
      <c r="DH63" t="e">
        <f t="shared" si="29"/>
        <v>#DIV/0!</v>
      </c>
      <c r="DI63" t="e">
        <f t="shared" si="30"/>
        <v>#DIV/0!</v>
      </c>
      <c r="DJ63" t="e">
        <f t="shared" si="31"/>
        <v>#DIV/0!</v>
      </c>
      <c r="DK63" t="e">
        <f t="shared" si="32"/>
        <v>#DIV/0!</v>
      </c>
      <c r="DL63" t="e">
        <f t="shared" si="33"/>
        <v>#DIV/0!</v>
      </c>
      <c r="DM63" t="e">
        <f t="shared" si="34"/>
        <v>#DIV/0!</v>
      </c>
      <c r="DN63" t="e">
        <f t="shared" si="35"/>
        <v>#DIV/0!</v>
      </c>
      <c r="DO63" t="e">
        <f t="shared" si="36"/>
        <v>#DIV/0!</v>
      </c>
      <c r="DP63" t="e">
        <f t="shared" si="37"/>
        <v>#DIV/0!</v>
      </c>
    </row>
    <row r="64" spans="1:120">
      <c r="A64" s="16" t="s">
        <v>1162</v>
      </c>
      <c r="B64" s="16" t="s">
        <v>24</v>
      </c>
      <c r="C64" s="121" t="s">
        <v>1800</v>
      </c>
      <c r="D64" s="16" t="s">
        <v>831</v>
      </c>
      <c r="E64" s="16" t="s">
        <v>801</v>
      </c>
      <c r="F64" s="16" t="s">
        <v>800</v>
      </c>
      <c r="G64" s="16" t="s">
        <v>829</v>
      </c>
      <c r="H64" s="27"/>
      <c r="I64" s="16" t="s">
        <v>712</v>
      </c>
      <c r="J64" s="16" t="s">
        <v>635</v>
      </c>
      <c r="K64" s="16" t="s">
        <v>1169</v>
      </c>
      <c r="L64" s="16"/>
      <c r="M64" s="16" t="s">
        <v>27</v>
      </c>
      <c r="N64" s="16">
        <v>39</v>
      </c>
      <c r="O64" s="95">
        <v>8.3212669015925869</v>
      </c>
      <c r="P64" s="95">
        <v>0.60461396819062907</v>
      </c>
      <c r="Q64" s="95">
        <v>1.6130954943728051</v>
      </c>
      <c r="R64" s="95">
        <v>7.8750445927298758</v>
      </c>
      <c r="S64" s="95">
        <v>23.076260520039398</v>
      </c>
      <c r="T64" s="95">
        <v>22.659031126194058</v>
      </c>
      <c r="U64" s="95">
        <v>6.2157558630813909</v>
      </c>
      <c r="V64" s="95">
        <v>10.811505100729766</v>
      </c>
      <c r="W64" s="95">
        <v>9.762207300978913</v>
      </c>
      <c r="X64" s="95">
        <v>6.8365667876993257</v>
      </c>
      <c r="Y64" s="95">
        <v>2.8730027544142152</v>
      </c>
      <c r="Z64" s="95">
        <v>100.64835041002296</v>
      </c>
      <c r="AA64" s="18"/>
      <c r="AB64" s="18"/>
      <c r="AC64" s="18"/>
      <c r="AD64" s="18"/>
      <c r="AE64" s="127"/>
      <c r="AF64" s="127"/>
      <c r="AG64" s="18"/>
      <c r="AH64" s="18">
        <v>148</v>
      </c>
      <c r="AI64" s="18"/>
      <c r="AJ64" s="18">
        <v>8.8000000000000007</v>
      </c>
      <c r="AK64" s="134"/>
      <c r="AL64" s="18"/>
      <c r="AM64" s="134"/>
      <c r="AN64" s="127"/>
      <c r="AO64" s="18"/>
      <c r="AP64" s="18"/>
      <c r="AQ64" s="18"/>
      <c r="AR64" s="18"/>
      <c r="AS64" s="18"/>
      <c r="AT64" s="18"/>
      <c r="AU64" s="18"/>
      <c r="AV64" s="18"/>
      <c r="AW64" s="18"/>
      <c r="AX64" s="127">
        <v>0.28000000000000003</v>
      </c>
      <c r="AY64" s="127">
        <v>10.69</v>
      </c>
      <c r="AZ64" s="127">
        <v>3.4000000000000002E-2</v>
      </c>
      <c r="BA64" s="127">
        <v>0.94</v>
      </c>
      <c r="BB64" s="18"/>
      <c r="BC64" s="127">
        <v>3.42</v>
      </c>
      <c r="BD64" s="18"/>
      <c r="BE64" s="18"/>
      <c r="BF64" s="18"/>
      <c r="BG64" s="18"/>
      <c r="BH64" s="127">
        <v>7.0000000000000001E-3</v>
      </c>
      <c r="BI64" s="127">
        <v>58.2</v>
      </c>
      <c r="BJ64" s="18"/>
      <c r="BK64" s="127">
        <v>4.25</v>
      </c>
      <c r="BL64" s="127">
        <v>5.0999999999999996</v>
      </c>
      <c r="BM64" s="127">
        <v>0.47299999999999998</v>
      </c>
      <c r="BN64" s="127">
        <v>1.37</v>
      </c>
      <c r="BO64" s="18">
        <v>0.105</v>
      </c>
      <c r="BP64" s="18">
        <v>2.1000000000000001E-2</v>
      </c>
      <c r="BQ64" s="18">
        <v>5.0999999999999997E-2</v>
      </c>
      <c r="BR64" s="18">
        <v>1.2999999999999999E-2</v>
      </c>
      <c r="BS64" s="18">
        <v>2E-3</v>
      </c>
      <c r="BT64" s="18">
        <v>0</v>
      </c>
      <c r="BU64" s="18"/>
      <c r="BV64" s="18">
        <v>0</v>
      </c>
      <c r="BW64" s="18"/>
      <c r="BX64" s="18">
        <v>1.2999999999999999E-2</v>
      </c>
      <c r="BY64" s="127">
        <v>0.121</v>
      </c>
      <c r="BZ64" s="18"/>
      <c r="CA64" s="127"/>
      <c r="CB64" s="127">
        <v>0.48199999999999998</v>
      </c>
      <c r="CC64" s="127">
        <v>9.7000000000000003E-2</v>
      </c>
      <c r="CE64">
        <f t="shared" si="0"/>
        <v>5.4443405051449956</v>
      </c>
      <c r="CF64">
        <f t="shared" si="1"/>
        <v>13.694117647058825</v>
      </c>
      <c r="CG64">
        <f t="shared" si="2"/>
        <v>2.5152941176470587</v>
      </c>
      <c r="CH64">
        <f t="shared" si="3"/>
        <v>0.83333333333333337</v>
      </c>
      <c r="CI64">
        <f t="shared" si="4"/>
        <v>0</v>
      </c>
      <c r="CJ64" t="e">
        <f t="shared" si="5"/>
        <v>#DIV/0!</v>
      </c>
      <c r="CK64">
        <f t="shared" si="6"/>
        <v>0</v>
      </c>
      <c r="CL64">
        <f t="shared" si="7"/>
        <v>2.0960784313725491</v>
      </c>
      <c r="CM64">
        <f t="shared" si="8"/>
        <v>11.411764705882355</v>
      </c>
      <c r="CN64">
        <f t="shared" si="9"/>
        <v>11.411764705882355</v>
      </c>
      <c r="CO64">
        <f t="shared" si="10"/>
        <v>2.3725490196078433E-2</v>
      </c>
      <c r="CP64">
        <f t="shared" si="11"/>
        <v>0</v>
      </c>
      <c r="CQ64">
        <f t="shared" si="12"/>
        <v>0</v>
      </c>
      <c r="CR64">
        <f t="shared" si="13"/>
        <v>0.80470588235294116</v>
      </c>
      <c r="CS64">
        <f t="shared" si="14"/>
        <v>0.22117647058823528</v>
      </c>
      <c r="CT64">
        <f t="shared" si="15"/>
        <v>2.6192703461178676E-2</v>
      </c>
      <c r="CU64">
        <f t="shared" si="16"/>
        <v>8.0000000000000002E-3</v>
      </c>
      <c r="CV64" t="e">
        <f t="shared" si="17"/>
        <v>#DIV/0!</v>
      </c>
      <c r="CW64">
        <f t="shared" si="18"/>
        <v>0</v>
      </c>
      <c r="CX64">
        <f t="shared" si="19"/>
        <v>0.27485380116959063</v>
      </c>
      <c r="CY64">
        <f t="shared" si="20"/>
        <v>2.8470588235294116E-2</v>
      </c>
      <c r="CZ64">
        <f t="shared" si="21"/>
        <v>4.9690721649484537</v>
      </c>
      <c r="DA64">
        <f t="shared" si="22"/>
        <v>3.3571428571428568</v>
      </c>
      <c r="DB64">
        <f t="shared" si="23"/>
        <v>8.7932647333956962E-2</v>
      </c>
      <c r="DC64">
        <f t="shared" si="24"/>
        <v>27.647058823529409</v>
      </c>
      <c r="DD64">
        <f t="shared" si="25"/>
        <v>0.18431372549019609</v>
      </c>
      <c r="DE64">
        <f t="shared" si="26"/>
        <v>0</v>
      </c>
      <c r="DF64">
        <f t="shared" si="27"/>
        <v>0</v>
      </c>
      <c r="DG64">
        <f t="shared" si="28"/>
        <v>0</v>
      </c>
      <c r="DH64">
        <f t="shared" si="29"/>
        <v>5.4443405051449956</v>
      </c>
      <c r="DI64">
        <f t="shared" si="30"/>
        <v>0.31992516370439666</v>
      </c>
      <c r="DJ64">
        <f t="shared" si="31"/>
        <v>9.0739008419083254E-3</v>
      </c>
      <c r="DK64">
        <f t="shared" si="32"/>
        <v>5.4297083576563292</v>
      </c>
      <c r="DL64">
        <f t="shared" si="33"/>
        <v>0.37955188102889531</v>
      </c>
      <c r="DM64">
        <f t="shared" si="34"/>
        <v>2.1586773171224882</v>
      </c>
      <c r="DN64">
        <f t="shared" si="35"/>
        <v>0.39649932165016144</v>
      </c>
      <c r="DO64">
        <f t="shared" si="36"/>
        <v>0.15089761406667962</v>
      </c>
      <c r="DP64">
        <f t="shared" si="37"/>
        <v>2.7716417429085996E-2</v>
      </c>
    </row>
    <row r="65" spans="1:120">
      <c r="A65" s="16" t="s">
        <v>1162</v>
      </c>
      <c r="B65" s="16" t="s">
        <v>24</v>
      </c>
      <c r="C65" s="121" t="s">
        <v>1800</v>
      </c>
      <c r="D65" s="16" t="s">
        <v>831</v>
      </c>
      <c r="E65" s="16" t="s">
        <v>801</v>
      </c>
      <c r="F65" s="16" t="s">
        <v>800</v>
      </c>
      <c r="G65" s="16" t="s">
        <v>829</v>
      </c>
      <c r="H65" s="27"/>
      <c r="I65" s="16" t="s">
        <v>712</v>
      </c>
      <c r="J65" s="16" t="s">
        <v>635</v>
      </c>
      <c r="K65" s="16" t="s">
        <v>1169</v>
      </c>
      <c r="L65" s="16"/>
      <c r="M65" s="16" t="s">
        <v>28</v>
      </c>
      <c r="N65" s="16">
        <v>46</v>
      </c>
      <c r="O65" s="95">
        <v>9.7426550573884043</v>
      </c>
      <c r="P65" s="95">
        <v>1.3140789043887238</v>
      </c>
      <c r="Q65" s="95">
        <v>1.8255208412384902</v>
      </c>
      <c r="R65" s="95">
        <v>13.194635334889448</v>
      </c>
      <c r="S65" s="95">
        <v>22.83375499846019</v>
      </c>
      <c r="T65" s="95">
        <v>21.321198241973992</v>
      </c>
      <c r="U65" s="95">
        <v>4.0696299994813323</v>
      </c>
      <c r="V65" s="95">
        <v>10.331267576382317</v>
      </c>
      <c r="W65" s="95">
        <v>9.6753710043904082</v>
      </c>
      <c r="X65" s="95">
        <v>4.0447482454832473</v>
      </c>
      <c r="Y65" s="95">
        <v>2.1271805379047812</v>
      </c>
      <c r="Z65" s="95">
        <v>100.48004074198134</v>
      </c>
      <c r="AA65" s="18"/>
      <c r="AB65" s="18"/>
      <c r="AC65" s="18"/>
      <c r="AD65" s="18"/>
      <c r="AE65" s="127"/>
      <c r="AF65" s="127"/>
      <c r="AG65" s="18"/>
      <c r="AH65" s="18">
        <v>137</v>
      </c>
      <c r="AI65" s="18"/>
      <c r="AJ65" s="18">
        <v>14.2</v>
      </c>
      <c r="AK65" s="134"/>
      <c r="AL65" s="18"/>
      <c r="AM65" s="134"/>
      <c r="AN65" s="127"/>
      <c r="AO65" s="18"/>
      <c r="AP65" s="18"/>
      <c r="AQ65" s="18"/>
      <c r="AR65" s="18"/>
      <c r="AS65" s="18"/>
      <c r="AT65" s="18"/>
      <c r="AU65" s="18"/>
      <c r="AV65" s="18"/>
      <c r="AW65" s="18"/>
      <c r="AX65" s="127">
        <v>0.34699999999999998</v>
      </c>
      <c r="AY65" s="127">
        <v>8.7100000000000009</v>
      </c>
      <c r="AZ65" s="127">
        <v>6.0999999999999999E-2</v>
      </c>
      <c r="BA65" s="127">
        <v>1.17</v>
      </c>
      <c r="BB65" s="18"/>
      <c r="BC65" s="127">
        <v>2.2799999999999998</v>
      </c>
      <c r="BD65" s="18"/>
      <c r="BE65" s="18"/>
      <c r="BF65" s="18"/>
      <c r="BG65" s="18"/>
      <c r="BH65" s="127">
        <v>7.0000000000000001E-3</v>
      </c>
      <c r="BI65" s="127">
        <v>43.9</v>
      </c>
      <c r="BJ65" s="18"/>
      <c r="BK65" s="127">
        <v>2.82</v>
      </c>
      <c r="BL65" s="127">
        <v>3.3</v>
      </c>
      <c r="BM65" s="127">
        <v>0.317</v>
      </c>
      <c r="BN65" s="127">
        <v>1.26</v>
      </c>
      <c r="BO65" s="18">
        <v>9.6000000000000002E-2</v>
      </c>
      <c r="BP65" s="18">
        <v>2.1999999999999999E-2</v>
      </c>
      <c r="BQ65" s="18">
        <v>4.7E-2</v>
      </c>
      <c r="BR65" s="18">
        <v>1.7999999999999999E-2</v>
      </c>
      <c r="BS65" s="18">
        <v>3.0000000000000001E-3</v>
      </c>
      <c r="BT65" s="18">
        <v>8.0000000000000002E-3</v>
      </c>
      <c r="BU65" s="18"/>
      <c r="BV65" s="18">
        <v>0</v>
      </c>
      <c r="BW65" s="18"/>
      <c r="BX65" s="18">
        <v>2.1999999999999999E-2</v>
      </c>
      <c r="BY65" s="127">
        <v>8.4000000000000005E-2</v>
      </c>
      <c r="BZ65" s="18"/>
      <c r="CA65" s="127"/>
      <c r="CB65" s="127">
        <v>0.371</v>
      </c>
      <c r="CC65" s="127">
        <v>7.2999999999999995E-2</v>
      </c>
      <c r="CE65">
        <f t="shared" si="0"/>
        <v>5.0401836969001144</v>
      </c>
      <c r="CF65">
        <f t="shared" si="1"/>
        <v>15.567375886524824</v>
      </c>
      <c r="CG65">
        <f t="shared" si="2"/>
        <v>3.0886524822695041</v>
      </c>
      <c r="CH65">
        <f t="shared" si="3"/>
        <v>0.8545454545454545</v>
      </c>
      <c r="CI65">
        <f t="shared" si="4"/>
        <v>0</v>
      </c>
      <c r="CJ65" t="e">
        <f t="shared" si="5"/>
        <v>#DIV/0!</v>
      </c>
      <c r="CK65">
        <f t="shared" si="6"/>
        <v>0</v>
      </c>
      <c r="CL65">
        <f t="shared" si="7"/>
        <v>2.6393939393939396</v>
      </c>
      <c r="CM65">
        <f t="shared" si="8"/>
        <v>13.303030303030303</v>
      </c>
      <c r="CN65">
        <f t="shared" si="9"/>
        <v>13.303030303030303</v>
      </c>
      <c r="CO65">
        <f t="shared" si="10"/>
        <v>2.5454545454545459E-2</v>
      </c>
      <c r="CP65">
        <f t="shared" si="11"/>
        <v>0</v>
      </c>
      <c r="CQ65">
        <f t="shared" si="12"/>
        <v>0</v>
      </c>
      <c r="CR65">
        <f t="shared" si="13"/>
        <v>0.80851063829787229</v>
      </c>
      <c r="CS65">
        <f t="shared" si="14"/>
        <v>0.41489361702127658</v>
      </c>
      <c r="CT65">
        <f t="shared" si="15"/>
        <v>3.9839265212399534E-2</v>
      </c>
      <c r="CU65">
        <f t="shared" si="16"/>
        <v>2.1631205673758865E-2</v>
      </c>
      <c r="CV65" t="e">
        <f t="shared" si="17"/>
        <v>#DIV/0!</v>
      </c>
      <c r="CW65">
        <f t="shared" si="18"/>
        <v>0</v>
      </c>
      <c r="CX65">
        <f t="shared" si="19"/>
        <v>0.51315789473684215</v>
      </c>
      <c r="CY65">
        <f t="shared" si="20"/>
        <v>2.9787234042553196E-2</v>
      </c>
      <c r="CZ65">
        <f t="shared" si="21"/>
        <v>5.0821917808219181</v>
      </c>
      <c r="DA65">
        <f t="shared" si="22"/>
        <v>3.3717579250720462</v>
      </c>
      <c r="DB65">
        <f t="shared" si="23"/>
        <v>0.1343283582089552</v>
      </c>
      <c r="DC65">
        <f t="shared" si="24"/>
        <v>19.180327868852459</v>
      </c>
      <c r="DD65">
        <f t="shared" si="25"/>
        <v>0.35454545454545455</v>
      </c>
      <c r="DE65">
        <f t="shared" si="26"/>
        <v>0</v>
      </c>
      <c r="DF65">
        <f t="shared" si="27"/>
        <v>0</v>
      </c>
      <c r="DG65">
        <f t="shared" si="28"/>
        <v>0</v>
      </c>
      <c r="DH65">
        <f t="shared" si="29"/>
        <v>5.0401836969001144</v>
      </c>
      <c r="DI65">
        <f t="shared" si="30"/>
        <v>0.26176808266360502</v>
      </c>
      <c r="DJ65">
        <f t="shared" si="31"/>
        <v>8.3811710677382297E-3</v>
      </c>
      <c r="DK65">
        <f t="shared" si="32"/>
        <v>8.09707624058872</v>
      </c>
      <c r="DL65">
        <f t="shared" si="33"/>
        <v>0.64734781604201785</v>
      </c>
      <c r="DM65">
        <f t="shared" si="34"/>
        <v>2.6215562569988733</v>
      </c>
      <c r="DN65">
        <f t="shared" si="35"/>
        <v>0.52013109335900209</v>
      </c>
      <c r="DO65">
        <f t="shared" si="36"/>
        <v>0.20958907476905742</v>
      </c>
      <c r="DP65">
        <f t="shared" si="37"/>
        <v>4.1583618251446249E-2</v>
      </c>
    </row>
    <row r="66" spans="1:120">
      <c r="A66" s="16" t="s">
        <v>1162</v>
      </c>
      <c r="B66" s="16" t="s">
        <v>24</v>
      </c>
      <c r="C66" s="121" t="s">
        <v>1800</v>
      </c>
      <c r="D66" s="16" t="s">
        <v>831</v>
      </c>
      <c r="E66" s="16" t="s">
        <v>801</v>
      </c>
      <c r="F66" s="16" t="s">
        <v>800</v>
      </c>
      <c r="G66" s="16" t="s">
        <v>829</v>
      </c>
      <c r="H66" s="27"/>
      <c r="I66" s="16" t="s">
        <v>712</v>
      </c>
      <c r="J66" s="16" t="s">
        <v>635</v>
      </c>
      <c r="K66" s="16" t="s">
        <v>1169</v>
      </c>
      <c r="L66" s="16"/>
      <c r="M66" s="16" t="s">
        <v>830</v>
      </c>
      <c r="N66" s="16">
        <v>45</v>
      </c>
      <c r="O66" s="95">
        <v>11.749006274892151</v>
      </c>
      <c r="P66" s="95">
        <v>2.7697344735753733</v>
      </c>
      <c r="Q66" s="95">
        <v>2.1803282681893728</v>
      </c>
      <c r="R66" s="95">
        <v>10.852385480762516</v>
      </c>
      <c r="S66" s="95">
        <v>22.990725363628865</v>
      </c>
      <c r="T66" s="95">
        <v>22.699635538784008</v>
      </c>
      <c r="U66" s="95">
        <v>3.0971889100222549</v>
      </c>
      <c r="V66" s="95">
        <v>9.0127141114119507</v>
      </c>
      <c r="W66" s="95">
        <v>9.8502656190490736</v>
      </c>
      <c r="X66" s="95">
        <v>2.7021092044668977</v>
      </c>
      <c r="Y66" s="95">
        <v>2.7067356820568911</v>
      </c>
      <c r="Z66" s="95">
        <v>100.61082892683935</v>
      </c>
      <c r="AA66" s="18"/>
      <c r="AB66" s="18"/>
      <c r="AC66" s="18"/>
      <c r="AD66" s="18"/>
      <c r="AE66" s="127"/>
      <c r="AF66" s="127"/>
      <c r="AG66" s="18"/>
      <c r="AH66" s="18">
        <v>136</v>
      </c>
      <c r="AI66" s="18"/>
      <c r="AJ66" s="18">
        <v>22.9</v>
      </c>
      <c r="AK66" s="134"/>
      <c r="AL66" s="18"/>
      <c r="AM66" s="134"/>
      <c r="AN66" s="127"/>
      <c r="AO66" s="18"/>
      <c r="AP66" s="18"/>
      <c r="AQ66" s="18"/>
      <c r="AR66" s="18"/>
      <c r="AS66" s="18"/>
      <c r="AT66" s="18"/>
      <c r="AU66" s="18"/>
      <c r="AV66" s="18"/>
      <c r="AW66" s="18"/>
      <c r="AX66" s="127">
        <v>0.25</v>
      </c>
      <c r="AY66" s="127">
        <v>5.68</v>
      </c>
      <c r="AZ66" s="127">
        <v>8.1000000000000003E-2</v>
      </c>
      <c r="BA66" s="127">
        <v>0.48</v>
      </c>
      <c r="BB66" s="18"/>
      <c r="BC66" s="127">
        <v>1.7</v>
      </c>
      <c r="BD66" s="18"/>
      <c r="BE66" s="18"/>
      <c r="BF66" s="18"/>
      <c r="BG66" s="18"/>
      <c r="BH66" s="127">
        <v>7.0000000000000001E-3</v>
      </c>
      <c r="BI66" s="127">
        <v>49.2</v>
      </c>
      <c r="BJ66" s="18"/>
      <c r="BK66" s="127">
        <v>3.66</v>
      </c>
      <c r="BL66" s="127">
        <v>4.2</v>
      </c>
      <c r="BM66" s="127">
        <v>0.34100000000000003</v>
      </c>
      <c r="BN66" s="127">
        <v>0.97</v>
      </c>
      <c r="BO66" s="18">
        <v>6.2E-2</v>
      </c>
      <c r="BP66" s="18">
        <v>1.2999999999999999E-2</v>
      </c>
      <c r="BQ66" s="18">
        <v>4.4999999999999998E-2</v>
      </c>
      <c r="BR66" s="18">
        <v>2.1000000000000001E-2</v>
      </c>
      <c r="BS66" s="18">
        <v>5.0000000000000001E-3</v>
      </c>
      <c r="BT66" s="18">
        <v>8.0000000000000002E-3</v>
      </c>
      <c r="BU66" s="18"/>
      <c r="BV66" s="18">
        <v>0</v>
      </c>
      <c r="BW66" s="18">
        <v>2E-3</v>
      </c>
      <c r="BX66" s="18">
        <v>1.4999999999999999E-2</v>
      </c>
      <c r="BY66" s="127">
        <v>2.1999999999999999E-2</v>
      </c>
      <c r="BZ66" s="18"/>
      <c r="CA66" s="127"/>
      <c r="CB66" s="127">
        <v>0.44800000000000001</v>
      </c>
      <c r="CC66" s="127">
        <v>8.6999999999999994E-2</v>
      </c>
      <c r="CE66">
        <f t="shared" ref="CE66:CE129" si="38">BI66/AY66</f>
        <v>8.6619718309859159</v>
      </c>
      <c r="CF66">
        <f t="shared" ref="CF66:CF129" si="39">BI66/BK66</f>
        <v>13.442622950819672</v>
      </c>
      <c r="CG66">
        <f t="shared" ref="CG66:CG129" si="40">AY66/BK66</f>
        <v>1.5519125683060109</v>
      </c>
      <c r="CH66">
        <f t="shared" ref="CH66:CH129" si="41">BK66/BL66</f>
        <v>0.87142857142857144</v>
      </c>
      <c r="CI66">
        <f t="shared" ref="CI66:CI129" si="42">AE66/BK66</f>
        <v>0</v>
      </c>
      <c r="CJ66" t="e">
        <f t="shared" ref="CJ66:CJ129" si="43">AE66/AF66</f>
        <v>#DIV/0!</v>
      </c>
      <c r="CK66">
        <f t="shared" ref="CK66:CK129" si="44">AE66/BL66</f>
        <v>0</v>
      </c>
      <c r="CL66">
        <f t="shared" ref="CL66:CL129" si="45">AY66/BL66</f>
        <v>1.3523809523809522</v>
      </c>
      <c r="CM66">
        <f t="shared" ref="CM66:CM129" si="46">BI66/BL66</f>
        <v>11.714285714285715</v>
      </c>
      <c r="CN66">
        <f t="shared" ref="CN66:CN129" si="47">BI66/BL66</f>
        <v>11.714285714285715</v>
      </c>
      <c r="CO66">
        <f t="shared" ref="CO66:CO129" si="48">BY66/BL66</f>
        <v>5.2380952380952379E-3</v>
      </c>
      <c r="CP66">
        <f t="shared" ref="CP66:CP129" si="49">CA66/CC66</f>
        <v>0</v>
      </c>
      <c r="CQ66">
        <f t="shared" ref="CQ66:CQ129" si="50">CA66/BK66</f>
        <v>0</v>
      </c>
      <c r="CR66">
        <f t="shared" ref="CR66:CR129" si="51">BC66/BK66</f>
        <v>0.46448087431693985</v>
      </c>
      <c r="CS66">
        <f t="shared" ref="CS66:CS129" si="52">BA66/BK66</f>
        <v>0.13114754098360654</v>
      </c>
      <c r="CT66">
        <f t="shared" ref="CT66:CT129" si="53">AX66/AY66</f>
        <v>4.4014084507042257E-2</v>
      </c>
      <c r="CU66">
        <f t="shared" ref="CU66:CU129" si="54">AZ66/BK66</f>
        <v>2.2131147540983605E-2</v>
      </c>
      <c r="CV66" t="e">
        <f t="shared" ref="CV66:CV129" si="55">AE66/AM66</f>
        <v>#DIV/0!</v>
      </c>
      <c r="CW66">
        <f t="shared" ref="CW66:CW129" si="56">AN66/BK66</f>
        <v>0</v>
      </c>
      <c r="CX66">
        <f t="shared" ref="CX66:CX129" si="57">BA66/BC66</f>
        <v>0.28235294117647058</v>
      </c>
      <c r="CY66">
        <f t="shared" ref="CY66:CY129" si="58">BY66/BK66</f>
        <v>6.0109289617486334E-3</v>
      </c>
      <c r="CZ66">
        <f t="shared" ref="CZ66:CZ129" si="59">CB66/CC66</f>
        <v>5.1494252873563227</v>
      </c>
      <c r="DA66">
        <f t="shared" ref="DA66:DA129" si="60">BA66/AX66</f>
        <v>1.92</v>
      </c>
      <c r="DB66">
        <f t="shared" ref="DB66:DB129" si="61">BA66/AY66</f>
        <v>8.4507042253521125E-2</v>
      </c>
      <c r="DC66">
        <f t="shared" ref="DC66:DC129" si="62">BA66/AZ66</f>
        <v>5.9259259259259256</v>
      </c>
      <c r="DD66">
        <f t="shared" ref="DD66:DD129" si="63">BA66/BL66</f>
        <v>0.11428571428571428</v>
      </c>
      <c r="DE66">
        <f t="shared" ref="DE66:DE129" si="64">AF66/BK66</f>
        <v>0</v>
      </c>
      <c r="DF66">
        <f t="shared" si="27"/>
        <v>0</v>
      </c>
      <c r="DG66">
        <f t="shared" si="28"/>
        <v>0</v>
      </c>
      <c r="DH66">
        <f t="shared" si="29"/>
        <v>8.6619718309859159</v>
      </c>
      <c r="DI66">
        <f t="shared" si="30"/>
        <v>0.29929577464788731</v>
      </c>
      <c r="DJ66">
        <f t="shared" si="31"/>
        <v>1.5316901408450705E-2</v>
      </c>
      <c r="DK66">
        <f t="shared" si="32"/>
        <v>6.2816189518111649</v>
      </c>
      <c r="DL66">
        <f t="shared" si="33"/>
        <v>0.59571810606267017</v>
      </c>
      <c r="DM66">
        <f t="shared" si="34"/>
        <v>4.0476629161318423</v>
      </c>
      <c r="DN66">
        <f t="shared" si="35"/>
        <v>0.46729116592741593</v>
      </c>
      <c r="DO66">
        <f t="shared" si="36"/>
        <v>0.38386061059672055</v>
      </c>
      <c r="DP66">
        <f t="shared" si="37"/>
        <v>4.4315615207101068E-2</v>
      </c>
    </row>
    <row r="67" spans="1:120">
      <c r="A67" s="16" t="s">
        <v>1212</v>
      </c>
      <c r="B67" s="16" t="s">
        <v>24</v>
      </c>
      <c r="C67" s="121" t="s">
        <v>1800</v>
      </c>
      <c r="D67" s="16" t="s">
        <v>831</v>
      </c>
      <c r="E67" s="16" t="s">
        <v>801</v>
      </c>
      <c r="F67" s="16" t="s">
        <v>800</v>
      </c>
      <c r="G67" s="16" t="s">
        <v>829</v>
      </c>
      <c r="H67" s="27"/>
      <c r="I67" s="16" t="s">
        <v>712</v>
      </c>
      <c r="J67" s="16" t="s">
        <v>1311</v>
      </c>
      <c r="K67" s="16" t="s">
        <v>1169</v>
      </c>
      <c r="L67" s="16"/>
      <c r="M67" s="16" t="s">
        <v>1205</v>
      </c>
      <c r="N67" s="16">
        <v>51</v>
      </c>
      <c r="O67" s="95">
        <v>8.391939581420031</v>
      </c>
      <c r="P67" s="95">
        <v>0.56313738261124213</v>
      </c>
      <c r="Q67" s="95">
        <v>1.65966903929276</v>
      </c>
      <c r="R67" s="95">
        <v>9.4729938592900229</v>
      </c>
      <c r="S67" s="95">
        <v>23.67012821379469</v>
      </c>
      <c r="T67" s="95">
        <v>20.836591979036388</v>
      </c>
      <c r="U67" s="95">
        <v>4.8606204741784591</v>
      </c>
      <c r="V67" s="95">
        <v>11.042692141791232</v>
      </c>
      <c r="W67" s="95">
        <v>10.939096308972434</v>
      </c>
      <c r="X67" s="95">
        <v>6.1695623622675733</v>
      </c>
      <c r="Y67" s="95">
        <v>3.0911478653146194</v>
      </c>
      <c r="Z67" s="95">
        <v>100.69757920796947</v>
      </c>
      <c r="AA67" s="26"/>
      <c r="AB67" s="26"/>
      <c r="AC67" s="26"/>
      <c r="AD67" s="26"/>
      <c r="AE67" s="129"/>
      <c r="AF67" s="129"/>
      <c r="AG67" s="26"/>
      <c r="AH67" s="26"/>
      <c r="AI67" s="26"/>
      <c r="AJ67" s="26"/>
      <c r="AK67" s="136"/>
      <c r="AL67" s="26"/>
      <c r="AM67" s="136"/>
      <c r="AN67" s="129"/>
      <c r="AO67" s="26"/>
      <c r="AP67" s="26"/>
      <c r="AQ67" s="26"/>
      <c r="AR67" s="26"/>
      <c r="AS67" s="26"/>
      <c r="AT67" s="26"/>
      <c r="AU67" s="26"/>
      <c r="AV67" s="26"/>
      <c r="AW67" s="26"/>
      <c r="AX67" s="129">
        <v>0.12</v>
      </c>
      <c r="AY67" s="129">
        <v>1.9672499999999999</v>
      </c>
      <c r="AZ67" s="129">
        <v>1.575E-2</v>
      </c>
      <c r="BA67" s="129">
        <v>0.12924999999999998</v>
      </c>
      <c r="BB67" s="26"/>
      <c r="BC67" s="129">
        <v>0.34675</v>
      </c>
      <c r="BD67" s="26"/>
      <c r="BE67" s="26"/>
      <c r="BF67" s="26"/>
      <c r="BG67" s="26"/>
      <c r="BH67" s="129"/>
      <c r="BI67" s="129">
        <v>8.7487499999999994</v>
      </c>
      <c r="BJ67" s="26"/>
      <c r="BK67" s="129">
        <v>0.57050000000000001</v>
      </c>
      <c r="BL67" s="129">
        <v>0.72325000000000006</v>
      </c>
      <c r="BM67" s="129">
        <v>6.3E-2</v>
      </c>
      <c r="BN67" s="129">
        <v>0.18124999999999997</v>
      </c>
      <c r="BO67" s="26">
        <v>1.975E-2</v>
      </c>
      <c r="BP67" s="26">
        <v>3.7500000000000003E-3</v>
      </c>
      <c r="BQ67" s="26">
        <v>7.7499999999999999E-3</v>
      </c>
      <c r="BR67" s="26">
        <v>4.0000000000000001E-3</v>
      </c>
      <c r="BS67" s="26"/>
      <c r="BT67" s="26">
        <v>2E-3</v>
      </c>
      <c r="BU67" s="26"/>
      <c r="BV67" s="26"/>
      <c r="BW67" s="26"/>
      <c r="BX67" s="26">
        <v>4.0000000000000001E-3</v>
      </c>
      <c r="BY67" s="129"/>
      <c r="BZ67" s="26"/>
      <c r="CA67" s="129">
        <v>1.5979999999999999</v>
      </c>
      <c r="CB67" s="129">
        <v>0.106</v>
      </c>
      <c r="CC67" s="129">
        <v>1.925E-2</v>
      </c>
      <c r="CE67">
        <f t="shared" si="38"/>
        <v>4.4471978650400299</v>
      </c>
      <c r="CF67">
        <f t="shared" si="39"/>
        <v>15.335232252410165</v>
      </c>
      <c r="CG67">
        <f t="shared" si="40"/>
        <v>3.4482909728308502</v>
      </c>
      <c r="CH67">
        <f t="shared" si="41"/>
        <v>0.78880055305910812</v>
      </c>
      <c r="CI67">
        <f t="shared" si="42"/>
        <v>0</v>
      </c>
      <c r="CJ67" t="e">
        <f t="shared" si="43"/>
        <v>#DIV/0!</v>
      </c>
      <c r="CK67">
        <f t="shared" si="44"/>
        <v>0</v>
      </c>
      <c r="CL67">
        <f t="shared" si="45"/>
        <v>2.7200138264777043</v>
      </c>
      <c r="CM67">
        <f t="shared" si="46"/>
        <v>12.096439681991011</v>
      </c>
      <c r="CN67">
        <f t="shared" si="47"/>
        <v>12.096439681991011</v>
      </c>
      <c r="CO67">
        <f t="shared" si="48"/>
        <v>0</v>
      </c>
      <c r="CP67">
        <f t="shared" si="49"/>
        <v>83.012987012987011</v>
      </c>
      <c r="CQ67">
        <f t="shared" si="50"/>
        <v>2.8010517090271687</v>
      </c>
      <c r="CR67">
        <f t="shared" si="51"/>
        <v>0.60780017528483787</v>
      </c>
      <c r="CS67">
        <f t="shared" si="52"/>
        <v>0.22655565293602098</v>
      </c>
      <c r="CT67">
        <f t="shared" si="53"/>
        <v>6.0998856271444912E-2</v>
      </c>
      <c r="CU67">
        <f t="shared" si="54"/>
        <v>2.7607361963190184E-2</v>
      </c>
      <c r="CV67" t="e">
        <f t="shared" si="55"/>
        <v>#DIV/0!</v>
      </c>
      <c r="CW67">
        <f t="shared" si="56"/>
        <v>0</v>
      </c>
      <c r="CX67">
        <f t="shared" si="57"/>
        <v>0.37274693583273244</v>
      </c>
      <c r="CY67">
        <f t="shared" si="58"/>
        <v>0</v>
      </c>
      <c r="CZ67">
        <f t="shared" si="59"/>
        <v>5.5064935064935066</v>
      </c>
      <c r="DA67">
        <f t="shared" si="60"/>
        <v>1.0770833333333332</v>
      </c>
      <c r="DB67">
        <f t="shared" si="61"/>
        <v>6.5700851442368785E-2</v>
      </c>
      <c r="DC67">
        <f t="shared" si="62"/>
        <v>8.2063492063492056</v>
      </c>
      <c r="DD67">
        <f t="shared" si="63"/>
        <v>0.17870722433460071</v>
      </c>
      <c r="DE67">
        <f t="shared" si="64"/>
        <v>0</v>
      </c>
      <c r="DF67">
        <f t="shared" ref="DF67:DF130" si="65">AF67/AY67</f>
        <v>0</v>
      </c>
      <c r="DG67">
        <f t="shared" ref="DG67:DG130" si="66">AE67/AY67</f>
        <v>0</v>
      </c>
      <c r="DH67">
        <f t="shared" ref="DH67:DH130" si="67">BI67/AY67</f>
        <v>4.4471978650400299</v>
      </c>
      <c r="DI67">
        <f t="shared" ref="DI67:DI130" si="68">BC67/AY67</f>
        <v>0.17626127843436271</v>
      </c>
      <c r="DJ67">
        <f t="shared" ref="DJ67:DJ130" si="69">CC67/AY67</f>
        <v>9.7852331935442873E-3</v>
      </c>
      <c r="DK67">
        <f t="shared" ref="DK67:DK130" si="70">S67/BK67</f>
        <v>41.490145861165104</v>
      </c>
      <c r="DL67">
        <f t="shared" ref="DL67:DL130" si="71">Q67/BK67</f>
        <v>2.9091481845622438</v>
      </c>
      <c r="DM67">
        <f t="shared" ref="DM67:DM130" si="72">S67/AY67</f>
        <v>12.032089573666129</v>
      </c>
      <c r="DN67">
        <f t="shared" ref="DN67:DN130" si="73">S67/BI67</f>
        <v>2.7055440164360269</v>
      </c>
      <c r="DO67">
        <f t="shared" ref="DO67:DO130" si="74">Q67/AY67</f>
        <v>0.84364927654988442</v>
      </c>
      <c r="DP67">
        <f t="shared" ref="DP67:DP130" si="75">Q67/BI67</f>
        <v>0.18970356214233577</v>
      </c>
    </row>
    <row r="68" spans="1:120">
      <c r="A68" s="4" t="s">
        <v>1651</v>
      </c>
      <c r="B68" s="4" t="s">
        <v>24</v>
      </c>
      <c r="C68" s="121" t="s">
        <v>1800</v>
      </c>
      <c r="D68" s="4" t="s">
        <v>1630</v>
      </c>
      <c r="E68" s="4" t="s">
        <v>1394</v>
      </c>
      <c r="F68" s="4" t="s">
        <v>1628</v>
      </c>
      <c r="G68" s="4" t="s">
        <v>595</v>
      </c>
      <c r="H68" s="49">
        <v>132</v>
      </c>
      <c r="I68" s="4" t="s">
        <v>735</v>
      </c>
      <c r="J68" s="4"/>
      <c r="K68" s="4" t="s">
        <v>1649</v>
      </c>
      <c r="L68" s="4"/>
      <c r="M68" s="4" t="s">
        <v>1639</v>
      </c>
      <c r="N68" s="4">
        <v>31</v>
      </c>
      <c r="O68" s="95">
        <v>6.731475748194014</v>
      </c>
      <c r="P68" s="95">
        <v>2.1462676298589614</v>
      </c>
      <c r="Q68" s="95">
        <v>2.1462676298589614</v>
      </c>
      <c r="R68" s="95">
        <v>6.8290333677330572</v>
      </c>
      <c r="S68" s="95">
        <v>18.926178190574472</v>
      </c>
      <c r="T68" s="95">
        <v>17.755486756105949</v>
      </c>
      <c r="U68" s="95">
        <v>2.7316133470932229</v>
      </c>
      <c r="V68" s="95">
        <v>8.2923976608187129</v>
      </c>
      <c r="W68" s="95">
        <v>30.437977296181629</v>
      </c>
      <c r="X68" s="95">
        <v>2.3413828689370484</v>
      </c>
      <c r="Y68" s="95">
        <v>2.1462676298589614</v>
      </c>
      <c r="Z68" s="95">
        <v>100.48434812521498</v>
      </c>
      <c r="AA68" s="4"/>
      <c r="AB68" s="4"/>
      <c r="AC68" s="4"/>
      <c r="AD68" s="4"/>
      <c r="AE68" s="130"/>
      <c r="AF68" s="130"/>
      <c r="AG68" s="4"/>
      <c r="AH68" s="4"/>
      <c r="AI68" s="4"/>
      <c r="AJ68" s="4"/>
      <c r="AK68" s="137"/>
      <c r="AL68" s="4"/>
      <c r="AM68" s="137"/>
      <c r="AN68" s="130"/>
      <c r="AO68" s="4"/>
      <c r="AP68" s="4"/>
      <c r="AQ68" s="4"/>
      <c r="AR68" s="4"/>
      <c r="AS68" s="4"/>
      <c r="AT68" s="4"/>
      <c r="AU68" s="4"/>
      <c r="AV68" s="4"/>
      <c r="AW68" s="4"/>
      <c r="AX68" s="130"/>
      <c r="AY68" s="130"/>
      <c r="AZ68" s="130"/>
      <c r="BA68" s="130"/>
      <c r="BB68" s="4"/>
      <c r="BC68" s="130"/>
      <c r="BD68" s="4"/>
      <c r="BE68" s="4"/>
      <c r="BF68" s="4"/>
      <c r="BG68" s="4"/>
      <c r="BH68" s="130"/>
      <c r="BI68" s="130"/>
      <c r="BJ68" s="4"/>
      <c r="BK68" s="130"/>
      <c r="BL68" s="130"/>
      <c r="BM68" s="130"/>
      <c r="BN68" s="130"/>
      <c r="BO68" s="4"/>
      <c r="BP68" s="4"/>
      <c r="BQ68" s="4"/>
      <c r="BR68" s="49"/>
      <c r="BS68" s="49"/>
      <c r="BT68" s="49"/>
      <c r="BU68" s="49"/>
      <c r="BV68" s="49"/>
      <c r="BW68" s="49"/>
      <c r="BX68" s="49"/>
      <c r="BY68" s="140"/>
      <c r="BZ68" s="49"/>
      <c r="CA68" s="140"/>
      <c r="CB68" s="140"/>
      <c r="CC68" s="140"/>
      <c r="CE68" t="e">
        <f t="shared" si="38"/>
        <v>#DIV/0!</v>
      </c>
      <c r="CF68" t="e">
        <f t="shared" si="39"/>
        <v>#DIV/0!</v>
      </c>
      <c r="CG68" t="e">
        <f t="shared" si="40"/>
        <v>#DIV/0!</v>
      </c>
      <c r="CH68" t="e">
        <f t="shared" si="41"/>
        <v>#DIV/0!</v>
      </c>
      <c r="CI68" t="e">
        <f t="shared" si="42"/>
        <v>#DIV/0!</v>
      </c>
      <c r="CJ68" t="e">
        <f t="shared" si="43"/>
        <v>#DIV/0!</v>
      </c>
      <c r="CK68" t="e">
        <f t="shared" si="44"/>
        <v>#DIV/0!</v>
      </c>
      <c r="CL68" t="e">
        <f t="shared" si="45"/>
        <v>#DIV/0!</v>
      </c>
      <c r="CM68" t="e">
        <f t="shared" si="46"/>
        <v>#DIV/0!</v>
      </c>
      <c r="CN68" t="e">
        <f t="shared" si="47"/>
        <v>#DIV/0!</v>
      </c>
      <c r="CO68" t="e">
        <f t="shared" si="48"/>
        <v>#DIV/0!</v>
      </c>
      <c r="CP68" t="e">
        <f t="shared" si="49"/>
        <v>#DIV/0!</v>
      </c>
      <c r="CQ68" t="e">
        <f t="shared" si="50"/>
        <v>#DIV/0!</v>
      </c>
      <c r="CR68" t="e">
        <f t="shared" si="51"/>
        <v>#DIV/0!</v>
      </c>
      <c r="CS68" t="e">
        <f t="shared" si="52"/>
        <v>#DIV/0!</v>
      </c>
      <c r="CT68" t="e">
        <f t="shared" si="53"/>
        <v>#DIV/0!</v>
      </c>
      <c r="CU68" t="e">
        <f t="shared" si="54"/>
        <v>#DIV/0!</v>
      </c>
      <c r="CV68" t="e">
        <f t="shared" si="55"/>
        <v>#DIV/0!</v>
      </c>
      <c r="CW68" t="e">
        <f t="shared" si="56"/>
        <v>#DIV/0!</v>
      </c>
      <c r="CX68" t="e">
        <f t="shared" si="57"/>
        <v>#DIV/0!</v>
      </c>
      <c r="CY68" t="e">
        <f t="shared" si="58"/>
        <v>#DIV/0!</v>
      </c>
      <c r="CZ68" t="e">
        <f t="shared" si="59"/>
        <v>#DIV/0!</v>
      </c>
      <c r="DA68" t="e">
        <f t="shared" si="60"/>
        <v>#DIV/0!</v>
      </c>
      <c r="DB68" t="e">
        <f t="shared" si="61"/>
        <v>#DIV/0!</v>
      </c>
      <c r="DC68" t="e">
        <f t="shared" si="62"/>
        <v>#DIV/0!</v>
      </c>
      <c r="DD68" t="e">
        <f t="shared" si="63"/>
        <v>#DIV/0!</v>
      </c>
      <c r="DE68" t="e">
        <f t="shared" si="64"/>
        <v>#DIV/0!</v>
      </c>
      <c r="DF68" t="e">
        <f t="shared" si="65"/>
        <v>#DIV/0!</v>
      </c>
      <c r="DG68" t="e">
        <f t="shared" si="66"/>
        <v>#DIV/0!</v>
      </c>
      <c r="DH68" t="e">
        <f t="shared" si="67"/>
        <v>#DIV/0!</v>
      </c>
      <c r="DI68" t="e">
        <f t="shared" si="68"/>
        <v>#DIV/0!</v>
      </c>
      <c r="DJ68" t="e">
        <f t="shared" si="69"/>
        <v>#DIV/0!</v>
      </c>
      <c r="DK68" t="e">
        <f t="shared" si="70"/>
        <v>#DIV/0!</v>
      </c>
      <c r="DL68" t="e">
        <f t="shared" si="71"/>
        <v>#DIV/0!</v>
      </c>
      <c r="DM68" t="e">
        <f t="shared" si="72"/>
        <v>#DIV/0!</v>
      </c>
      <c r="DN68" t="e">
        <f t="shared" si="73"/>
        <v>#DIV/0!</v>
      </c>
      <c r="DO68" t="e">
        <f t="shared" si="74"/>
        <v>#DIV/0!</v>
      </c>
      <c r="DP68" t="e">
        <f t="shared" si="75"/>
        <v>#DIV/0!</v>
      </c>
    </row>
    <row r="69" spans="1:120">
      <c r="A69" s="16" t="s">
        <v>1656</v>
      </c>
      <c r="B69" s="4" t="s">
        <v>24</v>
      </c>
      <c r="C69" s="121" t="s">
        <v>1800</v>
      </c>
      <c r="D69" s="4" t="s">
        <v>1706</v>
      </c>
      <c r="E69" s="4" t="s">
        <v>237</v>
      </c>
      <c r="F69" s="4" t="s">
        <v>849</v>
      </c>
      <c r="G69" s="4" t="s">
        <v>595</v>
      </c>
      <c r="H69" s="49">
        <v>364</v>
      </c>
      <c r="I69" s="4" t="s">
        <v>1148</v>
      </c>
      <c r="J69" s="4" t="s">
        <v>635</v>
      </c>
      <c r="K69" s="4" t="s">
        <v>128</v>
      </c>
      <c r="L69" s="4"/>
      <c r="M69" s="4" t="s">
        <v>1665</v>
      </c>
      <c r="N69" s="4">
        <v>21</v>
      </c>
      <c r="O69" s="95">
        <v>11.672377743874362</v>
      </c>
      <c r="P69" s="95">
        <v>0</v>
      </c>
      <c r="Q69" s="95">
        <v>1.7508566615811545</v>
      </c>
      <c r="R69" s="95">
        <v>6.5908684674462998</v>
      </c>
      <c r="S69" s="95">
        <v>22.539763919205665</v>
      </c>
      <c r="T69" s="95">
        <v>12.376745366349541</v>
      </c>
      <c r="U69" s="95">
        <v>0</v>
      </c>
      <c r="V69" s="95">
        <v>16.804198993336367</v>
      </c>
      <c r="W69" s="95">
        <v>22.841635757409314</v>
      </c>
      <c r="X69" s="95">
        <v>3.3004654310265442</v>
      </c>
      <c r="Y69" s="95">
        <v>2.7369713330464025</v>
      </c>
      <c r="Z69" s="95">
        <v>100.61388367327564</v>
      </c>
      <c r="AB69" s="26"/>
      <c r="BR69" s="45"/>
      <c r="BS69" s="45"/>
      <c r="BT69" s="45"/>
      <c r="BU69" s="45"/>
      <c r="BV69" s="45"/>
      <c r="BW69" s="45"/>
      <c r="BX69" s="45"/>
      <c r="BY69" s="141"/>
      <c r="BZ69" s="45"/>
      <c r="CA69" s="141"/>
      <c r="CB69" s="141"/>
      <c r="CC69" s="141"/>
      <c r="CE69" t="e">
        <f t="shared" si="38"/>
        <v>#DIV/0!</v>
      </c>
      <c r="CF69" t="e">
        <f t="shared" si="39"/>
        <v>#DIV/0!</v>
      </c>
      <c r="CG69" t="e">
        <f t="shared" si="40"/>
        <v>#DIV/0!</v>
      </c>
      <c r="CH69" t="e">
        <f t="shared" si="41"/>
        <v>#DIV/0!</v>
      </c>
      <c r="CI69" t="e">
        <f t="shared" si="42"/>
        <v>#DIV/0!</v>
      </c>
      <c r="CJ69" t="e">
        <f t="shared" si="43"/>
        <v>#DIV/0!</v>
      </c>
      <c r="CK69" t="e">
        <f t="shared" si="44"/>
        <v>#DIV/0!</v>
      </c>
      <c r="CL69" t="e">
        <f t="shared" si="45"/>
        <v>#DIV/0!</v>
      </c>
      <c r="CM69" t="e">
        <f t="shared" si="46"/>
        <v>#DIV/0!</v>
      </c>
      <c r="CN69" t="e">
        <f t="shared" si="47"/>
        <v>#DIV/0!</v>
      </c>
      <c r="CO69" t="e">
        <f t="shared" si="48"/>
        <v>#DIV/0!</v>
      </c>
      <c r="CP69" t="e">
        <f t="shared" si="49"/>
        <v>#DIV/0!</v>
      </c>
      <c r="CQ69" t="e">
        <f t="shared" si="50"/>
        <v>#DIV/0!</v>
      </c>
      <c r="CR69" t="e">
        <f t="shared" si="51"/>
        <v>#DIV/0!</v>
      </c>
      <c r="CS69" t="e">
        <f t="shared" si="52"/>
        <v>#DIV/0!</v>
      </c>
      <c r="CT69" t="e">
        <f t="shared" si="53"/>
        <v>#DIV/0!</v>
      </c>
      <c r="CU69" t="e">
        <f t="shared" si="54"/>
        <v>#DIV/0!</v>
      </c>
      <c r="CV69" t="e">
        <f t="shared" si="55"/>
        <v>#DIV/0!</v>
      </c>
      <c r="CW69" t="e">
        <f t="shared" si="56"/>
        <v>#DIV/0!</v>
      </c>
      <c r="CX69" t="e">
        <f t="shared" si="57"/>
        <v>#DIV/0!</v>
      </c>
      <c r="CY69" t="e">
        <f t="shared" si="58"/>
        <v>#DIV/0!</v>
      </c>
      <c r="CZ69" t="e">
        <f t="shared" si="59"/>
        <v>#DIV/0!</v>
      </c>
      <c r="DA69" t="e">
        <f t="shared" si="60"/>
        <v>#DIV/0!</v>
      </c>
      <c r="DB69" t="e">
        <f t="shared" si="61"/>
        <v>#DIV/0!</v>
      </c>
      <c r="DC69" t="e">
        <f t="shared" si="62"/>
        <v>#DIV/0!</v>
      </c>
      <c r="DD69" t="e">
        <f t="shared" si="63"/>
        <v>#DIV/0!</v>
      </c>
      <c r="DE69" t="e">
        <f t="shared" si="64"/>
        <v>#DIV/0!</v>
      </c>
      <c r="DF69" t="e">
        <f t="shared" si="65"/>
        <v>#DIV/0!</v>
      </c>
      <c r="DG69" t="e">
        <f t="shared" si="66"/>
        <v>#DIV/0!</v>
      </c>
      <c r="DH69" t="e">
        <f t="shared" si="67"/>
        <v>#DIV/0!</v>
      </c>
      <c r="DI69" t="e">
        <f t="shared" si="68"/>
        <v>#DIV/0!</v>
      </c>
      <c r="DJ69" t="e">
        <f t="shared" si="69"/>
        <v>#DIV/0!</v>
      </c>
      <c r="DK69" t="e">
        <f t="shared" si="70"/>
        <v>#DIV/0!</v>
      </c>
      <c r="DL69" t="e">
        <f t="shared" si="71"/>
        <v>#DIV/0!</v>
      </c>
      <c r="DM69" t="e">
        <f t="shared" si="72"/>
        <v>#DIV/0!</v>
      </c>
      <c r="DN69" t="e">
        <f t="shared" si="73"/>
        <v>#DIV/0!</v>
      </c>
      <c r="DO69" t="e">
        <f t="shared" si="74"/>
        <v>#DIV/0!</v>
      </c>
      <c r="DP69" t="e">
        <f t="shared" si="75"/>
        <v>#DIV/0!</v>
      </c>
    </row>
    <row r="70" spans="1:120">
      <c r="A70" s="16" t="s">
        <v>1656</v>
      </c>
      <c r="B70" s="4" t="s">
        <v>24</v>
      </c>
      <c r="C70" s="121" t="s">
        <v>1800</v>
      </c>
      <c r="D70" s="4" t="s">
        <v>1706</v>
      </c>
      <c r="E70" s="4" t="s">
        <v>237</v>
      </c>
      <c r="F70" s="4" t="s">
        <v>849</v>
      </c>
      <c r="G70" s="4" t="s">
        <v>595</v>
      </c>
      <c r="H70" s="49">
        <v>364</v>
      </c>
      <c r="I70" s="4" t="s">
        <v>1148</v>
      </c>
      <c r="J70" s="4" t="s">
        <v>635</v>
      </c>
      <c r="K70" s="4" t="s">
        <v>1667</v>
      </c>
      <c r="L70" s="4"/>
      <c r="M70" s="4" t="s">
        <v>1669</v>
      </c>
      <c r="N70" s="4">
        <v>20</v>
      </c>
      <c r="O70" s="95">
        <v>18.575252175007833</v>
      </c>
      <c r="P70" s="95">
        <v>0.14056947591897823</v>
      </c>
      <c r="Q70" s="95">
        <v>2.6406980119065189</v>
      </c>
      <c r="R70" s="95">
        <v>8.9562837514091829</v>
      </c>
      <c r="S70" s="95">
        <v>25.302505665416074</v>
      </c>
      <c r="T70" s="95">
        <v>16.868337110277388</v>
      </c>
      <c r="U70" s="95">
        <v>0</v>
      </c>
      <c r="V70" s="95">
        <v>9.418154886571541</v>
      </c>
      <c r="W70" s="95">
        <v>14.759794971492711</v>
      </c>
      <c r="X70" s="95">
        <v>2.1788268767441625</v>
      </c>
      <c r="Y70" s="95">
        <v>1.4960608508519824</v>
      </c>
      <c r="Z70" s="95">
        <v>100.33648377559636</v>
      </c>
      <c r="AB70" s="26"/>
      <c r="AJ70" s="44">
        <v>7902.0160099588229</v>
      </c>
      <c r="AX70" s="131">
        <v>224.47069577031715</v>
      </c>
      <c r="AY70" s="131">
        <v>4341.802733953863</v>
      </c>
      <c r="AZ70" s="131">
        <v>22.747700089534078</v>
      </c>
      <c r="BA70" s="131">
        <v>276.11966376682972</v>
      </c>
      <c r="BC70" s="131">
        <v>619.43448103938738</v>
      </c>
      <c r="BH70" s="131">
        <v>3944.7584614239549</v>
      </c>
      <c r="BI70" s="131">
        <v>16111.193601474151</v>
      </c>
      <c r="BK70" s="131">
        <v>286.8362471590525</v>
      </c>
      <c r="BL70" s="131">
        <v>523.63483566726893</v>
      </c>
      <c r="BM70" s="131">
        <v>70.005599016120598</v>
      </c>
      <c r="BN70" s="131">
        <v>326.51838488878485</v>
      </c>
      <c r="BO70" s="44">
        <v>40.590239913513415</v>
      </c>
      <c r="BP70" s="44">
        <v>10.256552190308955</v>
      </c>
      <c r="BQ70" s="44">
        <v>22.070076352757884</v>
      </c>
      <c r="BR70" s="44">
        <v>8.275728366569334</v>
      </c>
      <c r="BS70" s="44">
        <v>3.0385215558076015</v>
      </c>
      <c r="BT70" s="45">
        <v>1.2696372623325383</v>
      </c>
      <c r="BU70" s="45"/>
      <c r="BV70" s="45">
        <v>1.1800473356416399</v>
      </c>
      <c r="BW70" s="45">
        <v>0.40270567709942917</v>
      </c>
      <c r="BX70" s="45">
        <v>7.4536316022641866</v>
      </c>
      <c r="BY70" s="141">
        <v>29.578347031863402</v>
      </c>
      <c r="BZ70" s="45"/>
      <c r="CA70" s="141">
        <v>102.35411665566743</v>
      </c>
      <c r="CB70" s="141">
        <v>24.870254853348101</v>
      </c>
      <c r="CC70" s="141">
        <v>6.3640065271077937</v>
      </c>
      <c r="CE70">
        <f t="shared" si="38"/>
        <v>3.7107152463378941</v>
      </c>
      <c r="CF70">
        <f t="shared" si="39"/>
        <v>56.168611049148168</v>
      </c>
      <c r="CG70">
        <f t="shared" si="40"/>
        <v>15.136869126398471</v>
      </c>
      <c r="CH70">
        <f t="shared" si="41"/>
        <v>0.54777915375614095</v>
      </c>
      <c r="CI70">
        <f t="shared" si="42"/>
        <v>0</v>
      </c>
      <c r="CJ70" t="e">
        <f t="shared" si="43"/>
        <v>#DIV/0!</v>
      </c>
      <c r="CK70">
        <f t="shared" si="44"/>
        <v>0</v>
      </c>
      <c r="CL70">
        <f t="shared" si="45"/>
        <v>8.2916613605760112</v>
      </c>
      <c r="CM70">
        <f t="shared" si="46"/>
        <v>30.767994228160212</v>
      </c>
      <c r="CN70">
        <f t="shared" si="47"/>
        <v>30.767994228160212</v>
      </c>
      <c r="CO70">
        <f t="shared" si="48"/>
        <v>5.6486591451028377E-2</v>
      </c>
      <c r="CP70">
        <f t="shared" si="49"/>
        <v>16.083282790437927</v>
      </c>
      <c r="CQ70">
        <f t="shared" si="50"/>
        <v>0.35683815302084687</v>
      </c>
      <c r="CR70">
        <f t="shared" si="51"/>
        <v>2.1595404596682894</v>
      </c>
      <c r="CS70">
        <f t="shared" si="52"/>
        <v>0.96263867102444567</v>
      </c>
      <c r="CT70">
        <f t="shared" si="53"/>
        <v>5.1699883556409962E-2</v>
      </c>
      <c r="CU70">
        <f t="shared" si="54"/>
        <v>7.9305528205855846E-2</v>
      </c>
      <c r="CV70" t="e">
        <f t="shared" si="55"/>
        <v>#DIV/0!</v>
      </c>
      <c r="CW70">
        <f t="shared" si="56"/>
        <v>0</v>
      </c>
      <c r="CX70">
        <f t="shared" si="57"/>
        <v>0.44576088709739159</v>
      </c>
      <c r="CY70">
        <f t="shared" si="58"/>
        <v>0.10311927911768425</v>
      </c>
      <c r="CZ70">
        <f t="shared" si="59"/>
        <v>3.9079555854338062</v>
      </c>
      <c r="DA70">
        <f t="shared" si="60"/>
        <v>1.2300922524397608</v>
      </c>
      <c r="DB70">
        <f t="shared" si="61"/>
        <v>6.3595626214777684E-2</v>
      </c>
      <c r="DC70">
        <f t="shared" si="62"/>
        <v>12.138355204263872</v>
      </c>
      <c r="DD70">
        <f t="shared" si="63"/>
        <v>0.52731339658670695</v>
      </c>
      <c r="DE70">
        <f t="shared" si="64"/>
        <v>0</v>
      </c>
      <c r="DF70">
        <f t="shared" si="65"/>
        <v>0</v>
      </c>
      <c r="DG70">
        <f t="shared" si="66"/>
        <v>0</v>
      </c>
      <c r="DH70">
        <f t="shared" si="67"/>
        <v>3.7107152463378941</v>
      </c>
      <c r="DI70">
        <f t="shared" si="68"/>
        <v>0.14266757819172021</v>
      </c>
      <c r="DJ70">
        <f t="shared" si="69"/>
        <v>1.4657521119833122E-3</v>
      </c>
      <c r="DK70">
        <f t="shared" si="70"/>
        <v>8.8212371748768822E-2</v>
      </c>
      <c r="DL70">
        <f t="shared" si="71"/>
        <v>9.206291178542143E-3</v>
      </c>
      <c r="DM70">
        <f t="shared" si="72"/>
        <v>5.8276497611337462E-3</v>
      </c>
      <c r="DN70">
        <f t="shared" si="73"/>
        <v>1.5704923105821862E-3</v>
      </c>
      <c r="DO70">
        <f t="shared" si="74"/>
        <v>6.0820312983260916E-4</v>
      </c>
      <c r="DP70">
        <f t="shared" si="75"/>
        <v>1.6390455463615673E-4</v>
      </c>
    </row>
    <row r="71" spans="1:120">
      <c r="A71" s="16" t="s">
        <v>1656</v>
      </c>
      <c r="B71" s="4" t="s">
        <v>24</v>
      </c>
      <c r="C71" s="121" t="s">
        <v>1800</v>
      </c>
      <c r="D71" s="4" t="s">
        <v>1706</v>
      </c>
      <c r="E71" s="4" t="s">
        <v>237</v>
      </c>
      <c r="F71" s="4" t="s">
        <v>849</v>
      </c>
      <c r="G71" s="4" t="s">
        <v>595</v>
      </c>
      <c r="H71" s="49">
        <v>364</v>
      </c>
      <c r="I71" s="4" t="s">
        <v>1148</v>
      </c>
      <c r="J71" s="4" t="s">
        <v>635</v>
      </c>
      <c r="K71" s="4" t="s">
        <v>1667</v>
      </c>
      <c r="L71" s="4"/>
      <c r="M71" s="4" t="s">
        <v>1670</v>
      </c>
      <c r="N71" s="4">
        <v>24</v>
      </c>
      <c r="O71" s="95">
        <v>8.7926300173623382</v>
      </c>
      <c r="P71" s="95">
        <v>1.4972592829565583</v>
      </c>
      <c r="Q71" s="95">
        <v>1.7183311233930969</v>
      </c>
      <c r="R71" s="95">
        <v>8.9333120976401368</v>
      </c>
      <c r="S71" s="95">
        <v>21.403773642264891</v>
      </c>
      <c r="T71" s="95">
        <v>15.475028830557715</v>
      </c>
      <c r="U71" s="95">
        <v>0</v>
      </c>
      <c r="V71" s="95">
        <v>17.685747234923102</v>
      </c>
      <c r="W71" s="95">
        <v>17.384285634327821</v>
      </c>
      <c r="X71" s="95">
        <v>5.5669908909928401</v>
      </c>
      <c r="Y71" s="95">
        <v>1.989646563928849</v>
      </c>
      <c r="Z71" s="95">
        <v>100.44700531834735</v>
      </c>
      <c r="AB71" s="26"/>
      <c r="AJ71" s="44">
        <v>10648.314256849566</v>
      </c>
      <c r="AX71" s="131">
        <v>4.9232609314273486</v>
      </c>
      <c r="AY71" s="131">
        <v>4406.8052639386797</v>
      </c>
      <c r="AZ71" s="131">
        <v>22.062934856681892</v>
      </c>
      <c r="BA71" s="131">
        <v>248.13196520235564</v>
      </c>
      <c r="BC71" s="131">
        <v>792.83520408687207</v>
      </c>
      <c r="BI71" s="131">
        <v>14949.549592041454</v>
      </c>
      <c r="BK71" s="131">
        <v>340.51590873733682</v>
      </c>
      <c r="BL71" s="131">
        <v>657.08624198352686</v>
      </c>
      <c r="BM71" s="131">
        <v>83.213574960855979</v>
      </c>
      <c r="BN71" s="131">
        <v>364.71573893535611</v>
      </c>
      <c r="BO71" s="44">
        <v>39.332766545894167</v>
      </c>
      <c r="BP71" s="44">
        <v>11.047446686577731</v>
      </c>
      <c r="BQ71" s="44">
        <v>19.064187581150335</v>
      </c>
      <c r="BR71" s="44">
        <v>6.4596001415496973</v>
      </c>
      <c r="BS71" s="44">
        <v>1.2666911022702247</v>
      </c>
      <c r="BT71" s="44">
        <v>2.2663138425566052</v>
      </c>
      <c r="BV71" s="45">
        <v>1.1575354750425733</v>
      </c>
      <c r="BW71" s="45">
        <v>0.27654858048570086</v>
      </c>
      <c r="BX71" s="45">
        <v>8.9729799293410544</v>
      </c>
      <c r="BY71" s="141">
        <v>40.72877145153322</v>
      </c>
      <c r="BZ71" s="45"/>
      <c r="CA71" s="141">
        <v>102.25102848520623</v>
      </c>
      <c r="CB71" s="141">
        <v>25.933819982960756</v>
      </c>
      <c r="CC71" s="141">
        <v>6.3784004924529194</v>
      </c>
      <c r="CE71">
        <f t="shared" si="38"/>
        <v>3.3923780826838632</v>
      </c>
      <c r="CF71">
        <f t="shared" si="39"/>
        <v>43.902646567896667</v>
      </c>
      <c r="CG71">
        <f t="shared" si="40"/>
        <v>12.941554714079306</v>
      </c>
      <c r="CH71">
        <f t="shared" si="41"/>
        <v>0.51822102941834769</v>
      </c>
      <c r="CI71">
        <f t="shared" si="42"/>
        <v>0</v>
      </c>
      <c r="CJ71" t="e">
        <f t="shared" si="43"/>
        <v>#DIV/0!</v>
      </c>
      <c r="CK71">
        <f t="shared" si="44"/>
        <v>0</v>
      </c>
      <c r="CL71">
        <f t="shared" si="45"/>
        <v>6.706585806204048</v>
      </c>
      <c r="CM71">
        <f t="shared" si="46"/>
        <v>22.7512746986053</v>
      </c>
      <c r="CN71">
        <f t="shared" si="47"/>
        <v>22.7512746986053</v>
      </c>
      <c r="CO71">
        <f t="shared" si="48"/>
        <v>6.1983905382931893E-2</v>
      </c>
      <c r="CP71">
        <f t="shared" si="49"/>
        <v>16.030826005076378</v>
      </c>
      <c r="CQ71">
        <f t="shared" si="50"/>
        <v>0.30028267655500185</v>
      </c>
      <c r="CR71">
        <f t="shared" si="51"/>
        <v>2.3283352810938416</v>
      </c>
      <c r="CS71">
        <f t="shared" si="52"/>
        <v>0.72869419265152979</v>
      </c>
      <c r="CT71">
        <f t="shared" si="53"/>
        <v>1.1171950282702248E-3</v>
      </c>
      <c r="CU71">
        <f t="shared" si="54"/>
        <v>6.4792669859370766E-2</v>
      </c>
      <c r="CV71" t="e">
        <f t="shared" si="55"/>
        <v>#DIV/0!</v>
      </c>
      <c r="CW71">
        <f t="shared" si="56"/>
        <v>0</v>
      </c>
      <c r="CX71">
        <f t="shared" si="57"/>
        <v>0.31296789537509928</v>
      </c>
      <c r="CY71">
        <f t="shared" si="58"/>
        <v>0.11960901210918197</v>
      </c>
      <c r="CZ71">
        <f t="shared" si="59"/>
        <v>4.0658814092414373</v>
      </c>
      <c r="DA71">
        <f t="shared" si="60"/>
        <v>50.399921649169507</v>
      </c>
      <c r="DB71">
        <f t="shared" si="61"/>
        <v>5.6306541891661038E-2</v>
      </c>
      <c r="DC71">
        <f t="shared" si="62"/>
        <v>11.246552954726573</v>
      </c>
      <c r="DD71">
        <f t="shared" si="63"/>
        <v>0.37762465464704753</v>
      </c>
      <c r="DE71">
        <f t="shared" si="64"/>
        <v>0</v>
      </c>
      <c r="DF71">
        <f t="shared" si="65"/>
        <v>0</v>
      </c>
      <c r="DG71">
        <f t="shared" si="66"/>
        <v>0</v>
      </c>
      <c r="DH71">
        <f t="shared" si="67"/>
        <v>3.3923780826838632</v>
      </c>
      <c r="DI71">
        <f t="shared" si="68"/>
        <v>0.17991155873728309</v>
      </c>
      <c r="DJ71">
        <f t="shared" si="69"/>
        <v>1.4473978563672866E-3</v>
      </c>
      <c r="DK71">
        <f t="shared" si="70"/>
        <v>6.2856897704521297E-2</v>
      </c>
      <c r="DL71">
        <f t="shared" si="71"/>
        <v>5.0462579847291751E-3</v>
      </c>
      <c r="DM71">
        <f t="shared" si="72"/>
        <v>4.8569819541185704E-3</v>
      </c>
      <c r="DN71">
        <f t="shared" si="73"/>
        <v>1.4317336793651235E-3</v>
      </c>
      <c r="DO71">
        <f t="shared" si="74"/>
        <v>3.8992672026022328E-4</v>
      </c>
      <c r="DP71">
        <f t="shared" si="75"/>
        <v>1.1494199961100287E-4</v>
      </c>
    </row>
    <row r="72" spans="1:120">
      <c r="A72" s="16" t="s">
        <v>1656</v>
      </c>
      <c r="B72" s="4" t="s">
        <v>24</v>
      </c>
      <c r="C72" s="121" t="s">
        <v>1800</v>
      </c>
      <c r="D72" s="4" t="s">
        <v>1706</v>
      </c>
      <c r="E72" s="4" t="s">
        <v>237</v>
      </c>
      <c r="F72" s="4" t="s">
        <v>849</v>
      </c>
      <c r="G72" s="4" t="s">
        <v>595</v>
      </c>
      <c r="H72" s="49">
        <v>364</v>
      </c>
      <c r="I72" s="4" t="s">
        <v>1148</v>
      </c>
      <c r="J72" s="4" t="s">
        <v>635</v>
      </c>
      <c r="K72" s="4" t="s">
        <v>1667</v>
      </c>
      <c r="L72" s="4"/>
      <c r="M72" s="4" t="s">
        <v>1672</v>
      </c>
      <c r="N72" s="4">
        <v>20</v>
      </c>
      <c r="O72" s="95">
        <v>11.047665299931266</v>
      </c>
      <c r="P72" s="95">
        <v>0</v>
      </c>
      <c r="Q72" s="95">
        <v>0.9541165486304275</v>
      </c>
      <c r="R72" s="95">
        <v>6.5884258515953729</v>
      </c>
      <c r="S72" s="95">
        <v>26.112663436201181</v>
      </c>
      <c r="T72" s="95">
        <v>15.064998136269908</v>
      </c>
      <c r="U72" s="95">
        <v>0</v>
      </c>
      <c r="V72" s="95">
        <v>16.571497949896902</v>
      </c>
      <c r="W72" s="95">
        <v>14.964564815361445</v>
      </c>
      <c r="X72" s="95">
        <v>8.0346656726772867</v>
      </c>
      <c r="Y72" s="95">
        <v>0.85368322772196148</v>
      </c>
      <c r="Z72" s="95">
        <v>100.19228093828575</v>
      </c>
      <c r="AB72" s="26"/>
      <c r="AJ72" s="44">
        <v>3862.2054326068455</v>
      </c>
      <c r="AX72" s="131">
        <v>90.1648278920742</v>
      </c>
      <c r="AY72" s="131">
        <v>3955.326855838513</v>
      </c>
      <c r="AZ72" s="131">
        <v>13.101758345346248</v>
      </c>
      <c r="BA72" s="131">
        <v>159.6980537990888</v>
      </c>
      <c r="BC72" s="131">
        <v>666.47262954255393</v>
      </c>
      <c r="BI72" s="131">
        <v>6892.5400095323384</v>
      </c>
      <c r="BK72" s="131">
        <v>167.80649779014371</v>
      </c>
      <c r="BL72" s="131">
        <v>390.80724108580017</v>
      </c>
      <c r="BM72" s="131">
        <v>56.092358974844416</v>
      </c>
      <c r="BN72" s="131">
        <v>290.08152032725951</v>
      </c>
      <c r="BO72" s="44">
        <v>38.608600198955365</v>
      </c>
      <c r="BP72" s="44">
        <v>7.491478977399793</v>
      </c>
      <c r="BQ72" s="44">
        <v>13.301832186015444</v>
      </c>
      <c r="BR72" s="44">
        <v>5.4553603593206565</v>
      </c>
      <c r="BS72" s="44">
        <v>0.94310778308738308</v>
      </c>
      <c r="BT72" s="44">
        <v>1.5431799112644993</v>
      </c>
      <c r="BV72" s="44">
        <v>0.71672421799825059</v>
      </c>
      <c r="BW72" s="44">
        <v>0.31371728802794852</v>
      </c>
      <c r="BX72" s="44">
        <v>4.0696553184634405</v>
      </c>
      <c r="BY72" s="131">
        <v>33.699759790251655</v>
      </c>
      <c r="CA72" s="131">
        <v>82.845294925669691</v>
      </c>
      <c r="CB72" s="131">
        <v>10.840814396385106</v>
      </c>
      <c r="CC72" s="131">
        <v>3.0535395660492641</v>
      </c>
      <c r="CE72">
        <f t="shared" si="38"/>
        <v>1.7425968221458523</v>
      </c>
      <c r="CF72">
        <f t="shared" si="39"/>
        <v>41.074333236797813</v>
      </c>
      <c r="CG72">
        <f t="shared" si="40"/>
        <v>23.570761012991198</v>
      </c>
      <c r="CH72">
        <f t="shared" si="41"/>
        <v>0.42938431059751642</v>
      </c>
      <c r="CI72">
        <f t="shared" si="42"/>
        <v>0</v>
      </c>
      <c r="CJ72" t="e">
        <f t="shared" si="43"/>
        <v>#DIV/0!</v>
      </c>
      <c r="CK72">
        <f t="shared" si="44"/>
        <v>0</v>
      </c>
      <c r="CL72">
        <f t="shared" si="45"/>
        <v>10.120914967822044</v>
      </c>
      <c r="CM72">
        <f t="shared" si="46"/>
        <v>17.636674260135084</v>
      </c>
      <c r="CN72">
        <f t="shared" si="47"/>
        <v>17.636674260135084</v>
      </c>
      <c r="CO72">
        <f t="shared" si="48"/>
        <v>8.6231155023181891E-2</v>
      </c>
      <c r="CP72">
        <f t="shared" si="49"/>
        <v>27.130905997349409</v>
      </c>
      <c r="CQ72">
        <f t="shared" si="50"/>
        <v>0.49369539330517925</v>
      </c>
      <c r="CR72">
        <f t="shared" si="51"/>
        <v>3.9716735544772206</v>
      </c>
      <c r="CS72">
        <f t="shared" si="52"/>
        <v>0.95167979727939256</v>
      </c>
      <c r="CT72">
        <f t="shared" si="53"/>
        <v>2.2795796953918143E-2</v>
      </c>
      <c r="CU72">
        <f t="shared" si="54"/>
        <v>7.8076585340164303E-2</v>
      </c>
      <c r="CV72" t="e">
        <f t="shared" si="55"/>
        <v>#DIV/0!</v>
      </c>
      <c r="CW72">
        <f t="shared" si="56"/>
        <v>0</v>
      </c>
      <c r="CX72">
        <f t="shared" si="57"/>
        <v>0.23961682253733446</v>
      </c>
      <c r="CY72">
        <f t="shared" si="58"/>
        <v>0.20082511841940751</v>
      </c>
      <c r="CZ72">
        <f t="shared" si="59"/>
        <v>3.5502452684479824</v>
      </c>
      <c r="DA72">
        <f t="shared" si="60"/>
        <v>1.7711790454504579</v>
      </c>
      <c r="DB72">
        <f t="shared" si="61"/>
        <v>4.0375437889123192E-2</v>
      </c>
      <c r="DC72">
        <f t="shared" si="62"/>
        <v>12.189055055790556</v>
      </c>
      <c r="DD72">
        <f t="shared" si="63"/>
        <v>0.40863637366439615</v>
      </c>
      <c r="DE72">
        <f t="shared" si="64"/>
        <v>0</v>
      </c>
      <c r="DF72">
        <f t="shared" si="65"/>
        <v>0</v>
      </c>
      <c r="DG72">
        <f t="shared" si="66"/>
        <v>0</v>
      </c>
      <c r="DH72">
        <f t="shared" si="67"/>
        <v>1.7425968221458523</v>
      </c>
      <c r="DI72">
        <f t="shared" si="68"/>
        <v>0.16850001373685827</v>
      </c>
      <c r="DJ72">
        <f t="shared" si="69"/>
        <v>7.7200688523172039E-4</v>
      </c>
      <c r="DK72">
        <f t="shared" si="70"/>
        <v>0.15561175389559281</v>
      </c>
      <c r="DL72">
        <f t="shared" si="71"/>
        <v>5.6858140846466586E-3</v>
      </c>
      <c r="DM72">
        <f t="shared" si="72"/>
        <v>6.6018977414359359E-3</v>
      </c>
      <c r="DN72">
        <f t="shared" si="73"/>
        <v>3.7885399867229694E-3</v>
      </c>
      <c r="DO72">
        <f t="shared" si="74"/>
        <v>2.4122318670631297E-4</v>
      </c>
      <c r="DP72">
        <f t="shared" si="75"/>
        <v>1.3842742259180077E-4</v>
      </c>
    </row>
    <row r="73" spans="1:120">
      <c r="A73" s="16" t="s">
        <v>1656</v>
      </c>
      <c r="B73" s="4" t="s">
        <v>24</v>
      </c>
      <c r="C73" s="121" t="s">
        <v>1800</v>
      </c>
      <c r="D73" s="4" t="s">
        <v>1706</v>
      </c>
      <c r="E73" s="4" t="s">
        <v>237</v>
      </c>
      <c r="F73" s="4" t="s">
        <v>849</v>
      </c>
      <c r="G73" s="4" t="s">
        <v>595</v>
      </c>
      <c r="H73" s="49">
        <v>364</v>
      </c>
      <c r="I73" s="4" t="s">
        <v>1148</v>
      </c>
      <c r="J73" s="4" t="s">
        <v>635</v>
      </c>
      <c r="K73" s="4" t="s">
        <v>1678</v>
      </c>
      <c r="L73" s="4"/>
      <c r="M73" s="4" t="s">
        <v>1680</v>
      </c>
      <c r="N73" s="4">
        <v>32</v>
      </c>
      <c r="O73" s="95">
        <v>8.2791533334544276</v>
      </c>
      <c r="P73" s="95">
        <v>1.4385406156549003</v>
      </c>
      <c r="Q73" s="95">
        <v>2.8670215067248015</v>
      </c>
      <c r="R73" s="95">
        <v>7.7862268287894603</v>
      </c>
      <c r="S73" s="95">
        <v>29.374395788197958</v>
      </c>
      <c r="T73" s="95">
        <v>24.143339003998324</v>
      </c>
      <c r="U73" s="95">
        <v>0</v>
      </c>
      <c r="V73" s="95">
        <v>9.9792467883193083</v>
      </c>
      <c r="W73" s="95">
        <v>11.971072256149171</v>
      </c>
      <c r="X73" s="95">
        <v>3.8025758931297364</v>
      </c>
      <c r="Y73" s="95">
        <v>0.46274733090996789</v>
      </c>
      <c r="Z73" s="95">
        <v>100.10431934532805</v>
      </c>
      <c r="AB73" s="26"/>
      <c r="AJ73" s="44">
        <v>8888.6282667760715</v>
      </c>
      <c r="AY73" s="131">
        <v>3566.193339645054</v>
      </c>
      <c r="AZ73" s="131">
        <v>53.276591026043974</v>
      </c>
      <c r="BA73" s="131">
        <v>418.57589653544193</v>
      </c>
      <c r="BC73" s="131">
        <v>1174.4664213915871</v>
      </c>
      <c r="BH73" s="131">
        <v>508769.34859111678</v>
      </c>
      <c r="BI73" s="131">
        <v>13811.987185911952</v>
      </c>
      <c r="BK73" s="131">
        <v>723.78498844547164</v>
      </c>
      <c r="BL73" s="131">
        <v>1066.3892643158788</v>
      </c>
      <c r="BM73" s="131">
        <v>119.31004658720995</v>
      </c>
      <c r="BN73" s="131">
        <v>574.25729745102581</v>
      </c>
      <c r="BO73" s="44">
        <v>88.86292679816286</v>
      </c>
      <c r="BP73" s="44">
        <v>13.253153912697687</v>
      </c>
      <c r="BQ73" s="44">
        <v>31.031840721421197</v>
      </c>
      <c r="BR73" s="44">
        <v>14.368881735418059</v>
      </c>
      <c r="BT73" s="44">
        <v>2.7552132478292011</v>
      </c>
      <c r="BV73" s="44">
        <v>1.9832676834686618</v>
      </c>
      <c r="BW73" s="44">
        <v>0.17905417467215529</v>
      </c>
      <c r="BX73" s="44">
        <v>6.0044497332983893</v>
      </c>
      <c r="BY73" s="131">
        <v>58.244360394581818</v>
      </c>
      <c r="CA73" s="131">
        <v>69.874333553853589</v>
      </c>
      <c r="CB73" s="131">
        <v>105.9885572590719</v>
      </c>
      <c r="CC73" s="131">
        <v>22.125899055268214</v>
      </c>
      <c r="CE73">
        <f t="shared" si="38"/>
        <v>3.8730337562928292</v>
      </c>
      <c r="CF73">
        <f t="shared" si="39"/>
        <v>19.082997584098855</v>
      </c>
      <c r="CG73">
        <f t="shared" si="40"/>
        <v>4.9271446583942566</v>
      </c>
      <c r="CH73">
        <f t="shared" si="41"/>
        <v>0.6787249390679132</v>
      </c>
      <c r="CI73">
        <f t="shared" si="42"/>
        <v>0</v>
      </c>
      <c r="CJ73" t="e">
        <f t="shared" si="43"/>
        <v>#DIV/0!</v>
      </c>
      <c r="CK73">
        <f t="shared" si="44"/>
        <v>0</v>
      </c>
      <c r="CL73">
        <f t="shared" si="45"/>
        <v>3.3441759580474355</v>
      </c>
      <c r="CM73">
        <f t="shared" si="46"/>
        <v>12.95210637250063</v>
      </c>
      <c r="CN73">
        <f t="shared" si="47"/>
        <v>12.95210637250063</v>
      </c>
      <c r="CO73">
        <f t="shared" si="48"/>
        <v>5.4618292159896553E-2</v>
      </c>
      <c r="CP73">
        <f t="shared" si="49"/>
        <v>3.15803364099758</v>
      </c>
      <c r="CQ73">
        <f t="shared" si="50"/>
        <v>9.6540180674274598E-2</v>
      </c>
      <c r="CR73">
        <f t="shared" si="51"/>
        <v>1.6226730868155728</v>
      </c>
      <c r="CS73">
        <f t="shared" si="52"/>
        <v>0.57831524999495965</v>
      </c>
      <c r="CT73">
        <f t="shared" si="53"/>
        <v>0</v>
      </c>
      <c r="CU73">
        <f t="shared" si="54"/>
        <v>7.3608311690009184E-2</v>
      </c>
      <c r="CV73" t="e">
        <f t="shared" si="55"/>
        <v>#DIV/0!</v>
      </c>
      <c r="CW73">
        <f t="shared" si="56"/>
        <v>0</v>
      </c>
      <c r="CX73">
        <f t="shared" si="57"/>
        <v>0.3563966486495927</v>
      </c>
      <c r="CY73">
        <f t="shared" si="58"/>
        <v>8.0471909924075227E-2</v>
      </c>
      <c r="CZ73">
        <f t="shared" si="59"/>
        <v>4.7902486129184361</v>
      </c>
      <c r="DA73" t="e">
        <f t="shared" si="60"/>
        <v>#DIV/0!</v>
      </c>
      <c r="DB73">
        <f t="shared" si="61"/>
        <v>0.11737330443702279</v>
      </c>
      <c r="DC73">
        <f t="shared" si="62"/>
        <v>7.8566569007920073</v>
      </c>
      <c r="DD73">
        <f t="shared" si="63"/>
        <v>0.39251698281487402</v>
      </c>
      <c r="DE73">
        <f t="shared" si="64"/>
        <v>0</v>
      </c>
      <c r="DF73">
        <f t="shared" si="65"/>
        <v>0</v>
      </c>
      <c r="DG73">
        <f t="shared" si="66"/>
        <v>0</v>
      </c>
      <c r="DH73">
        <f t="shared" si="67"/>
        <v>3.8730337562928292</v>
      </c>
      <c r="DI73">
        <f t="shared" si="68"/>
        <v>0.32933335619668974</v>
      </c>
      <c r="DJ73">
        <f t="shared" si="69"/>
        <v>6.204346469187905E-3</v>
      </c>
      <c r="DK73">
        <f t="shared" si="70"/>
        <v>4.0584422524826871E-2</v>
      </c>
      <c r="DL73">
        <f t="shared" si="71"/>
        <v>3.9611508286218023E-3</v>
      </c>
      <c r="DM73">
        <f t="shared" si="72"/>
        <v>8.2369050106300776E-3</v>
      </c>
      <c r="DN73">
        <f t="shared" si="73"/>
        <v>2.1267320475188002E-3</v>
      </c>
      <c r="DO73">
        <f t="shared" si="74"/>
        <v>8.0394449590053864E-4</v>
      </c>
      <c r="DP73">
        <f t="shared" si="75"/>
        <v>2.0757487450097885E-4</v>
      </c>
    </row>
    <row r="74" spans="1:120">
      <c r="A74" s="16" t="s">
        <v>1656</v>
      </c>
      <c r="B74" s="4" t="s">
        <v>24</v>
      </c>
      <c r="C74" s="121" t="s">
        <v>1800</v>
      </c>
      <c r="D74" s="4" t="s">
        <v>1706</v>
      </c>
      <c r="E74" s="4" t="s">
        <v>237</v>
      </c>
      <c r="F74" s="4" t="s">
        <v>849</v>
      </c>
      <c r="G74" s="4" t="s">
        <v>595</v>
      </c>
      <c r="H74" s="49">
        <v>364</v>
      </c>
      <c r="I74" s="4" t="s">
        <v>1148</v>
      </c>
      <c r="J74" s="4" t="s">
        <v>635</v>
      </c>
      <c r="K74" s="4" t="s">
        <v>1678</v>
      </c>
      <c r="L74" s="4"/>
      <c r="M74" s="4" t="s">
        <v>1681</v>
      </c>
      <c r="N74" s="4">
        <v>28</v>
      </c>
      <c r="O74" s="95">
        <v>2.8044226526990754</v>
      </c>
      <c r="P74" s="95">
        <v>0</v>
      </c>
      <c r="Q74" s="95">
        <v>0.35055283158738443</v>
      </c>
      <c r="R74" s="95">
        <v>19.789272750900732</v>
      </c>
      <c r="S74" s="95">
        <v>16.849152227909769</v>
      </c>
      <c r="T74" s="95">
        <v>17.979967813675525</v>
      </c>
      <c r="U74" s="95">
        <v>9.9285608430233392</v>
      </c>
      <c r="V74" s="95">
        <v>2.9175042112756508</v>
      </c>
      <c r="W74" s="95">
        <v>23.520964183927727</v>
      </c>
      <c r="X74" s="95">
        <v>0</v>
      </c>
      <c r="Y74" s="95">
        <v>7.5312318011999366</v>
      </c>
      <c r="Z74" s="95">
        <v>101.67162931619914</v>
      </c>
      <c r="AB74" s="26"/>
      <c r="CE74" t="e">
        <f t="shared" si="38"/>
        <v>#DIV/0!</v>
      </c>
      <c r="CF74" t="e">
        <f t="shared" si="39"/>
        <v>#DIV/0!</v>
      </c>
      <c r="CG74" t="e">
        <f t="shared" si="40"/>
        <v>#DIV/0!</v>
      </c>
      <c r="CH74" t="e">
        <f t="shared" si="41"/>
        <v>#DIV/0!</v>
      </c>
      <c r="CI74" t="e">
        <f t="shared" si="42"/>
        <v>#DIV/0!</v>
      </c>
      <c r="CJ74" t="e">
        <f t="shared" si="43"/>
        <v>#DIV/0!</v>
      </c>
      <c r="CK74" t="e">
        <f t="shared" si="44"/>
        <v>#DIV/0!</v>
      </c>
      <c r="CL74" t="e">
        <f t="shared" si="45"/>
        <v>#DIV/0!</v>
      </c>
      <c r="CM74" t="e">
        <f t="shared" si="46"/>
        <v>#DIV/0!</v>
      </c>
      <c r="CN74" t="e">
        <f t="shared" si="47"/>
        <v>#DIV/0!</v>
      </c>
      <c r="CO74" t="e">
        <f t="shared" si="48"/>
        <v>#DIV/0!</v>
      </c>
      <c r="CP74" t="e">
        <f t="shared" si="49"/>
        <v>#DIV/0!</v>
      </c>
      <c r="CQ74" t="e">
        <f t="shared" si="50"/>
        <v>#DIV/0!</v>
      </c>
      <c r="CR74" t="e">
        <f t="shared" si="51"/>
        <v>#DIV/0!</v>
      </c>
      <c r="CS74" t="e">
        <f t="shared" si="52"/>
        <v>#DIV/0!</v>
      </c>
      <c r="CT74" t="e">
        <f t="shared" si="53"/>
        <v>#DIV/0!</v>
      </c>
      <c r="CU74" t="e">
        <f t="shared" si="54"/>
        <v>#DIV/0!</v>
      </c>
      <c r="CV74" t="e">
        <f t="shared" si="55"/>
        <v>#DIV/0!</v>
      </c>
      <c r="CW74" t="e">
        <f t="shared" si="56"/>
        <v>#DIV/0!</v>
      </c>
      <c r="CX74" t="e">
        <f t="shared" si="57"/>
        <v>#DIV/0!</v>
      </c>
      <c r="CY74" t="e">
        <f t="shared" si="58"/>
        <v>#DIV/0!</v>
      </c>
      <c r="CZ74" t="e">
        <f t="shared" si="59"/>
        <v>#DIV/0!</v>
      </c>
      <c r="DA74" t="e">
        <f t="shared" si="60"/>
        <v>#DIV/0!</v>
      </c>
      <c r="DB74" t="e">
        <f t="shared" si="61"/>
        <v>#DIV/0!</v>
      </c>
      <c r="DC74" t="e">
        <f t="shared" si="62"/>
        <v>#DIV/0!</v>
      </c>
      <c r="DD74" t="e">
        <f t="shared" si="63"/>
        <v>#DIV/0!</v>
      </c>
      <c r="DE74" t="e">
        <f t="shared" si="64"/>
        <v>#DIV/0!</v>
      </c>
      <c r="DF74" t="e">
        <f t="shared" si="65"/>
        <v>#DIV/0!</v>
      </c>
      <c r="DG74" t="e">
        <f t="shared" si="66"/>
        <v>#DIV/0!</v>
      </c>
      <c r="DH74" t="e">
        <f t="shared" si="67"/>
        <v>#DIV/0!</v>
      </c>
      <c r="DI74" t="e">
        <f t="shared" si="68"/>
        <v>#DIV/0!</v>
      </c>
      <c r="DJ74" t="e">
        <f t="shared" si="69"/>
        <v>#DIV/0!</v>
      </c>
      <c r="DK74" t="e">
        <f t="shared" si="70"/>
        <v>#DIV/0!</v>
      </c>
      <c r="DL74" t="e">
        <f t="shared" si="71"/>
        <v>#DIV/0!</v>
      </c>
      <c r="DM74" t="e">
        <f t="shared" si="72"/>
        <v>#DIV/0!</v>
      </c>
      <c r="DN74" t="e">
        <f t="shared" si="73"/>
        <v>#DIV/0!</v>
      </c>
      <c r="DO74" t="e">
        <f t="shared" si="74"/>
        <v>#DIV/0!</v>
      </c>
      <c r="DP74" t="e">
        <f t="shared" si="75"/>
        <v>#DIV/0!</v>
      </c>
    </row>
    <row r="75" spans="1:120">
      <c r="A75" s="16" t="s">
        <v>1656</v>
      </c>
      <c r="B75" s="4" t="s">
        <v>24</v>
      </c>
      <c r="C75" s="121" t="s">
        <v>1800</v>
      </c>
      <c r="D75" s="4" t="s">
        <v>1706</v>
      </c>
      <c r="E75" s="4" t="s">
        <v>237</v>
      </c>
      <c r="F75" s="4" t="s">
        <v>849</v>
      </c>
      <c r="G75" s="4" t="s">
        <v>595</v>
      </c>
      <c r="H75" s="49">
        <v>364</v>
      </c>
      <c r="I75" s="4" t="s">
        <v>1148</v>
      </c>
      <c r="J75" s="4" t="s">
        <v>635</v>
      </c>
      <c r="K75" s="4" t="s">
        <v>1678</v>
      </c>
      <c r="L75" s="4"/>
      <c r="M75" s="4" t="s">
        <v>1682</v>
      </c>
      <c r="N75" s="4">
        <v>30</v>
      </c>
      <c r="O75" s="95">
        <v>9.5934323774789014</v>
      </c>
      <c r="P75" s="95">
        <v>0</v>
      </c>
      <c r="Q75" s="95">
        <v>1.3035661829270695</v>
      </c>
      <c r="R75" s="95">
        <v>7.6482672138924164</v>
      </c>
      <c r="S75" s="95">
        <v>31.570743492764962</v>
      </c>
      <c r="T75" s="95">
        <v>18.840604987617802</v>
      </c>
      <c r="U75" s="95">
        <v>0.36662798894823828</v>
      </c>
      <c r="V75" s="95">
        <v>11.202521884529503</v>
      </c>
      <c r="W75" s="95">
        <v>13.137502937311874</v>
      </c>
      <c r="X75" s="95">
        <v>4.9392937399970993</v>
      </c>
      <c r="Y75" s="95">
        <v>1.8025876123288382</v>
      </c>
      <c r="Z75" s="95">
        <v>100.4051484177967</v>
      </c>
      <c r="AB75" s="26"/>
      <c r="AJ75" s="44">
        <v>35555.969857587654</v>
      </c>
      <c r="AY75" s="131">
        <v>3538.2121579484128</v>
      </c>
      <c r="AZ75" s="131">
        <v>881.80502225936152</v>
      </c>
      <c r="BA75" s="131">
        <v>1014.6438309054056</v>
      </c>
      <c r="BC75" s="131">
        <v>942.49932082417513</v>
      </c>
      <c r="BI75" s="131">
        <v>38835.047273096403</v>
      </c>
      <c r="BK75" s="131">
        <v>528.78971932590662</v>
      </c>
      <c r="BL75" s="131">
        <v>791.32335391214576</v>
      </c>
      <c r="BM75" s="131">
        <v>1275.0571274298873</v>
      </c>
      <c r="BO75" s="44">
        <v>1474.5810060557203</v>
      </c>
      <c r="BR75" s="44">
        <v>334.57462728961758</v>
      </c>
      <c r="BS75" s="44">
        <v>46.781214030684936</v>
      </c>
      <c r="BW75" s="44">
        <v>162.46286410067623</v>
      </c>
      <c r="BY75" s="131">
        <v>102.31478280865075</v>
      </c>
      <c r="CA75" s="131">
        <v>3327.6070179401181</v>
      </c>
      <c r="CB75" s="131">
        <v>157.93115018314609</v>
      </c>
      <c r="CC75" s="131">
        <v>79.533553701505568</v>
      </c>
      <c r="CE75">
        <f t="shared" si="38"/>
        <v>10.975895604749267</v>
      </c>
      <c r="CF75">
        <f t="shared" si="39"/>
        <v>73.441381051437148</v>
      </c>
      <c r="CG75">
        <f t="shared" si="40"/>
        <v>6.691151564858095</v>
      </c>
      <c r="CH75">
        <f t="shared" si="41"/>
        <v>0.66823469408766356</v>
      </c>
      <c r="CI75">
        <f t="shared" si="42"/>
        <v>0</v>
      </c>
      <c r="CJ75" t="e">
        <f t="shared" si="43"/>
        <v>#DIV/0!</v>
      </c>
      <c r="CK75">
        <f t="shared" si="44"/>
        <v>0</v>
      </c>
      <c r="CL75">
        <f t="shared" si="45"/>
        <v>4.4712596190371396</v>
      </c>
      <c r="CM75">
        <f t="shared" si="46"/>
        <v>49.07607880028263</v>
      </c>
      <c r="CN75">
        <f t="shared" si="47"/>
        <v>49.07607880028263</v>
      </c>
      <c r="CO75">
        <f t="shared" si="48"/>
        <v>0.12929579583722223</v>
      </c>
      <c r="CP75">
        <f t="shared" si="49"/>
        <v>41.839033503127958</v>
      </c>
      <c r="CQ75">
        <f t="shared" si="50"/>
        <v>6.29287388979896</v>
      </c>
      <c r="CR75">
        <f t="shared" si="51"/>
        <v>1.782370735243604</v>
      </c>
      <c r="CS75">
        <f t="shared" si="52"/>
        <v>1.9188040043570791</v>
      </c>
      <c r="CT75">
        <f t="shared" si="53"/>
        <v>0</v>
      </c>
      <c r="CU75">
        <f t="shared" si="54"/>
        <v>1.667591085892278</v>
      </c>
      <c r="CV75" t="e">
        <f t="shared" si="55"/>
        <v>#DIV/0!</v>
      </c>
      <c r="CW75">
        <f t="shared" si="56"/>
        <v>0</v>
      </c>
      <c r="CX75">
        <f t="shared" si="57"/>
        <v>1.0765459544502836</v>
      </c>
      <c r="CY75">
        <f t="shared" si="58"/>
        <v>0.19348860060872616</v>
      </c>
      <c r="CZ75">
        <f t="shared" si="59"/>
        <v>1.9857172581005449</v>
      </c>
      <c r="DA75" t="e">
        <f t="shared" si="60"/>
        <v>#DIV/0!</v>
      </c>
      <c r="DB75">
        <f t="shared" si="61"/>
        <v>0.28676738013746861</v>
      </c>
      <c r="DC75">
        <f t="shared" si="62"/>
        <v>1.1506441960442506</v>
      </c>
      <c r="DD75">
        <f t="shared" si="63"/>
        <v>1.2822114068657366</v>
      </c>
      <c r="DE75">
        <f t="shared" si="64"/>
        <v>0</v>
      </c>
      <c r="DF75">
        <f t="shared" si="65"/>
        <v>0</v>
      </c>
      <c r="DG75">
        <f t="shared" si="66"/>
        <v>0</v>
      </c>
      <c r="DH75">
        <f t="shared" si="67"/>
        <v>10.975895604749267</v>
      </c>
      <c r="DI75">
        <f t="shared" si="68"/>
        <v>0.26637727720959259</v>
      </c>
      <c r="DJ75">
        <f t="shared" si="69"/>
        <v>2.2478458088737698E-2</v>
      </c>
      <c r="DK75">
        <f t="shared" si="70"/>
        <v>5.9703777019362032E-2</v>
      </c>
      <c r="DL75">
        <f t="shared" si="71"/>
        <v>2.4651882124123677E-3</v>
      </c>
      <c r="DM75">
        <f t="shared" si="72"/>
        <v>8.9227954920235355E-3</v>
      </c>
      <c r="DN75">
        <f t="shared" si="73"/>
        <v>8.1294463917483363E-4</v>
      </c>
      <c r="DO75">
        <f t="shared" si="74"/>
        <v>3.6842510418677826E-4</v>
      </c>
      <c r="DP75">
        <f t="shared" si="75"/>
        <v>3.356674639173507E-5</v>
      </c>
    </row>
    <row r="76" spans="1:120">
      <c r="A76" s="16" t="s">
        <v>1656</v>
      </c>
      <c r="B76" s="4" t="s">
        <v>24</v>
      </c>
      <c r="C76" s="121" t="s">
        <v>1800</v>
      </c>
      <c r="D76" s="4" t="s">
        <v>1706</v>
      </c>
      <c r="E76" s="4" t="s">
        <v>237</v>
      </c>
      <c r="F76" s="4" t="s">
        <v>849</v>
      </c>
      <c r="G76" s="4" t="s">
        <v>595</v>
      </c>
      <c r="H76" s="49">
        <v>364</v>
      </c>
      <c r="I76" s="4" t="s">
        <v>1148</v>
      </c>
      <c r="J76" s="4" t="s">
        <v>635</v>
      </c>
      <c r="K76" s="4" t="s">
        <v>1678</v>
      </c>
      <c r="L76" s="4"/>
      <c r="M76" s="4" t="s">
        <v>1683</v>
      </c>
      <c r="N76" s="4">
        <v>30</v>
      </c>
      <c r="O76" s="95">
        <v>7.2239362051877594</v>
      </c>
      <c r="P76" s="95">
        <v>0</v>
      </c>
      <c r="Q76" s="95">
        <v>1.2023054663179626</v>
      </c>
      <c r="R76" s="95">
        <v>5.486150153030704</v>
      </c>
      <c r="S76" s="95">
        <v>23.540938962360109</v>
      </c>
      <c r="T76" s="95">
        <v>18.691303467968329</v>
      </c>
      <c r="U76" s="95">
        <v>0</v>
      </c>
      <c r="V76" s="95">
        <v>9.1334801811045221</v>
      </c>
      <c r="W76" s="95">
        <v>26.369893000755319</v>
      </c>
      <c r="X76" s="95">
        <v>6.1024579971096591</v>
      </c>
      <c r="Y76" s="95">
        <v>2.8996778893550865</v>
      </c>
      <c r="Z76" s="95">
        <v>100.65014332318944</v>
      </c>
      <c r="AB76" s="26"/>
      <c r="CE76" t="e">
        <f t="shared" si="38"/>
        <v>#DIV/0!</v>
      </c>
      <c r="CF76" t="e">
        <f t="shared" si="39"/>
        <v>#DIV/0!</v>
      </c>
      <c r="CG76" t="e">
        <f t="shared" si="40"/>
        <v>#DIV/0!</v>
      </c>
      <c r="CH76" t="e">
        <f t="shared" si="41"/>
        <v>#DIV/0!</v>
      </c>
      <c r="CI76" t="e">
        <f t="shared" si="42"/>
        <v>#DIV/0!</v>
      </c>
      <c r="CJ76" t="e">
        <f t="shared" si="43"/>
        <v>#DIV/0!</v>
      </c>
      <c r="CK76" t="e">
        <f t="shared" si="44"/>
        <v>#DIV/0!</v>
      </c>
      <c r="CL76" t="e">
        <f t="shared" si="45"/>
        <v>#DIV/0!</v>
      </c>
      <c r="CM76" t="e">
        <f t="shared" si="46"/>
        <v>#DIV/0!</v>
      </c>
      <c r="CN76" t="e">
        <f t="shared" si="47"/>
        <v>#DIV/0!</v>
      </c>
      <c r="CO76" t="e">
        <f t="shared" si="48"/>
        <v>#DIV/0!</v>
      </c>
      <c r="CP76" t="e">
        <f t="shared" si="49"/>
        <v>#DIV/0!</v>
      </c>
      <c r="CQ76" t="e">
        <f t="shared" si="50"/>
        <v>#DIV/0!</v>
      </c>
      <c r="CR76" t="e">
        <f t="shared" si="51"/>
        <v>#DIV/0!</v>
      </c>
      <c r="CS76" t="e">
        <f t="shared" si="52"/>
        <v>#DIV/0!</v>
      </c>
      <c r="CT76" t="e">
        <f t="shared" si="53"/>
        <v>#DIV/0!</v>
      </c>
      <c r="CU76" t="e">
        <f t="shared" si="54"/>
        <v>#DIV/0!</v>
      </c>
      <c r="CV76" t="e">
        <f t="shared" si="55"/>
        <v>#DIV/0!</v>
      </c>
      <c r="CW76" t="e">
        <f t="shared" si="56"/>
        <v>#DIV/0!</v>
      </c>
      <c r="CX76" t="e">
        <f t="shared" si="57"/>
        <v>#DIV/0!</v>
      </c>
      <c r="CY76" t="e">
        <f t="shared" si="58"/>
        <v>#DIV/0!</v>
      </c>
      <c r="CZ76" t="e">
        <f t="shared" si="59"/>
        <v>#DIV/0!</v>
      </c>
      <c r="DA76" t="e">
        <f t="shared" si="60"/>
        <v>#DIV/0!</v>
      </c>
      <c r="DB76" t="e">
        <f t="shared" si="61"/>
        <v>#DIV/0!</v>
      </c>
      <c r="DC76" t="e">
        <f t="shared" si="62"/>
        <v>#DIV/0!</v>
      </c>
      <c r="DD76" t="e">
        <f t="shared" si="63"/>
        <v>#DIV/0!</v>
      </c>
      <c r="DE76" t="e">
        <f t="shared" si="64"/>
        <v>#DIV/0!</v>
      </c>
      <c r="DF76" t="e">
        <f t="shared" si="65"/>
        <v>#DIV/0!</v>
      </c>
      <c r="DG76" t="e">
        <f t="shared" si="66"/>
        <v>#DIV/0!</v>
      </c>
      <c r="DH76" t="e">
        <f t="shared" si="67"/>
        <v>#DIV/0!</v>
      </c>
      <c r="DI76" t="e">
        <f t="shared" si="68"/>
        <v>#DIV/0!</v>
      </c>
      <c r="DJ76" t="e">
        <f t="shared" si="69"/>
        <v>#DIV/0!</v>
      </c>
      <c r="DK76" t="e">
        <f t="shared" si="70"/>
        <v>#DIV/0!</v>
      </c>
      <c r="DL76" t="e">
        <f t="shared" si="71"/>
        <v>#DIV/0!</v>
      </c>
      <c r="DM76" t="e">
        <f t="shared" si="72"/>
        <v>#DIV/0!</v>
      </c>
      <c r="DN76" t="e">
        <f t="shared" si="73"/>
        <v>#DIV/0!</v>
      </c>
      <c r="DO76" t="e">
        <f t="shared" si="74"/>
        <v>#DIV/0!</v>
      </c>
      <c r="DP76" t="e">
        <f t="shared" si="75"/>
        <v>#DIV/0!</v>
      </c>
    </row>
    <row r="77" spans="1:120">
      <c r="A77" s="16" t="s">
        <v>1656</v>
      </c>
      <c r="B77" s="4" t="s">
        <v>24</v>
      </c>
      <c r="C77" s="121" t="s">
        <v>1800</v>
      </c>
      <c r="D77" s="4" t="s">
        <v>1706</v>
      </c>
      <c r="E77" s="4" t="s">
        <v>237</v>
      </c>
      <c r="F77" s="4" t="s">
        <v>849</v>
      </c>
      <c r="G77" s="4" t="s">
        <v>595</v>
      </c>
      <c r="H77" s="49">
        <v>364</v>
      </c>
      <c r="I77" s="4" t="s">
        <v>1148</v>
      </c>
      <c r="J77" s="4" t="s">
        <v>635</v>
      </c>
      <c r="K77" s="4" t="s">
        <v>1678</v>
      </c>
      <c r="L77" s="4"/>
      <c r="M77" s="4" t="s">
        <v>1684</v>
      </c>
      <c r="N77" s="4">
        <v>32</v>
      </c>
      <c r="O77" s="95">
        <v>6.4935386005442961</v>
      </c>
      <c r="P77" s="95">
        <v>0</v>
      </c>
      <c r="Q77" s="95">
        <v>0.50259586691519331</v>
      </c>
      <c r="R77" s="95">
        <v>6.0814099896738387</v>
      </c>
      <c r="S77" s="95">
        <v>29.050041107698167</v>
      </c>
      <c r="T77" s="95">
        <v>24.426159132078393</v>
      </c>
      <c r="U77" s="95">
        <v>0</v>
      </c>
      <c r="V77" s="95">
        <v>8.001326201289876</v>
      </c>
      <c r="W77" s="95">
        <v>15.379433527604915</v>
      </c>
      <c r="X77" s="95">
        <v>8.795427671015883</v>
      </c>
      <c r="Y77" s="95">
        <v>1.6384625261435297</v>
      </c>
      <c r="Z77" s="95">
        <v>100.36839462296409</v>
      </c>
      <c r="AB77" s="26"/>
      <c r="CE77" t="e">
        <f t="shared" si="38"/>
        <v>#DIV/0!</v>
      </c>
      <c r="CF77" t="e">
        <f t="shared" si="39"/>
        <v>#DIV/0!</v>
      </c>
      <c r="CG77" t="e">
        <f t="shared" si="40"/>
        <v>#DIV/0!</v>
      </c>
      <c r="CH77" t="e">
        <f t="shared" si="41"/>
        <v>#DIV/0!</v>
      </c>
      <c r="CI77" t="e">
        <f t="shared" si="42"/>
        <v>#DIV/0!</v>
      </c>
      <c r="CJ77" t="e">
        <f t="shared" si="43"/>
        <v>#DIV/0!</v>
      </c>
      <c r="CK77" t="e">
        <f t="shared" si="44"/>
        <v>#DIV/0!</v>
      </c>
      <c r="CL77" t="e">
        <f t="shared" si="45"/>
        <v>#DIV/0!</v>
      </c>
      <c r="CM77" t="e">
        <f t="shared" si="46"/>
        <v>#DIV/0!</v>
      </c>
      <c r="CN77" t="e">
        <f t="shared" si="47"/>
        <v>#DIV/0!</v>
      </c>
      <c r="CO77" t="e">
        <f t="shared" si="48"/>
        <v>#DIV/0!</v>
      </c>
      <c r="CP77" t="e">
        <f t="shared" si="49"/>
        <v>#DIV/0!</v>
      </c>
      <c r="CQ77" t="e">
        <f t="shared" si="50"/>
        <v>#DIV/0!</v>
      </c>
      <c r="CR77" t="e">
        <f t="shared" si="51"/>
        <v>#DIV/0!</v>
      </c>
      <c r="CS77" t="e">
        <f t="shared" si="52"/>
        <v>#DIV/0!</v>
      </c>
      <c r="CT77" t="e">
        <f t="shared" si="53"/>
        <v>#DIV/0!</v>
      </c>
      <c r="CU77" t="e">
        <f t="shared" si="54"/>
        <v>#DIV/0!</v>
      </c>
      <c r="CV77" t="e">
        <f t="shared" si="55"/>
        <v>#DIV/0!</v>
      </c>
      <c r="CW77" t="e">
        <f t="shared" si="56"/>
        <v>#DIV/0!</v>
      </c>
      <c r="CX77" t="e">
        <f t="shared" si="57"/>
        <v>#DIV/0!</v>
      </c>
      <c r="CY77" t="e">
        <f t="shared" si="58"/>
        <v>#DIV/0!</v>
      </c>
      <c r="CZ77" t="e">
        <f t="shared" si="59"/>
        <v>#DIV/0!</v>
      </c>
      <c r="DA77" t="e">
        <f t="shared" si="60"/>
        <v>#DIV/0!</v>
      </c>
      <c r="DB77" t="e">
        <f t="shared" si="61"/>
        <v>#DIV/0!</v>
      </c>
      <c r="DC77" t="e">
        <f t="shared" si="62"/>
        <v>#DIV/0!</v>
      </c>
      <c r="DD77" t="e">
        <f t="shared" si="63"/>
        <v>#DIV/0!</v>
      </c>
      <c r="DE77" t="e">
        <f t="shared" si="64"/>
        <v>#DIV/0!</v>
      </c>
      <c r="DF77" t="e">
        <f t="shared" si="65"/>
        <v>#DIV/0!</v>
      </c>
      <c r="DG77" t="e">
        <f t="shared" si="66"/>
        <v>#DIV/0!</v>
      </c>
      <c r="DH77" t="e">
        <f t="shared" si="67"/>
        <v>#DIV/0!</v>
      </c>
      <c r="DI77" t="e">
        <f t="shared" si="68"/>
        <v>#DIV/0!</v>
      </c>
      <c r="DJ77" t="e">
        <f t="shared" si="69"/>
        <v>#DIV/0!</v>
      </c>
      <c r="DK77" t="e">
        <f t="shared" si="70"/>
        <v>#DIV/0!</v>
      </c>
      <c r="DL77" t="e">
        <f t="shared" si="71"/>
        <v>#DIV/0!</v>
      </c>
      <c r="DM77" t="e">
        <f t="shared" si="72"/>
        <v>#DIV/0!</v>
      </c>
      <c r="DN77" t="e">
        <f t="shared" si="73"/>
        <v>#DIV/0!</v>
      </c>
      <c r="DO77" t="e">
        <f t="shared" si="74"/>
        <v>#DIV/0!</v>
      </c>
      <c r="DP77" t="e">
        <f t="shared" si="75"/>
        <v>#DIV/0!</v>
      </c>
    </row>
    <row r="78" spans="1:120">
      <c r="A78" s="16" t="s">
        <v>1656</v>
      </c>
      <c r="B78" s="4" t="s">
        <v>24</v>
      </c>
      <c r="C78" s="121" t="s">
        <v>1800</v>
      </c>
      <c r="D78" s="4" t="s">
        <v>1706</v>
      </c>
      <c r="E78" s="4" t="s">
        <v>237</v>
      </c>
      <c r="F78" s="4" t="s">
        <v>849</v>
      </c>
      <c r="G78" s="4" t="s">
        <v>595</v>
      </c>
      <c r="H78" s="49">
        <v>364</v>
      </c>
      <c r="I78" s="4" t="s">
        <v>1148</v>
      </c>
      <c r="J78" s="4" t="s">
        <v>635</v>
      </c>
      <c r="K78" s="4" t="s">
        <v>1678</v>
      </c>
      <c r="L78" s="4"/>
      <c r="M78" s="4" t="s">
        <v>1685</v>
      </c>
      <c r="N78" s="4">
        <v>26</v>
      </c>
      <c r="O78" s="95">
        <v>8.8793200571582442</v>
      </c>
      <c r="P78" s="95">
        <v>0.1422316713961275</v>
      </c>
      <c r="Q78" s="95">
        <v>6.0346866292356953</v>
      </c>
      <c r="R78" s="95">
        <v>5.5165569691498009</v>
      </c>
      <c r="S78" s="95">
        <v>25.90648300429465</v>
      </c>
      <c r="T78" s="95">
        <v>19.099681587479978</v>
      </c>
      <c r="U78" s="95">
        <v>0.47749203968699933</v>
      </c>
      <c r="V78" s="95">
        <v>10.768969405706795</v>
      </c>
      <c r="W78" s="95">
        <v>10.870563456704028</v>
      </c>
      <c r="X78" s="95">
        <v>11.327736686191583</v>
      </c>
      <c r="Y78" s="95">
        <v>1.2597662323657006</v>
      </c>
      <c r="Z78" s="95">
        <v>100.28348773936962</v>
      </c>
      <c r="AB78" s="26"/>
      <c r="CE78" t="e">
        <f t="shared" si="38"/>
        <v>#DIV/0!</v>
      </c>
      <c r="CF78" t="e">
        <f t="shared" si="39"/>
        <v>#DIV/0!</v>
      </c>
      <c r="CG78" t="e">
        <f t="shared" si="40"/>
        <v>#DIV/0!</v>
      </c>
      <c r="CH78" t="e">
        <f t="shared" si="41"/>
        <v>#DIV/0!</v>
      </c>
      <c r="CI78" t="e">
        <f t="shared" si="42"/>
        <v>#DIV/0!</v>
      </c>
      <c r="CJ78" t="e">
        <f t="shared" si="43"/>
        <v>#DIV/0!</v>
      </c>
      <c r="CK78" t="e">
        <f t="shared" si="44"/>
        <v>#DIV/0!</v>
      </c>
      <c r="CL78" t="e">
        <f t="shared" si="45"/>
        <v>#DIV/0!</v>
      </c>
      <c r="CM78" t="e">
        <f t="shared" si="46"/>
        <v>#DIV/0!</v>
      </c>
      <c r="CN78" t="e">
        <f t="shared" si="47"/>
        <v>#DIV/0!</v>
      </c>
      <c r="CO78" t="e">
        <f t="shared" si="48"/>
        <v>#DIV/0!</v>
      </c>
      <c r="CP78" t="e">
        <f t="shared" si="49"/>
        <v>#DIV/0!</v>
      </c>
      <c r="CQ78" t="e">
        <f t="shared" si="50"/>
        <v>#DIV/0!</v>
      </c>
      <c r="CR78" t="e">
        <f t="shared" si="51"/>
        <v>#DIV/0!</v>
      </c>
      <c r="CS78" t="e">
        <f t="shared" si="52"/>
        <v>#DIV/0!</v>
      </c>
      <c r="CT78" t="e">
        <f t="shared" si="53"/>
        <v>#DIV/0!</v>
      </c>
      <c r="CU78" t="e">
        <f t="shared" si="54"/>
        <v>#DIV/0!</v>
      </c>
      <c r="CV78" t="e">
        <f t="shared" si="55"/>
        <v>#DIV/0!</v>
      </c>
      <c r="CW78" t="e">
        <f t="shared" si="56"/>
        <v>#DIV/0!</v>
      </c>
      <c r="CX78" t="e">
        <f t="shared" si="57"/>
        <v>#DIV/0!</v>
      </c>
      <c r="CY78" t="e">
        <f t="shared" si="58"/>
        <v>#DIV/0!</v>
      </c>
      <c r="CZ78" t="e">
        <f t="shared" si="59"/>
        <v>#DIV/0!</v>
      </c>
      <c r="DA78" t="e">
        <f t="shared" si="60"/>
        <v>#DIV/0!</v>
      </c>
      <c r="DB78" t="e">
        <f t="shared" si="61"/>
        <v>#DIV/0!</v>
      </c>
      <c r="DC78" t="e">
        <f t="shared" si="62"/>
        <v>#DIV/0!</v>
      </c>
      <c r="DD78" t="e">
        <f t="shared" si="63"/>
        <v>#DIV/0!</v>
      </c>
      <c r="DE78" t="e">
        <f t="shared" si="64"/>
        <v>#DIV/0!</v>
      </c>
      <c r="DF78" t="e">
        <f t="shared" si="65"/>
        <v>#DIV/0!</v>
      </c>
      <c r="DG78" t="e">
        <f t="shared" si="66"/>
        <v>#DIV/0!</v>
      </c>
      <c r="DH78" t="e">
        <f t="shared" si="67"/>
        <v>#DIV/0!</v>
      </c>
      <c r="DI78" t="e">
        <f t="shared" si="68"/>
        <v>#DIV/0!</v>
      </c>
      <c r="DJ78" t="e">
        <f t="shared" si="69"/>
        <v>#DIV/0!</v>
      </c>
      <c r="DK78" t="e">
        <f t="shared" si="70"/>
        <v>#DIV/0!</v>
      </c>
      <c r="DL78" t="e">
        <f t="shared" si="71"/>
        <v>#DIV/0!</v>
      </c>
      <c r="DM78" t="e">
        <f t="shared" si="72"/>
        <v>#DIV/0!</v>
      </c>
      <c r="DN78" t="e">
        <f t="shared" si="73"/>
        <v>#DIV/0!</v>
      </c>
      <c r="DO78" t="e">
        <f t="shared" si="74"/>
        <v>#DIV/0!</v>
      </c>
      <c r="DP78" t="e">
        <f t="shared" si="75"/>
        <v>#DIV/0!</v>
      </c>
    </row>
    <row r="79" spans="1:120">
      <c r="A79" s="16" t="s">
        <v>1656</v>
      </c>
      <c r="B79" s="4" t="s">
        <v>24</v>
      </c>
      <c r="C79" s="121" t="s">
        <v>1800</v>
      </c>
      <c r="D79" s="4" t="s">
        <v>1706</v>
      </c>
      <c r="E79" s="4" t="s">
        <v>237</v>
      </c>
      <c r="F79" s="4" t="s">
        <v>849</v>
      </c>
      <c r="G79" s="4" t="s">
        <v>595</v>
      </c>
      <c r="H79" s="49">
        <v>364</v>
      </c>
      <c r="I79" s="4" t="s">
        <v>1148</v>
      </c>
      <c r="J79" s="4" t="s">
        <v>635</v>
      </c>
      <c r="K79" s="4" t="s">
        <v>1678</v>
      </c>
      <c r="L79" s="4"/>
      <c r="M79" s="4" t="s">
        <v>1686</v>
      </c>
      <c r="N79" s="4">
        <v>30</v>
      </c>
      <c r="O79" s="95">
        <v>11.002122694598016</v>
      </c>
      <c r="P79" s="95">
        <v>0.14131166763703876</v>
      </c>
      <c r="Q79" s="95">
        <v>1.3020860803698571</v>
      </c>
      <c r="R79" s="95">
        <v>7.8932660065831648</v>
      </c>
      <c r="S79" s="95">
        <v>30.785756163783446</v>
      </c>
      <c r="T79" s="95">
        <v>33.309178800159131</v>
      </c>
      <c r="U79" s="95">
        <v>0</v>
      </c>
      <c r="V79" s="95">
        <v>3.1290440691058583</v>
      </c>
      <c r="W79" s="95">
        <v>8.6099180353138625</v>
      </c>
      <c r="X79" s="95">
        <v>2.7555775189222556</v>
      </c>
      <c r="Y79" s="95">
        <v>1.3828356047338792</v>
      </c>
      <c r="Z79" s="95">
        <v>100.31109664120652</v>
      </c>
      <c r="AB79" s="26"/>
      <c r="AJ79" s="44">
        <v>7208.1568649778146</v>
      </c>
      <c r="AX79" s="131">
        <v>211.62452671240183</v>
      </c>
      <c r="AY79" s="131">
        <v>4895.2147822000443</v>
      </c>
      <c r="AZ79" s="131">
        <v>51.766228510388906</v>
      </c>
      <c r="BA79" s="131">
        <v>819.42730508440081</v>
      </c>
      <c r="BC79" s="131">
        <v>781.89018820505203</v>
      </c>
      <c r="BI79" s="131">
        <v>12769.166387169304</v>
      </c>
      <c r="BK79" s="131">
        <v>1234.1693378948642</v>
      </c>
      <c r="BL79" s="131">
        <v>1639.250717095435</v>
      </c>
      <c r="BM79" s="131">
        <v>166.71470796281488</v>
      </c>
      <c r="BN79" s="131">
        <v>645.25407245211341</v>
      </c>
      <c r="BO79" s="44">
        <v>65.309637884533217</v>
      </c>
      <c r="BP79" s="44">
        <v>13.699270327286238</v>
      </c>
      <c r="BQ79" s="44">
        <v>36.630803677886497</v>
      </c>
      <c r="BR79" s="44">
        <v>17.110088022454569</v>
      </c>
      <c r="BS79" s="44">
        <v>3.3035967694574366</v>
      </c>
      <c r="BT79" s="44">
        <v>4.211454841033393</v>
      </c>
      <c r="BV79" s="44">
        <v>3.6099630359241925</v>
      </c>
      <c r="BW79" s="44">
        <v>1.0565672178764209</v>
      </c>
      <c r="BX79" s="44">
        <v>24.211838961446801</v>
      </c>
      <c r="BY79" s="131">
        <v>40.259455303500296</v>
      </c>
      <c r="CA79" s="131">
        <v>61.560389141401018</v>
      </c>
      <c r="CB79" s="131">
        <v>305.28166145210145</v>
      </c>
      <c r="CC79" s="131">
        <v>29.557007999692797</v>
      </c>
      <c r="CE79">
        <f t="shared" si="38"/>
        <v>2.6084997196855353</v>
      </c>
      <c r="CF79">
        <f t="shared" si="39"/>
        <v>10.346364955841317</v>
      </c>
      <c r="CG79">
        <f t="shared" si="40"/>
        <v>3.9664044729468522</v>
      </c>
      <c r="CH79">
        <f t="shared" si="41"/>
        <v>0.75288625774199525</v>
      </c>
      <c r="CI79">
        <f t="shared" si="42"/>
        <v>0</v>
      </c>
      <c r="CJ79" t="e">
        <f t="shared" si="43"/>
        <v>#DIV/0!</v>
      </c>
      <c r="CK79">
        <f t="shared" si="44"/>
        <v>0</v>
      </c>
      <c r="CL79">
        <f t="shared" si="45"/>
        <v>2.9862514203280663</v>
      </c>
      <c r="CM79">
        <f t="shared" si="46"/>
        <v>7.7896359928362928</v>
      </c>
      <c r="CN79">
        <f t="shared" si="47"/>
        <v>7.7896359928362928</v>
      </c>
      <c r="CO79">
        <f t="shared" si="48"/>
        <v>2.4559669173020375E-2</v>
      </c>
      <c r="CP79">
        <f t="shared" si="49"/>
        <v>2.0827679561490409</v>
      </c>
      <c r="CQ79">
        <f t="shared" si="50"/>
        <v>4.9880018285339375E-2</v>
      </c>
      <c r="CR79">
        <f t="shared" si="51"/>
        <v>0.63353558073216309</v>
      </c>
      <c r="CS79">
        <f t="shared" si="52"/>
        <v>0.66395046443311156</v>
      </c>
      <c r="CT79">
        <f t="shared" si="53"/>
        <v>4.3230897136916219E-2</v>
      </c>
      <c r="CU79">
        <f t="shared" si="54"/>
        <v>4.1944186199510611E-2</v>
      </c>
      <c r="CV79" t="e">
        <f t="shared" si="55"/>
        <v>#DIV/0!</v>
      </c>
      <c r="CW79">
        <f t="shared" si="56"/>
        <v>0</v>
      </c>
      <c r="CX79">
        <f t="shared" si="57"/>
        <v>1.0480081697476227</v>
      </c>
      <c r="CY79">
        <f t="shared" si="58"/>
        <v>3.262068993884687E-2</v>
      </c>
      <c r="CZ79">
        <f t="shared" si="59"/>
        <v>10.328571195544367</v>
      </c>
      <c r="DA79">
        <f t="shared" si="60"/>
        <v>3.8720809814166968</v>
      </c>
      <c r="DB79">
        <f t="shared" si="61"/>
        <v>0.16739353461343481</v>
      </c>
      <c r="DC79">
        <f t="shared" si="62"/>
        <v>15.82938005460357</v>
      </c>
      <c r="DD79">
        <f t="shared" si="63"/>
        <v>0.49987918049310504</v>
      </c>
      <c r="DE79">
        <f t="shared" si="64"/>
        <v>0</v>
      </c>
      <c r="DF79">
        <f t="shared" si="65"/>
        <v>0</v>
      </c>
      <c r="DG79">
        <f t="shared" si="66"/>
        <v>0</v>
      </c>
      <c r="DH79">
        <f t="shared" si="67"/>
        <v>2.6084997196855353</v>
      </c>
      <c r="DI79">
        <f t="shared" si="68"/>
        <v>0.15972541001636073</v>
      </c>
      <c r="DJ79">
        <f t="shared" si="69"/>
        <v>6.0379389495161364E-3</v>
      </c>
      <c r="DK79">
        <f t="shared" si="70"/>
        <v>2.4944515487878707E-2</v>
      </c>
      <c r="DL79">
        <f t="shared" si="71"/>
        <v>1.0550303271922468E-3</v>
      </c>
      <c r="DM79">
        <f t="shared" si="72"/>
        <v>6.2889490111294934E-3</v>
      </c>
      <c r="DN79">
        <f t="shared" si="73"/>
        <v>2.4109448675300798E-3</v>
      </c>
      <c r="DO79">
        <f t="shared" si="74"/>
        <v>2.6599161391334576E-4</v>
      </c>
      <c r="DP79">
        <f t="shared" si="75"/>
        <v>1.0197111079061648E-4</v>
      </c>
    </row>
    <row r="80" spans="1:120">
      <c r="A80" s="16" t="s">
        <v>1656</v>
      </c>
      <c r="B80" s="4" t="s">
        <v>24</v>
      </c>
      <c r="C80" s="121" t="s">
        <v>1800</v>
      </c>
      <c r="D80" s="4" t="s">
        <v>1706</v>
      </c>
      <c r="E80" s="4" t="s">
        <v>237</v>
      </c>
      <c r="F80" s="4" t="s">
        <v>849</v>
      </c>
      <c r="G80" s="4" t="s">
        <v>595</v>
      </c>
      <c r="H80" s="49">
        <v>364</v>
      </c>
      <c r="I80" s="4" t="s">
        <v>1148</v>
      </c>
      <c r="J80" s="4" t="s">
        <v>635</v>
      </c>
      <c r="K80" s="4" t="s">
        <v>1678</v>
      </c>
      <c r="L80" s="4"/>
      <c r="M80" s="4" t="s">
        <v>1688</v>
      </c>
      <c r="N80" s="4">
        <v>30</v>
      </c>
      <c r="O80" s="95">
        <v>8.3740775267059284</v>
      </c>
      <c r="P80" s="95">
        <v>0.53473025170531829</v>
      </c>
      <c r="Q80" s="95">
        <v>0.90803250289582349</v>
      </c>
      <c r="R80" s="95">
        <v>6.5781910209786316</v>
      </c>
      <c r="S80" s="95">
        <v>23.407060074647895</v>
      </c>
      <c r="T80" s="95">
        <v>15.84012255051603</v>
      </c>
      <c r="U80" s="95">
        <v>0.36321300115832944</v>
      </c>
      <c r="V80" s="95">
        <v>12.207992538932738</v>
      </c>
      <c r="W80" s="95">
        <v>22.095457570465037</v>
      </c>
      <c r="X80" s="95">
        <v>6.5580125209142803</v>
      </c>
      <c r="Y80" s="95">
        <v>4.0357000128703264</v>
      </c>
      <c r="Z80" s="95">
        <v>100.90258957179033</v>
      </c>
      <c r="AB80" s="26"/>
      <c r="AJ80" s="44">
        <v>2985.9215570185561</v>
      </c>
      <c r="AX80" s="131">
        <v>31.59014671123435</v>
      </c>
      <c r="AY80" s="131">
        <v>9434.002102705801</v>
      </c>
      <c r="AZ80" s="131">
        <v>16.666263931073029</v>
      </c>
      <c r="BA80" s="131">
        <v>491.83633954749024</v>
      </c>
      <c r="BC80" s="131">
        <v>1145.0437427970423</v>
      </c>
      <c r="BI80" s="131">
        <v>24092.054687492961</v>
      </c>
      <c r="BK80" s="131">
        <v>2247.1157339671217</v>
      </c>
      <c r="BL80" s="131">
        <v>2431.2767048502196</v>
      </c>
      <c r="BM80" s="131">
        <v>191.5826192606055</v>
      </c>
      <c r="BN80" s="131">
        <v>680.80162411759852</v>
      </c>
      <c r="BO80" s="44">
        <v>54.147720029701389</v>
      </c>
      <c r="BP80" s="44">
        <v>11.713989598467897</v>
      </c>
      <c r="BQ80" s="44">
        <v>31.94520997913969</v>
      </c>
      <c r="BR80" s="44">
        <v>6.3611457083816845</v>
      </c>
      <c r="BS80" s="44">
        <v>0.8051098901991528</v>
      </c>
      <c r="BT80" s="44">
        <v>1.0608680908477874</v>
      </c>
      <c r="BV80" s="44">
        <v>0.73769011181683708</v>
      </c>
      <c r="BW80" s="44">
        <v>3.4482934782585496E-2</v>
      </c>
      <c r="BX80" s="44">
        <v>11.567943584585127</v>
      </c>
      <c r="BY80" s="131">
        <v>44.977611500191152</v>
      </c>
      <c r="CA80" s="131">
        <v>128.18442651703546</v>
      </c>
      <c r="CB80" s="131">
        <v>282.1912790167197</v>
      </c>
      <c r="CC80" s="131">
        <v>34.494202168695985</v>
      </c>
      <c r="CE80">
        <f t="shared" si="38"/>
        <v>2.5537470126896653</v>
      </c>
      <c r="CF80">
        <f t="shared" si="39"/>
        <v>10.721323482952151</v>
      </c>
      <c r="CG80">
        <f t="shared" si="40"/>
        <v>4.1982715710199523</v>
      </c>
      <c r="CH80">
        <f t="shared" si="41"/>
        <v>0.92425338896403264</v>
      </c>
      <c r="CI80">
        <f t="shared" si="42"/>
        <v>0</v>
      </c>
      <c r="CJ80" t="e">
        <f t="shared" si="43"/>
        <v>#DIV/0!</v>
      </c>
      <c r="CK80">
        <f t="shared" si="44"/>
        <v>0</v>
      </c>
      <c r="CL80">
        <f t="shared" si="45"/>
        <v>3.8802667273065445</v>
      </c>
      <c r="CM80">
        <f t="shared" si="46"/>
        <v>9.9092195632981923</v>
      </c>
      <c r="CN80">
        <f t="shared" si="47"/>
        <v>9.9092195632981923</v>
      </c>
      <c r="CO80">
        <f t="shared" si="48"/>
        <v>1.8499585592402584E-2</v>
      </c>
      <c r="CP80">
        <f t="shared" si="49"/>
        <v>3.7161151282798706</v>
      </c>
      <c r="CQ80">
        <f t="shared" si="50"/>
        <v>5.7043980681286514E-2</v>
      </c>
      <c r="CR80">
        <f t="shared" si="51"/>
        <v>0.50956153503297741</v>
      </c>
      <c r="CS80">
        <f t="shared" si="52"/>
        <v>0.2188745030409219</v>
      </c>
      <c r="CT80">
        <f t="shared" si="53"/>
        <v>3.3485414108794681E-3</v>
      </c>
      <c r="CU80">
        <f t="shared" si="54"/>
        <v>7.4167358979993145E-3</v>
      </c>
      <c r="CV80" t="e">
        <f t="shared" si="55"/>
        <v>#DIV/0!</v>
      </c>
      <c r="CW80">
        <f t="shared" si="56"/>
        <v>0</v>
      </c>
      <c r="CX80">
        <f t="shared" si="57"/>
        <v>0.42953497859047962</v>
      </c>
      <c r="CY80">
        <f t="shared" si="58"/>
        <v>2.0015707611457288E-2</v>
      </c>
      <c r="CZ80">
        <f t="shared" si="59"/>
        <v>8.1808321768581909</v>
      </c>
      <c r="DA80">
        <f t="shared" si="60"/>
        <v>15.569295832759755</v>
      </c>
      <c r="DB80">
        <f t="shared" si="61"/>
        <v>5.2134431834229167E-2</v>
      </c>
      <c r="DC80">
        <f t="shared" si="62"/>
        <v>29.510893478081634</v>
      </c>
      <c r="DD80">
        <f t="shared" si="63"/>
        <v>0.20229550119339054</v>
      </c>
      <c r="DE80">
        <f t="shared" si="64"/>
        <v>0</v>
      </c>
      <c r="DF80">
        <f t="shared" si="65"/>
        <v>0</v>
      </c>
      <c r="DG80">
        <f t="shared" si="66"/>
        <v>0</v>
      </c>
      <c r="DH80">
        <f t="shared" si="67"/>
        <v>2.5537470126896653</v>
      </c>
      <c r="DI80">
        <f t="shared" si="68"/>
        <v>0.12137412418729779</v>
      </c>
      <c r="DJ80">
        <f t="shared" si="69"/>
        <v>3.6563699894451556E-3</v>
      </c>
      <c r="DK80">
        <f t="shared" si="70"/>
        <v>1.0416490668829241E-2</v>
      </c>
      <c r="DL80">
        <f t="shared" si="71"/>
        <v>4.0408800008389295E-4</v>
      </c>
      <c r="DM80">
        <f t="shared" si="72"/>
        <v>2.4811378903481936E-3</v>
      </c>
      <c r="DN80">
        <f t="shared" si="73"/>
        <v>9.7156761340075034E-4</v>
      </c>
      <c r="DO80">
        <f t="shared" si="74"/>
        <v>9.6251038849714404E-5</v>
      </c>
      <c r="DP80">
        <f t="shared" si="75"/>
        <v>3.7690122933649798E-5</v>
      </c>
    </row>
    <row r="81" spans="1:120">
      <c r="A81" s="16" t="s">
        <v>1656</v>
      </c>
      <c r="B81" s="4" t="s">
        <v>24</v>
      </c>
      <c r="C81" s="121" t="s">
        <v>1800</v>
      </c>
      <c r="D81" s="4" t="s">
        <v>1706</v>
      </c>
      <c r="E81" s="4" t="s">
        <v>237</v>
      </c>
      <c r="F81" s="4" t="s">
        <v>849</v>
      </c>
      <c r="G81" s="4" t="s">
        <v>595</v>
      </c>
      <c r="H81" s="49">
        <v>364</v>
      </c>
      <c r="I81" s="4" t="s">
        <v>1148</v>
      </c>
      <c r="J81" s="4" t="s">
        <v>635</v>
      </c>
      <c r="K81" s="4" t="s">
        <v>1678</v>
      </c>
      <c r="L81" s="4"/>
      <c r="M81" s="4" t="s">
        <v>1689</v>
      </c>
      <c r="N81" s="4">
        <v>20</v>
      </c>
      <c r="O81" s="95">
        <v>5.2281904159079069</v>
      </c>
      <c r="P81" s="95">
        <v>0.11433418404569974</v>
      </c>
      <c r="Q81" s="95">
        <v>0</v>
      </c>
      <c r="R81" s="95">
        <v>8.8972783221017266</v>
      </c>
      <c r="S81" s="95">
        <v>16.006785766397964</v>
      </c>
      <c r="T81" s="95">
        <v>14.135862754741057</v>
      </c>
      <c r="U81" s="95">
        <v>8.6270338870846164</v>
      </c>
      <c r="V81" s="95">
        <v>7.9826048497361271</v>
      </c>
      <c r="W81" s="95">
        <v>30.662349357710383</v>
      </c>
      <c r="X81" s="95">
        <v>0</v>
      </c>
      <c r="Y81" s="95">
        <v>10.705837233370067</v>
      </c>
      <c r="Z81" s="95">
        <v>102.36027677109554</v>
      </c>
      <c r="AB81" s="26"/>
      <c r="AJ81" s="44">
        <v>1770.8351706882283</v>
      </c>
      <c r="AY81" s="131">
        <v>41433.253235733224</v>
      </c>
      <c r="AZ81" s="131">
        <v>8.9385836148602618</v>
      </c>
      <c r="BA81" s="131">
        <v>110.95663312946088</v>
      </c>
      <c r="BC81" s="131">
        <v>693.45697807276008</v>
      </c>
      <c r="BI81" s="131">
        <v>129434.02386969364</v>
      </c>
      <c r="BK81" s="131">
        <v>9400.9460291008236</v>
      </c>
      <c r="BL81" s="131">
        <v>6695.0973314469038</v>
      </c>
      <c r="BM81" s="131">
        <v>288.23165138923696</v>
      </c>
      <c r="BN81" s="131">
        <v>459.08667294834044</v>
      </c>
      <c r="BO81" s="44">
        <v>20.631484346195471</v>
      </c>
      <c r="BP81" s="44">
        <v>5.5990780461284553</v>
      </c>
      <c r="BQ81" s="44">
        <v>14.491913626793764</v>
      </c>
      <c r="BR81" s="44">
        <v>4.4057421320992347</v>
      </c>
      <c r="BV81" s="44">
        <v>7.0735829967825543</v>
      </c>
      <c r="BW81" s="44">
        <v>0.58223670376322634</v>
      </c>
      <c r="BY81" s="131">
        <v>16.784734133469321</v>
      </c>
      <c r="CA81" s="131">
        <v>937.1639927347012</v>
      </c>
      <c r="CB81" s="131">
        <v>1586.4041886635669</v>
      </c>
      <c r="CC81" s="131">
        <v>58.41085237343156</v>
      </c>
      <c r="CE81">
        <f t="shared" si="38"/>
        <v>3.1239165105690043</v>
      </c>
      <c r="CF81">
        <f t="shared" si="39"/>
        <v>13.768191357447211</v>
      </c>
      <c r="CG81">
        <f t="shared" si="40"/>
        <v>4.4073493356387461</v>
      </c>
      <c r="CH81">
        <f t="shared" si="41"/>
        <v>1.4041537506773107</v>
      </c>
      <c r="CI81">
        <f t="shared" si="42"/>
        <v>0</v>
      </c>
      <c r="CJ81" t="e">
        <f t="shared" si="43"/>
        <v>#DIV/0!</v>
      </c>
      <c r="CK81">
        <f t="shared" si="44"/>
        <v>0</v>
      </c>
      <c r="CL81">
        <f t="shared" si="45"/>
        <v>6.1885961001822984</v>
      </c>
      <c r="CM81">
        <f t="shared" si="46"/>
        <v>19.332657534602436</v>
      </c>
      <c r="CN81">
        <f t="shared" si="47"/>
        <v>19.332657534602436</v>
      </c>
      <c r="CO81">
        <f t="shared" si="48"/>
        <v>2.5070186888294134E-3</v>
      </c>
      <c r="CP81">
        <f t="shared" si="49"/>
        <v>16.044347148766732</v>
      </c>
      <c r="CQ81">
        <f t="shared" si="50"/>
        <v>9.9688264333577775E-2</v>
      </c>
      <c r="CR81">
        <f t="shared" si="51"/>
        <v>7.3764595172246455E-2</v>
      </c>
      <c r="CS81">
        <f t="shared" si="52"/>
        <v>1.1802709300318534E-2</v>
      </c>
      <c r="CT81">
        <f t="shared" si="53"/>
        <v>0</v>
      </c>
      <c r="CU81">
        <f t="shared" si="54"/>
        <v>9.508174589228244E-4</v>
      </c>
      <c r="CV81" t="e">
        <f t="shared" si="55"/>
        <v>#DIV/0!</v>
      </c>
      <c r="CW81">
        <f t="shared" si="56"/>
        <v>0</v>
      </c>
      <c r="CX81">
        <f t="shared" si="57"/>
        <v>0.16000507116941709</v>
      </c>
      <c r="CY81">
        <f t="shared" si="58"/>
        <v>1.7854303260024925E-3</v>
      </c>
      <c r="CZ81">
        <f t="shared" si="59"/>
        <v>27.159408298331048</v>
      </c>
      <c r="DA81" t="e">
        <f t="shared" si="60"/>
        <v>#DIV/0!</v>
      </c>
      <c r="DB81">
        <f t="shared" si="61"/>
        <v>2.6779609242406459E-3</v>
      </c>
      <c r="DC81">
        <f t="shared" si="62"/>
        <v>12.41322315819669</v>
      </c>
      <c r="DD81">
        <f t="shared" si="63"/>
        <v>1.6572818532196245E-2</v>
      </c>
      <c r="DE81">
        <f t="shared" si="64"/>
        <v>0</v>
      </c>
      <c r="DF81">
        <f t="shared" si="65"/>
        <v>0</v>
      </c>
      <c r="DG81">
        <f t="shared" si="66"/>
        <v>0</v>
      </c>
      <c r="DH81">
        <f t="shared" si="67"/>
        <v>3.1239165105690043</v>
      </c>
      <c r="DI81">
        <f t="shared" si="68"/>
        <v>1.6736725309194473E-2</v>
      </c>
      <c r="DJ81">
        <f t="shared" si="69"/>
        <v>1.4097578107397169E-3</v>
      </c>
      <c r="DK81">
        <f t="shared" si="70"/>
        <v>1.7026781897107619E-3</v>
      </c>
      <c r="DL81">
        <f t="shared" si="71"/>
        <v>0</v>
      </c>
      <c r="DM81">
        <f t="shared" si="72"/>
        <v>3.8632703242798359E-4</v>
      </c>
      <c r="DN81">
        <f t="shared" si="73"/>
        <v>1.2366752796399676E-4</v>
      </c>
      <c r="DO81">
        <f t="shared" si="74"/>
        <v>0</v>
      </c>
      <c r="DP81">
        <f t="shared" si="75"/>
        <v>0</v>
      </c>
    </row>
    <row r="82" spans="1:120">
      <c r="A82" s="16" t="s">
        <v>1656</v>
      </c>
      <c r="B82" s="4" t="s">
        <v>24</v>
      </c>
      <c r="C82" s="121" t="s">
        <v>1800</v>
      </c>
      <c r="D82" s="4" t="s">
        <v>1706</v>
      </c>
      <c r="E82" s="4" t="s">
        <v>237</v>
      </c>
      <c r="F82" s="4" t="s">
        <v>849</v>
      </c>
      <c r="G82" s="4" t="s">
        <v>595</v>
      </c>
      <c r="H82" s="49">
        <v>364</v>
      </c>
      <c r="I82" s="4" t="s">
        <v>1148</v>
      </c>
      <c r="J82" s="4" t="s">
        <v>635</v>
      </c>
      <c r="K82" s="4" t="s">
        <v>1678</v>
      </c>
      <c r="L82" s="4"/>
      <c r="M82" s="4" t="s">
        <v>1690</v>
      </c>
      <c r="N82" s="4">
        <v>26</v>
      </c>
      <c r="O82" s="95">
        <v>7.83671058975305</v>
      </c>
      <c r="P82" s="95">
        <v>0.45386354766909559</v>
      </c>
      <c r="Q82" s="95">
        <v>1.1094442276355672</v>
      </c>
      <c r="R82" s="95">
        <v>6.6364936525836633</v>
      </c>
      <c r="S82" s="95">
        <v>22.390601685008715</v>
      </c>
      <c r="T82" s="95">
        <v>12.809037900883364</v>
      </c>
      <c r="U82" s="95">
        <v>0.15128784922303185</v>
      </c>
      <c r="V82" s="95">
        <v>16.036512017641378</v>
      </c>
      <c r="W82" s="95">
        <v>21.382016023521835</v>
      </c>
      <c r="X82" s="95">
        <v>8.0384277220504252</v>
      </c>
      <c r="Y82" s="95">
        <v>4.0646002157921224</v>
      </c>
      <c r="Z82" s="95">
        <v>100.90899543176225</v>
      </c>
      <c r="AB82" s="26"/>
      <c r="AJ82" s="44">
        <v>2469.5825647384881</v>
      </c>
      <c r="AY82" s="131">
        <v>11516.471964017855</v>
      </c>
      <c r="AZ82" s="131">
        <v>25.752700206218165</v>
      </c>
      <c r="BA82" s="131">
        <v>509.05229898395731</v>
      </c>
      <c r="BC82" s="131">
        <v>1783.5460651636106</v>
      </c>
      <c r="BI82" s="131">
        <v>28895.229430331652</v>
      </c>
      <c r="BK82" s="131">
        <v>2105.1779553077995</v>
      </c>
      <c r="BL82" s="131">
        <v>2885.0747536573663</v>
      </c>
      <c r="BM82" s="131">
        <v>273.31209392401132</v>
      </c>
      <c r="BN82" s="131">
        <v>1026.0325375509435</v>
      </c>
      <c r="BO82" s="44">
        <v>85.592863401248536</v>
      </c>
      <c r="BP82" s="44">
        <v>22.675906223295694</v>
      </c>
      <c r="BQ82" s="44">
        <v>56.235035034213013</v>
      </c>
      <c r="BR82" s="44">
        <v>35.463629317143621</v>
      </c>
      <c r="BS82" s="44">
        <v>9.0219754007268804</v>
      </c>
      <c r="BT82" s="44">
        <v>14.939390207671668</v>
      </c>
      <c r="BV82" s="44">
        <v>9.8266318693383976</v>
      </c>
      <c r="BW82" s="44">
        <v>1.5129887091396141</v>
      </c>
      <c r="BX82" s="44">
        <v>20.760545042658904</v>
      </c>
      <c r="BY82" s="131">
        <v>106.38825635356068</v>
      </c>
      <c r="CA82" s="131">
        <v>146.78559275611926</v>
      </c>
      <c r="CB82" s="131">
        <v>325.69153412658756</v>
      </c>
      <c r="CC82" s="131">
        <v>50.000483263098964</v>
      </c>
      <c r="CE82">
        <f t="shared" si="38"/>
        <v>2.5090348433628029</v>
      </c>
      <c r="CF82">
        <f t="shared" si="39"/>
        <v>13.725789478973933</v>
      </c>
      <c r="CG82">
        <f t="shared" si="40"/>
        <v>5.4705455826103897</v>
      </c>
      <c r="CH82">
        <f t="shared" si="41"/>
        <v>0.72967882466098899</v>
      </c>
      <c r="CI82">
        <f t="shared" si="42"/>
        <v>0</v>
      </c>
      <c r="CJ82" t="e">
        <f t="shared" si="43"/>
        <v>#DIV/0!</v>
      </c>
      <c r="CK82">
        <f t="shared" si="44"/>
        <v>0</v>
      </c>
      <c r="CL82">
        <f t="shared" si="45"/>
        <v>3.9917412709735149</v>
      </c>
      <c r="CM82">
        <f t="shared" si="46"/>
        <v>10.015417934561869</v>
      </c>
      <c r="CN82">
        <f t="shared" si="47"/>
        <v>10.015417934561869</v>
      </c>
      <c r="CO82">
        <f t="shared" si="48"/>
        <v>3.6875389872894584E-2</v>
      </c>
      <c r="CP82">
        <f t="shared" si="49"/>
        <v>2.9356834809724535</v>
      </c>
      <c r="CQ82">
        <f t="shared" si="50"/>
        <v>6.9725978455183676E-2</v>
      </c>
      <c r="CR82">
        <f t="shared" si="51"/>
        <v>0.847218668933305</v>
      </c>
      <c r="CS82">
        <f t="shared" si="52"/>
        <v>0.24180962835017358</v>
      </c>
      <c r="CT82">
        <f t="shared" si="53"/>
        <v>0</v>
      </c>
      <c r="CU82">
        <f t="shared" si="54"/>
        <v>1.2233027683615871E-2</v>
      </c>
      <c r="CV82" t="e">
        <f t="shared" si="55"/>
        <v>#DIV/0!</v>
      </c>
      <c r="CW82">
        <f t="shared" si="56"/>
        <v>0</v>
      </c>
      <c r="CX82">
        <f t="shared" si="57"/>
        <v>0.28541584034571055</v>
      </c>
      <c r="CY82">
        <f t="shared" si="58"/>
        <v>5.0536467040861434E-2</v>
      </c>
      <c r="CZ82">
        <f t="shared" si="59"/>
        <v>6.5137677252602142</v>
      </c>
      <c r="DA82" t="e">
        <f t="shared" si="60"/>
        <v>#DIV/0!</v>
      </c>
      <c r="DB82">
        <f t="shared" si="61"/>
        <v>4.4202104652748153E-2</v>
      </c>
      <c r="DC82">
        <f t="shared" si="62"/>
        <v>19.766948510550485</v>
      </c>
      <c r="DD82">
        <f t="shared" si="63"/>
        <v>0.17644336540626523</v>
      </c>
      <c r="DE82">
        <f t="shared" si="64"/>
        <v>0</v>
      </c>
      <c r="DF82">
        <f t="shared" si="65"/>
        <v>0</v>
      </c>
      <c r="DG82">
        <f t="shared" si="66"/>
        <v>0</v>
      </c>
      <c r="DH82">
        <f t="shared" si="67"/>
        <v>2.5090348433628029</v>
      </c>
      <c r="DI82">
        <f t="shared" si="68"/>
        <v>0.15486913620214021</v>
      </c>
      <c r="DJ82">
        <f t="shared" si="69"/>
        <v>4.3416493713804728E-3</v>
      </c>
      <c r="DK82">
        <f t="shared" si="70"/>
        <v>1.0635966251002743E-2</v>
      </c>
      <c r="DL82">
        <f t="shared" si="71"/>
        <v>5.2700733676139722E-4</v>
      </c>
      <c r="DM82">
        <f t="shared" si="72"/>
        <v>1.9442240431762493E-3</v>
      </c>
      <c r="DN82">
        <f t="shared" si="73"/>
        <v>7.7488921619376532E-4</v>
      </c>
      <c r="DO82">
        <f t="shared" si="74"/>
        <v>9.6335425562787136E-5</v>
      </c>
      <c r="DP82">
        <f t="shared" si="75"/>
        <v>3.8395411613204595E-5</v>
      </c>
    </row>
    <row r="83" spans="1:120">
      <c r="A83" s="16" t="s">
        <v>1656</v>
      </c>
      <c r="B83" s="4" t="s">
        <v>24</v>
      </c>
      <c r="C83" s="121" t="s">
        <v>1800</v>
      </c>
      <c r="D83" s="4" t="s">
        <v>1706</v>
      </c>
      <c r="E83" s="4" t="s">
        <v>237</v>
      </c>
      <c r="F83" s="4" t="s">
        <v>849</v>
      </c>
      <c r="G83" s="4" t="s">
        <v>595</v>
      </c>
      <c r="H83" s="49">
        <v>364</v>
      </c>
      <c r="I83" s="4" t="s">
        <v>1148</v>
      </c>
      <c r="J83" s="4" t="s">
        <v>635</v>
      </c>
      <c r="K83" s="4" t="s">
        <v>1678</v>
      </c>
      <c r="L83" s="4"/>
      <c r="M83" s="4" t="s">
        <v>1691</v>
      </c>
      <c r="N83" s="4">
        <v>21</v>
      </c>
      <c r="O83" s="95">
        <v>6.6396657891947948</v>
      </c>
      <c r="P83" s="95">
        <v>0.19114189393136533</v>
      </c>
      <c r="Q83" s="95">
        <v>1.3078129584777629</v>
      </c>
      <c r="R83" s="95">
        <v>6.086360306761895</v>
      </c>
      <c r="S83" s="95">
        <v>27.564673124838997</v>
      </c>
      <c r="T83" s="95">
        <v>25.351451195107401</v>
      </c>
      <c r="U83" s="95">
        <v>0</v>
      </c>
      <c r="V83" s="95">
        <v>11.066109648657992</v>
      </c>
      <c r="W83" s="95">
        <v>16.599164472986988</v>
      </c>
      <c r="X83" s="95">
        <v>4.4063236601020002</v>
      </c>
      <c r="Y83" s="95">
        <v>1.0160700677404155</v>
      </c>
      <c r="Z83" s="95">
        <v>100.22877311779961</v>
      </c>
      <c r="AB83" s="26"/>
      <c r="CE83" t="e">
        <f t="shared" si="38"/>
        <v>#DIV/0!</v>
      </c>
      <c r="CF83" t="e">
        <f t="shared" si="39"/>
        <v>#DIV/0!</v>
      </c>
      <c r="CG83" t="e">
        <f t="shared" si="40"/>
        <v>#DIV/0!</v>
      </c>
      <c r="CH83" t="e">
        <f t="shared" si="41"/>
        <v>#DIV/0!</v>
      </c>
      <c r="CI83" t="e">
        <f t="shared" si="42"/>
        <v>#DIV/0!</v>
      </c>
      <c r="CJ83" t="e">
        <f t="shared" si="43"/>
        <v>#DIV/0!</v>
      </c>
      <c r="CK83" t="e">
        <f t="shared" si="44"/>
        <v>#DIV/0!</v>
      </c>
      <c r="CL83" t="e">
        <f t="shared" si="45"/>
        <v>#DIV/0!</v>
      </c>
      <c r="CM83" t="e">
        <f t="shared" si="46"/>
        <v>#DIV/0!</v>
      </c>
      <c r="CN83" t="e">
        <f t="shared" si="47"/>
        <v>#DIV/0!</v>
      </c>
      <c r="CO83" t="e">
        <f t="shared" si="48"/>
        <v>#DIV/0!</v>
      </c>
      <c r="CP83" t="e">
        <f t="shared" si="49"/>
        <v>#DIV/0!</v>
      </c>
      <c r="CQ83" t="e">
        <f t="shared" si="50"/>
        <v>#DIV/0!</v>
      </c>
      <c r="CR83" t="e">
        <f t="shared" si="51"/>
        <v>#DIV/0!</v>
      </c>
      <c r="CS83" t="e">
        <f t="shared" si="52"/>
        <v>#DIV/0!</v>
      </c>
      <c r="CT83" t="e">
        <f t="shared" si="53"/>
        <v>#DIV/0!</v>
      </c>
      <c r="CU83" t="e">
        <f t="shared" si="54"/>
        <v>#DIV/0!</v>
      </c>
      <c r="CV83" t="e">
        <f t="shared" si="55"/>
        <v>#DIV/0!</v>
      </c>
      <c r="CW83" t="e">
        <f t="shared" si="56"/>
        <v>#DIV/0!</v>
      </c>
      <c r="CX83" t="e">
        <f t="shared" si="57"/>
        <v>#DIV/0!</v>
      </c>
      <c r="CY83" t="e">
        <f t="shared" si="58"/>
        <v>#DIV/0!</v>
      </c>
      <c r="CZ83" t="e">
        <f t="shared" si="59"/>
        <v>#DIV/0!</v>
      </c>
      <c r="DA83" t="e">
        <f t="shared" si="60"/>
        <v>#DIV/0!</v>
      </c>
      <c r="DB83" t="e">
        <f t="shared" si="61"/>
        <v>#DIV/0!</v>
      </c>
      <c r="DC83" t="e">
        <f t="shared" si="62"/>
        <v>#DIV/0!</v>
      </c>
      <c r="DD83" t="e">
        <f t="shared" si="63"/>
        <v>#DIV/0!</v>
      </c>
      <c r="DE83" t="e">
        <f t="shared" si="64"/>
        <v>#DIV/0!</v>
      </c>
      <c r="DF83" t="e">
        <f t="shared" si="65"/>
        <v>#DIV/0!</v>
      </c>
      <c r="DG83" t="e">
        <f t="shared" si="66"/>
        <v>#DIV/0!</v>
      </c>
      <c r="DH83" t="e">
        <f t="shared" si="67"/>
        <v>#DIV/0!</v>
      </c>
      <c r="DI83" t="e">
        <f t="shared" si="68"/>
        <v>#DIV/0!</v>
      </c>
      <c r="DJ83" t="e">
        <f t="shared" si="69"/>
        <v>#DIV/0!</v>
      </c>
      <c r="DK83" t="e">
        <f t="shared" si="70"/>
        <v>#DIV/0!</v>
      </c>
      <c r="DL83" t="e">
        <f t="shared" si="71"/>
        <v>#DIV/0!</v>
      </c>
      <c r="DM83" t="e">
        <f t="shared" si="72"/>
        <v>#DIV/0!</v>
      </c>
      <c r="DN83" t="e">
        <f t="shared" si="73"/>
        <v>#DIV/0!</v>
      </c>
      <c r="DO83" t="e">
        <f t="shared" si="74"/>
        <v>#DIV/0!</v>
      </c>
      <c r="DP83" t="e">
        <f t="shared" si="75"/>
        <v>#DIV/0!</v>
      </c>
    </row>
    <row r="84" spans="1:120">
      <c r="A84" s="16" t="s">
        <v>1656</v>
      </c>
      <c r="B84" s="4" t="s">
        <v>24</v>
      </c>
      <c r="C84" s="121" t="s">
        <v>1800</v>
      </c>
      <c r="D84" s="4" t="s">
        <v>1706</v>
      </c>
      <c r="E84" s="4" t="s">
        <v>237</v>
      </c>
      <c r="F84" s="4" t="s">
        <v>849</v>
      </c>
      <c r="G84" s="4" t="s">
        <v>595</v>
      </c>
      <c r="H84" s="49">
        <v>364</v>
      </c>
      <c r="I84" s="4" t="s">
        <v>1148</v>
      </c>
      <c r="J84" s="4" t="s">
        <v>635</v>
      </c>
      <c r="K84" s="4" t="s">
        <v>1678</v>
      </c>
      <c r="L84" s="4"/>
      <c r="M84" s="4" t="s">
        <v>1692</v>
      </c>
      <c r="N84" s="4">
        <v>24</v>
      </c>
      <c r="O84" s="95">
        <v>13.364310146589045</v>
      </c>
      <c r="P84" s="95">
        <v>0</v>
      </c>
      <c r="Q84" s="95">
        <v>3.2849678375585283</v>
      </c>
      <c r="R84" s="95">
        <v>6.8147779984133443</v>
      </c>
      <c r="S84" s="95">
        <v>22.647914904906624</v>
      </c>
      <c r="T84" s="95">
        <v>10.711851644212594</v>
      </c>
      <c r="U84" s="95">
        <v>0.17342997900153723</v>
      </c>
      <c r="V84" s="95">
        <v>13.568345416002618</v>
      </c>
      <c r="W84" s="95">
        <v>20.811597480184467</v>
      </c>
      <c r="X84" s="95">
        <v>6.5495321481756994</v>
      </c>
      <c r="Y84" s="95">
        <v>2.6728620293178094</v>
      </c>
      <c r="Z84" s="95">
        <v>100.59958958436228</v>
      </c>
      <c r="AB84" s="26"/>
      <c r="CE84" t="e">
        <f t="shared" si="38"/>
        <v>#DIV/0!</v>
      </c>
      <c r="CF84" t="e">
        <f t="shared" si="39"/>
        <v>#DIV/0!</v>
      </c>
      <c r="CG84" t="e">
        <f t="shared" si="40"/>
        <v>#DIV/0!</v>
      </c>
      <c r="CH84" t="e">
        <f t="shared" si="41"/>
        <v>#DIV/0!</v>
      </c>
      <c r="CI84" t="e">
        <f t="shared" si="42"/>
        <v>#DIV/0!</v>
      </c>
      <c r="CJ84" t="e">
        <f t="shared" si="43"/>
        <v>#DIV/0!</v>
      </c>
      <c r="CK84" t="e">
        <f t="shared" si="44"/>
        <v>#DIV/0!</v>
      </c>
      <c r="CL84" t="e">
        <f t="shared" si="45"/>
        <v>#DIV/0!</v>
      </c>
      <c r="CM84" t="e">
        <f t="shared" si="46"/>
        <v>#DIV/0!</v>
      </c>
      <c r="CN84" t="e">
        <f t="shared" si="47"/>
        <v>#DIV/0!</v>
      </c>
      <c r="CO84" t="e">
        <f t="shared" si="48"/>
        <v>#DIV/0!</v>
      </c>
      <c r="CP84" t="e">
        <f t="shared" si="49"/>
        <v>#DIV/0!</v>
      </c>
      <c r="CQ84" t="e">
        <f t="shared" si="50"/>
        <v>#DIV/0!</v>
      </c>
      <c r="CR84" t="e">
        <f t="shared" si="51"/>
        <v>#DIV/0!</v>
      </c>
      <c r="CS84" t="e">
        <f t="shared" si="52"/>
        <v>#DIV/0!</v>
      </c>
      <c r="CT84" t="e">
        <f t="shared" si="53"/>
        <v>#DIV/0!</v>
      </c>
      <c r="CU84" t="e">
        <f t="shared" si="54"/>
        <v>#DIV/0!</v>
      </c>
      <c r="CV84" t="e">
        <f t="shared" si="55"/>
        <v>#DIV/0!</v>
      </c>
      <c r="CW84" t="e">
        <f t="shared" si="56"/>
        <v>#DIV/0!</v>
      </c>
      <c r="CX84" t="e">
        <f t="shared" si="57"/>
        <v>#DIV/0!</v>
      </c>
      <c r="CY84" t="e">
        <f t="shared" si="58"/>
        <v>#DIV/0!</v>
      </c>
      <c r="CZ84" t="e">
        <f t="shared" si="59"/>
        <v>#DIV/0!</v>
      </c>
      <c r="DA84" t="e">
        <f t="shared" si="60"/>
        <v>#DIV/0!</v>
      </c>
      <c r="DB84" t="e">
        <f t="shared" si="61"/>
        <v>#DIV/0!</v>
      </c>
      <c r="DC84" t="e">
        <f t="shared" si="62"/>
        <v>#DIV/0!</v>
      </c>
      <c r="DD84" t="e">
        <f t="shared" si="63"/>
        <v>#DIV/0!</v>
      </c>
      <c r="DE84" t="e">
        <f t="shared" si="64"/>
        <v>#DIV/0!</v>
      </c>
      <c r="DF84" t="e">
        <f t="shared" si="65"/>
        <v>#DIV/0!</v>
      </c>
      <c r="DG84" t="e">
        <f t="shared" si="66"/>
        <v>#DIV/0!</v>
      </c>
      <c r="DH84" t="e">
        <f t="shared" si="67"/>
        <v>#DIV/0!</v>
      </c>
      <c r="DI84" t="e">
        <f t="shared" si="68"/>
        <v>#DIV/0!</v>
      </c>
      <c r="DJ84" t="e">
        <f t="shared" si="69"/>
        <v>#DIV/0!</v>
      </c>
      <c r="DK84" t="e">
        <f t="shared" si="70"/>
        <v>#DIV/0!</v>
      </c>
      <c r="DL84" t="e">
        <f t="shared" si="71"/>
        <v>#DIV/0!</v>
      </c>
      <c r="DM84" t="e">
        <f t="shared" si="72"/>
        <v>#DIV/0!</v>
      </c>
      <c r="DN84" t="e">
        <f t="shared" si="73"/>
        <v>#DIV/0!</v>
      </c>
      <c r="DO84" t="e">
        <f t="shared" si="74"/>
        <v>#DIV/0!</v>
      </c>
      <c r="DP84" t="e">
        <f t="shared" si="75"/>
        <v>#DIV/0!</v>
      </c>
    </row>
    <row r="85" spans="1:120">
      <c r="A85" s="16" t="s">
        <v>1656</v>
      </c>
      <c r="B85" s="4" t="s">
        <v>24</v>
      </c>
      <c r="C85" s="121" t="s">
        <v>1800</v>
      </c>
      <c r="D85" s="4" t="s">
        <v>1706</v>
      </c>
      <c r="E85" s="4" t="s">
        <v>237</v>
      </c>
      <c r="F85" s="4" t="s">
        <v>849</v>
      </c>
      <c r="G85" s="4" t="s">
        <v>595</v>
      </c>
      <c r="H85" s="49">
        <v>364</v>
      </c>
      <c r="I85" s="4" t="s">
        <v>1148</v>
      </c>
      <c r="J85" s="4" t="s">
        <v>635</v>
      </c>
      <c r="K85" s="4" t="s">
        <v>1678</v>
      </c>
      <c r="L85" s="4"/>
      <c r="M85" s="4" t="s">
        <v>1693</v>
      </c>
      <c r="N85" s="4">
        <v>38</v>
      </c>
      <c r="O85" s="95">
        <v>6.964378532068114</v>
      </c>
      <c r="P85" s="95">
        <v>0</v>
      </c>
      <c r="Q85" s="95">
        <v>1.7360185553697483</v>
      </c>
      <c r="R85" s="95">
        <v>7.0455957744245943</v>
      </c>
      <c r="S85" s="95">
        <v>24.872780471671838</v>
      </c>
      <c r="T85" s="95">
        <v>15.431276047731096</v>
      </c>
      <c r="U85" s="95">
        <v>0.14213017412383908</v>
      </c>
      <c r="V85" s="95">
        <v>17.055620894860688</v>
      </c>
      <c r="W85" s="95">
        <v>17.461707106643086</v>
      </c>
      <c r="X85" s="95">
        <v>7.3298561226722709</v>
      </c>
      <c r="Y85" s="95">
        <v>2.5278866683454235</v>
      </c>
      <c r="Z85" s="95">
        <v>100.56725034791069</v>
      </c>
      <c r="AB85" s="26"/>
      <c r="CE85" t="e">
        <f t="shared" si="38"/>
        <v>#DIV/0!</v>
      </c>
      <c r="CF85" t="e">
        <f t="shared" si="39"/>
        <v>#DIV/0!</v>
      </c>
      <c r="CG85" t="e">
        <f t="shared" si="40"/>
        <v>#DIV/0!</v>
      </c>
      <c r="CH85" t="e">
        <f t="shared" si="41"/>
        <v>#DIV/0!</v>
      </c>
      <c r="CI85" t="e">
        <f t="shared" si="42"/>
        <v>#DIV/0!</v>
      </c>
      <c r="CJ85" t="e">
        <f t="shared" si="43"/>
        <v>#DIV/0!</v>
      </c>
      <c r="CK85" t="e">
        <f t="shared" si="44"/>
        <v>#DIV/0!</v>
      </c>
      <c r="CL85" t="e">
        <f t="shared" si="45"/>
        <v>#DIV/0!</v>
      </c>
      <c r="CM85" t="e">
        <f t="shared" si="46"/>
        <v>#DIV/0!</v>
      </c>
      <c r="CN85" t="e">
        <f t="shared" si="47"/>
        <v>#DIV/0!</v>
      </c>
      <c r="CO85" t="e">
        <f t="shared" si="48"/>
        <v>#DIV/0!</v>
      </c>
      <c r="CP85" t="e">
        <f t="shared" si="49"/>
        <v>#DIV/0!</v>
      </c>
      <c r="CQ85" t="e">
        <f t="shared" si="50"/>
        <v>#DIV/0!</v>
      </c>
      <c r="CR85" t="e">
        <f t="shared" si="51"/>
        <v>#DIV/0!</v>
      </c>
      <c r="CS85" t="e">
        <f t="shared" si="52"/>
        <v>#DIV/0!</v>
      </c>
      <c r="CT85" t="e">
        <f t="shared" si="53"/>
        <v>#DIV/0!</v>
      </c>
      <c r="CU85" t="e">
        <f t="shared" si="54"/>
        <v>#DIV/0!</v>
      </c>
      <c r="CV85" t="e">
        <f t="shared" si="55"/>
        <v>#DIV/0!</v>
      </c>
      <c r="CW85" t="e">
        <f t="shared" si="56"/>
        <v>#DIV/0!</v>
      </c>
      <c r="CX85" t="e">
        <f t="shared" si="57"/>
        <v>#DIV/0!</v>
      </c>
      <c r="CY85" t="e">
        <f t="shared" si="58"/>
        <v>#DIV/0!</v>
      </c>
      <c r="CZ85" t="e">
        <f t="shared" si="59"/>
        <v>#DIV/0!</v>
      </c>
      <c r="DA85" t="e">
        <f t="shared" si="60"/>
        <v>#DIV/0!</v>
      </c>
      <c r="DB85" t="e">
        <f t="shared" si="61"/>
        <v>#DIV/0!</v>
      </c>
      <c r="DC85" t="e">
        <f t="shared" si="62"/>
        <v>#DIV/0!</v>
      </c>
      <c r="DD85" t="e">
        <f t="shared" si="63"/>
        <v>#DIV/0!</v>
      </c>
      <c r="DE85" t="e">
        <f t="shared" si="64"/>
        <v>#DIV/0!</v>
      </c>
      <c r="DF85" t="e">
        <f t="shared" si="65"/>
        <v>#DIV/0!</v>
      </c>
      <c r="DG85" t="e">
        <f t="shared" si="66"/>
        <v>#DIV/0!</v>
      </c>
      <c r="DH85" t="e">
        <f t="shared" si="67"/>
        <v>#DIV/0!</v>
      </c>
      <c r="DI85" t="e">
        <f t="shared" si="68"/>
        <v>#DIV/0!</v>
      </c>
      <c r="DJ85" t="e">
        <f t="shared" si="69"/>
        <v>#DIV/0!</v>
      </c>
      <c r="DK85" t="e">
        <f t="shared" si="70"/>
        <v>#DIV/0!</v>
      </c>
      <c r="DL85" t="e">
        <f t="shared" si="71"/>
        <v>#DIV/0!</v>
      </c>
      <c r="DM85" t="e">
        <f t="shared" si="72"/>
        <v>#DIV/0!</v>
      </c>
      <c r="DN85" t="e">
        <f t="shared" si="73"/>
        <v>#DIV/0!</v>
      </c>
      <c r="DO85" t="e">
        <f t="shared" si="74"/>
        <v>#DIV/0!</v>
      </c>
      <c r="DP85" t="e">
        <f t="shared" si="75"/>
        <v>#DIV/0!</v>
      </c>
    </row>
    <row r="86" spans="1:120">
      <c r="A86" s="16" t="s">
        <v>1656</v>
      </c>
      <c r="B86" s="4" t="s">
        <v>24</v>
      </c>
      <c r="C86" s="121" t="s">
        <v>1800</v>
      </c>
      <c r="D86" s="4" t="s">
        <v>1706</v>
      </c>
      <c r="E86" s="4" t="s">
        <v>237</v>
      </c>
      <c r="F86" s="4" t="s">
        <v>849</v>
      </c>
      <c r="G86" s="4" t="s">
        <v>595</v>
      </c>
      <c r="H86" s="49">
        <v>364</v>
      </c>
      <c r="I86" s="4" t="s">
        <v>1148</v>
      </c>
      <c r="J86" s="4" t="s">
        <v>635</v>
      </c>
      <c r="K86" s="4" t="s">
        <v>1678</v>
      </c>
      <c r="L86" s="4"/>
      <c r="M86" s="4" t="s">
        <v>1696</v>
      </c>
      <c r="N86" s="4">
        <v>36</v>
      </c>
      <c r="O86" s="95">
        <v>6.3926090287730437</v>
      </c>
      <c r="P86" s="95">
        <v>0</v>
      </c>
      <c r="Q86" s="95">
        <v>0.70349285962574171</v>
      </c>
      <c r="R86" s="95">
        <v>7.4325549951763152</v>
      </c>
      <c r="S86" s="95">
        <v>27.120159516006858</v>
      </c>
      <c r="T86" s="95">
        <v>16.108966930560463</v>
      </c>
      <c r="U86" s="95">
        <v>0.65251511617460101</v>
      </c>
      <c r="V86" s="95">
        <v>16.108966930560463</v>
      </c>
      <c r="W86" s="95">
        <v>19.065676050726623</v>
      </c>
      <c r="X86" s="95">
        <v>3.9864595378792034</v>
      </c>
      <c r="Y86" s="95">
        <v>3.1300334479000393</v>
      </c>
      <c r="Z86" s="95">
        <v>100.70143441338334</v>
      </c>
      <c r="AJ86" s="44">
        <v>11760.752712282459</v>
      </c>
      <c r="AX86" s="131">
        <v>69.173525469643124</v>
      </c>
      <c r="AY86" s="131">
        <v>3456.2240042658509</v>
      </c>
      <c r="AZ86" s="131">
        <v>46.591958795643521</v>
      </c>
      <c r="BA86" s="131">
        <v>582.46118578571361</v>
      </c>
      <c r="BC86" s="131">
        <v>350.58892757722418</v>
      </c>
      <c r="BI86" s="131">
        <v>7403.1090648017143</v>
      </c>
      <c r="BK86" s="131">
        <v>415.41423037124139</v>
      </c>
      <c r="BL86" s="131">
        <v>560.72428004494191</v>
      </c>
      <c r="BM86" s="131">
        <v>59.600614733132105</v>
      </c>
      <c r="BN86" s="131">
        <v>275.09057144055953</v>
      </c>
      <c r="BO86" s="44">
        <v>38.073223128178029</v>
      </c>
      <c r="BP86" s="44">
        <v>10.310743075349608</v>
      </c>
      <c r="BQ86" s="44">
        <v>29.735129471530389</v>
      </c>
      <c r="BR86" s="44">
        <v>11.062789367458624</v>
      </c>
      <c r="BS86" s="44">
        <v>1.5093830925989413</v>
      </c>
      <c r="BT86" s="44">
        <v>4.4923342291223536</v>
      </c>
      <c r="BV86" s="44">
        <v>1.9304442516515499</v>
      </c>
      <c r="BW86" s="44">
        <v>0.27584060919185116</v>
      </c>
      <c r="BX86" s="44">
        <v>12.34110163470193</v>
      </c>
      <c r="BY86" s="131">
        <v>11.476424999928147</v>
      </c>
      <c r="CA86" s="131">
        <v>70.577424631816697</v>
      </c>
      <c r="CB86" s="131">
        <v>66.679559119817412</v>
      </c>
      <c r="CC86" s="131">
        <v>9.4011244780206287</v>
      </c>
      <c r="CE86">
        <f t="shared" si="38"/>
        <v>2.1419644836863623</v>
      </c>
      <c r="CF86">
        <f t="shared" si="39"/>
        <v>17.821029044156266</v>
      </c>
      <c r="CG86">
        <f t="shared" si="40"/>
        <v>8.3199460961583878</v>
      </c>
      <c r="CH86">
        <f t="shared" si="41"/>
        <v>0.74085293816409381</v>
      </c>
      <c r="CI86">
        <f t="shared" si="42"/>
        <v>0</v>
      </c>
      <c r="CJ86" t="e">
        <f t="shared" si="43"/>
        <v>#DIV/0!</v>
      </c>
      <c r="CK86">
        <f t="shared" si="44"/>
        <v>0</v>
      </c>
      <c r="CL86">
        <f t="shared" si="45"/>
        <v>6.1638565107058243</v>
      </c>
      <c r="CM86">
        <f t="shared" si="46"/>
        <v>13.202761728470822</v>
      </c>
      <c r="CN86">
        <f t="shared" si="47"/>
        <v>13.202761728470822</v>
      </c>
      <c r="CO86">
        <f t="shared" si="48"/>
        <v>2.046714474181199E-2</v>
      </c>
      <c r="CP86">
        <f t="shared" si="49"/>
        <v>7.5073385951673419</v>
      </c>
      <c r="CQ86">
        <f t="shared" si="50"/>
        <v>0.16989650202580708</v>
      </c>
      <c r="CR86">
        <f t="shared" si="51"/>
        <v>0.84395021148869875</v>
      </c>
      <c r="CS86">
        <f t="shared" si="52"/>
        <v>1.4021214084678517</v>
      </c>
      <c r="CT86">
        <f t="shared" si="53"/>
        <v>2.0014190453010446E-2</v>
      </c>
      <c r="CU86">
        <f t="shared" si="54"/>
        <v>0.11215783039980573</v>
      </c>
      <c r="CV86" t="e">
        <f t="shared" si="55"/>
        <v>#DIV/0!</v>
      </c>
      <c r="CW86">
        <f t="shared" si="56"/>
        <v>0</v>
      </c>
      <c r="CX86">
        <f t="shared" si="57"/>
        <v>1.6613792962911385</v>
      </c>
      <c r="CY86">
        <f t="shared" si="58"/>
        <v>2.7626460917508922E-2</v>
      </c>
      <c r="CZ86">
        <f t="shared" si="59"/>
        <v>7.092721650022928</v>
      </c>
      <c r="DA86">
        <f t="shared" si="60"/>
        <v>8.4202905928414378</v>
      </c>
      <c r="DB86">
        <f t="shared" si="61"/>
        <v>0.16852529959482077</v>
      </c>
      <c r="DC86">
        <f t="shared" si="62"/>
        <v>12.501324280879459</v>
      </c>
      <c r="DD86">
        <f t="shared" si="63"/>
        <v>1.0387657651261855</v>
      </c>
      <c r="DE86">
        <f t="shared" si="64"/>
        <v>0</v>
      </c>
      <c r="DF86">
        <f t="shared" si="65"/>
        <v>0</v>
      </c>
      <c r="DG86">
        <f t="shared" si="66"/>
        <v>0</v>
      </c>
      <c r="DH86">
        <f t="shared" si="67"/>
        <v>2.1419644836863623</v>
      </c>
      <c r="DI86">
        <f t="shared" si="68"/>
        <v>0.10143698068889896</v>
      </c>
      <c r="DJ86">
        <f t="shared" si="69"/>
        <v>2.7200564738909497E-3</v>
      </c>
      <c r="DK86">
        <f t="shared" si="70"/>
        <v>6.5284618419957599E-2</v>
      </c>
      <c r="DL86">
        <f t="shared" si="71"/>
        <v>1.6934731845778474E-3</v>
      </c>
      <c r="DM86">
        <f t="shared" si="72"/>
        <v>7.8467597825065006E-3</v>
      </c>
      <c r="DN86">
        <f t="shared" si="73"/>
        <v>3.6633472880941878E-3</v>
      </c>
      <c r="DO86">
        <f t="shared" si="74"/>
        <v>2.0354376879434154E-4</v>
      </c>
      <c r="DP86">
        <f t="shared" si="75"/>
        <v>9.5026677773871771E-5</v>
      </c>
    </row>
    <row r="87" spans="1:120">
      <c r="A87" s="16" t="s">
        <v>1656</v>
      </c>
      <c r="B87" s="4" t="s">
        <v>24</v>
      </c>
      <c r="C87" s="121" t="s">
        <v>1800</v>
      </c>
      <c r="D87" s="4" t="s">
        <v>1706</v>
      </c>
      <c r="E87" s="4" t="s">
        <v>237</v>
      </c>
      <c r="F87" s="4" t="s">
        <v>849</v>
      </c>
      <c r="G87" s="4" t="s">
        <v>595</v>
      </c>
      <c r="H87" s="49">
        <v>364</v>
      </c>
      <c r="I87" s="4" t="s">
        <v>1148</v>
      </c>
      <c r="J87" s="4" t="s">
        <v>635</v>
      </c>
      <c r="K87" s="4" t="s">
        <v>1678</v>
      </c>
      <c r="L87" s="4"/>
      <c r="M87" s="4" t="s">
        <v>1699</v>
      </c>
      <c r="N87" s="4">
        <v>34</v>
      </c>
      <c r="O87" s="95">
        <v>13.514189024560334</v>
      </c>
      <c r="P87" s="95">
        <v>0.82698768657757249</v>
      </c>
      <c r="Q87" s="95">
        <v>0.73622074536783899</v>
      </c>
      <c r="R87" s="95">
        <v>6.7167536495202844</v>
      </c>
      <c r="S87" s="95">
        <v>22.086622361035168</v>
      </c>
      <c r="T87" s="95">
        <v>13.312484710760923</v>
      </c>
      <c r="U87" s="95">
        <v>0.17144866672949674</v>
      </c>
      <c r="V87" s="95">
        <v>12.808223926262404</v>
      </c>
      <c r="W87" s="95">
        <v>19.161909810943754</v>
      </c>
      <c r="X87" s="95">
        <v>9.0464384739034482</v>
      </c>
      <c r="Y87" s="95">
        <v>2.0876396478238721</v>
      </c>
      <c r="Z87" s="95">
        <v>100.46891870348512</v>
      </c>
      <c r="CE87" t="e">
        <f t="shared" si="38"/>
        <v>#DIV/0!</v>
      </c>
      <c r="CF87" t="e">
        <f t="shared" si="39"/>
        <v>#DIV/0!</v>
      </c>
      <c r="CG87" t="e">
        <f t="shared" si="40"/>
        <v>#DIV/0!</v>
      </c>
      <c r="CH87" t="e">
        <f t="shared" si="41"/>
        <v>#DIV/0!</v>
      </c>
      <c r="CI87" t="e">
        <f t="shared" si="42"/>
        <v>#DIV/0!</v>
      </c>
      <c r="CJ87" t="e">
        <f t="shared" si="43"/>
        <v>#DIV/0!</v>
      </c>
      <c r="CK87" t="e">
        <f t="shared" si="44"/>
        <v>#DIV/0!</v>
      </c>
      <c r="CL87" t="e">
        <f t="shared" si="45"/>
        <v>#DIV/0!</v>
      </c>
      <c r="CM87" t="e">
        <f t="shared" si="46"/>
        <v>#DIV/0!</v>
      </c>
      <c r="CN87" t="e">
        <f t="shared" si="47"/>
        <v>#DIV/0!</v>
      </c>
      <c r="CO87" t="e">
        <f t="shared" si="48"/>
        <v>#DIV/0!</v>
      </c>
      <c r="CP87" t="e">
        <f t="shared" si="49"/>
        <v>#DIV/0!</v>
      </c>
      <c r="CQ87" t="e">
        <f t="shared" si="50"/>
        <v>#DIV/0!</v>
      </c>
      <c r="CR87" t="e">
        <f t="shared" si="51"/>
        <v>#DIV/0!</v>
      </c>
      <c r="CS87" t="e">
        <f t="shared" si="52"/>
        <v>#DIV/0!</v>
      </c>
      <c r="CT87" t="e">
        <f t="shared" si="53"/>
        <v>#DIV/0!</v>
      </c>
      <c r="CU87" t="e">
        <f t="shared" si="54"/>
        <v>#DIV/0!</v>
      </c>
      <c r="CV87" t="e">
        <f t="shared" si="55"/>
        <v>#DIV/0!</v>
      </c>
      <c r="CW87" t="e">
        <f t="shared" si="56"/>
        <v>#DIV/0!</v>
      </c>
      <c r="CX87" t="e">
        <f t="shared" si="57"/>
        <v>#DIV/0!</v>
      </c>
      <c r="CY87" t="e">
        <f t="shared" si="58"/>
        <v>#DIV/0!</v>
      </c>
      <c r="CZ87" t="e">
        <f t="shared" si="59"/>
        <v>#DIV/0!</v>
      </c>
      <c r="DA87" t="e">
        <f t="shared" si="60"/>
        <v>#DIV/0!</v>
      </c>
      <c r="DB87" t="e">
        <f t="shared" si="61"/>
        <v>#DIV/0!</v>
      </c>
      <c r="DC87" t="e">
        <f t="shared" si="62"/>
        <v>#DIV/0!</v>
      </c>
      <c r="DD87" t="e">
        <f t="shared" si="63"/>
        <v>#DIV/0!</v>
      </c>
      <c r="DE87" t="e">
        <f t="shared" si="64"/>
        <v>#DIV/0!</v>
      </c>
      <c r="DF87" t="e">
        <f t="shared" si="65"/>
        <v>#DIV/0!</v>
      </c>
      <c r="DG87" t="e">
        <f t="shared" si="66"/>
        <v>#DIV/0!</v>
      </c>
      <c r="DH87" t="e">
        <f t="shared" si="67"/>
        <v>#DIV/0!</v>
      </c>
      <c r="DI87" t="e">
        <f t="shared" si="68"/>
        <v>#DIV/0!</v>
      </c>
      <c r="DJ87" t="e">
        <f t="shared" si="69"/>
        <v>#DIV/0!</v>
      </c>
      <c r="DK87" t="e">
        <f t="shared" si="70"/>
        <v>#DIV/0!</v>
      </c>
      <c r="DL87" t="e">
        <f t="shared" si="71"/>
        <v>#DIV/0!</v>
      </c>
      <c r="DM87" t="e">
        <f t="shared" si="72"/>
        <v>#DIV/0!</v>
      </c>
      <c r="DN87" t="e">
        <f t="shared" si="73"/>
        <v>#DIV/0!</v>
      </c>
      <c r="DO87" t="e">
        <f t="shared" si="74"/>
        <v>#DIV/0!</v>
      </c>
      <c r="DP87" t="e">
        <f t="shared" si="75"/>
        <v>#DIV/0!</v>
      </c>
    </row>
    <row r="88" spans="1:120">
      <c r="A88" s="16" t="s">
        <v>1656</v>
      </c>
      <c r="B88" s="4" t="s">
        <v>24</v>
      </c>
      <c r="C88" s="121" t="s">
        <v>1800</v>
      </c>
      <c r="D88" s="4" t="s">
        <v>1706</v>
      </c>
      <c r="E88" s="4" t="s">
        <v>237</v>
      </c>
      <c r="F88" s="4" t="s">
        <v>849</v>
      </c>
      <c r="G88" s="4" t="s">
        <v>595</v>
      </c>
      <c r="H88" s="49">
        <v>364</v>
      </c>
      <c r="I88" s="4" t="s">
        <v>1148</v>
      </c>
      <c r="J88" s="4" t="s">
        <v>635</v>
      </c>
      <c r="K88" s="4" t="s">
        <v>1678</v>
      </c>
      <c r="L88" s="4"/>
      <c r="M88" s="4" t="s">
        <v>1701</v>
      </c>
      <c r="N88" s="4">
        <v>24</v>
      </c>
      <c r="O88" s="95">
        <v>11.328606297385297</v>
      </c>
      <c r="P88" s="95">
        <v>0.37762020991284329</v>
      </c>
      <c r="Q88" s="95">
        <v>2.2248974529999956</v>
      </c>
      <c r="R88" s="95">
        <v>14.08421323458713</v>
      </c>
      <c r="S88" s="95">
        <v>22.248974529999959</v>
      </c>
      <c r="T88" s="95">
        <v>15.410986945091713</v>
      </c>
      <c r="U88" s="95">
        <v>0.12247141943119241</v>
      </c>
      <c r="V88" s="95">
        <v>11.838903878348601</v>
      </c>
      <c r="W88" s="95">
        <v>11.328606297385297</v>
      </c>
      <c r="X88" s="95">
        <v>10.410070651651356</v>
      </c>
      <c r="Y88" s="95">
        <v>0.80627017792201683</v>
      </c>
      <c r="Z88" s="95">
        <v>100.1816210947154</v>
      </c>
      <c r="CE88" t="e">
        <f t="shared" si="38"/>
        <v>#DIV/0!</v>
      </c>
      <c r="CF88" t="e">
        <f t="shared" si="39"/>
        <v>#DIV/0!</v>
      </c>
      <c r="CG88" t="e">
        <f t="shared" si="40"/>
        <v>#DIV/0!</v>
      </c>
      <c r="CH88" t="e">
        <f t="shared" si="41"/>
        <v>#DIV/0!</v>
      </c>
      <c r="CI88" t="e">
        <f t="shared" si="42"/>
        <v>#DIV/0!</v>
      </c>
      <c r="CJ88" t="e">
        <f t="shared" si="43"/>
        <v>#DIV/0!</v>
      </c>
      <c r="CK88" t="e">
        <f t="shared" si="44"/>
        <v>#DIV/0!</v>
      </c>
      <c r="CL88" t="e">
        <f t="shared" si="45"/>
        <v>#DIV/0!</v>
      </c>
      <c r="CM88" t="e">
        <f t="shared" si="46"/>
        <v>#DIV/0!</v>
      </c>
      <c r="CN88" t="e">
        <f t="shared" si="47"/>
        <v>#DIV/0!</v>
      </c>
      <c r="CO88" t="e">
        <f t="shared" si="48"/>
        <v>#DIV/0!</v>
      </c>
      <c r="CP88" t="e">
        <f t="shared" si="49"/>
        <v>#DIV/0!</v>
      </c>
      <c r="CQ88" t="e">
        <f t="shared" si="50"/>
        <v>#DIV/0!</v>
      </c>
      <c r="CR88" t="e">
        <f t="shared" si="51"/>
        <v>#DIV/0!</v>
      </c>
      <c r="CS88" t="e">
        <f t="shared" si="52"/>
        <v>#DIV/0!</v>
      </c>
      <c r="CT88" t="e">
        <f t="shared" si="53"/>
        <v>#DIV/0!</v>
      </c>
      <c r="CU88" t="e">
        <f t="shared" si="54"/>
        <v>#DIV/0!</v>
      </c>
      <c r="CV88" t="e">
        <f t="shared" si="55"/>
        <v>#DIV/0!</v>
      </c>
      <c r="CW88" t="e">
        <f t="shared" si="56"/>
        <v>#DIV/0!</v>
      </c>
      <c r="CX88" t="e">
        <f t="shared" si="57"/>
        <v>#DIV/0!</v>
      </c>
      <c r="CY88" t="e">
        <f t="shared" si="58"/>
        <v>#DIV/0!</v>
      </c>
      <c r="CZ88" t="e">
        <f t="shared" si="59"/>
        <v>#DIV/0!</v>
      </c>
      <c r="DA88" t="e">
        <f t="shared" si="60"/>
        <v>#DIV/0!</v>
      </c>
      <c r="DB88" t="e">
        <f t="shared" si="61"/>
        <v>#DIV/0!</v>
      </c>
      <c r="DC88" t="e">
        <f t="shared" si="62"/>
        <v>#DIV/0!</v>
      </c>
      <c r="DD88" t="e">
        <f t="shared" si="63"/>
        <v>#DIV/0!</v>
      </c>
      <c r="DE88" t="e">
        <f t="shared" si="64"/>
        <v>#DIV/0!</v>
      </c>
      <c r="DF88" t="e">
        <f t="shared" si="65"/>
        <v>#DIV/0!</v>
      </c>
      <c r="DG88" t="e">
        <f t="shared" si="66"/>
        <v>#DIV/0!</v>
      </c>
      <c r="DH88" t="e">
        <f t="shared" si="67"/>
        <v>#DIV/0!</v>
      </c>
      <c r="DI88" t="e">
        <f t="shared" si="68"/>
        <v>#DIV/0!</v>
      </c>
      <c r="DJ88" t="e">
        <f t="shared" si="69"/>
        <v>#DIV/0!</v>
      </c>
      <c r="DK88" t="e">
        <f t="shared" si="70"/>
        <v>#DIV/0!</v>
      </c>
      <c r="DL88" t="e">
        <f t="shared" si="71"/>
        <v>#DIV/0!</v>
      </c>
      <c r="DM88" t="e">
        <f t="shared" si="72"/>
        <v>#DIV/0!</v>
      </c>
      <c r="DN88" t="e">
        <f t="shared" si="73"/>
        <v>#DIV/0!</v>
      </c>
      <c r="DO88" t="e">
        <f t="shared" si="74"/>
        <v>#DIV/0!</v>
      </c>
      <c r="DP88" t="e">
        <f t="shared" si="75"/>
        <v>#DIV/0!</v>
      </c>
    </row>
    <row r="89" spans="1:120">
      <c r="A89" s="16" t="s">
        <v>1656</v>
      </c>
      <c r="B89" s="4" t="s">
        <v>24</v>
      </c>
      <c r="C89" s="121" t="s">
        <v>1800</v>
      </c>
      <c r="D89" s="4" t="s">
        <v>1706</v>
      </c>
      <c r="E89" s="4" t="s">
        <v>237</v>
      </c>
      <c r="F89" s="4" t="s">
        <v>849</v>
      </c>
      <c r="G89" s="4" t="s">
        <v>595</v>
      </c>
      <c r="H89" s="49">
        <v>364</v>
      </c>
      <c r="I89" s="4" t="s">
        <v>1148</v>
      </c>
      <c r="J89" s="4" t="s">
        <v>635</v>
      </c>
      <c r="K89" s="4" t="s">
        <v>1678</v>
      </c>
      <c r="L89" s="4"/>
      <c r="M89" s="4" t="s">
        <v>1702</v>
      </c>
      <c r="N89" s="4">
        <v>24</v>
      </c>
      <c r="O89" s="95">
        <v>7.1303546202128807</v>
      </c>
      <c r="P89" s="95">
        <v>0</v>
      </c>
      <c r="Q89" s="95">
        <v>0</v>
      </c>
      <c r="R89" s="95">
        <v>6.5895692978933651</v>
      </c>
      <c r="S89" s="95">
        <v>29.643047297514229</v>
      </c>
      <c r="T89" s="95">
        <v>12.618324187455379</v>
      </c>
      <c r="U89" s="95">
        <v>0</v>
      </c>
      <c r="V89" s="95">
        <v>9.8042376027927105</v>
      </c>
      <c r="W89" s="95">
        <v>23.033448913609028</v>
      </c>
      <c r="X89" s="95">
        <v>10.715561016331154</v>
      </c>
      <c r="Y89" s="95">
        <v>0.60087258035501812</v>
      </c>
      <c r="Z89" s="95">
        <v>100.13541551616375</v>
      </c>
      <c r="CE89" t="e">
        <f t="shared" si="38"/>
        <v>#DIV/0!</v>
      </c>
      <c r="CF89" t="e">
        <f t="shared" si="39"/>
        <v>#DIV/0!</v>
      </c>
      <c r="CG89" t="e">
        <f t="shared" si="40"/>
        <v>#DIV/0!</v>
      </c>
      <c r="CH89" t="e">
        <f t="shared" si="41"/>
        <v>#DIV/0!</v>
      </c>
      <c r="CI89" t="e">
        <f t="shared" si="42"/>
        <v>#DIV/0!</v>
      </c>
      <c r="CJ89" t="e">
        <f t="shared" si="43"/>
        <v>#DIV/0!</v>
      </c>
      <c r="CK89" t="e">
        <f t="shared" si="44"/>
        <v>#DIV/0!</v>
      </c>
      <c r="CL89" t="e">
        <f t="shared" si="45"/>
        <v>#DIV/0!</v>
      </c>
      <c r="CM89" t="e">
        <f t="shared" si="46"/>
        <v>#DIV/0!</v>
      </c>
      <c r="CN89" t="e">
        <f t="shared" si="47"/>
        <v>#DIV/0!</v>
      </c>
      <c r="CO89" t="e">
        <f t="shared" si="48"/>
        <v>#DIV/0!</v>
      </c>
      <c r="CP89" t="e">
        <f t="shared" si="49"/>
        <v>#DIV/0!</v>
      </c>
      <c r="CQ89" t="e">
        <f t="shared" si="50"/>
        <v>#DIV/0!</v>
      </c>
      <c r="CR89" t="e">
        <f t="shared" si="51"/>
        <v>#DIV/0!</v>
      </c>
      <c r="CS89" t="e">
        <f t="shared" si="52"/>
        <v>#DIV/0!</v>
      </c>
      <c r="CT89" t="e">
        <f t="shared" si="53"/>
        <v>#DIV/0!</v>
      </c>
      <c r="CU89" t="e">
        <f t="shared" si="54"/>
        <v>#DIV/0!</v>
      </c>
      <c r="CV89" t="e">
        <f t="shared" si="55"/>
        <v>#DIV/0!</v>
      </c>
      <c r="CW89" t="e">
        <f t="shared" si="56"/>
        <v>#DIV/0!</v>
      </c>
      <c r="CX89" t="e">
        <f t="shared" si="57"/>
        <v>#DIV/0!</v>
      </c>
      <c r="CY89" t="e">
        <f t="shared" si="58"/>
        <v>#DIV/0!</v>
      </c>
      <c r="CZ89" t="e">
        <f t="shared" si="59"/>
        <v>#DIV/0!</v>
      </c>
      <c r="DA89" t="e">
        <f t="shared" si="60"/>
        <v>#DIV/0!</v>
      </c>
      <c r="DB89" t="e">
        <f t="shared" si="61"/>
        <v>#DIV/0!</v>
      </c>
      <c r="DC89" t="e">
        <f t="shared" si="62"/>
        <v>#DIV/0!</v>
      </c>
      <c r="DD89" t="e">
        <f t="shared" si="63"/>
        <v>#DIV/0!</v>
      </c>
      <c r="DE89" t="e">
        <f t="shared" si="64"/>
        <v>#DIV/0!</v>
      </c>
      <c r="DF89" t="e">
        <f t="shared" si="65"/>
        <v>#DIV/0!</v>
      </c>
      <c r="DG89" t="e">
        <f t="shared" si="66"/>
        <v>#DIV/0!</v>
      </c>
      <c r="DH89" t="e">
        <f t="shared" si="67"/>
        <v>#DIV/0!</v>
      </c>
      <c r="DI89" t="e">
        <f t="shared" si="68"/>
        <v>#DIV/0!</v>
      </c>
      <c r="DJ89" t="e">
        <f t="shared" si="69"/>
        <v>#DIV/0!</v>
      </c>
      <c r="DK89" t="e">
        <f t="shared" si="70"/>
        <v>#DIV/0!</v>
      </c>
      <c r="DL89" t="e">
        <f t="shared" si="71"/>
        <v>#DIV/0!</v>
      </c>
      <c r="DM89" t="e">
        <f t="shared" si="72"/>
        <v>#DIV/0!</v>
      </c>
      <c r="DN89" t="e">
        <f t="shared" si="73"/>
        <v>#DIV/0!</v>
      </c>
      <c r="DO89" t="e">
        <f t="shared" si="74"/>
        <v>#DIV/0!</v>
      </c>
      <c r="DP89" t="e">
        <f t="shared" si="75"/>
        <v>#DIV/0!</v>
      </c>
    </row>
    <row r="90" spans="1:120">
      <c r="A90" s="16" t="s">
        <v>1656</v>
      </c>
      <c r="B90" s="4" t="s">
        <v>24</v>
      </c>
      <c r="C90" s="121" t="s">
        <v>1800</v>
      </c>
      <c r="D90" s="4" t="s">
        <v>1706</v>
      </c>
      <c r="E90" s="4" t="s">
        <v>237</v>
      </c>
      <c r="F90" s="4" t="s">
        <v>849</v>
      </c>
      <c r="G90" s="4" t="s">
        <v>595</v>
      </c>
      <c r="H90" s="49">
        <v>364</v>
      </c>
      <c r="I90" s="4" t="s">
        <v>1148</v>
      </c>
      <c r="J90" s="4" t="s">
        <v>635</v>
      </c>
      <c r="K90" s="4" t="s">
        <v>1678</v>
      </c>
      <c r="L90" s="4"/>
      <c r="M90" s="4" t="s">
        <v>1703</v>
      </c>
      <c r="N90" s="4">
        <v>22</v>
      </c>
      <c r="O90" s="95">
        <v>11.928387733110737</v>
      </c>
      <c r="P90" s="95">
        <v>0</v>
      </c>
      <c r="Q90" s="95">
        <v>1.5292804786039407</v>
      </c>
      <c r="R90" s="95">
        <v>6.4331732133272439</v>
      </c>
      <c r="S90" s="95">
        <v>16.210373073201772</v>
      </c>
      <c r="T90" s="95">
        <v>9.0329500269539427</v>
      </c>
      <c r="U90" s="95">
        <v>3.1605129891148107</v>
      </c>
      <c r="V90" s="95">
        <v>10.001494330069773</v>
      </c>
      <c r="W90" s="95">
        <v>17.943557615619572</v>
      </c>
      <c r="X90" s="95">
        <v>21.307974668548237</v>
      </c>
      <c r="Y90" s="95">
        <v>3.1605129891148107</v>
      </c>
      <c r="Z90" s="95">
        <v>100.70821711766484</v>
      </c>
      <c r="AJ90" s="44">
        <v>7133.0986258991607</v>
      </c>
      <c r="AX90" s="131">
        <v>215.28782946403317</v>
      </c>
      <c r="AY90" s="131">
        <v>10871.520590686701</v>
      </c>
      <c r="AZ90" s="131">
        <v>215.21592546506153</v>
      </c>
      <c r="BA90" s="131">
        <v>1427.8360109370462</v>
      </c>
      <c r="BC90" s="131">
        <v>1762.2692314076776</v>
      </c>
      <c r="BI90" s="131">
        <v>24679.714196968118</v>
      </c>
      <c r="BK90" s="131">
        <v>1767.4609406966754</v>
      </c>
      <c r="BL90" s="131">
        <v>2441.5172141802832</v>
      </c>
      <c r="BM90" s="131">
        <v>264.24784332798356</v>
      </c>
      <c r="BN90" s="131">
        <v>1076.2565139207732</v>
      </c>
      <c r="BO90" s="44">
        <v>109.3167348216648</v>
      </c>
      <c r="BP90" s="44">
        <v>29.842427080782262</v>
      </c>
      <c r="BQ90" s="44">
        <v>69.738166958001713</v>
      </c>
      <c r="BR90" s="44">
        <v>47.917545171451479</v>
      </c>
      <c r="BS90" s="44">
        <v>12.709517097567536</v>
      </c>
      <c r="BT90" s="44">
        <v>19.534315197028192</v>
      </c>
      <c r="BV90" s="44">
        <v>14.513072977567004</v>
      </c>
      <c r="BW90" s="44">
        <v>2.3315031319846238</v>
      </c>
      <c r="BX90" s="44">
        <v>36.014900552008854</v>
      </c>
      <c r="BY90" s="131">
        <v>78.042036959628135</v>
      </c>
      <c r="CA90" s="131">
        <v>410.49937929656522</v>
      </c>
      <c r="CB90" s="131">
        <v>344.89098192259854</v>
      </c>
      <c r="CC90" s="131">
        <v>34.018749317475397</v>
      </c>
      <c r="CE90">
        <f t="shared" si="38"/>
        <v>2.2701253234170822</v>
      </c>
      <c r="CF90">
        <f t="shared" si="39"/>
        <v>13.963371766077151</v>
      </c>
      <c r="CG90">
        <f t="shared" si="40"/>
        <v>6.1509255114862693</v>
      </c>
      <c r="CH90">
        <f t="shared" si="41"/>
        <v>0.72391909851435721</v>
      </c>
      <c r="CI90">
        <f t="shared" si="42"/>
        <v>0</v>
      </c>
      <c r="CJ90" t="e">
        <f t="shared" si="43"/>
        <v>#DIV/0!</v>
      </c>
      <c r="CK90">
        <f t="shared" si="44"/>
        <v>0</v>
      </c>
      <c r="CL90">
        <f t="shared" si="45"/>
        <v>4.452772451304102</v>
      </c>
      <c r="CM90">
        <f t="shared" si="46"/>
        <v>10.108351501119399</v>
      </c>
      <c r="CN90">
        <f t="shared" si="47"/>
        <v>10.108351501119399</v>
      </c>
      <c r="CO90">
        <f t="shared" si="48"/>
        <v>3.196456551948991E-2</v>
      </c>
      <c r="CP90">
        <f t="shared" si="49"/>
        <v>12.066856881351958</v>
      </c>
      <c r="CQ90">
        <f t="shared" si="50"/>
        <v>0.23225372048943824</v>
      </c>
      <c r="CR90">
        <f t="shared" si="51"/>
        <v>0.9970626172440612</v>
      </c>
      <c r="CS90">
        <f t="shared" si="52"/>
        <v>0.80784586412090098</v>
      </c>
      <c r="CT90">
        <f t="shared" si="53"/>
        <v>1.9802917877786447E-2</v>
      </c>
      <c r="CU90">
        <f t="shared" si="54"/>
        <v>0.12176559068978941</v>
      </c>
      <c r="CV90" t="e">
        <f t="shared" si="55"/>
        <v>#DIV/0!</v>
      </c>
      <c r="CW90">
        <f t="shared" si="56"/>
        <v>0</v>
      </c>
      <c r="CX90">
        <f t="shared" si="57"/>
        <v>0.8102258074360803</v>
      </c>
      <c r="CY90">
        <f t="shared" si="58"/>
        <v>4.4154886347228986E-2</v>
      </c>
      <c r="CZ90">
        <f t="shared" si="59"/>
        <v>10.138261659884963</v>
      </c>
      <c r="DA90">
        <f t="shared" si="60"/>
        <v>6.6322188973324483</v>
      </c>
      <c r="DB90">
        <f t="shared" si="61"/>
        <v>0.13133728617137785</v>
      </c>
      <c r="DC90">
        <f t="shared" si="62"/>
        <v>6.6344347327068194</v>
      </c>
      <c r="DD90">
        <f t="shared" si="63"/>
        <v>0.5848150496929545</v>
      </c>
      <c r="DE90">
        <f t="shared" si="64"/>
        <v>0</v>
      </c>
      <c r="DF90">
        <f t="shared" si="65"/>
        <v>0</v>
      </c>
      <c r="DG90">
        <f t="shared" si="66"/>
        <v>0</v>
      </c>
      <c r="DH90">
        <f t="shared" si="67"/>
        <v>2.2701253234170822</v>
      </c>
      <c r="DI90">
        <f t="shared" si="68"/>
        <v>0.16209960848690841</v>
      </c>
      <c r="DJ90">
        <f t="shared" si="69"/>
        <v>3.1291620186616963E-3</v>
      </c>
      <c r="DK90">
        <f t="shared" si="70"/>
        <v>9.1715594387122203E-3</v>
      </c>
      <c r="DL90">
        <f t="shared" si="71"/>
        <v>8.652414564822848E-4</v>
      </c>
      <c r="DM90">
        <f t="shared" si="72"/>
        <v>1.4910860847827214E-3</v>
      </c>
      <c r="DN90">
        <f t="shared" si="73"/>
        <v>6.5682985401805034E-4</v>
      </c>
      <c r="DO90">
        <f t="shared" si="74"/>
        <v>1.4066849856440768E-4</v>
      </c>
      <c r="DP90">
        <f t="shared" si="75"/>
        <v>6.1965080567740583E-5</v>
      </c>
    </row>
    <row r="91" spans="1:120">
      <c r="A91" s="16" t="s">
        <v>827</v>
      </c>
      <c r="B91" s="16" t="s">
        <v>24</v>
      </c>
      <c r="C91" s="122" t="s">
        <v>1801</v>
      </c>
      <c r="D91" s="16" t="s">
        <v>1718</v>
      </c>
      <c r="E91" s="16" t="s">
        <v>237</v>
      </c>
      <c r="F91" s="16" t="s">
        <v>817</v>
      </c>
      <c r="G91" s="16" t="s">
        <v>595</v>
      </c>
      <c r="H91" s="27" t="s">
        <v>1796</v>
      </c>
      <c r="I91" s="16" t="s">
        <v>735</v>
      </c>
      <c r="J91" s="16"/>
      <c r="K91" s="16" t="s">
        <v>802</v>
      </c>
      <c r="L91" s="16"/>
      <c r="M91" s="16" t="s">
        <v>821</v>
      </c>
      <c r="N91" s="16">
        <v>20</v>
      </c>
      <c r="O91" s="95">
        <v>16.594892884990113</v>
      </c>
      <c r="P91" s="95">
        <v>2.4434198112868879</v>
      </c>
      <c r="Q91" s="95">
        <v>3.1560839229122304</v>
      </c>
      <c r="R91" s="95">
        <v>12.11528989763082</v>
      </c>
      <c r="S91" s="95">
        <v>11.097198309594617</v>
      </c>
      <c r="T91" s="95">
        <v>17.409366155419079</v>
      </c>
      <c r="U91" s="95">
        <v>1.1199007468398237</v>
      </c>
      <c r="V91" s="95">
        <v>7.1266411162534222</v>
      </c>
      <c r="W91" s="95">
        <v>24.0269614776544</v>
      </c>
      <c r="X91" s="95">
        <v>2.5452289700905082</v>
      </c>
      <c r="Y91" s="95">
        <v>3.0542747641086101</v>
      </c>
      <c r="Z91" s="95">
        <v>100.6892580567805</v>
      </c>
      <c r="AA91" s="18"/>
      <c r="AB91" s="18"/>
      <c r="AC91" s="18"/>
      <c r="AD91" s="18"/>
      <c r="AE91" s="127"/>
      <c r="AF91" s="127"/>
      <c r="AG91" s="18"/>
      <c r="AH91" s="18"/>
      <c r="AI91" s="18"/>
      <c r="AJ91" s="18"/>
      <c r="AK91" s="134"/>
      <c r="AL91" s="18"/>
      <c r="AM91" s="134"/>
      <c r="AN91" s="127"/>
      <c r="AO91" s="18"/>
      <c r="AP91" s="18"/>
      <c r="AQ91" s="18"/>
      <c r="AR91" s="18"/>
      <c r="AS91" s="18"/>
      <c r="AT91" s="18"/>
      <c r="AU91" s="18"/>
      <c r="AV91" s="18"/>
      <c r="AW91" s="18"/>
      <c r="AX91" s="127"/>
      <c r="AY91" s="127"/>
      <c r="AZ91" s="127"/>
      <c r="BA91" s="127"/>
      <c r="BB91" s="18"/>
      <c r="BC91" s="127"/>
      <c r="BD91" s="18"/>
      <c r="BE91" s="18"/>
      <c r="BF91" s="18"/>
      <c r="BG91" s="18"/>
      <c r="BH91" s="127"/>
      <c r="BI91" s="127"/>
      <c r="BJ91" s="18"/>
      <c r="BK91" s="127"/>
      <c r="BL91" s="127"/>
      <c r="BM91" s="127"/>
      <c r="BN91" s="127"/>
      <c r="BO91" s="18"/>
      <c r="BP91" s="18"/>
      <c r="BQ91" s="18"/>
      <c r="BR91" s="18"/>
      <c r="BS91" s="18"/>
      <c r="BT91" s="18"/>
      <c r="BU91" s="18"/>
      <c r="BV91" s="18"/>
      <c r="BW91" s="18"/>
      <c r="BX91" s="18"/>
      <c r="BY91" s="127"/>
      <c r="BZ91" s="18"/>
      <c r="CA91" s="127"/>
      <c r="CB91" s="127"/>
      <c r="CC91" s="127"/>
      <c r="CE91" t="e">
        <f t="shared" si="38"/>
        <v>#DIV/0!</v>
      </c>
      <c r="CF91" t="e">
        <f t="shared" si="39"/>
        <v>#DIV/0!</v>
      </c>
      <c r="CG91" t="e">
        <f t="shared" si="40"/>
        <v>#DIV/0!</v>
      </c>
      <c r="CH91" t="e">
        <f t="shared" si="41"/>
        <v>#DIV/0!</v>
      </c>
      <c r="CI91" t="e">
        <f t="shared" si="42"/>
        <v>#DIV/0!</v>
      </c>
      <c r="CJ91" t="e">
        <f t="shared" si="43"/>
        <v>#DIV/0!</v>
      </c>
      <c r="CK91" t="e">
        <f t="shared" si="44"/>
        <v>#DIV/0!</v>
      </c>
      <c r="CL91" t="e">
        <f t="shared" si="45"/>
        <v>#DIV/0!</v>
      </c>
      <c r="CM91" t="e">
        <f t="shared" si="46"/>
        <v>#DIV/0!</v>
      </c>
      <c r="CN91" t="e">
        <f t="shared" si="47"/>
        <v>#DIV/0!</v>
      </c>
      <c r="CO91" t="e">
        <f t="shared" si="48"/>
        <v>#DIV/0!</v>
      </c>
      <c r="CP91" t="e">
        <f t="shared" si="49"/>
        <v>#DIV/0!</v>
      </c>
      <c r="CQ91" t="e">
        <f t="shared" si="50"/>
        <v>#DIV/0!</v>
      </c>
      <c r="CR91" t="e">
        <f t="shared" si="51"/>
        <v>#DIV/0!</v>
      </c>
      <c r="CS91" t="e">
        <f t="shared" si="52"/>
        <v>#DIV/0!</v>
      </c>
      <c r="CT91" t="e">
        <f t="shared" si="53"/>
        <v>#DIV/0!</v>
      </c>
      <c r="CU91" t="e">
        <f t="shared" si="54"/>
        <v>#DIV/0!</v>
      </c>
      <c r="CV91" t="e">
        <f t="shared" si="55"/>
        <v>#DIV/0!</v>
      </c>
      <c r="CW91" t="e">
        <f t="shared" si="56"/>
        <v>#DIV/0!</v>
      </c>
      <c r="CX91" t="e">
        <f t="shared" si="57"/>
        <v>#DIV/0!</v>
      </c>
      <c r="CY91" t="e">
        <f t="shared" si="58"/>
        <v>#DIV/0!</v>
      </c>
      <c r="CZ91" t="e">
        <f t="shared" si="59"/>
        <v>#DIV/0!</v>
      </c>
      <c r="DA91" t="e">
        <f t="shared" si="60"/>
        <v>#DIV/0!</v>
      </c>
      <c r="DB91" t="e">
        <f t="shared" si="61"/>
        <v>#DIV/0!</v>
      </c>
      <c r="DC91" t="e">
        <f t="shared" si="62"/>
        <v>#DIV/0!</v>
      </c>
      <c r="DD91" t="e">
        <f t="shared" si="63"/>
        <v>#DIV/0!</v>
      </c>
      <c r="DE91" t="e">
        <f t="shared" si="64"/>
        <v>#DIV/0!</v>
      </c>
      <c r="DF91" t="e">
        <f t="shared" si="65"/>
        <v>#DIV/0!</v>
      </c>
      <c r="DG91" t="e">
        <f t="shared" si="66"/>
        <v>#DIV/0!</v>
      </c>
      <c r="DH91" t="e">
        <f t="shared" si="67"/>
        <v>#DIV/0!</v>
      </c>
      <c r="DI91" t="e">
        <f t="shared" si="68"/>
        <v>#DIV/0!</v>
      </c>
      <c r="DJ91" t="e">
        <f t="shared" si="69"/>
        <v>#DIV/0!</v>
      </c>
      <c r="DK91" t="e">
        <f t="shared" si="70"/>
        <v>#DIV/0!</v>
      </c>
      <c r="DL91" t="e">
        <f t="shared" si="71"/>
        <v>#DIV/0!</v>
      </c>
      <c r="DM91" t="e">
        <f t="shared" si="72"/>
        <v>#DIV/0!</v>
      </c>
      <c r="DN91" t="e">
        <f t="shared" si="73"/>
        <v>#DIV/0!</v>
      </c>
      <c r="DO91" t="e">
        <f t="shared" si="74"/>
        <v>#DIV/0!</v>
      </c>
      <c r="DP91" t="e">
        <f t="shared" si="75"/>
        <v>#DIV/0!</v>
      </c>
    </row>
    <row r="92" spans="1:120">
      <c r="A92" s="16" t="s">
        <v>1469</v>
      </c>
      <c r="B92" s="16" t="s">
        <v>24</v>
      </c>
      <c r="C92" s="122" t="s">
        <v>1801</v>
      </c>
      <c r="D92" s="16" t="s">
        <v>1705</v>
      </c>
      <c r="E92" s="16" t="s">
        <v>237</v>
      </c>
      <c r="F92" s="16" t="s">
        <v>817</v>
      </c>
      <c r="G92" s="16" t="s">
        <v>595</v>
      </c>
      <c r="H92" s="27" t="s">
        <v>1796</v>
      </c>
      <c r="I92" s="16" t="s">
        <v>735</v>
      </c>
      <c r="J92" s="16" t="s">
        <v>596</v>
      </c>
      <c r="K92" s="16" t="s">
        <v>115</v>
      </c>
      <c r="L92" s="16"/>
      <c r="M92" s="16" t="s">
        <v>589</v>
      </c>
      <c r="N92" s="16">
        <v>15</v>
      </c>
      <c r="O92" s="95">
        <v>9.8700088497963705</v>
      </c>
      <c r="P92" s="95">
        <v>3.3235744086048999</v>
      </c>
      <c r="Q92" s="95">
        <v>1.309286888238294</v>
      </c>
      <c r="R92" s="95">
        <v>17.625015803207802</v>
      </c>
      <c r="S92" s="95">
        <v>12.085725122199635</v>
      </c>
      <c r="T92" s="95">
        <v>21.452162091904352</v>
      </c>
      <c r="U92" s="95">
        <v>0</v>
      </c>
      <c r="V92" s="95">
        <v>8.3592932095214145</v>
      </c>
      <c r="W92" s="95">
        <v>22.660734604124315</v>
      </c>
      <c r="X92" s="95">
        <v>1.2085725122199635</v>
      </c>
      <c r="Y92" s="95">
        <v>2.7192881524949182</v>
      </c>
      <c r="Z92" s="95">
        <v>100.61366164231195</v>
      </c>
      <c r="AA92" s="18"/>
      <c r="AB92" s="18"/>
      <c r="AC92" s="18"/>
      <c r="AD92" s="18">
        <v>13.7</v>
      </c>
      <c r="AE92" s="127"/>
      <c r="AF92" s="127"/>
      <c r="AG92" s="18"/>
      <c r="AH92" s="18">
        <v>24</v>
      </c>
      <c r="AI92" s="18"/>
      <c r="AJ92" s="18"/>
      <c r="AK92" s="134">
        <v>0.06</v>
      </c>
      <c r="AL92" s="18"/>
      <c r="AM92" s="134">
        <v>17.100000000000001</v>
      </c>
      <c r="AN92" s="127"/>
      <c r="AO92" s="18"/>
      <c r="AP92" s="18">
        <v>0.11700000000000001</v>
      </c>
      <c r="AQ92" s="18">
        <v>2.0399999999999998E-2</v>
      </c>
      <c r="AR92" s="18"/>
      <c r="AS92" s="18">
        <v>1.6000000000000001E-3</v>
      </c>
      <c r="AT92" s="18"/>
      <c r="AU92" s="18">
        <v>4.0000000000000002E-4</v>
      </c>
      <c r="AV92" s="18"/>
      <c r="AW92" s="18">
        <v>8.9499999999999996E-3</v>
      </c>
      <c r="AX92" s="127">
        <v>0.193</v>
      </c>
      <c r="AY92" s="127">
        <v>0.6</v>
      </c>
      <c r="AZ92" s="127">
        <v>0</v>
      </c>
      <c r="BA92" s="127">
        <v>8.6999999999999994E-2</v>
      </c>
      <c r="BB92" s="18">
        <v>2.3999999999999998E-3</v>
      </c>
      <c r="BC92" s="127"/>
      <c r="BD92" s="18"/>
      <c r="BE92" s="18"/>
      <c r="BF92" s="18"/>
      <c r="BG92" s="18"/>
      <c r="BH92" s="127">
        <v>1.9E-3</v>
      </c>
      <c r="BI92" s="127">
        <v>0.95</v>
      </c>
      <c r="BJ92" s="18"/>
      <c r="BK92" s="127">
        <v>5.1999999999999998E-2</v>
      </c>
      <c r="BL92" s="127">
        <v>7.2800000000000004E-2</v>
      </c>
      <c r="BM92" s="127"/>
      <c r="BN92" s="127">
        <v>2.4799999999999999E-2</v>
      </c>
      <c r="BO92" s="18">
        <v>4.4000000000000003E-3</v>
      </c>
      <c r="BP92" s="18">
        <v>1.25E-3</v>
      </c>
      <c r="BQ92" s="18">
        <v>7.0999999999999994E-2</v>
      </c>
      <c r="BR92" s="18"/>
      <c r="BS92" s="18"/>
      <c r="BT92" s="18"/>
      <c r="BU92" s="18"/>
      <c r="BV92" s="18">
        <v>2.0000000000000001E-4</v>
      </c>
      <c r="BW92" s="18">
        <v>2.0000000000000002E-5</v>
      </c>
      <c r="BX92" s="18">
        <v>4.8999999999999998E-4</v>
      </c>
      <c r="BY92" s="127">
        <v>9.4000000000000004E-3</v>
      </c>
      <c r="BZ92" s="18"/>
      <c r="CA92" s="127"/>
      <c r="CB92" s="127">
        <v>1.0699999999999999E-2</v>
      </c>
      <c r="CC92" s="127">
        <v>2.9500000000000004E-3</v>
      </c>
      <c r="CE92">
        <f t="shared" si="38"/>
        <v>1.5833333333333333</v>
      </c>
      <c r="CF92">
        <f t="shared" si="39"/>
        <v>18.26923076923077</v>
      </c>
      <c r="CG92">
        <f t="shared" si="40"/>
        <v>11.538461538461538</v>
      </c>
      <c r="CH92">
        <f t="shared" si="41"/>
        <v>0.71428571428571419</v>
      </c>
      <c r="CI92">
        <f t="shared" si="42"/>
        <v>0</v>
      </c>
      <c r="CJ92" t="e">
        <f t="shared" si="43"/>
        <v>#DIV/0!</v>
      </c>
      <c r="CK92">
        <f t="shared" si="44"/>
        <v>0</v>
      </c>
      <c r="CL92">
        <f t="shared" si="45"/>
        <v>8.2417582417582409</v>
      </c>
      <c r="CM92">
        <f t="shared" si="46"/>
        <v>13.049450549450547</v>
      </c>
      <c r="CN92">
        <f t="shared" si="47"/>
        <v>13.049450549450547</v>
      </c>
      <c r="CO92">
        <f t="shared" si="48"/>
        <v>0.12912087912087911</v>
      </c>
      <c r="CP92">
        <f t="shared" si="49"/>
        <v>0</v>
      </c>
      <c r="CQ92">
        <f t="shared" si="50"/>
        <v>0</v>
      </c>
      <c r="CR92">
        <f t="shared" si="51"/>
        <v>0</v>
      </c>
      <c r="CS92">
        <f t="shared" si="52"/>
        <v>1.6730769230769231</v>
      </c>
      <c r="CT92">
        <f t="shared" si="53"/>
        <v>0.32166666666666671</v>
      </c>
      <c r="CU92">
        <f t="shared" si="54"/>
        <v>0</v>
      </c>
      <c r="CV92">
        <f t="shared" si="55"/>
        <v>0</v>
      </c>
      <c r="CW92">
        <f t="shared" si="56"/>
        <v>0</v>
      </c>
      <c r="CX92" t="e">
        <f t="shared" si="57"/>
        <v>#DIV/0!</v>
      </c>
      <c r="CY92">
        <f t="shared" si="58"/>
        <v>0.18076923076923079</v>
      </c>
      <c r="CZ92">
        <f t="shared" si="59"/>
        <v>3.6271186440677958</v>
      </c>
      <c r="DA92">
        <f t="shared" si="60"/>
        <v>0.4507772020725388</v>
      </c>
      <c r="DB92">
        <f t="shared" si="61"/>
        <v>0.14499999999999999</v>
      </c>
      <c r="DC92" t="e">
        <f t="shared" si="62"/>
        <v>#DIV/0!</v>
      </c>
      <c r="DD92">
        <f t="shared" si="63"/>
        <v>1.1950549450549448</v>
      </c>
      <c r="DE92">
        <f t="shared" si="64"/>
        <v>0</v>
      </c>
      <c r="DF92">
        <f t="shared" si="65"/>
        <v>0</v>
      </c>
      <c r="DG92">
        <f t="shared" si="66"/>
        <v>0</v>
      </c>
      <c r="DH92">
        <f t="shared" si="67"/>
        <v>1.5833333333333333</v>
      </c>
      <c r="DI92">
        <f t="shared" si="68"/>
        <v>0</v>
      </c>
      <c r="DJ92">
        <f t="shared" si="69"/>
        <v>4.9166666666666673E-3</v>
      </c>
      <c r="DK92">
        <f t="shared" si="70"/>
        <v>232.41779081153146</v>
      </c>
      <c r="DL92">
        <f t="shared" si="71"/>
        <v>25.178594004582578</v>
      </c>
      <c r="DM92">
        <f t="shared" si="72"/>
        <v>20.142875203666058</v>
      </c>
      <c r="DN92">
        <f t="shared" si="73"/>
        <v>12.72181591810488</v>
      </c>
      <c r="DO92">
        <f t="shared" si="74"/>
        <v>2.1821448137304902</v>
      </c>
      <c r="DP92">
        <f t="shared" si="75"/>
        <v>1.3781967244613622</v>
      </c>
    </row>
    <row r="93" spans="1:120">
      <c r="A93" s="16" t="s">
        <v>641</v>
      </c>
      <c r="B93" s="16" t="s">
        <v>24</v>
      </c>
      <c r="C93" s="122" t="s">
        <v>1801</v>
      </c>
      <c r="D93" s="16" t="s">
        <v>1707</v>
      </c>
      <c r="E93" s="16" t="s">
        <v>237</v>
      </c>
      <c r="F93" s="16" t="s">
        <v>639</v>
      </c>
      <c r="G93" s="16" t="s">
        <v>640</v>
      </c>
      <c r="H93" s="27"/>
      <c r="I93" s="16" t="s">
        <v>712</v>
      </c>
      <c r="J93" s="16" t="s">
        <v>635</v>
      </c>
      <c r="K93" s="16" t="s">
        <v>642</v>
      </c>
      <c r="L93" s="16"/>
      <c r="M93" s="16" t="s">
        <v>625</v>
      </c>
      <c r="N93" s="16" t="s">
        <v>1084</v>
      </c>
      <c r="O93" s="95">
        <v>14.23855857894439</v>
      </c>
      <c r="P93" s="95">
        <v>1.1130140861005828</v>
      </c>
      <c r="Q93" s="95">
        <v>3.2788793347287437</v>
      </c>
      <c r="R93" s="95">
        <v>7.9013972959212531</v>
      </c>
      <c r="S93" s="95">
        <v>12.032584714600894</v>
      </c>
      <c r="T93" s="95">
        <v>29.279289472195508</v>
      </c>
      <c r="U93" s="95">
        <v>0</v>
      </c>
      <c r="V93" s="95">
        <v>17.948605532612998</v>
      </c>
      <c r="W93" s="95">
        <v>10.127425468122418</v>
      </c>
      <c r="X93" s="95">
        <v>3.1485263336539004</v>
      </c>
      <c r="Y93" s="95">
        <v>1.2032584714600894</v>
      </c>
      <c r="Z93" s="95">
        <v>100.27153928834079</v>
      </c>
      <c r="AA93" s="18"/>
      <c r="AB93" s="18"/>
      <c r="AC93" s="18"/>
      <c r="AD93" s="18">
        <v>66.62</v>
      </c>
      <c r="AE93" s="127">
        <v>57.87</v>
      </c>
      <c r="AF93" s="127">
        <v>11.05</v>
      </c>
      <c r="AG93" s="18">
        <v>13.79</v>
      </c>
      <c r="AH93" s="18">
        <v>119.9</v>
      </c>
      <c r="AI93" s="18">
        <v>155.97</v>
      </c>
      <c r="AJ93" s="18">
        <v>12.41</v>
      </c>
      <c r="AK93" s="134">
        <v>2.19</v>
      </c>
      <c r="AL93" s="18">
        <v>1.42</v>
      </c>
      <c r="AM93" s="134">
        <v>41.99</v>
      </c>
      <c r="AN93" s="127">
        <v>3.2000000000000001E-2</v>
      </c>
      <c r="AO93" s="18">
        <v>0.19900000000000001</v>
      </c>
      <c r="AP93" s="18">
        <v>0.9</v>
      </c>
      <c r="AQ93" s="18">
        <v>2.4E-2</v>
      </c>
      <c r="AR93" s="18">
        <v>2.5000000000000001E-2</v>
      </c>
      <c r="AS93" s="18"/>
      <c r="AT93" s="18"/>
      <c r="AU93" s="18"/>
      <c r="AV93" s="18"/>
      <c r="AW93" s="18"/>
      <c r="AX93" s="127">
        <v>0.42299999999999999</v>
      </c>
      <c r="AY93" s="127">
        <v>3.03</v>
      </c>
      <c r="AZ93" s="127">
        <v>3.3000000000000002E-2</v>
      </c>
      <c r="BA93" s="127">
        <v>0.23400000000000001</v>
      </c>
      <c r="BB93" s="18"/>
      <c r="BC93" s="127">
        <v>0.70199999999999996</v>
      </c>
      <c r="BD93" s="18"/>
      <c r="BE93" s="18"/>
      <c r="BF93" s="18"/>
      <c r="BG93" s="18"/>
      <c r="BH93" s="127">
        <v>8.9999999999999993E-3</v>
      </c>
      <c r="BI93" s="127">
        <v>12.07</v>
      </c>
      <c r="BJ93" s="18">
        <v>9.8000000000000004E-2</v>
      </c>
      <c r="BK93" s="127">
        <v>0.71399999999999997</v>
      </c>
      <c r="BL93" s="127">
        <v>0.91500000000000004</v>
      </c>
      <c r="BM93" s="127">
        <v>9.2999999999999999E-2</v>
      </c>
      <c r="BN93" s="127">
        <v>0.30099999999999999</v>
      </c>
      <c r="BO93" s="18">
        <v>2.1000000000000001E-2</v>
      </c>
      <c r="BP93" s="18">
        <v>1.0999999999999999E-2</v>
      </c>
      <c r="BQ93" s="18">
        <v>1.4999999999999999E-2</v>
      </c>
      <c r="BR93" s="18">
        <v>1.0999999999999999E-2</v>
      </c>
      <c r="BS93" s="18">
        <v>3.0000000000000001E-3</v>
      </c>
      <c r="BT93" s="18">
        <v>1.0999999999999999E-2</v>
      </c>
      <c r="BU93" s="18"/>
      <c r="BV93" s="18">
        <v>1.2E-2</v>
      </c>
      <c r="BW93" s="18">
        <v>2E-3</v>
      </c>
      <c r="BX93" s="18">
        <v>8.9999999999999993E-3</v>
      </c>
      <c r="BY93" s="127">
        <v>1.6E-2</v>
      </c>
      <c r="BZ93" s="18">
        <v>3.5999999999999997E-2</v>
      </c>
      <c r="CA93" s="127">
        <v>0.06</v>
      </c>
      <c r="CB93" s="127">
        <v>0.11</v>
      </c>
      <c r="CC93" s="127">
        <v>2.4E-2</v>
      </c>
      <c r="CE93">
        <f t="shared" si="38"/>
        <v>3.9834983498349836</v>
      </c>
      <c r="CF93">
        <f t="shared" si="39"/>
        <v>16.904761904761905</v>
      </c>
      <c r="CG93">
        <f t="shared" si="40"/>
        <v>4.2436974789915967</v>
      </c>
      <c r="CH93">
        <f t="shared" si="41"/>
        <v>0.78032786885245897</v>
      </c>
      <c r="CI93">
        <f t="shared" si="42"/>
        <v>81.050420168067234</v>
      </c>
      <c r="CJ93">
        <f t="shared" si="43"/>
        <v>5.2371040723981892</v>
      </c>
      <c r="CK93">
        <f t="shared" si="44"/>
        <v>63.245901639344254</v>
      </c>
      <c r="CL93">
        <f t="shared" si="45"/>
        <v>3.3114754098360653</v>
      </c>
      <c r="CM93">
        <f t="shared" si="46"/>
        <v>13.191256830601093</v>
      </c>
      <c r="CN93">
        <f t="shared" si="47"/>
        <v>13.191256830601093</v>
      </c>
      <c r="CO93">
        <f t="shared" si="48"/>
        <v>1.7486338797814208E-2</v>
      </c>
      <c r="CP93">
        <f t="shared" si="49"/>
        <v>2.5</v>
      </c>
      <c r="CQ93">
        <f t="shared" si="50"/>
        <v>8.4033613445378158E-2</v>
      </c>
      <c r="CR93">
        <f t="shared" si="51"/>
        <v>0.98319327731092432</v>
      </c>
      <c r="CS93">
        <f t="shared" si="52"/>
        <v>0.32773109243697485</v>
      </c>
      <c r="CT93">
        <f t="shared" si="53"/>
        <v>0.13960396039603962</v>
      </c>
      <c r="CU93">
        <f t="shared" si="54"/>
        <v>4.6218487394957986E-2</v>
      </c>
      <c r="CV93">
        <f t="shared" si="55"/>
        <v>1.37818528221005</v>
      </c>
      <c r="CW93">
        <f t="shared" si="56"/>
        <v>4.4817927170868348E-2</v>
      </c>
      <c r="CX93">
        <f t="shared" si="57"/>
        <v>0.33333333333333337</v>
      </c>
      <c r="CY93">
        <f t="shared" si="58"/>
        <v>2.2408963585434174E-2</v>
      </c>
      <c r="CZ93">
        <f t="shared" si="59"/>
        <v>4.583333333333333</v>
      </c>
      <c r="DA93">
        <f t="shared" si="60"/>
        <v>0.55319148936170215</v>
      </c>
      <c r="DB93">
        <f t="shared" si="61"/>
        <v>7.7227722772277241E-2</v>
      </c>
      <c r="DC93">
        <f t="shared" si="62"/>
        <v>7.0909090909090908</v>
      </c>
      <c r="DD93">
        <f t="shared" si="63"/>
        <v>0.25573770491803277</v>
      </c>
      <c r="DE93">
        <f t="shared" si="64"/>
        <v>15.476190476190478</v>
      </c>
      <c r="DF93">
        <f t="shared" si="65"/>
        <v>3.6468646864686471</v>
      </c>
      <c r="DG93">
        <f t="shared" si="66"/>
        <v>19.099009900990101</v>
      </c>
      <c r="DH93">
        <f t="shared" si="67"/>
        <v>3.9834983498349836</v>
      </c>
      <c r="DI93">
        <f t="shared" si="68"/>
        <v>0.23168316831683169</v>
      </c>
      <c r="DJ93">
        <f t="shared" si="69"/>
        <v>7.9207920792079209E-3</v>
      </c>
      <c r="DK93">
        <f t="shared" si="70"/>
        <v>16.852359544258956</v>
      </c>
      <c r="DL93">
        <f t="shared" si="71"/>
        <v>4.5922679758105653</v>
      </c>
      <c r="DM93">
        <f t="shared" si="72"/>
        <v>3.9711500708253777</v>
      </c>
      <c r="DN93">
        <f t="shared" si="73"/>
        <v>0.99690014205475508</v>
      </c>
      <c r="DO93">
        <f t="shared" si="74"/>
        <v>1.0821383942999154</v>
      </c>
      <c r="DP93">
        <f t="shared" si="75"/>
        <v>0.27165528870992078</v>
      </c>
    </row>
    <row r="94" spans="1:120">
      <c r="A94" s="16" t="s">
        <v>641</v>
      </c>
      <c r="B94" s="16" t="s">
        <v>24</v>
      </c>
      <c r="C94" s="122" t="s">
        <v>1801</v>
      </c>
      <c r="D94" s="16" t="s">
        <v>1707</v>
      </c>
      <c r="E94" s="16" t="s">
        <v>237</v>
      </c>
      <c r="F94" s="16" t="s">
        <v>639</v>
      </c>
      <c r="G94" s="16" t="s">
        <v>640</v>
      </c>
      <c r="H94" s="27"/>
      <c r="I94" s="16" t="s">
        <v>712</v>
      </c>
      <c r="J94" s="16" t="s">
        <v>635</v>
      </c>
      <c r="K94" s="16" t="s">
        <v>642</v>
      </c>
      <c r="L94" s="16"/>
      <c r="M94" s="16" t="s">
        <v>626</v>
      </c>
      <c r="N94" s="16" t="s">
        <v>1084</v>
      </c>
      <c r="O94" s="95">
        <v>13.954975517797971</v>
      </c>
      <c r="P94" s="95">
        <v>4.3872836699839661</v>
      </c>
      <c r="Q94" s="95">
        <v>2.5600854367183326</v>
      </c>
      <c r="R94" s="95">
        <v>6.8570131501122402</v>
      </c>
      <c r="S94" s="95">
        <v>8.9653188038802796</v>
      </c>
      <c r="T94" s="95">
        <v>40.660180465526466</v>
      </c>
      <c r="U94" s="95">
        <v>0</v>
      </c>
      <c r="V94" s="95">
        <v>10.441132761517906</v>
      </c>
      <c r="W94" s="95">
        <v>9.5877709492784629</v>
      </c>
      <c r="X94" s="95">
        <v>1.1947065371352217</v>
      </c>
      <c r="Y94" s="95">
        <v>1.7970795810689473</v>
      </c>
      <c r="Z94" s="95">
        <v>100.40554687301979</v>
      </c>
      <c r="AA94" s="18"/>
      <c r="AB94" s="18"/>
      <c r="AC94" s="18"/>
      <c r="AD94" s="18">
        <v>13.71</v>
      </c>
      <c r="AE94" s="127">
        <v>12.64</v>
      </c>
      <c r="AF94" s="127">
        <v>3.25</v>
      </c>
      <c r="AG94" s="18">
        <v>7.35</v>
      </c>
      <c r="AH94" s="18">
        <v>37.229999999999997</v>
      </c>
      <c r="AI94" s="18">
        <v>67.37</v>
      </c>
      <c r="AJ94" s="18">
        <v>5.0199999999999996</v>
      </c>
      <c r="AK94" s="134">
        <v>1.74</v>
      </c>
      <c r="AL94" s="18">
        <v>0.504</v>
      </c>
      <c r="AM94" s="134">
        <v>11.51</v>
      </c>
      <c r="AN94" s="127">
        <v>2.1000000000000001E-2</v>
      </c>
      <c r="AO94" s="18">
        <v>0.122</v>
      </c>
      <c r="AP94" s="18">
        <v>0.62</v>
      </c>
      <c r="AQ94" s="18">
        <v>8.9999999999999993E-3</v>
      </c>
      <c r="AR94" s="18">
        <v>1.4E-2</v>
      </c>
      <c r="AS94" s="18"/>
      <c r="AT94" s="18"/>
      <c r="AU94" s="18"/>
      <c r="AV94" s="18"/>
      <c r="AW94" s="18"/>
      <c r="AX94" s="127">
        <v>0.13400000000000001</v>
      </c>
      <c r="AY94" s="127">
        <v>0.85</v>
      </c>
      <c r="AZ94" s="127">
        <v>1.2E-2</v>
      </c>
      <c r="BA94" s="127">
        <v>6.7000000000000004E-2</v>
      </c>
      <c r="BB94" s="18"/>
      <c r="BC94" s="127">
        <v>0.24099999999999999</v>
      </c>
      <c r="BD94" s="18"/>
      <c r="BE94" s="18"/>
      <c r="BF94" s="18"/>
      <c r="BG94" s="18"/>
      <c r="BH94" s="127">
        <v>3.0000000000000001E-3</v>
      </c>
      <c r="BI94" s="127">
        <v>5.71</v>
      </c>
      <c r="BJ94" s="18">
        <v>5.8999999999999997E-2</v>
      </c>
      <c r="BK94" s="127">
        <v>0.29799999999999999</v>
      </c>
      <c r="BL94" s="127">
        <v>0.34699999999999998</v>
      </c>
      <c r="BM94" s="127">
        <v>2.7E-2</v>
      </c>
      <c r="BN94" s="127">
        <v>0.11</v>
      </c>
      <c r="BO94" s="18">
        <v>1.9E-2</v>
      </c>
      <c r="BP94" s="18">
        <v>6.0000000000000001E-3</v>
      </c>
      <c r="BQ94" s="18">
        <v>1.9E-2</v>
      </c>
      <c r="BR94" s="18">
        <v>0.01</v>
      </c>
      <c r="BS94" s="18">
        <v>3.0000000000000001E-3</v>
      </c>
      <c r="BT94" s="18">
        <v>1.2E-2</v>
      </c>
      <c r="BU94" s="18"/>
      <c r="BV94" s="18">
        <v>1.7000000000000001E-2</v>
      </c>
      <c r="BW94" s="18">
        <v>3.0000000000000001E-3</v>
      </c>
      <c r="BX94" s="18">
        <v>1.0999999999999999E-2</v>
      </c>
      <c r="BY94" s="127">
        <v>0.01</v>
      </c>
      <c r="BZ94" s="18">
        <v>0.03</v>
      </c>
      <c r="CA94" s="127">
        <v>3.3000000000000002E-2</v>
      </c>
      <c r="CB94" s="127">
        <v>4.1000000000000002E-2</v>
      </c>
      <c r="CC94" s="127">
        <v>0.01</v>
      </c>
      <c r="CE94">
        <f t="shared" si="38"/>
        <v>6.7176470588235295</v>
      </c>
      <c r="CF94">
        <f t="shared" si="39"/>
        <v>19.161073825503358</v>
      </c>
      <c r="CG94">
        <f t="shared" si="40"/>
        <v>2.8523489932885906</v>
      </c>
      <c r="CH94">
        <f t="shared" si="41"/>
        <v>0.85878962536023062</v>
      </c>
      <c r="CI94">
        <f t="shared" si="42"/>
        <v>42.416107382550337</v>
      </c>
      <c r="CJ94">
        <f t="shared" si="43"/>
        <v>3.8892307692307693</v>
      </c>
      <c r="CK94">
        <f t="shared" si="44"/>
        <v>36.426512968299718</v>
      </c>
      <c r="CL94">
        <f t="shared" si="45"/>
        <v>2.4495677233429394</v>
      </c>
      <c r="CM94">
        <f t="shared" si="46"/>
        <v>16.455331412103746</v>
      </c>
      <c r="CN94">
        <f t="shared" si="47"/>
        <v>16.455331412103746</v>
      </c>
      <c r="CO94">
        <f t="shared" si="48"/>
        <v>2.8818443804034585E-2</v>
      </c>
      <c r="CP94">
        <f t="shared" si="49"/>
        <v>3.3000000000000003</v>
      </c>
      <c r="CQ94">
        <f t="shared" si="50"/>
        <v>0.11073825503355705</v>
      </c>
      <c r="CR94">
        <f t="shared" si="51"/>
        <v>0.8087248322147651</v>
      </c>
      <c r="CS94">
        <f t="shared" si="52"/>
        <v>0.22483221476510071</v>
      </c>
      <c r="CT94">
        <f t="shared" si="53"/>
        <v>0.15764705882352942</v>
      </c>
      <c r="CU94">
        <f t="shared" si="54"/>
        <v>4.0268456375838931E-2</v>
      </c>
      <c r="CV94">
        <f t="shared" si="55"/>
        <v>1.0981754995655952</v>
      </c>
      <c r="CW94">
        <f t="shared" si="56"/>
        <v>7.046979865771813E-2</v>
      </c>
      <c r="CX94">
        <f t="shared" si="57"/>
        <v>0.27800829875518673</v>
      </c>
      <c r="CY94">
        <f t="shared" si="58"/>
        <v>3.3557046979865772E-2</v>
      </c>
      <c r="CZ94">
        <f t="shared" si="59"/>
        <v>4.0999999999999996</v>
      </c>
      <c r="DA94">
        <f t="shared" si="60"/>
        <v>0.5</v>
      </c>
      <c r="DB94">
        <f t="shared" si="61"/>
        <v>7.8823529411764709E-2</v>
      </c>
      <c r="DC94">
        <f t="shared" si="62"/>
        <v>5.5833333333333339</v>
      </c>
      <c r="DD94">
        <f t="shared" si="63"/>
        <v>0.19308357348703173</v>
      </c>
      <c r="DE94">
        <f t="shared" si="64"/>
        <v>10.906040268456376</v>
      </c>
      <c r="DF94">
        <f t="shared" si="65"/>
        <v>3.8235294117647061</v>
      </c>
      <c r="DG94">
        <f t="shared" si="66"/>
        <v>14.870588235294118</v>
      </c>
      <c r="DH94">
        <f t="shared" si="67"/>
        <v>6.7176470588235295</v>
      </c>
      <c r="DI94">
        <f t="shared" si="68"/>
        <v>0.28352941176470586</v>
      </c>
      <c r="DJ94">
        <f t="shared" si="69"/>
        <v>1.1764705882352941E-2</v>
      </c>
      <c r="DK94">
        <f t="shared" si="70"/>
        <v>30.084962429128456</v>
      </c>
      <c r="DL94">
        <f t="shared" si="71"/>
        <v>8.5908907272427264</v>
      </c>
      <c r="DM94">
        <f t="shared" si="72"/>
        <v>10.547433886917977</v>
      </c>
      <c r="DN94">
        <f t="shared" si="73"/>
        <v>1.5701083719580176</v>
      </c>
      <c r="DO94">
        <f t="shared" si="74"/>
        <v>3.0118652196686266</v>
      </c>
      <c r="DP94">
        <f t="shared" si="75"/>
        <v>0.44835121483683582</v>
      </c>
    </row>
    <row r="95" spans="1:120">
      <c r="A95" s="16" t="s">
        <v>641</v>
      </c>
      <c r="B95" s="16" t="s">
        <v>24</v>
      </c>
      <c r="C95" s="122" t="s">
        <v>1801</v>
      </c>
      <c r="D95" s="16" t="s">
        <v>1707</v>
      </c>
      <c r="E95" s="16" t="s">
        <v>237</v>
      </c>
      <c r="F95" s="16" t="s">
        <v>639</v>
      </c>
      <c r="G95" s="16" t="s">
        <v>640</v>
      </c>
      <c r="H95" s="27"/>
      <c r="I95" s="16" t="s">
        <v>712</v>
      </c>
      <c r="J95" s="16" t="s">
        <v>635</v>
      </c>
      <c r="K95" s="16" t="s">
        <v>642</v>
      </c>
      <c r="L95" s="16"/>
      <c r="M95" s="16" t="s">
        <v>620</v>
      </c>
      <c r="N95" s="16" t="s">
        <v>1084</v>
      </c>
      <c r="O95" s="95">
        <v>13.200142349320915</v>
      </c>
      <c r="P95" s="95">
        <v>1.5215431257614183</v>
      </c>
      <c r="Q95" s="95">
        <v>1.9548302410444713</v>
      </c>
      <c r="R95" s="95">
        <v>9.713692537973559</v>
      </c>
      <c r="S95" s="95">
        <v>14.308551248882212</v>
      </c>
      <c r="T95" s="95">
        <v>37.585138139669475</v>
      </c>
      <c r="U95" s="95">
        <v>0.21160533537079329</v>
      </c>
      <c r="V95" s="95">
        <v>7.1643520689825726</v>
      </c>
      <c r="W95" s="95">
        <v>8.8571947519489189</v>
      </c>
      <c r="X95" s="95">
        <v>3.2748444759765629</v>
      </c>
      <c r="Y95" s="95">
        <v>2.8516338052349761</v>
      </c>
      <c r="Z95" s="95">
        <v>100.64352808016588</v>
      </c>
      <c r="AA95" s="18"/>
      <c r="AB95" s="18"/>
      <c r="AC95" s="18"/>
      <c r="AD95" s="18">
        <v>101.24</v>
      </c>
      <c r="AE95" s="127">
        <v>78.180000000000007</v>
      </c>
      <c r="AF95" s="127">
        <v>11.98</v>
      </c>
      <c r="AG95" s="18">
        <v>20.59</v>
      </c>
      <c r="AH95" s="18">
        <v>193.9</v>
      </c>
      <c r="AI95" s="18">
        <v>206.48</v>
      </c>
      <c r="AJ95" s="18">
        <v>15.07</v>
      </c>
      <c r="AK95" s="134">
        <v>1.94</v>
      </c>
      <c r="AL95" s="18">
        <v>3.76</v>
      </c>
      <c r="AM95" s="134">
        <v>74.06</v>
      </c>
      <c r="AN95" s="127">
        <v>5.5E-2</v>
      </c>
      <c r="AO95" s="18">
        <v>0.188</v>
      </c>
      <c r="AP95" s="18">
        <v>1.4</v>
      </c>
      <c r="AQ95" s="18">
        <v>0.05</v>
      </c>
      <c r="AR95" s="18">
        <v>2.9000000000000001E-2</v>
      </c>
      <c r="AS95" s="18"/>
      <c r="AT95" s="18"/>
      <c r="AU95" s="18"/>
      <c r="AV95" s="18"/>
      <c r="AW95" s="18"/>
      <c r="AX95" s="127">
        <v>0.65600000000000003</v>
      </c>
      <c r="AY95" s="127">
        <v>4.54</v>
      </c>
      <c r="AZ95" s="127">
        <v>4.3999999999999997E-2</v>
      </c>
      <c r="BA95" s="127">
        <v>0.28799999999999998</v>
      </c>
      <c r="BB95" s="18"/>
      <c r="BC95" s="127">
        <v>1.2749999999999999</v>
      </c>
      <c r="BD95" s="18"/>
      <c r="BE95" s="18"/>
      <c r="BF95" s="18"/>
      <c r="BG95" s="18"/>
      <c r="BH95" s="127">
        <v>1.2E-2</v>
      </c>
      <c r="BI95" s="127">
        <v>30.58</v>
      </c>
      <c r="BJ95" s="18">
        <v>0.10100000000000001</v>
      </c>
      <c r="BK95" s="127">
        <v>1.544</v>
      </c>
      <c r="BL95" s="127">
        <v>1.736</v>
      </c>
      <c r="BM95" s="127">
        <v>0.16800000000000001</v>
      </c>
      <c r="BN95" s="127">
        <v>0.48899999999999999</v>
      </c>
      <c r="BO95" s="18">
        <v>4.7E-2</v>
      </c>
      <c r="BP95" s="18">
        <v>0.01</v>
      </c>
      <c r="BQ95" s="18">
        <v>1.4E-2</v>
      </c>
      <c r="BR95" s="18">
        <v>8.0000000000000002E-3</v>
      </c>
      <c r="BS95" s="18">
        <v>2E-3</v>
      </c>
      <c r="BT95" s="18">
        <v>8.9999999999999993E-3</v>
      </c>
      <c r="BU95" s="18"/>
      <c r="BV95" s="18">
        <v>1.2E-2</v>
      </c>
      <c r="BW95" s="18">
        <v>2E-3</v>
      </c>
      <c r="BX95" s="18">
        <v>8.0000000000000002E-3</v>
      </c>
      <c r="BY95" s="127">
        <v>4.2000000000000003E-2</v>
      </c>
      <c r="BZ95" s="18">
        <v>6.5000000000000002E-2</v>
      </c>
      <c r="CA95" s="127">
        <v>0.106</v>
      </c>
      <c r="CB95" s="127">
        <v>0.30499999999999999</v>
      </c>
      <c r="CC95" s="127">
        <v>4.7E-2</v>
      </c>
      <c r="CE95">
        <f t="shared" si="38"/>
        <v>6.7356828193832596</v>
      </c>
      <c r="CF95">
        <f t="shared" si="39"/>
        <v>19.805699481865283</v>
      </c>
      <c r="CG95">
        <f t="shared" si="40"/>
        <v>2.9404145077720205</v>
      </c>
      <c r="CH95">
        <f t="shared" si="41"/>
        <v>0.88940092165898621</v>
      </c>
      <c r="CI95">
        <f t="shared" si="42"/>
        <v>50.634715025906736</v>
      </c>
      <c r="CJ95">
        <f t="shared" si="43"/>
        <v>6.5258764607679467</v>
      </c>
      <c r="CK95">
        <f t="shared" si="44"/>
        <v>45.034562211981573</v>
      </c>
      <c r="CL95">
        <f t="shared" si="45"/>
        <v>2.6152073732718892</v>
      </c>
      <c r="CM95">
        <f t="shared" si="46"/>
        <v>17.61520737327189</v>
      </c>
      <c r="CN95">
        <f t="shared" si="47"/>
        <v>17.61520737327189</v>
      </c>
      <c r="CO95">
        <f t="shared" si="48"/>
        <v>2.4193548387096777E-2</v>
      </c>
      <c r="CP95">
        <f t="shared" si="49"/>
        <v>2.2553191489361701</v>
      </c>
      <c r="CQ95">
        <f t="shared" si="50"/>
        <v>6.8652849740932637E-2</v>
      </c>
      <c r="CR95">
        <f t="shared" si="51"/>
        <v>0.8257772020725388</v>
      </c>
      <c r="CS95">
        <f t="shared" si="52"/>
        <v>0.18652849740932639</v>
      </c>
      <c r="CT95">
        <f t="shared" si="53"/>
        <v>0.14449339207048459</v>
      </c>
      <c r="CU95">
        <f t="shared" si="54"/>
        <v>2.8497409326424868E-2</v>
      </c>
      <c r="CV95">
        <f t="shared" si="55"/>
        <v>1.0556305698082635</v>
      </c>
      <c r="CW95">
        <f t="shared" si="56"/>
        <v>3.562176165803109E-2</v>
      </c>
      <c r="CX95">
        <f t="shared" si="57"/>
        <v>0.22588235294117648</v>
      </c>
      <c r="CY95">
        <f t="shared" si="58"/>
        <v>2.7202072538860103E-2</v>
      </c>
      <c r="CZ95">
        <f t="shared" si="59"/>
        <v>6.4893617021276597</v>
      </c>
      <c r="DA95">
        <f t="shared" si="60"/>
        <v>0.43902439024390238</v>
      </c>
      <c r="DB95">
        <f t="shared" si="61"/>
        <v>6.3436123348017612E-2</v>
      </c>
      <c r="DC95">
        <f t="shared" si="62"/>
        <v>6.545454545454545</v>
      </c>
      <c r="DD95">
        <f t="shared" si="63"/>
        <v>0.16589861751152071</v>
      </c>
      <c r="DE95">
        <f t="shared" si="64"/>
        <v>7.7590673575129534</v>
      </c>
      <c r="DF95">
        <f t="shared" si="65"/>
        <v>2.6387665198237884</v>
      </c>
      <c r="DG95">
        <f t="shared" si="66"/>
        <v>17.220264317180618</v>
      </c>
      <c r="DH95">
        <f t="shared" si="67"/>
        <v>6.7356828193832596</v>
      </c>
      <c r="DI95">
        <f t="shared" si="68"/>
        <v>0.28083700440528631</v>
      </c>
      <c r="DJ95">
        <f t="shared" si="69"/>
        <v>1.0352422907488987E-2</v>
      </c>
      <c r="DK95">
        <f t="shared" si="70"/>
        <v>9.2671964047164579</v>
      </c>
      <c r="DL95">
        <f t="shared" si="71"/>
        <v>1.2660817623345022</v>
      </c>
      <c r="DM95">
        <f t="shared" si="72"/>
        <v>3.1516632706789012</v>
      </c>
      <c r="DN95">
        <f t="shared" si="73"/>
        <v>0.46790553462662565</v>
      </c>
      <c r="DO95">
        <f t="shared" si="74"/>
        <v>0.4305793482476809</v>
      </c>
      <c r="DP95">
        <f t="shared" si="75"/>
        <v>6.3925122336313644E-2</v>
      </c>
    </row>
    <row r="96" spans="1:120">
      <c r="A96" s="16" t="s">
        <v>641</v>
      </c>
      <c r="B96" s="16" t="s">
        <v>24</v>
      </c>
      <c r="C96" s="122" t="s">
        <v>1801</v>
      </c>
      <c r="D96" s="16" t="s">
        <v>1707</v>
      </c>
      <c r="E96" s="16" t="s">
        <v>237</v>
      </c>
      <c r="F96" s="16" t="s">
        <v>639</v>
      </c>
      <c r="G96" s="16" t="s">
        <v>640</v>
      </c>
      <c r="H96" s="27"/>
      <c r="I96" s="16" t="s">
        <v>712</v>
      </c>
      <c r="J96" s="16" t="s">
        <v>635</v>
      </c>
      <c r="K96" s="16" t="s">
        <v>642</v>
      </c>
      <c r="L96" s="16" t="s">
        <v>161</v>
      </c>
      <c r="M96" s="16" t="s">
        <v>621</v>
      </c>
      <c r="N96" s="16" t="s">
        <v>1084</v>
      </c>
      <c r="O96" s="95">
        <v>18.620940479106391</v>
      </c>
      <c r="P96" s="95">
        <v>1.8924542769526604</v>
      </c>
      <c r="Q96" s="95">
        <v>5.404120769479789</v>
      </c>
      <c r="R96" s="95">
        <v>4.4022332110930869</v>
      </c>
      <c r="S96" s="95">
        <v>5.2320794715750019</v>
      </c>
      <c r="T96" s="95">
        <v>44.7307374552447</v>
      </c>
      <c r="U96" s="95">
        <v>0</v>
      </c>
      <c r="V96" s="95">
        <v>5.7178431362473434</v>
      </c>
      <c r="W96" s="95">
        <v>7.488856497031918</v>
      </c>
      <c r="X96" s="95">
        <v>5.0296779446281938</v>
      </c>
      <c r="Y96" s="95">
        <v>1.9126944296473412</v>
      </c>
      <c r="Z96" s="95">
        <v>100.43163767100643</v>
      </c>
      <c r="AA96" s="18"/>
      <c r="AB96" s="18"/>
      <c r="AC96" s="18"/>
      <c r="AD96" s="18">
        <v>37.81</v>
      </c>
      <c r="AE96" s="127">
        <v>30.64</v>
      </c>
      <c r="AF96" s="127">
        <v>7.23</v>
      </c>
      <c r="AG96" s="18">
        <v>11.81</v>
      </c>
      <c r="AH96" s="18">
        <v>82.93</v>
      </c>
      <c r="AI96" s="18">
        <v>139.69</v>
      </c>
      <c r="AJ96" s="18">
        <v>7.47</v>
      </c>
      <c r="AK96" s="134">
        <v>1.9</v>
      </c>
      <c r="AL96" s="18">
        <v>1.33</v>
      </c>
      <c r="AM96" s="134">
        <v>30.06</v>
      </c>
      <c r="AN96" s="127">
        <v>0.04</v>
      </c>
      <c r="AO96" s="18">
        <v>7.4999999999999997E-2</v>
      </c>
      <c r="AP96" s="18">
        <v>1.31</v>
      </c>
      <c r="AQ96" s="18">
        <v>0.01</v>
      </c>
      <c r="AR96" s="18">
        <v>1.4E-2</v>
      </c>
      <c r="AS96" s="18"/>
      <c r="AT96" s="18"/>
      <c r="AU96" s="18"/>
      <c r="AV96" s="18"/>
      <c r="AW96" s="18"/>
      <c r="AX96" s="127">
        <v>0.23</v>
      </c>
      <c r="AY96" s="127">
        <v>2.2000000000000002</v>
      </c>
      <c r="AZ96" s="127">
        <v>2.8000000000000001E-2</v>
      </c>
      <c r="BA96" s="127">
        <v>0.13400000000000001</v>
      </c>
      <c r="BB96" s="18"/>
      <c r="BC96" s="127">
        <v>0.41899999999999998</v>
      </c>
      <c r="BD96" s="18"/>
      <c r="BE96" s="18"/>
      <c r="BF96" s="18"/>
      <c r="BG96" s="18"/>
      <c r="BH96" s="127">
        <v>0.01</v>
      </c>
      <c r="BI96" s="127">
        <v>12.67</v>
      </c>
      <c r="BJ96" s="18">
        <v>7.0000000000000007E-2</v>
      </c>
      <c r="BK96" s="127">
        <v>0.73</v>
      </c>
      <c r="BL96" s="127">
        <v>0.82</v>
      </c>
      <c r="BM96" s="127">
        <v>7.0000000000000007E-2</v>
      </c>
      <c r="BN96" s="127">
        <v>0.26300000000000001</v>
      </c>
      <c r="BO96" s="18">
        <v>1.7999999999999999E-2</v>
      </c>
      <c r="BP96" s="18">
        <v>6.0000000000000001E-3</v>
      </c>
      <c r="BQ96" s="18">
        <v>1.7999999999999999E-2</v>
      </c>
      <c r="BR96" s="18">
        <v>0.01</v>
      </c>
      <c r="BS96" s="18">
        <v>3.0000000000000001E-3</v>
      </c>
      <c r="BT96" s="18">
        <v>1.2999999999999999E-2</v>
      </c>
      <c r="BU96" s="18"/>
      <c r="BV96" s="18">
        <v>1.4999999999999999E-2</v>
      </c>
      <c r="BW96" s="18">
        <v>3.0000000000000001E-3</v>
      </c>
      <c r="BX96" s="18">
        <v>8.0000000000000002E-3</v>
      </c>
      <c r="BY96" s="127">
        <v>6.0000000000000001E-3</v>
      </c>
      <c r="BZ96" s="18">
        <v>4.5999999999999999E-2</v>
      </c>
      <c r="CA96" s="127">
        <v>5.6000000000000001E-2</v>
      </c>
      <c r="CB96" s="127">
        <v>0.158</v>
      </c>
      <c r="CC96" s="127">
        <v>2.3E-2</v>
      </c>
      <c r="CE96">
        <f t="shared" si="38"/>
        <v>5.7590909090909088</v>
      </c>
      <c r="CF96">
        <f t="shared" si="39"/>
        <v>17.356164383561644</v>
      </c>
      <c r="CG96">
        <f t="shared" si="40"/>
        <v>3.0136986301369868</v>
      </c>
      <c r="CH96">
        <f t="shared" si="41"/>
        <v>0.8902439024390244</v>
      </c>
      <c r="CI96">
        <f t="shared" si="42"/>
        <v>41.972602739726028</v>
      </c>
      <c r="CJ96">
        <f t="shared" si="43"/>
        <v>4.2378976486860305</v>
      </c>
      <c r="CK96">
        <f t="shared" si="44"/>
        <v>37.365853658536587</v>
      </c>
      <c r="CL96">
        <f t="shared" si="45"/>
        <v>2.6829268292682928</v>
      </c>
      <c r="CM96">
        <f t="shared" si="46"/>
        <v>15.451219512195122</v>
      </c>
      <c r="CN96">
        <f t="shared" si="47"/>
        <v>15.451219512195122</v>
      </c>
      <c r="CO96">
        <f t="shared" si="48"/>
        <v>7.3170731707317077E-3</v>
      </c>
      <c r="CP96">
        <f t="shared" si="49"/>
        <v>2.4347826086956523</v>
      </c>
      <c r="CQ96">
        <f t="shared" si="50"/>
        <v>7.6712328767123292E-2</v>
      </c>
      <c r="CR96">
        <f t="shared" si="51"/>
        <v>0.57397260273972606</v>
      </c>
      <c r="CS96">
        <f t="shared" si="52"/>
        <v>0.18356164383561646</v>
      </c>
      <c r="CT96">
        <f t="shared" si="53"/>
        <v>0.10454545454545454</v>
      </c>
      <c r="CU96">
        <f t="shared" si="54"/>
        <v>3.8356164383561646E-2</v>
      </c>
      <c r="CV96">
        <f t="shared" si="55"/>
        <v>1.0192947438456421</v>
      </c>
      <c r="CW96">
        <f t="shared" si="56"/>
        <v>5.4794520547945209E-2</v>
      </c>
      <c r="CX96">
        <f t="shared" si="57"/>
        <v>0.31980906921241053</v>
      </c>
      <c r="CY96">
        <f t="shared" si="58"/>
        <v>8.2191780821917818E-3</v>
      </c>
      <c r="CZ96">
        <f t="shared" si="59"/>
        <v>6.8695652173913047</v>
      </c>
      <c r="DA96">
        <f t="shared" si="60"/>
        <v>0.58260869565217388</v>
      </c>
      <c r="DB96">
        <f t="shared" si="61"/>
        <v>6.0909090909090906E-2</v>
      </c>
      <c r="DC96">
        <f t="shared" si="62"/>
        <v>4.7857142857142856</v>
      </c>
      <c r="DD96">
        <f t="shared" si="63"/>
        <v>0.16341463414634147</v>
      </c>
      <c r="DE96">
        <f t="shared" si="64"/>
        <v>9.9041095890410968</v>
      </c>
      <c r="DF96">
        <f t="shared" si="65"/>
        <v>3.2863636363636362</v>
      </c>
      <c r="DG96">
        <f t="shared" si="66"/>
        <v>13.927272727272726</v>
      </c>
      <c r="DH96">
        <f t="shared" si="67"/>
        <v>5.7590909090909088</v>
      </c>
      <c r="DI96">
        <f t="shared" si="68"/>
        <v>0.19045454545454543</v>
      </c>
      <c r="DJ96">
        <f t="shared" si="69"/>
        <v>1.0454545454545454E-2</v>
      </c>
      <c r="DK96">
        <f t="shared" si="70"/>
        <v>7.1672321528424687</v>
      </c>
      <c r="DL96">
        <f t="shared" si="71"/>
        <v>7.402905163670944</v>
      </c>
      <c r="DM96">
        <f t="shared" si="72"/>
        <v>2.3782179416250004</v>
      </c>
      <c r="DN96">
        <f t="shared" si="73"/>
        <v>0.41295023453630636</v>
      </c>
      <c r="DO96">
        <f t="shared" si="74"/>
        <v>2.456418531581722</v>
      </c>
      <c r="DP96">
        <f t="shared" si="75"/>
        <v>0.4265288689407884</v>
      </c>
    </row>
    <row r="97" spans="1:120">
      <c r="A97" s="16" t="s">
        <v>672</v>
      </c>
      <c r="B97" s="16" t="s">
        <v>24</v>
      </c>
      <c r="C97" s="122" t="s">
        <v>1801</v>
      </c>
      <c r="D97" s="16" t="s">
        <v>1723</v>
      </c>
      <c r="E97" s="16" t="s">
        <v>237</v>
      </c>
      <c r="F97" s="16" t="s">
        <v>29</v>
      </c>
      <c r="G97" s="16" t="s">
        <v>595</v>
      </c>
      <c r="H97" s="27">
        <v>360</v>
      </c>
      <c r="I97" s="16" t="s">
        <v>735</v>
      </c>
      <c r="J97" s="16" t="s">
        <v>1496</v>
      </c>
      <c r="K97" s="16"/>
      <c r="L97" s="16"/>
      <c r="M97" s="16" t="s">
        <v>72</v>
      </c>
      <c r="N97" s="16">
        <v>24</v>
      </c>
      <c r="O97" s="95">
        <v>10.63593348387082</v>
      </c>
      <c r="P97" s="95">
        <v>2.6641464454744379</v>
      </c>
      <c r="Q97" s="95">
        <v>5.1114437616660737</v>
      </c>
      <c r="R97" s="95">
        <v>24.514277757970216</v>
      </c>
      <c r="S97" s="95">
        <v>13.217470737237525</v>
      </c>
      <c r="T97" s="95">
        <v>17.389234938678115</v>
      </c>
      <c r="U97" s="95">
        <v>0</v>
      </c>
      <c r="V97" s="95">
        <v>6.7946060508611641</v>
      </c>
      <c r="W97" s="95">
        <v>13.702799740870461</v>
      </c>
      <c r="X97" s="95">
        <v>2.7157771905417722</v>
      </c>
      <c r="Y97" s="95">
        <v>4.2027426484809931</v>
      </c>
      <c r="Z97" s="95">
        <v>100.94843275565158</v>
      </c>
      <c r="AA97" s="18"/>
      <c r="AB97" s="18"/>
      <c r="AC97" s="18"/>
      <c r="AD97" s="18">
        <v>74</v>
      </c>
      <c r="AE97" s="127">
        <v>75</v>
      </c>
      <c r="AF97" s="127">
        <v>9</v>
      </c>
      <c r="AG97" s="18"/>
      <c r="AH97" s="18">
        <v>188</v>
      </c>
      <c r="AI97" s="18">
        <v>98</v>
      </c>
      <c r="AJ97" s="18">
        <v>15.08</v>
      </c>
      <c r="AK97" s="134"/>
      <c r="AL97" s="18">
        <v>1.67</v>
      </c>
      <c r="AM97" s="134">
        <v>119</v>
      </c>
      <c r="AN97" s="127">
        <v>0.14299999999999999</v>
      </c>
      <c r="AO97" s="18">
        <v>0.14599999999999999</v>
      </c>
      <c r="AP97" s="18"/>
      <c r="AQ97" s="18">
        <v>8.5999999999999993E-2</v>
      </c>
      <c r="AR97" s="18">
        <v>2.9000000000000001E-2</v>
      </c>
      <c r="AS97" s="18"/>
      <c r="AT97" s="18"/>
      <c r="AU97" s="18"/>
      <c r="AV97" s="18"/>
      <c r="AW97" s="18"/>
      <c r="AX97" s="127">
        <v>0.69</v>
      </c>
      <c r="AY97" s="127">
        <v>5.6</v>
      </c>
      <c r="AZ97" s="127">
        <v>3.6999999999999998E-2</v>
      </c>
      <c r="BA97" s="127">
        <v>0.38</v>
      </c>
      <c r="BB97" s="18"/>
      <c r="BC97" s="127">
        <v>0.79900000000000004</v>
      </c>
      <c r="BD97" s="18"/>
      <c r="BE97" s="18"/>
      <c r="BF97" s="18"/>
      <c r="BG97" s="18"/>
      <c r="BH97" s="127">
        <v>1.2999999999999999E-2</v>
      </c>
      <c r="BI97" s="127">
        <v>10.54</v>
      </c>
      <c r="BJ97" s="18">
        <v>0.125</v>
      </c>
      <c r="BK97" s="127">
        <v>0.72</v>
      </c>
      <c r="BL97" s="127">
        <v>0.97</v>
      </c>
      <c r="BM97" s="127">
        <v>0.114</v>
      </c>
      <c r="BN97" s="127">
        <v>0.45200000000000001</v>
      </c>
      <c r="BO97" s="18">
        <v>4.3999999999999997E-2</v>
      </c>
      <c r="BP97" s="18">
        <v>0.01</v>
      </c>
      <c r="BQ97" s="18">
        <v>2.3E-2</v>
      </c>
      <c r="BR97" s="18">
        <v>7.0000000000000001E-3</v>
      </c>
      <c r="BS97" s="18">
        <v>1E-3</v>
      </c>
      <c r="BT97" s="18">
        <v>6.0000000000000001E-3</v>
      </c>
      <c r="BU97" s="18"/>
      <c r="BV97" s="18">
        <v>6.0000000000000001E-3</v>
      </c>
      <c r="BW97" s="18">
        <v>1E-3</v>
      </c>
      <c r="BX97" s="18">
        <v>0.01</v>
      </c>
      <c r="BY97" s="127">
        <v>3.4000000000000002E-2</v>
      </c>
      <c r="BZ97" s="18"/>
      <c r="CA97" s="127">
        <v>8.5999999999999993E-2</v>
      </c>
      <c r="CB97" s="127">
        <v>9.2999999999999999E-2</v>
      </c>
      <c r="CC97" s="127">
        <v>2.1000000000000001E-2</v>
      </c>
      <c r="CE97">
        <f t="shared" si="38"/>
        <v>1.8821428571428571</v>
      </c>
      <c r="CF97">
        <f t="shared" si="39"/>
        <v>14.638888888888888</v>
      </c>
      <c r="CG97">
        <f t="shared" si="40"/>
        <v>7.7777777777777777</v>
      </c>
      <c r="CH97">
        <f t="shared" si="41"/>
        <v>0.74226804123711343</v>
      </c>
      <c r="CI97">
        <f t="shared" si="42"/>
        <v>104.16666666666667</v>
      </c>
      <c r="CJ97">
        <f t="shared" si="43"/>
        <v>8.3333333333333339</v>
      </c>
      <c r="CK97">
        <f t="shared" si="44"/>
        <v>77.319587628865975</v>
      </c>
      <c r="CL97">
        <f t="shared" si="45"/>
        <v>5.7731958762886597</v>
      </c>
      <c r="CM97">
        <f t="shared" si="46"/>
        <v>10.865979381443298</v>
      </c>
      <c r="CN97">
        <f t="shared" si="47"/>
        <v>10.865979381443298</v>
      </c>
      <c r="CO97">
        <f t="shared" si="48"/>
        <v>3.5051546391752578E-2</v>
      </c>
      <c r="CP97">
        <f t="shared" si="49"/>
        <v>4.0952380952380949</v>
      </c>
      <c r="CQ97">
        <f t="shared" si="50"/>
        <v>0.11944444444444444</v>
      </c>
      <c r="CR97">
        <f t="shared" si="51"/>
        <v>1.1097222222222223</v>
      </c>
      <c r="CS97">
        <f t="shared" si="52"/>
        <v>0.52777777777777779</v>
      </c>
      <c r="CT97">
        <f t="shared" si="53"/>
        <v>0.12321428571428571</v>
      </c>
      <c r="CU97">
        <f t="shared" si="54"/>
        <v>5.1388888888888887E-2</v>
      </c>
      <c r="CV97">
        <f t="shared" si="55"/>
        <v>0.63025210084033612</v>
      </c>
      <c r="CW97">
        <f t="shared" si="56"/>
        <v>0.1986111111111111</v>
      </c>
      <c r="CX97">
        <f t="shared" si="57"/>
        <v>0.47559449311639546</v>
      </c>
      <c r="CY97">
        <f t="shared" si="58"/>
        <v>4.7222222222222228E-2</v>
      </c>
      <c r="CZ97">
        <f t="shared" si="59"/>
        <v>4.4285714285714279</v>
      </c>
      <c r="DA97">
        <f t="shared" si="60"/>
        <v>0.55072463768115942</v>
      </c>
      <c r="DB97">
        <f t="shared" si="61"/>
        <v>6.7857142857142866E-2</v>
      </c>
      <c r="DC97">
        <f t="shared" si="62"/>
        <v>10.27027027027027</v>
      </c>
      <c r="DD97">
        <f t="shared" si="63"/>
        <v>0.39175257731958762</v>
      </c>
      <c r="DE97">
        <f t="shared" si="64"/>
        <v>12.5</v>
      </c>
      <c r="DF97">
        <f t="shared" si="65"/>
        <v>1.6071428571428572</v>
      </c>
      <c r="DG97">
        <f t="shared" si="66"/>
        <v>13.392857142857144</v>
      </c>
      <c r="DH97">
        <f t="shared" si="67"/>
        <v>1.8821428571428571</v>
      </c>
      <c r="DI97">
        <f t="shared" si="68"/>
        <v>0.14267857142857143</v>
      </c>
      <c r="DJ97">
        <f t="shared" si="69"/>
        <v>3.7500000000000003E-3</v>
      </c>
      <c r="DK97">
        <f t="shared" si="70"/>
        <v>18.357598246163228</v>
      </c>
      <c r="DL97">
        <f t="shared" si="71"/>
        <v>7.0992274467584364</v>
      </c>
      <c r="DM97">
        <f t="shared" si="72"/>
        <v>2.3602626316495581</v>
      </c>
      <c r="DN97">
        <f t="shared" si="73"/>
        <v>1.2540294817113402</v>
      </c>
      <c r="DO97">
        <f t="shared" si="74"/>
        <v>0.91275781458322747</v>
      </c>
      <c r="DP97">
        <f t="shared" si="75"/>
        <v>0.48495671363055731</v>
      </c>
    </row>
    <row r="98" spans="1:120">
      <c r="A98" s="16" t="s">
        <v>672</v>
      </c>
      <c r="B98" s="16" t="s">
        <v>24</v>
      </c>
      <c r="C98" s="122" t="s">
        <v>1801</v>
      </c>
      <c r="D98" s="16" t="s">
        <v>1723</v>
      </c>
      <c r="E98" s="16" t="s">
        <v>237</v>
      </c>
      <c r="F98" s="16" t="s">
        <v>29</v>
      </c>
      <c r="G98" s="16" t="s">
        <v>595</v>
      </c>
      <c r="H98" s="27">
        <v>360</v>
      </c>
      <c r="I98" s="16" t="s">
        <v>735</v>
      </c>
      <c r="J98" s="16" t="s">
        <v>1496</v>
      </c>
      <c r="K98" s="16"/>
      <c r="L98" s="16"/>
      <c r="M98" s="16" t="s">
        <v>74</v>
      </c>
      <c r="N98" s="16">
        <v>24</v>
      </c>
      <c r="O98" s="95">
        <v>11.31495691564252</v>
      </c>
      <c r="P98" s="95">
        <v>2.9002236137567463</v>
      </c>
      <c r="Q98" s="95">
        <v>3.3189178678554323</v>
      </c>
      <c r="R98" s="95">
        <v>26.806644317293877</v>
      </c>
      <c r="S98" s="95">
        <v>9.9873897685003463</v>
      </c>
      <c r="T98" s="95">
        <v>23.171152745119926</v>
      </c>
      <c r="U98" s="95">
        <v>0</v>
      </c>
      <c r="V98" s="95">
        <v>2.8185271739326128</v>
      </c>
      <c r="W98" s="95">
        <v>13.193975031597594</v>
      </c>
      <c r="X98" s="95">
        <v>4.9936948842501732</v>
      </c>
      <c r="Y98" s="95">
        <v>1.9300783908451586</v>
      </c>
      <c r="Z98" s="95">
        <v>100.43556070879437</v>
      </c>
      <c r="AA98" s="18"/>
      <c r="AB98" s="18"/>
      <c r="AC98" s="18"/>
      <c r="AD98" s="18">
        <v>176</v>
      </c>
      <c r="AE98" s="127">
        <v>253</v>
      </c>
      <c r="AF98" s="127">
        <v>42</v>
      </c>
      <c r="AG98" s="18"/>
      <c r="AH98" s="18">
        <v>698</v>
      </c>
      <c r="AI98" s="18">
        <v>654</v>
      </c>
      <c r="AJ98" s="18">
        <v>71.28</v>
      </c>
      <c r="AK98" s="134"/>
      <c r="AL98" s="18">
        <v>6.59</v>
      </c>
      <c r="AM98" s="134">
        <v>499</v>
      </c>
      <c r="AN98" s="127">
        <v>0.82199999999999995</v>
      </c>
      <c r="AO98" s="18">
        <v>1.427</v>
      </c>
      <c r="AP98" s="18"/>
      <c r="AQ98" s="18">
        <v>0.29099999999999998</v>
      </c>
      <c r="AR98" s="18">
        <v>0.155</v>
      </c>
      <c r="AS98" s="18"/>
      <c r="AT98" s="18"/>
      <c r="AU98" s="18"/>
      <c r="AV98" s="18"/>
      <c r="AW98" s="18"/>
      <c r="AX98" s="127">
        <v>2.46</v>
      </c>
      <c r="AY98" s="127">
        <v>21.99</v>
      </c>
      <c r="AZ98" s="127">
        <v>0.17</v>
      </c>
      <c r="BA98" s="127">
        <v>1.1879999999999999</v>
      </c>
      <c r="BB98" s="18"/>
      <c r="BC98" s="127">
        <v>3.649</v>
      </c>
      <c r="BD98" s="18"/>
      <c r="BE98" s="18"/>
      <c r="BF98" s="18"/>
      <c r="BG98" s="18"/>
      <c r="BH98" s="127">
        <v>5.1999999999999998E-2</v>
      </c>
      <c r="BI98" s="127">
        <v>50.03</v>
      </c>
      <c r="BJ98" s="18">
        <v>0.47</v>
      </c>
      <c r="BK98" s="127">
        <v>3.19</v>
      </c>
      <c r="BL98" s="127">
        <v>4.6500000000000004</v>
      </c>
      <c r="BM98" s="127">
        <v>0.52500000000000002</v>
      </c>
      <c r="BN98" s="127">
        <v>1.73</v>
      </c>
      <c r="BO98" s="18">
        <v>0.17499999999999999</v>
      </c>
      <c r="BP98" s="18">
        <v>0.04</v>
      </c>
      <c r="BQ98" s="18">
        <v>9.5000000000000001E-2</v>
      </c>
      <c r="BR98" s="18">
        <v>4.2999999999999997E-2</v>
      </c>
      <c r="BS98" s="18">
        <v>8.9999999999999993E-3</v>
      </c>
      <c r="BT98" s="18">
        <v>1.7000000000000001E-2</v>
      </c>
      <c r="BU98" s="18"/>
      <c r="BV98" s="18">
        <v>8.0000000000000002E-3</v>
      </c>
      <c r="BW98" s="18">
        <v>2E-3</v>
      </c>
      <c r="BX98" s="18">
        <v>3.3000000000000002E-2</v>
      </c>
      <c r="BY98" s="127">
        <v>0.124</v>
      </c>
      <c r="BZ98" s="18"/>
      <c r="CA98" s="127">
        <v>0.32100000000000001</v>
      </c>
      <c r="CB98" s="127">
        <v>0.34200000000000003</v>
      </c>
      <c r="CC98" s="127">
        <v>7.6999999999999999E-2</v>
      </c>
      <c r="CE98">
        <f t="shared" si="38"/>
        <v>2.2751250568440202</v>
      </c>
      <c r="CF98">
        <f t="shared" si="39"/>
        <v>15.683385579937305</v>
      </c>
      <c r="CG98">
        <f t="shared" si="40"/>
        <v>6.8934169278996862</v>
      </c>
      <c r="CH98">
        <f t="shared" si="41"/>
        <v>0.68602150537634399</v>
      </c>
      <c r="CI98">
        <f t="shared" si="42"/>
        <v>79.310344827586206</v>
      </c>
      <c r="CJ98">
        <f t="shared" si="43"/>
        <v>6.0238095238095237</v>
      </c>
      <c r="CK98">
        <f t="shared" si="44"/>
        <v>54.408602150537632</v>
      </c>
      <c r="CL98">
        <f t="shared" si="45"/>
        <v>4.7290322580645157</v>
      </c>
      <c r="CM98">
        <f t="shared" si="46"/>
        <v>10.759139784946235</v>
      </c>
      <c r="CN98">
        <f t="shared" si="47"/>
        <v>10.759139784946235</v>
      </c>
      <c r="CO98">
        <f t="shared" si="48"/>
        <v>2.6666666666666665E-2</v>
      </c>
      <c r="CP98">
        <f t="shared" si="49"/>
        <v>4.1688311688311686</v>
      </c>
      <c r="CQ98">
        <f t="shared" si="50"/>
        <v>0.1006269592476489</v>
      </c>
      <c r="CR98">
        <f t="shared" si="51"/>
        <v>1.1438871473354233</v>
      </c>
      <c r="CS98">
        <f t="shared" si="52"/>
        <v>0.37241379310344824</v>
      </c>
      <c r="CT98">
        <f t="shared" si="53"/>
        <v>0.11186903137789905</v>
      </c>
      <c r="CU98">
        <f t="shared" si="54"/>
        <v>5.3291536050156747E-2</v>
      </c>
      <c r="CV98">
        <f t="shared" si="55"/>
        <v>0.50701402805611218</v>
      </c>
      <c r="CW98">
        <f t="shared" si="56"/>
        <v>0.25768025078369905</v>
      </c>
      <c r="CX98">
        <f t="shared" si="57"/>
        <v>0.32556864894491638</v>
      </c>
      <c r="CY98">
        <f t="shared" si="58"/>
        <v>3.8871473354231974E-2</v>
      </c>
      <c r="CZ98">
        <f t="shared" si="59"/>
        <v>4.4415584415584419</v>
      </c>
      <c r="DA98">
        <f t="shared" si="60"/>
        <v>0.48292682926829267</v>
      </c>
      <c r="DB98">
        <f t="shared" si="61"/>
        <v>5.4024556616643932E-2</v>
      </c>
      <c r="DC98">
        <f t="shared" si="62"/>
        <v>6.9882352941176462</v>
      </c>
      <c r="DD98">
        <f t="shared" si="63"/>
        <v>0.25548387096774189</v>
      </c>
      <c r="DE98">
        <f t="shared" si="64"/>
        <v>13.16614420062696</v>
      </c>
      <c r="DF98">
        <f t="shared" si="65"/>
        <v>1.9099590723055937</v>
      </c>
      <c r="DG98">
        <f t="shared" si="66"/>
        <v>11.505229649840837</v>
      </c>
      <c r="DH98">
        <f t="shared" si="67"/>
        <v>2.2751250568440202</v>
      </c>
      <c r="DI98">
        <f t="shared" si="68"/>
        <v>0.16593906321055027</v>
      </c>
      <c r="DJ98">
        <f t="shared" si="69"/>
        <v>3.5015916325602547E-3</v>
      </c>
      <c r="DK98">
        <f t="shared" si="70"/>
        <v>3.1308431876176637</v>
      </c>
      <c r="DL98">
        <f t="shared" si="71"/>
        <v>1.0404131247195714</v>
      </c>
      <c r="DM98">
        <f t="shared" si="72"/>
        <v>0.45417870707141189</v>
      </c>
      <c r="DN98">
        <f t="shared" si="73"/>
        <v>0.19962801855887161</v>
      </c>
      <c r="DO98">
        <f t="shared" si="74"/>
        <v>0.1509285069511338</v>
      </c>
      <c r="DP98">
        <f t="shared" si="75"/>
        <v>6.6338554224573895E-2</v>
      </c>
    </row>
    <row r="99" spans="1:120">
      <c r="A99" s="16" t="s">
        <v>672</v>
      </c>
      <c r="B99" s="16" t="s">
        <v>24</v>
      </c>
      <c r="C99" s="122" t="s">
        <v>1801</v>
      </c>
      <c r="D99" s="16" t="s">
        <v>1723</v>
      </c>
      <c r="E99" s="16" t="s">
        <v>237</v>
      </c>
      <c r="F99" s="16" t="s">
        <v>29</v>
      </c>
      <c r="G99" s="16" t="s">
        <v>595</v>
      </c>
      <c r="H99" s="27">
        <v>360</v>
      </c>
      <c r="I99" s="16" t="s">
        <v>735</v>
      </c>
      <c r="J99" s="16" t="s">
        <v>1496</v>
      </c>
      <c r="K99" s="16"/>
      <c r="L99" s="16"/>
      <c r="M99" s="16" t="s">
        <v>78</v>
      </c>
      <c r="N99" s="16">
        <v>22</v>
      </c>
      <c r="O99" s="95">
        <v>9.4510446479267003</v>
      </c>
      <c r="P99" s="95">
        <v>2.9732475595099133</v>
      </c>
      <c r="Q99" s="95">
        <v>3.5454189111681784</v>
      </c>
      <c r="R99" s="95">
        <v>32.419637478779912</v>
      </c>
      <c r="S99" s="95">
        <v>13.456244109534554</v>
      </c>
      <c r="T99" s="95">
        <v>21.364469577097005</v>
      </c>
      <c r="U99" s="95">
        <v>0</v>
      </c>
      <c r="V99" s="95">
        <v>4.3934585930902497</v>
      </c>
      <c r="W99" s="95">
        <v>9.7984343971477887</v>
      </c>
      <c r="X99" s="95">
        <v>1.450863070276315</v>
      </c>
      <c r="Y99" s="95">
        <v>1.4815151069722934</v>
      </c>
      <c r="Z99" s="95">
        <v>100.3343334515029</v>
      </c>
      <c r="AA99" s="18"/>
      <c r="AB99" s="18"/>
      <c r="AC99" s="18"/>
      <c r="AD99" s="18">
        <v>10</v>
      </c>
      <c r="AE99" s="127">
        <v>144</v>
      </c>
      <c r="AF99" s="127">
        <v>6</v>
      </c>
      <c r="AG99" s="18"/>
      <c r="AH99" s="18">
        <v>7</v>
      </c>
      <c r="AI99" s="18">
        <v>18</v>
      </c>
      <c r="AJ99" s="18">
        <v>1.31</v>
      </c>
      <c r="AK99" s="134"/>
      <c r="AL99" s="18">
        <v>0.28000000000000003</v>
      </c>
      <c r="AM99" s="134">
        <v>73</v>
      </c>
      <c r="AN99" s="127">
        <v>6.5519999999999996</v>
      </c>
      <c r="AO99" s="18">
        <v>1.65</v>
      </c>
      <c r="AP99" s="18"/>
      <c r="AQ99" s="18">
        <v>2.1999999999999999E-2</v>
      </c>
      <c r="AR99" s="18">
        <v>8.9999999999999993E-3</v>
      </c>
      <c r="AS99" s="18"/>
      <c r="AT99" s="18"/>
      <c r="AU99" s="18"/>
      <c r="AV99" s="18"/>
      <c r="AW99" s="18"/>
      <c r="AX99" s="127">
        <v>0.02</v>
      </c>
      <c r="AY99" s="127">
        <v>0.08</v>
      </c>
      <c r="AZ99" s="127">
        <v>4.0000000000000001E-3</v>
      </c>
      <c r="BA99" s="127">
        <v>4.5999999999999999E-2</v>
      </c>
      <c r="BB99" s="18"/>
      <c r="BC99" s="127">
        <v>7.0000000000000001E-3</v>
      </c>
      <c r="BD99" s="18"/>
      <c r="BE99" s="18"/>
      <c r="BF99" s="18"/>
      <c r="BG99" s="18"/>
      <c r="BH99" s="127">
        <v>3.0000000000000001E-3</v>
      </c>
      <c r="BI99" s="127">
        <v>0.28000000000000003</v>
      </c>
      <c r="BJ99" s="18">
        <v>0.115</v>
      </c>
      <c r="BK99" s="127">
        <v>4.9000000000000002E-2</v>
      </c>
      <c r="BL99" s="127">
        <v>7.0999999999999994E-2</v>
      </c>
      <c r="BM99" s="127">
        <v>8.0000000000000002E-3</v>
      </c>
      <c r="BN99" s="127">
        <v>1.9E-2</v>
      </c>
      <c r="BO99" s="18">
        <v>4.0000000000000001E-3</v>
      </c>
      <c r="BP99" s="18">
        <v>2E-3</v>
      </c>
      <c r="BQ99" s="18">
        <v>3.0000000000000001E-3</v>
      </c>
      <c r="BR99" s="18">
        <v>2E-3</v>
      </c>
      <c r="BS99" s="18">
        <v>1E-3</v>
      </c>
      <c r="BT99" s="18">
        <v>4.0000000000000001E-3</v>
      </c>
      <c r="BU99" s="18"/>
      <c r="BV99" s="18">
        <v>2E-3</v>
      </c>
      <c r="BW99" s="18">
        <v>1E-3</v>
      </c>
      <c r="BX99" s="18">
        <v>3.0000000000000001E-3</v>
      </c>
      <c r="BY99" s="127">
        <v>2E-3</v>
      </c>
      <c r="BZ99" s="18"/>
      <c r="CA99" s="127">
        <v>0.92</v>
      </c>
      <c r="CB99" s="127">
        <v>3.0000000000000001E-3</v>
      </c>
      <c r="CC99" s="127">
        <v>3.0000000000000001E-3</v>
      </c>
      <c r="CE99">
        <f t="shared" si="38"/>
        <v>3.5000000000000004</v>
      </c>
      <c r="CF99">
        <f t="shared" si="39"/>
        <v>5.7142857142857144</v>
      </c>
      <c r="CG99">
        <f t="shared" si="40"/>
        <v>1.6326530612244898</v>
      </c>
      <c r="CH99">
        <f t="shared" si="41"/>
        <v>0.69014084507042261</v>
      </c>
      <c r="CI99">
        <f t="shared" si="42"/>
        <v>2938.7755102040815</v>
      </c>
      <c r="CJ99">
        <f t="shared" si="43"/>
        <v>24</v>
      </c>
      <c r="CK99">
        <f t="shared" si="44"/>
        <v>2028.1690140845071</v>
      </c>
      <c r="CL99">
        <f t="shared" si="45"/>
        <v>1.1267605633802817</v>
      </c>
      <c r="CM99">
        <f t="shared" si="46"/>
        <v>3.9436619718309864</v>
      </c>
      <c r="CN99">
        <f t="shared" si="47"/>
        <v>3.9436619718309864</v>
      </c>
      <c r="CO99">
        <f t="shared" si="48"/>
        <v>2.8169014084507046E-2</v>
      </c>
      <c r="CP99">
        <f t="shared" si="49"/>
        <v>306.66666666666669</v>
      </c>
      <c r="CQ99">
        <f t="shared" si="50"/>
        <v>18.775510204081634</v>
      </c>
      <c r="CR99">
        <f t="shared" si="51"/>
        <v>0.14285714285714285</v>
      </c>
      <c r="CS99">
        <f t="shared" si="52"/>
        <v>0.93877551020408156</v>
      </c>
      <c r="CT99">
        <f t="shared" si="53"/>
        <v>0.25</v>
      </c>
      <c r="CU99">
        <f t="shared" si="54"/>
        <v>8.1632653061224483E-2</v>
      </c>
      <c r="CV99">
        <f t="shared" si="55"/>
        <v>1.9726027397260273</v>
      </c>
      <c r="CW99">
        <f t="shared" si="56"/>
        <v>133.71428571428569</v>
      </c>
      <c r="CX99">
        <f t="shared" si="57"/>
        <v>6.5714285714285712</v>
      </c>
      <c r="CY99">
        <f t="shared" si="58"/>
        <v>4.0816326530612242E-2</v>
      </c>
      <c r="CZ99">
        <f t="shared" si="59"/>
        <v>1</v>
      </c>
      <c r="DA99">
        <f t="shared" si="60"/>
        <v>2.2999999999999998</v>
      </c>
      <c r="DB99">
        <f t="shared" si="61"/>
        <v>0.57499999999999996</v>
      </c>
      <c r="DC99">
        <f t="shared" si="62"/>
        <v>11.5</v>
      </c>
      <c r="DD99">
        <f t="shared" si="63"/>
        <v>0.647887323943662</v>
      </c>
      <c r="DE99">
        <f t="shared" si="64"/>
        <v>122.44897959183673</v>
      </c>
      <c r="DF99">
        <f t="shared" si="65"/>
        <v>75</v>
      </c>
      <c r="DG99">
        <f t="shared" si="66"/>
        <v>1800</v>
      </c>
      <c r="DH99">
        <f t="shared" si="67"/>
        <v>3.5000000000000004</v>
      </c>
      <c r="DI99">
        <f t="shared" si="68"/>
        <v>8.7499999999999994E-2</v>
      </c>
      <c r="DJ99">
        <f t="shared" si="69"/>
        <v>3.7499999999999999E-2</v>
      </c>
      <c r="DK99">
        <f t="shared" si="70"/>
        <v>274.61722672519494</v>
      </c>
      <c r="DL99">
        <f t="shared" si="71"/>
        <v>72.355487983024048</v>
      </c>
      <c r="DM99">
        <f t="shared" si="72"/>
        <v>168.20305136918191</v>
      </c>
      <c r="DN99">
        <f t="shared" si="73"/>
        <v>48.058014676909117</v>
      </c>
      <c r="DO99">
        <f t="shared" si="74"/>
        <v>44.317736389602231</v>
      </c>
      <c r="DP99">
        <f t="shared" si="75"/>
        <v>12.662210397029208</v>
      </c>
    </row>
    <row r="100" spans="1:120">
      <c r="A100" s="16" t="s">
        <v>672</v>
      </c>
      <c r="B100" s="16" t="s">
        <v>24</v>
      </c>
      <c r="C100" s="122" t="s">
        <v>1801</v>
      </c>
      <c r="D100" s="16" t="s">
        <v>1723</v>
      </c>
      <c r="E100" s="16" t="s">
        <v>237</v>
      </c>
      <c r="F100" s="16" t="s">
        <v>29</v>
      </c>
      <c r="G100" s="16" t="s">
        <v>595</v>
      </c>
      <c r="H100" s="27">
        <v>360</v>
      </c>
      <c r="I100" s="16" t="s">
        <v>735</v>
      </c>
      <c r="J100" s="16" t="s">
        <v>1496</v>
      </c>
      <c r="K100" s="16"/>
      <c r="L100" s="16"/>
      <c r="M100" s="16" t="s">
        <v>79</v>
      </c>
      <c r="N100" s="16">
        <v>24</v>
      </c>
      <c r="O100" s="95">
        <v>14.539658560351718</v>
      </c>
      <c r="P100" s="95">
        <v>4.7783395831697755</v>
      </c>
      <c r="Q100" s="95">
        <v>3.9495483492581016</v>
      </c>
      <c r="R100" s="95">
        <v>34.788767843206074</v>
      </c>
      <c r="S100" s="95">
        <v>11.357509501752572</v>
      </c>
      <c r="T100" s="95">
        <v>19.184982266473938</v>
      </c>
      <c r="U100" s="95">
        <v>0</v>
      </c>
      <c r="V100" s="95">
        <v>1.5961905245706318</v>
      </c>
      <c r="W100" s="95">
        <v>4.1848841317268484</v>
      </c>
      <c r="X100" s="95">
        <v>4.9625154129279254</v>
      </c>
      <c r="Y100" s="95">
        <v>0.84925521499591294</v>
      </c>
      <c r="Z100" s="95">
        <v>100.19165138843348</v>
      </c>
      <c r="AA100" s="18"/>
      <c r="AB100" s="18"/>
      <c r="AC100" s="18"/>
      <c r="AD100" s="18">
        <v>28</v>
      </c>
      <c r="AE100" s="127">
        <v>42</v>
      </c>
      <c r="AF100" s="127">
        <v>8</v>
      </c>
      <c r="AG100" s="18"/>
      <c r="AH100" s="18">
        <v>94</v>
      </c>
      <c r="AI100" s="18">
        <v>130</v>
      </c>
      <c r="AJ100" s="18">
        <v>11.83</v>
      </c>
      <c r="AK100" s="134"/>
      <c r="AL100" s="18">
        <v>1.04</v>
      </c>
      <c r="AM100" s="134">
        <v>68</v>
      </c>
      <c r="AN100" s="127">
        <v>0.40400000000000003</v>
      </c>
      <c r="AO100" s="18">
        <v>0.161</v>
      </c>
      <c r="AP100" s="18"/>
      <c r="AQ100" s="18">
        <v>5.3999999999999999E-2</v>
      </c>
      <c r="AR100" s="18">
        <v>0.02</v>
      </c>
      <c r="AS100" s="18"/>
      <c r="AT100" s="18"/>
      <c r="AU100" s="18"/>
      <c r="AV100" s="18"/>
      <c r="AW100" s="18"/>
      <c r="AX100" s="127">
        <v>0.35</v>
      </c>
      <c r="AY100" s="127">
        <v>3.5</v>
      </c>
      <c r="AZ100" s="127">
        <v>0.04</v>
      </c>
      <c r="BA100" s="127">
        <v>0.251</v>
      </c>
      <c r="BB100" s="18"/>
      <c r="BC100" s="127">
        <v>0.41799999999999998</v>
      </c>
      <c r="BD100" s="18"/>
      <c r="BE100" s="18"/>
      <c r="BF100" s="18"/>
      <c r="BG100" s="18"/>
      <c r="BH100" s="127">
        <v>1.2E-2</v>
      </c>
      <c r="BI100" s="127">
        <v>5.63</v>
      </c>
      <c r="BJ100" s="18">
        <v>0.10100000000000001</v>
      </c>
      <c r="BK100" s="127">
        <v>0.42899999999999999</v>
      </c>
      <c r="BL100" s="127">
        <v>0.67</v>
      </c>
      <c r="BM100" s="127">
        <v>8.5999999999999993E-2</v>
      </c>
      <c r="BN100" s="127">
        <v>0.27600000000000002</v>
      </c>
      <c r="BO100" s="18">
        <v>3.3000000000000002E-2</v>
      </c>
      <c r="BP100" s="18">
        <v>1.0999999999999999E-2</v>
      </c>
      <c r="BQ100" s="18">
        <v>0.02</v>
      </c>
      <c r="BR100" s="18">
        <v>1.4E-2</v>
      </c>
      <c r="BS100" s="18">
        <v>8.0000000000000002E-3</v>
      </c>
      <c r="BT100" s="18">
        <v>0.01</v>
      </c>
      <c r="BU100" s="18"/>
      <c r="BV100" s="18">
        <v>5.0000000000000001E-3</v>
      </c>
      <c r="BW100" s="18">
        <v>5.0000000000000001E-3</v>
      </c>
      <c r="BX100" s="18">
        <v>1.2E-2</v>
      </c>
      <c r="BY100" s="127">
        <v>1.7000000000000001E-2</v>
      </c>
      <c r="BZ100" s="18"/>
      <c r="CA100" s="127">
        <v>6.5000000000000002E-2</v>
      </c>
      <c r="CB100" s="127">
        <v>5.7000000000000002E-2</v>
      </c>
      <c r="CC100" s="127">
        <v>1.4E-2</v>
      </c>
      <c r="CE100">
        <f t="shared" si="38"/>
        <v>1.6085714285714285</v>
      </c>
      <c r="CF100">
        <f t="shared" si="39"/>
        <v>13.123543123543124</v>
      </c>
      <c r="CG100">
        <f t="shared" si="40"/>
        <v>8.1585081585081589</v>
      </c>
      <c r="CH100">
        <f t="shared" si="41"/>
        <v>0.64029850746268657</v>
      </c>
      <c r="CI100">
        <f t="shared" si="42"/>
        <v>97.902097902097907</v>
      </c>
      <c r="CJ100">
        <f t="shared" si="43"/>
        <v>5.25</v>
      </c>
      <c r="CK100">
        <f t="shared" si="44"/>
        <v>62.686567164179102</v>
      </c>
      <c r="CL100">
        <f t="shared" si="45"/>
        <v>5.2238805970149249</v>
      </c>
      <c r="CM100">
        <f t="shared" si="46"/>
        <v>8.4029850746268657</v>
      </c>
      <c r="CN100">
        <f t="shared" si="47"/>
        <v>8.4029850746268657</v>
      </c>
      <c r="CO100">
        <f t="shared" si="48"/>
        <v>2.5373134328358211E-2</v>
      </c>
      <c r="CP100">
        <f t="shared" si="49"/>
        <v>4.6428571428571432</v>
      </c>
      <c r="CQ100">
        <f t="shared" si="50"/>
        <v>0.15151515151515152</v>
      </c>
      <c r="CR100">
        <f t="shared" si="51"/>
        <v>0.97435897435897434</v>
      </c>
      <c r="CS100">
        <f t="shared" si="52"/>
        <v>0.58508158508158514</v>
      </c>
      <c r="CT100">
        <f t="shared" si="53"/>
        <v>9.9999999999999992E-2</v>
      </c>
      <c r="CU100">
        <f t="shared" si="54"/>
        <v>9.3240093240093247E-2</v>
      </c>
      <c r="CV100">
        <f t="shared" si="55"/>
        <v>0.61764705882352944</v>
      </c>
      <c r="CW100">
        <f t="shared" si="56"/>
        <v>0.94172494172494181</v>
      </c>
      <c r="CX100">
        <f t="shared" si="57"/>
        <v>0.60047846889952161</v>
      </c>
      <c r="CY100">
        <f t="shared" si="58"/>
        <v>3.9627039627039631E-2</v>
      </c>
      <c r="CZ100">
        <f t="shared" si="59"/>
        <v>4.0714285714285712</v>
      </c>
      <c r="DA100">
        <f t="shared" si="60"/>
        <v>0.71714285714285719</v>
      </c>
      <c r="DB100">
        <f t="shared" si="61"/>
        <v>7.1714285714285717E-2</v>
      </c>
      <c r="DC100">
        <f t="shared" si="62"/>
        <v>6.2749999999999995</v>
      </c>
      <c r="DD100">
        <f t="shared" si="63"/>
        <v>0.37462686567164177</v>
      </c>
      <c r="DE100">
        <f t="shared" si="64"/>
        <v>18.648018648018649</v>
      </c>
      <c r="DF100">
        <f t="shared" si="65"/>
        <v>2.2857142857142856</v>
      </c>
      <c r="DG100">
        <f t="shared" si="66"/>
        <v>12</v>
      </c>
      <c r="DH100">
        <f t="shared" si="67"/>
        <v>1.6085714285714285</v>
      </c>
      <c r="DI100">
        <f t="shared" si="68"/>
        <v>0.11942857142857143</v>
      </c>
      <c r="DJ100">
        <f t="shared" si="69"/>
        <v>4.0000000000000001E-3</v>
      </c>
      <c r="DK100">
        <f t="shared" si="70"/>
        <v>26.474381122966371</v>
      </c>
      <c r="DL100">
        <f t="shared" si="71"/>
        <v>9.2064064085270427</v>
      </c>
      <c r="DM100">
        <f t="shared" si="72"/>
        <v>3.2450027147864491</v>
      </c>
      <c r="DN100">
        <f t="shared" si="73"/>
        <v>2.0173196273095155</v>
      </c>
      <c r="DO100">
        <f t="shared" si="74"/>
        <v>1.1284423855023147</v>
      </c>
      <c r="DP100">
        <f t="shared" si="75"/>
        <v>0.70151835688420994</v>
      </c>
    </row>
    <row r="101" spans="1:120">
      <c r="A101" s="16" t="s">
        <v>672</v>
      </c>
      <c r="B101" s="16" t="s">
        <v>24</v>
      </c>
      <c r="C101" s="122" t="s">
        <v>1801</v>
      </c>
      <c r="D101" s="16" t="s">
        <v>1723</v>
      </c>
      <c r="E101" s="16" t="s">
        <v>237</v>
      </c>
      <c r="F101" s="16" t="s">
        <v>29</v>
      </c>
      <c r="G101" s="16" t="s">
        <v>595</v>
      </c>
      <c r="H101" s="27">
        <v>360</v>
      </c>
      <c r="I101" s="16" t="s">
        <v>735</v>
      </c>
      <c r="J101" s="16" t="s">
        <v>1496</v>
      </c>
      <c r="K101" s="16"/>
      <c r="L101" s="16"/>
      <c r="M101" s="16" t="s">
        <v>85</v>
      </c>
      <c r="N101" s="16">
        <v>31</v>
      </c>
      <c r="O101" s="95">
        <v>11.072012433062095</v>
      </c>
      <c r="P101" s="95">
        <v>1.8930890019560882</v>
      </c>
      <c r="Q101" s="95">
        <v>4.3592211612610461</v>
      </c>
      <c r="R101" s="95">
        <v>25.9813674376568</v>
      </c>
      <c r="S101" s="95">
        <v>14.858190436974272</v>
      </c>
      <c r="T101" s="95">
        <v>20.731882799800193</v>
      </c>
      <c r="U101" s="95">
        <v>0</v>
      </c>
      <c r="V101" s="95">
        <v>5.8225277952054828</v>
      </c>
      <c r="W101" s="95">
        <v>11.655288503935052</v>
      </c>
      <c r="X101" s="95">
        <v>1.7088965585225231</v>
      </c>
      <c r="Y101" s="95">
        <v>2.4763650728290449</v>
      </c>
      <c r="Z101" s="95">
        <v>100.5588412012026</v>
      </c>
      <c r="AA101" s="18"/>
      <c r="AB101" s="18"/>
      <c r="AC101" s="18"/>
      <c r="AD101" s="18">
        <v>252</v>
      </c>
      <c r="AE101" s="127">
        <v>315</v>
      </c>
      <c r="AF101" s="127">
        <v>45</v>
      </c>
      <c r="AG101" s="18"/>
      <c r="AH101" s="18">
        <v>552</v>
      </c>
      <c r="AI101" s="18">
        <v>485</v>
      </c>
      <c r="AJ101" s="18">
        <v>55.94</v>
      </c>
      <c r="AK101" s="134"/>
      <c r="AL101" s="18">
        <v>6.33</v>
      </c>
      <c r="AM101" s="134">
        <v>638</v>
      </c>
      <c r="AN101" s="127">
        <v>1.024</v>
      </c>
      <c r="AO101" s="18">
        <v>3.41</v>
      </c>
      <c r="AP101" s="18"/>
      <c r="AQ101" s="18">
        <v>0.39300000000000002</v>
      </c>
      <c r="AR101" s="18">
        <v>9.4E-2</v>
      </c>
      <c r="AS101" s="18"/>
      <c r="AT101" s="18"/>
      <c r="AU101" s="18"/>
      <c r="AV101" s="18"/>
      <c r="AW101" s="18"/>
      <c r="AX101" s="127">
        <v>2.16</v>
      </c>
      <c r="AY101" s="127">
        <v>16.43</v>
      </c>
      <c r="AZ101" s="127">
        <v>0.09</v>
      </c>
      <c r="BA101" s="127">
        <v>0.92400000000000004</v>
      </c>
      <c r="BB101" s="18"/>
      <c r="BC101" s="127">
        <v>3.859</v>
      </c>
      <c r="BD101" s="18"/>
      <c r="BE101" s="18"/>
      <c r="BF101" s="18"/>
      <c r="BG101" s="18"/>
      <c r="BH101" s="127">
        <v>3.2000000000000001E-2</v>
      </c>
      <c r="BI101" s="127">
        <v>34.81</v>
      </c>
      <c r="BJ101" s="18">
        <v>1.02</v>
      </c>
      <c r="BK101" s="127">
        <v>2.16</v>
      </c>
      <c r="BL101" s="127">
        <v>3.18</v>
      </c>
      <c r="BM101" s="127">
        <v>0.35099999999999998</v>
      </c>
      <c r="BN101" s="127">
        <v>1.1919999999999999</v>
      </c>
      <c r="BO101" s="18">
        <v>0.128</v>
      </c>
      <c r="BP101" s="18">
        <v>2.1999999999999999E-2</v>
      </c>
      <c r="BQ101" s="18">
        <v>4.5999999999999999E-2</v>
      </c>
      <c r="BR101" s="18">
        <v>0.02</v>
      </c>
      <c r="BS101" s="18">
        <v>5.0000000000000001E-3</v>
      </c>
      <c r="BT101" s="18">
        <v>1.2E-2</v>
      </c>
      <c r="BU101" s="18"/>
      <c r="BV101" s="18">
        <v>5.0000000000000001E-3</v>
      </c>
      <c r="BW101" s="18">
        <v>1E-3</v>
      </c>
      <c r="BX101" s="18">
        <v>2.4E-2</v>
      </c>
      <c r="BY101" s="127">
        <v>0.185</v>
      </c>
      <c r="BZ101" s="18"/>
      <c r="CA101" s="127">
        <v>0.48699999999999999</v>
      </c>
      <c r="CB101" s="127">
        <v>0.27500000000000002</v>
      </c>
      <c r="CC101" s="127">
        <v>6.2E-2</v>
      </c>
      <c r="CE101">
        <f t="shared" si="38"/>
        <v>2.1186853317102861</v>
      </c>
      <c r="CF101">
        <f t="shared" si="39"/>
        <v>16.11574074074074</v>
      </c>
      <c r="CG101">
        <f t="shared" si="40"/>
        <v>7.606481481481481</v>
      </c>
      <c r="CH101">
        <f t="shared" si="41"/>
        <v>0.67924528301886788</v>
      </c>
      <c r="CI101">
        <f t="shared" si="42"/>
        <v>145.83333333333331</v>
      </c>
      <c r="CJ101">
        <f t="shared" si="43"/>
        <v>7</v>
      </c>
      <c r="CK101">
        <f t="shared" si="44"/>
        <v>99.056603773584897</v>
      </c>
      <c r="CL101">
        <f t="shared" si="45"/>
        <v>5.1666666666666661</v>
      </c>
      <c r="CM101">
        <f t="shared" si="46"/>
        <v>10.946540880503145</v>
      </c>
      <c r="CN101">
        <f t="shared" si="47"/>
        <v>10.946540880503145</v>
      </c>
      <c r="CO101">
        <f t="shared" si="48"/>
        <v>5.8176100628930812E-2</v>
      </c>
      <c r="CP101">
        <f t="shared" si="49"/>
        <v>7.854838709677419</v>
      </c>
      <c r="CQ101">
        <f t="shared" si="50"/>
        <v>0.22546296296296295</v>
      </c>
      <c r="CR101">
        <f t="shared" si="51"/>
        <v>1.7865740740740739</v>
      </c>
      <c r="CS101">
        <f t="shared" si="52"/>
        <v>0.42777777777777776</v>
      </c>
      <c r="CT101">
        <f t="shared" si="53"/>
        <v>0.13146682897139381</v>
      </c>
      <c r="CU101">
        <f t="shared" si="54"/>
        <v>4.1666666666666664E-2</v>
      </c>
      <c r="CV101">
        <f t="shared" si="55"/>
        <v>0.49373040752351099</v>
      </c>
      <c r="CW101">
        <f t="shared" si="56"/>
        <v>0.47407407407407404</v>
      </c>
      <c r="CX101">
        <f t="shared" si="57"/>
        <v>0.23944026949987043</v>
      </c>
      <c r="CY101">
        <f t="shared" si="58"/>
        <v>8.564814814814814E-2</v>
      </c>
      <c r="CZ101">
        <f t="shared" si="59"/>
        <v>4.435483870967742</v>
      </c>
      <c r="DA101">
        <f t="shared" si="60"/>
        <v>0.42777777777777776</v>
      </c>
      <c r="DB101">
        <f t="shared" si="61"/>
        <v>5.6238587948874014E-2</v>
      </c>
      <c r="DC101">
        <f t="shared" si="62"/>
        <v>10.266666666666667</v>
      </c>
      <c r="DD101">
        <f t="shared" si="63"/>
        <v>0.29056603773584905</v>
      </c>
      <c r="DE101">
        <f t="shared" si="64"/>
        <v>20.833333333333332</v>
      </c>
      <c r="DF101">
        <f t="shared" si="65"/>
        <v>2.7388922702373706</v>
      </c>
      <c r="DG101">
        <f t="shared" si="66"/>
        <v>19.172245891661596</v>
      </c>
      <c r="DH101">
        <f t="shared" si="67"/>
        <v>2.1186853317102861</v>
      </c>
      <c r="DI101">
        <f t="shared" si="68"/>
        <v>0.23487522824102253</v>
      </c>
      <c r="DJ101">
        <f t="shared" si="69"/>
        <v>3.7735849056603774E-3</v>
      </c>
      <c r="DK101">
        <f t="shared" si="70"/>
        <v>6.8787918689695697</v>
      </c>
      <c r="DL101">
        <f t="shared" si="71"/>
        <v>2.0181579450282618</v>
      </c>
      <c r="DM101">
        <f t="shared" si="72"/>
        <v>0.90433295416763682</v>
      </c>
      <c r="DN101">
        <f t="shared" si="73"/>
        <v>0.42683684105068287</v>
      </c>
      <c r="DO101">
        <f t="shared" si="74"/>
        <v>0.26532082539629009</v>
      </c>
      <c r="DP101">
        <f t="shared" si="75"/>
        <v>0.12522899055619208</v>
      </c>
    </row>
    <row r="102" spans="1:120">
      <c r="A102" s="16" t="s">
        <v>672</v>
      </c>
      <c r="B102" s="16" t="s">
        <v>24</v>
      </c>
      <c r="C102" s="122" t="s">
        <v>1801</v>
      </c>
      <c r="D102" s="16" t="s">
        <v>1723</v>
      </c>
      <c r="E102" s="16" t="s">
        <v>237</v>
      </c>
      <c r="F102" s="16" t="s">
        <v>29</v>
      </c>
      <c r="G102" s="16" t="s">
        <v>595</v>
      </c>
      <c r="H102" s="27">
        <v>360</v>
      </c>
      <c r="I102" s="16" t="s">
        <v>735</v>
      </c>
      <c r="J102" s="16" t="s">
        <v>1496</v>
      </c>
      <c r="K102" s="16"/>
      <c r="L102" s="16"/>
      <c r="M102" s="16" t="s">
        <v>88</v>
      </c>
      <c r="N102" s="16">
        <v>24</v>
      </c>
      <c r="O102" s="95">
        <v>19.235485931625512</v>
      </c>
      <c r="P102" s="95">
        <v>3.6143110508468324</v>
      </c>
      <c r="Q102" s="95">
        <v>7.0754733283526967</v>
      </c>
      <c r="R102" s="95">
        <v>27.250271736469479</v>
      </c>
      <c r="S102" s="95">
        <v>10.648944706308603</v>
      </c>
      <c r="T102" s="95">
        <v>15.723274063005993</v>
      </c>
      <c r="U102" s="95">
        <v>0</v>
      </c>
      <c r="V102" s="95">
        <v>3.0731853850420805</v>
      </c>
      <c r="W102" s="95">
        <v>11.067551353440582</v>
      </c>
      <c r="X102" s="95">
        <v>1.694846424973373</v>
      </c>
      <c r="Y102" s="95">
        <v>0.7963736213730308</v>
      </c>
      <c r="Z102" s="95">
        <v>100.17971760143818</v>
      </c>
      <c r="AA102" s="18"/>
      <c r="AB102" s="18"/>
      <c r="AC102" s="18"/>
      <c r="AD102" s="18">
        <v>214</v>
      </c>
      <c r="AE102" s="127">
        <v>381</v>
      </c>
      <c r="AF102" s="127">
        <v>79</v>
      </c>
      <c r="AG102" s="18"/>
      <c r="AH102" s="18">
        <v>707</v>
      </c>
      <c r="AI102" s="18">
        <v>442</v>
      </c>
      <c r="AJ102" s="18">
        <v>125.76</v>
      </c>
      <c r="AK102" s="134"/>
      <c r="AL102" s="18">
        <v>5.18</v>
      </c>
      <c r="AM102" s="134">
        <v>644</v>
      </c>
      <c r="AN102" s="127">
        <v>0.60199999999999998</v>
      </c>
      <c r="AO102" s="18">
        <v>2.4</v>
      </c>
      <c r="AP102" s="18"/>
      <c r="AQ102" s="18">
        <v>0.32200000000000001</v>
      </c>
      <c r="AR102" s="18">
        <v>0.183</v>
      </c>
      <c r="AS102" s="18"/>
      <c r="AT102" s="18"/>
      <c r="AU102" s="18"/>
      <c r="AV102" s="18"/>
      <c r="AW102" s="18"/>
      <c r="AX102" s="127">
        <v>2.8</v>
      </c>
      <c r="AY102" s="127">
        <v>18.55</v>
      </c>
      <c r="AZ102" s="127">
        <v>0.182</v>
      </c>
      <c r="BA102" s="127">
        <v>2.609</v>
      </c>
      <c r="BB102" s="18"/>
      <c r="BC102" s="127">
        <v>7.859</v>
      </c>
      <c r="BD102" s="18"/>
      <c r="BE102" s="18"/>
      <c r="BF102" s="18"/>
      <c r="BG102" s="18"/>
      <c r="BH102" s="127">
        <v>3.5000000000000003E-2</v>
      </c>
      <c r="BI102" s="127">
        <v>41.56</v>
      </c>
      <c r="BJ102" s="18">
        <v>0.67</v>
      </c>
      <c r="BK102" s="127">
        <v>3.36</v>
      </c>
      <c r="BL102" s="127">
        <v>4.82</v>
      </c>
      <c r="BM102" s="127">
        <v>0.53</v>
      </c>
      <c r="BN102" s="127">
        <v>1.77</v>
      </c>
      <c r="BO102" s="18">
        <v>0.16300000000000001</v>
      </c>
      <c r="BP102" s="18">
        <v>4.2999999999999997E-2</v>
      </c>
      <c r="BQ102" s="18">
        <v>0.113</v>
      </c>
      <c r="BR102" s="18">
        <v>5.3999999999999999E-2</v>
      </c>
      <c r="BS102" s="18">
        <v>8.9999999999999993E-3</v>
      </c>
      <c r="BT102" s="18">
        <v>1.4E-2</v>
      </c>
      <c r="BU102" s="18"/>
      <c r="BV102" s="18">
        <v>5.0000000000000001E-3</v>
      </c>
      <c r="BW102" s="18">
        <v>2E-3</v>
      </c>
      <c r="BX102" s="18">
        <v>6.5000000000000002E-2</v>
      </c>
      <c r="BY102" s="127">
        <v>0.314</v>
      </c>
      <c r="BZ102" s="18"/>
      <c r="CA102" s="127">
        <v>0.19700000000000001</v>
      </c>
      <c r="CB102" s="127">
        <v>0.5</v>
      </c>
      <c r="CC102" s="127">
        <v>0.107</v>
      </c>
      <c r="CE102">
        <f t="shared" si="38"/>
        <v>2.2404312668463611</v>
      </c>
      <c r="CF102">
        <f t="shared" si="39"/>
        <v>12.36904761904762</v>
      </c>
      <c r="CG102">
        <f t="shared" si="40"/>
        <v>5.5208333333333339</v>
      </c>
      <c r="CH102">
        <f t="shared" si="41"/>
        <v>0.69709543568464727</v>
      </c>
      <c r="CI102">
        <f t="shared" si="42"/>
        <v>113.39285714285715</v>
      </c>
      <c r="CJ102">
        <f t="shared" si="43"/>
        <v>4.8227848101265822</v>
      </c>
      <c r="CK102">
        <f t="shared" si="44"/>
        <v>79.045643153526967</v>
      </c>
      <c r="CL102">
        <f t="shared" si="45"/>
        <v>3.8485477178423237</v>
      </c>
      <c r="CM102">
        <f t="shared" si="46"/>
        <v>8.6224066390041489</v>
      </c>
      <c r="CN102">
        <f t="shared" si="47"/>
        <v>8.6224066390041489</v>
      </c>
      <c r="CO102">
        <f t="shared" si="48"/>
        <v>6.5145228215767625E-2</v>
      </c>
      <c r="CP102">
        <f t="shared" si="49"/>
        <v>1.8411214953271029</v>
      </c>
      <c r="CQ102">
        <f t="shared" si="50"/>
        <v>5.8630952380952388E-2</v>
      </c>
      <c r="CR102">
        <f t="shared" si="51"/>
        <v>2.3389880952380953</v>
      </c>
      <c r="CS102">
        <f t="shared" si="52"/>
        <v>0.77648809523809526</v>
      </c>
      <c r="CT102">
        <f t="shared" si="53"/>
        <v>0.15094339622641509</v>
      </c>
      <c r="CU102">
        <f t="shared" si="54"/>
        <v>5.4166666666666669E-2</v>
      </c>
      <c r="CV102">
        <f t="shared" si="55"/>
        <v>0.59161490683229812</v>
      </c>
      <c r="CW102">
        <f t="shared" si="56"/>
        <v>0.17916666666666667</v>
      </c>
      <c r="CX102">
        <f t="shared" si="57"/>
        <v>0.33197607838147347</v>
      </c>
      <c r="CY102">
        <f t="shared" si="58"/>
        <v>9.3452380952380953E-2</v>
      </c>
      <c r="CZ102">
        <f t="shared" si="59"/>
        <v>4.6728971962616823</v>
      </c>
      <c r="DA102">
        <f t="shared" si="60"/>
        <v>0.93178571428571433</v>
      </c>
      <c r="DB102">
        <f t="shared" si="61"/>
        <v>0.14064690026954177</v>
      </c>
      <c r="DC102">
        <f t="shared" si="62"/>
        <v>14.335164835164836</v>
      </c>
      <c r="DD102">
        <f t="shared" si="63"/>
        <v>0.54128630705394187</v>
      </c>
      <c r="DE102">
        <f t="shared" si="64"/>
        <v>23.511904761904763</v>
      </c>
      <c r="DF102">
        <f t="shared" si="65"/>
        <v>4.2587601078167117</v>
      </c>
      <c r="DG102">
        <f t="shared" si="66"/>
        <v>20.539083557951482</v>
      </c>
      <c r="DH102">
        <f t="shared" si="67"/>
        <v>2.2404312668463611</v>
      </c>
      <c r="DI102">
        <f t="shared" si="68"/>
        <v>0.42366576819407009</v>
      </c>
      <c r="DJ102">
        <f t="shared" si="69"/>
        <v>5.768194070080862E-3</v>
      </c>
      <c r="DK102">
        <f t="shared" si="70"/>
        <v>3.1693287816394653</v>
      </c>
      <c r="DL102">
        <f t="shared" si="71"/>
        <v>2.1057956334383028</v>
      </c>
      <c r="DM102">
        <f t="shared" si="72"/>
        <v>0.57406710007054462</v>
      </c>
      <c r="DN102">
        <f t="shared" si="73"/>
        <v>0.25623062334717522</v>
      </c>
      <c r="DO102">
        <f t="shared" si="74"/>
        <v>0.38142713360391894</v>
      </c>
      <c r="DP102">
        <f t="shared" si="75"/>
        <v>0.17024719269376073</v>
      </c>
    </row>
    <row r="103" spans="1:120">
      <c r="A103" s="16" t="s">
        <v>672</v>
      </c>
      <c r="B103" s="16" t="s">
        <v>24</v>
      </c>
      <c r="C103" s="122" t="s">
        <v>1801</v>
      </c>
      <c r="D103" s="16" t="s">
        <v>1723</v>
      </c>
      <c r="E103" s="16" t="s">
        <v>237</v>
      </c>
      <c r="F103" s="16" t="s">
        <v>29</v>
      </c>
      <c r="G103" s="16" t="s">
        <v>595</v>
      </c>
      <c r="H103" s="27">
        <v>360</v>
      </c>
      <c r="I103" s="16" t="s">
        <v>735</v>
      </c>
      <c r="J103" s="16" t="s">
        <v>1496</v>
      </c>
      <c r="K103" s="16"/>
      <c r="L103" s="16"/>
      <c r="M103" s="16" t="s">
        <v>92</v>
      </c>
      <c r="N103" s="16">
        <v>43</v>
      </c>
      <c r="O103" s="95">
        <v>8.8782209539015717</v>
      </c>
      <c r="P103" s="95">
        <v>2.1711872066442104</v>
      </c>
      <c r="Q103" s="95">
        <v>4.1811476405178114</v>
      </c>
      <c r="R103" s="95">
        <v>37.318623670637116</v>
      </c>
      <c r="S103" s="95">
        <v>11.705063703146264</v>
      </c>
      <c r="T103" s="95">
        <v>16.316149404385698</v>
      </c>
      <c r="U103" s="95">
        <v>0</v>
      </c>
      <c r="V103" s="95">
        <v>3.2137870038941529</v>
      </c>
      <c r="W103" s="95">
        <v>10.597973196788075</v>
      </c>
      <c r="X103" s="95">
        <v>2.396904688523064</v>
      </c>
      <c r="Y103" s="95">
        <v>4.15965073748173</v>
      </c>
      <c r="Z103" s="95">
        <v>100.9387082059197</v>
      </c>
      <c r="AA103" s="18"/>
      <c r="AB103" s="18"/>
      <c r="AC103" s="18"/>
      <c r="AD103" s="18">
        <v>128</v>
      </c>
      <c r="AE103" s="127">
        <v>209</v>
      </c>
      <c r="AF103" s="127">
        <v>30</v>
      </c>
      <c r="AG103" s="18"/>
      <c r="AH103" s="18">
        <v>455</v>
      </c>
      <c r="AI103" s="18">
        <v>481</v>
      </c>
      <c r="AJ103" s="18">
        <v>45.26</v>
      </c>
      <c r="AK103" s="134"/>
      <c r="AL103" s="18">
        <v>4.79</v>
      </c>
      <c r="AM103" s="134">
        <v>344</v>
      </c>
      <c r="AN103" s="127">
        <v>0.753</v>
      </c>
      <c r="AO103" s="18">
        <v>1.1499999999999999</v>
      </c>
      <c r="AP103" s="18"/>
      <c r="AQ103" s="18">
        <v>0.21199999999999999</v>
      </c>
      <c r="AR103" s="18">
        <v>9.8000000000000004E-2</v>
      </c>
      <c r="AS103" s="18"/>
      <c r="AT103" s="18"/>
      <c r="AU103" s="18"/>
      <c r="AV103" s="18"/>
      <c r="AW103" s="18"/>
      <c r="AX103" s="127">
        <v>1.48</v>
      </c>
      <c r="AY103" s="127">
        <v>15.64</v>
      </c>
      <c r="AZ103" s="127">
        <v>0.126</v>
      </c>
      <c r="BA103" s="127">
        <v>1.004</v>
      </c>
      <c r="BB103" s="18"/>
      <c r="BC103" s="127">
        <v>2.1890000000000001</v>
      </c>
      <c r="BD103" s="18"/>
      <c r="BE103" s="18"/>
      <c r="BF103" s="18"/>
      <c r="BG103" s="18"/>
      <c r="BH103" s="127">
        <v>2.8000000000000001E-2</v>
      </c>
      <c r="BI103" s="127">
        <v>33.46</v>
      </c>
      <c r="BJ103" s="18">
        <v>0.32600000000000001</v>
      </c>
      <c r="BK103" s="127">
        <v>2.2210000000000001</v>
      </c>
      <c r="BL103" s="127">
        <v>3.29</v>
      </c>
      <c r="BM103" s="127">
        <v>0.37</v>
      </c>
      <c r="BN103" s="127">
        <v>1.26</v>
      </c>
      <c r="BO103" s="18">
        <v>0.127</v>
      </c>
      <c r="BP103" s="18">
        <v>3.3000000000000002E-2</v>
      </c>
      <c r="BQ103" s="18">
        <v>6.9000000000000006E-2</v>
      </c>
      <c r="BR103" s="18">
        <v>3.1E-2</v>
      </c>
      <c r="BS103" s="18">
        <v>6.0000000000000001E-3</v>
      </c>
      <c r="BT103" s="18">
        <v>8.9999999999999993E-3</v>
      </c>
      <c r="BU103" s="18"/>
      <c r="BV103" s="18">
        <v>4.0000000000000001E-3</v>
      </c>
      <c r="BW103" s="18">
        <v>1E-3</v>
      </c>
      <c r="BX103" s="18">
        <v>2.4E-2</v>
      </c>
      <c r="BY103" s="127">
        <v>6.4000000000000001E-2</v>
      </c>
      <c r="BZ103" s="18"/>
      <c r="CA103" s="127">
        <v>0.27700000000000002</v>
      </c>
      <c r="CB103" s="127">
        <v>0.222</v>
      </c>
      <c r="CC103" s="127">
        <v>4.4999999999999998E-2</v>
      </c>
      <c r="CE103">
        <f t="shared" si="38"/>
        <v>2.1393861892583121</v>
      </c>
      <c r="CF103">
        <f t="shared" si="39"/>
        <v>15.065285907248986</v>
      </c>
      <c r="CG103">
        <f t="shared" si="40"/>
        <v>7.0418730301665917</v>
      </c>
      <c r="CH103">
        <f t="shared" si="41"/>
        <v>0.67507598784194534</v>
      </c>
      <c r="CI103">
        <f t="shared" si="42"/>
        <v>94.10175596578118</v>
      </c>
      <c r="CJ103">
        <f t="shared" si="43"/>
        <v>6.9666666666666668</v>
      </c>
      <c r="CK103">
        <f t="shared" si="44"/>
        <v>63.525835866261396</v>
      </c>
      <c r="CL103">
        <f t="shared" si="45"/>
        <v>4.7537993920972648</v>
      </c>
      <c r="CM103">
        <f t="shared" si="46"/>
        <v>10.170212765957446</v>
      </c>
      <c r="CN103">
        <f t="shared" si="47"/>
        <v>10.170212765957446</v>
      </c>
      <c r="CO103">
        <f t="shared" si="48"/>
        <v>1.9452887537993922E-2</v>
      </c>
      <c r="CP103">
        <f t="shared" si="49"/>
        <v>6.1555555555555559</v>
      </c>
      <c r="CQ103">
        <f t="shared" si="50"/>
        <v>0.12471859522737506</v>
      </c>
      <c r="CR103">
        <f t="shared" si="51"/>
        <v>0.98559207564160289</v>
      </c>
      <c r="CS103">
        <f t="shared" si="52"/>
        <v>0.45204862674470958</v>
      </c>
      <c r="CT103">
        <f t="shared" si="53"/>
        <v>9.462915601023017E-2</v>
      </c>
      <c r="CU103">
        <f t="shared" si="54"/>
        <v>5.6731202161188654E-2</v>
      </c>
      <c r="CV103">
        <f t="shared" si="55"/>
        <v>0.60755813953488369</v>
      </c>
      <c r="CW103">
        <f t="shared" si="56"/>
        <v>0.33903647005853216</v>
      </c>
      <c r="CX103">
        <f t="shared" si="57"/>
        <v>0.45865692096847877</v>
      </c>
      <c r="CY103">
        <f t="shared" si="58"/>
        <v>2.8815848716794237E-2</v>
      </c>
      <c r="CZ103">
        <f t="shared" si="59"/>
        <v>4.9333333333333336</v>
      </c>
      <c r="DA103">
        <f t="shared" si="60"/>
        <v>0.67837837837837844</v>
      </c>
      <c r="DB103">
        <f t="shared" si="61"/>
        <v>6.4194373401534527E-2</v>
      </c>
      <c r="DC103">
        <f t="shared" si="62"/>
        <v>7.9682539682539684</v>
      </c>
      <c r="DD103">
        <f t="shared" si="63"/>
        <v>0.30516717325227966</v>
      </c>
      <c r="DE103">
        <f t="shared" si="64"/>
        <v>13.507429085997298</v>
      </c>
      <c r="DF103">
        <f t="shared" si="65"/>
        <v>1.918158567774936</v>
      </c>
      <c r="DG103">
        <f t="shared" si="66"/>
        <v>13.363171355498721</v>
      </c>
      <c r="DH103">
        <f t="shared" si="67"/>
        <v>2.1393861892583121</v>
      </c>
      <c r="DI103">
        <f t="shared" si="68"/>
        <v>0.13996163682864449</v>
      </c>
      <c r="DJ103">
        <f t="shared" si="69"/>
        <v>2.8772378516624037E-3</v>
      </c>
      <c r="DK103">
        <f t="shared" si="70"/>
        <v>5.2701772639109699</v>
      </c>
      <c r="DL103">
        <f t="shared" si="71"/>
        <v>1.8825518417459755</v>
      </c>
      <c r="DM103">
        <f t="shared" si="72"/>
        <v>0.74840560761804753</v>
      </c>
      <c r="DN103">
        <f t="shared" si="73"/>
        <v>0.34982258527036053</v>
      </c>
      <c r="DO103">
        <f t="shared" si="74"/>
        <v>0.26733680565970658</v>
      </c>
      <c r="DP103">
        <f t="shared" si="75"/>
        <v>0.12495958280089095</v>
      </c>
    </row>
    <row r="104" spans="1:120">
      <c r="A104" s="16" t="s">
        <v>1181</v>
      </c>
      <c r="B104" s="16" t="s">
        <v>24</v>
      </c>
      <c r="C104" s="122" t="s">
        <v>1801</v>
      </c>
      <c r="D104" s="16" t="s">
        <v>831</v>
      </c>
      <c r="E104" s="16" t="s">
        <v>801</v>
      </c>
      <c r="F104" s="16" t="s">
        <v>800</v>
      </c>
      <c r="G104" s="16" t="s">
        <v>829</v>
      </c>
      <c r="H104" s="27"/>
      <c r="I104" s="16" t="s">
        <v>712</v>
      </c>
      <c r="J104" s="16" t="s">
        <v>635</v>
      </c>
      <c r="K104" s="16" t="s">
        <v>1169</v>
      </c>
      <c r="L104" s="16" t="s">
        <v>773</v>
      </c>
      <c r="M104" s="16" t="s">
        <v>787</v>
      </c>
      <c r="N104" s="16">
        <v>37</v>
      </c>
      <c r="O104" s="95">
        <v>19.268517421727058</v>
      </c>
      <c r="P104" s="95">
        <v>1.3503623397747033</v>
      </c>
      <c r="Q104" s="95">
        <v>2.5967952232560836</v>
      </c>
      <c r="R104" s="95">
        <v>13.091801814244022</v>
      </c>
      <c r="S104" s="95">
        <v>7.9743598437073935</v>
      </c>
      <c r="T104" s="95">
        <v>26.177531941636495</v>
      </c>
      <c r="U104" s="95">
        <v>3.709685879609427</v>
      </c>
      <c r="V104" s="95">
        <v>6.0768809185477819</v>
      </c>
      <c r="W104" s="95">
        <v>12.2842916231016</v>
      </c>
      <c r="X104" s="95">
        <v>5.7747267945813929</v>
      </c>
      <c r="Y104" s="95">
        <v>2.1890487352789734</v>
      </c>
      <c r="Z104" s="95">
        <v>100.49400253546493</v>
      </c>
      <c r="AA104" s="18"/>
      <c r="AB104" s="18"/>
      <c r="AC104" s="18"/>
      <c r="AD104" s="18"/>
      <c r="AE104" s="127"/>
      <c r="AF104" s="127"/>
      <c r="AG104" s="18"/>
      <c r="AH104" s="18">
        <v>135</v>
      </c>
      <c r="AI104" s="18"/>
      <c r="AJ104" s="18">
        <v>55</v>
      </c>
      <c r="AK104" s="134">
        <v>0</v>
      </c>
      <c r="AL104" s="18">
        <v>0</v>
      </c>
      <c r="AM104" s="134"/>
      <c r="AN104" s="127"/>
      <c r="AO104" s="18"/>
      <c r="AP104" s="18"/>
      <c r="AQ104" s="18"/>
      <c r="AR104" s="18"/>
      <c r="AS104" s="18"/>
      <c r="AT104" s="18"/>
      <c r="AU104" s="18"/>
      <c r="AV104" s="18"/>
      <c r="AW104" s="18"/>
      <c r="AX104" s="127">
        <v>0.48</v>
      </c>
      <c r="AY104" s="127">
        <v>5.4</v>
      </c>
      <c r="AZ104" s="127">
        <v>0.21</v>
      </c>
      <c r="BA104" s="127">
        <v>1.4</v>
      </c>
      <c r="BB104" s="18">
        <v>0</v>
      </c>
      <c r="BC104" s="127">
        <v>0.13</v>
      </c>
      <c r="BD104" s="18">
        <v>0</v>
      </c>
      <c r="BE104" s="18">
        <v>0</v>
      </c>
      <c r="BF104" s="18">
        <v>0</v>
      </c>
      <c r="BG104" s="18">
        <v>0</v>
      </c>
      <c r="BH104" s="127">
        <v>0.01</v>
      </c>
      <c r="BI104" s="127">
        <v>20</v>
      </c>
      <c r="BJ104" s="18">
        <v>0</v>
      </c>
      <c r="BK104" s="127">
        <v>1.7</v>
      </c>
      <c r="BL104" s="127">
        <v>2.4</v>
      </c>
      <c r="BM104" s="127">
        <v>0.28999999999999998</v>
      </c>
      <c r="BN104" s="127">
        <v>1.3</v>
      </c>
      <c r="BO104" s="18">
        <v>0.2</v>
      </c>
      <c r="BP104" s="18">
        <v>0.05</v>
      </c>
      <c r="BQ104" s="18">
        <v>0.14000000000000001</v>
      </c>
      <c r="BR104" s="18">
        <v>6.0999999999999999E-2</v>
      </c>
      <c r="BS104" s="18">
        <v>0.01</v>
      </c>
      <c r="BT104" s="18">
        <v>2.3E-2</v>
      </c>
      <c r="BU104" s="18"/>
      <c r="BV104" s="18">
        <v>1.0999999999999999E-2</v>
      </c>
      <c r="BW104" s="18">
        <v>2E-3</v>
      </c>
      <c r="BX104" s="18">
        <v>3.6999999999999998E-2</v>
      </c>
      <c r="BY104" s="127">
        <v>8.0000000000000002E-3</v>
      </c>
      <c r="BZ104" s="18"/>
      <c r="CA104" s="127"/>
      <c r="CB104" s="127">
        <v>0.28000000000000003</v>
      </c>
      <c r="CC104" s="127">
        <v>4.2000000000000003E-2</v>
      </c>
      <c r="CE104">
        <f t="shared" si="38"/>
        <v>3.7037037037037033</v>
      </c>
      <c r="CF104">
        <f t="shared" si="39"/>
        <v>11.764705882352942</v>
      </c>
      <c r="CG104">
        <f t="shared" si="40"/>
        <v>3.1764705882352944</v>
      </c>
      <c r="CH104">
        <f t="shared" si="41"/>
        <v>0.70833333333333337</v>
      </c>
      <c r="CI104">
        <f t="shared" si="42"/>
        <v>0</v>
      </c>
      <c r="CJ104" t="e">
        <f t="shared" si="43"/>
        <v>#DIV/0!</v>
      </c>
      <c r="CK104">
        <f t="shared" si="44"/>
        <v>0</v>
      </c>
      <c r="CL104">
        <f t="shared" si="45"/>
        <v>2.2500000000000004</v>
      </c>
      <c r="CM104">
        <f t="shared" si="46"/>
        <v>8.3333333333333339</v>
      </c>
      <c r="CN104">
        <f t="shared" si="47"/>
        <v>8.3333333333333339</v>
      </c>
      <c r="CO104">
        <f t="shared" si="48"/>
        <v>3.3333333333333335E-3</v>
      </c>
      <c r="CP104">
        <f t="shared" si="49"/>
        <v>0</v>
      </c>
      <c r="CQ104">
        <f t="shared" si="50"/>
        <v>0</v>
      </c>
      <c r="CR104">
        <f t="shared" si="51"/>
        <v>7.6470588235294124E-2</v>
      </c>
      <c r="CS104">
        <f t="shared" si="52"/>
        <v>0.82352941176470584</v>
      </c>
      <c r="CT104">
        <f t="shared" si="53"/>
        <v>8.8888888888888878E-2</v>
      </c>
      <c r="CU104">
        <f t="shared" si="54"/>
        <v>0.12352941176470589</v>
      </c>
      <c r="CV104" t="e">
        <f t="shared" si="55"/>
        <v>#DIV/0!</v>
      </c>
      <c r="CW104">
        <f t="shared" si="56"/>
        <v>0</v>
      </c>
      <c r="CX104">
        <f t="shared" si="57"/>
        <v>10.769230769230768</v>
      </c>
      <c r="CY104">
        <f t="shared" si="58"/>
        <v>4.7058823529411769E-3</v>
      </c>
      <c r="CZ104">
        <f t="shared" si="59"/>
        <v>6.666666666666667</v>
      </c>
      <c r="DA104">
        <f t="shared" si="60"/>
        <v>2.9166666666666665</v>
      </c>
      <c r="DB104">
        <f t="shared" si="61"/>
        <v>0.25925925925925924</v>
      </c>
      <c r="DC104">
        <f t="shared" si="62"/>
        <v>6.6666666666666661</v>
      </c>
      <c r="DD104">
        <f t="shared" si="63"/>
        <v>0.58333333333333337</v>
      </c>
      <c r="DE104">
        <f t="shared" si="64"/>
        <v>0</v>
      </c>
      <c r="DF104">
        <f t="shared" si="65"/>
        <v>0</v>
      </c>
      <c r="DG104">
        <f t="shared" si="66"/>
        <v>0</v>
      </c>
      <c r="DH104">
        <f t="shared" si="67"/>
        <v>3.7037037037037033</v>
      </c>
      <c r="DI104">
        <f t="shared" si="68"/>
        <v>2.4074074074074074E-2</v>
      </c>
      <c r="DJ104">
        <f t="shared" si="69"/>
        <v>7.7777777777777776E-3</v>
      </c>
      <c r="DK104">
        <f t="shared" si="70"/>
        <v>4.6907999080631724</v>
      </c>
      <c r="DL104">
        <f t="shared" si="71"/>
        <v>1.5275266019153433</v>
      </c>
      <c r="DM104">
        <f t="shared" si="72"/>
        <v>1.476733304390258</v>
      </c>
      <c r="DN104">
        <f t="shared" si="73"/>
        <v>0.39871799218536969</v>
      </c>
      <c r="DO104">
        <f t="shared" si="74"/>
        <v>0.4808880043066821</v>
      </c>
      <c r="DP104">
        <f t="shared" si="75"/>
        <v>0.12983976116280418</v>
      </c>
    </row>
    <row r="105" spans="1:120">
      <c r="A105" s="16" t="s">
        <v>1656</v>
      </c>
      <c r="B105" s="4" t="s">
        <v>24</v>
      </c>
      <c r="C105" s="122" t="s">
        <v>1801</v>
      </c>
      <c r="D105" s="4" t="s">
        <v>1706</v>
      </c>
      <c r="E105" s="4" t="s">
        <v>237</v>
      </c>
      <c r="F105" s="4" t="s">
        <v>849</v>
      </c>
      <c r="G105" s="4" t="s">
        <v>595</v>
      </c>
      <c r="H105" s="49">
        <v>364</v>
      </c>
      <c r="I105" s="4" t="s">
        <v>1148</v>
      </c>
      <c r="J105" s="4" t="s">
        <v>635</v>
      </c>
      <c r="K105" s="4" t="s">
        <v>1678</v>
      </c>
      <c r="L105" s="4"/>
      <c r="M105" s="4" t="s">
        <v>1698</v>
      </c>
      <c r="N105" s="4">
        <v>36</v>
      </c>
      <c r="O105" s="95">
        <v>2.4913975284669099</v>
      </c>
      <c r="P105" s="95">
        <v>0.46025817794971019</v>
      </c>
      <c r="Q105" s="95">
        <v>1.650926073080482</v>
      </c>
      <c r="R105" s="95">
        <v>9.8955508259187699</v>
      </c>
      <c r="S105" s="95">
        <v>12.507015705155165</v>
      </c>
      <c r="T105" s="95">
        <v>23.81335790261544</v>
      </c>
      <c r="U105" s="95">
        <v>0.12006735076948961</v>
      </c>
      <c r="V105" s="95">
        <v>21.111842510301923</v>
      </c>
      <c r="W105" s="95">
        <v>23.913414028256678</v>
      </c>
      <c r="X105" s="95">
        <v>3.9121945125725364</v>
      </c>
      <c r="Y105" s="95">
        <v>0.16008980102598616</v>
      </c>
      <c r="Z105" s="95">
        <v>100.03611441611311</v>
      </c>
      <c r="AJ105" s="44">
        <v>8704.9189926910258</v>
      </c>
      <c r="AY105" s="131">
        <v>5717.6129533870762</v>
      </c>
      <c r="AZ105" s="131">
        <v>28.576861589249958</v>
      </c>
      <c r="BA105" s="131">
        <v>161.11593532140117</v>
      </c>
      <c r="BC105" s="131">
        <v>723.96123424082953</v>
      </c>
      <c r="BI105" s="131">
        <v>21505.409927566689</v>
      </c>
      <c r="BK105" s="131">
        <v>217.34929165927491</v>
      </c>
      <c r="BL105" s="131">
        <v>369.75498120594574</v>
      </c>
      <c r="BM105" s="131">
        <v>54.814967329242634</v>
      </c>
      <c r="BN105" s="131">
        <v>282.45340057586026</v>
      </c>
      <c r="BO105" s="44">
        <v>56.819316883293119</v>
      </c>
      <c r="BP105" s="44">
        <v>13.640841045885836</v>
      </c>
      <c r="BQ105" s="44">
        <v>31.458290869329925</v>
      </c>
      <c r="BR105" s="44">
        <v>7.6261226475972306</v>
      </c>
      <c r="BS105" s="44">
        <v>1.0280717065653877</v>
      </c>
      <c r="BT105" s="44">
        <v>3.6128429232250765</v>
      </c>
      <c r="BV105" s="44">
        <v>2.0734549683647803</v>
      </c>
      <c r="BW105" s="44">
        <v>0.11180615576091946</v>
      </c>
      <c r="BX105" s="44">
        <v>2.5717397160298887</v>
      </c>
      <c r="BY105" s="131">
        <v>35.520784324225033</v>
      </c>
      <c r="CA105" s="131">
        <v>12.859893206738612</v>
      </c>
      <c r="CB105" s="131">
        <v>9.195111737234944</v>
      </c>
      <c r="CC105" s="131">
        <v>1.3114534579879298</v>
      </c>
      <c r="CE105">
        <f t="shared" si="38"/>
        <v>3.761256682271056</v>
      </c>
      <c r="CF105">
        <f t="shared" si="39"/>
        <v>98.944007424139173</v>
      </c>
      <c r="CG105">
        <f t="shared" si="40"/>
        <v>26.306103460186222</v>
      </c>
      <c r="CH105">
        <f t="shared" si="41"/>
        <v>0.58781977987259604</v>
      </c>
      <c r="CI105">
        <f t="shared" si="42"/>
        <v>0</v>
      </c>
      <c r="CJ105" t="e">
        <f t="shared" si="43"/>
        <v>#DIV/0!</v>
      </c>
      <c r="CK105">
        <f t="shared" si="44"/>
        <v>0</v>
      </c>
      <c r="CL105">
        <f t="shared" si="45"/>
        <v>15.463247945272402</v>
      </c>
      <c r="CM105">
        <f t="shared" si="46"/>
        <v>58.161244663769999</v>
      </c>
      <c r="CN105">
        <f t="shared" si="47"/>
        <v>58.161244663769999</v>
      </c>
      <c r="CO105">
        <f t="shared" si="48"/>
        <v>9.6065735770144239E-2</v>
      </c>
      <c r="CP105">
        <f t="shared" si="49"/>
        <v>9.8058327029528254</v>
      </c>
      <c r="CQ105">
        <f t="shared" si="50"/>
        <v>5.9166943257851851E-2</v>
      </c>
      <c r="CR105">
        <f t="shared" si="51"/>
        <v>3.33086539511589</v>
      </c>
      <c r="CS105">
        <f t="shared" si="52"/>
        <v>0.74127656037624767</v>
      </c>
      <c r="CT105">
        <f t="shared" si="53"/>
        <v>0</v>
      </c>
      <c r="CU105">
        <f t="shared" si="54"/>
        <v>0.13147897272215703</v>
      </c>
      <c r="CV105" t="e">
        <f t="shared" si="55"/>
        <v>#DIV/0!</v>
      </c>
      <c r="CW105">
        <f t="shared" si="56"/>
        <v>0</v>
      </c>
      <c r="CX105">
        <f t="shared" si="57"/>
        <v>0.22254773833346594</v>
      </c>
      <c r="CY105">
        <f t="shared" si="58"/>
        <v>0.16342719156365496</v>
      </c>
      <c r="CZ105">
        <f t="shared" si="59"/>
        <v>7.0113900582811022</v>
      </c>
      <c r="DA105" t="e">
        <f t="shared" si="60"/>
        <v>#DIV/0!</v>
      </c>
      <c r="DB105">
        <f t="shared" si="61"/>
        <v>2.8178881053142493E-2</v>
      </c>
      <c r="DC105">
        <f t="shared" si="62"/>
        <v>5.6379856415726826</v>
      </c>
      <c r="DD105">
        <f t="shared" si="63"/>
        <v>0.43573702454508106</v>
      </c>
      <c r="DE105">
        <f t="shared" si="64"/>
        <v>0</v>
      </c>
      <c r="DF105">
        <f t="shared" si="65"/>
        <v>0</v>
      </c>
      <c r="DG105">
        <f t="shared" si="66"/>
        <v>0</v>
      </c>
      <c r="DH105">
        <f t="shared" si="67"/>
        <v>3.761256682271056</v>
      </c>
      <c r="DI105">
        <f t="shared" si="68"/>
        <v>0.12661948966167072</v>
      </c>
      <c r="DJ105">
        <f t="shared" si="69"/>
        <v>2.2937080013627598E-4</v>
      </c>
      <c r="DK105">
        <f t="shared" si="70"/>
        <v>5.7543392985893158E-2</v>
      </c>
      <c r="DL105">
        <f t="shared" si="71"/>
        <v>7.5957278741378975E-3</v>
      </c>
      <c r="DM105">
        <f t="shared" si="72"/>
        <v>2.1874540664292589E-3</v>
      </c>
      <c r="DN105">
        <f t="shared" si="73"/>
        <v>5.8157532208316849E-4</v>
      </c>
      <c r="DO105">
        <f t="shared" si="74"/>
        <v>2.887439367686622E-4</v>
      </c>
      <c r="DP105">
        <f t="shared" si="75"/>
        <v>7.6767942514978246E-5</v>
      </c>
    </row>
    <row r="106" spans="1:120">
      <c r="A106" s="16" t="s">
        <v>1656</v>
      </c>
      <c r="B106" s="4" t="s">
        <v>24</v>
      </c>
      <c r="C106" s="122" t="s">
        <v>1801</v>
      </c>
      <c r="D106" s="4" t="s">
        <v>1706</v>
      </c>
      <c r="E106" s="4" t="s">
        <v>237</v>
      </c>
      <c r="F106" s="4" t="s">
        <v>849</v>
      </c>
      <c r="G106" s="4" t="s">
        <v>595</v>
      </c>
      <c r="H106" s="49">
        <v>364</v>
      </c>
      <c r="I106" s="4" t="s">
        <v>1148</v>
      </c>
      <c r="J106" s="4" t="s">
        <v>635</v>
      </c>
      <c r="K106" s="4" t="s">
        <v>1678</v>
      </c>
      <c r="L106" s="4"/>
      <c r="M106" s="4" t="s">
        <v>1700</v>
      </c>
      <c r="N106" s="4">
        <v>24</v>
      </c>
      <c r="O106" s="95">
        <v>17.378179123771993</v>
      </c>
      <c r="P106" s="95">
        <v>3.3139783445332638</v>
      </c>
      <c r="Q106" s="95">
        <v>6.2945381361104378</v>
      </c>
      <c r="R106" s="95">
        <v>12.831562492552575</v>
      </c>
      <c r="S106" s="95">
        <v>7.4463476826860218</v>
      </c>
      <c r="T106" s="95">
        <v>15.256424695869597</v>
      </c>
      <c r="U106" s="95">
        <v>7.3453117575478126</v>
      </c>
      <c r="V106" s="95">
        <v>6.7087854291770936</v>
      </c>
      <c r="W106" s="95">
        <v>14.953316920454968</v>
      </c>
      <c r="X106" s="95">
        <v>4.940656739258432</v>
      </c>
      <c r="Y106" s="95">
        <v>4.5466166312194165</v>
      </c>
      <c r="Z106" s="95">
        <v>101.01571795318162</v>
      </c>
      <c r="AJ106" s="44">
        <v>18365.229512205631</v>
      </c>
      <c r="AX106" s="131">
        <v>3475.65247092249</v>
      </c>
      <c r="AY106" s="131">
        <v>6188.4521659710217</v>
      </c>
      <c r="AZ106" s="131">
        <v>78.660642745539718</v>
      </c>
      <c r="BA106" s="131">
        <v>610.23783029655465</v>
      </c>
      <c r="BC106" s="131">
        <v>537.05951566242948</v>
      </c>
      <c r="BI106" s="131">
        <v>122936.50717525645</v>
      </c>
      <c r="BK106" s="131">
        <v>1884.102750048399</v>
      </c>
      <c r="BL106" s="131">
        <v>2006.1602177381164</v>
      </c>
      <c r="BM106" s="131">
        <v>185.30662694037795</v>
      </c>
      <c r="BN106" s="131">
        <v>713.11058266289183</v>
      </c>
      <c r="BO106" s="44">
        <v>68.838817909336171</v>
      </c>
      <c r="BP106" s="44">
        <v>17.167777939155783</v>
      </c>
      <c r="BQ106" s="44">
        <v>60.405764750006924</v>
      </c>
      <c r="BR106" s="44">
        <v>27.098927476482839</v>
      </c>
      <c r="BS106" s="44">
        <v>3.4867380073648415</v>
      </c>
      <c r="BT106" s="44">
        <v>8.0774006933928675</v>
      </c>
      <c r="BV106" s="44">
        <v>1.6583016563780941</v>
      </c>
      <c r="BW106" s="44">
        <v>0.55257348104353421</v>
      </c>
      <c r="BX106" s="44">
        <v>12.725171294497013</v>
      </c>
      <c r="BY106" s="131">
        <v>3.3164060173746561</v>
      </c>
      <c r="CA106" s="131">
        <v>156.4526319274523</v>
      </c>
      <c r="CB106" s="131">
        <v>473.00430886899926</v>
      </c>
      <c r="CC106" s="131">
        <v>45.700612872090623</v>
      </c>
      <c r="CE106">
        <f t="shared" si="38"/>
        <v>19.865469406269</v>
      </c>
      <c r="CF106">
        <f t="shared" si="39"/>
        <v>65.249364543466882</v>
      </c>
      <c r="CG106">
        <f t="shared" si="40"/>
        <v>3.2845619305062064</v>
      </c>
      <c r="CH106">
        <f t="shared" si="41"/>
        <v>0.93915866409347237</v>
      </c>
      <c r="CI106">
        <f t="shared" si="42"/>
        <v>0</v>
      </c>
      <c r="CJ106" t="e">
        <f t="shared" si="43"/>
        <v>#DIV/0!</v>
      </c>
      <c r="CK106">
        <f t="shared" si="44"/>
        <v>0</v>
      </c>
      <c r="CL106">
        <f t="shared" si="45"/>
        <v>3.0847247947864851</v>
      </c>
      <c r="CM106">
        <f t="shared" si="46"/>
        <v>61.279506037590338</v>
      </c>
      <c r="CN106">
        <f t="shared" si="47"/>
        <v>61.279506037590338</v>
      </c>
      <c r="CO106">
        <f t="shared" si="48"/>
        <v>1.6531112460767472E-3</v>
      </c>
      <c r="CP106">
        <f t="shared" si="49"/>
        <v>3.4234252473887055</v>
      </c>
      <c r="CQ106">
        <f t="shared" si="50"/>
        <v>8.3038269501720829E-2</v>
      </c>
      <c r="CR106">
        <f t="shared" si="51"/>
        <v>0.28504789117718415</v>
      </c>
      <c r="CS106">
        <f t="shared" si="52"/>
        <v>0.32388776582427831</v>
      </c>
      <c r="CT106">
        <f t="shared" si="53"/>
        <v>0.56163518400196444</v>
      </c>
      <c r="CU106">
        <f t="shared" si="54"/>
        <v>4.174965656385729E-2</v>
      </c>
      <c r="CV106" t="e">
        <f t="shared" si="55"/>
        <v>#DIV/0!</v>
      </c>
      <c r="CW106">
        <f t="shared" si="56"/>
        <v>0</v>
      </c>
      <c r="CX106">
        <f t="shared" si="57"/>
        <v>1.1362573653384844</v>
      </c>
      <c r="CY106">
        <f t="shared" si="58"/>
        <v>1.7602044353947595E-3</v>
      </c>
      <c r="CZ106">
        <f t="shared" si="59"/>
        <v>10.350064892846614</v>
      </c>
      <c r="DA106">
        <f t="shared" si="60"/>
        <v>0.17557504249974348</v>
      </c>
      <c r="DB106">
        <f t="shared" si="61"/>
        <v>9.860912130049615E-2</v>
      </c>
      <c r="DC106">
        <f t="shared" si="62"/>
        <v>7.7578546144177913</v>
      </c>
      <c r="DD106">
        <f t="shared" si="63"/>
        <v>0.30418200146774865</v>
      </c>
      <c r="DE106">
        <f t="shared" si="64"/>
        <v>0</v>
      </c>
      <c r="DF106">
        <f t="shared" si="65"/>
        <v>0</v>
      </c>
      <c r="DG106">
        <f t="shared" si="66"/>
        <v>0</v>
      </c>
      <c r="DH106">
        <f t="shared" si="67"/>
        <v>19.865469406269</v>
      </c>
      <c r="DI106">
        <f t="shared" si="68"/>
        <v>8.678414266746784E-2</v>
      </c>
      <c r="DJ106">
        <f t="shared" si="69"/>
        <v>7.384821219656273E-3</v>
      </c>
      <c r="DK106">
        <f t="shared" si="70"/>
        <v>3.9521982983649591E-3</v>
      </c>
      <c r="DL106">
        <f t="shared" si="71"/>
        <v>3.3408677610330664E-3</v>
      </c>
      <c r="DM106">
        <f t="shared" si="72"/>
        <v>1.2032649656131948E-3</v>
      </c>
      <c r="DN106">
        <f t="shared" si="73"/>
        <v>6.0570678749402072E-5</v>
      </c>
      <c r="DO106">
        <f t="shared" si="74"/>
        <v>1.0171425693039627E-3</v>
      </c>
      <c r="DP106">
        <f t="shared" si="75"/>
        <v>5.1201537124664184E-5</v>
      </c>
    </row>
    <row r="107" spans="1:120">
      <c r="A107" s="16" t="s">
        <v>847</v>
      </c>
      <c r="B107" s="16" t="s">
        <v>24</v>
      </c>
      <c r="C107" s="123" t="s">
        <v>546</v>
      </c>
      <c r="D107" s="16" t="s">
        <v>546</v>
      </c>
      <c r="E107" s="16" t="s">
        <v>1394</v>
      </c>
      <c r="F107" s="16" t="s">
        <v>1728</v>
      </c>
      <c r="G107" s="16" t="s">
        <v>595</v>
      </c>
      <c r="H107" s="27">
        <v>84</v>
      </c>
      <c r="I107" s="16" t="s">
        <v>1148</v>
      </c>
      <c r="J107" s="16"/>
      <c r="K107" s="16"/>
      <c r="L107" s="16" t="s">
        <v>571</v>
      </c>
      <c r="M107" s="16" t="s">
        <v>545</v>
      </c>
      <c r="N107" s="16">
        <v>19</v>
      </c>
      <c r="O107" s="95">
        <v>2.3334825665509151</v>
      </c>
      <c r="P107" s="95">
        <v>0</v>
      </c>
      <c r="Q107" s="95">
        <v>0</v>
      </c>
      <c r="R107" s="95">
        <v>7.2294343066507309</v>
      </c>
      <c r="S107" s="95">
        <v>6.0190765268042279</v>
      </c>
      <c r="T107" s="95">
        <v>5.7682816715207199</v>
      </c>
      <c r="U107" s="95">
        <v>0</v>
      </c>
      <c r="V107" s="95">
        <v>23.422058658651242</v>
      </c>
      <c r="W107" s="95">
        <v>26.475213418624399</v>
      </c>
      <c r="X107" s="95">
        <v>0.61063095199463191</v>
      </c>
      <c r="Y107" s="95">
        <v>36.343445767823354</v>
      </c>
      <c r="Z107" s="95">
        <v>108.20162386862022</v>
      </c>
      <c r="AA107" s="18"/>
      <c r="AB107" s="18"/>
      <c r="AC107" s="18"/>
      <c r="AD107" s="18"/>
      <c r="AE107" s="127"/>
      <c r="AF107" s="127"/>
      <c r="AG107" s="18"/>
      <c r="AH107" s="18"/>
      <c r="AI107" s="18"/>
      <c r="AJ107" s="18"/>
      <c r="AK107" s="134"/>
      <c r="AL107" s="18"/>
      <c r="AM107" s="134"/>
      <c r="AN107" s="127"/>
      <c r="AO107" s="18"/>
      <c r="AP107" s="18"/>
      <c r="AQ107" s="18"/>
      <c r="AR107" s="18"/>
      <c r="AS107" s="18"/>
      <c r="AT107" s="18"/>
      <c r="AU107" s="18"/>
      <c r="AV107" s="18"/>
      <c r="AW107" s="18"/>
      <c r="AX107" s="127"/>
      <c r="AY107" s="127"/>
      <c r="AZ107" s="127"/>
      <c r="BA107" s="127"/>
      <c r="BB107" s="18">
        <v>0</v>
      </c>
      <c r="BC107" s="127">
        <v>0</v>
      </c>
      <c r="BD107" s="18">
        <v>0</v>
      </c>
      <c r="BE107" s="18">
        <v>0</v>
      </c>
      <c r="BF107" s="18">
        <v>0</v>
      </c>
      <c r="BG107" s="18">
        <v>0</v>
      </c>
      <c r="BH107" s="127">
        <v>0</v>
      </c>
      <c r="BI107" s="127">
        <v>0</v>
      </c>
      <c r="BJ107" s="18">
        <v>0</v>
      </c>
      <c r="BK107" s="127">
        <v>0</v>
      </c>
      <c r="BL107" s="127">
        <v>0</v>
      </c>
      <c r="BM107" s="127">
        <v>0</v>
      </c>
      <c r="BN107" s="127">
        <v>0</v>
      </c>
      <c r="BO107" s="18"/>
      <c r="BP107" s="18"/>
      <c r="BQ107" s="18"/>
      <c r="BR107" s="18"/>
      <c r="BS107" s="18"/>
      <c r="BT107" s="18"/>
      <c r="BU107" s="18"/>
      <c r="BV107" s="18"/>
      <c r="BW107" s="18"/>
      <c r="BX107" s="18"/>
      <c r="BY107" s="127"/>
      <c r="BZ107" s="18"/>
      <c r="CA107" s="127"/>
      <c r="CB107" s="127"/>
      <c r="CC107" s="127"/>
      <c r="CE107" t="e">
        <f t="shared" si="38"/>
        <v>#DIV/0!</v>
      </c>
      <c r="CF107" t="e">
        <f t="shared" si="39"/>
        <v>#DIV/0!</v>
      </c>
      <c r="CG107" t="e">
        <f t="shared" si="40"/>
        <v>#DIV/0!</v>
      </c>
      <c r="CH107" t="e">
        <f t="shared" si="41"/>
        <v>#DIV/0!</v>
      </c>
      <c r="CI107" t="e">
        <f t="shared" si="42"/>
        <v>#DIV/0!</v>
      </c>
      <c r="CJ107" t="e">
        <f t="shared" si="43"/>
        <v>#DIV/0!</v>
      </c>
      <c r="CK107" t="e">
        <f t="shared" si="44"/>
        <v>#DIV/0!</v>
      </c>
      <c r="CL107" t="e">
        <f t="shared" si="45"/>
        <v>#DIV/0!</v>
      </c>
      <c r="CM107" t="e">
        <f t="shared" si="46"/>
        <v>#DIV/0!</v>
      </c>
      <c r="CN107" t="e">
        <f t="shared" si="47"/>
        <v>#DIV/0!</v>
      </c>
      <c r="CO107" t="e">
        <f t="shared" si="48"/>
        <v>#DIV/0!</v>
      </c>
      <c r="CP107" t="e">
        <f t="shared" si="49"/>
        <v>#DIV/0!</v>
      </c>
      <c r="CQ107" t="e">
        <f t="shared" si="50"/>
        <v>#DIV/0!</v>
      </c>
      <c r="CR107" t="e">
        <f t="shared" si="51"/>
        <v>#DIV/0!</v>
      </c>
      <c r="CS107" t="e">
        <f t="shared" si="52"/>
        <v>#DIV/0!</v>
      </c>
      <c r="CT107" t="e">
        <f t="shared" si="53"/>
        <v>#DIV/0!</v>
      </c>
      <c r="CU107" t="e">
        <f t="shared" si="54"/>
        <v>#DIV/0!</v>
      </c>
      <c r="CV107" t="e">
        <f t="shared" si="55"/>
        <v>#DIV/0!</v>
      </c>
      <c r="CW107" t="e">
        <f t="shared" si="56"/>
        <v>#DIV/0!</v>
      </c>
      <c r="CX107" t="e">
        <f t="shared" si="57"/>
        <v>#DIV/0!</v>
      </c>
      <c r="CY107" t="e">
        <f t="shared" si="58"/>
        <v>#DIV/0!</v>
      </c>
      <c r="CZ107" t="e">
        <f t="shared" si="59"/>
        <v>#DIV/0!</v>
      </c>
      <c r="DA107" t="e">
        <f t="shared" si="60"/>
        <v>#DIV/0!</v>
      </c>
      <c r="DB107" t="e">
        <f t="shared" si="61"/>
        <v>#DIV/0!</v>
      </c>
      <c r="DC107" t="e">
        <f t="shared" si="62"/>
        <v>#DIV/0!</v>
      </c>
      <c r="DD107" t="e">
        <f t="shared" si="63"/>
        <v>#DIV/0!</v>
      </c>
      <c r="DE107" t="e">
        <f t="shared" si="64"/>
        <v>#DIV/0!</v>
      </c>
      <c r="DF107" t="e">
        <f t="shared" si="65"/>
        <v>#DIV/0!</v>
      </c>
      <c r="DG107" t="e">
        <f t="shared" si="66"/>
        <v>#DIV/0!</v>
      </c>
      <c r="DH107" t="e">
        <f t="shared" si="67"/>
        <v>#DIV/0!</v>
      </c>
      <c r="DI107" t="e">
        <f t="shared" si="68"/>
        <v>#DIV/0!</v>
      </c>
      <c r="DJ107" t="e">
        <f t="shared" si="69"/>
        <v>#DIV/0!</v>
      </c>
      <c r="DK107" t="e">
        <f t="shared" si="70"/>
        <v>#DIV/0!</v>
      </c>
      <c r="DL107" t="e">
        <f t="shared" si="71"/>
        <v>#DIV/0!</v>
      </c>
      <c r="DM107" t="e">
        <f t="shared" si="72"/>
        <v>#DIV/0!</v>
      </c>
      <c r="DN107" t="e">
        <f t="shared" si="73"/>
        <v>#DIV/0!</v>
      </c>
      <c r="DO107" t="e">
        <f t="shared" si="74"/>
        <v>#DIV/0!</v>
      </c>
      <c r="DP107" t="e">
        <f t="shared" si="75"/>
        <v>#DIV/0!</v>
      </c>
    </row>
    <row r="108" spans="1:120">
      <c r="A108" s="16" t="s">
        <v>847</v>
      </c>
      <c r="B108" s="16" t="s">
        <v>24</v>
      </c>
      <c r="C108" s="123" t="s">
        <v>546</v>
      </c>
      <c r="D108" s="16" t="s">
        <v>546</v>
      </c>
      <c r="E108" s="16" t="s">
        <v>1394</v>
      </c>
      <c r="F108" s="16" t="s">
        <v>1728</v>
      </c>
      <c r="G108" s="16" t="s">
        <v>595</v>
      </c>
      <c r="H108" s="27">
        <v>84</v>
      </c>
      <c r="I108" s="16" t="s">
        <v>1148</v>
      </c>
      <c r="J108" s="16"/>
      <c r="K108" s="16"/>
      <c r="L108" s="16" t="s">
        <v>161</v>
      </c>
      <c r="M108" s="16" t="s">
        <v>547</v>
      </c>
      <c r="N108" s="16">
        <v>17</v>
      </c>
      <c r="O108" s="95">
        <v>4.4142805603890611</v>
      </c>
      <c r="P108" s="95">
        <v>0</v>
      </c>
      <c r="Q108" s="95">
        <v>0</v>
      </c>
      <c r="R108" s="95">
        <v>11.745919807965942</v>
      </c>
      <c r="S108" s="95">
        <v>0.43705748122663979</v>
      </c>
      <c r="T108" s="95">
        <v>3.758694338549101</v>
      </c>
      <c r="U108" s="95">
        <v>0</v>
      </c>
      <c r="V108" s="95">
        <v>4.5126184936650553</v>
      </c>
      <c r="W108" s="95">
        <v>43.793159618909293</v>
      </c>
      <c r="X108" s="95">
        <v>0.26223448873598382</v>
      </c>
      <c r="Y108" s="95">
        <v>40.132803213636187</v>
      </c>
      <c r="Z108" s="95">
        <v>109.05676800307725</v>
      </c>
      <c r="AA108" s="18"/>
      <c r="AB108" s="18"/>
      <c r="AC108" s="18"/>
      <c r="AD108" s="18"/>
      <c r="AE108" s="127"/>
      <c r="AF108" s="127"/>
      <c r="AG108" s="18"/>
      <c r="AH108" s="18"/>
      <c r="AI108" s="18"/>
      <c r="AJ108" s="18"/>
      <c r="AK108" s="134"/>
      <c r="AL108" s="18"/>
      <c r="AM108" s="134"/>
      <c r="AN108" s="127"/>
      <c r="AO108" s="18"/>
      <c r="AP108" s="18"/>
      <c r="AQ108" s="18"/>
      <c r="AR108" s="18"/>
      <c r="AS108" s="18"/>
      <c r="AT108" s="18"/>
      <c r="AU108" s="18"/>
      <c r="AV108" s="18"/>
      <c r="AW108" s="18"/>
      <c r="AX108" s="127"/>
      <c r="AY108" s="127"/>
      <c r="AZ108" s="127"/>
      <c r="BA108" s="127"/>
      <c r="BB108" s="18">
        <v>0</v>
      </c>
      <c r="BC108" s="127">
        <v>0</v>
      </c>
      <c r="BD108" s="18">
        <v>0</v>
      </c>
      <c r="BE108" s="18">
        <v>0</v>
      </c>
      <c r="BF108" s="18">
        <v>0</v>
      </c>
      <c r="BG108" s="18">
        <v>0</v>
      </c>
      <c r="BH108" s="127">
        <v>0</v>
      </c>
      <c r="BI108" s="127">
        <v>0</v>
      </c>
      <c r="BJ108" s="18">
        <v>0</v>
      </c>
      <c r="BK108" s="127">
        <v>0</v>
      </c>
      <c r="BL108" s="127">
        <v>0</v>
      </c>
      <c r="BM108" s="127">
        <v>0</v>
      </c>
      <c r="BN108" s="127">
        <v>0</v>
      </c>
      <c r="BO108" s="18"/>
      <c r="BP108" s="18"/>
      <c r="BQ108" s="18"/>
      <c r="BR108" s="18"/>
      <c r="BS108" s="18"/>
      <c r="BT108" s="18"/>
      <c r="BU108" s="18"/>
      <c r="BV108" s="18"/>
      <c r="BW108" s="18"/>
      <c r="BX108" s="18"/>
      <c r="BY108" s="127"/>
      <c r="BZ108" s="18"/>
      <c r="CA108" s="127"/>
      <c r="CB108" s="127"/>
      <c r="CC108" s="127"/>
      <c r="CE108" t="e">
        <f t="shared" si="38"/>
        <v>#DIV/0!</v>
      </c>
      <c r="CF108" t="e">
        <f t="shared" si="39"/>
        <v>#DIV/0!</v>
      </c>
      <c r="CG108" t="e">
        <f t="shared" si="40"/>
        <v>#DIV/0!</v>
      </c>
      <c r="CH108" t="e">
        <f t="shared" si="41"/>
        <v>#DIV/0!</v>
      </c>
      <c r="CI108" t="e">
        <f t="shared" si="42"/>
        <v>#DIV/0!</v>
      </c>
      <c r="CJ108" t="e">
        <f t="shared" si="43"/>
        <v>#DIV/0!</v>
      </c>
      <c r="CK108" t="e">
        <f t="shared" si="44"/>
        <v>#DIV/0!</v>
      </c>
      <c r="CL108" t="e">
        <f t="shared" si="45"/>
        <v>#DIV/0!</v>
      </c>
      <c r="CM108" t="e">
        <f t="shared" si="46"/>
        <v>#DIV/0!</v>
      </c>
      <c r="CN108" t="e">
        <f t="shared" si="47"/>
        <v>#DIV/0!</v>
      </c>
      <c r="CO108" t="e">
        <f t="shared" si="48"/>
        <v>#DIV/0!</v>
      </c>
      <c r="CP108" t="e">
        <f t="shared" si="49"/>
        <v>#DIV/0!</v>
      </c>
      <c r="CQ108" t="e">
        <f t="shared" si="50"/>
        <v>#DIV/0!</v>
      </c>
      <c r="CR108" t="e">
        <f t="shared" si="51"/>
        <v>#DIV/0!</v>
      </c>
      <c r="CS108" t="e">
        <f t="shared" si="52"/>
        <v>#DIV/0!</v>
      </c>
      <c r="CT108" t="e">
        <f t="shared" si="53"/>
        <v>#DIV/0!</v>
      </c>
      <c r="CU108" t="e">
        <f t="shared" si="54"/>
        <v>#DIV/0!</v>
      </c>
      <c r="CV108" t="e">
        <f t="shared" si="55"/>
        <v>#DIV/0!</v>
      </c>
      <c r="CW108" t="e">
        <f t="shared" si="56"/>
        <v>#DIV/0!</v>
      </c>
      <c r="CX108" t="e">
        <f t="shared" si="57"/>
        <v>#DIV/0!</v>
      </c>
      <c r="CY108" t="e">
        <f t="shared" si="58"/>
        <v>#DIV/0!</v>
      </c>
      <c r="CZ108" t="e">
        <f t="shared" si="59"/>
        <v>#DIV/0!</v>
      </c>
      <c r="DA108" t="e">
        <f t="shared" si="60"/>
        <v>#DIV/0!</v>
      </c>
      <c r="DB108" t="e">
        <f t="shared" si="61"/>
        <v>#DIV/0!</v>
      </c>
      <c r="DC108" t="e">
        <f t="shared" si="62"/>
        <v>#DIV/0!</v>
      </c>
      <c r="DD108" t="e">
        <f t="shared" si="63"/>
        <v>#DIV/0!</v>
      </c>
      <c r="DE108" t="e">
        <f t="shared" si="64"/>
        <v>#DIV/0!</v>
      </c>
      <c r="DF108" t="e">
        <f t="shared" si="65"/>
        <v>#DIV/0!</v>
      </c>
      <c r="DG108" t="e">
        <f t="shared" si="66"/>
        <v>#DIV/0!</v>
      </c>
      <c r="DH108" t="e">
        <f t="shared" si="67"/>
        <v>#DIV/0!</v>
      </c>
      <c r="DI108" t="e">
        <f t="shared" si="68"/>
        <v>#DIV/0!</v>
      </c>
      <c r="DJ108" t="e">
        <f t="shared" si="69"/>
        <v>#DIV/0!</v>
      </c>
      <c r="DK108" t="e">
        <f t="shared" si="70"/>
        <v>#DIV/0!</v>
      </c>
      <c r="DL108" t="e">
        <f t="shared" si="71"/>
        <v>#DIV/0!</v>
      </c>
      <c r="DM108" t="e">
        <f t="shared" si="72"/>
        <v>#DIV/0!</v>
      </c>
      <c r="DN108" t="e">
        <f t="shared" si="73"/>
        <v>#DIV/0!</v>
      </c>
      <c r="DO108" t="e">
        <f t="shared" si="74"/>
        <v>#DIV/0!</v>
      </c>
      <c r="DP108" t="e">
        <f t="shared" si="75"/>
        <v>#DIV/0!</v>
      </c>
    </row>
    <row r="109" spans="1:120">
      <c r="A109" s="16" t="s">
        <v>847</v>
      </c>
      <c r="B109" s="16" t="s">
        <v>24</v>
      </c>
      <c r="C109" s="123" t="s">
        <v>546</v>
      </c>
      <c r="D109" s="16" t="s">
        <v>546</v>
      </c>
      <c r="E109" s="16" t="s">
        <v>1394</v>
      </c>
      <c r="F109" s="16" t="s">
        <v>1728</v>
      </c>
      <c r="G109" s="16" t="s">
        <v>595</v>
      </c>
      <c r="H109" s="27">
        <v>84</v>
      </c>
      <c r="I109" s="16" t="s">
        <v>1148</v>
      </c>
      <c r="J109" s="16"/>
      <c r="K109" s="16"/>
      <c r="L109" s="16" t="s">
        <v>535</v>
      </c>
      <c r="M109" s="16" t="s">
        <v>548</v>
      </c>
      <c r="N109" s="16">
        <v>23</v>
      </c>
      <c r="O109" s="95">
        <v>1.6341278384303424</v>
      </c>
      <c r="P109" s="95">
        <v>6.595548430582529E-2</v>
      </c>
      <c r="Q109" s="95">
        <v>0</v>
      </c>
      <c r="R109" s="95">
        <v>8.1950842317895365</v>
      </c>
      <c r="S109" s="95">
        <v>5.0001636738423203</v>
      </c>
      <c r="T109" s="95">
        <v>6.7154674929567557</v>
      </c>
      <c r="U109" s="95">
        <v>0</v>
      </c>
      <c r="V109" s="95">
        <v>23.379604891344641</v>
      </c>
      <c r="W109" s="95">
        <v>34.127581470216292</v>
      </c>
      <c r="X109" s="95">
        <v>0.37313277484903945</v>
      </c>
      <c r="Y109" s="95">
        <v>26.485969834000116</v>
      </c>
      <c r="Z109" s="95">
        <v>105.97708769173488</v>
      </c>
      <c r="AA109" s="18"/>
      <c r="AB109" s="18"/>
      <c r="AC109" s="18"/>
      <c r="AD109" s="18"/>
      <c r="AE109" s="127"/>
      <c r="AF109" s="127"/>
      <c r="AG109" s="18"/>
      <c r="AH109" s="18"/>
      <c r="AI109" s="18"/>
      <c r="AJ109" s="18"/>
      <c r="AK109" s="134"/>
      <c r="AL109" s="18"/>
      <c r="AM109" s="134"/>
      <c r="AN109" s="127"/>
      <c r="AO109" s="18"/>
      <c r="AP109" s="18"/>
      <c r="AQ109" s="18"/>
      <c r="AR109" s="18"/>
      <c r="AS109" s="18"/>
      <c r="AT109" s="18"/>
      <c r="AU109" s="18"/>
      <c r="AV109" s="18"/>
      <c r="AW109" s="18"/>
      <c r="AX109" s="127"/>
      <c r="AY109" s="127"/>
      <c r="AZ109" s="127"/>
      <c r="BA109" s="127"/>
      <c r="BB109" s="18">
        <v>0</v>
      </c>
      <c r="BC109" s="127">
        <v>0</v>
      </c>
      <c r="BD109" s="18">
        <v>0</v>
      </c>
      <c r="BE109" s="18">
        <v>0</v>
      </c>
      <c r="BF109" s="18">
        <v>0</v>
      </c>
      <c r="BG109" s="18">
        <v>0</v>
      </c>
      <c r="BH109" s="127">
        <v>0</v>
      </c>
      <c r="BI109" s="127">
        <v>0</v>
      </c>
      <c r="BJ109" s="18">
        <v>0</v>
      </c>
      <c r="BK109" s="127">
        <v>0</v>
      </c>
      <c r="BL109" s="127">
        <v>0</v>
      </c>
      <c r="BM109" s="127">
        <v>0</v>
      </c>
      <c r="BN109" s="127">
        <v>0</v>
      </c>
      <c r="BO109" s="18"/>
      <c r="BP109" s="18"/>
      <c r="BQ109" s="18"/>
      <c r="BR109" s="18"/>
      <c r="BS109" s="18"/>
      <c r="BT109" s="18"/>
      <c r="BU109" s="18"/>
      <c r="BV109" s="18"/>
      <c r="BW109" s="18"/>
      <c r="BX109" s="18"/>
      <c r="BY109" s="127"/>
      <c r="BZ109" s="18"/>
      <c r="CA109" s="127"/>
      <c r="CB109" s="127"/>
      <c r="CC109" s="127"/>
      <c r="CE109" t="e">
        <f t="shared" si="38"/>
        <v>#DIV/0!</v>
      </c>
      <c r="CF109" t="e">
        <f t="shared" si="39"/>
        <v>#DIV/0!</v>
      </c>
      <c r="CG109" t="e">
        <f t="shared" si="40"/>
        <v>#DIV/0!</v>
      </c>
      <c r="CH109" t="e">
        <f t="shared" si="41"/>
        <v>#DIV/0!</v>
      </c>
      <c r="CI109" t="e">
        <f t="shared" si="42"/>
        <v>#DIV/0!</v>
      </c>
      <c r="CJ109" t="e">
        <f t="shared" si="43"/>
        <v>#DIV/0!</v>
      </c>
      <c r="CK109" t="e">
        <f t="shared" si="44"/>
        <v>#DIV/0!</v>
      </c>
      <c r="CL109" t="e">
        <f t="shared" si="45"/>
        <v>#DIV/0!</v>
      </c>
      <c r="CM109" t="e">
        <f t="shared" si="46"/>
        <v>#DIV/0!</v>
      </c>
      <c r="CN109" t="e">
        <f t="shared" si="47"/>
        <v>#DIV/0!</v>
      </c>
      <c r="CO109" t="e">
        <f t="shared" si="48"/>
        <v>#DIV/0!</v>
      </c>
      <c r="CP109" t="e">
        <f t="shared" si="49"/>
        <v>#DIV/0!</v>
      </c>
      <c r="CQ109" t="e">
        <f t="shared" si="50"/>
        <v>#DIV/0!</v>
      </c>
      <c r="CR109" t="e">
        <f t="shared" si="51"/>
        <v>#DIV/0!</v>
      </c>
      <c r="CS109" t="e">
        <f t="shared" si="52"/>
        <v>#DIV/0!</v>
      </c>
      <c r="CT109" t="e">
        <f t="shared" si="53"/>
        <v>#DIV/0!</v>
      </c>
      <c r="CU109" t="e">
        <f t="shared" si="54"/>
        <v>#DIV/0!</v>
      </c>
      <c r="CV109" t="e">
        <f t="shared" si="55"/>
        <v>#DIV/0!</v>
      </c>
      <c r="CW109" t="e">
        <f t="shared" si="56"/>
        <v>#DIV/0!</v>
      </c>
      <c r="CX109" t="e">
        <f t="shared" si="57"/>
        <v>#DIV/0!</v>
      </c>
      <c r="CY109" t="e">
        <f t="shared" si="58"/>
        <v>#DIV/0!</v>
      </c>
      <c r="CZ109" t="e">
        <f t="shared" si="59"/>
        <v>#DIV/0!</v>
      </c>
      <c r="DA109" t="e">
        <f t="shared" si="60"/>
        <v>#DIV/0!</v>
      </c>
      <c r="DB109" t="e">
        <f t="shared" si="61"/>
        <v>#DIV/0!</v>
      </c>
      <c r="DC109" t="e">
        <f t="shared" si="62"/>
        <v>#DIV/0!</v>
      </c>
      <c r="DD109" t="e">
        <f t="shared" si="63"/>
        <v>#DIV/0!</v>
      </c>
      <c r="DE109" t="e">
        <f t="shared" si="64"/>
        <v>#DIV/0!</v>
      </c>
      <c r="DF109" t="e">
        <f t="shared" si="65"/>
        <v>#DIV/0!</v>
      </c>
      <c r="DG109" t="e">
        <f t="shared" si="66"/>
        <v>#DIV/0!</v>
      </c>
      <c r="DH109" t="e">
        <f t="shared" si="67"/>
        <v>#DIV/0!</v>
      </c>
      <c r="DI109" t="e">
        <f t="shared" si="68"/>
        <v>#DIV/0!</v>
      </c>
      <c r="DJ109" t="e">
        <f t="shared" si="69"/>
        <v>#DIV/0!</v>
      </c>
      <c r="DK109" t="e">
        <f t="shared" si="70"/>
        <v>#DIV/0!</v>
      </c>
      <c r="DL109" t="e">
        <f t="shared" si="71"/>
        <v>#DIV/0!</v>
      </c>
      <c r="DM109" t="e">
        <f t="shared" si="72"/>
        <v>#DIV/0!</v>
      </c>
      <c r="DN109" t="e">
        <f t="shared" si="73"/>
        <v>#DIV/0!</v>
      </c>
      <c r="DO109" t="e">
        <f t="shared" si="74"/>
        <v>#DIV/0!</v>
      </c>
      <c r="DP109" t="e">
        <f t="shared" si="75"/>
        <v>#DIV/0!</v>
      </c>
    </row>
    <row r="110" spans="1:120">
      <c r="A110" s="16" t="s">
        <v>847</v>
      </c>
      <c r="B110" s="16" t="s">
        <v>24</v>
      </c>
      <c r="C110" s="123" t="s">
        <v>546</v>
      </c>
      <c r="D110" s="16" t="s">
        <v>546</v>
      </c>
      <c r="E110" s="16" t="s">
        <v>1394</v>
      </c>
      <c r="F110" s="16" t="s">
        <v>1728</v>
      </c>
      <c r="G110" s="16" t="s">
        <v>595</v>
      </c>
      <c r="H110" s="27">
        <v>84</v>
      </c>
      <c r="I110" s="16" t="s">
        <v>1148</v>
      </c>
      <c r="J110" s="16"/>
      <c r="K110" s="16"/>
      <c r="L110" s="16" t="s">
        <v>161</v>
      </c>
      <c r="M110" s="16" t="s">
        <v>551</v>
      </c>
      <c r="N110" s="16">
        <v>40</v>
      </c>
      <c r="O110" s="95">
        <v>1.5351738581330496</v>
      </c>
      <c r="P110" s="95">
        <v>0</v>
      </c>
      <c r="Q110" s="95">
        <v>0</v>
      </c>
      <c r="R110" s="95">
        <v>7.0133149890729261</v>
      </c>
      <c r="S110" s="95">
        <v>5.0479317325480642</v>
      </c>
      <c r="T110" s="95">
        <v>7.2907496565931691</v>
      </c>
      <c r="U110" s="95">
        <v>0</v>
      </c>
      <c r="V110" s="95">
        <v>19.959912494807273</v>
      </c>
      <c r="W110" s="95">
        <v>38.504006389974919</v>
      </c>
      <c r="X110" s="95">
        <v>3.341947237815554E-2</v>
      </c>
      <c r="Y110" s="95">
        <v>26.623649193448383</v>
      </c>
      <c r="Z110" s="95">
        <v>106.00815778695595</v>
      </c>
      <c r="AA110" s="18"/>
      <c r="AB110" s="18"/>
      <c r="AC110" s="18"/>
      <c r="AD110" s="18">
        <v>0</v>
      </c>
      <c r="AE110" s="127">
        <v>0</v>
      </c>
      <c r="AF110" s="127">
        <v>0</v>
      </c>
      <c r="AG110" s="18">
        <v>0</v>
      </c>
      <c r="AH110" s="18">
        <v>0</v>
      </c>
      <c r="AI110" s="18">
        <v>0</v>
      </c>
      <c r="AJ110" s="18">
        <v>0</v>
      </c>
      <c r="AK110" s="134">
        <v>0</v>
      </c>
      <c r="AL110" s="18">
        <v>0</v>
      </c>
      <c r="AM110" s="134"/>
      <c r="AN110" s="127"/>
      <c r="AO110" s="18"/>
      <c r="AP110" s="18"/>
      <c r="AQ110" s="18"/>
      <c r="AR110" s="18"/>
      <c r="AS110" s="18"/>
      <c r="AT110" s="18"/>
      <c r="AU110" s="18"/>
      <c r="AV110" s="18"/>
      <c r="AW110" s="18"/>
      <c r="AX110" s="127"/>
      <c r="AY110" s="127"/>
      <c r="AZ110" s="127"/>
      <c r="BA110" s="127"/>
      <c r="BB110" s="18">
        <v>0</v>
      </c>
      <c r="BC110" s="127">
        <v>0</v>
      </c>
      <c r="BD110" s="18">
        <v>0</v>
      </c>
      <c r="BE110" s="18">
        <v>0</v>
      </c>
      <c r="BF110" s="18">
        <v>0</v>
      </c>
      <c r="BG110" s="18">
        <v>0</v>
      </c>
      <c r="BH110" s="127">
        <v>0</v>
      </c>
      <c r="BI110" s="127">
        <v>0</v>
      </c>
      <c r="BJ110" s="18">
        <v>0</v>
      </c>
      <c r="BK110" s="127">
        <v>0</v>
      </c>
      <c r="BL110" s="127">
        <v>0</v>
      </c>
      <c r="BM110" s="127">
        <v>0</v>
      </c>
      <c r="BN110" s="127">
        <v>0</v>
      </c>
      <c r="BO110" s="18"/>
      <c r="BP110" s="18"/>
      <c r="BQ110" s="18"/>
      <c r="BR110" s="18"/>
      <c r="BS110" s="18"/>
      <c r="BT110" s="18"/>
      <c r="BU110" s="18"/>
      <c r="BV110" s="18"/>
      <c r="BW110" s="18"/>
      <c r="BX110" s="18"/>
      <c r="BY110" s="127"/>
      <c r="BZ110" s="18"/>
      <c r="CA110" s="127"/>
      <c r="CB110" s="127"/>
      <c r="CC110" s="127"/>
      <c r="CE110" t="e">
        <f t="shared" si="38"/>
        <v>#DIV/0!</v>
      </c>
      <c r="CF110" t="e">
        <f t="shared" si="39"/>
        <v>#DIV/0!</v>
      </c>
      <c r="CG110" t="e">
        <f t="shared" si="40"/>
        <v>#DIV/0!</v>
      </c>
      <c r="CH110" t="e">
        <f t="shared" si="41"/>
        <v>#DIV/0!</v>
      </c>
      <c r="CI110" t="e">
        <f t="shared" si="42"/>
        <v>#DIV/0!</v>
      </c>
      <c r="CJ110" t="e">
        <f t="shared" si="43"/>
        <v>#DIV/0!</v>
      </c>
      <c r="CK110" t="e">
        <f t="shared" si="44"/>
        <v>#DIV/0!</v>
      </c>
      <c r="CL110" t="e">
        <f t="shared" si="45"/>
        <v>#DIV/0!</v>
      </c>
      <c r="CM110" t="e">
        <f t="shared" si="46"/>
        <v>#DIV/0!</v>
      </c>
      <c r="CN110" t="e">
        <f t="shared" si="47"/>
        <v>#DIV/0!</v>
      </c>
      <c r="CO110" t="e">
        <f t="shared" si="48"/>
        <v>#DIV/0!</v>
      </c>
      <c r="CP110" t="e">
        <f t="shared" si="49"/>
        <v>#DIV/0!</v>
      </c>
      <c r="CQ110" t="e">
        <f t="shared" si="50"/>
        <v>#DIV/0!</v>
      </c>
      <c r="CR110" t="e">
        <f t="shared" si="51"/>
        <v>#DIV/0!</v>
      </c>
      <c r="CS110" t="e">
        <f t="shared" si="52"/>
        <v>#DIV/0!</v>
      </c>
      <c r="CT110" t="e">
        <f t="shared" si="53"/>
        <v>#DIV/0!</v>
      </c>
      <c r="CU110" t="e">
        <f t="shared" si="54"/>
        <v>#DIV/0!</v>
      </c>
      <c r="CV110" t="e">
        <f t="shared" si="55"/>
        <v>#DIV/0!</v>
      </c>
      <c r="CW110" t="e">
        <f t="shared" si="56"/>
        <v>#DIV/0!</v>
      </c>
      <c r="CX110" t="e">
        <f t="shared" si="57"/>
        <v>#DIV/0!</v>
      </c>
      <c r="CY110" t="e">
        <f t="shared" si="58"/>
        <v>#DIV/0!</v>
      </c>
      <c r="CZ110" t="e">
        <f t="shared" si="59"/>
        <v>#DIV/0!</v>
      </c>
      <c r="DA110" t="e">
        <f t="shared" si="60"/>
        <v>#DIV/0!</v>
      </c>
      <c r="DB110" t="e">
        <f t="shared" si="61"/>
        <v>#DIV/0!</v>
      </c>
      <c r="DC110" t="e">
        <f t="shared" si="62"/>
        <v>#DIV/0!</v>
      </c>
      <c r="DD110" t="e">
        <f t="shared" si="63"/>
        <v>#DIV/0!</v>
      </c>
      <c r="DE110" t="e">
        <f t="shared" si="64"/>
        <v>#DIV/0!</v>
      </c>
      <c r="DF110" t="e">
        <f t="shared" si="65"/>
        <v>#DIV/0!</v>
      </c>
      <c r="DG110" t="e">
        <f t="shared" si="66"/>
        <v>#DIV/0!</v>
      </c>
      <c r="DH110" t="e">
        <f t="shared" si="67"/>
        <v>#DIV/0!</v>
      </c>
      <c r="DI110" t="e">
        <f t="shared" si="68"/>
        <v>#DIV/0!</v>
      </c>
      <c r="DJ110" t="e">
        <f t="shared" si="69"/>
        <v>#DIV/0!</v>
      </c>
      <c r="DK110" t="e">
        <f t="shared" si="70"/>
        <v>#DIV/0!</v>
      </c>
      <c r="DL110" t="e">
        <f t="shared" si="71"/>
        <v>#DIV/0!</v>
      </c>
      <c r="DM110" t="e">
        <f t="shared" si="72"/>
        <v>#DIV/0!</v>
      </c>
      <c r="DN110" t="e">
        <f t="shared" si="73"/>
        <v>#DIV/0!</v>
      </c>
      <c r="DO110" t="e">
        <f t="shared" si="74"/>
        <v>#DIV/0!</v>
      </c>
      <c r="DP110" t="e">
        <f t="shared" si="75"/>
        <v>#DIV/0!</v>
      </c>
    </row>
    <row r="111" spans="1:120">
      <c r="A111" s="16" t="s">
        <v>847</v>
      </c>
      <c r="B111" s="16" t="s">
        <v>24</v>
      </c>
      <c r="C111" s="123" t="s">
        <v>546</v>
      </c>
      <c r="D111" s="16" t="s">
        <v>546</v>
      </c>
      <c r="E111" s="16" t="s">
        <v>1394</v>
      </c>
      <c r="F111" s="16" t="s">
        <v>1728</v>
      </c>
      <c r="G111" s="16" t="s">
        <v>595</v>
      </c>
      <c r="H111" s="27">
        <v>84</v>
      </c>
      <c r="I111" s="16" t="s">
        <v>1148</v>
      </c>
      <c r="J111" s="16"/>
      <c r="K111" s="16"/>
      <c r="L111" s="16" t="s">
        <v>161</v>
      </c>
      <c r="M111" s="16" t="s">
        <v>554</v>
      </c>
      <c r="N111" s="16">
        <v>20</v>
      </c>
      <c r="O111" s="95">
        <v>2.085797607956569</v>
      </c>
      <c r="P111" s="95">
        <v>0</v>
      </c>
      <c r="Q111" s="95">
        <v>0</v>
      </c>
      <c r="R111" s="95">
        <v>6.9706707623419</v>
      </c>
      <c r="S111" s="95">
        <v>6.0412479940296464</v>
      </c>
      <c r="T111" s="95">
        <v>7.5218400784340487</v>
      </c>
      <c r="U111" s="95">
        <v>0</v>
      </c>
      <c r="V111" s="95">
        <v>16.62153741470053</v>
      </c>
      <c r="W111" s="95">
        <v>32.96208655060898</v>
      </c>
      <c r="X111" s="95">
        <v>0.69166345548818853</v>
      </c>
      <c r="Y111" s="95">
        <v>35.004655192597539</v>
      </c>
      <c r="Z111" s="95">
        <v>107.8994990561574</v>
      </c>
      <c r="AA111" s="18"/>
      <c r="AB111" s="18"/>
      <c r="AC111" s="18"/>
      <c r="AD111" s="18">
        <v>0</v>
      </c>
      <c r="AE111" s="127">
        <v>0</v>
      </c>
      <c r="AF111" s="127">
        <v>0</v>
      </c>
      <c r="AG111" s="18">
        <v>0</v>
      </c>
      <c r="AH111" s="18">
        <v>0</v>
      </c>
      <c r="AI111" s="18">
        <v>0</v>
      </c>
      <c r="AJ111" s="18">
        <v>0</v>
      </c>
      <c r="AK111" s="134">
        <v>0</v>
      </c>
      <c r="AL111" s="18">
        <v>0</v>
      </c>
      <c r="AM111" s="134"/>
      <c r="AN111" s="127"/>
      <c r="AO111" s="18"/>
      <c r="AP111" s="18"/>
      <c r="AQ111" s="18"/>
      <c r="AR111" s="18"/>
      <c r="AS111" s="18"/>
      <c r="AT111" s="18"/>
      <c r="AU111" s="18"/>
      <c r="AV111" s="18"/>
      <c r="AW111" s="18"/>
      <c r="AX111" s="127"/>
      <c r="AY111" s="127"/>
      <c r="AZ111" s="127"/>
      <c r="BA111" s="127"/>
      <c r="BB111" s="18">
        <v>0</v>
      </c>
      <c r="BC111" s="127">
        <v>0</v>
      </c>
      <c r="BD111" s="18">
        <v>0</v>
      </c>
      <c r="BE111" s="18">
        <v>0</v>
      </c>
      <c r="BF111" s="18">
        <v>0</v>
      </c>
      <c r="BG111" s="18">
        <v>0</v>
      </c>
      <c r="BH111" s="127">
        <v>0</v>
      </c>
      <c r="BI111" s="127">
        <v>0</v>
      </c>
      <c r="BJ111" s="18">
        <v>0</v>
      </c>
      <c r="BK111" s="127">
        <v>0</v>
      </c>
      <c r="BL111" s="127">
        <v>0</v>
      </c>
      <c r="BM111" s="127">
        <v>0</v>
      </c>
      <c r="BN111" s="127">
        <v>0</v>
      </c>
      <c r="BO111" s="18"/>
      <c r="BP111" s="18"/>
      <c r="BQ111" s="18"/>
      <c r="BR111" s="18"/>
      <c r="BS111" s="18"/>
      <c r="BT111" s="18"/>
      <c r="BU111" s="18"/>
      <c r="BV111" s="18"/>
      <c r="BW111" s="18"/>
      <c r="BX111" s="18"/>
      <c r="BY111" s="127"/>
      <c r="BZ111" s="18"/>
      <c r="CA111" s="127"/>
      <c r="CB111" s="127"/>
      <c r="CC111" s="127"/>
      <c r="CE111" t="e">
        <f t="shared" si="38"/>
        <v>#DIV/0!</v>
      </c>
      <c r="CF111" t="e">
        <f t="shared" si="39"/>
        <v>#DIV/0!</v>
      </c>
      <c r="CG111" t="e">
        <f t="shared" si="40"/>
        <v>#DIV/0!</v>
      </c>
      <c r="CH111" t="e">
        <f t="shared" si="41"/>
        <v>#DIV/0!</v>
      </c>
      <c r="CI111" t="e">
        <f t="shared" si="42"/>
        <v>#DIV/0!</v>
      </c>
      <c r="CJ111" t="e">
        <f t="shared" si="43"/>
        <v>#DIV/0!</v>
      </c>
      <c r="CK111" t="e">
        <f t="shared" si="44"/>
        <v>#DIV/0!</v>
      </c>
      <c r="CL111" t="e">
        <f t="shared" si="45"/>
        <v>#DIV/0!</v>
      </c>
      <c r="CM111" t="e">
        <f t="shared" si="46"/>
        <v>#DIV/0!</v>
      </c>
      <c r="CN111" t="e">
        <f t="shared" si="47"/>
        <v>#DIV/0!</v>
      </c>
      <c r="CO111" t="e">
        <f t="shared" si="48"/>
        <v>#DIV/0!</v>
      </c>
      <c r="CP111" t="e">
        <f t="shared" si="49"/>
        <v>#DIV/0!</v>
      </c>
      <c r="CQ111" t="e">
        <f t="shared" si="50"/>
        <v>#DIV/0!</v>
      </c>
      <c r="CR111" t="e">
        <f t="shared" si="51"/>
        <v>#DIV/0!</v>
      </c>
      <c r="CS111" t="e">
        <f t="shared" si="52"/>
        <v>#DIV/0!</v>
      </c>
      <c r="CT111" t="e">
        <f t="shared" si="53"/>
        <v>#DIV/0!</v>
      </c>
      <c r="CU111" t="e">
        <f t="shared" si="54"/>
        <v>#DIV/0!</v>
      </c>
      <c r="CV111" t="e">
        <f t="shared" si="55"/>
        <v>#DIV/0!</v>
      </c>
      <c r="CW111" t="e">
        <f t="shared" si="56"/>
        <v>#DIV/0!</v>
      </c>
      <c r="CX111" t="e">
        <f t="shared" si="57"/>
        <v>#DIV/0!</v>
      </c>
      <c r="CY111" t="e">
        <f t="shared" si="58"/>
        <v>#DIV/0!</v>
      </c>
      <c r="CZ111" t="e">
        <f t="shared" si="59"/>
        <v>#DIV/0!</v>
      </c>
      <c r="DA111" t="e">
        <f t="shared" si="60"/>
        <v>#DIV/0!</v>
      </c>
      <c r="DB111" t="e">
        <f t="shared" si="61"/>
        <v>#DIV/0!</v>
      </c>
      <c r="DC111" t="e">
        <f t="shared" si="62"/>
        <v>#DIV/0!</v>
      </c>
      <c r="DD111" t="e">
        <f t="shared" si="63"/>
        <v>#DIV/0!</v>
      </c>
      <c r="DE111" t="e">
        <f t="shared" si="64"/>
        <v>#DIV/0!</v>
      </c>
      <c r="DF111" t="e">
        <f t="shared" si="65"/>
        <v>#DIV/0!</v>
      </c>
      <c r="DG111" t="e">
        <f t="shared" si="66"/>
        <v>#DIV/0!</v>
      </c>
      <c r="DH111" t="e">
        <f t="shared" si="67"/>
        <v>#DIV/0!</v>
      </c>
      <c r="DI111" t="e">
        <f t="shared" si="68"/>
        <v>#DIV/0!</v>
      </c>
      <c r="DJ111" t="e">
        <f t="shared" si="69"/>
        <v>#DIV/0!</v>
      </c>
      <c r="DK111" t="e">
        <f t="shared" si="70"/>
        <v>#DIV/0!</v>
      </c>
      <c r="DL111" t="e">
        <f t="shared" si="71"/>
        <v>#DIV/0!</v>
      </c>
      <c r="DM111" t="e">
        <f t="shared" si="72"/>
        <v>#DIV/0!</v>
      </c>
      <c r="DN111" t="e">
        <f t="shared" si="73"/>
        <v>#DIV/0!</v>
      </c>
      <c r="DO111" t="e">
        <f t="shared" si="74"/>
        <v>#DIV/0!</v>
      </c>
      <c r="DP111" t="e">
        <f t="shared" si="75"/>
        <v>#DIV/0!</v>
      </c>
    </row>
    <row r="112" spans="1:120">
      <c r="A112" s="16" t="s">
        <v>847</v>
      </c>
      <c r="B112" s="16" t="s">
        <v>24</v>
      </c>
      <c r="C112" s="123" t="s">
        <v>546</v>
      </c>
      <c r="D112" s="16" t="s">
        <v>546</v>
      </c>
      <c r="E112" s="16" t="s">
        <v>1394</v>
      </c>
      <c r="F112" s="16" t="s">
        <v>1728</v>
      </c>
      <c r="G112" s="16" t="s">
        <v>595</v>
      </c>
      <c r="H112" s="27">
        <v>84</v>
      </c>
      <c r="I112" s="16" t="s">
        <v>1148</v>
      </c>
      <c r="J112" s="16"/>
      <c r="K112" s="16"/>
      <c r="L112" s="16" t="s">
        <v>571</v>
      </c>
      <c r="M112" s="16" t="s">
        <v>557</v>
      </c>
      <c r="N112" s="16">
        <v>13</v>
      </c>
      <c r="O112" s="95">
        <v>2.7559488717712832</v>
      </c>
      <c r="P112" s="95">
        <v>0.79046595546928278</v>
      </c>
      <c r="Q112" s="95">
        <v>0</v>
      </c>
      <c r="R112" s="95">
        <v>7.3705609361325015</v>
      </c>
      <c r="S112" s="95">
        <v>6.3130456713830565</v>
      </c>
      <c r="T112" s="95">
        <v>5.1807566000351644</v>
      </c>
      <c r="U112" s="95">
        <v>0</v>
      </c>
      <c r="V112" s="95">
        <v>22.795329040154723</v>
      </c>
      <c r="W112" s="95">
        <v>31.362270881862354</v>
      </c>
      <c r="X112" s="95">
        <v>0.80114792784048927</v>
      </c>
      <c r="Y112" s="95">
        <v>29.225876407621048</v>
      </c>
      <c r="Z112" s="95">
        <v>106.5954022922699</v>
      </c>
      <c r="AA112" s="18"/>
      <c r="AB112" s="18"/>
      <c r="AC112" s="18"/>
      <c r="AD112" s="18">
        <v>0</v>
      </c>
      <c r="AE112" s="127">
        <v>0</v>
      </c>
      <c r="AF112" s="127">
        <v>0</v>
      </c>
      <c r="AG112" s="18">
        <v>0</v>
      </c>
      <c r="AH112" s="18">
        <v>0</v>
      </c>
      <c r="AI112" s="18">
        <v>0</v>
      </c>
      <c r="AJ112" s="18">
        <v>0</v>
      </c>
      <c r="AK112" s="134">
        <v>0</v>
      </c>
      <c r="AL112" s="18">
        <v>0</v>
      </c>
      <c r="AM112" s="134"/>
      <c r="AN112" s="127"/>
      <c r="AO112" s="18"/>
      <c r="AP112" s="18"/>
      <c r="AQ112" s="18"/>
      <c r="AR112" s="18"/>
      <c r="AS112" s="18"/>
      <c r="AT112" s="18"/>
      <c r="AU112" s="18"/>
      <c r="AV112" s="18"/>
      <c r="AW112" s="18"/>
      <c r="AX112" s="127"/>
      <c r="AY112" s="127"/>
      <c r="AZ112" s="127"/>
      <c r="BA112" s="127"/>
      <c r="BB112" s="18">
        <v>0</v>
      </c>
      <c r="BC112" s="127">
        <v>0</v>
      </c>
      <c r="BD112" s="18">
        <v>0</v>
      </c>
      <c r="BE112" s="18">
        <v>0</v>
      </c>
      <c r="BF112" s="18">
        <v>0</v>
      </c>
      <c r="BG112" s="18">
        <v>0</v>
      </c>
      <c r="BH112" s="127">
        <v>0</v>
      </c>
      <c r="BI112" s="127">
        <v>0</v>
      </c>
      <c r="BJ112" s="18">
        <v>0</v>
      </c>
      <c r="BK112" s="127">
        <v>0</v>
      </c>
      <c r="BL112" s="127">
        <v>0</v>
      </c>
      <c r="BM112" s="127">
        <v>0</v>
      </c>
      <c r="BN112" s="127">
        <v>0</v>
      </c>
      <c r="BO112" s="18"/>
      <c r="BP112" s="18"/>
      <c r="BQ112" s="18"/>
      <c r="BR112" s="18"/>
      <c r="BS112" s="18"/>
      <c r="BT112" s="18"/>
      <c r="BU112" s="18"/>
      <c r="BV112" s="18"/>
      <c r="BW112" s="18"/>
      <c r="BX112" s="18"/>
      <c r="BY112" s="127"/>
      <c r="BZ112" s="18"/>
      <c r="CA112" s="127"/>
      <c r="CB112" s="127"/>
      <c r="CC112" s="127"/>
      <c r="CE112" t="e">
        <f t="shared" si="38"/>
        <v>#DIV/0!</v>
      </c>
      <c r="CF112" t="e">
        <f t="shared" si="39"/>
        <v>#DIV/0!</v>
      </c>
      <c r="CG112" t="e">
        <f t="shared" si="40"/>
        <v>#DIV/0!</v>
      </c>
      <c r="CH112" t="e">
        <f t="shared" si="41"/>
        <v>#DIV/0!</v>
      </c>
      <c r="CI112" t="e">
        <f t="shared" si="42"/>
        <v>#DIV/0!</v>
      </c>
      <c r="CJ112" t="e">
        <f t="shared" si="43"/>
        <v>#DIV/0!</v>
      </c>
      <c r="CK112" t="e">
        <f t="shared" si="44"/>
        <v>#DIV/0!</v>
      </c>
      <c r="CL112" t="e">
        <f t="shared" si="45"/>
        <v>#DIV/0!</v>
      </c>
      <c r="CM112" t="e">
        <f t="shared" si="46"/>
        <v>#DIV/0!</v>
      </c>
      <c r="CN112" t="e">
        <f t="shared" si="47"/>
        <v>#DIV/0!</v>
      </c>
      <c r="CO112" t="e">
        <f t="shared" si="48"/>
        <v>#DIV/0!</v>
      </c>
      <c r="CP112" t="e">
        <f t="shared" si="49"/>
        <v>#DIV/0!</v>
      </c>
      <c r="CQ112" t="e">
        <f t="shared" si="50"/>
        <v>#DIV/0!</v>
      </c>
      <c r="CR112" t="e">
        <f t="shared" si="51"/>
        <v>#DIV/0!</v>
      </c>
      <c r="CS112" t="e">
        <f t="shared" si="52"/>
        <v>#DIV/0!</v>
      </c>
      <c r="CT112" t="e">
        <f t="shared" si="53"/>
        <v>#DIV/0!</v>
      </c>
      <c r="CU112" t="e">
        <f t="shared" si="54"/>
        <v>#DIV/0!</v>
      </c>
      <c r="CV112" t="e">
        <f t="shared" si="55"/>
        <v>#DIV/0!</v>
      </c>
      <c r="CW112" t="e">
        <f t="shared" si="56"/>
        <v>#DIV/0!</v>
      </c>
      <c r="CX112" t="e">
        <f t="shared" si="57"/>
        <v>#DIV/0!</v>
      </c>
      <c r="CY112" t="e">
        <f t="shared" si="58"/>
        <v>#DIV/0!</v>
      </c>
      <c r="CZ112" t="e">
        <f t="shared" si="59"/>
        <v>#DIV/0!</v>
      </c>
      <c r="DA112" t="e">
        <f t="shared" si="60"/>
        <v>#DIV/0!</v>
      </c>
      <c r="DB112" t="e">
        <f t="shared" si="61"/>
        <v>#DIV/0!</v>
      </c>
      <c r="DC112" t="e">
        <f t="shared" si="62"/>
        <v>#DIV/0!</v>
      </c>
      <c r="DD112" t="e">
        <f t="shared" si="63"/>
        <v>#DIV/0!</v>
      </c>
      <c r="DE112" t="e">
        <f t="shared" si="64"/>
        <v>#DIV/0!</v>
      </c>
      <c r="DF112" t="e">
        <f t="shared" si="65"/>
        <v>#DIV/0!</v>
      </c>
      <c r="DG112" t="e">
        <f t="shared" si="66"/>
        <v>#DIV/0!</v>
      </c>
      <c r="DH112" t="e">
        <f t="shared" si="67"/>
        <v>#DIV/0!</v>
      </c>
      <c r="DI112" t="e">
        <f t="shared" si="68"/>
        <v>#DIV/0!</v>
      </c>
      <c r="DJ112" t="e">
        <f t="shared" si="69"/>
        <v>#DIV/0!</v>
      </c>
      <c r="DK112" t="e">
        <f t="shared" si="70"/>
        <v>#DIV/0!</v>
      </c>
      <c r="DL112" t="e">
        <f t="shared" si="71"/>
        <v>#DIV/0!</v>
      </c>
      <c r="DM112" t="e">
        <f t="shared" si="72"/>
        <v>#DIV/0!</v>
      </c>
      <c r="DN112" t="e">
        <f t="shared" si="73"/>
        <v>#DIV/0!</v>
      </c>
      <c r="DO112" t="e">
        <f t="shared" si="74"/>
        <v>#DIV/0!</v>
      </c>
      <c r="DP112" t="e">
        <f t="shared" si="75"/>
        <v>#DIV/0!</v>
      </c>
    </row>
    <row r="113" spans="1:120">
      <c r="A113" s="16" t="s">
        <v>847</v>
      </c>
      <c r="B113" s="16" t="s">
        <v>24</v>
      </c>
      <c r="C113" s="123" t="s">
        <v>546</v>
      </c>
      <c r="D113" s="16" t="s">
        <v>546</v>
      </c>
      <c r="E113" s="16" t="s">
        <v>1394</v>
      </c>
      <c r="F113" s="16" t="s">
        <v>1728</v>
      </c>
      <c r="G113" s="16" t="s">
        <v>595</v>
      </c>
      <c r="H113" s="27">
        <v>84</v>
      </c>
      <c r="I113" s="16" t="s">
        <v>1148</v>
      </c>
      <c r="J113" s="16"/>
      <c r="K113" s="16"/>
      <c r="L113" s="16" t="s">
        <v>561</v>
      </c>
      <c r="M113" s="16" t="s">
        <v>560</v>
      </c>
      <c r="N113" s="16">
        <v>55</v>
      </c>
      <c r="O113" s="95">
        <v>2.3447825337292323</v>
      </c>
      <c r="P113" s="95">
        <v>0.10165807216434888</v>
      </c>
      <c r="Q113" s="95">
        <v>0</v>
      </c>
      <c r="R113" s="95">
        <v>20.408835468456157</v>
      </c>
      <c r="S113" s="95">
        <v>3.2106356137598118</v>
      </c>
      <c r="T113" s="95">
        <v>6.4992742482764969</v>
      </c>
      <c r="U113" s="95">
        <v>0</v>
      </c>
      <c r="V113" s="95">
        <v>11.456278244044249</v>
      </c>
      <c r="W113" s="95">
        <v>30.516384789689166</v>
      </c>
      <c r="X113" s="95">
        <v>0.16147993770721575</v>
      </c>
      <c r="Y113" s="95">
        <v>32.674272867670098</v>
      </c>
      <c r="Z113" s="95">
        <v>107.37360177549678</v>
      </c>
      <c r="AA113" s="18">
        <v>0</v>
      </c>
      <c r="AB113" s="18">
        <v>0</v>
      </c>
      <c r="AC113" s="18">
        <v>0</v>
      </c>
      <c r="AD113" s="18">
        <v>0</v>
      </c>
      <c r="AE113" s="127">
        <v>0</v>
      </c>
      <c r="AF113" s="127">
        <v>0</v>
      </c>
      <c r="AG113" s="18">
        <v>0</v>
      </c>
      <c r="AH113" s="18">
        <v>0</v>
      </c>
      <c r="AI113" s="18">
        <v>0</v>
      </c>
      <c r="AJ113" s="18">
        <v>0</v>
      </c>
      <c r="AK113" s="134">
        <v>0</v>
      </c>
      <c r="AL113" s="18">
        <v>0</v>
      </c>
      <c r="AM113" s="134"/>
      <c r="AN113" s="127"/>
      <c r="AO113" s="18"/>
      <c r="AP113" s="18"/>
      <c r="AQ113" s="18"/>
      <c r="AR113" s="18"/>
      <c r="AS113" s="18"/>
      <c r="AT113" s="18"/>
      <c r="AU113" s="18"/>
      <c r="AV113" s="18"/>
      <c r="AW113" s="18"/>
      <c r="AX113" s="127"/>
      <c r="AY113" s="127"/>
      <c r="AZ113" s="127"/>
      <c r="BA113" s="127"/>
      <c r="BB113" s="18">
        <v>0</v>
      </c>
      <c r="BC113" s="127">
        <v>0</v>
      </c>
      <c r="BD113" s="18">
        <v>0</v>
      </c>
      <c r="BE113" s="18">
        <v>0</v>
      </c>
      <c r="BF113" s="18">
        <v>0</v>
      </c>
      <c r="BG113" s="18">
        <v>0</v>
      </c>
      <c r="BH113" s="127">
        <v>0</v>
      </c>
      <c r="BI113" s="127">
        <v>0</v>
      </c>
      <c r="BJ113" s="18">
        <v>0</v>
      </c>
      <c r="BK113" s="127">
        <v>0</v>
      </c>
      <c r="BL113" s="127">
        <v>0</v>
      </c>
      <c r="BM113" s="127">
        <v>0</v>
      </c>
      <c r="BN113" s="127">
        <v>0</v>
      </c>
      <c r="BO113" s="18"/>
      <c r="BP113" s="18"/>
      <c r="BQ113" s="18"/>
      <c r="BR113" s="18"/>
      <c r="BS113" s="18"/>
      <c r="BT113" s="18"/>
      <c r="BU113" s="18"/>
      <c r="BV113" s="18"/>
      <c r="BW113" s="18"/>
      <c r="BX113" s="18"/>
      <c r="BY113" s="127"/>
      <c r="BZ113" s="18"/>
      <c r="CA113" s="127"/>
      <c r="CB113" s="127"/>
      <c r="CC113" s="127"/>
      <c r="CE113" t="e">
        <f t="shared" si="38"/>
        <v>#DIV/0!</v>
      </c>
      <c r="CF113" t="e">
        <f t="shared" si="39"/>
        <v>#DIV/0!</v>
      </c>
      <c r="CG113" t="e">
        <f t="shared" si="40"/>
        <v>#DIV/0!</v>
      </c>
      <c r="CH113" t="e">
        <f t="shared" si="41"/>
        <v>#DIV/0!</v>
      </c>
      <c r="CI113" t="e">
        <f t="shared" si="42"/>
        <v>#DIV/0!</v>
      </c>
      <c r="CJ113" t="e">
        <f t="shared" si="43"/>
        <v>#DIV/0!</v>
      </c>
      <c r="CK113" t="e">
        <f t="shared" si="44"/>
        <v>#DIV/0!</v>
      </c>
      <c r="CL113" t="e">
        <f t="shared" si="45"/>
        <v>#DIV/0!</v>
      </c>
      <c r="CM113" t="e">
        <f t="shared" si="46"/>
        <v>#DIV/0!</v>
      </c>
      <c r="CN113" t="e">
        <f t="shared" si="47"/>
        <v>#DIV/0!</v>
      </c>
      <c r="CO113" t="e">
        <f t="shared" si="48"/>
        <v>#DIV/0!</v>
      </c>
      <c r="CP113" t="e">
        <f t="shared" si="49"/>
        <v>#DIV/0!</v>
      </c>
      <c r="CQ113" t="e">
        <f t="shared" si="50"/>
        <v>#DIV/0!</v>
      </c>
      <c r="CR113" t="e">
        <f t="shared" si="51"/>
        <v>#DIV/0!</v>
      </c>
      <c r="CS113" t="e">
        <f t="shared" si="52"/>
        <v>#DIV/0!</v>
      </c>
      <c r="CT113" t="e">
        <f t="shared" si="53"/>
        <v>#DIV/0!</v>
      </c>
      <c r="CU113" t="e">
        <f t="shared" si="54"/>
        <v>#DIV/0!</v>
      </c>
      <c r="CV113" t="e">
        <f t="shared" si="55"/>
        <v>#DIV/0!</v>
      </c>
      <c r="CW113" t="e">
        <f t="shared" si="56"/>
        <v>#DIV/0!</v>
      </c>
      <c r="CX113" t="e">
        <f t="shared" si="57"/>
        <v>#DIV/0!</v>
      </c>
      <c r="CY113" t="e">
        <f t="shared" si="58"/>
        <v>#DIV/0!</v>
      </c>
      <c r="CZ113" t="e">
        <f t="shared" si="59"/>
        <v>#DIV/0!</v>
      </c>
      <c r="DA113" t="e">
        <f t="shared" si="60"/>
        <v>#DIV/0!</v>
      </c>
      <c r="DB113" t="e">
        <f t="shared" si="61"/>
        <v>#DIV/0!</v>
      </c>
      <c r="DC113" t="e">
        <f t="shared" si="62"/>
        <v>#DIV/0!</v>
      </c>
      <c r="DD113" t="e">
        <f t="shared" si="63"/>
        <v>#DIV/0!</v>
      </c>
      <c r="DE113" t="e">
        <f t="shared" si="64"/>
        <v>#DIV/0!</v>
      </c>
      <c r="DF113" t="e">
        <f t="shared" si="65"/>
        <v>#DIV/0!</v>
      </c>
      <c r="DG113" t="e">
        <f t="shared" si="66"/>
        <v>#DIV/0!</v>
      </c>
      <c r="DH113" t="e">
        <f t="shared" si="67"/>
        <v>#DIV/0!</v>
      </c>
      <c r="DI113" t="e">
        <f t="shared" si="68"/>
        <v>#DIV/0!</v>
      </c>
      <c r="DJ113" t="e">
        <f t="shared" si="69"/>
        <v>#DIV/0!</v>
      </c>
      <c r="DK113" t="e">
        <f t="shared" si="70"/>
        <v>#DIV/0!</v>
      </c>
      <c r="DL113" t="e">
        <f t="shared" si="71"/>
        <v>#DIV/0!</v>
      </c>
      <c r="DM113" t="e">
        <f t="shared" si="72"/>
        <v>#DIV/0!</v>
      </c>
      <c r="DN113" t="e">
        <f t="shared" si="73"/>
        <v>#DIV/0!</v>
      </c>
      <c r="DO113" t="e">
        <f t="shared" si="74"/>
        <v>#DIV/0!</v>
      </c>
      <c r="DP113" t="e">
        <f t="shared" si="75"/>
        <v>#DIV/0!</v>
      </c>
    </row>
    <row r="114" spans="1:120">
      <c r="A114" s="16" t="s">
        <v>772</v>
      </c>
      <c r="B114" s="16" t="s">
        <v>24</v>
      </c>
      <c r="C114" s="123" t="s">
        <v>546</v>
      </c>
      <c r="D114" s="16" t="s">
        <v>119</v>
      </c>
      <c r="E114" s="16" t="s">
        <v>1394</v>
      </c>
      <c r="F114" s="16" t="s">
        <v>1728</v>
      </c>
      <c r="G114" s="16" t="s">
        <v>595</v>
      </c>
      <c r="H114" s="27">
        <v>84</v>
      </c>
      <c r="I114" s="16"/>
      <c r="J114" s="16" t="s">
        <v>635</v>
      </c>
      <c r="K114" s="16" t="s">
        <v>585</v>
      </c>
      <c r="L114" s="16" t="s">
        <v>1172</v>
      </c>
      <c r="M114" s="16" t="s">
        <v>577</v>
      </c>
      <c r="N114" s="16">
        <v>26</v>
      </c>
      <c r="O114" s="95">
        <v>1.9501966700450044</v>
      </c>
      <c r="P114" s="95">
        <v>0.35003529975166747</v>
      </c>
      <c r="Q114" s="95">
        <v>0.75007564232500179</v>
      </c>
      <c r="R114" s="95">
        <v>4.6804720081080111</v>
      </c>
      <c r="S114" s="95">
        <v>3.0103035778643399</v>
      </c>
      <c r="T114" s="95">
        <v>10.421050924035358</v>
      </c>
      <c r="U114" s="95">
        <v>1.1701180020270028</v>
      </c>
      <c r="V114" s="95">
        <v>22.42226120123539</v>
      </c>
      <c r="W114" s="95">
        <v>27.252748337808399</v>
      </c>
      <c r="X114" s="95">
        <v>1.0201028735620024</v>
      </c>
      <c r="Y114" s="95">
        <v>34.833512829573074</v>
      </c>
      <c r="Z114" s="95">
        <v>107.86087736633525</v>
      </c>
      <c r="AA114" s="16"/>
      <c r="AB114" s="16"/>
      <c r="AC114" s="16"/>
      <c r="AD114" s="16"/>
      <c r="AE114" s="128"/>
      <c r="AF114" s="128"/>
      <c r="AG114" s="16"/>
      <c r="AH114" s="16">
        <v>281.32499999999999</v>
      </c>
      <c r="AI114" s="16"/>
      <c r="AJ114" s="16">
        <v>1.5189999999999999</v>
      </c>
      <c r="AK114" s="135"/>
      <c r="AL114" s="16"/>
      <c r="AM114" s="135"/>
      <c r="AN114" s="128"/>
      <c r="AO114" s="16"/>
      <c r="AP114" s="16"/>
      <c r="AQ114" s="16"/>
      <c r="AR114" s="16"/>
      <c r="AS114" s="16"/>
      <c r="AT114" s="16"/>
      <c r="AU114" s="16"/>
      <c r="AV114" s="16"/>
      <c r="AW114" s="16"/>
      <c r="AX114" s="128">
        <v>1.3145</v>
      </c>
      <c r="AY114" s="128">
        <v>25.519000000000002</v>
      </c>
      <c r="AZ114" s="128">
        <v>7.145E-2</v>
      </c>
      <c r="BA114" s="128">
        <v>0.53949999999999998</v>
      </c>
      <c r="BB114" s="16"/>
      <c r="BC114" s="128">
        <v>0.45599999999999996</v>
      </c>
      <c r="BD114" s="16"/>
      <c r="BE114" s="16"/>
      <c r="BF114" s="16"/>
      <c r="BG114" s="16"/>
      <c r="BH114" s="128">
        <v>5.5650000000000005E-2</v>
      </c>
      <c r="BI114" s="128">
        <v>10.92</v>
      </c>
      <c r="BJ114" s="16"/>
      <c r="BK114" s="128">
        <v>0.71950000000000003</v>
      </c>
      <c r="BL114" s="128">
        <v>0.89949999999999997</v>
      </c>
      <c r="BM114" s="128">
        <v>0.1197</v>
      </c>
      <c r="BN114" s="128">
        <v>0.53500000000000003</v>
      </c>
      <c r="BO114" s="16">
        <v>7.0800000000000002E-2</v>
      </c>
      <c r="BP114" s="16">
        <v>1.8700000000000001E-2</v>
      </c>
      <c r="BQ114" s="16">
        <v>2.1100000000000001E-2</v>
      </c>
      <c r="BR114" s="16">
        <v>1.8700000000000001E-2</v>
      </c>
      <c r="BS114" s="16">
        <v>2.2799999999999999E-3</v>
      </c>
      <c r="BT114" s="16">
        <v>7.3499999999999998E-3</v>
      </c>
      <c r="BU114" s="16"/>
      <c r="BV114" s="16">
        <v>1.6299999999999999E-2</v>
      </c>
      <c r="BW114" s="16">
        <v>1.9599999999999999E-3</v>
      </c>
      <c r="BX114" s="16">
        <v>1.34E-2</v>
      </c>
      <c r="BY114" s="128">
        <v>2.6700000000000002E-2</v>
      </c>
      <c r="BZ114" s="16"/>
      <c r="CA114" s="128"/>
      <c r="CB114" s="128">
        <v>0.10105</v>
      </c>
      <c r="CC114" s="128">
        <v>0.309</v>
      </c>
      <c r="CE114">
        <f t="shared" si="38"/>
        <v>0.4279164544065206</v>
      </c>
      <c r="CF114">
        <f t="shared" si="39"/>
        <v>15.177206393328699</v>
      </c>
      <c r="CG114">
        <f t="shared" si="40"/>
        <v>35.467685892981237</v>
      </c>
      <c r="CH114">
        <f t="shared" si="41"/>
        <v>0.79988882712618126</v>
      </c>
      <c r="CI114">
        <f t="shared" si="42"/>
        <v>0</v>
      </c>
      <c r="CJ114" t="e">
        <f t="shared" si="43"/>
        <v>#DIV/0!</v>
      </c>
      <c r="CK114">
        <f t="shared" si="44"/>
        <v>0</v>
      </c>
      <c r="CL114">
        <f t="shared" si="45"/>
        <v>28.370205669816567</v>
      </c>
      <c r="CM114">
        <f t="shared" si="46"/>
        <v>12.140077821011673</v>
      </c>
      <c r="CN114">
        <f t="shared" si="47"/>
        <v>12.140077821011673</v>
      </c>
      <c r="CO114">
        <f t="shared" si="48"/>
        <v>2.9683157309616456E-2</v>
      </c>
      <c r="CP114">
        <f t="shared" si="49"/>
        <v>0</v>
      </c>
      <c r="CQ114">
        <f t="shared" si="50"/>
        <v>0</v>
      </c>
      <c r="CR114">
        <f t="shared" si="51"/>
        <v>0.63377345378735228</v>
      </c>
      <c r="CS114">
        <f t="shared" si="52"/>
        <v>0.74982626824183451</v>
      </c>
      <c r="CT114">
        <f t="shared" si="53"/>
        <v>5.1510639131627414E-2</v>
      </c>
      <c r="CU114">
        <f t="shared" si="54"/>
        <v>9.9305072967338426E-2</v>
      </c>
      <c r="CV114" t="e">
        <f t="shared" si="55"/>
        <v>#DIV/0!</v>
      </c>
      <c r="CW114">
        <f t="shared" si="56"/>
        <v>0</v>
      </c>
      <c r="CX114">
        <f t="shared" si="57"/>
        <v>1.1831140350877194</v>
      </c>
      <c r="CY114">
        <f t="shared" si="58"/>
        <v>3.7109103544127865E-2</v>
      </c>
      <c r="CZ114">
        <f t="shared" si="59"/>
        <v>0.32702265372168288</v>
      </c>
      <c r="DA114">
        <f t="shared" si="60"/>
        <v>0.41042221376949412</v>
      </c>
      <c r="DB114">
        <f t="shared" si="61"/>
        <v>2.1141110545084052E-2</v>
      </c>
      <c r="DC114">
        <f t="shared" si="62"/>
        <v>7.5507347795661302</v>
      </c>
      <c r="DD114">
        <f t="shared" si="63"/>
        <v>0.5997776542523624</v>
      </c>
      <c r="DE114">
        <f t="shared" si="64"/>
        <v>0</v>
      </c>
      <c r="DF114">
        <f t="shared" si="65"/>
        <v>0</v>
      </c>
      <c r="DG114">
        <f t="shared" si="66"/>
        <v>0</v>
      </c>
      <c r="DH114">
        <f t="shared" si="67"/>
        <v>0.4279164544065206</v>
      </c>
      <c r="DI114">
        <f t="shared" si="68"/>
        <v>1.7869038755437123E-2</v>
      </c>
      <c r="DJ114">
        <f t="shared" si="69"/>
        <v>1.2108624946118578E-2</v>
      </c>
      <c r="DK114">
        <f t="shared" si="70"/>
        <v>4.1838826655515495</v>
      </c>
      <c r="DL114">
        <f t="shared" si="71"/>
        <v>1.0424956807852699</v>
      </c>
      <c r="DM114">
        <f t="shared" si="72"/>
        <v>0.11796322653177396</v>
      </c>
      <c r="DN114">
        <f t="shared" si="73"/>
        <v>0.27566882581175273</v>
      </c>
      <c r="DO114">
        <f t="shared" si="74"/>
        <v>2.939283053117292E-2</v>
      </c>
      <c r="DP114">
        <f t="shared" si="75"/>
        <v>6.868824563415768E-2</v>
      </c>
    </row>
    <row r="115" spans="1:120">
      <c r="A115" s="16" t="s">
        <v>772</v>
      </c>
      <c r="B115" s="16" t="s">
        <v>24</v>
      </c>
      <c r="C115" s="123" t="s">
        <v>546</v>
      </c>
      <c r="D115" s="16" t="s">
        <v>119</v>
      </c>
      <c r="E115" s="16" t="s">
        <v>1394</v>
      </c>
      <c r="F115" s="16" t="s">
        <v>1728</v>
      </c>
      <c r="G115" s="16" t="s">
        <v>595</v>
      </c>
      <c r="H115" s="27">
        <v>84</v>
      </c>
      <c r="I115" s="16" t="s">
        <v>735</v>
      </c>
      <c r="J115" s="16" t="s">
        <v>635</v>
      </c>
      <c r="K115" s="16" t="s">
        <v>585</v>
      </c>
      <c r="L115" s="16" t="s">
        <v>790</v>
      </c>
      <c r="M115" s="16" t="s">
        <v>580</v>
      </c>
      <c r="N115" s="16">
        <v>38</v>
      </c>
      <c r="O115" s="95">
        <v>1.340724255839191</v>
      </c>
      <c r="P115" s="95">
        <v>0.22011890767509104</v>
      </c>
      <c r="Q115" s="95">
        <v>0.80043239154578583</v>
      </c>
      <c r="R115" s="95">
        <v>5.2428321646248968</v>
      </c>
      <c r="S115" s="95">
        <v>2.6014052725238037</v>
      </c>
      <c r="T115" s="95">
        <v>10.335583255834957</v>
      </c>
      <c r="U115" s="95">
        <v>0.56030267408205003</v>
      </c>
      <c r="V115" s="95">
        <v>19.900750334807096</v>
      </c>
      <c r="W115" s="95">
        <v>31.517025417115313</v>
      </c>
      <c r="X115" s="95">
        <v>0.8604648209117195</v>
      </c>
      <c r="Y115" s="95">
        <v>34.378571216891494</v>
      </c>
      <c r="Z115" s="95">
        <v>107.75821071185138</v>
      </c>
      <c r="AA115" s="18"/>
      <c r="AB115" s="18"/>
      <c r="AC115" s="18"/>
      <c r="AD115" s="18"/>
      <c r="AE115" s="127"/>
      <c r="AF115" s="127"/>
      <c r="AG115" s="18"/>
      <c r="AH115" s="18">
        <v>262.57</v>
      </c>
      <c r="AI115" s="18"/>
      <c r="AJ115" s="18">
        <v>4.7789999999999999</v>
      </c>
      <c r="AK115" s="134"/>
      <c r="AL115" s="18"/>
      <c r="AM115" s="134"/>
      <c r="AN115" s="127"/>
      <c r="AO115" s="18"/>
      <c r="AP115" s="18"/>
      <c r="AQ115" s="18"/>
      <c r="AR115" s="18"/>
      <c r="AS115" s="18"/>
      <c r="AT115" s="18"/>
      <c r="AU115" s="18"/>
      <c r="AV115" s="18"/>
      <c r="AW115" s="18"/>
      <c r="AX115" s="127">
        <v>1.508</v>
      </c>
      <c r="AY115" s="127">
        <v>8.4290000000000003</v>
      </c>
      <c r="AZ115" s="127">
        <v>7.2099999999999997E-2</v>
      </c>
      <c r="BA115" s="127">
        <v>0.55300000000000005</v>
      </c>
      <c r="BB115" s="18"/>
      <c r="BC115" s="127">
        <v>0.66200000000000003</v>
      </c>
      <c r="BD115" s="18"/>
      <c r="BE115" s="18"/>
      <c r="BF115" s="18"/>
      <c r="BG115" s="18"/>
      <c r="BH115" s="127">
        <v>3.09E-2</v>
      </c>
      <c r="BI115" s="127">
        <v>8.17</v>
      </c>
      <c r="BJ115" s="18"/>
      <c r="BK115" s="127">
        <v>0.93799999999999994</v>
      </c>
      <c r="BL115" s="127">
        <v>0.89400000000000002</v>
      </c>
      <c r="BM115" s="127">
        <v>9.0200000000000002E-2</v>
      </c>
      <c r="BN115" s="127">
        <v>0.379</v>
      </c>
      <c r="BO115" s="18">
        <v>4.99E-2</v>
      </c>
      <c r="BP115" s="18">
        <v>1.4999999999999999E-2</v>
      </c>
      <c r="BQ115" s="18">
        <v>2.93E-2</v>
      </c>
      <c r="BR115" s="18">
        <v>1.7399999999999999E-2</v>
      </c>
      <c r="BS115" s="18">
        <v>4.9199999999999999E-3</v>
      </c>
      <c r="BT115" s="18">
        <v>1.0999999999999999E-2</v>
      </c>
      <c r="BU115" s="18"/>
      <c r="BV115" s="18">
        <v>5.1999999999999998E-3</v>
      </c>
      <c r="BW115" s="18"/>
      <c r="BX115" s="18">
        <v>4.8999999999999998E-3</v>
      </c>
      <c r="BY115" s="127">
        <v>3.1300000000000001E-2</v>
      </c>
      <c r="BZ115" s="18"/>
      <c r="CA115" s="127"/>
      <c r="CB115" s="127">
        <v>0.11459999999999999</v>
      </c>
      <c r="CC115" s="127">
        <v>3.6999999999999998E-2</v>
      </c>
      <c r="CE115">
        <f t="shared" si="38"/>
        <v>0.96927274884327908</v>
      </c>
      <c r="CF115">
        <f t="shared" si="39"/>
        <v>8.7100213219616212</v>
      </c>
      <c r="CG115">
        <f t="shared" si="40"/>
        <v>8.9861407249466954</v>
      </c>
      <c r="CH115">
        <f t="shared" si="41"/>
        <v>1.0492170022371363</v>
      </c>
      <c r="CI115">
        <f t="shared" si="42"/>
        <v>0</v>
      </c>
      <c r="CJ115" t="e">
        <f t="shared" si="43"/>
        <v>#DIV/0!</v>
      </c>
      <c r="CK115">
        <f t="shared" si="44"/>
        <v>0</v>
      </c>
      <c r="CL115">
        <f t="shared" si="45"/>
        <v>9.4284116331096204</v>
      </c>
      <c r="CM115">
        <f t="shared" si="46"/>
        <v>9.1387024608501122</v>
      </c>
      <c r="CN115">
        <f t="shared" si="47"/>
        <v>9.1387024608501122</v>
      </c>
      <c r="CO115">
        <f t="shared" si="48"/>
        <v>3.5011185682326626E-2</v>
      </c>
      <c r="CP115">
        <f t="shared" si="49"/>
        <v>0</v>
      </c>
      <c r="CQ115">
        <f t="shared" si="50"/>
        <v>0</v>
      </c>
      <c r="CR115">
        <f t="shared" si="51"/>
        <v>0.70575692963752668</v>
      </c>
      <c r="CS115">
        <f t="shared" si="52"/>
        <v>0.58955223880597019</v>
      </c>
      <c r="CT115">
        <f t="shared" si="53"/>
        <v>0.17890615731403486</v>
      </c>
      <c r="CU115">
        <f t="shared" si="54"/>
        <v>7.6865671641791047E-2</v>
      </c>
      <c r="CV115" t="e">
        <f t="shared" si="55"/>
        <v>#DIV/0!</v>
      </c>
      <c r="CW115">
        <f t="shared" si="56"/>
        <v>0</v>
      </c>
      <c r="CX115">
        <f t="shared" si="57"/>
        <v>0.83534743202416917</v>
      </c>
      <c r="CY115">
        <f t="shared" si="58"/>
        <v>3.3368869936034121E-2</v>
      </c>
      <c r="CZ115">
        <f t="shared" si="59"/>
        <v>3.0972972972972972</v>
      </c>
      <c r="DA115">
        <f t="shared" si="60"/>
        <v>0.36671087533156499</v>
      </c>
      <c r="DB115">
        <f t="shared" si="61"/>
        <v>6.5606833550836408E-2</v>
      </c>
      <c r="DC115">
        <f t="shared" si="62"/>
        <v>7.6699029126213603</v>
      </c>
      <c r="DD115">
        <f t="shared" si="63"/>
        <v>0.61856823266219241</v>
      </c>
      <c r="DE115">
        <f t="shared" si="64"/>
        <v>0</v>
      </c>
      <c r="DF115">
        <f t="shared" si="65"/>
        <v>0</v>
      </c>
      <c r="DG115">
        <f t="shared" si="66"/>
        <v>0</v>
      </c>
      <c r="DH115">
        <f t="shared" si="67"/>
        <v>0.96927274884327908</v>
      </c>
      <c r="DI115">
        <f t="shared" si="68"/>
        <v>7.8538379404437059E-2</v>
      </c>
      <c r="DJ115">
        <f t="shared" si="69"/>
        <v>4.3896073081029774E-3</v>
      </c>
      <c r="DK115">
        <f t="shared" si="70"/>
        <v>2.7733531690019233</v>
      </c>
      <c r="DL115">
        <f t="shared" si="71"/>
        <v>0.85333943661597644</v>
      </c>
      <c r="DM115">
        <f t="shared" si="72"/>
        <v>0.30862561069211097</v>
      </c>
      <c r="DN115">
        <f t="shared" si="73"/>
        <v>0.31840945808124893</v>
      </c>
      <c r="DO115">
        <f t="shared" si="74"/>
        <v>9.496172636680339E-2</v>
      </c>
      <c r="DP115">
        <f t="shared" si="75"/>
        <v>9.7972140948076603E-2</v>
      </c>
    </row>
    <row r="116" spans="1:120">
      <c r="A116" s="16" t="s">
        <v>772</v>
      </c>
      <c r="B116" s="16" t="s">
        <v>24</v>
      </c>
      <c r="C116" s="123" t="s">
        <v>546</v>
      </c>
      <c r="D116" s="16" t="s">
        <v>119</v>
      </c>
      <c r="E116" s="16" t="s">
        <v>1394</v>
      </c>
      <c r="F116" s="16" t="s">
        <v>1728</v>
      </c>
      <c r="G116" s="16" t="s">
        <v>595</v>
      </c>
      <c r="H116" s="27">
        <v>84</v>
      </c>
      <c r="I116" s="16"/>
      <c r="J116" s="16" t="s">
        <v>635</v>
      </c>
      <c r="K116" s="16" t="s">
        <v>585</v>
      </c>
      <c r="L116" s="16" t="s">
        <v>791</v>
      </c>
      <c r="M116" s="16" t="s">
        <v>582</v>
      </c>
      <c r="N116" s="16">
        <v>68</v>
      </c>
      <c r="O116" s="95">
        <v>1.5205715547522445</v>
      </c>
      <c r="P116" s="95">
        <v>0.320120327316262</v>
      </c>
      <c r="Q116" s="95">
        <v>0.79029705806202188</v>
      </c>
      <c r="R116" s="95">
        <v>5.5420831666627857</v>
      </c>
      <c r="S116" s="95">
        <v>1.1404286660641834</v>
      </c>
      <c r="T116" s="95">
        <v>7.4528013703317253</v>
      </c>
      <c r="U116" s="95">
        <v>1.2304625081218823</v>
      </c>
      <c r="V116" s="95">
        <v>24.279126074892748</v>
      </c>
      <c r="W116" s="95">
        <v>26.98014133662371</v>
      </c>
      <c r="X116" s="95">
        <v>0.58021809326072493</v>
      </c>
      <c r="Y116" s="95">
        <v>38.954642330297631</v>
      </c>
      <c r="Z116" s="95">
        <v>108.79089248638591</v>
      </c>
      <c r="AA116" s="16"/>
      <c r="AB116" s="16"/>
      <c r="AC116" s="16"/>
      <c r="AD116" s="16"/>
      <c r="AE116" s="128"/>
      <c r="AF116" s="128"/>
      <c r="AG116" s="16"/>
      <c r="AH116" s="16">
        <v>494.78666666666669</v>
      </c>
      <c r="AI116" s="16"/>
      <c r="AJ116" s="16">
        <v>0.67033333333333334</v>
      </c>
      <c r="AK116" s="135"/>
      <c r="AL116" s="16"/>
      <c r="AM116" s="135"/>
      <c r="AN116" s="128"/>
      <c r="AO116" s="16"/>
      <c r="AP116" s="16"/>
      <c r="AQ116" s="16"/>
      <c r="AR116" s="16"/>
      <c r="AS116" s="16"/>
      <c r="AT116" s="16"/>
      <c r="AU116" s="16"/>
      <c r="AV116" s="16"/>
      <c r="AW116" s="16"/>
      <c r="AX116" s="128">
        <v>3.5306666666666668</v>
      </c>
      <c r="AY116" s="128">
        <v>6.5168333333333335</v>
      </c>
      <c r="AZ116" s="128">
        <v>3.3566666666666671E-3</v>
      </c>
      <c r="BA116" s="128">
        <v>5.238333333333333E-2</v>
      </c>
      <c r="BB116" s="16"/>
      <c r="BC116" s="128">
        <v>0.42671666666666663</v>
      </c>
      <c r="BD116" s="16"/>
      <c r="BE116" s="16"/>
      <c r="BF116" s="16"/>
      <c r="BG116" s="16"/>
      <c r="BH116" s="128">
        <v>8.716666666666667E-2</v>
      </c>
      <c r="BI116" s="128">
        <v>26.276666666666667</v>
      </c>
      <c r="BJ116" s="16"/>
      <c r="BK116" s="128">
        <v>0.68103333333333327</v>
      </c>
      <c r="BL116" s="128">
        <v>0.8098833333333334</v>
      </c>
      <c r="BM116" s="128">
        <v>7.9783333333333331E-2</v>
      </c>
      <c r="BN116" s="128">
        <v>0.27766666666666667</v>
      </c>
      <c r="BO116" s="16">
        <v>3.2649999999999998E-2</v>
      </c>
      <c r="BP116" s="16">
        <v>1.5050000000000001E-2</v>
      </c>
      <c r="BQ116" s="16">
        <v>2.4899999999999999E-2</v>
      </c>
      <c r="BR116" s="16">
        <v>6.6E-3</v>
      </c>
      <c r="BS116" s="16"/>
      <c r="BT116" s="16">
        <v>1.01E-2</v>
      </c>
      <c r="BU116" s="16"/>
      <c r="BV116" s="16">
        <v>7.1000000000000004E-3</v>
      </c>
      <c r="BW116" s="16">
        <v>3.3149999999999998E-3</v>
      </c>
      <c r="BX116" s="16">
        <v>8.0999999999999996E-3</v>
      </c>
      <c r="BY116" s="128">
        <v>1.2640000000000002E-2</v>
      </c>
      <c r="BZ116" s="16"/>
      <c r="CA116" s="128"/>
      <c r="CB116" s="128">
        <v>7.8750000000000001E-2</v>
      </c>
      <c r="CC116" s="128">
        <v>2.1933333333333332E-2</v>
      </c>
      <c r="CE116">
        <f t="shared" si="38"/>
        <v>4.0321219406153297</v>
      </c>
      <c r="CF116">
        <f t="shared" si="39"/>
        <v>38.583525035485295</v>
      </c>
      <c r="CG116">
        <f t="shared" si="40"/>
        <v>9.5690372473202494</v>
      </c>
      <c r="CH116">
        <f t="shared" si="41"/>
        <v>0.8409030107217087</v>
      </c>
      <c r="CI116">
        <f t="shared" si="42"/>
        <v>0</v>
      </c>
      <c r="CJ116" t="e">
        <f t="shared" si="43"/>
        <v>#DIV/0!</v>
      </c>
      <c r="CK116">
        <f t="shared" si="44"/>
        <v>0</v>
      </c>
      <c r="CL116">
        <f t="shared" si="45"/>
        <v>8.0466322309797711</v>
      </c>
      <c r="CM116">
        <f t="shared" si="46"/>
        <v>32.445002366596007</v>
      </c>
      <c r="CN116">
        <f t="shared" si="47"/>
        <v>32.445002366596007</v>
      </c>
      <c r="CO116">
        <f t="shared" si="48"/>
        <v>1.5607186220237483E-2</v>
      </c>
      <c r="CP116">
        <f t="shared" si="49"/>
        <v>0</v>
      </c>
      <c r="CQ116">
        <f t="shared" si="50"/>
        <v>0</v>
      </c>
      <c r="CR116">
        <f t="shared" si="51"/>
        <v>0.62657236552297979</v>
      </c>
      <c r="CS116">
        <f t="shared" si="52"/>
        <v>7.691742939650531E-2</v>
      </c>
      <c r="CT116">
        <f t="shared" si="53"/>
        <v>0.54177642515536684</v>
      </c>
      <c r="CU116">
        <f t="shared" si="54"/>
        <v>4.9287846899319669E-3</v>
      </c>
      <c r="CV116" t="e">
        <f t="shared" si="55"/>
        <v>#DIV/0!</v>
      </c>
      <c r="CW116">
        <f t="shared" si="56"/>
        <v>0</v>
      </c>
      <c r="CX116">
        <f t="shared" si="57"/>
        <v>0.12275905167363201</v>
      </c>
      <c r="CY116">
        <f t="shared" si="58"/>
        <v>1.856003132494739E-2</v>
      </c>
      <c r="CZ116">
        <f t="shared" si="59"/>
        <v>3.5904255319148937</v>
      </c>
      <c r="DA116">
        <f t="shared" si="60"/>
        <v>1.4836669184290028E-2</v>
      </c>
      <c r="DB116">
        <f t="shared" si="61"/>
        <v>8.0381575918774453E-3</v>
      </c>
      <c r="DC116">
        <f t="shared" si="62"/>
        <v>15.605759682224425</v>
      </c>
      <c r="DD116">
        <f t="shared" si="63"/>
        <v>6.4680097956495777E-2</v>
      </c>
      <c r="DE116">
        <f t="shared" si="64"/>
        <v>0</v>
      </c>
      <c r="DF116">
        <f t="shared" si="65"/>
        <v>0</v>
      </c>
      <c r="DG116">
        <f t="shared" si="66"/>
        <v>0</v>
      </c>
      <c r="DH116">
        <f t="shared" si="67"/>
        <v>4.0321219406153297</v>
      </c>
      <c r="DI116">
        <f t="shared" si="68"/>
        <v>6.5479143755914168E-2</v>
      </c>
      <c r="DJ116">
        <f t="shared" si="69"/>
        <v>3.3656428224342087E-3</v>
      </c>
      <c r="DK116">
        <f t="shared" si="70"/>
        <v>1.6745563106027852</v>
      </c>
      <c r="DL116">
        <f t="shared" si="71"/>
        <v>1.1604381450668424</v>
      </c>
      <c r="DM116">
        <f t="shared" si="72"/>
        <v>0.17499736570382088</v>
      </c>
      <c r="DN116">
        <f t="shared" si="73"/>
        <v>4.3400811850723711E-2</v>
      </c>
      <c r="DO116">
        <f t="shared" si="74"/>
        <v>0.121270104303525</v>
      </c>
      <c r="DP116">
        <f t="shared" si="75"/>
        <v>3.0076001194799768E-2</v>
      </c>
    </row>
    <row r="117" spans="1:120">
      <c r="A117" s="16" t="s">
        <v>772</v>
      </c>
      <c r="B117" s="16" t="s">
        <v>24</v>
      </c>
      <c r="C117" s="123" t="s">
        <v>546</v>
      </c>
      <c r="D117" s="16" t="s">
        <v>119</v>
      </c>
      <c r="E117" s="16" t="s">
        <v>1394</v>
      </c>
      <c r="F117" s="16" t="s">
        <v>1728</v>
      </c>
      <c r="G117" s="16" t="s">
        <v>595</v>
      </c>
      <c r="H117" s="27">
        <v>84</v>
      </c>
      <c r="I117" s="16" t="s">
        <v>735</v>
      </c>
      <c r="J117" s="16" t="s">
        <v>635</v>
      </c>
      <c r="K117" s="16" t="s">
        <v>674</v>
      </c>
      <c r="L117" s="16"/>
      <c r="M117" s="16" t="s">
        <v>583</v>
      </c>
      <c r="N117" s="16">
        <v>49</v>
      </c>
      <c r="O117" s="95">
        <v>1.5508106211794206</v>
      </c>
      <c r="P117" s="95">
        <v>0.48025103107491734</v>
      </c>
      <c r="Q117" s="95">
        <v>0.72037654661237593</v>
      </c>
      <c r="R117" s="95">
        <v>8.7245603978609996</v>
      </c>
      <c r="S117" s="95">
        <v>1.4207426335966304</v>
      </c>
      <c r="T117" s="95">
        <v>8.7645813171172406</v>
      </c>
      <c r="U117" s="95">
        <v>4.3822906585586203</v>
      </c>
      <c r="V117" s="95">
        <v>13.006798758279011</v>
      </c>
      <c r="W117" s="95">
        <v>31.216317019869628</v>
      </c>
      <c r="X117" s="95">
        <v>0.51026672051709965</v>
      </c>
      <c r="Y117" s="95">
        <v>37.739726858637255</v>
      </c>
      <c r="Z117" s="95">
        <v>108.51672256330319</v>
      </c>
      <c r="AA117" s="16"/>
      <c r="AB117" s="16"/>
      <c r="AC117" s="16"/>
      <c r="AD117" s="16"/>
      <c r="AE117" s="128"/>
      <c r="AF117" s="128"/>
      <c r="AG117" s="16"/>
      <c r="AH117" s="16">
        <v>791.22249999999997</v>
      </c>
      <c r="AI117" s="16"/>
      <c r="AJ117" s="16">
        <v>0.441</v>
      </c>
      <c r="AK117" s="135"/>
      <c r="AL117" s="16"/>
      <c r="AM117" s="135"/>
      <c r="AN117" s="128"/>
      <c r="AO117" s="16"/>
      <c r="AP117" s="16"/>
      <c r="AQ117" s="16"/>
      <c r="AR117" s="16"/>
      <c r="AS117" s="16"/>
      <c r="AT117" s="16"/>
      <c r="AU117" s="16"/>
      <c r="AV117" s="16"/>
      <c r="AW117" s="16"/>
      <c r="AX117" s="128">
        <v>7.9077500000000001</v>
      </c>
      <c r="AY117" s="128">
        <v>9.6379999999999999</v>
      </c>
      <c r="AZ117" s="128">
        <v>3.2399999999999998E-3</v>
      </c>
      <c r="BA117" s="128">
        <v>2.3266666666666668E-2</v>
      </c>
      <c r="BB117" s="16"/>
      <c r="BC117" s="128">
        <v>0.77400000000000002</v>
      </c>
      <c r="BD117" s="16"/>
      <c r="BE117" s="16"/>
      <c r="BF117" s="16"/>
      <c r="BG117" s="16"/>
      <c r="BH117" s="128">
        <v>0.18365000000000001</v>
      </c>
      <c r="BI117" s="128">
        <v>132.1875</v>
      </c>
      <c r="BJ117" s="16"/>
      <c r="BK117" s="128">
        <v>1.8492999999999999</v>
      </c>
      <c r="BL117" s="128">
        <v>2.6622500000000002</v>
      </c>
      <c r="BM117" s="128">
        <v>0.25842500000000002</v>
      </c>
      <c r="BN117" s="128">
        <v>0.59972500000000006</v>
      </c>
      <c r="BO117" s="16">
        <v>2.6850000000000002E-2</v>
      </c>
      <c r="BP117" s="16">
        <v>1.0500000000000001E-2</v>
      </c>
      <c r="BQ117" s="16">
        <v>1.1599999999999999E-2</v>
      </c>
      <c r="BR117" s="16"/>
      <c r="BS117" s="16"/>
      <c r="BT117" s="16"/>
      <c r="BU117" s="16"/>
      <c r="BV117" s="16"/>
      <c r="BW117" s="16"/>
      <c r="BX117" s="16">
        <v>6.0000000000000001E-3</v>
      </c>
      <c r="BY117" s="128">
        <v>1.7257499999999999E-2</v>
      </c>
      <c r="BZ117" s="16"/>
      <c r="CA117" s="128"/>
      <c r="CB117" s="128">
        <v>0.19160000000000002</v>
      </c>
      <c r="CC117" s="128">
        <v>3.7992500000000005E-2</v>
      </c>
      <c r="CE117">
        <f t="shared" si="38"/>
        <v>13.715241751400706</v>
      </c>
      <c r="CF117">
        <f t="shared" si="39"/>
        <v>71.479749094251886</v>
      </c>
      <c r="CG117">
        <f t="shared" si="40"/>
        <v>5.2117017249770186</v>
      </c>
      <c r="CH117">
        <f t="shared" si="41"/>
        <v>0.69463799417785699</v>
      </c>
      <c r="CI117">
        <f t="shared" si="42"/>
        <v>0</v>
      </c>
      <c r="CJ117" t="e">
        <f t="shared" si="43"/>
        <v>#DIV/0!</v>
      </c>
      <c r="CK117">
        <f t="shared" si="44"/>
        <v>0</v>
      </c>
      <c r="CL117">
        <f t="shared" si="45"/>
        <v>3.6202460324913135</v>
      </c>
      <c r="CM117">
        <f t="shared" si="46"/>
        <v>49.652549535167616</v>
      </c>
      <c r="CN117">
        <f t="shared" si="47"/>
        <v>49.652549535167616</v>
      </c>
      <c r="CO117">
        <f t="shared" si="48"/>
        <v>6.4822988073997547E-3</v>
      </c>
      <c r="CP117">
        <f t="shared" si="49"/>
        <v>0</v>
      </c>
      <c r="CQ117">
        <f t="shared" si="50"/>
        <v>0</v>
      </c>
      <c r="CR117">
        <f t="shared" si="51"/>
        <v>0.41853674363272592</v>
      </c>
      <c r="CS117">
        <f t="shared" si="52"/>
        <v>1.2581337082499686E-2</v>
      </c>
      <c r="CT117">
        <f t="shared" si="53"/>
        <v>0.82047623988379337</v>
      </c>
      <c r="CU117">
        <f t="shared" si="54"/>
        <v>1.7520142756718758E-3</v>
      </c>
      <c r="CV117" t="e">
        <f t="shared" si="55"/>
        <v>#DIV/0!</v>
      </c>
      <c r="CW117">
        <f t="shared" si="56"/>
        <v>0</v>
      </c>
      <c r="CX117">
        <f t="shared" si="57"/>
        <v>3.0060292850990527E-2</v>
      </c>
      <c r="CY117">
        <f t="shared" si="58"/>
        <v>9.3319093711133946E-3</v>
      </c>
      <c r="CZ117">
        <f t="shared" si="59"/>
        <v>5.0431006119628874</v>
      </c>
      <c r="DA117">
        <f t="shared" si="60"/>
        <v>2.9422612837617106E-3</v>
      </c>
      <c r="DB117">
        <f t="shared" si="61"/>
        <v>2.414055474856471E-3</v>
      </c>
      <c r="DC117">
        <f t="shared" si="62"/>
        <v>7.1810699588477371</v>
      </c>
      <c r="DD117">
        <f t="shared" si="63"/>
        <v>8.7394747550630734E-3</v>
      </c>
      <c r="DE117">
        <f t="shared" si="64"/>
        <v>0</v>
      </c>
      <c r="DF117">
        <f t="shared" si="65"/>
        <v>0</v>
      </c>
      <c r="DG117">
        <f t="shared" si="66"/>
        <v>0</v>
      </c>
      <c r="DH117">
        <f t="shared" si="67"/>
        <v>13.715241751400706</v>
      </c>
      <c r="DI117">
        <f t="shared" si="68"/>
        <v>8.0307117659265417E-2</v>
      </c>
      <c r="DJ117">
        <f t="shared" si="69"/>
        <v>3.9419485370408803E-3</v>
      </c>
      <c r="DK117">
        <f t="shared" si="70"/>
        <v>0.76825968398671418</v>
      </c>
      <c r="DL117">
        <f t="shared" si="71"/>
        <v>0.38954012145805222</v>
      </c>
      <c r="DM117">
        <f t="shared" si="72"/>
        <v>0.14741052434080001</v>
      </c>
      <c r="DN117">
        <f t="shared" si="73"/>
        <v>1.0747934816806661E-2</v>
      </c>
      <c r="DO117">
        <f t="shared" si="74"/>
        <v>7.4743364454490133E-2</v>
      </c>
      <c r="DP117">
        <f t="shared" si="75"/>
        <v>5.4496570902118277E-3</v>
      </c>
    </row>
    <row r="118" spans="1:120">
      <c r="A118" s="16" t="s">
        <v>771</v>
      </c>
      <c r="B118" s="16" t="s">
        <v>24</v>
      </c>
      <c r="C118" s="123" t="s">
        <v>546</v>
      </c>
      <c r="D118" s="16" t="s">
        <v>119</v>
      </c>
      <c r="E118" s="16" t="s">
        <v>1394</v>
      </c>
      <c r="F118" s="16" t="s">
        <v>97</v>
      </c>
      <c r="G118" s="16" t="s">
        <v>595</v>
      </c>
      <c r="H118" s="27">
        <v>118</v>
      </c>
      <c r="I118" s="16" t="s">
        <v>735</v>
      </c>
      <c r="J118" s="16" t="s">
        <v>635</v>
      </c>
      <c r="K118" s="16" t="s">
        <v>762</v>
      </c>
      <c r="L118" s="16" t="s">
        <v>478</v>
      </c>
      <c r="M118" s="16" t="s">
        <v>755</v>
      </c>
      <c r="N118" s="16">
        <v>42</v>
      </c>
      <c r="O118" s="95">
        <v>4.8951807670304834</v>
      </c>
      <c r="P118" s="95">
        <v>0.69931153814721181</v>
      </c>
      <c r="Q118" s="95">
        <v>1.09891813137419</v>
      </c>
      <c r="R118" s="95">
        <v>13.686525818024004</v>
      </c>
      <c r="S118" s="95">
        <v>1.2987214279876793</v>
      </c>
      <c r="T118" s="95">
        <v>3.1968527458158258</v>
      </c>
      <c r="U118" s="95">
        <v>0.89911483476070098</v>
      </c>
      <c r="V118" s="95">
        <v>11.588591203582368</v>
      </c>
      <c r="W118" s="95">
        <v>33.966560424293149</v>
      </c>
      <c r="X118" s="95">
        <v>0.89911483476070098</v>
      </c>
      <c r="Y118" s="95">
        <v>35.864691742121288</v>
      </c>
      <c r="Z118" s="95">
        <v>108.09358346789759</v>
      </c>
      <c r="AA118" s="18"/>
      <c r="AB118" s="18"/>
      <c r="AC118" s="18"/>
      <c r="AD118" s="18"/>
      <c r="AE118" s="127"/>
      <c r="AF118" s="127"/>
      <c r="AG118" s="18"/>
      <c r="AH118" s="18">
        <v>533</v>
      </c>
      <c r="AI118" s="18"/>
      <c r="AJ118" s="18">
        <v>1.2</v>
      </c>
      <c r="AK118" s="134"/>
      <c r="AL118" s="18"/>
      <c r="AM118" s="134"/>
      <c r="AN118" s="127"/>
      <c r="AO118" s="18"/>
      <c r="AP118" s="18"/>
      <c r="AQ118" s="18"/>
      <c r="AR118" s="18"/>
      <c r="AS118" s="18"/>
      <c r="AT118" s="18"/>
      <c r="AU118" s="18"/>
      <c r="AV118" s="18"/>
      <c r="AW118" s="18"/>
      <c r="AX118" s="127">
        <v>1.8</v>
      </c>
      <c r="AY118" s="127">
        <v>7.8</v>
      </c>
      <c r="AZ118" s="127">
        <v>6.0000000000000001E-3</v>
      </c>
      <c r="BA118" s="127">
        <v>2.5000000000000001E-2</v>
      </c>
      <c r="BB118" s="18"/>
      <c r="BC118" s="127">
        <v>0.3</v>
      </c>
      <c r="BD118" s="18"/>
      <c r="BE118" s="18"/>
      <c r="BF118" s="18"/>
      <c r="BG118" s="18"/>
      <c r="BH118" s="127">
        <v>5.6000000000000001E-2</v>
      </c>
      <c r="BI118" s="127">
        <v>27</v>
      </c>
      <c r="BJ118" s="18"/>
      <c r="BK118" s="127">
        <v>0.84</v>
      </c>
      <c r="BL118" s="127">
        <v>0.6</v>
      </c>
      <c r="BM118" s="127">
        <v>0.05</v>
      </c>
      <c r="BN118" s="127">
        <v>0.15</v>
      </c>
      <c r="BO118" s="18">
        <v>0</v>
      </c>
      <c r="BP118" s="18">
        <v>0</v>
      </c>
      <c r="BQ118" s="18">
        <v>1.2E-2</v>
      </c>
      <c r="BR118" s="18">
        <v>1.4999999999999999E-2</v>
      </c>
      <c r="BS118" s="18">
        <v>2E-3</v>
      </c>
      <c r="BT118" s="18">
        <v>8.9999999999999993E-3</v>
      </c>
      <c r="BU118" s="18"/>
      <c r="BV118" s="18">
        <v>1.6E-2</v>
      </c>
      <c r="BW118" s="18"/>
      <c r="BX118" s="18">
        <v>8.9999999999999993E-3</v>
      </c>
      <c r="BY118" s="127">
        <v>7.0000000000000001E-3</v>
      </c>
      <c r="BZ118" s="18"/>
      <c r="CA118" s="127"/>
      <c r="CB118" s="127">
        <v>0.3</v>
      </c>
      <c r="CC118" s="127">
        <v>0.06</v>
      </c>
      <c r="CE118">
        <f t="shared" si="38"/>
        <v>3.4615384615384617</v>
      </c>
      <c r="CF118">
        <f t="shared" si="39"/>
        <v>32.142857142857146</v>
      </c>
      <c r="CG118">
        <f t="shared" si="40"/>
        <v>9.2857142857142865</v>
      </c>
      <c r="CH118">
        <f t="shared" si="41"/>
        <v>1.4</v>
      </c>
      <c r="CI118">
        <f t="shared" si="42"/>
        <v>0</v>
      </c>
      <c r="CJ118" t="e">
        <f t="shared" si="43"/>
        <v>#DIV/0!</v>
      </c>
      <c r="CK118">
        <f t="shared" si="44"/>
        <v>0</v>
      </c>
      <c r="CL118">
        <f t="shared" si="45"/>
        <v>13</v>
      </c>
      <c r="CM118">
        <f t="shared" si="46"/>
        <v>45</v>
      </c>
      <c r="CN118">
        <f t="shared" si="47"/>
        <v>45</v>
      </c>
      <c r="CO118">
        <f t="shared" si="48"/>
        <v>1.1666666666666667E-2</v>
      </c>
      <c r="CP118">
        <f t="shared" si="49"/>
        <v>0</v>
      </c>
      <c r="CQ118">
        <f t="shared" si="50"/>
        <v>0</v>
      </c>
      <c r="CR118">
        <f t="shared" si="51"/>
        <v>0.35714285714285715</v>
      </c>
      <c r="CS118">
        <f t="shared" si="52"/>
        <v>2.9761904761904764E-2</v>
      </c>
      <c r="CT118">
        <f t="shared" si="53"/>
        <v>0.23076923076923078</v>
      </c>
      <c r="CU118">
        <f t="shared" si="54"/>
        <v>7.1428571428571435E-3</v>
      </c>
      <c r="CV118" t="e">
        <f t="shared" si="55"/>
        <v>#DIV/0!</v>
      </c>
      <c r="CW118">
        <f t="shared" si="56"/>
        <v>0</v>
      </c>
      <c r="CX118">
        <f t="shared" si="57"/>
        <v>8.3333333333333343E-2</v>
      </c>
      <c r="CY118">
        <f t="shared" si="58"/>
        <v>8.3333333333333332E-3</v>
      </c>
      <c r="CZ118">
        <f t="shared" si="59"/>
        <v>5</v>
      </c>
      <c r="DA118">
        <f t="shared" si="60"/>
        <v>1.388888888888889E-2</v>
      </c>
      <c r="DB118">
        <f t="shared" si="61"/>
        <v>3.2051282051282055E-3</v>
      </c>
      <c r="DC118">
        <f t="shared" si="62"/>
        <v>4.166666666666667</v>
      </c>
      <c r="DD118">
        <f t="shared" si="63"/>
        <v>4.1666666666666671E-2</v>
      </c>
      <c r="DE118">
        <f t="shared" si="64"/>
        <v>0</v>
      </c>
      <c r="DF118">
        <f t="shared" si="65"/>
        <v>0</v>
      </c>
      <c r="DG118">
        <f t="shared" si="66"/>
        <v>0</v>
      </c>
      <c r="DH118">
        <f t="shared" si="67"/>
        <v>3.4615384615384617</v>
      </c>
      <c r="DI118">
        <f t="shared" si="68"/>
        <v>3.8461538461538464E-2</v>
      </c>
      <c r="DJ118">
        <f t="shared" si="69"/>
        <v>7.6923076923076919E-3</v>
      </c>
      <c r="DK118">
        <f t="shared" si="70"/>
        <v>1.5460969380805707</v>
      </c>
      <c r="DL118">
        <f t="shared" si="71"/>
        <v>1.3082358706835595</v>
      </c>
      <c r="DM118">
        <f t="shared" si="72"/>
        <v>0.16650274717790761</v>
      </c>
      <c r="DN118">
        <f t="shared" si="73"/>
        <v>4.8100793629173307E-2</v>
      </c>
      <c r="DO118">
        <f t="shared" si="74"/>
        <v>0.14088693991976795</v>
      </c>
      <c r="DP118">
        <f t="shared" si="75"/>
        <v>4.0700671532377407E-2</v>
      </c>
    </row>
    <row r="119" spans="1:120">
      <c r="A119" s="16" t="s">
        <v>771</v>
      </c>
      <c r="B119" s="16" t="s">
        <v>24</v>
      </c>
      <c r="C119" s="123" t="s">
        <v>546</v>
      </c>
      <c r="D119" s="16" t="s">
        <v>119</v>
      </c>
      <c r="E119" s="16" t="s">
        <v>1394</v>
      </c>
      <c r="F119" s="16" t="s">
        <v>97</v>
      </c>
      <c r="G119" s="16" t="s">
        <v>595</v>
      </c>
      <c r="H119" s="27">
        <v>118</v>
      </c>
      <c r="I119" s="16" t="s">
        <v>735</v>
      </c>
      <c r="J119" s="16" t="s">
        <v>635</v>
      </c>
      <c r="K119" s="16" t="s">
        <v>761</v>
      </c>
      <c r="L119" s="16" t="s">
        <v>763</v>
      </c>
      <c r="M119" s="16" t="s">
        <v>758</v>
      </c>
      <c r="N119" s="16">
        <v>28</v>
      </c>
      <c r="O119" s="95">
        <v>5.2051905073182985</v>
      </c>
      <c r="P119" s="95">
        <v>1.2011978093811457</v>
      </c>
      <c r="Q119" s="95">
        <v>1.4013974442780033</v>
      </c>
      <c r="R119" s="95">
        <v>9.2091832052554494</v>
      </c>
      <c r="S119" s="95">
        <v>2.102096166417005</v>
      </c>
      <c r="T119" s="95">
        <v>6.0059890469057287</v>
      </c>
      <c r="U119" s="95">
        <v>1.9018965315201475</v>
      </c>
      <c r="V119" s="95">
        <v>8.0079853958743055</v>
      </c>
      <c r="W119" s="95">
        <v>43.143021320272815</v>
      </c>
      <c r="X119" s="95">
        <v>1.9018965315201475</v>
      </c>
      <c r="Y119" s="95">
        <v>25.725653084246204</v>
      </c>
      <c r="Z119" s="95">
        <v>105.80550704298926</v>
      </c>
      <c r="AA119" s="18"/>
      <c r="AB119" s="18"/>
      <c r="AC119" s="18"/>
      <c r="AD119" s="18"/>
      <c r="AE119" s="127"/>
      <c r="AF119" s="127"/>
      <c r="AG119" s="18"/>
      <c r="AH119" s="18">
        <v>264</v>
      </c>
      <c r="AI119" s="18"/>
      <c r="AJ119" s="18">
        <v>2.2000000000000002</v>
      </c>
      <c r="AK119" s="134"/>
      <c r="AL119" s="18"/>
      <c r="AM119" s="134"/>
      <c r="AN119" s="127"/>
      <c r="AO119" s="18"/>
      <c r="AP119" s="18"/>
      <c r="AQ119" s="18"/>
      <c r="AR119" s="18"/>
      <c r="AS119" s="18"/>
      <c r="AT119" s="18"/>
      <c r="AU119" s="18"/>
      <c r="AV119" s="18"/>
      <c r="AW119" s="18"/>
      <c r="AX119" s="127">
        <v>0.69</v>
      </c>
      <c r="AY119" s="127">
        <v>4</v>
      </c>
      <c r="AZ119" s="127">
        <v>8.0000000000000002E-3</v>
      </c>
      <c r="BA119" s="127">
        <v>9.0999999999999998E-2</v>
      </c>
      <c r="BB119" s="18"/>
      <c r="BC119" s="127">
        <v>0.28000000000000003</v>
      </c>
      <c r="BD119" s="18"/>
      <c r="BE119" s="18"/>
      <c r="BF119" s="18"/>
      <c r="BG119" s="18"/>
      <c r="BH119" s="127">
        <v>2.3E-2</v>
      </c>
      <c r="BI119" s="127">
        <v>17.600000000000001</v>
      </c>
      <c r="BJ119" s="18"/>
      <c r="BK119" s="127">
        <v>0.8</v>
      </c>
      <c r="BL119" s="127">
        <v>0.85</v>
      </c>
      <c r="BM119" s="127">
        <v>7.6999999999999999E-2</v>
      </c>
      <c r="BN119" s="127">
        <v>0.2</v>
      </c>
      <c r="BO119" s="18">
        <v>0.03</v>
      </c>
      <c r="BP119" s="18">
        <v>1.4E-2</v>
      </c>
      <c r="BQ119" s="18"/>
      <c r="BR119" s="18">
        <v>8.9999999999999993E-3</v>
      </c>
      <c r="BS119" s="18">
        <v>3.0000000000000001E-3</v>
      </c>
      <c r="BT119" s="18">
        <v>1.9E-2</v>
      </c>
      <c r="BU119" s="18"/>
      <c r="BV119" s="18">
        <v>2.1000000000000001E-2</v>
      </c>
      <c r="BW119" s="18">
        <v>6.0000000000000001E-3</v>
      </c>
      <c r="BX119" s="18"/>
      <c r="BY119" s="127">
        <v>8.9999999999999993E-3</v>
      </c>
      <c r="BZ119" s="18"/>
      <c r="CA119" s="127"/>
      <c r="CB119" s="127">
        <v>0.15</v>
      </c>
      <c r="CC119" s="127">
        <v>2.5999999999999999E-2</v>
      </c>
      <c r="CE119">
        <f t="shared" si="38"/>
        <v>4.4000000000000004</v>
      </c>
      <c r="CF119">
        <f t="shared" si="39"/>
        <v>22</v>
      </c>
      <c r="CG119">
        <f t="shared" si="40"/>
        <v>5</v>
      </c>
      <c r="CH119">
        <f t="shared" si="41"/>
        <v>0.94117647058823539</v>
      </c>
      <c r="CI119">
        <f t="shared" si="42"/>
        <v>0</v>
      </c>
      <c r="CJ119" t="e">
        <f t="shared" si="43"/>
        <v>#DIV/0!</v>
      </c>
      <c r="CK119">
        <f t="shared" si="44"/>
        <v>0</v>
      </c>
      <c r="CL119">
        <f t="shared" si="45"/>
        <v>4.7058823529411766</v>
      </c>
      <c r="CM119">
        <f t="shared" si="46"/>
        <v>20.705882352941178</v>
      </c>
      <c r="CN119">
        <f t="shared" si="47"/>
        <v>20.705882352941178</v>
      </c>
      <c r="CO119">
        <f t="shared" si="48"/>
        <v>1.0588235294117647E-2</v>
      </c>
      <c r="CP119">
        <f t="shared" si="49"/>
        <v>0</v>
      </c>
      <c r="CQ119">
        <f t="shared" si="50"/>
        <v>0</v>
      </c>
      <c r="CR119">
        <f t="shared" si="51"/>
        <v>0.35000000000000003</v>
      </c>
      <c r="CS119">
        <f t="shared" si="52"/>
        <v>0.11374999999999999</v>
      </c>
      <c r="CT119">
        <f t="shared" si="53"/>
        <v>0.17249999999999999</v>
      </c>
      <c r="CU119">
        <f t="shared" si="54"/>
        <v>0.01</v>
      </c>
      <c r="CV119" t="e">
        <f t="shared" si="55"/>
        <v>#DIV/0!</v>
      </c>
      <c r="CW119">
        <f t="shared" si="56"/>
        <v>0</v>
      </c>
      <c r="CX119">
        <f t="shared" si="57"/>
        <v>0.32499999999999996</v>
      </c>
      <c r="CY119">
        <f t="shared" si="58"/>
        <v>1.1249999999999998E-2</v>
      </c>
      <c r="CZ119">
        <f t="shared" si="59"/>
        <v>5.7692307692307692</v>
      </c>
      <c r="DA119">
        <f t="shared" si="60"/>
        <v>0.13188405797101449</v>
      </c>
      <c r="DB119">
        <f t="shared" si="61"/>
        <v>2.2749999999999999E-2</v>
      </c>
      <c r="DC119">
        <f t="shared" si="62"/>
        <v>11.375</v>
      </c>
      <c r="DD119">
        <f t="shared" si="63"/>
        <v>0.10705882352941176</v>
      </c>
      <c r="DE119">
        <f t="shared" si="64"/>
        <v>0</v>
      </c>
      <c r="DF119">
        <f t="shared" si="65"/>
        <v>0</v>
      </c>
      <c r="DG119">
        <f t="shared" si="66"/>
        <v>0</v>
      </c>
      <c r="DH119">
        <f t="shared" si="67"/>
        <v>4.4000000000000004</v>
      </c>
      <c r="DI119">
        <f t="shared" si="68"/>
        <v>7.0000000000000007E-2</v>
      </c>
      <c r="DJ119">
        <f t="shared" si="69"/>
        <v>6.4999999999999997E-3</v>
      </c>
      <c r="DK119">
        <f t="shared" si="70"/>
        <v>2.6276202080212561</v>
      </c>
      <c r="DL119">
        <f t="shared" si="71"/>
        <v>1.751746805347504</v>
      </c>
      <c r="DM119">
        <f t="shared" si="72"/>
        <v>0.52552404160425126</v>
      </c>
      <c r="DN119">
        <f t="shared" si="73"/>
        <v>0.11943728218278436</v>
      </c>
      <c r="DO119">
        <f t="shared" si="74"/>
        <v>0.35034936106950082</v>
      </c>
      <c r="DP119">
        <f t="shared" si="75"/>
        <v>7.9624854788522909E-2</v>
      </c>
    </row>
    <row r="120" spans="1:120">
      <c r="A120" s="16" t="s">
        <v>750</v>
      </c>
      <c r="B120" s="16" t="s">
        <v>24</v>
      </c>
      <c r="C120" s="123" t="s">
        <v>546</v>
      </c>
      <c r="D120" s="16" t="s">
        <v>1716</v>
      </c>
      <c r="E120" s="16" t="s">
        <v>1394</v>
      </c>
      <c r="F120" s="16" t="s">
        <v>142</v>
      </c>
      <c r="G120" s="16" t="s">
        <v>595</v>
      </c>
      <c r="H120" s="27">
        <v>90</v>
      </c>
      <c r="I120" s="16" t="s">
        <v>736</v>
      </c>
      <c r="J120" s="16"/>
      <c r="K120" s="16" t="s">
        <v>751</v>
      </c>
      <c r="L120" s="16" t="s">
        <v>145</v>
      </c>
      <c r="M120" s="16" t="s">
        <v>146</v>
      </c>
      <c r="N120" s="16">
        <v>15</v>
      </c>
      <c r="O120" s="95">
        <v>5.1665604558586926</v>
      </c>
      <c r="P120" s="95">
        <v>1.2156612837314571</v>
      </c>
      <c r="Q120" s="95">
        <v>0.50652553488810714</v>
      </c>
      <c r="R120" s="95">
        <v>14.689240511755106</v>
      </c>
      <c r="S120" s="95">
        <v>1.1143561767538357</v>
      </c>
      <c r="T120" s="95">
        <v>11.244866874515976</v>
      </c>
      <c r="U120" s="95">
        <v>1.6208817116419429</v>
      </c>
      <c r="V120" s="95">
        <v>4.6600349209705847</v>
      </c>
      <c r="W120" s="95">
        <v>29.175870809554972</v>
      </c>
      <c r="X120" s="95">
        <v>0.40522042791048574</v>
      </c>
      <c r="Y120" s="95">
        <v>39.002466186384247</v>
      </c>
      <c r="Z120" s="95">
        <v>108.80168489396542</v>
      </c>
      <c r="AA120" s="18"/>
      <c r="AB120" s="18"/>
      <c r="AC120" s="18"/>
      <c r="AD120" s="18"/>
      <c r="AE120" s="127"/>
      <c r="AF120" s="127"/>
      <c r="AG120" s="18"/>
      <c r="AH120" s="18">
        <v>0</v>
      </c>
      <c r="AI120" s="18"/>
      <c r="AJ120" s="18"/>
      <c r="AK120" s="134"/>
      <c r="AL120" s="18"/>
      <c r="AM120" s="134"/>
      <c r="AN120" s="127"/>
      <c r="AO120" s="18"/>
      <c r="AP120" s="18"/>
      <c r="AQ120" s="18"/>
      <c r="AR120" s="18"/>
      <c r="AS120" s="18"/>
      <c r="AT120" s="18"/>
      <c r="AU120" s="18"/>
      <c r="AV120" s="18"/>
      <c r="AW120" s="18"/>
      <c r="AX120" s="127"/>
      <c r="AY120" s="127"/>
      <c r="AZ120" s="127"/>
      <c r="BA120" s="127"/>
      <c r="BB120" s="18"/>
      <c r="BC120" s="127"/>
      <c r="BD120" s="18"/>
      <c r="BE120" s="18"/>
      <c r="BF120" s="18"/>
      <c r="BG120" s="18"/>
      <c r="BH120" s="127"/>
      <c r="BI120" s="127"/>
      <c r="BJ120" s="18"/>
      <c r="BK120" s="127"/>
      <c r="BL120" s="127"/>
      <c r="BM120" s="127"/>
      <c r="BN120" s="127"/>
      <c r="BO120" s="18"/>
      <c r="BP120" s="18"/>
      <c r="BQ120" s="18"/>
      <c r="BR120" s="18"/>
      <c r="BS120" s="18"/>
      <c r="BT120" s="18"/>
      <c r="BU120" s="18"/>
      <c r="BV120" s="18"/>
      <c r="BW120" s="18"/>
      <c r="BX120" s="18"/>
      <c r="BY120" s="127"/>
      <c r="BZ120" s="18"/>
      <c r="CA120" s="127"/>
      <c r="CB120" s="127"/>
      <c r="CC120" s="127"/>
      <c r="CE120" t="e">
        <f t="shared" si="38"/>
        <v>#DIV/0!</v>
      </c>
      <c r="CF120" t="e">
        <f t="shared" si="39"/>
        <v>#DIV/0!</v>
      </c>
      <c r="CG120" t="e">
        <f t="shared" si="40"/>
        <v>#DIV/0!</v>
      </c>
      <c r="CH120" t="e">
        <f t="shared" si="41"/>
        <v>#DIV/0!</v>
      </c>
      <c r="CI120" t="e">
        <f t="shared" si="42"/>
        <v>#DIV/0!</v>
      </c>
      <c r="CJ120" t="e">
        <f t="shared" si="43"/>
        <v>#DIV/0!</v>
      </c>
      <c r="CK120" t="e">
        <f t="shared" si="44"/>
        <v>#DIV/0!</v>
      </c>
      <c r="CL120" t="e">
        <f t="shared" si="45"/>
        <v>#DIV/0!</v>
      </c>
      <c r="CM120" t="e">
        <f t="shared" si="46"/>
        <v>#DIV/0!</v>
      </c>
      <c r="CN120" t="e">
        <f t="shared" si="47"/>
        <v>#DIV/0!</v>
      </c>
      <c r="CO120" t="e">
        <f t="shared" si="48"/>
        <v>#DIV/0!</v>
      </c>
      <c r="CP120" t="e">
        <f t="shared" si="49"/>
        <v>#DIV/0!</v>
      </c>
      <c r="CQ120" t="e">
        <f t="shared" si="50"/>
        <v>#DIV/0!</v>
      </c>
      <c r="CR120" t="e">
        <f t="shared" si="51"/>
        <v>#DIV/0!</v>
      </c>
      <c r="CS120" t="e">
        <f t="shared" si="52"/>
        <v>#DIV/0!</v>
      </c>
      <c r="CT120" t="e">
        <f t="shared" si="53"/>
        <v>#DIV/0!</v>
      </c>
      <c r="CU120" t="e">
        <f t="shared" si="54"/>
        <v>#DIV/0!</v>
      </c>
      <c r="CV120" t="e">
        <f t="shared" si="55"/>
        <v>#DIV/0!</v>
      </c>
      <c r="CW120" t="e">
        <f t="shared" si="56"/>
        <v>#DIV/0!</v>
      </c>
      <c r="CX120" t="e">
        <f t="shared" si="57"/>
        <v>#DIV/0!</v>
      </c>
      <c r="CY120" t="e">
        <f t="shared" si="58"/>
        <v>#DIV/0!</v>
      </c>
      <c r="CZ120" t="e">
        <f t="shared" si="59"/>
        <v>#DIV/0!</v>
      </c>
      <c r="DA120" t="e">
        <f t="shared" si="60"/>
        <v>#DIV/0!</v>
      </c>
      <c r="DB120" t="e">
        <f t="shared" si="61"/>
        <v>#DIV/0!</v>
      </c>
      <c r="DC120" t="e">
        <f t="shared" si="62"/>
        <v>#DIV/0!</v>
      </c>
      <c r="DD120" t="e">
        <f t="shared" si="63"/>
        <v>#DIV/0!</v>
      </c>
      <c r="DE120" t="e">
        <f t="shared" si="64"/>
        <v>#DIV/0!</v>
      </c>
      <c r="DF120" t="e">
        <f t="shared" si="65"/>
        <v>#DIV/0!</v>
      </c>
      <c r="DG120" t="e">
        <f t="shared" si="66"/>
        <v>#DIV/0!</v>
      </c>
      <c r="DH120" t="e">
        <f t="shared" si="67"/>
        <v>#DIV/0!</v>
      </c>
      <c r="DI120" t="e">
        <f t="shared" si="68"/>
        <v>#DIV/0!</v>
      </c>
      <c r="DJ120" t="e">
        <f t="shared" si="69"/>
        <v>#DIV/0!</v>
      </c>
      <c r="DK120" t="e">
        <f t="shared" si="70"/>
        <v>#DIV/0!</v>
      </c>
      <c r="DL120" t="e">
        <f t="shared" si="71"/>
        <v>#DIV/0!</v>
      </c>
      <c r="DM120" t="e">
        <f t="shared" si="72"/>
        <v>#DIV/0!</v>
      </c>
      <c r="DN120" t="e">
        <f t="shared" si="73"/>
        <v>#DIV/0!</v>
      </c>
      <c r="DO120" t="e">
        <f t="shared" si="74"/>
        <v>#DIV/0!</v>
      </c>
      <c r="DP120" t="e">
        <f t="shared" si="75"/>
        <v>#DIV/0!</v>
      </c>
    </row>
    <row r="121" spans="1:120">
      <c r="A121" s="16" t="s">
        <v>750</v>
      </c>
      <c r="B121" s="16" t="s">
        <v>24</v>
      </c>
      <c r="C121" s="123" t="s">
        <v>546</v>
      </c>
      <c r="D121" s="16" t="s">
        <v>1716</v>
      </c>
      <c r="E121" s="16" t="s">
        <v>1394</v>
      </c>
      <c r="F121" s="16" t="s">
        <v>142</v>
      </c>
      <c r="G121" s="16" t="s">
        <v>595</v>
      </c>
      <c r="H121" s="27">
        <v>90</v>
      </c>
      <c r="I121" s="16" t="s">
        <v>736</v>
      </c>
      <c r="J121" s="16"/>
      <c r="K121" s="16" t="s">
        <v>751</v>
      </c>
      <c r="L121" s="16" t="s">
        <v>145</v>
      </c>
      <c r="M121" s="16" t="s">
        <v>147</v>
      </c>
      <c r="N121" s="16">
        <v>17</v>
      </c>
      <c r="O121" s="95">
        <v>6.4232650842543926</v>
      </c>
      <c r="P121" s="95">
        <v>0.6021811016488493</v>
      </c>
      <c r="Q121" s="95">
        <v>0.70254461859032413</v>
      </c>
      <c r="R121" s="95">
        <v>19.771612837470549</v>
      </c>
      <c r="S121" s="95">
        <v>0.50181758470737448</v>
      </c>
      <c r="T121" s="95">
        <v>5.118539364015219</v>
      </c>
      <c r="U121" s="95">
        <v>0.20072703388294977</v>
      </c>
      <c r="V121" s="95">
        <v>1.9069068218880227</v>
      </c>
      <c r="W121" s="95">
        <v>32.015961904330489</v>
      </c>
      <c r="X121" s="95">
        <v>1.2043622032976986</v>
      </c>
      <c r="Y121" s="95">
        <v>40.747587878238804</v>
      </c>
      <c r="Z121" s="95">
        <v>109.19550643232468</v>
      </c>
      <c r="AA121" s="18"/>
      <c r="AB121" s="18"/>
      <c r="AC121" s="18"/>
      <c r="AD121" s="18"/>
      <c r="AE121" s="127"/>
      <c r="AF121" s="127"/>
      <c r="AG121" s="18"/>
      <c r="AH121" s="18">
        <v>0</v>
      </c>
      <c r="AI121" s="18"/>
      <c r="AJ121" s="18"/>
      <c r="AK121" s="134"/>
      <c r="AL121" s="18"/>
      <c r="AM121" s="134"/>
      <c r="AN121" s="127"/>
      <c r="AO121" s="18"/>
      <c r="AP121" s="18"/>
      <c r="AQ121" s="18"/>
      <c r="AR121" s="18"/>
      <c r="AS121" s="18"/>
      <c r="AT121" s="18"/>
      <c r="AU121" s="18"/>
      <c r="AV121" s="18"/>
      <c r="AW121" s="18"/>
      <c r="AX121" s="127"/>
      <c r="AY121" s="127"/>
      <c r="AZ121" s="127"/>
      <c r="BA121" s="127"/>
      <c r="BB121" s="18"/>
      <c r="BC121" s="127"/>
      <c r="BD121" s="18"/>
      <c r="BE121" s="18"/>
      <c r="BF121" s="18"/>
      <c r="BG121" s="18"/>
      <c r="BH121" s="127"/>
      <c r="BI121" s="127"/>
      <c r="BJ121" s="18"/>
      <c r="BK121" s="127"/>
      <c r="BL121" s="127"/>
      <c r="BM121" s="127"/>
      <c r="BN121" s="127"/>
      <c r="BO121" s="18"/>
      <c r="BP121" s="18"/>
      <c r="BQ121" s="18"/>
      <c r="BR121" s="18"/>
      <c r="BS121" s="18"/>
      <c r="BT121" s="18"/>
      <c r="BU121" s="18"/>
      <c r="BV121" s="18"/>
      <c r="BW121" s="18"/>
      <c r="BX121" s="18"/>
      <c r="BY121" s="127"/>
      <c r="BZ121" s="18"/>
      <c r="CA121" s="127"/>
      <c r="CB121" s="127"/>
      <c r="CC121" s="127"/>
      <c r="CE121" t="e">
        <f t="shared" si="38"/>
        <v>#DIV/0!</v>
      </c>
      <c r="CF121" t="e">
        <f t="shared" si="39"/>
        <v>#DIV/0!</v>
      </c>
      <c r="CG121" t="e">
        <f t="shared" si="40"/>
        <v>#DIV/0!</v>
      </c>
      <c r="CH121" t="e">
        <f t="shared" si="41"/>
        <v>#DIV/0!</v>
      </c>
      <c r="CI121" t="e">
        <f t="shared" si="42"/>
        <v>#DIV/0!</v>
      </c>
      <c r="CJ121" t="e">
        <f t="shared" si="43"/>
        <v>#DIV/0!</v>
      </c>
      <c r="CK121" t="e">
        <f t="shared" si="44"/>
        <v>#DIV/0!</v>
      </c>
      <c r="CL121" t="e">
        <f t="shared" si="45"/>
        <v>#DIV/0!</v>
      </c>
      <c r="CM121" t="e">
        <f t="shared" si="46"/>
        <v>#DIV/0!</v>
      </c>
      <c r="CN121" t="e">
        <f t="shared" si="47"/>
        <v>#DIV/0!</v>
      </c>
      <c r="CO121" t="e">
        <f t="shared" si="48"/>
        <v>#DIV/0!</v>
      </c>
      <c r="CP121" t="e">
        <f t="shared" si="49"/>
        <v>#DIV/0!</v>
      </c>
      <c r="CQ121" t="e">
        <f t="shared" si="50"/>
        <v>#DIV/0!</v>
      </c>
      <c r="CR121" t="e">
        <f t="shared" si="51"/>
        <v>#DIV/0!</v>
      </c>
      <c r="CS121" t="e">
        <f t="shared" si="52"/>
        <v>#DIV/0!</v>
      </c>
      <c r="CT121" t="e">
        <f t="shared" si="53"/>
        <v>#DIV/0!</v>
      </c>
      <c r="CU121" t="e">
        <f t="shared" si="54"/>
        <v>#DIV/0!</v>
      </c>
      <c r="CV121" t="e">
        <f t="shared" si="55"/>
        <v>#DIV/0!</v>
      </c>
      <c r="CW121" t="e">
        <f t="shared" si="56"/>
        <v>#DIV/0!</v>
      </c>
      <c r="CX121" t="e">
        <f t="shared" si="57"/>
        <v>#DIV/0!</v>
      </c>
      <c r="CY121" t="e">
        <f t="shared" si="58"/>
        <v>#DIV/0!</v>
      </c>
      <c r="CZ121" t="e">
        <f t="shared" si="59"/>
        <v>#DIV/0!</v>
      </c>
      <c r="DA121" t="e">
        <f t="shared" si="60"/>
        <v>#DIV/0!</v>
      </c>
      <c r="DB121" t="e">
        <f t="shared" si="61"/>
        <v>#DIV/0!</v>
      </c>
      <c r="DC121" t="e">
        <f t="shared" si="62"/>
        <v>#DIV/0!</v>
      </c>
      <c r="DD121" t="e">
        <f t="shared" si="63"/>
        <v>#DIV/0!</v>
      </c>
      <c r="DE121" t="e">
        <f t="shared" si="64"/>
        <v>#DIV/0!</v>
      </c>
      <c r="DF121" t="e">
        <f t="shared" si="65"/>
        <v>#DIV/0!</v>
      </c>
      <c r="DG121" t="e">
        <f t="shared" si="66"/>
        <v>#DIV/0!</v>
      </c>
      <c r="DH121" t="e">
        <f t="shared" si="67"/>
        <v>#DIV/0!</v>
      </c>
      <c r="DI121" t="e">
        <f t="shared" si="68"/>
        <v>#DIV/0!</v>
      </c>
      <c r="DJ121" t="e">
        <f t="shared" si="69"/>
        <v>#DIV/0!</v>
      </c>
      <c r="DK121" t="e">
        <f t="shared" si="70"/>
        <v>#DIV/0!</v>
      </c>
      <c r="DL121" t="e">
        <f t="shared" si="71"/>
        <v>#DIV/0!</v>
      </c>
      <c r="DM121" t="e">
        <f t="shared" si="72"/>
        <v>#DIV/0!</v>
      </c>
      <c r="DN121" t="e">
        <f t="shared" si="73"/>
        <v>#DIV/0!</v>
      </c>
      <c r="DO121" t="e">
        <f t="shared" si="74"/>
        <v>#DIV/0!</v>
      </c>
      <c r="DP121" t="e">
        <f t="shared" si="75"/>
        <v>#DIV/0!</v>
      </c>
    </row>
    <row r="122" spans="1:120">
      <c r="A122" s="16" t="s">
        <v>750</v>
      </c>
      <c r="B122" s="16" t="s">
        <v>24</v>
      </c>
      <c r="C122" s="123" t="s">
        <v>546</v>
      </c>
      <c r="D122" s="16" t="s">
        <v>1716</v>
      </c>
      <c r="E122" s="16" t="s">
        <v>1394</v>
      </c>
      <c r="F122" s="16" t="s">
        <v>142</v>
      </c>
      <c r="G122" s="16" t="s">
        <v>595</v>
      </c>
      <c r="H122" s="27">
        <v>90</v>
      </c>
      <c r="I122" s="16" t="s">
        <v>736</v>
      </c>
      <c r="J122" s="16"/>
      <c r="K122" s="16" t="s">
        <v>751</v>
      </c>
      <c r="L122" s="16"/>
      <c r="M122" s="16" t="s">
        <v>151</v>
      </c>
      <c r="N122" s="16">
        <v>13</v>
      </c>
      <c r="O122" s="95">
        <v>6.0167798411769189</v>
      </c>
      <c r="P122" s="95">
        <v>0.20395863868396336</v>
      </c>
      <c r="Q122" s="95">
        <v>0.30593795802594498</v>
      </c>
      <c r="R122" s="95">
        <v>20.70180182642228</v>
      </c>
      <c r="S122" s="95">
        <v>1.8356277481556702</v>
      </c>
      <c r="T122" s="95">
        <v>9.7900146568302393</v>
      </c>
      <c r="U122" s="95">
        <v>2.3455243448655785</v>
      </c>
      <c r="V122" s="95">
        <v>4.4870900510471943</v>
      </c>
      <c r="W122" s="95">
        <v>27.228478264309107</v>
      </c>
      <c r="X122" s="95">
        <v>2.4475036642075598</v>
      </c>
      <c r="Y122" s="95">
        <v>31.817547634698279</v>
      </c>
      <c r="Z122" s="95">
        <v>107.18026462842275</v>
      </c>
      <c r="AA122" s="18"/>
      <c r="AB122" s="18"/>
      <c r="AC122" s="18"/>
      <c r="AD122" s="18"/>
      <c r="AE122" s="127"/>
      <c r="AF122" s="127"/>
      <c r="AG122" s="18"/>
      <c r="AH122" s="18">
        <v>0</v>
      </c>
      <c r="AI122" s="18"/>
      <c r="AJ122" s="18"/>
      <c r="AK122" s="134"/>
      <c r="AL122" s="18"/>
      <c r="AM122" s="134"/>
      <c r="AN122" s="127"/>
      <c r="AO122" s="18"/>
      <c r="AP122" s="18"/>
      <c r="AQ122" s="18"/>
      <c r="AR122" s="18"/>
      <c r="AS122" s="18"/>
      <c r="AT122" s="18"/>
      <c r="AU122" s="18"/>
      <c r="AV122" s="18"/>
      <c r="AW122" s="18"/>
      <c r="AX122" s="127"/>
      <c r="AY122" s="127"/>
      <c r="AZ122" s="127"/>
      <c r="BA122" s="127"/>
      <c r="BB122" s="18"/>
      <c r="BC122" s="127"/>
      <c r="BD122" s="18"/>
      <c r="BE122" s="18"/>
      <c r="BF122" s="18"/>
      <c r="BG122" s="18"/>
      <c r="BH122" s="127"/>
      <c r="BI122" s="127"/>
      <c r="BJ122" s="18"/>
      <c r="BK122" s="127"/>
      <c r="BL122" s="127"/>
      <c r="BM122" s="127"/>
      <c r="BN122" s="127"/>
      <c r="BO122" s="18"/>
      <c r="BP122" s="18"/>
      <c r="BQ122" s="18"/>
      <c r="BR122" s="18"/>
      <c r="BS122" s="18"/>
      <c r="BT122" s="18"/>
      <c r="BU122" s="18"/>
      <c r="BV122" s="18"/>
      <c r="BW122" s="18"/>
      <c r="BX122" s="18"/>
      <c r="BY122" s="127"/>
      <c r="BZ122" s="18"/>
      <c r="CA122" s="127"/>
      <c r="CB122" s="127"/>
      <c r="CC122" s="127"/>
      <c r="CE122" t="e">
        <f t="shared" si="38"/>
        <v>#DIV/0!</v>
      </c>
      <c r="CF122" t="e">
        <f t="shared" si="39"/>
        <v>#DIV/0!</v>
      </c>
      <c r="CG122" t="e">
        <f t="shared" si="40"/>
        <v>#DIV/0!</v>
      </c>
      <c r="CH122" t="e">
        <f t="shared" si="41"/>
        <v>#DIV/0!</v>
      </c>
      <c r="CI122" t="e">
        <f t="shared" si="42"/>
        <v>#DIV/0!</v>
      </c>
      <c r="CJ122" t="e">
        <f t="shared" si="43"/>
        <v>#DIV/0!</v>
      </c>
      <c r="CK122" t="e">
        <f t="shared" si="44"/>
        <v>#DIV/0!</v>
      </c>
      <c r="CL122" t="e">
        <f t="shared" si="45"/>
        <v>#DIV/0!</v>
      </c>
      <c r="CM122" t="e">
        <f t="shared" si="46"/>
        <v>#DIV/0!</v>
      </c>
      <c r="CN122" t="e">
        <f t="shared" si="47"/>
        <v>#DIV/0!</v>
      </c>
      <c r="CO122" t="e">
        <f t="shared" si="48"/>
        <v>#DIV/0!</v>
      </c>
      <c r="CP122" t="e">
        <f t="shared" si="49"/>
        <v>#DIV/0!</v>
      </c>
      <c r="CQ122" t="e">
        <f t="shared" si="50"/>
        <v>#DIV/0!</v>
      </c>
      <c r="CR122" t="e">
        <f t="shared" si="51"/>
        <v>#DIV/0!</v>
      </c>
      <c r="CS122" t="e">
        <f t="shared" si="52"/>
        <v>#DIV/0!</v>
      </c>
      <c r="CT122" t="e">
        <f t="shared" si="53"/>
        <v>#DIV/0!</v>
      </c>
      <c r="CU122" t="e">
        <f t="shared" si="54"/>
        <v>#DIV/0!</v>
      </c>
      <c r="CV122" t="e">
        <f t="shared" si="55"/>
        <v>#DIV/0!</v>
      </c>
      <c r="CW122" t="e">
        <f t="shared" si="56"/>
        <v>#DIV/0!</v>
      </c>
      <c r="CX122" t="e">
        <f t="shared" si="57"/>
        <v>#DIV/0!</v>
      </c>
      <c r="CY122" t="e">
        <f t="shared" si="58"/>
        <v>#DIV/0!</v>
      </c>
      <c r="CZ122" t="e">
        <f t="shared" si="59"/>
        <v>#DIV/0!</v>
      </c>
      <c r="DA122" t="e">
        <f t="shared" si="60"/>
        <v>#DIV/0!</v>
      </c>
      <c r="DB122" t="e">
        <f t="shared" si="61"/>
        <v>#DIV/0!</v>
      </c>
      <c r="DC122" t="e">
        <f t="shared" si="62"/>
        <v>#DIV/0!</v>
      </c>
      <c r="DD122" t="e">
        <f t="shared" si="63"/>
        <v>#DIV/0!</v>
      </c>
      <c r="DE122" t="e">
        <f t="shared" si="64"/>
        <v>#DIV/0!</v>
      </c>
      <c r="DF122" t="e">
        <f t="shared" si="65"/>
        <v>#DIV/0!</v>
      </c>
      <c r="DG122" t="e">
        <f t="shared" si="66"/>
        <v>#DIV/0!</v>
      </c>
      <c r="DH122" t="e">
        <f t="shared" si="67"/>
        <v>#DIV/0!</v>
      </c>
      <c r="DI122" t="e">
        <f t="shared" si="68"/>
        <v>#DIV/0!</v>
      </c>
      <c r="DJ122" t="e">
        <f t="shared" si="69"/>
        <v>#DIV/0!</v>
      </c>
      <c r="DK122" t="e">
        <f t="shared" si="70"/>
        <v>#DIV/0!</v>
      </c>
      <c r="DL122" t="e">
        <f t="shared" si="71"/>
        <v>#DIV/0!</v>
      </c>
      <c r="DM122" t="e">
        <f t="shared" si="72"/>
        <v>#DIV/0!</v>
      </c>
      <c r="DN122" t="e">
        <f t="shared" si="73"/>
        <v>#DIV/0!</v>
      </c>
      <c r="DO122" t="e">
        <f t="shared" si="74"/>
        <v>#DIV/0!</v>
      </c>
      <c r="DP122" t="e">
        <f t="shared" si="75"/>
        <v>#DIV/0!</v>
      </c>
    </row>
    <row r="123" spans="1:120">
      <c r="A123" s="16" t="s">
        <v>750</v>
      </c>
      <c r="B123" s="16" t="s">
        <v>24</v>
      </c>
      <c r="C123" s="123" t="s">
        <v>546</v>
      </c>
      <c r="D123" s="16" t="s">
        <v>1716</v>
      </c>
      <c r="E123" s="16" t="s">
        <v>1394</v>
      </c>
      <c r="F123" s="16" t="s">
        <v>142</v>
      </c>
      <c r="G123" s="16" t="s">
        <v>595</v>
      </c>
      <c r="H123" s="27">
        <v>90</v>
      </c>
      <c r="I123" s="16" t="s">
        <v>736</v>
      </c>
      <c r="J123" s="16"/>
      <c r="K123" s="16" t="s">
        <v>751</v>
      </c>
      <c r="L123" s="16" t="s">
        <v>145</v>
      </c>
      <c r="M123" s="16" t="s">
        <v>152</v>
      </c>
      <c r="N123" s="16">
        <v>31</v>
      </c>
      <c r="O123" s="95">
        <v>7.1301800710765875</v>
      </c>
      <c r="P123" s="95">
        <v>1.7072262142014363</v>
      </c>
      <c r="Q123" s="95">
        <v>0.50212535711806949</v>
      </c>
      <c r="R123" s="95">
        <v>10.142932213785006</v>
      </c>
      <c r="S123" s="95">
        <v>1.1046757856597531</v>
      </c>
      <c r="T123" s="95">
        <v>3.7157276426737149</v>
      </c>
      <c r="U123" s="95">
        <v>0.3012752142708417</v>
      </c>
      <c r="V123" s="95">
        <v>2.8119019998611892</v>
      </c>
      <c r="W123" s="95">
        <v>39.165777855209427</v>
      </c>
      <c r="X123" s="95">
        <v>0.60255042854168339</v>
      </c>
      <c r="Y123" s="95">
        <v>42.379380140765072</v>
      </c>
      <c r="Z123" s="95">
        <v>109.56375292316278</v>
      </c>
      <c r="AA123" s="18"/>
      <c r="AB123" s="18"/>
      <c r="AC123" s="18"/>
      <c r="AD123" s="18"/>
      <c r="AE123" s="127"/>
      <c r="AF123" s="127"/>
      <c r="AG123" s="18"/>
      <c r="AH123" s="18">
        <v>0</v>
      </c>
      <c r="AI123" s="18"/>
      <c r="AJ123" s="18"/>
      <c r="AK123" s="134"/>
      <c r="AL123" s="18"/>
      <c r="AM123" s="134"/>
      <c r="AN123" s="127"/>
      <c r="AO123" s="18"/>
      <c r="AP123" s="18"/>
      <c r="AQ123" s="18"/>
      <c r="AR123" s="18"/>
      <c r="AS123" s="18"/>
      <c r="AT123" s="18"/>
      <c r="AU123" s="18"/>
      <c r="AV123" s="18"/>
      <c r="AW123" s="18"/>
      <c r="AX123" s="127"/>
      <c r="AY123" s="127"/>
      <c r="AZ123" s="127"/>
      <c r="BA123" s="127"/>
      <c r="BB123" s="18"/>
      <c r="BC123" s="127"/>
      <c r="BD123" s="18"/>
      <c r="BE123" s="18"/>
      <c r="BF123" s="18"/>
      <c r="BG123" s="18"/>
      <c r="BH123" s="127"/>
      <c r="BI123" s="127"/>
      <c r="BJ123" s="18"/>
      <c r="BK123" s="127"/>
      <c r="BL123" s="127"/>
      <c r="BM123" s="127"/>
      <c r="BN123" s="127"/>
      <c r="BO123" s="18"/>
      <c r="BP123" s="18"/>
      <c r="BQ123" s="18"/>
      <c r="BR123" s="18"/>
      <c r="BS123" s="18"/>
      <c r="BT123" s="18"/>
      <c r="BU123" s="18"/>
      <c r="BV123" s="18"/>
      <c r="BW123" s="18"/>
      <c r="BX123" s="18"/>
      <c r="BY123" s="127"/>
      <c r="BZ123" s="18"/>
      <c r="CA123" s="127"/>
      <c r="CB123" s="127"/>
      <c r="CC123" s="127"/>
      <c r="CE123" t="e">
        <f t="shared" si="38"/>
        <v>#DIV/0!</v>
      </c>
      <c r="CF123" t="e">
        <f t="shared" si="39"/>
        <v>#DIV/0!</v>
      </c>
      <c r="CG123" t="e">
        <f t="shared" si="40"/>
        <v>#DIV/0!</v>
      </c>
      <c r="CH123" t="e">
        <f t="shared" si="41"/>
        <v>#DIV/0!</v>
      </c>
      <c r="CI123" t="e">
        <f t="shared" si="42"/>
        <v>#DIV/0!</v>
      </c>
      <c r="CJ123" t="e">
        <f t="shared" si="43"/>
        <v>#DIV/0!</v>
      </c>
      <c r="CK123" t="e">
        <f t="shared" si="44"/>
        <v>#DIV/0!</v>
      </c>
      <c r="CL123" t="e">
        <f t="shared" si="45"/>
        <v>#DIV/0!</v>
      </c>
      <c r="CM123" t="e">
        <f t="shared" si="46"/>
        <v>#DIV/0!</v>
      </c>
      <c r="CN123" t="e">
        <f t="shared" si="47"/>
        <v>#DIV/0!</v>
      </c>
      <c r="CO123" t="e">
        <f t="shared" si="48"/>
        <v>#DIV/0!</v>
      </c>
      <c r="CP123" t="e">
        <f t="shared" si="49"/>
        <v>#DIV/0!</v>
      </c>
      <c r="CQ123" t="e">
        <f t="shared" si="50"/>
        <v>#DIV/0!</v>
      </c>
      <c r="CR123" t="e">
        <f t="shared" si="51"/>
        <v>#DIV/0!</v>
      </c>
      <c r="CS123" t="e">
        <f t="shared" si="52"/>
        <v>#DIV/0!</v>
      </c>
      <c r="CT123" t="e">
        <f t="shared" si="53"/>
        <v>#DIV/0!</v>
      </c>
      <c r="CU123" t="e">
        <f t="shared" si="54"/>
        <v>#DIV/0!</v>
      </c>
      <c r="CV123" t="e">
        <f t="shared" si="55"/>
        <v>#DIV/0!</v>
      </c>
      <c r="CW123" t="e">
        <f t="shared" si="56"/>
        <v>#DIV/0!</v>
      </c>
      <c r="CX123" t="e">
        <f t="shared" si="57"/>
        <v>#DIV/0!</v>
      </c>
      <c r="CY123" t="e">
        <f t="shared" si="58"/>
        <v>#DIV/0!</v>
      </c>
      <c r="CZ123" t="e">
        <f t="shared" si="59"/>
        <v>#DIV/0!</v>
      </c>
      <c r="DA123" t="e">
        <f t="shared" si="60"/>
        <v>#DIV/0!</v>
      </c>
      <c r="DB123" t="e">
        <f t="shared" si="61"/>
        <v>#DIV/0!</v>
      </c>
      <c r="DC123" t="e">
        <f t="shared" si="62"/>
        <v>#DIV/0!</v>
      </c>
      <c r="DD123" t="e">
        <f t="shared" si="63"/>
        <v>#DIV/0!</v>
      </c>
      <c r="DE123" t="e">
        <f t="shared" si="64"/>
        <v>#DIV/0!</v>
      </c>
      <c r="DF123" t="e">
        <f t="shared" si="65"/>
        <v>#DIV/0!</v>
      </c>
      <c r="DG123" t="e">
        <f t="shared" si="66"/>
        <v>#DIV/0!</v>
      </c>
      <c r="DH123" t="e">
        <f t="shared" si="67"/>
        <v>#DIV/0!</v>
      </c>
      <c r="DI123" t="e">
        <f t="shared" si="68"/>
        <v>#DIV/0!</v>
      </c>
      <c r="DJ123" t="e">
        <f t="shared" si="69"/>
        <v>#DIV/0!</v>
      </c>
      <c r="DK123" t="e">
        <f t="shared" si="70"/>
        <v>#DIV/0!</v>
      </c>
      <c r="DL123" t="e">
        <f t="shared" si="71"/>
        <v>#DIV/0!</v>
      </c>
      <c r="DM123" t="e">
        <f t="shared" si="72"/>
        <v>#DIV/0!</v>
      </c>
      <c r="DN123" t="e">
        <f t="shared" si="73"/>
        <v>#DIV/0!</v>
      </c>
      <c r="DO123" t="e">
        <f t="shared" si="74"/>
        <v>#DIV/0!</v>
      </c>
      <c r="DP123" t="e">
        <f t="shared" si="75"/>
        <v>#DIV/0!</v>
      </c>
    </row>
    <row r="124" spans="1:120">
      <c r="A124" s="16" t="s">
        <v>750</v>
      </c>
      <c r="B124" s="16" t="s">
        <v>24</v>
      </c>
      <c r="C124" s="123" t="s">
        <v>546</v>
      </c>
      <c r="D124" s="16" t="s">
        <v>1716</v>
      </c>
      <c r="E124" s="16" t="s">
        <v>1394</v>
      </c>
      <c r="F124" s="16" t="s">
        <v>142</v>
      </c>
      <c r="G124" s="16" t="s">
        <v>595</v>
      </c>
      <c r="H124" s="27">
        <v>90</v>
      </c>
      <c r="I124" s="16" t="s">
        <v>736</v>
      </c>
      <c r="J124" s="16"/>
      <c r="K124" s="16" t="s">
        <v>751</v>
      </c>
      <c r="L124" s="16" t="s">
        <v>145</v>
      </c>
      <c r="M124" s="16" t="s">
        <v>154</v>
      </c>
      <c r="N124" s="16">
        <v>13</v>
      </c>
      <c r="O124" s="95">
        <v>3.7169648777778406</v>
      </c>
      <c r="P124" s="95">
        <v>1.2055021225225429</v>
      </c>
      <c r="Q124" s="95">
        <v>0.40183404084084762</v>
      </c>
      <c r="R124" s="95">
        <v>20.091702042042382</v>
      </c>
      <c r="S124" s="95">
        <v>2.2100872246246621</v>
      </c>
      <c r="T124" s="95">
        <v>7.7353052861863167</v>
      </c>
      <c r="U124" s="95">
        <v>1.8082531837838141</v>
      </c>
      <c r="V124" s="95">
        <v>2.0091702042042381</v>
      </c>
      <c r="W124" s="95">
        <v>30.74030412432484</v>
      </c>
      <c r="X124" s="95">
        <v>2.3105457348348732</v>
      </c>
      <c r="Y124" s="95">
        <v>35.86368814504565</v>
      </c>
      <c r="Z124" s="95">
        <v>108.09335698618801</v>
      </c>
      <c r="AA124" s="18"/>
      <c r="AB124" s="18"/>
      <c r="AC124" s="18"/>
      <c r="AD124" s="18"/>
      <c r="AE124" s="127"/>
      <c r="AF124" s="127"/>
      <c r="AG124" s="18"/>
      <c r="AH124" s="18">
        <v>0</v>
      </c>
      <c r="AI124" s="18"/>
      <c r="AJ124" s="18"/>
      <c r="AK124" s="134"/>
      <c r="AL124" s="18"/>
      <c r="AM124" s="134"/>
      <c r="AN124" s="127"/>
      <c r="AO124" s="18"/>
      <c r="AP124" s="18"/>
      <c r="AQ124" s="18"/>
      <c r="AR124" s="18"/>
      <c r="AS124" s="18"/>
      <c r="AT124" s="18"/>
      <c r="AU124" s="18"/>
      <c r="AV124" s="18"/>
      <c r="AW124" s="18"/>
      <c r="AX124" s="127"/>
      <c r="AY124" s="127"/>
      <c r="AZ124" s="127"/>
      <c r="BA124" s="127"/>
      <c r="BB124" s="18"/>
      <c r="BC124" s="127"/>
      <c r="BD124" s="18"/>
      <c r="BE124" s="18"/>
      <c r="BF124" s="18"/>
      <c r="BG124" s="18"/>
      <c r="BH124" s="127"/>
      <c r="BI124" s="127"/>
      <c r="BJ124" s="18"/>
      <c r="BK124" s="127"/>
      <c r="BL124" s="127"/>
      <c r="BM124" s="127"/>
      <c r="BN124" s="127"/>
      <c r="BO124" s="18"/>
      <c r="BP124" s="18"/>
      <c r="BQ124" s="18"/>
      <c r="BR124" s="18"/>
      <c r="BS124" s="18"/>
      <c r="BT124" s="18"/>
      <c r="BU124" s="18"/>
      <c r="BV124" s="18"/>
      <c r="BW124" s="18"/>
      <c r="BX124" s="18"/>
      <c r="BY124" s="127"/>
      <c r="BZ124" s="18"/>
      <c r="CA124" s="127"/>
      <c r="CB124" s="127"/>
      <c r="CC124" s="127"/>
      <c r="CE124" t="e">
        <f t="shared" si="38"/>
        <v>#DIV/0!</v>
      </c>
      <c r="CF124" t="e">
        <f t="shared" si="39"/>
        <v>#DIV/0!</v>
      </c>
      <c r="CG124" t="e">
        <f t="shared" si="40"/>
        <v>#DIV/0!</v>
      </c>
      <c r="CH124" t="e">
        <f t="shared" si="41"/>
        <v>#DIV/0!</v>
      </c>
      <c r="CI124" t="e">
        <f t="shared" si="42"/>
        <v>#DIV/0!</v>
      </c>
      <c r="CJ124" t="e">
        <f t="shared" si="43"/>
        <v>#DIV/0!</v>
      </c>
      <c r="CK124" t="e">
        <f t="shared" si="44"/>
        <v>#DIV/0!</v>
      </c>
      <c r="CL124" t="e">
        <f t="shared" si="45"/>
        <v>#DIV/0!</v>
      </c>
      <c r="CM124" t="e">
        <f t="shared" si="46"/>
        <v>#DIV/0!</v>
      </c>
      <c r="CN124" t="e">
        <f t="shared" si="47"/>
        <v>#DIV/0!</v>
      </c>
      <c r="CO124" t="e">
        <f t="shared" si="48"/>
        <v>#DIV/0!</v>
      </c>
      <c r="CP124" t="e">
        <f t="shared" si="49"/>
        <v>#DIV/0!</v>
      </c>
      <c r="CQ124" t="e">
        <f t="shared" si="50"/>
        <v>#DIV/0!</v>
      </c>
      <c r="CR124" t="e">
        <f t="shared" si="51"/>
        <v>#DIV/0!</v>
      </c>
      <c r="CS124" t="e">
        <f t="shared" si="52"/>
        <v>#DIV/0!</v>
      </c>
      <c r="CT124" t="e">
        <f t="shared" si="53"/>
        <v>#DIV/0!</v>
      </c>
      <c r="CU124" t="e">
        <f t="shared" si="54"/>
        <v>#DIV/0!</v>
      </c>
      <c r="CV124" t="e">
        <f t="shared" si="55"/>
        <v>#DIV/0!</v>
      </c>
      <c r="CW124" t="e">
        <f t="shared" si="56"/>
        <v>#DIV/0!</v>
      </c>
      <c r="CX124" t="e">
        <f t="shared" si="57"/>
        <v>#DIV/0!</v>
      </c>
      <c r="CY124" t="e">
        <f t="shared" si="58"/>
        <v>#DIV/0!</v>
      </c>
      <c r="CZ124" t="e">
        <f t="shared" si="59"/>
        <v>#DIV/0!</v>
      </c>
      <c r="DA124" t="e">
        <f t="shared" si="60"/>
        <v>#DIV/0!</v>
      </c>
      <c r="DB124" t="e">
        <f t="shared" si="61"/>
        <v>#DIV/0!</v>
      </c>
      <c r="DC124" t="e">
        <f t="shared" si="62"/>
        <v>#DIV/0!</v>
      </c>
      <c r="DD124" t="e">
        <f t="shared" si="63"/>
        <v>#DIV/0!</v>
      </c>
      <c r="DE124" t="e">
        <f t="shared" si="64"/>
        <v>#DIV/0!</v>
      </c>
      <c r="DF124" t="e">
        <f t="shared" si="65"/>
        <v>#DIV/0!</v>
      </c>
      <c r="DG124" t="e">
        <f t="shared" si="66"/>
        <v>#DIV/0!</v>
      </c>
      <c r="DH124" t="e">
        <f t="shared" si="67"/>
        <v>#DIV/0!</v>
      </c>
      <c r="DI124" t="e">
        <f t="shared" si="68"/>
        <v>#DIV/0!</v>
      </c>
      <c r="DJ124" t="e">
        <f t="shared" si="69"/>
        <v>#DIV/0!</v>
      </c>
      <c r="DK124" t="e">
        <f t="shared" si="70"/>
        <v>#DIV/0!</v>
      </c>
      <c r="DL124" t="e">
        <f t="shared" si="71"/>
        <v>#DIV/0!</v>
      </c>
      <c r="DM124" t="e">
        <f t="shared" si="72"/>
        <v>#DIV/0!</v>
      </c>
      <c r="DN124" t="e">
        <f t="shared" si="73"/>
        <v>#DIV/0!</v>
      </c>
      <c r="DO124" t="e">
        <f t="shared" si="74"/>
        <v>#DIV/0!</v>
      </c>
      <c r="DP124" t="e">
        <f t="shared" si="75"/>
        <v>#DIV/0!</v>
      </c>
    </row>
    <row r="125" spans="1:120">
      <c r="A125" s="16" t="s">
        <v>750</v>
      </c>
      <c r="B125" s="16" t="s">
        <v>24</v>
      </c>
      <c r="C125" s="123" t="s">
        <v>546</v>
      </c>
      <c r="D125" s="16" t="s">
        <v>1716</v>
      </c>
      <c r="E125" s="16" t="s">
        <v>1394</v>
      </c>
      <c r="F125" s="16" t="s">
        <v>142</v>
      </c>
      <c r="G125" s="16" t="s">
        <v>595</v>
      </c>
      <c r="H125" s="27">
        <v>90</v>
      </c>
      <c r="I125" s="16" t="s">
        <v>736</v>
      </c>
      <c r="J125" s="16"/>
      <c r="K125" s="16" t="s">
        <v>751</v>
      </c>
      <c r="L125" s="16"/>
      <c r="M125" s="16" t="s">
        <v>155</v>
      </c>
      <c r="N125" s="16">
        <v>11</v>
      </c>
      <c r="O125" s="95">
        <v>8.9368313415798255</v>
      </c>
      <c r="P125" s="95">
        <v>2.209104376570294</v>
      </c>
      <c r="Q125" s="95">
        <v>0.60248301179189834</v>
      </c>
      <c r="R125" s="95">
        <v>22.091043765702938</v>
      </c>
      <c r="S125" s="95">
        <v>2.0082767059729942</v>
      </c>
      <c r="T125" s="95">
        <v>7.5310376473987288</v>
      </c>
      <c r="U125" s="95">
        <v>2.0082767059729942</v>
      </c>
      <c r="V125" s="95">
        <v>4.1169672472446388</v>
      </c>
      <c r="W125" s="95">
        <v>25.60552800115568</v>
      </c>
      <c r="X125" s="95">
        <v>2.1086905412716446</v>
      </c>
      <c r="Y125" s="95">
        <v>29.421253742504373</v>
      </c>
      <c r="Z125" s="95">
        <v>106.63949308716602</v>
      </c>
      <c r="AA125" s="18"/>
      <c r="AB125" s="18"/>
      <c r="AC125" s="18"/>
      <c r="AD125" s="18"/>
      <c r="AE125" s="127"/>
      <c r="AF125" s="127"/>
      <c r="AG125" s="18"/>
      <c r="AH125" s="18">
        <v>0</v>
      </c>
      <c r="AI125" s="18"/>
      <c r="AJ125" s="18"/>
      <c r="AK125" s="134"/>
      <c r="AL125" s="18"/>
      <c r="AM125" s="134"/>
      <c r="AN125" s="127"/>
      <c r="AO125" s="18"/>
      <c r="AP125" s="18"/>
      <c r="AQ125" s="18"/>
      <c r="AR125" s="18"/>
      <c r="AS125" s="18"/>
      <c r="AT125" s="18"/>
      <c r="AU125" s="18"/>
      <c r="AV125" s="18"/>
      <c r="AW125" s="18"/>
      <c r="AX125" s="127"/>
      <c r="AY125" s="127"/>
      <c r="AZ125" s="127"/>
      <c r="BA125" s="127"/>
      <c r="BB125" s="18"/>
      <c r="BC125" s="127"/>
      <c r="BD125" s="18"/>
      <c r="BE125" s="18"/>
      <c r="BF125" s="18"/>
      <c r="BG125" s="18"/>
      <c r="BH125" s="127"/>
      <c r="BI125" s="127"/>
      <c r="BJ125" s="18"/>
      <c r="BK125" s="127"/>
      <c r="BL125" s="127"/>
      <c r="BM125" s="127"/>
      <c r="BN125" s="127"/>
      <c r="BO125" s="18"/>
      <c r="BP125" s="18"/>
      <c r="BQ125" s="18"/>
      <c r="BR125" s="18"/>
      <c r="BS125" s="18"/>
      <c r="BT125" s="18"/>
      <c r="BU125" s="18"/>
      <c r="BV125" s="18"/>
      <c r="BW125" s="18"/>
      <c r="BX125" s="18"/>
      <c r="BY125" s="127"/>
      <c r="BZ125" s="18"/>
      <c r="CA125" s="127"/>
      <c r="CB125" s="127"/>
      <c r="CC125" s="127"/>
      <c r="CE125" t="e">
        <f t="shared" si="38"/>
        <v>#DIV/0!</v>
      </c>
      <c r="CF125" t="e">
        <f t="shared" si="39"/>
        <v>#DIV/0!</v>
      </c>
      <c r="CG125" t="e">
        <f t="shared" si="40"/>
        <v>#DIV/0!</v>
      </c>
      <c r="CH125" t="e">
        <f t="shared" si="41"/>
        <v>#DIV/0!</v>
      </c>
      <c r="CI125" t="e">
        <f t="shared" si="42"/>
        <v>#DIV/0!</v>
      </c>
      <c r="CJ125" t="e">
        <f t="shared" si="43"/>
        <v>#DIV/0!</v>
      </c>
      <c r="CK125" t="e">
        <f t="shared" si="44"/>
        <v>#DIV/0!</v>
      </c>
      <c r="CL125" t="e">
        <f t="shared" si="45"/>
        <v>#DIV/0!</v>
      </c>
      <c r="CM125" t="e">
        <f t="shared" si="46"/>
        <v>#DIV/0!</v>
      </c>
      <c r="CN125" t="e">
        <f t="shared" si="47"/>
        <v>#DIV/0!</v>
      </c>
      <c r="CO125" t="e">
        <f t="shared" si="48"/>
        <v>#DIV/0!</v>
      </c>
      <c r="CP125" t="e">
        <f t="shared" si="49"/>
        <v>#DIV/0!</v>
      </c>
      <c r="CQ125" t="e">
        <f t="shared" si="50"/>
        <v>#DIV/0!</v>
      </c>
      <c r="CR125" t="e">
        <f t="shared" si="51"/>
        <v>#DIV/0!</v>
      </c>
      <c r="CS125" t="e">
        <f t="shared" si="52"/>
        <v>#DIV/0!</v>
      </c>
      <c r="CT125" t="e">
        <f t="shared" si="53"/>
        <v>#DIV/0!</v>
      </c>
      <c r="CU125" t="e">
        <f t="shared" si="54"/>
        <v>#DIV/0!</v>
      </c>
      <c r="CV125" t="e">
        <f t="shared" si="55"/>
        <v>#DIV/0!</v>
      </c>
      <c r="CW125" t="e">
        <f t="shared" si="56"/>
        <v>#DIV/0!</v>
      </c>
      <c r="CX125" t="e">
        <f t="shared" si="57"/>
        <v>#DIV/0!</v>
      </c>
      <c r="CY125" t="e">
        <f t="shared" si="58"/>
        <v>#DIV/0!</v>
      </c>
      <c r="CZ125" t="e">
        <f t="shared" si="59"/>
        <v>#DIV/0!</v>
      </c>
      <c r="DA125" t="e">
        <f t="shared" si="60"/>
        <v>#DIV/0!</v>
      </c>
      <c r="DB125" t="e">
        <f t="shared" si="61"/>
        <v>#DIV/0!</v>
      </c>
      <c r="DC125" t="e">
        <f t="shared" si="62"/>
        <v>#DIV/0!</v>
      </c>
      <c r="DD125" t="e">
        <f t="shared" si="63"/>
        <v>#DIV/0!</v>
      </c>
      <c r="DE125" t="e">
        <f t="shared" si="64"/>
        <v>#DIV/0!</v>
      </c>
      <c r="DF125" t="e">
        <f t="shared" si="65"/>
        <v>#DIV/0!</v>
      </c>
      <c r="DG125" t="e">
        <f t="shared" si="66"/>
        <v>#DIV/0!</v>
      </c>
      <c r="DH125" t="e">
        <f t="shared" si="67"/>
        <v>#DIV/0!</v>
      </c>
      <c r="DI125" t="e">
        <f t="shared" si="68"/>
        <v>#DIV/0!</v>
      </c>
      <c r="DJ125" t="e">
        <f t="shared" si="69"/>
        <v>#DIV/0!</v>
      </c>
      <c r="DK125" t="e">
        <f t="shared" si="70"/>
        <v>#DIV/0!</v>
      </c>
      <c r="DL125" t="e">
        <f t="shared" si="71"/>
        <v>#DIV/0!</v>
      </c>
      <c r="DM125" t="e">
        <f t="shared" si="72"/>
        <v>#DIV/0!</v>
      </c>
      <c r="DN125" t="e">
        <f t="shared" si="73"/>
        <v>#DIV/0!</v>
      </c>
      <c r="DO125" t="e">
        <f t="shared" si="74"/>
        <v>#DIV/0!</v>
      </c>
      <c r="DP125" t="e">
        <f t="shared" si="75"/>
        <v>#DIV/0!</v>
      </c>
    </row>
    <row r="126" spans="1:120">
      <c r="A126" s="16" t="s">
        <v>845</v>
      </c>
      <c r="B126" s="16" t="s">
        <v>24</v>
      </c>
      <c r="C126" s="123" t="s">
        <v>546</v>
      </c>
      <c r="D126" s="16" t="s">
        <v>1707</v>
      </c>
      <c r="E126" s="16" t="s">
        <v>1394</v>
      </c>
      <c r="F126" s="16" t="s">
        <v>142</v>
      </c>
      <c r="G126" s="16" t="s">
        <v>595</v>
      </c>
      <c r="H126" s="27">
        <v>90</v>
      </c>
      <c r="I126" s="16" t="s">
        <v>1148</v>
      </c>
      <c r="J126" s="16"/>
      <c r="K126" s="16"/>
      <c r="L126" s="16"/>
      <c r="M126" s="16">
        <v>21</v>
      </c>
      <c r="N126" s="16">
        <v>27</v>
      </c>
      <c r="O126" s="95">
        <v>4.6089144133592779</v>
      </c>
      <c r="P126" s="95">
        <v>0</v>
      </c>
      <c r="Q126" s="95">
        <v>2.349185068075109</v>
      </c>
      <c r="R126" s="95">
        <v>11.123624660090744</v>
      </c>
      <c r="S126" s="95">
        <v>11.800376649900462</v>
      </c>
      <c r="T126" s="95">
        <v>16.615428163604076</v>
      </c>
      <c r="U126" s="95">
        <v>0</v>
      </c>
      <c r="V126" s="95">
        <v>8.0937982229541401</v>
      </c>
      <c r="W126" s="95">
        <v>27.680712134918128</v>
      </c>
      <c r="X126" s="95">
        <v>0.39282730442977803</v>
      </c>
      <c r="Y126" s="95">
        <v>22.38726697324557</v>
      </c>
      <c r="Z126" s="95">
        <v>105.05213359057728</v>
      </c>
      <c r="AA126" s="18"/>
      <c r="AB126" s="18"/>
      <c r="AC126" s="18"/>
      <c r="AD126" s="18"/>
      <c r="AE126" s="127"/>
      <c r="AF126" s="127"/>
      <c r="AG126" s="18"/>
      <c r="AH126" s="18">
        <v>0</v>
      </c>
      <c r="AI126" s="18"/>
      <c r="AJ126" s="18"/>
      <c r="AK126" s="134"/>
      <c r="AL126" s="18"/>
      <c r="AM126" s="134"/>
      <c r="AN126" s="127"/>
      <c r="AO126" s="18"/>
      <c r="AP126" s="18"/>
      <c r="AQ126" s="18"/>
      <c r="AR126" s="18"/>
      <c r="AS126" s="18"/>
      <c r="AT126" s="18"/>
      <c r="AU126" s="18"/>
      <c r="AV126" s="18"/>
      <c r="AW126" s="18"/>
      <c r="AX126" s="127"/>
      <c r="AY126" s="127"/>
      <c r="AZ126" s="127"/>
      <c r="BA126" s="127"/>
      <c r="BB126" s="18"/>
      <c r="BC126" s="127"/>
      <c r="BD126" s="18"/>
      <c r="BE126" s="18"/>
      <c r="BF126" s="18"/>
      <c r="BG126" s="18"/>
      <c r="BH126" s="127"/>
      <c r="BI126" s="127"/>
      <c r="BJ126" s="18"/>
      <c r="BK126" s="127"/>
      <c r="BL126" s="127"/>
      <c r="BM126" s="127"/>
      <c r="BN126" s="127"/>
      <c r="BO126" s="18"/>
      <c r="BP126" s="18"/>
      <c r="BQ126" s="18"/>
      <c r="BR126" s="18"/>
      <c r="BS126" s="18"/>
      <c r="BT126" s="18"/>
      <c r="BU126" s="18"/>
      <c r="BV126" s="18"/>
      <c r="BW126" s="18"/>
      <c r="BX126" s="18"/>
      <c r="BY126" s="127"/>
      <c r="BZ126" s="18"/>
      <c r="CA126" s="127"/>
      <c r="CB126" s="127"/>
      <c r="CC126" s="127"/>
      <c r="CE126" t="e">
        <f t="shared" si="38"/>
        <v>#DIV/0!</v>
      </c>
      <c r="CF126" t="e">
        <f t="shared" si="39"/>
        <v>#DIV/0!</v>
      </c>
      <c r="CG126" t="e">
        <f t="shared" si="40"/>
        <v>#DIV/0!</v>
      </c>
      <c r="CH126" t="e">
        <f t="shared" si="41"/>
        <v>#DIV/0!</v>
      </c>
      <c r="CI126" t="e">
        <f t="shared" si="42"/>
        <v>#DIV/0!</v>
      </c>
      <c r="CJ126" t="e">
        <f t="shared" si="43"/>
        <v>#DIV/0!</v>
      </c>
      <c r="CK126" t="e">
        <f t="shared" si="44"/>
        <v>#DIV/0!</v>
      </c>
      <c r="CL126" t="e">
        <f t="shared" si="45"/>
        <v>#DIV/0!</v>
      </c>
      <c r="CM126" t="e">
        <f t="shared" si="46"/>
        <v>#DIV/0!</v>
      </c>
      <c r="CN126" t="e">
        <f t="shared" si="47"/>
        <v>#DIV/0!</v>
      </c>
      <c r="CO126" t="e">
        <f t="shared" si="48"/>
        <v>#DIV/0!</v>
      </c>
      <c r="CP126" t="e">
        <f t="shared" si="49"/>
        <v>#DIV/0!</v>
      </c>
      <c r="CQ126" t="e">
        <f t="shared" si="50"/>
        <v>#DIV/0!</v>
      </c>
      <c r="CR126" t="e">
        <f t="shared" si="51"/>
        <v>#DIV/0!</v>
      </c>
      <c r="CS126" t="e">
        <f t="shared" si="52"/>
        <v>#DIV/0!</v>
      </c>
      <c r="CT126" t="e">
        <f t="shared" si="53"/>
        <v>#DIV/0!</v>
      </c>
      <c r="CU126" t="e">
        <f t="shared" si="54"/>
        <v>#DIV/0!</v>
      </c>
      <c r="CV126" t="e">
        <f t="shared" si="55"/>
        <v>#DIV/0!</v>
      </c>
      <c r="CW126" t="e">
        <f t="shared" si="56"/>
        <v>#DIV/0!</v>
      </c>
      <c r="CX126" t="e">
        <f t="shared" si="57"/>
        <v>#DIV/0!</v>
      </c>
      <c r="CY126" t="e">
        <f t="shared" si="58"/>
        <v>#DIV/0!</v>
      </c>
      <c r="CZ126" t="e">
        <f t="shared" si="59"/>
        <v>#DIV/0!</v>
      </c>
      <c r="DA126" t="e">
        <f t="shared" si="60"/>
        <v>#DIV/0!</v>
      </c>
      <c r="DB126" t="e">
        <f t="shared" si="61"/>
        <v>#DIV/0!</v>
      </c>
      <c r="DC126" t="e">
        <f t="shared" si="62"/>
        <v>#DIV/0!</v>
      </c>
      <c r="DD126" t="e">
        <f t="shared" si="63"/>
        <v>#DIV/0!</v>
      </c>
      <c r="DE126" t="e">
        <f t="shared" si="64"/>
        <v>#DIV/0!</v>
      </c>
      <c r="DF126" t="e">
        <f t="shared" si="65"/>
        <v>#DIV/0!</v>
      </c>
      <c r="DG126" t="e">
        <f t="shared" si="66"/>
        <v>#DIV/0!</v>
      </c>
      <c r="DH126" t="e">
        <f t="shared" si="67"/>
        <v>#DIV/0!</v>
      </c>
      <c r="DI126" t="e">
        <f t="shared" si="68"/>
        <v>#DIV/0!</v>
      </c>
      <c r="DJ126" t="e">
        <f t="shared" si="69"/>
        <v>#DIV/0!</v>
      </c>
      <c r="DK126" t="e">
        <f t="shared" si="70"/>
        <v>#DIV/0!</v>
      </c>
      <c r="DL126" t="e">
        <f t="shared" si="71"/>
        <v>#DIV/0!</v>
      </c>
      <c r="DM126" t="e">
        <f t="shared" si="72"/>
        <v>#DIV/0!</v>
      </c>
      <c r="DN126" t="e">
        <f t="shared" si="73"/>
        <v>#DIV/0!</v>
      </c>
      <c r="DO126" t="e">
        <f t="shared" si="74"/>
        <v>#DIV/0!</v>
      </c>
      <c r="DP126" t="e">
        <f t="shared" si="75"/>
        <v>#DIV/0!</v>
      </c>
    </row>
    <row r="127" spans="1:120">
      <c r="A127" s="16" t="s">
        <v>845</v>
      </c>
      <c r="B127" s="16" t="s">
        <v>24</v>
      </c>
      <c r="C127" s="123" t="s">
        <v>546</v>
      </c>
      <c r="D127" s="16" t="s">
        <v>119</v>
      </c>
      <c r="E127" s="16" t="s">
        <v>1394</v>
      </c>
      <c r="F127" s="16" t="s">
        <v>142</v>
      </c>
      <c r="G127" s="16" t="s">
        <v>595</v>
      </c>
      <c r="H127" s="27">
        <v>90</v>
      </c>
      <c r="I127" s="16" t="s">
        <v>1148</v>
      </c>
      <c r="J127" s="16"/>
      <c r="K127" s="16"/>
      <c r="L127" s="16"/>
      <c r="M127" s="16">
        <v>23</v>
      </c>
      <c r="N127" s="16">
        <v>39</v>
      </c>
      <c r="O127" s="95">
        <v>1.810885747611169</v>
      </c>
      <c r="P127" s="95">
        <v>0.10473920610232031</v>
      </c>
      <c r="Q127" s="95">
        <v>0.61189746722934479</v>
      </c>
      <c r="R127" s="95">
        <v>17.207549044652247</v>
      </c>
      <c r="S127" s="95">
        <v>4.8124908909118735</v>
      </c>
      <c r="T127" s="95">
        <v>7.9408855994943348</v>
      </c>
      <c r="U127" s="95">
        <v>0</v>
      </c>
      <c r="V127" s="95">
        <v>17.626505869061532</v>
      </c>
      <c r="W127" s="95">
        <v>23.621447270970652</v>
      </c>
      <c r="X127" s="95">
        <v>0.42171311930671057</v>
      </c>
      <c r="Y127" s="95">
        <v>33.373218618076159</v>
      </c>
      <c r="Z127" s="95">
        <v>107.53133283341634</v>
      </c>
      <c r="AA127" s="18"/>
      <c r="AB127" s="18"/>
      <c r="AC127" s="18"/>
      <c r="AD127" s="18"/>
      <c r="AE127" s="127"/>
      <c r="AF127" s="127"/>
      <c r="AG127" s="18"/>
      <c r="AH127" s="18">
        <v>0</v>
      </c>
      <c r="AI127" s="18"/>
      <c r="AJ127" s="18"/>
      <c r="AK127" s="134"/>
      <c r="AL127" s="18"/>
      <c r="AM127" s="134"/>
      <c r="AN127" s="127"/>
      <c r="AO127" s="18"/>
      <c r="AP127" s="18"/>
      <c r="AQ127" s="18"/>
      <c r="AR127" s="18"/>
      <c r="AS127" s="18"/>
      <c r="AT127" s="18"/>
      <c r="AU127" s="18"/>
      <c r="AV127" s="18"/>
      <c r="AW127" s="18"/>
      <c r="AX127" s="127"/>
      <c r="AY127" s="127"/>
      <c r="AZ127" s="127"/>
      <c r="BA127" s="127"/>
      <c r="BB127" s="18"/>
      <c r="BC127" s="127"/>
      <c r="BD127" s="18"/>
      <c r="BE127" s="18"/>
      <c r="BF127" s="18"/>
      <c r="BG127" s="18"/>
      <c r="BH127" s="127"/>
      <c r="BI127" s="127"/>
      <c r="BJ127" s="18"/>
      <c r="BK127" s="127"/>
      <c r="BL127" s="127"/>
      <c r="BM127" s="127"/>
      <c r="BN127" s="127"/>
      <c r="BO127" s="18"/>
      <c r="BP127" s="18"/>
      <c r="BQ127" s="18"/>
      <c r="BR127" s="18"/>
      <c r="BS127" s="18"/>
      <c r="BT127" s="18"/>
      <c r="BU127" s="18"/>
      <c r="BV127" s="18"/>
      <c r="BW127" s="18"/>
      <c r="BX127" s="18"/>
      <c r="BY127" s="127"/>
      <c r="BZ127" s="18"/>
      <c r="CA127" s="127"/>
      <c r="CB127" s="127"/>
      <c r="CC127" s="127"/>
      <c r="CE127" t="e">
        <f t="shared" si="38"/>
        <v>#DIV/0!</v>
      </c>
      <c r="CF127" t="e">
        <f t="shared" si="39"/>
        <v>#DIV/0!</v>
      </c>
      <c r="CG127" t="e">
        <f t="shared" si="40"/>
        <v>#DIV/0!</v>
      </c>
      <c r="CH127" t="e">
        <f t="shared" si="41"/>
        <v>#DIV/0!</v>
      </c>
      <c r="CI127" t="e">
        <f t="shared" si="42"/>
        <v>#DIV/0!</v>
      </c>
      <c r="CJ127" t="e">
        <f t="shared" si="43"/>
        <v>#DIV/0!</v>
      </c>
      <c r="CK127" t="e">
        <f t="shared" si="44"/>
        <v>#DIV/0!</v>
      </c>
      <c r="CL127" t="e">
        <f t="shared" si="45"/>
        <v>#DIV/0!</v>
      </c>
      <c r="CM127" t="e">
        <f t="shared" si="46"/>
        <v>#DIV/0!</v>
      </c>
      <c r="CN127" t="e">
        <f t="shared" si="47"/>
        <v>#DIV/0!</v>
      </c>
      <c r="CO127" t="e">
        <f t="shared" si="48"/>
        <v>#DIV/0!</v>
      </c>
      <c r="CP127" t="e">
        <f t="shared" si="49"/>
        <v>#DIV/0!</v>
      </c>
      <c r="CQ127" t="e">
        <f t="shared" si="50"/>
        <v>#DIV/0!</v>
      </c>
      <c r="CR127" t="e">
        <f t="shared" si="51"/>
        <v>#DIV/0!</v>
      </c>
      <c r="CS127" t="e">
        <f t="shared" si="52"/>
        <v>#DIV/0!</v>
      </c>
      <c r="CT127" t="e">
        <f t="shared" si="53"/>
        <v>#DIV/0!</v>
      </c>
      <c r="CU127" t="e">
        <f t="shared" si="54"/>
        <v>#DIV/0!</v>
      </c>
      <c r="CV127" t="e">
        <f t="shared" si="55"/>
        <v>#DIV/0!</v>
      </c>
      <c r="CW127" t="e">
        <f t="shared" si="56"/>
        <v>#DIV/0!</v>
      </c>
      <c r="CX127" t="e">
        <f t="shared" si="57"/>
        <v>#DIV/0!</v>
      </c>
      <c r="CY127" t="e">
        <f t="shared" si="58"/>
        <v>#DIV/0!</v>
      </c>
      <c r="CZ127" t="e">
        <f t="shared" si="59"/>
        <v>#DIV/0!</v>
      </c>
      <c r="DA127" t="e">
        <f t="shared" si="60"/>
        <v>#DIV/0!</v>
      </c>
      <c r="DB127" t="e">
        <f t="shared" si="61"/>
        <v>#DIV/0!</v>
      </c>
      <c r="DC127" t="e">
        <f t="shared" si="62"/>
        <v>#DIV/0!</v>
      </c>
      <c r="DD127" t="e">
        <f t="shared" si="63"/>
        <v>#DIV/0!</v>
      </c>
      <c r="DE127" t="e">
        <f t="shared" si="64"/>
        <v>#DIV/0!</v>
      </c>
      <c r="DF127" t="e">
        <f t="shared" si="65"/>
        <v>#DIV/0!</v>
      </c>
      <c r="DG127" t="e">
        <f t="shared" si="66"/>
        <v>#DIV/0!</v>
      </c>
      <c r="DH127" t="e">
        <f t="shared" si="67"/>
        <v>#DIV/0!</v>
      </c>
      <c r="DI127" t="e">
        <f t="shared" si="68"/>
        <v>#DIV/0!</v>
      </c>
      <c r="DJ127" t="e">
        <f t="shared" si="69"/>
        <v>#DIV/0!</v>
      </c>
      <c r="DK127" t="e">
        <f t="shared" si="70"/>
        <v>#DIV/0!</v>
      </c>
      <c r="DL127" t="e">
        <f t="shared" si="71"/>
        <v>#DIV/0!</v>
      </c>
      <c r="DM127" t="e">
        <f t="shared" si="72"/>
        <v>#DIV/0!</v>
      </c>
      <c r="DN127" t="e">
        <f t="shared" si="73"/>
        <v>#DIV/0!</v>
      </c>
      <c r="DO127" t="e">
        <f t="shared" si="74"/>
        <v>#DIV/0!</v>
      </c>
      <c r="DP127" t="e">
        <f t="shared" si="75"/>
        <v>#DIV/0!</v>
      </c>
    </row>
    <row r="128" spans="1:120">
      <c r="A128" s="16" t="s">
        <v>845</v>
      </c>
      <c r="B128" s="16" t="s">
        <v>24</v>
      </c>
      <c r="C128" s="123" t="s">
        <v>546</v>
      </c>
      <c r="D128" s="16" t="s">
        <v>119</v>
      </c>
      <c r="E128" s="16" t="s">
        <v>1394</v>
      </c>
      <c r="F128" s="16" t="s">
        <v>142</v>
      </c>
      <c r="G128" s="16" t="s">
        <v>595</v>
      </c>
      <c r="H128" s="27">
        <v>90</v>
      </c>
      <c r="I128" s="16" t="s">
        <v>1148</v>
      </c>
      <c r="J128" s="16"/>
      <c r="K128" s="16"/>
      <c r="L128" s="16"/>
      <c r="M128" s="16" t="s">
        <v>506</v>
      </c>
      <c r="N128" s="16">
        <v>19</v>
      </c>
      <c r="O128" s="95">
        <v>4.8765166035417229</v>
      </c>
      <c r="P128" s="95">
        <v>0.32510110690278149</v>
      </c>
      <c r="Q128" s="95">
        <v>0.75856924943982351</v>
      </c>
      <c r="R128" s="95">
        <v>18.855864200361328</v>
      </c>
      <c r="S128" s="95">
        <v>0.86693628507408405</v>
      </c>
      <c r="T128" s="95">
        <v>5.0932506748102444</v>
      </c>
      <c r="U128" s="95">
        <v>0</v>
      </c>
      <c r="V128" s="95">
        <v>5.2016177104445038</v>
      </c>
      <c r="W128" s="95">
        <v>34.460717331694845</v>
      </c>
      <c r="X128" s="95">
        <v>0.10836703563426051</v>
      </c>
      <c r="Y128" s="95">
        <v>38.036829507625441</v>
      </c>
      <c r="Z128" s="95">
        <v>108.58376970552904</v>
      </c>
      <c r="AA128" s="18"/>
      <c r="AB128" s="18"/>
      <c r="AC128" s="18"/>
      <c r="AD128" s="18"/>
      <c r="AE128" s="127"/>
      <c r="AF128" s="127"/>
      <c r="AG128" s="18"/>
      <c r="AH128" s="18">
        <v>0</v>
      </c>
      <c r="AI128" s="18"/>
      <c r="AJ128" s="18"/>
      <c r="AK128" s="134"/>
      <c r="AL128" s="18"/>
      <c r="AM128" s="134"/>
      <c r="AN128" s="127"/>
      <c r="AO128" s="18"/>
      <c r="AP128" s="18"/>
      <c r="AQ128" s="18"/>
      <c r="AR128" s="18"/>
      <c r="AS128" s="18"/>
      <c r="AT128" s="18"/>
      <c r="AU128" s="18"/>
      <c r="AV128" s="18"/>
      <c r="AW128" s="18"/>
      <c r="AX128" s="127"/>
      <c r="AY128" s="127"/>
      <c r="AZ128" s="127"/>
      <c r="BA128" s="127"/>
      <c r="BB128" s="18"/>
      <c r="BC128" s="127"/>
      <c r="BD128" s="18"/>
      <c r="BE128" s="18"/>
      <c r="BF128" s="18"/>
      <c r="BG128" s="18"/>
      <c r="BH128" s="127"/>
      <c r="BI128" s="127"/>
      <c r="BJ128" s="18"/>
      <c r="BK128" s="127"/>
      <c r="BL128" s="127"/>
      <c r="BM128" s="127"/>
      <c r="BN128" s="127"/>
      <c r="BO128" s="18"/>
      <c r="BP128" s="18"/>
      <c r="BQ128" s="18"/>
      <c r="BR128" s="18"/>
      <c r="BS128" s="18"/>
      <c r="BT128" s="18"/>
      <c r="BU128" s="18"/>
      <c r="BV128" s="18"/>
      <c r="BW128" s="18"/>
      <c r="BX128" s="18"/>
      <c r="BY128" s="127"/>
      <c r="BZ128" s="18"/>
      <c r="CA128" s="127"/>
      <c r="CB128" s="127"/>
      <c r="CC128" s="127"/>
      <c r="CE128" t="e">
        <f t="shared" si="38"/>
        <v>#DIV/0!</v>
      </c>
      <c r="CF128" t="e">
        <f t="shared" si="39"/>
        <v>#DIV/0!</v>
      </c>
      <c r="CG128" t="e">
        <f t="shared" si="40"/>
        <v>#DIV/0!</v>
      </c>
      <c r="CH128" t="e">
        <f t="shared" si="41"/>
        <v>#DIV/0!</v>
      </c>
      <c r="CI128" t="e">
        <f t="shared" si="42"/>
        <v>#DIV/0!</v>
      </c>
      <c r="CJ128" t="e">
        <f t="shared" si="43"/>
        <v>#DIV/0!</v>
      </c>
      <c r="CK128" t="e">
        <f t="shared" si="44"/>
        <v>#DIV/0!</v>
      </c>
      <c r="CL128" t="e">
        <f t="shared" si="45"/>
        <v>#DIV/0!</v>
      </c>
      <c r="CM128" t="e">
        <f t="shared" si="46"/>
        <v>#DIV/0!</v>
      </c>
      <c r="CN128" t="e">
        <f t="shared" si="47"/>
        <v>#DIV/0!</v>
      </c>
      <c r="CO128" t="e">
        <f t="shared" si="48"/>
        <v>#DIV/0!</v>
      </c>
      <c r="CP128" t="e">
        <f t="shared" si="49"/>
        <v>#DIV/0!</v>
      </c>
      <c r="CQ128" t="e">
        <f t="shared" si="50"/>
        <v>#DIV/0!</v>
      </c>
      <c r="CR128" t="e">
        <f t="shared" si="51"/>
        <v>#DIV/0!</v>
      </c>
      <c r="CS128" t="e">
        <f t="shared" si="52"/>
        <v>#DIV/0!</v>
      </c>
      <c r="CT128" t="e">
        <f t="shared" si="53"/>
        <v>#DIV/0!</v>
      </c>
      <c r="CU128" t="e">
        <f t="shared" si="54"/>
        <v>#DIV/0!</v>
      </c>
      <c r="CV128" t="e">
        <f t="shared" si="55"/>
        <v>#DIV/0!</v>
      </c>
      <c r="CW128" t="e">
        <f t="shared" si="56"/>
        <v>#DIV/0!</v>
      </c>
      <c r="CX128" t="e">
        <f t="shared" si="57"/>
        <v>#DIV/0!</v>
      </c>
      <c r="CY128" t="e">
        <f t="shared" si="58"/>
        <v>#DIV/0!</v>
      </c>
      <c r="CZ128" t="e">
        <f t="shared" si="59"/>
        <v>#DIV/0!</v>
      </c>
      <c r="DA128" t="e">
        <f t="shared" si="60"/>
        <v>#DIV/0!</v>
      </c>
      <c r="DB128" t="e">
        <f t="shared" si="61"/>
        <v>#DIV/0!</v>
      </c>
      <c r="DC128" t="e">
        <f t="shared" si="62"/>
        <v>#DIV/0!</v>
      </c>
      <c r="DD128" t="e">
        <f t="shared" si="63"/>
        <v>#DIV/0!</v>
      </c>
      <c r="DE128" t="e">
        <f t="shared" si="64"/>
        <v>#DIV/0!</v>
      </c>
      <c r="DF128" t="e">
        <f t="shared" si="65"/>
        <v>#DIV/0!</v>
      </c>
      <c r="DG128" t="e">
        <f t="shared" si="66"/>
        <v>#DIV/0!</v>
      </c>
      <c r="DH128" t="e">
        <f t="shared" si="67"/>
        <v>#DIV/0!</v>
      </c>
      <c r="DI128" t="e">
        <f t="shared" si="68"/>
        <v>#DIV/0!</v>
      </c>
      <c r="DJ128" t="e">
        <f t="shared" si="69"/>
        <v>#DIV/0!</v>
      </c>
      <c r="DK128" t="e">
        <f t="shared" si="70"/>
        <v>#DIV/0!</v>
      </c>
      <c r="DL128" t="e">
        <f t="shared" si="71"/>
        <v>#DIV/0!</v>
      </c>
      <c r="DM128" t="e">
        <f t="shared" si="72"/>
        <v>#DIV/0!</v>
      </c>
      <c r="DN128" t="e">
        <f t="shared" si="73"/>
        <v>#DIV/0!</v>
      </c>
      <c r="DO128" t="e">
        <f t="shared" si="74"/>
        <v>#DIV/0!</v>
      </c>
      <c r="DP128" t="e">
        <f t="shared" si="75"/>
        <v>#DIV/0!</v>
      </c>
    </row>
    <row r="129" spans="1:120">
      <c r="A129" s="16" t="s">
        <v>845</v>
      </c>
      <c r="B129" s="16" t="s">
        <v>24</v>
      </c>
      <c r="C129" s="123" t="s">
        <v>546</v>
      </c>
      <c r="D129" s="16" t="s">
        <v>119</v>
      </c>
      <c r="E129" s="16" t="s">
        <v>1394</v>
      </c>
      <c r="F129" s="16" t="s">
        <v>142</v>
      </c>
      <c r="G129" s="16" t="s">
        <v>595</v>
      </c>
      <c r="H129" s="27">
        <v>90</v>
      </c>
      <c r="I129" s="16" t="s">
        <v>1148</v>
      </c>
      <c r="J129" s="16"/>
      <c r="K129" s="16"/>
      <c r="L129" s="16"/>
      <c r="M129" s="16" t="s">
        <v>507</v>
      </c>
      <c r="N129" s="16">
        <v>25</v>
      </c>
      <c r="O129" s="95">
        <v>6.994147395614168</v>
      </c>
      <c r="P129" s="95">
        <v>0.10928355305647137</v>
      </c>
      <c r="Q129" s="95">
        <v>1.5299697427905994</v>
      </c>
      <c r="R129" s="95">
        <v>14.753279662623637</v>
      </c>
      <c r="S129" s="95">
        <v>0.54641776528235697</v>
      </c>
      <c r="T129" s="95">
        <v>7.2127145017271106</v>
      </c>
      <c r="U129" s="95">
        <v>0</v>
      </c>
      <c r="V129" s="95">
        <v>2.0763875080729561</v>
      </c>
      <c r="W129" s="95">
        <v>34.970736978070846</v>
      </c>
      <c r="X129" s="95">
        <v>0.32785065916941414</v>
      </c>
      <c r="Y129" s="95">
        <v>40.653481737007354</v>
      </c>
      <c r="Z129" s="95">
        <v>109.17426950341492</v>
      </c>
      <c r="AA129" s="18"/>
      <c r="AB129" s="18"/>
      <c r="AC129" s="18"/>
      <c r="AD129" s="18"/>
      <c r="AE129" s="127"/>
      <c r="AF129" s="127"/>
      <c r="AG129" s="18"/>
      <c r="AH129" s="18">
        <v>0</v>
      </c>
      <c r="AI129" s="18"/>
      <c r="AJ129" s="18"/>
      <c r="AK129" s="134"/>
      <c r="AL129" s="18"/>
      <c r="AM129" s="134"/>
      <c r="AN129" s="127"/>
      <c r="AO129" s="18"/>
      <c r="AP129" s="18"/>
      <c r="AQ129" s="18"/>
      <c r="AR129" s="18"/>
      <c r="AS129" s="18"/>
      <c r="AT129" s="18"/>
      <c r="AU129" s="18"/>
      <c r="AV129" s="18"/>
      <c r="AW129" s="18"/>
      <c r="AX129" s="127"/>
      <c r="AY129" s="127"/>
      <c r="AZ129" s="127"/>
      <c r="BA129" s="127"/>
      <c r="BB129" s="18"/>
      <c r="BC129" s="127"/>
      <c r="BD129" s="18"/>
      <c r="BE129" s="18"/>
      <c r="BF129" s="18"/>
      <c r="BG129" s="18"/>
      <c r="BH129" s="127"/>
      <c r="BI129" s="127"/>
      <c r="BJ129" s="18"/>
      <c r="BK129" s="127"/>
      <c r="BL129" s="127"/>
      <c r="BM129" s="127"/>
      <c r="BN129" s="127"/>
      <c r="BO129" s="18"/>
      <c r="BP129" s="18"/>
      <c r="BQ129" s="18"/>
      <c r="BR129" s="18"/>
      <c r="BS129" s="18"/>
      <c r="BT129" s="18"/>
      <c r="BU129" s="18"/>
      <c r="BV129" s="18"/>
      <c r="BW129" s="18"/>
      <c r="BX129" s="18"/>
      <c r="BY129" s="127"/>
      <c r="BZ129" s="18"/>
      <c r="CA129" s="127"/>
      <c r="CB129" s="127"/>
      <c r="CC129" s="127"/>
      <c r="CE129" t="e">
        <f t="shared" si="38"/>
        <v>#DIV/0!</v>
      </c>
      <c r="CF129" t="e">
        <f t="shared" si="39"/>
        <v>#DIV/0!</v>
      </c>
      <c r="CG129" t="e">
        <f t="shared" si="40"/>
        <v>#DIV/0!</v>
      </c>
      <c r="CH129" t="e">
        <f t="shared" si="41"/>
        <v>#DIV/0!</v>
      </c>
      <c r="CI129" t="e">
        <f t="shared" si="42"/>
        <v>#DIV/0!</v>
      </c>
      <c r="CJ129" t="e">
        <f t="shared" si="43"/>
        <v>#DIV/0!</v>
      </c>
      <c r="CK129" t="e">
        <f t="shared" si="44"/>
        <v>#DIV/0!</v>
      </c>
      <c r="CL129" t="e">
        <f t="shared" si="45"/>
        <v>#DIV/0!</v>
      </c>
      <c r="CM129" t="e">
        <f t="shared" si="46"/>
        <v>#DIV/0!</v>
      </c>
      <c r="CN129" t="e">
        <f t="shared" si="47"/>
        <v>#DIV/0!</v>
      </c>
      <c r="CO129" t="e">
        <f t="shared" si="48"/>
        <v>#DIV/0!</v>
      </c>
      <c r="CP129" t="e">
        <f t="shared" si="49"/>
        <v>#DIV/0!</v>
      </c>
      <c r="CQ129" t="e">
        <f t="shared" si="50"/>
        <v>#DIV/0!</v>
      </c>
      <c r="CR129" t="e">
        <f t="shared" si="51"/>
        <v>#DIV/0!</v>
      </c>
      <c r="CS129" t="e">
        <f t="shared" si="52"/>
        <v>#DIV/0!</v>
      </c>
      <c r="CT129" t="e">
        <f t="shared" si="53"/>
        <v>#DIV/0!</v>
      </c>
      <c r="CU129" t="e">
        <f t="shared" si="54"/>
        <v>#DIV/0!</v>
      </c>
      <c r="CV129" t="e">
        <f t="shared" si="55"/>
        <v>#DIV/0!</v>
      </c>
      <c r="CW129" t="e">
        <f t="shared" si="56"/>
        <v>#DIV/0!</v>
      </c>
      <c r="CX129" t="e">
        <f t="shared" si="57"/>
        <v>#DIV/0!</v>
      </c>
      <c r="CY129" t="e">
        <f t="shared" si="58"/>
        <v>#DIV/0!</v>
      </c>
      <c r="CZ129" t="e">
        <f t="shared" si="59"/>
        <v>#DIV/0!</v>
      </c>
      <c r="DA129" t="e">
        <f t="shared" si="60"/>
        <v>#DIV/0!</v>
      </c>
      <c r="DB129" t="e">
        <f t="shared" si="61"/>
        <v>#DIV/0!</v>
      </c>
      <c r="DC129" t="e">
        <f t="shared" si="62"/>
        <v>#DIV/0!</v>
      </c>
      <c r="DD129" t="e">
        <f t="shared" si="63"/>
        <v>#DIV/0!</v>
      </c>
      <c r="DE129" t="e">
        <f t="shared" si="64"/>
        <v>#DIV/0!</v>
      </c>
      <c r="DF129" t="e">
        <f t="shared" si="65"/>
        <v>#DIV/0!</v>
      </c>
      <c r="DG129" t="e">
        <f t="shared" si="66"/>
        <v>#DIV/0!</v>
      </c>
      <c r="DH129" t="e">
        <f t="shared" si="67"/>
        <v>#DIV/0!</v>
      </c>
      <c r="DI129" t="e">
        <f t="shared" si="68"/>
        <v>#DIV/0!</v>
      </c>
      <c r="DJ129" t="e">
        <f t="shared" si="69"/>
        <v>#DIV/0!</v>
      </c>
      <c r="DK129" t="e">
        <f t="shared" si="70"/>
        <v>#DIV/0!</v>
      </c>
      <c r="DL129" t="e">
        <f t="shared" si="71"/>
        <v>#DIV/0!</v>
      </c>
      <c r="DM129" t="e">
        <f t="shared" si="72"/>
        <v>#DIV/0!</v>
      </c>
      <c r="DN129" t="e">
        <f t="shared" si="73"/>
        <v>#DIV/0!</v>
      </c>
      <c r="DO129" t="e">
        <f t="shared" si="74"/>
        <v>#DIV/0!</v>
      </c>
      <c r="DP129" t="e">
        <f t="shared" si="75"/>
        <v>#DIV/0!</v>
      </c>
    </row>
    <row r="130" spans="1:120">
      <c r="A130" s="16" t="s">
        <v>847</v>
      </c>
      <c r="B130" s="16" t="s">
        <v>24</v>
      </c>
      <c r="C130" s="123" t="s">
        <v>546</v>
      </c>
      <c r="D130" s="16" t="s">
        <v>119</v>
      </c>
      <c r="E130" s="16" t="s">
        <v>1394</v>
      </c>
      <c r="F130" s="16" t="s">
        <v>142</v>
      </c>
      <c r="G130" s="16" t="s">
        <v>595</v>
      </c>
      <c r="H130" s="27">
        <v>90</v>
      </c>
      <c r="I130" s="16" t="s">
        <v>1148</v>
      </c>
      <c r="J130" s="16"/>
      <c r="K130" s="16"/>
      <c r="L130" s="16" t="s">
        <v>572</v>
      </c>
      <c r="M130" s="16" t="s">
        <v>565</v>
      </c>
      <c r="N130" s="16">
        <v>30</v>
      </c>
      <c r="O130" s="95">
        <v>1.5911602382512016</v>
      </c>
      <c r="P130" s="95">
        <v>0</v>
      </c>
      <c r="Q130" s="95">
        <v>0</v>
      </c>
      <c r="R130" s="95">
        <v>12.330233585978242</v>
      </c>
      <c r="S130" s="95">
        <v>7.4524970038290563</v>
      </c>
      <c r="T130" s="95">
        <v>11.581029352694125</v>
      </c>
      <c r="U130" s="95">
        <v>0</v>
      </c>
      <c r="V130" s="95">
        <v>12.348927741511243</v>
      </c>
      <c r="W130" s="95">
        <v>29.410220689302825</v>
      </c>
      <c r="X130" s="95">
        <v>0.68880773079288327</v>
      </c>
      <c r="Y130" s="95">
        <v>31.765684286460949</v>
      </c>
      <c r="Z130" s="95">
        <v>107.16856062882053</v>
      </c>
      <c r="AA130" s="18"/>
      <c r="AB130" s="18"/>
      <c r="AC130" s="18"/>
      <c r="AD130" s="18"/>
      <c r="AE130" s="127"/>
      <c r="AF130" s="127"/>
      <c r="AG130" s="18"/>
      <c r="AH130" s="18">
        <v>0</v>
      </c>
      <c r="AI130" s="18"/>
      <c r="AJ130" s="18"/>
      <c r="AK130" s="134"/>
      <c r="AL130" s="18"/>
      <c r="AM130" s="134"/>
      <c r="AN130" s="127"/>
      <c r="AO130" s="18"/>
      <c r="AP130" s="18"/>
      <c r="AQ130" s="18"/>
      <c r="AR130" s="18"/>
      <c r="AS130" s="18"/>
      <c r="AT130" s="18"/>
      <c r="AU130" s="18"/>
      <c r="AV130" s="18"/>
      <c r="AW130" s="18"/>
      <c r="AX130" s="127"/>
      <c r="AY130" s="127"/>
      <c r="AZ130" s="127"/>
      <c r="BA130" s="127"/>
      <c r="BB130" s="18"/>
      <c r="BC130" s="127"/>
      <c r="BD130" s="18"/>
      <c r="BE130" s="18"/>
      <c r="BF130" s="18"/>
      <c r="BG130" s="18"/>
      <c r="BH130" s="127"/>
      <c r="BI130" s="127"/>
      <c r="BJ130" s="18"/>
      <c r="BK130" s="127"/>
      <c r="BL130" s="127"/>
      <c r="BM130" s="127"/>
      <c r="BN130" s="127"/>
      <c r="BO130" s="18"/>
      <c r="BP130" s="18"/>
      <c r="BQ130" s="18"/>
      <c r="BR130" s="18"/>
      <c r="BS130" s="18"/>
      <c r="BT130" s="18"/>
      <c r="BU130" s="18"/>
      <c r="BV130" s="18"/>
      <c r="BW130" s="18"/>
      <c r="BX130" s="18"/>
      <c r="BY130" s="127"/>
      <c r="BZ130" s="18"/>
      <c r="CA130" s="127"/>
      <c r="CB130" s="127"/>
      <c r="CC130" s="127"/>
      <c r="CE130" t="e">
        <f t="shared" ref="CE130:CE193" si="76">BI130/AY130</f>
        <v>#DIV/0!</v>
      </c>
      <c r="CF130" t="e">
        <f t="shared" ref="CF130:CF193" si="77">BI130/BK130</f>
        <v>#DIV/0!</v>
      </c>
      <c r="CG130" t="e">
        <f t="shared" ref="CG130:CG193" si="78">AY130/BK130</f>
        <v>#DIV/0!</v>
      </c>
      <c r="CH130" t="e">
        <f t="shared" ref="CH130:CH193" si="79">BK130/BL130</f>
        <v>#DIV/0!</v>
      </c>
      <c r="CI130" t="e">
        <f t="shared" ref="CI130:CI193" si="80">AE130/BK130</f>
        <v>#DIV/0!</v>
      </c>
      <c r="CJ130" t="e">
        <f t="shared" ref="CJ130:CJ193" si="81">AE130/AF130</f>
        <v>#DIV/0!</v>
      </c>
      <c r="CK130" t="e">
        <f t="shared" ref="CK130:CK193" si="82">AE130/BL130</f>
        <v>#DIV/0!</v>
      </c>
      <c r="CL130" t="e">
        <f t="shared" ref="CL130:CL193" si="83">AY130/BL130</f>
        <v>#DIV/0!</v>
      </c>
      <c r="CM130" t="e">
        <f t="shared" ref="CM130:CM193" si="84">BI130/BL130</f>
        <v>#DIV/0!</v>
      </c>
      <c r="CN130" t="e">
        <f t="shared" ref="CN130:CN193" si="85">BI130/BL130</f>
        <v>#DIV/0!</v>
      </c>
      <c r="CO130" t="e">
        <f t="shared" ref="CO130:CO193" si="86">BY130/BL130</f>
        <v>#DIV/0!</v>
      </c>
      <c r="CP130" t="e">
        <f t="shared" ref="CP130:CP193" si="87">CA130/CC130</f>
        <v>#DIV/0!</v>
      </c>
      <c r="CQ130" t="e">
        <f t="shared" ref="CQ130:CQ193" si="88">CA130/BK130</f>
        <v>#DIV/0!</v>
      </c>
      <c r="CR130" t="e">
        <f t="shared" ref="CR130:CR193" si="89">BC130/BK130</f>
        <v>#DIV/0!</v>
      </c>
      <c r="CS130" t="e">
        <f t="shared" ref="CS130:CS193" si="90">BA130/BK130</f>
        <v>#DIV/0!</v>
      </c>
      <c r="CT130" t="e">
        <f t="shared" ref="CT130:CT193" si="91">AX130/AY130</f>
        <v>#DIV/0!</v>
      </c>
      <c r="CU130" t="e">
        <f t="shared" ref="CU130:CU193" si="92">AZ130/BK130</f>
        <v>#DIV/0!</v>
      </c>
      <c r="CV130" t="e">
        <f t="shared" ref="CV130:CV193" si="93">AE130/AM130</f>
        <v>#DIV/0!</v>
      </c>
      <c r="CW130" t="e">
        <f t="shared" ref="CW130:CW193" si="94">AN130/BK130</f>
        <v>#DIV/0!</v>
      </c>
      <c r="CX130" t="e">
        <f t="shared" ref="CX130:CX193" si="95">BA130/BC130</f>
        <v>#DIV/0!</v>
      </c>
      <c r="CY130" t="e">
        <f t="shared" ref="CY130:CY193" si="96">BY130/BK130</f>
        <v>#DIV/0!</v>
      </c>
      <c r="CZ130" t="e">
        <f t="shared" ref="CZ130:CZ193" si="97">CB130/CC130</f>
        <v>#DIV/0!</v>
      </c>
      <c r="DA130" t="e">
        <f t="shared" ref="DA130:DA193" si="98">BA130/AX130</f>
        <v>#DIV/0!</v>
      </c>
      <c r="DB130" t="e">
        <f t="shared" ref="DB130:DB193" si="99">BA130/AY130</f>
        <v>#DIV/0!</v>
      </c>
      <c r="DC130" t="e">
        <f t="shared" ref="DC130:DC193" si="100">BA130/AZ130</f>
        <v>#DIV/0!</v>
      </c>
      <c r="DD130" t="e">
        <f t="shared" ref="DD130:DD193" si="101">BA130/BL130</f>
        <v>#DIV/0!</v>
      </c>
      <c r="DE130" t="e">
        <f t="shared" ref="DE130:DE193" si="102">AF130/BK130</f>
        <v>#DIV/0!</v>
      </c>
      <c r="DF130" t="e">
        <f t="shared" si="65"/>
        <v>#DIV/0!</v>
      </c>
      <c r="DG130" t="e">
        <f t="shared" si="66"/>
        <v>#DIV/0!</v>
      </c>
      <c r="DH130" t="e">
        <f t="shared" si="67"/>
        <v>#DIV/0!</v>
      </c>
      <c r="DI130" t="e">
        <f t="shared" si="68"/>
        <v>#DIV/0!</v>
      </c>
      <c r="DJ130" t="e">
        <f t="shared" si="69"/>
        <v>#DIV/0!</v>
      </c>
      <c r="DK130" t="e">
        <f t="shared" si="70"/>
        <v>#DIV/0!</v>
      </c>
      <c r="DL130" t="e">
        <f t="shared" si="71"/>
        <v>#DIV/0!</v>
      </c>
      <c r="DM130" t="e">
        <f t="shared" si="72"/>
        <v>#DIV/0!</v>
      </c>
      <c r="DN130" t="e">
        <f t="shared" si="73"/>
        <v>#DIV/0!</v>
      </c>
      <c r="DO130" t="e">
        <f t="shared" si="74"/>
        <v>#DIV/0!</v>
      </c>
      <c r="DP130" t="e">
        <f t="shared" si="75"/>
        <v>#DIV/0!</v>
      </c>
    </row>
    <row r="131" spans="1:120">
      <c r="A131" s="16" t="s">
        <v>1277</v>
      </c>
      <c r="B131" s="16" t="s">
        <v>24</v>
      </c>
      <c r="C131" s="123" t="s">
        <v>546</v>
      </c>
      <c r="D131" s="16"/>
      <c r="E131" s="16" t="s">
        <v>1394</v>
      </c>
      <c r="F131" s="16" t="s">
        <v>1650</v>
      </c>
      <c r="G131" s="16" t="s">
        <v>1799</v>
      </c>
      <c r="H131" s="27"/>
      <c r="I131" s="16" t="s">
        <v>735</v>
      </c>
      <c r="J131" s="16" t="s">
        <v>635</v>
      </c>
      <c r="K131" s="16" t="s">
        <v>115</v>
      </c>
      <c r="L131" s="16"/>
      <c r="M131" s="16" t="s">
        <v>785</v>
      </c>
      <c r="N131" s="16">
        <v>21</v>
      </c>
      <c r="O131" s="95">
        <v>2.0436152899784563</v>
      </c>
      <c r="P131" s="95">
        <v>0.38475195896291886</v>
      </c>
      <c r="Q131" s="95">
        <v>0.89664641988858651</v>
      </c>
      <c r="R131" s="95">
        <v>9.5314286185115495</v>
      </c>
      <c r="S131" s="95">
        <v>6.2272310007555047</v>
      </c>
      <c r="T131" s="95">
        <v>16.026743348779551</v>
      </c>
      <c r="U131" s="95">
        <v>0.82408466600090458</v>
      </c>
      <c r="V131" s="95">
        <v>18.101120706015514</v>
      </c>
      <c r="W131" s="95">
        <v>21.097185522564285</v>
      </c>
      <c r="X131" s="95">
        <v>1.039971978848842</v>
      </c>
      <c r="Y131" s="95">
        <v>30.771401324577347</v>
      </c>
      <c r="Z131" s="95">
        <v>106.94418083488347</v>
      </c>
      <c r="AA131" s="18"/>
      <c r="AB131" s="18"/>
      <c r="AC131" s="18"/>
      <c r="AD131" s="18"/>
      <c r="AE131" s="127"/>
      <c r="AF131" s="127"/>
      <c r="AG131" s="18"/>
      <c r="AH131" s="18">
        <v>295</v>
      </c>
      <c r="AI131" s="18"/>
      <c r="AJ131" s="18">
        <v>25</v>
      </c>
      <c r="AK131" s="134"/>
      <c r="AL131" s="18"/>
      <c r="AM131" s="134"/>
      <c r="AN131" s="127"/>
      <c r="AO131" s="18"/>
      <c r="AP131" s="18"/>
      <c r="AQ131" s="18"/>
      <c r="AR131" s="18"/>
      <c r="AS131" s="18"/>
      <c r="AT131" s="18"/>
      <c r="AU131" s="18"/>
      <c r="AV131" s="18"/>
      <c r="AW131" s="18"/>
      <c r="AX131" s="127">
        <v>1.34</v>
      </c>
      <c r="AY131" s="127">
        <v>21.8</v>
      </c>
      <c r="AZ131" s="127">
        <v>2.1</v>
      </c>
      <c r="BA131" s="127">
        <v>0.51</v>
      </c>
      <c r="BB131" s="18"/>
      <c r="BC131" s="127">
        <v>10</v>
      </c>
      <c r="BD131" s="18"/>
      <c r="BE131" s="18"/>
      <c r="BF131" s="18"/>
      <c r="BG131" s="18"/>
      <c r="BH131" s="127">
        <v>1.7000000000000001E-2</v>
      </c>
      <c r="BI131" s="127">
        <v>101</v>
      </c>
      <c r="BJ131" s="18"/>
      <c r="BK131" s="127">
        <v>10.1</v>
      </c>
      <c r="BL131" s="127">
        <v>18.3</v>
      </c>
      <c r="BM131" s="127">
        <v>2.2599999999999998</v>
      </c>
      <c r="BN131" s="127">
        <v>10</v>
      </c>
      <c r="BO131" s="18">
        <v>1.6</v>
      </c>
      <c r="BP131" s="18">
        <v>0.32</v>
      </c>
      <c r="BQ131" s="18">
        <v>1.1399999999999999</v>
      </c>
      <c r="BR131" s="18">
        <v>0.66</v>
      </c>
      <c r="BS131" s="18">
        <v>0.1</v>
      </c>
      <c r="BT131" s="18">
        <v>0.24</v>
      </c>
      <c r="BU131" s="18"/>
      <c r="BV131" s="18">
        <v>0.15</v>
      </c>
      <c r="BW131" s="18">
        <v>2.3E-2</v>
      </c>
      <c r="BX131" s="18">
        <v>1.4E-2</v>
      </c>
      <c r="BY131" s="127">
        <v>0.01</v>
      </c>
      <c r="BZ131" s="18"/>
      <c r="CA131" s="127">
        <v>0</v>
      </c>
      <c r="CB131" s="127">
        <v>0.55000000000000004</v>
      </c>
      <c r="CC131" s="127">
        <v>3.3000000000000002E-2</v>
      </c>
      <c r="CE131">
        <f t="shared" si="76"/>
        <v>4.6330275229357794</v>
      </c>
      <c r="CF131">
        <f t="shared" si="77"/>
        <v>10</v>
      </c>
      <c r="CG131">
        <f t="shared" si="78"/>
        <v>2.1584158415841586</v>
      </c>
      <c r="CH131">
        <f t="shared" si="79"/>
        <v>0.55191256830601088</v>
      </c>
      <c r="CI131">
        <f t="shared" si="80"/>
        <v>0</v>
      </c>
      <c r="CJ131" t="e">
        <f t="shared" si="81"/>
        <v>#DIV/0!</v>
      </c>
      <c r="CK131">
        <f t="shared" si="82"/>
        <v>0</v>
      </c>
      <c r="CL131">
        <f t="shared" si="83"/>
        <v>1.1912568306010929</v>
      </c>
      <c r="CM131">
        <f t="shared" si="84"/>
        <v>5.5191256830601088</v>
      </c>
      <c r="CN131">
        <f t="shared" si="85"/>
        <v>5.5191256830601088</v>
      </c>
      <c r="CO131">
        <f t="shared" si="86"/>
        <v>5.4644808743169399E-4</v>
      </c>
      <c r="CP131">
        <f t="shared" si="87"/>
        <v>0</v>
      </c>
      <c r="CQ131">
        <f t="shared" si="88"/>
        <v>0</v>
      </c>
      <c r="CR131">
        <f t="shared" si="89"/>
        <v>0.99009900990099009</v>
      </c>
      <c r="CS131">
        <f t="shared" si="90"/>
        <v>5.0495049504950498E-2</v>
      </c>
      <c r="CT131">
        <f t="shared" si="91"/>
        <v>6.1467889908256884E-2</v>
      </c>
      <c r="CU131">
        <f t="shared" si="92"/>
        <v>0.20792079207920794</v>
      </c>
      <c r="CV131" t="e">
        <f t="shared" si="93"/>
        <v>#DIV/0!</v>
      </c>
      <c r="CW131">
        <f t="shared" si="94"/>
        <v>0</v>
      </c>
      <c r="CX131">
        <f t="shared" si="95"/>
        <v>5.1000000000000004E-2</v>
      </c>
      <c r="CY131">
        <f t="shared" si="96"/>
        <v>9.9009900990099011E-4</v>
      </c>
      <c r="CZ131">
        <f t="shared" si="97"/>
        <v>16.666666666666668</v>
      </c>
      <c r="DA131">
        <f t="shared" si="98"/>
        <v>0.38059701492537312</v>
      </c>
      <c r="DB131">
        <f t="shared" si="99"/>
        <v>2.3394495412844038E-2</v>
      </c>
      <c r="DC131">
        <f t="shared" si="100"/>
        <v>0.24285714285714285</v>
      </c>
      <c r="DD131">
        <f t="shared" si="101"/>
        <v>2.7868852459016394E-2</v>
      </c>
      <c r="DE131">
        <f t="shared" si="102"/>
        <v>0</v>
      </c>
      <c r="DF131">
        <f t="shared" ref="DF131:DF194" si="103">AF131/AY131</f>
        <v>0</v>
      </c>
      <c r="DG131">
        <f t="shared" ref="DG131:DG194" si="104">AE131/AY131</f>
        <v>0</v>
      </c>
      <c r="DH131">
        <f t="shared" ref="DH131:DH194" si="105">BI131/AY131</f>
        <v>4.6330275229357794</v>
      </c>
      <c r="DI131">
        <f t="shared" ref="DI131:DI194" si="106">BC131/AY131</f>
        <v>0.4587155963302752</v>
      </c>
      <c r="DJ131">
        <f t="shared" ref="DJ131:DJ194" si="107">CC131/AY131</f>
        <v>1.5137614678899082E-3</v>
      </c>
      <c r="DK131">
        <f t="shared" ref="DK131:DK194" si="108">S131/BK131</f>
        <v>0.61655752482727777</v>
      </c>
      <c r="DL131">
        <f t="shared" ref="DL131:DL194" si="109">Q131/BK131</f>
        <v>8.8776873256295699E-2</v>
      </c>
      <c r="DM131">
        <f t="shared" ref="DM131:DM194" si="110">S131/AY131</f>
        <v>0.28565279819979378</v>
      </c>
      <c r="DN131">
        <f t="shared" ref="DN131:DN194" si="111">S131/BI131</f>
        <v>6.1655752482727769E-2</v>
      </c>
      <c r="DO131">
        <f t="shared" ref="DO131:DO194" si="112">Q131/AY131</f>
        <v>4.1130569719659928E-2</v>
      </c>
      <c r="DP131">
        <f t="shared" ref="DP131:DP194" si="113">Q131/BI131</f>
        <v>8.8776873256295689E-3</v>
      </c>
    </row>
    <row r="132" spans="1:120">
      <c r="A132" s="16" t="s">
        <v>842</v>
      </c>
      <c r="B132" s="16" t="s">
        <v>24</v>
      </c>
      <c r="C132" s="123" t="s">
        <v>546</v>
      </c>
      <c r="D132" s="16" t="s">
        <v>1709</v>
      </c>
      <c r="E132" s="16" t="s">
        <v>237</v>
      </c>
      <c r="F132" s="16" t="s">
        <v>29</v>
      </c>
      <c r="G132" s="16" t="s">
        <v>595</v>
      </c>
      <c r="H132" s="27">
        <v>360</v>
      </c>
      <c r="I132" s="16" t="s">
        <v>712</v>
      </c>
      <c r="J132" s="16"/>
      <c r="K132" s="16" t="s">
        <v>913</v>
      </c>
      <c r="L132" s="16"/>
      <c r="M132" s="16" t="s">
        <v>964</v>
      </c>
      <c r="N132" s="16" t="s">
        <v>1084</v>
      </c>
      <c r="O132" s="95">
        <v>25.092495877381264</v>
      </c>
      <c r="P132" s="95">
        <v>0</v>
      </c>
      <c r="Q132" s="95">
        <v>0.40690533855212863</v>
      </c>
      <c r="R132" s="95">
        <v>9.901363238101796</v>
      </c>
      <c r="S132" s="95">
        <v>8.9519174481468298</v>
      </c>
      <c r="T132" s="95">
        <v>6.510485416834058</v>
      </c>
      <c r="U132" s="95">
        <v>0</v>
      </c>
      <c r="V132" s="95">
        <v>2.712702257014191</v>
      </c>
      <c r="W132" s="95">
        <v>10.715173915206053</v>
      </c>
      <c r="X132" s="95">
        <v>0</v>
      </c>
      <c r="Y132" s="95">
        <v>46.115938369241242</v>
      </c>
      <c r="Z132" s="95">
        <v>110.40698186047757</v>
      </c>
      <c r="AA132" s="18"/>
      <c r="AB132" s="18"/>
      <c r="AC132" s="18"/>
      <c r="AD132" s="18"/>
      <c r="AE132" s="127"/>
      <c r="AF132" s="127"/>
      <c r="AG132" s="18"/>
      <c r="AH132" s="18">
        <v>0</v>
      </c>
      <c r="AI132" s="18"/>
      <c r="AJ132" s="18"/>
      <c r="AK132" s="134"/>
      <c r="AL132" s="18"/>
      <c r="AM132" s="134"/>
      <c r="AN132" s="127"/>
      <c r="AO132" s="18"/>
      <c r="AP132" s="18"/>
      <c r="AQ132" s="18"/>
      <c r="AR132" s="18"/>
      <c r="AS132" s="18"/>
      <c r="AT132" s="18"/>
      <c r="AU132" s="18"/>
      <c r="AV132" s="18"/>
      <c r="AW132" s="18"/>
      <c r="AX132" s="127"/>
      <c r="AY132" s="127"/>
      <c r="AZ132" s="127"/>
      <c r="BA132" s="127"/>
      <c r="BB132" s="18"/>
      <c r="BC132" s="127"/>
      <c r="BD132" s="18"/>
      <c r="BE132" s="18"/>
      <c r="BF132" s="18"/>
      <c r="BG132" s="18"/>
      <c r="BH132" s="127"/>
      <c r="BI132" s="127"/>
      <c r="BJ132" s="18"/>
      <c r="BK132" s="127"/>
      <c r="BL132" s="127"/>
      <c r="BM132" s="127"/>
      <c r="BN132" s="127"/>
      <c r="BO132" s="18"/>
      <c r="BP132" s="18"/>
      <c r="BQ132" s="18"/>
      <c r="BR132" s="18"/>
      <c r="BS132" s="18"/>
      <c r="BT132" s="18"/>
      <c r="BU132" s="18"/>
      <c r="BV132" s="18"/>
      <c r="BW132" s="18"/>
      <c r="BX132" s="18"/>
      <c r="BY132" s="127"/>
      <c r="BZ132" s="18"/>
      <c r="CA132" s="127"/>
      <c r="CB132" s="127"/>
      <c r="CC132" s="127"/>
      <c r="CE132" t="e">
        <f t="shared" si="76"/>
        <v>#DIV/0!</v>
      </c>
      <c r="CF132" t="e">
        <f t="shared" si="77"/>
        <v>#DIV/0!</v>
      </c>
      <c r="CG132" t="e">
        <f t="shared" si="78"/>
        <v>#DIV/0!</v>
      </c>
      <c r="CH132" t="e">
        <f t="shared" si="79"/>
        <v>#DIV/0!</v>
      </c>
      <c r="CI132" t="e">
        <f t="shared" si="80"/>
        <v>#DIV/0!</v>
      </c>
      <c r="CJ132" t="e">
        <f t="shared" si="81"/>
        <v>#DIV/0!</v>
      </c>
      <c r="CK132" t="e">
        <f t="shared" si="82"/>
        <v>#DIV/0!</v>
      </c>
      <c r="CL132" t="e">
        <f t="shared" si="83"/>
        <v>#DIV/0!</v>
      </c>
      <c r="CM132" t="e">
        <f t="shared" si="84"/>
        <v>#DIV/0!</v>
      </c>
      <c r="CN132" t="e">
        <f t="shared" si="85"/>
        <v>#DIV/0!</v>
      </c>
      <c r="CO132" t="e">
        <f t="shared" si="86"/>
        <v>#DIV/0!</v>
      </c>
      <c r="CP132" t="e">
        <f t="shared" si="87"/>
        <v>#DIV/0!</v>
      </c>
      <c r="CQ132" t="e">
        <f t="shared" si="88"/>
        <v>#DIV/0!</v>
      </c>
      <c r="CR132" t="e">
        <f t="shared" si="89"/>
        <v>#DIV/0!</v>
      </c>
      <c r="CS132" t="e">
        <f t="shared" si="90"/>
        <v>#DIV/0!</v>
      </c>
      <c r="CT132" t="e">
        <f t="shared" si="91"/>
        <v>#DIV/0!</v>
      </c>
      <c r="CU132" t="e">
        <f t="shared" si="92"/>
        <v>#DIV/0!</v>
      </c>
      <c r="CV132" t="e">
        <f t="shared" si="93"/>
        <v>#DIV/0!</v>
      </c>
      <c r="CW132" t="e">
        <f t="shared" si="94"/>
        <v>#DIV/0!</v>
      </c>
      <c r="CX132" t="e">
        <f t="shared" si="95"/>
        <v>#DIV/0!</v>
      </c>
      <c r="CY132" t="e">
        <f t="shared" si="96"/>
        <v>#DIV/0!</v>
      </c>
      <c r="CZ132" t="e">
        <f t="shared" si="97"/>
        <v>#DIV/0!</v>
      </c>
      <c r="DA132" t="e">
        <f t="shared" si="98"/>
        <v>#DIV/0!</v>
      </c>
      <c r="DB132" t="e">
        <f t="shared" si="99"/>
        <v>#DIV/0!</v>
      </c>
      <c r="DC132" t="e">
        <f t="shared" si="100"/>
        <v>#DIV/0!</v>
      </c>
      <c r="DD132" t="e">
        <f t="shared" si="101"/>
        <v>#DIV/0!</v>
      </c>
      <c r="DE132" t="e">
        <f t="shared" si="102"/>
        <v>#DIV/0!</v>
      </c>
      <c r="DF132" t="e">
        <f t="shared" si="103"/>
        <v>#DIV/0!</v>
      </c>
      <c r="DG132" t="e">
        <f t="shared" si="104"/>
        <v>#DIV/0!</v>
      </c>
      <c r="DH132" t="e">
        <f t="shared" si="105"/>
        <v>#DIV/0!</v>
      </c>
      <c r="DI132" t="e">
        <f t="shared" si="106"/>
        <v>#DIV/0!</v>
      </c>
      <c r="DJ132" t="e">
        <f t="shared" si="107"/>
        <v>#DIV/0!</v>
      </c>
      <c r="DK132" t="e">
        <f t="shared" si="108"/>
        <v>#DIV/0!</v>
      </c>
      <c r="DL132" t="e">
        <f t="shared" si="109"/>
        <v>#DIV/0!</v>
      </c>
      <c r="DM132" t="e">
        <f t="shared" si="110"/>
        <v>#DIV/0!</v>
      </c>
      <c r="DN132" t="e">
        <f t="shared" si="111"/>
        <v>#DIV/0!</v>
      </c>
      <c r="DO132" t="e">
        <f t="shared" si="112"/>
        <v>#DIV/0!</v>
      </c>
      <c r="DP132" t="e">
        <f t="shared" si="113"/>
        <v>#DIV/0!</v>
      </c>
    </row>
    <row r="133" spans="1:120">
      <c r="A133" s="16" t="s">
        <v>1655</v>
      </c>
      <c r="B133" s="16" t="s">
        <v>24</v>
      </c>
      <c r="C133" s="123" t="s">
        <v>546</v>
      </c>
      <c r="D133" s="16" t="s">
        <v>119</v>
      </c>
      <c r="E133" s="16" t="s">
        <v>237</v>
      </c>
      <c r="F133" s="16" t="s">
        <v>163</v>
      </c>
      <c r="G133" s="16" t="s">
        <v>595</v>
      </c>
      <c r="H133" s="27">
        <v>355</v>
      </c>
      <c r="I133" s="16" t="s">
        <v>712</v>
      </c>
      <c r="J133" s="16"/>
      <c r="K133" s="16" t="s">
        <v>654</v>
      </c>
      <c r="L133" s="16"/>
      <c r="M133" s="16" t="s">
        <v>644</v>
      </c>
      <c r="N133" s="16" t="s">
        <v>1467</v>
      </c>
      <c r="O133" s="95">
        <v>4.5544553491783173</v>
      </c>
      <c r="P133" s="95">
        <v>5.4745473389113108</v>
      </c>
      <c r="Q133" s="95">
        <v>1.3916391344711523</v>
      </c>
      <c r="R133" s="95">
        <v>15.181517830594391</v>
      </c>
      <c r="S133" s="95">
        <v>3.0248024162472156</v>
      </c>
      <c r="T133" s="95">
        <v>9.2584256466882469</v>
      </c>
      <c r="U133" s="95">
        <v>14.031402843428149</v>
      </c>
      <c r="V133" s="95">
        <v>5.210020891863075</v>
      </c>
      <c r="W133" s="95">
        <v>21.047104265142224</v>
      </c>
      <c r="X133" s="95">
        <v>1.3226322352411779</v>
      </c>
      <c r="Y133" s="95">
        <v>25.187518218940692</v>
      </c>
      <c r="Z133" s="95">
        <v>105.68406617070595</v>
      </c>
      <c r="AA133" s="18"/>
      <c r="AB133" s="18"/>
      <c r="AC133" s="18"/>
      <c r="AD133" s="18"/>
      <c r="AE133" s="127"/>
      <c r="AF133" s="127"/>
      <c r="AG133" s="18"/>
      <c r="AH133" s="18">
        <v>0</v>
      </c>
      <c r="AI133" s="18"/>
      <c r="AJ133" s="18"/>
      <c r="AK133" s="134"/>
      <c r="AL133" s="18"/>
      <c r="AM133" s="134"/>
      <c r="AN133" s="127"/>
      <c r="AO133" s="18"/>
      <c r="AP133" s="18"/>
      <c r="AQ133" s="18"/>
      <c r="AR133" s="18"/>
      <c r="AS133" s="18"/>
      <c r="AT133" s="18"/>
      <c r="AU133" s="18"/>
      <c r="AV133" s="18"/>
      <c r="AW133" s="18"/>
      <c r="AX133" s="127"/>
      <c r="AY133" s="127"/>
      <c r="AZ133" s="127"/>
      <c r="BA133" s="127"/>
      <c r="BB133" s="18"/>
      <c r="BC133" s="127"/>
      <c r="BD133" s="18"/>
      <c r="BE133" s="18"/>
      <c r="BF133" s="18"/>
      <c r="BG133" s="18"/>
      <c r="BH133" s="127"/>
      <c r="BI133" s="127"/>
      <c r="BJ133" s="18"/>
      <c r="BK133" s="127"/>
      <c r="BL133" s="127"/>
      <c r="BM133" s="127"/>
      <c r="BN133" s="127"/>
      <c r="BO133" s="18"/>
      <c r="BP133" s="18"/>
      <c r="BQ133" s="18"/>
      <c r="BR133" s="18"/>
      <c r="BS133" s="18"/>
      <c r="BT133" s="18"/>
      <c r="BU133" s="18"/>
      <c r="BV133" s="18"/>
      <c r="BW133" s="18"/>
      <c r="BX133" s="18"/>
      <c r="BY133" s="127"/>
      <c r="BZ133" s="18"/>
      <c r="CA133" s="127"/>
      <c r="CB133" s="127"/>
      <c r="CC133" s="127"/>
      <c r="CE133" t="e">
        <f t="shared" si="76"/>
        <v>#DIV/0!</v>
      </c>
      <c r="CF133" t="e">
        <f t="shared" si="77"/>
        <v>#DIV/0!</v>
      </c>
      <c r="CG133" t="e">
        <f t="shared" si="78"/>
        <v>#DIV/0!</v>
      </c>
      <c r="CH133" t="e">
        <f t="shared" si="79"/>
        <v>#DIV/0!</v>
      </c>
      <c r="CI133" t="e">
        <f t="shared" si="80"/>
        <v>#DIV/0!</v>
      </c>
      <c r="CJ133" t="e">
        <f t="shared" si="81"/>
        <v>#DIV/0!</v>
      </c>
      <c r="CK133" t="e">
        <f t="shared" si="82"/>
        <v>#DIV/0!</v>
      </c>
      <c r="CL133" t="e">
        <f t="shared" si="83"/>
        <v>#DIV/0!</v>
      </c>
      <c r="CM133" t="e">
        <f t="shared" si="84"/>
        <v>#DIV/0!</v>
      </c>
      <c r="CN133" t="e">
        <f t="shared" si="85"/>
        <v>#DIV/0!</v>
      </c>
      <c r="CO133" t="e">
        <f t="shared" si="86"/>
        <v>#DIV/0!</v>
      </c>
      <c r="CP133" t="e">
        <f t="shared" si="87"/>
        <v>#DIV/0!</v>
      </c>
      <c r="CQ133" t="e">
        <f t="shared" si="88"/>
        <v>#DIV/0!</v>
      </c>
      <c r="CR133" t="e">
        <f t="shared" si="89"/>
        <v>#DIV/0!</v>
      </c>
      <c r="CS133" t="e">
        <f t="shared" si="90"/>
        <v>#DIV/0!</v>
      </c>
      <c r="CT133" t="e">
        <f t="shared" si="91"/>
        <v>#DIV/0!</v>
      </c>
      <c r="CU133" t="e">
        <f t="shared" si="92"/>
        <v>#DIV/0!</v>
      </c>
      <c r="CV133" t="e">
        <f t="shared" si="93"/>
        <v>#DIV/0!</v>
      </c>
      <c r="CW133" t="e">
        <f t="shared" si="94"/>
        <v>#DIV/0!</v>
      </c>
      <c r="CX133" t="e">
        <f t="shared" si="95"/>
        <v>#DIV/0!</v>
      </c>
      <c r="CY133" t="e">
        <f t="shared" si="96"/>
        <v>#DIV/0!</v>
      </c>
      <c r="CZ133" t="e">
        <f t="shared" si="97"/>
        <v>#DIV/0!</v>
      </c>
      <c r="DA133" t="e">
        <f t="shared" si="98"/>
        <v>#DIV/0!</v>
      </c>
      <c r="DB133" t="e">
        <f t="shared" si="99"/>
        <v>#DIV/0!</v>
      </c>
      <c r="DC133" t="e">
        <f t="shared" si="100"/>
        <v>#DIV/0!</v>
      </c>
      <c r="DD133" t="e">
        <f t="shared" si="101"/>
        <v>#DIV/0!</v>
      </c>
      <c r="DE133" t="e">
        <f t="shared" si="102"/>
        <v>#DIV/0!</v>
      </c>
      <c r="DF133" t="e">
        <f t="shared" si="103"/>
        <v>#DIV/0!</v>
      </c>
      <c r="DG133" t="e">
        <f t="shared" si="104"/>
        <v>#DIV/0!</v>
      </c>
      <c r="DH133" t="e">
        <f t="shared" si="105"/>
        <v>#DIV/0!</v>
      </c>
      <c r="DI133" t="e">
        <f t="shared" si="106"/>
        <v>#DIV/0!</v>
      </c>
      <c r="DJ133" t="e">
        <f t="shared" si="107"/>
        <v>#DIV/0!</v>
      </c>
      <c r="DK133" t="e">
        <f t="shared" si="108"/>
        <v>#DIV/0!</v>
      </c>
      <c r="DL133" t="e">
        <f t="shared" si="109"/>
        <v>#DIV/0!</v>
      </c>
      <c r="DM133" t="e">
        <f t="shared" si="110"/>
        <v>#DIV/0!</v>
      </c>
      <c r="DN133" t="e">
        <f t="shared" si="111"/>
        <v>#DIV/0!</v>
      </c>
      <c r="DO133" t="e">
        <f t="shared" si="112"/>
        <v>#DIV/0!</v>
      </c>
      <c r="DP133" t="e">
        <f t="shared" si="113"/>
        <v>#DIV/0!</v>
      </c>
    </row>
    <row r="134" spans="1:120">
      <c r="A134" s="16" t="s">
        <v>1655</v>
      </c>
      <c r="B134" s="16" t="s">
        <v>24</v>
      </c>
      <c r="C134" s="123" t="s">
        <v>546</v>
      </c>
      <c r="D134" s="16" t="s">
        <v>119</v>
      </c>
      <c r="E134" s="16" t="s">
        <v>237</v>
      </c>
      <c r="F134" s="16" t="s">
        <v>163</v>
      </c>
      <c r="G134" s="16" t="s">
        <v>595</v>
      </c>
      <c r="H134" s="27">
        <v>355</v>
      </c>
      <c r="I134" s="16" t="s">
        <v>712</v>
      </c>
      <c r="J134" s="16"/>
      <c r="K134" s="16" t="s">
        <v>654</v>
      </c>
      <c r="L134" s="16"/>
      <c r="M134" s="16" t="s">
        <v>645</v>
      </c>
      <c r="N134" s="16" t="s">
        <v>1467</v>
      </c>
      <c r="O134" s="95">
        <v>4.7279059685393605</v>
      </c>
      <c r="P134" s="95">
        <v>4.7739196519314708</v>
      </c>
      <c r="Q134" s="95">
        <v>1.7370165480521738</v>
      </c>
      <c r="R134" s="95">
        <v>15.069481310916208</v>
      </c>
      <c r="S134" s="95">
        <v>2.9103654745509924</v>
      </c>
      <c r="T134" s="95">
        <v>9.3637845702944986</v>
      </c>
      <c r="U134" s="95">
        <v>14.609344476995101</v>
      </c>
      <c r="V134" s="95">
        <v>5.222553065004548</v>
      </c>
      <c r="W134" s="95">
        <v>20.476089109489198</v>
      </c>
      <c r="X134" s="95">
        <v>2.0476089109489197</v>
      </c>
      <c r="Y134" s="95">
        <v>24.617320614779146</v>
      </c>
      <c r="Z134" s="95">
        <v>105.55538970150162</v>
      </c>
      <c r="AA134" s="18"/>
      <c r="AB134" s="18"/>
      <c r="AC134" s="18"/>
      <c r="AD134" s="18"/>
      <c r="AE134" s="127"/>
      <c r="AF134" s="127"/>
      <c r="AG134" s="18"/>
      <c r="AH134" s="18">
        <v>0</v>
      </c>
      <c r="AI134" s="18"/>
      <c r="AJ134" s="18"/>
      <c r="AK134" s="134"/>
      <c r="AL134" s="18"/>
      <c r="AM134" s="134"/>
      <c r="AN134" s="127"/>
      <c r="AO134" s="18"/>
      <c r="AP134" s="18"/>
      <c r="AQ134" s="18"/>
      <c r="AR134" s="18"/>
      <c r="AS134" s="18"/>
      <c r="AT134" s="18"/>
      <c r="AU134" s="18"/>
      <c r="AV134" s="18"/>
      <c r="AW134" s="18"/>
      <c r="AX134" s="127"/>
      <c r="AY134" s="127"/>
      <c r="AZ134" s="127"/>
      <c r="BA134" s="127"/>
      <c r="BB134" s="18"/>
      <c r="BC134" s="127"/>
      <c r="BD134" s="18"/>
      <c r="BE134" s="18"/>
      <c r="BF134" s="18"/>
      <c r="BG134" s="18"/>
      <c r="BH134" s="127"/>
      <c r="BI134" s="127"/>
      <c r="BJ134" s="18"/>
      <c r="BK134" s="127"/>
      <c r="BL134" s="127"/>
      <c r="BM134" s="127"/>
      <c r="BN134" s="127"/>
      <c r="BO134" s="18"/>
      <c r="BP134" s="18"/>
      <c r="BQ134" s="18"/>
      <c r="BR134" s="18"/>
      <c r="BS134" s="18"/>
      <c r="BT134" s="18"/>
      <c r="BU134" s="18"/>
      <c r="BV134" s="18"/>
      <c r="BW134" s="18"/>
      <c r="BX134" s="18"/>
      <c r="BY134" s="127"/>
      <c r="BZ134" s="18"/>
      <c r="CA134" s="127"/>
      <c r="CB134" s="127"/>
      <c r="CC134" s="127"/>
      <c r="CE134" t="e">
        <f t="shared" si="76"/>
        <v>#DIV/0!</v>
      </c>
      <c r="CF134" t="e">
        <f t="shared" si="77"/>
        <v>#DIV/0!</v>
      </c>
      <c r="CG134" t="e">
        <f t="shared" si="78"/>
        <v>#DIV/0!</v>
      </c>
      <c r="CH134" t="e">
        <f t="shared" si="79"/>
        <v>#DIV/0!</v>
      </c>
      <c r="CI134" t="e">
        <f t="shared" si="80"/>
        <v>#DIV/0!</v>
      </c>
      <c r="CJ134" t="e">
        <f t="shared" si="81"/>
        <v>#DIV/0!</v>
      </c>
      <c r="CK134" t="e">
        <f t="shared" si="82"/>
        <v>#DIV/0!</v>
      </c>
      <c r="CL134" t="e">
        <f t="shared" si="83"/>
        <v>#DIV/0!</v>
      </c>
      <c r="CM134" t="e">
        <f t="shared" si="84"/>
        <v>#DIV/0!</v>
      </c>
      <c r="CN134" t="e">
        <f t="shared" si="85"/>
        <v>#DIV/0!</v>
      </c>
      <c r="CO134" t="e">
        <f t="shared" si="86"/>
        <v>#DIV/0!</v>
      </c>
      <c r="CP134" t="e">
        <f t="shared" si="87"/>
        <v>#DIV/0!</v>
      </c>
      <c r="CQ134" t="e">
        <f t="shared" si="88"/>
        <v>#DIV/0!</v>
      </c>
      <c r="CR134" t="e">
        <f t="shared" si="89"/>
        <v>#DIV/0!</v>
      </c>
      <c r="CS134" t="e">
        <f t="shared" si="90"/>
        <v>#DIV/0!</v>
      </c>
      <c r="CT134" t="e">
        <f t="shared" si="91"/>
        <v>#DIV/0!</v>
      </c>
      <c r="CU134" t="e">
        <f t="shared" si="92"/>
        <v>#DIV/0!</v>
      </c>
      <c r="CV134" t="e">
        <f t="shared" si="93"/>
        <v>#DIV/0!</v>
      </c>
      <c r="CW134" t="e">
        <f t="shared" si="94"/>
        <v>#DIV/0!</v>
      </c>
      <c r="CX134" t="e">
        <f t="shared" si="95"/>
        <v>#DIV/0!</v>
      </c>
      <c r="CY134" t="e">
        <f t="shared" si="96"/>
        <v>#DIV/0!</v>
      </c>
      <c r="CZ134" t="e">
        <f t="shared" si="97"/>
        <v>#DIV/0!</v>
      </c>
      <c r="DA134" t="e">
        <f t="shared" si="98"/>
        <v>#DIV/0!</v>
      </c>
      <c r="DB134" t="e">
        <f t="shared" si="99"/>
        <v>#DIV/0!</v>
      </c>
      <c r="DC134" t="e">
        <f t="shared" si="100"/>
        <v>#DIV/0!</v>
      </c>
      <c r="DD134" t="e">
        <f t="shared" si="101"/>
        <v>#DIV/0!</v>
      </c>
      <c r="DE134" t="e">
        <f t="shared" si="102"/>
        <v>#DIV/0!</v>
      </c>
      <c r="DF134" t="e">
        <f t="shared" si="103"/>
        <v>#DIV/0!</v>
      </c>
      <c r="DG134" t="e">
        <f t="shared" si="104"/>
        <v>#DIV/0!</v>
      </c>
      <c r="DH134" t="e">
        <f t="shared" si="105"/>
        <v>#DIV/0!</v>
      </c>
      <c r="DI134" t="e">
        <f t="shared" si="106"/>
        <v>#DIV/0!</v>
      </c>
      <c r="DJ134" t="e">
        <f t="shared" si="107"/>
        <v>#DIV/0!</v>
      </c>
      <c r="DK134" t="e">
        <f t="shared" si="108"/>
        <v>#DIV/0!</v>
      </c>
      <c r="DL134" t="e">
        <f t="shared" si="109"/>
        <v>#DIV/0!</v>
      </c>
      <c r="DM134" t="e">
        <f t="shared" si="110"/>
        <v>#DIV/0!</v>
      </c>
      <c r="DN134" t="e">
        <f t="shared" si="111"/>
        <v>#DIV/0!</v>
      </c>
      <c r="DO134" t="e">
        <f t="shared" si="112"/>
        <v>#DIV/0!</v>
      </c>
      <c r="DP134" t="e">
        <f t="shared" si="113"/>
        <v>#DIV/0!</v>
      </c>
    </row>
    <row r="135" spans="1:120">
      <c r="A135" s="16" t="s">
        <v>1655</v>
      </c>
      <c r="B135" s="16" t="s">
        <v>24</v>
      </c>
      <c r="C135" s="123" t="s">
        <v>546</v>
      </c>
      <c r="D135" s="16" t="s">
        <v>119</v>
      </c>
      <c r="E135" s="16" t="s">
        <v>237</v>
      </c>
      <c r="F135" s="16" t="s">
        <v>163</v>
      </c>
      <c r="G135" s="16" t="s">
        <v>595</v>
      </c>
      <c r="H135" s="27">
        <v>355</v>
      </c>
      <c r="I135" s="16" t="s">
        <v>712</v>
      </c>
      <c r="J135" s="16" t="s">
        <v>712</v>
      </c>
      <c r="K135" s="16" t="s">
        <v>654</v>
      </c>
      <c r="L135" s="16" t="s">
        <v>653</v>
      </c>
      <c r="M135" s="16" t="s">
        <v>646</v>
      </c>
      <c r="N135" s="16" t="s">
        <v>1467</v>
      </c>
      <c r="O135" s="95">
        <v>4.2334500217001425</v>
      </c>
      <c r="P135" s="95">
        <v>4.8713671482576979</v>
      </c>
      <c r="Q135" s="95">
        <v>1.4498116512671719</v>
      </c>
      <c r="R135" s="95">
        <v>13.918191852164853</v>
      </c>
      <c r="S135" s="95">
        <v>3.0736007006864048</v>
      </c>
      <c r="T135" s="95">
        <v>8.9888322378564656</v>
      </c>
      <c r="U135" s="95">
        <v>15.541980901584084</v>
      </c>
      <c r="V135" s="95">
        <v>5.7876481118585508</v>
      </c>
      <c r="W135" s="95">
        <v>20.413348049841783</v>
      </c>
      <c r="X135" s="95">
        <v>2.4124865877085742</v>
      </c>
      <c r="Y135" s="95">
        <v>24.936760401795357</v>
      </c>
      <c r="Z135" s="95">
        <v>105.62747766472108</v>
      </c>
      <c r="AA135" s="18"/>
      <c r="AB135" s="18"/>
      <c r="AC135" s="18"/>
      <c r="AD135" s="18"/>
      <c r="AE135" s="127"/>
      <c r="AF135" s="127"/>
      <c r="AG135" s="18"/>
      <c r="AH135" s="18">
        <v>0</v>
      </c>
      <c r="AI135" s="18"/>
      <c r="AJ135" s="18"/>
      <c r="AK135" s="134"/>
      <c r="AL135" s="18"/>
      <c r="AM135" s="134"/>
      <c r="AN135" s="127"/>
      <c r="AO135" s="18"/>
      <c r="AP135" s="18"/>
      <c r="AQ135" s="18"/>
      <c r="AR135" s="18"/>
      <c r="AS135" s="18"/>
      <c r="AT135" s="18"/>
      <c r="AU135" s="18"/>
      <c r="AV135" s="18"/>
      <c r="AW135" s="18"/>
      <c r="AX135" s="127">
        <v>10350</v>
      </c>
      <c r="AY135" s="127">
        <v>4160</v>
      </c>
      <c r="AZ135" s="127">
        <v>28</v>
      </c>
      <c r="BA135" s="127">
        <v>217</v>
      </c>
      <c r="BB135" s="18"/>
      <c r="BC135" s="127">
        <v>108</v>
      </c>
      <c r="BD135" s="18"/>
      <c r="BE135" s="18"/>
      <c r="BF135" s="18"/>
      <c r="BG135" s="18"/>
      <c r="BH135" s="127"/>
      <c r="BI135" s="127"/>
      <c r="BJ135" s="18"/>
      <c r="BK135" s="127">
        <v>67</v>
      </c>
      <c r="BL135" s="127">
        <v>79</v>
      </c>
      <c r="BM135" s="127">
        <v>13.3</v>
      </c>
      <c r="BN135" s="127">
        <v>27.9</v>
      </c>
      <c r="BO135" s="18">
        <v>16.3</v>
      </c>
      <c r="BP135" s="18">
        <v>3</v>
      </c>
      <c r="BQ135" s="18"/>
      <c r="BR135" s="18"/>
      <c r="BS135" s="18">
        <v>3.8</v>
      </c>
      <c r="BT135" s="18"/>
      <c r="BU135" s="18"/>
      <c r="BV135" s="18">
        <v>3.2</v>
      </c>
      <c r="BW135" s="18">
        <v>1.1000000000000001</v>
      </c>
      <c r="BX135" s="18">
        <v>22.7</v>
      </c>
      <c r="BY135" s="127">
        <v>7.8</v>
      </c>
      <c r="BZ135" s="18"/>
      <c r="CA135" s="127">
        <v>0</v>
      </c>
      <c r="CB135" s="127">
        <v>5</v>
      </c>
      <c r="CC135" s="127">
        <v>4.3</v>
      </c>
      <c r="CE135">
        <f t="shared" si="76"/>
        <v>0</v>
      </c>
      <c r="CF135">
        <f t="shared" si="77"/>
        <v>0</v>
      </c>
      <c r="CG135">
        <f t="shared" si="78"/>
        <v>62.089552238805972</v>
      </c>
      <c r="CH135">
        <f t="shared" si="79"/>
        <v>0.84810126582278478</v>
      </c>
      <c r="CI135">
        <f t="shared" si="80"/>
        <v>0</v>
      </c>
      <c r="CJ135" t="e">
        <f t="shared" si="81"/>
        <v>#DIV/0!</v>
      </c>
      <c r="CK135">
        <f t="shared" si="82"/>
        <v>0</v>
      </c>
      <c r="CL135">
        <f t="shared" si="83"/>
        <v>52.658227848101269</v>
      </c>
      <c r="CM135">
        <f t="shared" si="84"/>
        <v>0</v>
      </c>
      <c r="CN135">
        <f t="shared" si="85"/>
        <v>0</v>
      </c>
      <c r="CO135">
        <f t="shared" si="86"/>
        <v>9.8734177215189872E-2</v>
      </c>
      <c r="CP135">
        <f t="shared" si="87"/>
        <v>0</v>
      </c>
      <c r="CQ135">
        <f t="shared" si="88"/>
        <v>0</v>
      </c>
      <c r="CR135">
        <f t="shared" si="89"/>
        <v>1.6119402985074627</v>
      </c>
      <c r="CS135">
        <f t="shared" si="90"/>
        <v>3.2388059701492535</v>
      </c>
      <c r="CT135">
        <f t="shared" si="91"/>
        <v>2.4879807692307692</v>
      </c>
      <c r="CU135">
        <f t="shared" si="92"/>
        <v>0.41791044776119401</v>
      </c>
      <c r="CV135" t="e">
        <f t="shared" si="93"/>
        <v>#DIV/0!</v>
      </c>
      <c r="CW135">
        <f t="shared" si="94"/>
        <v>0</v>
      </c>
      <c r="CX135">
        <f t="shared" si="95"/>
        <v>2.0092592592592591</v>
      </c>
      <c r="CY135">
        <f t="shared" si="96"/>
        <v>0.11641791044776119</v>
      </c>
      <c r="CZ135">
        <f t="shared" si="97"/>
        <v>1.1627906976744187</v>
      </c>
      <c r="DA135">
        <f t="shared" si="98"/>
        <v>2.0966183574879227E-2</v>
      </c>
      <c r="DB135">
        <f t="shared" si="99"/>
        <v>5.216346153846154E-2</v>
      </c>
      <c r="DC135">
        <f t="shared" si="100"/>
        <v>7.75</v>
      </c>
      <c r="DD135">
        <f t="shared" si="101"/>
        <v>2.7468354430379747</v>
      </c>
      <c r="DE135">
        <f t="shared" si="102"/>
        <v>0</v>
      </c>
      <c r="DF135">
        <f t="shared" si="103"/>
        <v>0</v>
      </c>
      <c r="DG135">
        <f t="shared" si="104"/>
        <v>0</v>
      </c>
      <c r="DH135">
        <f t="shared" si="105"/>
        <v>0</v>
      </c>
      <c r="DI135">
        <f t="shared" si="106"/>
        <v>2.5961538461538463E-2</v>
      </c>
      <c r="DJ135">
        <f t="shared" si="107"/>
        <v>1.033653846153846E-3</v>
      </c>
      <c r="DK135">
        <f t="shared" si="108"/>
        <v>4.5874637323677685E-2</v>
      </c>
      <c r="DL135">
        <f t="shared" si="109"/>
        <v>2.1638979869659281E-2</v>
      </c>
      <c r="DM135">
        <f t="shared" si="110"/>
        <v>7.3884632228038579E-4</v>
      </c>
      <c r="DN135" t="e">
        <f t="shared" si="111"/>
        <v>#DIV/0!</v>
      </c>
      <c r="DO135">
        <f t="shared" si="112"/>
        <v>3.4851241616999326E-4</v>
      </c>
      <c r="DP135" t="e">
        <f t="shared" si="113"/>
        <v>#DIV/0!</v>
      </c>
    </row>
    <row r="136" spans="1:120">
      <c r="A136" s="16" t="s">
        <v>1655</v>
      </c>
      <c r="B136" s="16" t="s">
        <v>24</v>
      </c>
      <c r="C136" s="123" t="s">
        <v>546</v>
      </c>
      <c r="D136" s="16" t="s">
        <v>119</v>
      </c>
      <c r="E136" s="16" t="s">
        <v>237</v>
      </c>
      <c r="F136" s="16" t="s">
        <v>163</v>
      </c>
      <c r="G136" s="16" t="s">
        <v>595</v>
      </c>
      <c r="H136" s="27">
        <v>355</v>
      </c>
      <c r="I136" s="16" t="s">
        <v>712</v>
      </c>
      <c r="J136" s="16"/>
      <c r="K136" s="16" t="s">
        <v>654</v>
      </c>
      <c r="L136" s="16"/>
      <c r="M136" s="16" t="s">
        <v>647</v>
      </c>
      <c r="N136" s="16" t="s">
        <v>1467</v>
      </c>
      <c r="O136" s="95">
        <v>4.5883930475624712</v>
      </c>
      <c r="P136" s="95">
        <v>4.4609376851301805</v>
      </c>
      <c r="Q136" s="95">
        <v>1.5178774980572824</v>
      </c>
      <c r="R136" s="95">
        <v>14.715300935364493</v>
      </c>
      <c r="S136" s="95">
        <v>2.6649757599479003</v>
      </c>
      <c r="T136" s="95">
        <v>8.7017251987864039</v>
      </c>
      <c r="U136" s="95">
        <v>13.672484333645748</v>
      </c>
      <c r="V136" s="95">
        <v>5.4458200311978828</v>
      </c>
      <c r="W136" s="95">
        <v>21.088069056979037</v>
      </c>
      <c r="X136" s="95">
        <v>2.6881494622083166</v>
      </c>
      <c r="Y136" s="95">
        <v>26.418020576874834</v>
      </c>
      <c r="Z136" s="95">
        <v>105.96175358575455</v>
      </c>
      <c r="AA136" s="18"/>
      <c r="AB136" s="18"/>
      <c r="AC136" s="18"/>
      <c r="AD136" s="18"/>
      <c r="AE136" s="127"/>
      <c r="AF136" s="127"/>
      <c r="AG136" s="18"/>
      <c r="AH136" s="18">
        <v>0</v>
      </c>
      <c r="AI136" s="18"/>
      <c r="AJ136" s="18"/>
      <c r="AK136" s="134"/>
      <c r="AL136" s="18"/>
      <c r="AM136" s="134"/>
      <c r="AN136" s="127"/>
      <c r="AO136" s="18"/>
      <c r="AP136" s="18"/>
      <c r="AQ136" s="18"/>
      <c r="AR136" s="18"/>
      <c r="AS136" s="18"/>
      <c r="AT136" s="18"/>
      <c r="AU136" s="18"/>
      <c r="AV136" s="18"/>
      <c r="AW136" s="18"/>
      <c r="AX136" s="127"/>
      <c r="AY136" s="127">
        <v>0</v>
      </c>
      <c r="AZ136" s="127">
        <v>0</v>
      </c>
      <c r="BA136" s="127">
        <v>0</v>
      </c>
      <c r="BB136" s="18"/>
      <c r="BC136" s="127">
        <v>0</v>
      </c>
      <c r="BD136" s="18"/>
      <c r="BE136" s="18"/>
      <c r="BF136" s="18"/>
      <c r="BG136" s="18"/>
      <c r="BH136" s="127"/>
      <c r="BI136" s="127"/>
      <c r="BJ136" s="18"/>
      <c r="BK136" s="127">
        <v>0</v>
      </c>
      <c r="BL136" s="127">
        <v>0</v>
      </c>
      <c r="BM136" s="127">
        <v>0</v>
      </c>
      <c r="BN136" s="127">
        <v>0</v>
      </c>
      <c r="BO136" s="18"/>
      <c r="BP136" s="18"/>
      <c r="BQ136" s="18"/>
      <c r="BR136" s="18"/>
      <c r="BS136" s="18"/>
      <c r="BT136" s="18"/>
      <c r="BU136" s="18"/>
      <c r="BV136" s="18"/>
      <c r="BW136" s="18"/>
      <c r="BX136" s="18"/>
      <c r="BY136" s="127"/>
      <c r="BZ136" s="18"/>
      <c r="CA136" s="127"/>
      <c r="CB136" s="127"/>
      <c r="CC136" s="127"/>
      <c r="CE136" t="e">
        <f t="shared" si="76"/>
        <v>#DIV/0!</v>
      </c>
      <c r="CF136" t="e">
        <f t="shared" si="77"/>
        <v>#DIV/0!</v>
      </c>
      <c r="CG136" t="e">
        <f t="shared" si="78"/>
        <v>#DIV/0!</v>
      </c>
      <c r="CH136" t="e">
        <f t="shared" si="79"/>
        <v>#DIV/0!</v>
      </c>
      <c r="CI136" t="e">
        <f t="shared" si="80"/>
        <v>#DIV/0!</v>
      </c>
      <c r="CJ136" t="e">
        <f t="shared" si="81"/>
        <v>#DIV/0!</v>
      </c>
      <c r="CK136" t="e">
        <f t="shared" si="82"/>
        <v>#DIV/0!</v>
      </c>
      <c r="CL136" t="e">
        <f t="shared" si="83"/>
        <v>#DIV/0!</v>
      </c>
      <c r="CM136" t="e">
        <f t="shared" si="84"/>
        <v>#DIV/0!</v>
      </c>
      <c r="CN136" t="e">
        <f t="shared" si="85"/>
        <v>#DIV/0!</v>
      </c>
      <c r="CO136" t="e">
        <f t="shared" si="86"/>
        <v>#DIV/0!</v>
      </c>
      <c r="CP136" t="e">
        <f t="shared" si="87"/>
        <v>#DIV/0!</v>
      </c>
      <c r="CQ136" t="e">
        <f t="shared" si="88"/>
        <v>#DIV/0!</v>
      </c>
      <c r="CR136" t="e">
        <f t="shared" si="89"/>
        <v>#DIV/0!</v>
      </c>
      <c r="CS136" t="e">
        <f t="shared" si="90"/>
        <v>#DIV/0!</v>
      </c>
      <c r="CT136" t="e">
        <f t="shared" si="91"/>
        <v>#DIV/0!</v>
      </c>
      <c r="CU136" t="e">
        <f t="shared" si="92"/>
        <v>#DIV/0!</v>
      </c>
      <c r="CV136" t="e">
        <f t="shared" si="93"/>
        <v>#DIV/0!</v>
      </c>
      <c r="CW136" t="e">
        <f t="shared" si="94"/>
        <v>#DIV/0!</v>
      </c>
      <c r="CX136" t="e">
        <f t="shared" si="95"/>
        <v>#DIV/0!</v>
      </c>
      <c r="CY136" t="e">
        <f t="shared" si="96"/>
        <v>#DIV/0!</v>
      </c>
      <c r="CZ136" t="e">
        <f t="shared" si="97"/>
        <v>#DIV/0!</v>
      </c>
      <c r="DA136" t="e">
        <f t="shared" si="98"/>
        <v>#DIV/0!</v>
      </c>
      <c r="DB136" t="e">
        <f t="shared" si="99"/>
        <v>#DIV/0!</v>
      </c>
      <c r="DC136" t="e">
        <f t="shared" si="100"/>
        <v>#DIV/0!</v>
      </c>
      <c r="DD136" t="e">
        <f t="shared" si="101"/>
        <v>#DIV/0!</v>
      </c>
      <c r="DE136" t="e">
        <f t="shared" si="102"/>
        <v>#DIV/0!</v>
      </c>
      <c r="DF136" t="e">
        <f t="shared" si="103"/>
        <v>#DIV/0!</v>
      </c>
      <c r="DG136" t="e">
        <f t="shared" si="104"/>
        <v>#DIV/0!</v>
      </c>
      <c r="DH136" t="e">
        <f t="shared" si="105"/>
        <v>#DIV/0!</v>
      </c>
      <c r="DI136" t="e">
        <f t="shared" si="106"/>
        <v>#DIV/0!</v>
      </c>
      <c r="DJ136" t="e">
        <f t="shared" si="107"/>
        <v>#DIV/0!</v>
      </c>
      <c r="DK136" t="e">
        <f t="shared" si="108"/>
        <v>#DIV/0!</v>
      </c>
      <c r="DL136" t="e">
        <f t="shared" si="109"/>
        <v>#DIV/0!</v>
      </c>
      <c r="DM136" t="e">
        <f t="shared" si="110"/>
        <v>#DIV/0!</v>
      </c>
      <c r="DN136" t="e">
        <f t="shared" si="111"/>
        <v>#DIV/0!</v>
      </c>
      <c r="DO136" t="e">
        <f t="shared" si="112"/>
        <v>#DIV/0!</v>
      </c>
      <c r="DP136" t="e">
        <f t="shared" si="113"/>
        <v>#DIV/0!</v>
      </c>
    </row>
    <row r="137" spans="1:120">
      <c r="A137" s="16" t="s">
        <v>1655</v>
      </c>
      <c r="B137" s="16" t="s">
        <v>24</v>
      </c>
      <c r="C137" s="123" t="s">
        <v>546</v>
      </c>
      <c r="D137" s="16" t="s">
        <v>119</v>
      </c>
      <c r="E137" s="16" t="s">
        <v>237</v>
      </c>
      <c r="F137" s="16" t="s">
        <v>163</v>
      </c>
      <c r="G137" s="16" t="s">
        <v>595</v>
      </c>
      <c r="H137" s="27">
        <v>355</v>
      </c>
      <c r="I137" s="16" t="s">
        <v>712</v>
      </c>
      <c r="J137" s="16"/>
      <c r="K137" s="16" t="s">
        <v>654</v>
      </c>
      <c r="L137" s="16" t="s">
        <v>649</v>
      </c>
      <c r="M137" s="16" t="s">
        <v>648</v>
      </c>
      <c r="N137" s="16" t="s">
        <v>1467</v>
      </c>
      <c r="O137" s="95">
        <v>4.5758250757272867</v>
      </c>
      <c r="P137" s="95">
        <v>5.4446526217514553</v>
      </c>
      <c r="Q137" s="95">
        <v>1.5638895828435033</v>
      </c>
      <c r="R137" s="95">
        <v>14.248771754796364</v>
      </c>
      <c r="S137" s="95">
        <v>3.0003511256034612</v>
      </c>
      <c r="T137" s="95">
        <v>9.1979876205758639</v>
      </c>
      <c r="U137" s="95">
        <v>14.364615427599587</v>
      </c>
      <c r="V137" s="95">
        <v>5.085537236061465</v>
      </c>
      <c r="W137" s="95">
        <v>21.083548450186488</v>
      </c>
      <c r="X137" s="95">
        <v>2.3284578233447712</v>
      </c>
      <c r="Y137" s="95">
        <v>24.674702307086385</v>
      </c>
      <c r="Z137" s="95">
        <v>105.56833902557665</v>
      </c>
      <c r="AA137" s="18"/>
      <c r="AB137" s="18"/>
      <c r="AC137" s="18"/>
      <c r="AD137" s="18"/>
      <c r="AE137" s="127"/>
      <c r="AF137" s="127"/>
      <c r="AG137" s="18"/>
      <c r="AH137" s="18">
        <v>0</v>
      </c>
      <c r="AI137" s="18"/>
      <c r="AJ137" s="18"/>
      <c r="AK137" s="134"/>
      <c r="AL137" s="18"/>
      <c r="AM137" s="134"/>
      <c r="AN137" s="127"/>
      <c r="AO137" s="18"/>
      <c r="AP137" s="18"/>
      <c r="AQ137" s="18"/>
      <c r="AR137" s="18"/>
      <c r="AS137" s="18"/>
      <c r="AT137" s="18"/>
      <c r="AU137" s="18"/>
      <c r="AV137" s="18"/>
      <c r="AW137" s="18"/>
      <c r="AX137" s="127"/>
      <c r="AY137" s="127">
        <v>0</v>
      </c>
      <c r="AZ137" s="127">
        <v>0</v>
      </c>
      <c r="BA137" s="127">
        <v>0</v>
      </c>
      <c r="BB137" s="18"/>
      <c r="BC137" s="127">
        <v>0</v>
      </c>
      <c r="BD137" s="18"/>
      <c r="BE137" s="18"/>
      <c r="BF137" s="18"/>
      <c r="BG137" s="18"/>
      <c r="BH137" s="127"/>
      <c r="BI137" s="127"/>
      <c r="BJ137" s="18"/>
      <c r="BK137" s="127">
        <v>0</v>
      </c>
      <c r="BL137" s="127">
        <v>0</v>
      </c>
      <c r="BM137" s="127">
        <v>0</v>
      </c>
      <c r="BN137" s="127">
        <v>0</v>
      </c>
      <c r="BO137" s="18"/>
      <c r="BP137" s="18"/>
      <c r="BQ137" s="18"/>
      <c r="BR137" s="18"/>
      <c r="BS137" s="18"/>
      <c r="BT137" s="18"/>
      <c r="BU137" s="18"/>
      <c r="BV137" s="18"/>
      <c r="BW137" s="18"/>
      <c r="BX137" s="18"/>
      <c r="BY137" s="127"/>
      <c r="BZ137" s="18"/>
      <c r="CA137" s="127"/>
      <c r="CB137" s="127"/>
      <c r="CC137" s="127"/>
      <c r="CE137" t="e">
        <f t="shared" si="76"/>
        <v>#DIV/0!</v>
      </c>
      <c r="CF137" t="e">
        <f t="shared" si="77"/>
        <v>#DIV/0!</v>
      </c>
      <c r="CG137" t="e">
        <f t="shared" si="78"/>
        <v>#DIV/0!</v>
      </c>
      <c r="CH137" t="e">
        <f t="shared" si="79"/>
        <v>#DIV/0!</v>
      </c>
      <c r="CI137" t="e">
        <f t="shared" si="80"/>
        <v>#DIV/0!</v>
      </c>
      <c r="CJ137" t="e">
        <f t="shared" si="81"/>
        <v>#DIV/0!</v>
      </c>
      <c r="CK137" t="e">
        <f t="shared" si="82"/>
        <v>#DIV/0!</v>
      </c>
      <c r="CL137" t="e">
        <f t="shared" si="83"/>
        <v>#DIV/0!</v>
      </c>
      <c r="CM137" t="e">
        <f t="shared" si="84"/>
        <v>#DIV/0!</v>
      </c>
      <c r="CN137" t="e">
        <f t="shared" si="85"/>
        <v>#DIV/0!</v>
      </c>
      <c r="CO137" t="e">
        <f t="shared" si="86"/>
        <v>#DIV/0!</v>
      </c>
      <c r="CP137" t="e">
        <f t="shared" si="87"/>
        <v>#DIV/0!</v>
      </c>
      <c r="CQ137" t="e">
        <f t="shared" si="88"/>
        <v>#DIV/0!</v>
      </c>
      <c r="CR137" t="e">
        <f t="shared" si="89"/>
        <v>#DIV/0!</v>
      </c>
      <c r="CS137" t="e">
        <f t="shared" si="90"/>
        <v>#DIV/0!</v>
      </c>
      <c r="CT137" t="e">
        <f t="shared" si="91"/>
        <v>#DIV/0!</v>
      </c>
      <c r="CU137" t="e">
        <f t="shared" si="92"/>
        <v>#DIV/0!</v>
      </c>
      <c r="CV137" t="e">
        <f t="shared" si="93"/>
        <v>#DIV/0!</v>
      </c>
      <c r="CW137" t="e">
        <f t="shared" si="94"/>
        <v>#DIV/0!</v>
      </c>
      <c r="CX137" t="e">
        <f t="shared" si="95"/>
        <v>#DIV/0!</v>
      </c>
      <c r="CY137" t="e">
        <f t="shared" si="96"/>
        <v>#DIV/0!</v>
      </c>
      <c r="CZ137" t="e">
        <f t="shared" si="97"/>
        <v>#DIV/0!</v>
      </c>
      <c r="DA137" t="e">
        <f t="shared" si="98"/>
        <v>#DIV/0!</v>
      </c>
      <c r="DB137" t="e">
        <f t="shared" si="99"/>
        <v>#DIV/0!</v>
      </c>
      <c r="DC137" t="e">
        <f t="shared" si="100"/>
        <v>#DIV/0!</v>
      </c>
      <c r="DD137" t="e">
        <f t="shared" si="101"/>
        <v>#DIV/0!</v>
      </c>
      <c r="DE137" t="e">
        <f t="shared" si="102"/>
        <v>#DIV/0!</v>
      </c>
      <c r="DF137" t="e">
        <f t="shared" si="103"/>
        <v>#DIV/0!</v>
      </c>
      <c r="DG137" t="e">
        <f t="shared" si="104"/>
        <v>#DIV/0!</v>
      </c>
      <c r="DH137" t="e">
        <f t="shared" si="105"/>
        <v>#DIV/0!</v>
      </c>
      <c r="DI137" t="e">
        <f t="shared" si="106"/>
        <v>#DIV/0!</v>
      </c>
      <c r="DJ137" t="e">
        <f t="shared" si="107"/>
        <v>#DIV/0!</v>
      </c>
      <c r="DK137" t="e">
        <f t="shared" si="108"/>
        <v>#DIV/0!</v>
      </c>
      <c r="DL137" t="e">
        <f t="shared" si="109"/>
        <v>#DIV/0!</v>
      </c>
      <c r="DM137" t="e">
        <f t="shared" si="110"/>
        <v>#DIV/0!</v>
      </c>
      <c r="DN137" t="e">
        <f t="shared" si="111"/>
        <v>#DIV/0!</v>
      </c>
      <c r="DO137" t="e">
        <f t="shared" si="112"/>
        <v>#DIV/0!</v>
      </c>
      <c r="DP137" t="e">
        <f t="shared" si="113"/>
        <v>#DIV/0!</v>
      </c>
    </row>
    <row r="138" spans="1:120">
      <c r="A138" s="16" t="s">
        <v>1655</v>
      </c>
      <c r="B138" s="16" t="s">
        <v>24</v>
      </c>
      <c r="C138" s="123" t="s">
        <v>546</v>
      </c>
      <c r="D138" s="16" t="s">
        <v>119</v>
      </c>
      <c r="E138" s="16" t="s">
        <v>237</v>
      </c>
      <c r="F138" s="16" t="s">
        <v>163</v>
      </c>
      <c r="G138" s="16" t="s">
        <v>595</v>
      </c>
      <c r="H138" s="27">
        <v>355</v>
      </c>
      <c r="I138" s="16" t="s">
        <v>712</v>
      </c>
      <c r="J138" s="16"/>
      <c r="K138" s="16" t="s">
        <v>654</v>
      </c>
      <c r="L138" s="16" t="s">
        <v>650</v>
      </c>
      <c r="M138" s="16" t="s">
        <v>648</v>
      </c>
      <c r="N138" s="16" t="s">
        <v>1467</v>
      </c>
      <c r="O138" s="95">
        <v>4.7149891328258757</v>
      </c>
      <c r="P138" s="95">
        <v>5.2608129979559655</v>
      </c>
      <c r="Q138" s="95">
        <v>1.5677919530332347</v>
      </c>
      <c r="R138" s="95">
        <v>14.168193945929971</v>
      </c>
      <c r="S138" s="95">
        <v>2.996224621352404</v>
      </c>
      <c r="T138" s="95">
        <v>9.4648180868302685</v>
      </c>
      <c r="U138" s="95">
        <v>14.284326683191695</v>
      </c>
      <c r="V138" s="95">
        <v>5.2840395454083087</v>
      </c>
      <c r="W138" s="95">
        <v>20.903892707109794</v>
      </c>
      <c r="X138" s="95">
        <v>2.380721113865282</v>
      </c>
      <c r="Y138" s="95">
        <v>24.504007562223151</v>
      </c>
      <c r="Z138" s="95">
        <v>105.52981834972594</v>
      </c>
      <c r="AA138" s="18"/>
      <c r="AB138" s="18"/>
      <c r="AC138" s="18"/>
      <c r="AD138" s="18"/>
      <c r="AE138" s="127"/>
      <c r="AF138" s="127"/>
      <c r="AG138" s="18"/>
      <c r="AH138" s="18">
        <v>0</v>
      </c>
      <c r="AI138" s="18"/>
      <c r="AJ138" s="18"/>
      <c r="AK138" s="134"/>
      <c r="AL138" s="18"/>
      <c r="AM138" s="134"/>
      <c r="AN138" s="127"/>
      <c r="AO138" s="18"/>
      <c r="AP138" s="18"/>
      <c r="AQ138" s="18"/>
      <c r="AR138" s="18"/>
      <c r="AS138" s="18"/>
      <c r="AT138" s="18"/>
      <c r="AU138" s="18"/>
      <c r="AV138" s="18"/>
      <c r="AW138" s="18"/>
      <c r="AX138" s="127"/>
      <c r="AY138" s="127">
        <v>0</v>
      </c>
      <c r="AZ138" s="127">
        <v>0</v>
      </c>
      <c r="BA138" s="127">
        <v>0</v>
      </c>
      <c r="BB138" s="18"/>
      <c r="BC138" s="127">
        <v>0</v>
      </c>
      <c r="BD138" s="18"/>
      <c r="BE138" s="18"/>
      <c r="BF138" s="18"/>
      <c r="BG138" s="18"/>
      <c r="BH138" s="127"/>
      <c r="BI138" s="127"/>
      <c r="BJ138" s="18"/>
      <c r="BK138" s="127">
        <v>0</v>
      </c>
      <c r="BL138" s="127">
        <v>0</v>
      </c>
      <c r="BM138" s="127">
        <v>0</v>
      </c>
      <c r="BN138" s="127">
        <v>0</v>
      </c>
      <c r="BO138" s="18"/>
      <c r="BP138" s="18"/>
      <c r="BQ138" s="18"/>
      <c r="BR138" s="18"/>
      <c r="BS138" s="18"/>
      <c r="BT138" s="18"/>
      <c r="BU138" s="18"/>
      <c r="BV138" s="18"/>
      <c r="BW138" s="18"/>
      <c r="BX138" s="18"/>
      <c r="BY138" s="127"/>
      <c r="BZ138" s="18"/>
      <c r="CA138" s="127"/>
      <c r="CB138" s="127"/>
      <c r="CC138" s="127"/>
      <c r="CE138" t="e">
        <f t="shared" si="76"/>
        <v>#DIV/0!</v>
      </c>
      <c r="CF138" t="e">
        <f t="shared" si="77"/>
        <v>#DIV/0!</v>
      </c>
      <c r="CG138" t="e">
        <f t="shared" si="78"/>
        <v>#DIV/0!</v>
      </c>
      <c r="CH138" t="e">
        <f t="shared" si="79"/>
        <v>#DIV/0!</v>
      </c>
      <c r="CI138" t="e">
        <f t="shared" si="80"/>
        <v>#DIV/0!</v>
      </c>
      <c r="CJ138" t="e">
        <f t="shared" si="81"/>
        <v>#DIV/0!</v>
      </c>
      <c r="CK138" t="e">
        <f t="shared" si="82"/>
        <v>#DIV/0!</v>
      </c>
      <c r="CL138" t="e">
        <f t="shared" si="83"/>
        <v>#DIV/0!</v>
      </c>
      <c r="CM138" t="e">
        <f t="shared" si="84"/>
        <v>#DIV/0!</v>
      </c>
      <c r="CN138" t="e">
        <f t="shared" si="85"/>
        <v>#DIV/0!</v>
      </c>
      <c r="CO138" t="e">
        <f t="shared" si="86"/>
        <v>#DIV/0!</v>
      </c>
      <c r="CP138" t="e">
        <f t="shared" si="87"/>
        <v>#DIV/0!</v>
      </c>
      <c r="CQ138" t="e">
        <f t="shared" si="88"/>
        <v>#DIV/0!</v>
      </c>
      <c r="CR138" t="e">
        <f t="shared" si="89"/>
        <v>#DIV/0!</v>
      </c>
      <c r="CS138" t="e">
        <f t="shared" si="90"/>
        <v>#DIV/0!</v>
      </c>
      <c r="CT138" t="e">
        <f t="shared" si="91"/>
        <v>#DIV/0!</v>
      </c>
      <c r="CU138" t="e">
        <f t="shared" si="92"/>
        <v>#DIV/0!</v>
      </c>
      <c r="CV138" t="e">
        <f t="shared" si="93"/>
        <v>#DIV/0!</v>
      </c>
      <c r="CW138" t="e">
        <f t="shared" si="94"/>
        <v>#DIV/0!</v>
      </c>
      <c r="CX138" t="e">
        <f t="shared" si="95"/>
        <v>#DIV/0!</v>
      </c>
      <c r="CY138" t="e">
        <f t="shared" si="96"/>
        <v>#DIV/0!</v>
      </c>
      <c r="CZ138" t="e">
        <f t="shared" si="97"/>
        <v>#DIV/0!</v>
      </c>
      <c r="DA138" t="e">
        <f t="shared" si="98"/>
        <v>#DIV/0!</v>
      </c>
      <c r="DB138" t="e">
        <f t="shared" si="99"/>
        <v>#DIV/0!</v>
      </c>
      <c r="DC138" t="e">
        <f t="shared" si="100"/>
        <v>#DIV/0!</v>
      </c>
      <c r="DD138" t="e">
        <f t="shared" si="101"/>
        <v>#DIV/0!</v>
      </c>
      <c r="DE138" t="e">
        <f t="shared" si="102"/>
        <v>#DIV/0!</v>
      </c>
      <c r="DF138" t="e">
        <f t="shared" si="103"/>
        <v>#DIV/0!</v>
      </c>
      <c r="DG138" t="e">
        <f t="shared" si="104"/>
        <v>#DIV/0!</v>
      </c>
      <c r="DH138" t="e">
        <f t="shared" si="105"/>
        <v>#DIV/0!</v>
      </c>
      <c r="DI138" t="e">
        <f t="shared" si="106"/>
        <v>#DIV/0!</v>
      </c>
      <c r="DJ138" t="e">
        <f t="shared" si="107"/>
        <v>#DIV/0!</v>
      </c>
      <c r="DK138" t="e">
        <f t="shared" si="108"/>
        <v>#DIV/0!</v>
      </c>
      <c r="DL138" t="e">
        <f t="shared" si="109"/>
        <v>#DIV/0!</v>
      </c>
      <c r="DM138" t="e">
        <f t="shared" si="110"/>
        <v>#DIV/0!</v>
      </c>
      <c r="DN138" t="e">
        <f t="shared" si="111"/>
        <v>#DIV/0!</v>
      </c>
      <c r="DO138" t="e">
        <f t="shared" si="112"/>
        <v>#DIV/0!</v>
      </c>
      <c r="DP138" t="e">
        <f t="shared" si="113"/>
        <v>#DIV/0!</v>
      </c>
    </row>
    <row r="139" spans="1:120">
      <c r="A139" s="16" t="s">
        <v>752</v>
      </c>
      <c r="B139" s="16" t="s">
        <v>24</v>
      </c>
      <c r="C139" s="123" t="s">
        <v>546</v>
      </c>
      <c r="D139" s="16" t="s">
        <v>119</v>
      </c>
      <c r="E139" s="16" t="s">
        <v>171</v>
      </c>
      <c r="F139" s="16" t="s">
        <v>45</v>
      </c>
      <c r="G139" s="16" t="s">
        <v>595</v>
      </c>
      <c r="H139" s="27">
        <v>55</v>
      </c>
      <c r="I139" s="16" t="s">
        <v>712</v>
      </c>
      <c r="J139" s="16"/>
      <c r="K139" s="16"/>
      <c r="L139" s="16"/>
      <c r="M139" s="16" t="s">
        <v>126</v>
      </c>
      <c r="N139" s="16">
        <v>20</v>
      </c>
      <c r="O139" s="95">
        <v>3.5942358971684985</v>
      </c>
      <c r="P139" s="95">
        <v>1.3350019046625849</v>
      </c>
      <c r="Q139" s="95">
        <v>0.51346227102407105</v>
      </c>
      <c r="R139" s="95">
        <v>5.4427000728551542</v>
      </c>
      <c r="S139" s="95">
        <v>6.0588547980840399</v>
      </c>
      <c r="T139" s="95">
        <v>7.4965491569514393</v>
      </c>
      <c r="U139" s="95">
        <v>12.220402050372893</v>
      </c>
      <c r="V139" s="95">
        <v>14.274251134469178</v>
      </c>
      <c r="W139" s="95">
        <v>26.083883368022814</v>
      </c>
      <c r="X139" s="95">
        <v>0</v>
      </c>
      <c r="Y139" s="95">
        <v>29.678119265191309</v>
      </c>
      <c r="Z139" s="95">
        <v>106.69745991880198</v>
      </c>
      <c r="AA139" s="18"/>
      <c r="AB139" s="18"/>
      <c r="AC139" s="18"/>
      <c r="AD139" s="18"/>
      <c r="AE139" s="127"/>
      <c r="AF139" s="127"/>
      <c r="AG139" s="18"/>
      <c r="AH139" s="18">
        <v>0</v>
      </c>
      <c r="AI139" s="18"/>
      <c r="AJ139" s="18"/>
      <c r="AK139" s="134"/>
      <c r="AL139" s="18"/>
      <c r="AM139" s="134"/>
      <c r="AN139" s="127"/>
      <c r="AO139" s="18"/>
      <c r="AP139" s="18"/>
      <c r="AQ139" s="18"/>
      <c r="AR139" s="18"/>
      <c r="AS139" s="18"/>
      <c r="AT139" s="18"/>
      <c r="AU139" s="18"/>
      <c r="AV139" s="18"/>
      <c r="AW139" s="18"/>
      <c r="AX139" s="127"/>
      <c r="AY139" s="127">
        <v>0</v>
      </c>
      <c r="AZ139" s="127">
        <v>0</v>
      </c>
      <c r="BA139" s="127">
        <v>0</v>
      </c>
      <c r="BB139" s="18"/>
      <c r="BC139" s="127">
        <v>0</v>
      </c>
      <c r="BD139" s="18"/>
      <c r="BE139" s="18"/>
      <c r="BF139" s="18"/>
      <c r="BG139" s="18"/>
      <c r="BH139" s="127"/>
      <c r="BI139" s="127"/>
      <c r="BJ139" s="18"/>
      <c r="BK139" s="127">
        <v>0</v>
      </c>
      <c r="BL139" s="127">
        <v>0</v>
      </c>
      <c r="BM139" s="127">
        <v>0</v>
      </c>
      <c r="BN139" s="127">
        <v>0</v>
      </c>
      <c r="BO139" s="18"/>
      <c r="BP139" s="18"/>
      <c r="BQ139" s="18"/>
      <c r="BR139" s="18"/>
      <c r="BS139" s="18"/>
      <c r="BT139" s="18"/>
      <c r="BU139" s="18"/>
      <c r="BV139" s="18"/>
      <c r="BW139" s="18"/>
      <c r="BX139" s="18"/>
      <c r="BY139" s="127"/>
      <c r="BZ139" s="18"/>
      <c r="CA139" s="127"/>
      <c r="CB139" s="127"/>
      <c r="CC139" s="127"/>
      <c r="CE139" t="e">
        <f t="shared" si="76"/>
        <v>#DIV/0!</v>
      </c>
      <c r="CF139" t="e">
        <f t="shared" si="77"/>
        <v>#DIV/0!</v>
      </c>
      <c r="CG139" t="e">
        <f t="shared" si="78"/>
        <v>#DIV/0!</v>
      </c>
      <c r="CH139" t="e">
        <f t="shared" si="79"/>
        <v>#DIV/0!</v>
      </c>
      <c r="CI139" t="e">
        <f t="shared" si="80"/>
        <v>#DIV/0!</v>
      </c>
      <c r="CJ139" t="e">
        <f t="shared" si="81"/>
        <v>#DIV/0!</v>
      </c>
      <c r="CK139" t="e">
        <f t="shared" si="82"/>
        <v>#DIV/0!</v>
      </c>
      <c r="CL139" t="e">
        <f t="shared" si="83"/>
        <v>#DIV/0!</v>
      </c>
      <c r="CM139" t="e">
        <f t="shared" si="84"/>
        <v>#DIV/0!</v>
      </c>
      <c r="CN139" t="e">
        <f t="shared" si="85"/>
        <v>#DIV/0!</v>
      </c>
      <c r="CO139" t="e">
        <f t="shared" si="86"/>
        <v>#DIV/0!</v>
      </c>
      <c r="CP139" t="e">
        <f t="shared" si="87"/>
        <v>#DIV/0!</v>
      </c>
      <c r="CQ139" t="e">
        <f t="shared" si="88"/>
        <v>#DIV/0!</v>
      </c>
      <c r="CR139" t="e">
        <f t="shared" si="89"/>
        <v>#DIV/0!</v>
      </c>
      <c r="CS139" t="e">
        <f t="shared" si="90"/>
        <v>#DIV/0!</v>
      </c>
      <c r="CT139" t="e">
        <f t="shared" si="91"/>
        <v>#DIV/0!</v>
      </c>
      <c r="CU139" t="e">
        <f t="shared" si="92"/>
        <v>#DIV/0!</v>
      </c>
      <c r="CV139" t="e">
        <f t="shared" si="93"/>
        <v>#DIV/0!</v>
      </c>
      <c r="CW139" t="e">
        <f t="shared" si="94"/>
        <v>#DIV/0!</v>
      </c>
      <c r="CX139" t="e">
        <f t="shared" si="95"/>
        <v>#DIV/0!</v>
      </c>
      <c r="CY139" t="e">
        <f t="shared" si="96"/>
        <v>#DIV/0!</v>
      </c>
      <c r="CZ139" t="e">
        <f t="shared" si="97"/>
        <v>#DIV/0!</v>
      </c>
      <c r="DA139" t="e">
        <f t="shared" si="98"/>
        <v>#DIV/0!</v>
      </c>
      <c r="DB139" t="e">
        <f t="shared" si="99"/>
        <v>#DIV/0!</v>
      </c>
      <c r="DC139" t="e">
        <f t="shared" si="100"/>
        <v>#DIV/0!</v>
      </c>
      <c r="DD139" t="e">
        <f t="shared" si="101"/>
        <v>#DIV/0!</v>
      </c>
      <c r="DE139" t="e">
        <f t="shared" si="102"/>
        <v>#DIV/0!</v>
      </c>
      <c r="DF139" t="e">
        <f t="shared" si="103"/>
        <v>#DIV/0!</v>
      </c>
      <c r="DG139" t="e">
        <f t="shared" si="104"/>
        <v>#DIV/0!</v>
      </c>
      <c r="DH139" t="e">
        <f t="shared" si="105"/>
        <v>#DIV/0!</v>
      </c>
      <c r="DI139" t="e">
        <f t="shared" si="106"/>
        <v>#DIV/0!</v>
      </c>
      <c r="DJ139" t="e">
        <f t="shared" si="107"/>
        <v>#DIV/0!</v>
      </c>
      <c r="DK139" t="e">
        <f t="shared" si="108"/>
        <v>#DIV/0!</v>
      </c>
      <c r="DL139" t="e">
        <f t="shared" si="109"/>
        <v>#DIV/0!</v>
      </c>
      <c r="DM139" t="e">
        <f t="shared" si="110"/>
        <v>#DIV/0!</v>
      </c>
      <c r="DN139" t="e">
        <f t="shared" si="111"/>
        <v>#DIV/0!</v>
      </c>
      <c r="DO139" t="e">
        <f t="shared" si="112"/>
        <v>#DIV/0!</v>
      </c>
      <c r="DP139" t="e">
        <f t="shared" si="113"/>
        <v>#DIV/0!</v>
      </c>
    </row>
    <row r="140" spans="1:120">
      <c r="A140" s="16" t="s">
        <v>1424</v>
      </c>
      <c r="B140" s="16" t="s">
        <v>24</v>
      </c>
      <c r="C140" s="123" t="s">
        <v>546</v>
      </c>
      <c r="D140" s="16" t="s">
        <v>119</v>
      </c>
      <c r="E140" s="16" t="s">
        <v>171</v>
      </c>
      <c r="F140" s="16" t="s">
        <v>45</v>
      </c>
      <c r="G140" s="16" t="s">
        <v>595</v>
      </c>
      <c r="H140" s="27">
        <v>55</v>
      </c>
      <c r="I140" s="16" t="s">
        <v>712</v>
      </c>
      <c r="J140" s="16" t="s">
        <v>1311</v>
      </c>
      <c r="K140" s="16" t="s">
        <v>1276</v>
      </c>
      <c r="L140" s="16" t="s">
        <v>1725</v>
      </c>
      <c r="M140" s="16" t="s">
        <v>1403</v>
      </c>
      <c r="N140" s="16">
        <v>11</v>
      </c>
      <c r="O140" s="95">
        <v>2.8050970472863455</v>
      </c>
      <c r="P140" s="95">
        <v>0.80145629922467021</v>
      </c>
      <c r="Q140" s="95">
        <v>0.5009101870154189</v>
      </c>
      <c r="R140" s="95">
        <v>7.112924655618948</v>
      </c>
      <c r="S140" s="95">
        <v>3.8369720325381085</v>
      </c>
      <c r="T140" s="95">
        <v>2.5045509350770945</v>
      </c>
      <c r="U140" s="95">
        <v>19.034587106585917</v>
      </c>
      <c r="V140" s="95">
        <v>11.120206151742298</v>
      </c>
      <c r="W140" s="95">
        <v>27.149332136235703</v>
      </c>
      <c r="X140" s="95">
        <v>0</v>
      </c>
      <c r="Y140" s="95">
        <v>32.458980118599143</v>
      </c>
      <c r="Z140" s="95">
        <v>107.32501666992364</v>
      </c>
      <c r="AA140" s="16"/>
      <c r="AB140" s="16"/>
      <c r="AC140" s="16"/>
      <c r="AD140" s="16"/>
      <c r="AE140" s="128"/>
      <c r="AF140" s="128"/>
      <c r="AG140" s="16"/>
      <c r="AH140" s="16" t="e">
        <v>#DIV/0!</v>
      </c>
      <c r="AI140" s="16"/>
      <c r="AJ140" s="16"/>
      <c r="AK140" s="135"/>
      <c r="AL140" s="16"/>
      <c r="AM140" s="135"/>
      <c r="AN140" s="128"/>
      <c r="AO140" s="16"/>
      <c r="AP140" s="16"/>
      <c r="AQ140" s="16"/>
      <c r="AR140" s="16"/>
      <c r="AS140" s="16"/>
      <c r="AT140" s="16"/>
      <c r="AU140" s="16"/>
      <c r="AV140" s="16"/>
      <c r="AW140" s="16"/>
      <c r="AX140" s="128">
        <v>0.30099999999999999</v>
      </c>
      <c r="AY140" s="128">
        <v>3.5</v>
      </c>
      <c r="AZ140" s="128">
        <v>1.0999999999999999E-2</v>
      </c>
      <c r="BA140" s="128">
        <v>6.8000000000000005E-2</v>
      </c>
      <c r="BB140" s="16"/>
      <c r="BC140" s="128">
        <v>0.39300000000000002</v>
      </c>
      <c r="BD140" s="16"/>
      <c r="BE140" s="16"/>
      <c r="BF140" s="16"/>
      <c r="BG140" s="16"/>
      <c r="BH140" s="128"/>
      <c r="BI140" s="128">
        <v>59.245000000000005</v>
      </c>
      <c r="BJ140" s="16"/>
      <c r="BK140" s="128">
        <v>0.71799999999999997</v>
      </c>
      <c r="BL140" s="128">
        <v>0.95799999999999996</v>
      </c>
      <c r="BM140" s="128">
        <v>6.5500000000000003E-2</v>
      </c>
      <c r="BN140" s="128">
        <v>0.1835</v>
      </c>
      <c r="BO140" s="16">
        <v>2.5999999999999999E-2</v>
      </c>
      <c r="BP140" s="16">
        <v>5.0000000000000001E-3</v>
      </c>
      <c r="BQ140" s="16"/>
      <c r="BR140" s="16"/>
      <c r="BS140" s="16"/>
      <c r="BT140" s="16"/>
      <c r="BU140" s="16"/>
      <c r="BV140" s="16"/>
      <c r="BW140" s="16"/>
      <c r="BX140" s="16"/>
      <c r="BY140" s="128"/>
      <c r="BZ140" s="16"/>
      <c r="CA140" s="128">
        <v>0.90749999999999997</v>
      </c>
      <c r="CB140" s="128">
        <v>0.26200000000000001</v>
      </c>
      <c r="CC140" s="128">
        <v>2.0500000000000001E-2</v>
      </c>
      <c r="CE140">
        <f t="shared" si="76"/>
        <v>16.927142857142858</v>
      </c>
      <c r="CF140">
        <f t="shared" si="77"/>
        <v>82.513927576601688</v>
      </c>
      <c r="CG140">
        <f t="shared" si="78"/>
        <v>4.8746518105849583</v>
      </c>
      <c r="CH140">
        <f t="shared" si="79"/>
        <v>0.74947807933194155</v>
      </c>
      <c r="CI140">
        <f t="shared" si="80"/>
        <v>0</v>
      </c>
      <c r="CJ140" t="e">
        <f t="shared" si="81"/>
        <v>#DIV/0!</v>
      </c>
      <c r="CK140">
        <f t="shared" si="82"/>
        <v>0</v>
      </c>
      <c r="CL140">
        <f t="shared" si="83"/>
        <v>3.6534446764091859</v>
      </c>
      <c r="CM140">
        <f t="shared" si="84"/>
        <v>61.842379958246354</v>
      </c>
      <c r="CN140">
        <f t="shared" si="85"/>
        <v>61.842379958246354</v>
      </c>
      <c r="CO140">
        <f t="shared" si="86"/>
        <v>0</v>
      </c>
      <c r="CP140">
        <f t="shared" si="87"/>
        <v>44.268292682926827</v>
      </c>
      <c r="CQ140">
        <f t="shared" si="88"/>
        <v>1.2639275766016713</v>
      </c>
      <c r="CR140">
        <f t="shared" si="89"/>
        <v>0.54735376044568251</v>
      </c>
      <c r="CS140">
        <f t="shared" si="90"/>
        <v>9.4707520891364916E-2</v>
      </c>
      <c r="CT140">
        <f t="shared" si="91"/>
        <v>8.5999999999999993E-2</v>
      </c>
      <c r="CU140">
        <f t="shared" si="92"/>
        <v>1.532033426183844E-2</v>
      </c>
      <c r="CV140" t="e">
        <f t="shared" si="93"/>
        <v>#DIV/0!</v>
      </c>
      <c r="CW140">
        <f t="shared" si="94"/>
        <v>0</v>
      </c>
      <c r="CX140">
        <f t="shared" si="95"/>
        <v>0.17302798982188294</v>
      </c>
      <c r="CY140">
        <f t="shared" si="96"/>
        <v>0</v>
      </c>
      <c r="CZ140">
        <f t="shared" si="97"/>
        <v>12.780487804878049</v>
      </c>
      <c r="DA140">
        <f t="shared" si="98"/>
        <v>0.22591362126245851</v>
      </c>
      <c r="DB140">
        <f t="shared" si="99"/>
        <v>1.942857142857143E-2</v>
      </c>
      <c r="DC140">
        <f t="shared" si="100"/>
        <v>6.1818181818181825</v>
      </c>
      <c r="DD140">
        <f t="shared" si="101"/>
        <v>7.0981210855949897E-2</v>
      </c>
      <c r="DE140">
        <f t="shared" si="102"/>
        <v>0</v>
      </c>
      <c r="DF140">
        <f t="shared" si="103"/>
        <v>0</v>
      </c>
      <c r="DG140">
        <f t="shared" si="104"/>
        <v>0</v>
      </c>
      <c r="DH140">
        <f t="shared" si="105"/>
        <v>16.927142857142858</v>
      </c>
      <c r="DI140">
        <f t="shared" si="106"/>
        <v>0.11228571428571429</v>
      </c>
      <c r="DJ140">
        <f t="shared" si="107"/>
        <v>5.8571428571428576E-3</v>
      </c>
      <c r="DK140">
        <f t="shared" si="108"/>
        <v>5.3439721901644965</v>
      </c>
      <c r="DL140">
        <f t="shared" si="109"/>
        <v>0.69764650002147477</v>
      </c>
      <c r="DM140">
        <f t="shared" si="110"/>
        <v>1.0962777235823167</v>
      </c>
      <c r="DN140">
        <f t="shared" si="111"/>
        <v>6.4764487003765858E-2</v>
      </c>
      <c r="DO140">
        <f t="shared" si="112"/>
        <v>0.14311719629011968</v>
      </c>
      <c r="DP140">
        <f t="shared" si="113"/>
        <v>8.4548938647213915E-3</v>
      </c>
    </row>
    <row r="141" spans="1:120">
      <c r="A141" s="16" t="s">
        <v>1424</v>
      </c>
      <c r="B141" s="16" t="s">
        <v>24</v>
      </c>
      <c r="C141" s="123" t="s">
        <v>546</v>
      </c>
      <c r="D141" s="16" t="s">
        <v>119</v>
      </c>
      <c r="E141" s="16" t="s">
        <v>171</v>
      </c>
      <c r="F141" s="16" t="s">
        <v>45</v>
      </c>
      <c r="G141" s="16" t="s">
        <v>595</v>
      </c>
      <c r="H141" s="27">
        <v>55</v>
      </c>
      <c r="I141" s="16" t="s">
        <v>712</v>
      </c>
      <c r="J141" s="16" t="s">
        <v>1311</v>
      </c>
      <c r="K141" s="16" t="s">
        <v>1276</v>
      </c>
      <c r="L141" s="16" t="s">
        <v>1725</v>
      </c>
      <c r="M141" s="16" t="s">
        <v>1407</v>
      </c>
      <c r="N141" s="16">
        <v>13</v>
      </c>
      <c r="O141" s="95">
        <v>3.0114843874724828</v>
      </c>
      <c r="P141" s="95">
        <v>2.0768857844637818</v>
      </c>
      <c r="Q141" s="95">
        <v>0.72691002456232334</v>
      </c>
      <c r="R141" s="95">
        <v>6.8537230887304776</v>
      </c>
      <c r="S141" s="95">
        <v>3.1153286766956723</v>
      </c>
      <c r="T141" s="95">
        <v>4.9845258827130756</v>
      </c>
      <c r="U141" s="95">
        <v>12.669003285229063</v>
      </c>
      <c r="V141" s="95">
        <v>9.1382974516406392</v>
      </c>
      <c r="W141" s="95">
        <v>31.049442477733528</v>
      </c>
      <c r="X141" s="95">
        <v>0</v>
      </c>
      <c r="Y141" s="95">
        <v>34.060926865206014</v>
      </c>
      <c r="Z141" s="95">
        <v>107.68652792444705</v>
      </c>
      <c r="AA141" s="16"/>
      <c r="AB141" s="16"/>
      <c r="AC141" s="16"/>
      <c r="AD141" s="16"/>
      <c r="AE141" s="128"/>
      <c r="AF141" s="128"/>
      <c r="AG141" s="16"/>
      <c r="AH141" s="16" t="e">
        <v>#DIV/0!</v>
      </c>
      <c r="AI141" s="16"/>
      <c r="AJ141" s="16"/>
      <c r="AK141" s="135"/>
      <c r="AL141" s="16"/>
      <c r="AM141" s="135"/>
      <c r="AN141" s="128"/>
      <c r="AO141" s="16"/>
      <c r="AP141" s="16"/>
      <c r="AQ141" s="16"/>
      <c r="AR141" s="16"/>
      <c r="AS141" s="16"/>
      <c r="AT141" s="16"/>
      <c r="AU141" s="16"/>
      <c r="AV141" s="16"/>
      <c r="AW141" s="16"/>
      <c r="AX141" s="128">
        <v>0.34233333333333332</v>
      </c>
      <c r="AY141" s="128">
        <v>6.8456666666666663</v>
      </c>
      <c r="AZ141" s="128"/>
      <c r="BA141" s="128">
        <v>1.2999999999999999E-2</v>
      </c>
      <c r="BB141" s="16"/>
      <c r="BC141" s="128">
        <v>7.2666666666666671E-2</v>
      </c>
      <c r="BD141" s="16"/>
      <c r="BE141" s="16"/>
      <c r="BF141" s="16"/>
      <c r="BG141" s="16"/>
      <c r="BH141" s="128"/>
      <c r="BI141" s="128">
        <v>113.04666666666668</v>
      </c>
      <c r="BJ141" s="16"/>
      <c r="BK141" s="128">
        <v>1.5046666666666668</v>
      </c>
      <c r="BL141" s="128">
        <v>1.2163333333333333</v>
      </c>
      <c r="BM141" s="128">
        <v>7.7499999999999999E-2</v>
      </c>
      <c r="BN141" s="128">
        <v>0.13633333333333333</v>
      </c>
      <c r="BO141" s="16"/>
      <c r="BP141" s="16">
        <v>4.0000000000000001E-3</v>
      </c>
      <c r="BQ141" s="16">
        <v>1E-3</v>
      </c>
      <c r="BR141" s="16"/>
      <c r="BS141" s="16"/>
      <c r="BT141" s="16"/>
      <c r="BU141" s="16"/>
      <c r="BV141" s="16"/>
      <c r="BW141" s="16"/>
      <c r="BX141" s="16"/>
      <c r="BY141" s="128"/>
      <c r="BZ141" s="16"/>
      <c r="CA141" s="128">
        <v>0.76300000000000001</v>
      </c>
      <c r="CB141" s="128">
        <v>0.57166666666666666</v>
      </c>
      <c r="CC141" s="128">
        <v>3.7499999999999999E-2</v>
      </c>
      <c r="CE141">
        <f t="shared" si="76"/>
        <v>16.51360958270439</v>
      </c>
      <c r="CF141">
        <f t="shared" si="77"/>
        <v>75.130704474966777</v>
      </c>
      <c r="CG141">
        <f t="shared" si="78"/>
        <v>4.549623393885688</v>
      </c>
      <c r="CH141">
        <f t="shared" si="79"/>
        <v>1.2370512469169637</v>
      </c>
      <c r="CI141">
        <f t="shared" si="80"/>
        <v>0</v>
      </c>
      <c r="CJ141" t="e">
        <f t="shared" si="81"/>
        <v>#DIV/0!</v>
      </c>
      <c r="CK141">
        <f t="shared" si="82"/>
        <v>0</v>
      </c>
      <c r="CL141">
        <f t="shared" si="83"/>
        <v>5.6281172924088789</v>
      </c>
      <c r="CM141">
        <f t="shared" si="84"/>
        <v>92.940531652507559</v>
      </c>
      <c r="CN141">
        <f t="shared" si="85"/>
        <v>92.940531652507559</v>
      </c>
      <c r="CO141">
        <f t="shared" si="86"/>
        <v>0</v>
      </c>
      <c r="CP141">
        <f t="shared" si="87"/>
        <v>20.346666666666668</v>
      </c>
      <c r="CQ141">
        <f t="shared" si="88"/>
        <v>0.50708905626938405</v>
      </c>
      <c r="CR141">
        <f t="shared" si="89"/>
        <v>4.8294195835179438E-2</v>
      </c>
      <c r="CS141">
        <f t="shared" si="90"/>
        <v>8.6397873283119171E-3</v>
      </c>
      <c r="CT141">
        <f t="shared" si="91"/>
        <v>5.0007303890539027E-2</v>
      </c>
      <c r="CU141">
        <f t="shared" si="92"/>
        <v>0</v>
      </c>
      <c r="CV141" t="e">
        <f t="shared" si="93"/>
        <v>#DIV/0!</v>
      </c>
      <c r="CW141">
        <f t="shared" si="94"/>
        <v>0</v>
      </c>
      <c r="CX141">
        <f t="shared" si="95"/>
        <v>0.17889908256880732</v>
      </c>
      <c r="CY141">
        <f t="shared" si="96"/>
        <v>0</v>
      </c>
      <c r="CZ141">
        <f t="shared" si="97"/>
        <v>15.244444444444445</v>
      </c>
      <c r="DA141">
        <f t="shared" si="98"/>
        <v>3.7974683544303799E-2</v>
      </c>
      <c r="DB141">
        <f t="shared" si="99"/>
        <v>1.8990115401470516E-3</v>
      </c>
      <c r="DC141" t="e">
        <f t="shared" si="100"/>
        <v>#DIV/0!</v>
      </c>
      <c r="DD141">
        <f t="shared" si="101"/>
        <v>1.068785968758564E-2</v>
      </c>
      <c r="DE141">
        <f t="shared" si="102"/>
        <v>0</v>
      </c>
      <c r="DF141">
        <f t="shared" si="103"/>
        <v>0</v>
      </c>
      <c r="DG141">
        <f t="shared" si="104"/>
        <v>0</v>
      </c>
      <c r="DH141">
        <f t="shared" si="105"/>
        <v>16.51360958270439</v>
      </c>
      <c r="DI141">
        <f t="shared" si="106"/>
        <v>1.0614987583386085E-2</v>
      </c>
      <c r="DJ141">
        <f t="shared" si="107"/>
        <v>5.4779179042703414E-3</v>
      </c>
      <c r="DK141">
        <f t="shared" si="108"/>
        <v>2.0704444018801542</v>
      </c>
      <c r="DL141">
        <f t="shared" si="109"/>
        <v>0.48310369377203582</v>
      </c>
      <c r="DM141">
        <f t="shared" si="110"/>
        <v>0.45508039295354807</v>
      </c>
      <c r="DN141">
        <f t="shared" si="111"/>
        <v>2.7557899481296857E-2</v>
      </c>
      <c r="DO141">
        <f t="shared" si="112"/>
        <v>0.10618542502249453</v>
      </c>
      <c r="DP141">
        <f t="shared" si="113"/>
        <v>6.4301765456359315E-3</v>
      </c>
    </row>
    <row r="142" spans="1:120">
      <c r="A142" s="16" t="s">
        <v>1424</v>
      </c>
      <c r="B142" s="16" t="s">
        <v>24</v>
      </c>
      <c r="C142" s="123" t="s">
        <v>546</v>
      </c>
      <c r="D142" s="16" t="s">
        <v>119</v>
      </c>
      <c r="E142" s="16" t="s">
        <v>171</v>
      </c>
      <c r="F142" s="16" t="s">
        <v>45</v>
      </c>
      <c r="G142" s="16" t="s">
        <v>595</v>
      </c>
      <c r="H142" s="27">
        <v>55</v>
      </c>
      <c r="I142" s="16" t="s">
        <v>712</v>
      </c>
      <c r="J142" s="16" t="s">
        <v>1311</v>
      </c>
      <c r="K142" s="16" t="s">
        <v>1276</v>
      </c>
      <c r="L142" s="16" t="s">
        <v>1725</v>
      </c>
      <c r="M142" s="16" t="s">
        <v>1410</v>
      </c>
      <c r="N142" s="16">
        <v>20</v>
      </c>
      <c r="O142" s="95">
        <v>4.3152206518478593</v>
      </c>
      <c r="P142" s="95">
        <v>0.30823004656056135</v>
      </c>
      <c r="Q142" s="95">
        <v>0.51371674426760228</v>
      </c>
      <c r="R142" s="95">
        <v>6.0618575823577077</v>
      </c>
      <c r="S142" s="95">
        <v>4.1097339541408182</v>
      </c>
      <c r="T142" s="95">
        <v>5.7536275357971451</v>
      </c>
      <c r="U142" s="95">
        <v>15.000528932613985</v>
      </c>
      <c r="V142" s="95">
        <v>11.815485118154852</v>
      </c>
      <c r="W142" s="95">
        <v>28.254420934718127</v>
      </c>
      <c r="X142" s="95">
        <v>0</v>
      </c>
      <c r="Y142" s="95">
        <v>30.823004656056135</v>
      </c>
      <c r="Z142" s="95">
        <v>106.9558261565148</v>
      </c>
      <c r="AA142" s="16"/>
      <c r="AB142" s="16"/>
      <c r="AC142" s="16"/>
      <c r="AD142" s="16"/>
      <c r="AE142" s="128"/>
      <c r="AF142" s="128"/>
      <c r="AG142" s="16"/>
      <c r="AH142" s="16" t="e">
        <v>#DIV/0!</v>
      </c>
      <c r="AI142" s="16"/>
      <c r="AJ142" s="16"/>
      <c r="AK142" s="135"/>
      <c r="AL142" s="16"/>
      <c r="AM142" s="135"/>
      <c r="AN142" s="128"/>
      <c r="AO142" s="16"/>
      <c r="AP142" s="16"/>
      <c r="AQ142" s="16"/>
      <c r="AR142" s="16"/>
      <c r="AS142" s="16"/>
      <c r="AT142" s="16"/>
      <c r="AU142" s="16"/>
      <c r="AV142" s="16"/>
      <c r="AW142" s="16"/>
      <c r="AX142" s="128">
        <v>0.31</v>
      </c>
      <c r="AY142" s="128">
        <v>5.9615</v>
      </c>
      <c r="AZ142" s="128"/>
      <c r="BA142" s="128"/>
      <c r="BB142" s="16"/>
      <c r="BC142" s="128">
        <v>0.14550000000000002</v>
      </c>
      <c r="BD142" s="16"/>
      <c r="BE142" s="16"/>
      <c r="BF142" s="16"/>
      <c r="BG142" s="16"/>
      <c r="BH142" s="128"/>
      <c r="BI142" s="128">
        <v>103.955</v>
      </c>
      <c r="BJ142" s="16"/>
      <c r="BK142" s="128">
        <v>1.595</v>
      </c>
      <c r="BL142" s="128">
        <v>1.597</v>
      </c>
      <c r="BM142" s="128">
        <v>0.114</v>
      </c>
      <c r="BN142" s="128">
        <v>0.22700000000000001</v>
      </c>
      <c r="BO142" s="16">
        <v>8.0000000000000002E-3</v>
      </c>
      <c r="BP142" s="16"/>
      <c r="BQ142" s="16"/>
      <c r="BR142" s="16"/>
      <c r="BS142" s="16"/>
      <c r="BT142" s="16"/>
      <c r="BU142" s="16"/>
      <c r="BV142" s="16"/>
      <c r="BW142" s="16"/>
      <c r="BX142" s="16"/>
      <c r="BY142" s="128"/>
      <c r="BZ142" s="16"/>
      <c r="CA142" s="128">
        <v>0.95599999999999996</v>
      </c>
      <c r="CB142" s="128">
        <v>0.41299999999999998</v>
      </c>
      <c r="CC142" s="128">
        <v>4.0499999999999994E-2</v>
      </c>
      <c r="CE142">
        <f t="shared" si="76"/>
        <v>17.43772540468003</v>
      </c>
      <c r="CF142">
        <f t="shared" si="77"/>
        <v>65.175548589341687</v>
      </c>
      <c r="CG142">
        <f t="shared" si="78"/>
        <v>3.7376175548589341</v>
      </c>
      <c r="CH142">
        <f t="shared" si="79"/>
        <v>0.99874765184721348</v>
      </c>
      <c r="CI142">
        <f t="shared" si="80"/>
        <v>0</v>
      </c>
      <c r="CJ142" t="e">
        <f t="shared" si="81"/>
        <v>#DIV/0!</v>
      </c>
      <c r="CK142">
        <f t="shared" si="82"/>
        <v>0</v>
      </c>
      <c r="CL142">
        <f t="shared" si="83"/>
        <v>3.7329367564182845</v>
      </c>
      <c r="CM142">
        <f t="shared" si="84"/>
        <v>65.093926111458984</v>
      </c>
      <c r="CN142">
        <f t="shared" si="85"/>
        <v>65.093926111458984</v>
      </c>
      <c r="CO142">
        <f t="shared" si="86"/>
        <v>0</v>
      </c>
      <c r="CP142">
        <f t="shared" si="87"/>
        <v>23.60493827160494</v>
      </c>
      <c r="CQ142">
        <f t="shared" si="88"/>
        <v>0.59937304075235109</v>
      </c>
      <c r="CR142">
        <f t="shared" si="89"/>
        <v>9.1222570532915367E-2</v>
      </c>
      <c r="CS142">
        <f t="shared" si="90"/>
        <v>0</v>
      </c>
      <c r="CT142">
        <f t="shared" si="91"/>
        <v>5.2000335486035394E-2</v>
      </c>
      <c r="CU142">
        <f t="shared" si="92"/>
        <v>0</v>
      </c>
      <c r="CV142" t="e">
        <f t="shared" si="93"/>
        <v>#DIV/0!</v>
      </c>
      <c r="CW142">
        <f t="shared" si="94"/>
        <v>0</v>
      </c>
      <c r="CX142">
        <f t="shared" si="95"/>
        <v>0</v>
      </c>
      <c r="CY142">
        <f t="shared" si="96"/>
        <v>0</v>
      </c>
      <c r="CZ142">
        <f t="shared" si="97"/>
        <v>10.197530864197532</v>
      </c>
      <c r="DA142">
        <f t="shared" si="98"/>
        <v>0</v>
      </c>
      <c r="DB142">
        <f t="shared" si="99"/>
        <v>0</v>
      </c>
      <c r="DC142" t="e">
        <f t="shared" si="100"/>
        <v>#DIV/0!</v>
      </c>
      <c r="DD142">
        <f t="shared" si="101"/>
        <v>0</v>
      </c>
      <c r="DE142">
        <f t="shared" si="102"/>
        <v>0</v>
      </c>
      <c r="DF142">
        <f t="shared" si="103"/>
        <v>0</v>
      </c>
      <c r="DG142">
        <f t="shared" si="104"/>
        <v>0</v>
      </c>
      <c r="DH142">
        <f t="shared" si="105"/>
        <v>17.43772540468003</v>
      </c>
      <c r="DI142">
        <f t="shared" si="106"/>
        <v>2.4406609074897261E-2</v>
      </c>
      <c r="DJ142">
        <f t="shared" si="107"/>
        <v>6.7935922167239775E-3</v>
      </c>
      <c r="DK142">
        <f t="shared" si="108"/>
        <v>2.576635707925278</v>
      </c>
      <c r="DL142">
        <f t="shared" si="109"/>
        <v>0.32207946349065975</v>
      </c>
      <c r="DM142">
        <f t="shared" si="110"/>
        <v>0.68937917539894622</v>
      </c>
      <c r="DN142">
        <f t="shared" si="111"/>
        <v>3.9533778597862709E-2</v>
      </c>
      <c r="DO142">
        <f t="shared" si="112"/>
        <v>8.6172396924868278E-2</v>
      </c>
      <c r="DP142">
        <f t="shared" si="113"/>
        <v>4.9417223247328387E-3</v>
      </c>
    </row>
    <row r="143" spans="1:120">
      <c r="A143" s="16" t="s">
        <v>1424</v>
      </c>
      <c r="B143" s="16" t="s">
        <v>24</v>
      </c>
      <c r="C143" s="123" t="s">
        <v>546</v>
      </c>
      <c r="D143" s="16" t="s">
        <v>119</v>
      </c>
      <c r="E143" s="16" t="s">
        <v>171</v>
      </c>
      <c r="F143" s="16" t="s">
        <v>45</v>
      </c>
      <c r="G143" s="16" t="s">
        <v>595</v>
      </c>
      <c r="H143" s="27">
        <v>55</v>
      </c>
      <c r="I143" s="16" t="s">
        <v>712</v>
      </c>
      <c r="J143" s="16" t="s">
        <v>1311</v>
      </c>
      <c r="K143" s="16" t="s">
        <v>1276</v>
      </c>
      <c r="L143" s="16" t="s">
        <v>1725</v>
      </c>
      <c r="M143" s="16" t="s">
        <v>1412</v>
      </c>
      <c r="N143" s="16">
        <v>23</v>
      </c>
      <c r="O143" s="95">
        <v>3.4791971261190913</v>
      </c>
      <c r="P143" s="95">
        <v>1.125622599626765</v>
      </c>
      <c r="Q143" s="95">
        <v>0.81863461791037462</v>
      </c>
      <c r="R143" s="95">
        <v>6.9583942522381825</v>
      </c>
      <c r="S143" s="95">
        <v>3.8885144350742777</v>
      </c>
      <c r="T143" s="95">
        <v>5.9351009798502146</v>
      </c>
      <c r="U143" s="95">
        <v>14.223776486192758</v>
      </c>
      <c r="V143" s="95">
        <v>13.098153886565994</v>
      </c>
      <c r="W143" s="95">
        <v>25.275343827982809</v>
      </c>
      <c r="X143" s="95">
        <v>0</v>
      </c>
      <c r="Y143" s="95">
        <v>32.540726061937384</v>
      </c>
      <c r="Z143" s="95">
        <v>107.34346427349786</v>
      </c>
      <c r="AA143" s="16"/>
      <c r="AB143" s="16"/>
      <c r="AC143" s="16"/>
      <c r="AD143" s="16"/>
      <c r="AE143" s="128"/>
      <c r="AF143" s="128"/>
      <c r="AG143" s="16"/>
      <c r="AH143" s="16" t="e">
        <v>#DIV/0!</v>
      </c>
      <c r="AI143" s="16"/>
      <c r="AJ143" s="16"/>
      <c r="AK143" s="135"/>
      <c r="AL143" s="16"/>
      <c r="AM143" s="135"/>
      <c r="AN143" s="128"/>
      <c r="AO143" s="16"/>
      <c r="AP143" s="16"/>
      <c r="AQ143" s="16"/>
      <c r="AR143" s="16"/>
      <c r="AS143" s="16"/>
      <c r="AT143" s="16"/>
      <c r="AU143" s="16"/>
      <c r="AV143" s="16"/>
      <c r="AW143" s="16"/>
      <c r="AX143" s="128">
        <v>0.20799999999999999</v>
      </c>
      <c r="AY143" s="128">
        <v>6.3646666666666674</v>
      </c>
      <c r="AZ143" s="128">
        <v>4.7500000000000001E-2</v>
      </c>
      <c r="BA143" s="128">
        <v>0.27200000000000002</v>
      </c>
      <c r="BB143" s="16"/>
      <c r="BC143" s="128">
        <v>1.0536666666666668</v>
      </c>
      <c r="BD143" s="16"/>
      <c r="BE143" s="16"/>
      <c r="BF143" s="16"/>
      <c r="BG143" s="16"/>
      <c r="BH143" s="128"/>
      <c r="BI143" s="128">
        <v>82.2</v>
      </c>
      <c r="BJ143" s="16"/>
      <c r="BK143" s="128">
        <v>1.3946666666666667</v>
      </c>
      <c r="BL143" s="128">
        <v>1.1656666666666666</v>
      </c>
      <c r="BM143" s="128">
        <v>0.158</v>
      </c>
      <c r="BN143" s="128">
        <v>0.24733333333333332</v>
      </c>
      <c r="BO143" s="16">
        <v>2.8999999999999998E-2</v>
      </c>
      <c r="BP143" s="16">
        <v>5.4999999999999997E-3</v>
      </c>
      <c r="BQ143" s="16">
        <v>8.0000000000000002E-3</v>
      </c>
      <c r="BR143" s="16">
        <v>1.2999999999999999E-2</v>
      </c>
      <c r="BS143" s="16"/>
      <c r="BT143" s="16"/>
      <c r="BU143" s="16"/>
      <c r="BV143" s="16"/>
      <c r="BW143" s="16"/>
      <c r="BX143" s="16"/>
      <c r="BY143" s="128"/>
      <c r="BZ143" s="16"/>
      <c r="CA143" s="128">
        <v>1.9669999999999999</v>
      </c>
      <c r="CB143" s="128">
        <v>0.66266666666666674</v>
      </c>
      <c r="CC143" s="128">
        <v>3.4333333333333334E-2</v>
      </c>
      <c r="CE143">
        <f t="shared" si="76"/>
        <v>12.915051848748297</v>
      </c>
      <c r="CF143">
        <f t="shared" si="77"/>
        <v>58.938814531548758</v>
      </c>
      <c r="CG143">
        <f t="shared" si="78"/>
        <v>4.5635755258126194</v>
      </c>
      <c r="CH143">
        <f t="shared" si="79"/>
        <v>1.1964541035173006</v>
      </c>
      <c r="CI143">
        <f t="shared" si="80"/>
        <v>0</v>
      </c>
      <c r="CJ143" t="e">
        <f t="shared" si="81"/>
        <v>#DIV/0!</v>
      </c>
      <c r="CK143">
        <f t="shared" si="82"/>
        <v>0</v>
      </c>
      <c r="CL143">
        <f t="shared" si="83"/>
        <v>5.4601086645696322</v>
      </c>
      <c r="CM143">
        <f t="shared" si="84"/>
        <v>70.517586502716625</v>
      </c>
      <c r="CN143">
        <f t="shared" si="85"/>
        <v>70.517586502716625</v>
      </c>
      <c r="CO143">
        <f t="shared" si="86"/>
        <v>0</v>
      </c>
      <c r="CP143">
        <f t="shared" si="87"/>
        <v>57.291262135922324</v>
      </c>
      <c r="CQ143">
        <f t="shared" si="88"/>
        <v>1.4103728489483747</v>
      </c>
      <c r="CR143">
        <f t="shared" si="89"/>
        <v>0.75549713193116641</v>
      </c>
      <c r="CS143">
        <f t="shared" si="90"/>
        <v>0.19502868068833654</v>
      </c>
      <c r="CT143">
        <f t="shared" si="91"/>
        <v>3.2680423169582064E-2</v>
      </c>
      <c r="CU143">
        <f t="shared" si="92"/>
        <v>3.4058317399617587E-2</v>
      </c>
      <c r="CV143" t="e">
        <f t="shared" si="93"/>
        <v>#DIV/0!</v>
      </c>
      <c r="CW143">
        <f t="shared" si="94"/>
        <v>0</v>
      </c>
      <c r="CX143">
        <f t="shared" si="95"/>
        <v>0.25814615627965831</v>
      </c>
      <c r="CY143">
        <f t="shared" si="96"/>
        <v>0</v>
      </c>
      <c r="CZ143">
        <f t="shared" si="97"/>
        <v>19.300970873786408</v>
      </c>
      <c r="DA143">
        <f t="shared" si="98"/>
        <v>1.3076923076923079</v>
      </c>
      <c r="DB143">
        <f t="shared" si="99"/>
        <v>4.2735937990991936E-2</v>
      </c>
      <c r="DC143">
        <f t="shared" si="100"/>
        <v>5.7263157894736842</v>
      </c>
      <c r="DD143">
        <f t="shared" si="101"/>
        <v>0.23334286531312556</v>
      </c>
      <c r="DE143">
        <f t="shared" si="102"/>
        <v>0</v>
      </c>
      <c r="DF143">
        <f t="shared" si="103"/>
        <v>0</v>
      </c>
      <c r="DG143">
        <f t="shared" si="104"/>
        <v>0</v>
      </c>
      <c r="DH143">
        <f t="shared" si="105"/>
        <v>12.915051848748297</v>
      </c>
      <c r="DI143">
        <f t="shared" si="106"/>
        <v>0.16554938724206555</v>
      </c>
      <c r="DJ143">
        <f t="shared" si="107"/>
        <v>5.3943647219021678E-3</v>
      </c>
      <c r="DK143">
        <f t="shared" si="108"/>
        <v>2.7881317651106197</v>
      </c>
      <c r="DL143">
        <f t="shared" si="109"/>
        <v>0.5869751084443412</v>
      </c>
      <c r="DM143">
        <f t="shared" si="110"/>
        <v>0.61095335211180646</v>
      </c>
      <c r="DN143">
        <f t="shared" si="111"/>
        <v>4.7305528407229652E-2</v>
      </c>
      <c r="DO143">
        <f t="shared" si="112"/>
        <v>0.12862175833932774</v>
      </c>
      <c r="DP143">
        <f t="shared" si="113"/>
        <v>9.9590586120483528E-3</v>
      </c>
    </row>
    <row r="144" spans="1:120">
      <c r="A144" s="16" t="s">
        <v>1424</v>
      </c>
      <c r="B144" s="16" t="s">
        <v>24</v>
      </c>
      <c r="C144" s="123" t="s">
        <v>546</v>
      </c>
      <c r="D144" s="16" t="s">
        <v>119</v>
      </c>
      <c r="E144" s="16" t="s">
        <v>171</v>
      </c>
      <c r="F144" s="16" t="s">
        <v>45</v>
      </c>
      <c r="G144" s="16" t="s">
        <v>595</v>
      </c>
      <c r="H144" s="27">
        <v>55</v>
      </c>
      <c r="I144" s="16" t="s">
        <v>712</v>
      </c>
      <c r="J144" s="16" t="s">
        <v>1311</v>
      </c>
      <c r="K144" s="16" t="s">
        <v>1276</v>
      </c>
      <c r="L144" s="16" t="s">
        <v>1725</v>
      </c>
      <c r="M144" s="16" t="s">
        <v>1415</v>
      </c>
      <c r="N144" s="16">
        <v>20</v>
      </c>
      <c r="O144" s="95">
        <v>5.1566486583985744</v>
      </c>
      <c r="P144" s="95">
        <v>0.72193081217580035</v>
      </c>
      <c r="Q144" s="95">
        <v>0.61879783900782892</v>
      </c>
      <c r="R144" s="95">
        <v>5.3629146047345175</v>
      </c>
      <c r="S144" s="95">
        <v>5.3629146047345175</v>
      </c>
      <c r="T144" s="95">
        <v>6.9099092022540898</v>
      </c>
      <c r="U144" s="95">
        <v>13.510419485004267</v>
      </c>
      <c r="V144" s="95">
        <v>10.519563263133092</v>
      </c>
      <c r="W144" s="95">
        <v>27.639636809016359</v>
      </c>
      <c r="X144" s="95">
        <v>0</v>
      </c>
      <c r="Y144" s="95">
        <v>31.249290869895361</v>
      </c>
      <c r="Z144" s="95">
        <v>107.0520261483544</v>
      </c>
      <c r="AA144" s="16"/>
      <c r="AB144" s="16"/>
      <c r="AC144" s="16"/>
      <c r="AD144" s="16"/>
      <c r="AE144" s="128"/>
      <c r="AF144" s="128"/>
      <c r="AG144" s="16"/>
      <c r="AH144" s="16" t="e">
        <v>#DIV/0!</v>
      </c>
      <c r="AI144" s="16"/>
      <c r="AJ144" s="16">
        <v>15.52</v>
      </c>
      <c r="AK144" s="135"/>
      <c r="AL144" s="16"/>
      <c r="AM144" s="135"/>
      <c r="AN144" s="128"/>
      <c r="AO144" s="16"/>
      <c r="AP144" s="16"/>
      <c r="AQ144" s="16"/>
      <c r="AR144" s="16"/>
      <c r="AS144" s="16"/>
      <c r="AT144" s="16"/>
      <c r="AU144" s="16"/>
      <c r="AV144" s="16"/>
      <c r="AW144" s="16"/>
      <c r="AX144" s="128">
        <v>0.57550000000000001</v>
      </c>
      <c r="AY144" s="128">
        <v>9.5790000000000006</v>
      </c>
      <c r="AZ144" s="128">
        <v>8.0000000000000002E-3</v>
      </c>
      <c r="BA144" s="128">
        <v>4.8000000000000001E-2</v>
      </c>
      <c r="BB144" s="16"/>
      <c r="BC144" s="128">
        <v>0.1545</v>
      </c>
      <c r="BD144" s="16"/>
      <c r="BE144" s="16"/>
      <c r="BF144" s="16"/>
      <c r="BG144" s="16"/>
      <c r="BH144" s="128"/>
      <c r="BI144" s="128">
        <v>185.1</v>
      </c>
      <c r="BJ144" s="16"/>
      <c r="BK144" s="128">
        <v>2.5140000000000002</v>
      </c>
      <c r="BL144" s="128">
        <v>1.9864999999999999</v>
      </c>
      <c r="BM144" s="128">
        <v>0.114</v>
      </c>
      <c r="BN144" s="128">
        <v>0.19700000000000001</v>
      </c>
      <c r="BO144" s="16">
        <v>8.5000000000000006E-3</v>
      </c>
      <c r="BP144" s="16"/>
      <c r="BQ144" s="16">
        <v>3.0000000000000001E-3</v>
      </c>
      <c r="BR144" s="16"/>
      <c r="BS144" s="16"/>
      <c r="BT144" s="16"/>
      <c r="BU144" s="16"/>
      <c r="BV144" s="16"/>
      <c r="BW144" s="16"/>
      <c r="BX144" s="16"/>
      <c r="BY144" s="128"/>
      <c r="BZ144" s="16"/>
      <c r="CA144" s="128">
        <v>1.2530000000000001</v>
      </c>
      <c r="CB144" s="128">
        <v>0.68799999999999994</v>
      </c>
      <c r="CC144" s="128">
        <v>6.7500000000000004E-2</v>
      </c>
      <c r="CE144">
        <f t="shared" si="76"/>
        <v>19.323520200438459</v>
      </c>
      <c r="CF144">
        <f t="shared" si="77"/>
        <v>73.627684964200469</v>
      </c>
      <c r="CG144">
        <f t="shared" si="78"/>
        <v>3.8102625298329356</v>
      </c>
      <c r="CH144">
        <f t="shared" si="79"/>
        <v>1.265542411276114</v>
      </c>
      <c r="CI144">
        <f t="shared" si="80"/>
        <v>0</v>
      </c>
      <c r="CJ144" t="e">
        <f t="shared" si="81"/>
        <v>#DIV/0!</v>
      </c>
      <c r="CK144">
        <f t="shared" si="82"/>
        <v>0</v>
      </c>
      <c r="CL144">
        <f t="shared" si="83"/>
        <v>4.8220488295997992</v>
      </c>
      <c r="CM144">
        <f t="shared" si="84"/>
        <v>93.178957966272336</v>
      </c>
      <c r="CN144">
        <f t="shared" si="85"/>
        <v>93.178957966272336</v>
      </c>
      <c r="CO144">
        <f t="shared" si="86"/>
        <v>0</v>
      </c>
      <c r="CP144">
        <f t="shared" si="87"/>
        <v>18.562962962962963</v>
      </c>
      <c r="CQ144">
        <f t="shared" si="88"/>
        <v>0.49840891010342087</v>
      </c>
      <c r="CR144">
        <f t="shared" si="89"/>
        <v>6.1455847255369921E-2</v>
      </c>
      <c r="CS144">
        <f t="shared" si="90"/>
        <v>1.9093078758949878E-2</v>
      </c>
      <c r="CT144">
        <f t="shared" si="91"/>
        <v>6.0079340223405366E-2</v>
      </c>
      <c r="CU144">
        <f t="shared" si="92"/>
        <v>3.1821797931583132E-3</v>
      </c>
      <c r="CV144" t="e">
        <f t="shared" si="93"/>
        <v>#DIV/0!</v>
      </c>
      <c r="CW144">
        <f t="shared" si="94"/>
        <v>0</v>
      </c>
      <c r="CX144">
        <f t="shared" si="95"/>
        <v>0.31067961165048547</v>
      </c>
      <c r="CY144">
        <f t="shared" si="96"/>
        <v>0</v>
      </c>
      <c r="CZ144">
        <f t="shared" si="97"/>
        <v>10.192592592592591</v>
      </c>
      <c r="DA144">
        <f t="shared" si="98"/>
        <v>8.3405734144222421E-2</v>
      </c>
      <c r="DB144">
        <f t="shared" si="99"/>
        <v>5.0109614782336363E-3</v>
      </c>
      <c r="DC144">
        <f t="shared" si="100"/>
        <v>6</v>
      </c>
      <c r="DD144">
        <f t="shared" si="101"/>
        <v>2.4163100931286183E-2</v>
      </c>
      <c r="DE144">
        <f t="shared" si="102"/>
        <v>0</v>
      </c>
      <c r="DF144">
        <f t="shared" si="103"/>
        <v>0</v>
      </c>
      <c r="DG144">
        <f t="shared" si="104"/>
        <v>0</v>
      </c>
      <c r="DH144">
        <f t="shared" si="105"/>
        <v>19.323520200438459</v>
      </c>
      <c r="DI144">
        <f t="shared" si="106"/>
        <v>1.6129032258064516E-2</v>
      </c>
      <c r="DJ144">
        <f t="shared" si="107"/>
        <v>7.0466645787660509E-3</v>
      </c>
      <c r="DK144">
        <f t="shared" si="108"/>
        <v>2.1332198109524731</v>
      </c>
      <c r="DL144">
        <f t="shared" si="109"/>
        <v>0.24614074741759304</v>
      </c>
      <c r="DM144">
        <f t="shared" si="110"/>
        <v>0.55986163532044231</v>
      </c>
      <c r="DN144">
        <f t="shared" si="111"/>
        <v>2.8973066476145424E-2</v>
      </c>
      <c r="DO144">
        <f t="shared" si="112"/>
        <v>6.459941946005103E-2</v>
      </c>
      <c r="DP144">
        <f t="shared" si="113"/>
        <v>3.343046131862933E-3</v>
      </c>
    </row>
    <row r="145" spans="1:120">
      <c r="A145" s="16" t="s">
        <v>1176</v>
      </c>
      <c r="B145" s="16" t="s">
        <v>24</v>
      </c>
      <c r="C145" s="123" t="s">
        <v>546</v>
      </c>
      <c r="D145" s="16" t="s">
        <v>119</v>
      </c>
      <c r="E145" s="16" t="s">
        <v>171</v>
      </c>
      <c r="F145" s="16" t="s">
        <v>45</v>
      </c>
      <c r="G145" s="16" t="s">
        <v>595</v>
      </c>
      <c r="H145" s="27">
        <v>55</v>
      </c>
      <c r="I145" s="16" t="s">
        <v>712</v>
      </c>
      <c r="J145" s="16" t="s">
        <v>635</v>
      </c>
      <c r="K145" s="16" t="s">
        <v>802</v>
      </c>
      <c r="L145" s="16" t="s">
        <v>1725</v>
      </c>
      <c r="M145" s="16" t="s">
        <v>124</v>
      </c>
      <c r="N145" s="16">
        <v>19</v>
      </c>
      <c r="O145" s="95">
        <v>5.3076425849492024</v>
      </c>
      <c r="P145" s="95">
        <v>0.61242029826336941</v>
      </c>
      <c r="Q145" s="95">
        <v>0.71449034797393096</v>
      </c>
      <c r="R145" s="95">
        <v>6.0221329329231335</v>
      </c>
      <c r="S145" s="95">
        <v>4.5931522369752713</v>
      </c>
      <c r="T145" s="95">
        <v>6.532483181475941</v>
      </c>
      <c r="U145" s="95">
        <v>13.677386661215252</v>
      </c>
      <c r="V145" s="95">
        <v>12.044265865846267</v>
      </c>
      <c r="W145" s="95">
        <v>25.211302278508708</v>
      </c>
      <c r="X145" s="95">
        <v>1.0207004971056157</v>
      </c>
      <c r="Y145" s="95">
        <v>31.335505261142405</v>
      </c>
      <c r="Z145" s="95">
        <v>107.0714821463791</v>
      </c>
      <c r="AA145" s="18"/>
      <c r="AB145" s="18"/>
      <c r="AC145" s="18"/>
      <c r="AD145" s="18"/>
      <c r="AE145" s="127"/>
      <c r="AF145" s="127"/>
      <c r="AG145" s="18"/>
      <c r="AH145" s="18">
        <v>502</v>
      </c>
      <c r="AI145" s="18"/>
      <c r="AJ145" s="18"/>
      <c r="AK145" s="134"/>
      <c r="AL145" s="18"/>
      <c r="AM145" s="134"/>
      <c r="AN145" s="127"/>
      <c r="AO145" s="18"/>
      <c r="AP145" s="18"/>
      <c r="AQ145" s="18"/>
      <c r="AR145" s="18"/>
      <c r="AS145" s="18"/>
      <c r="AT145" s="18"/>
      <c r="AU145" s="18"/>
      <c r="AV145" s="18"/>
      <c r="AW145" s="18"/>
      <c r="AX145" s="127">
        <v>0.69</v>
      </c>
      <c r="AY145" s="127">
        <v>7.7</v>
      </c>
      <c r="AZ145" s="127">
        <v>3.0000000000000001E-3</v>
      </c>
      <c r="BA145" s="127">
        <v>4.4999999999999998E-2</v>
      </c>
      <c r="BB145" s="18"/>
      <c r="BC145" s="127">
        <v>0.33</v>
      </c>
      <c r="BD145" s="18"/>
      <c r="BE145" s="18"/>
      <c r="BF145" s="18"/>
      <c r="BG145" s="18"/>
      <c r="BH145" s="127">
        <v>5.3999999999999999E-2</v>
      </c>
      <c r="BI145" s="127">
        <v>299</v>
      </c>
      <c r="BJ145" s="18"/>
      <c r="BK145" s="127">
        <v>3.1</v>
      </c>
      <c r="BL145" s="127">
        <v>2.1</v>
      </c>
      <c r="BM145" s="127">
        <v>0.13</v>
      </c>
      <c r="BN145" s="127">
        <v>0.33</v>
      </c>
      <c r="BO145" s="18"/>
      <c r="BP145" s="18"/>
      <c r="BQ145" s="18"/>
      <c r="BR145" s="18"/>
      <c r="BS145" s="18"/>
      <c r="BT145" s="18"/>
      <c r="BU145" s="18"/>
      <c r="BV145" s="18"/>
      <c r="BW145" s="18"/>
      <c r="BX145" s="18"/>
      <c r="BY145" s="127">
        <v>3.2000000000000001E-2</v>
      </c>
      <c r="BZ145" s="18"/>
      <c r="CA145" s="127"/>
      <c r="CB145" s="127">
        <v>1.36</v>
      </c>
      <c r="CC145" s="127">
        <v>0.104</v>
      </c>
      <c r="CE145">
        <f t="shared" si="76"/>
        <v>38.831168831168831</v>
      </c>
      <c r="CF145">
        <f t="shared" si="77"/>
        <v>96.451612903225808</v>
      </c>
      <c r="CG145">
        <f t="shared" si="78"/>
        <v>2.4838709677419355</v>
      </c>
      <c r="CH145">
        <f t="shared" si="79"/>
        <v>1.4761904761904763</v>
      </c>
      <c r="CI145">
        <f t="shared" si="80"/>
        <v>0</v>
      </c>
      <c r="CJ145" t="e">
        <f t="shared" si="81"/>
        <v>#DIV/0!</v>
      </c>
      <c r="CK145">
        <f t="shared" si="82"/>
        <v>0</v>
      </c>
      <c r="CL145">
        <f t="shared" si="83"/>
        <v>3.6666666666666665</v>
      </c>
      <c r="CM145">
        <f t="shared" si="84"/>
        <v>142.38095238095238</v>
      </c>
      <c r="CN145">
        <f t="shared" si="85"/>
        <v>142.38095238095238</v>
      </c>
      <c r="CO145">
        <f t="shared" si="86"/>
        <v>1.5238095238095238E-2</v>
      </c>
      <c r="CP145">
        <f t="shared" si="87"/>
        <v>0</v>
      </c>
      <c r="CQ145">
        <f t="shared" si="88"/>
        <v>0</v>
      </c>
      <c r="CR145">
        <f t="shared" si="89"/>
        <v>0.10645161290322581</v>
      </c>
      <c r="CS145">
        <f t="shared" si="90"/>
        <v>1.4516129032258063E-2</v>
      </c>
      <c r="CT145">
        <f t="shared" si="91"/>
        <v>8.9610389610389599E-2</v>
      </c>
      <c r="CU145">
        <f t="shared" si="92"/>
        <v>9.6774193548387097E-4</v>
      </c>
      <c r="CV145" t="e">
        <f t="shared" si="93"/>
        <v>#DIV/0!</v>
      </c>
      <c r="CW145">
        <f t="shared" si="94"/>
        <v>0</v>
      </c>
      <c r="CX145">
        <f t="shared" si="95"/>
        <v>0.13636363636363635</v>
      </c>
      <c r="CY145">
        <f t="shared" si="96"/>
        <v>1.032258064516129E-2</v>
      </c>
      <c r="CZ145">
        <f t="shared" si="97"/>
        <v>13.076923076923078</v>
      </c>
      <c r="DA145">
        <f t="shared" si="98"/>
        <v>6.5217391304347824E-2</v>
      </c>
      <c r="DB145">
        <f t="shared" si="99"/>
        <v>5.8441558441558435E-3</v>
      </c>
      <c r="DC145">
        <f t="shared" si="100"/>
        <v>15</v>
      </c>
      <c r="DD145">
        <f t="shared" si="101"/>
        <v>2.1428571428571425E-2</v>
      </c>
      <c r="DE145">
        <f t="shared" si="102"/>
        <v>0</v>
      </c>
      <c r="DF145">
        <f t="shared" si="103"/>
        <v>0</v>
      </c>
      <c r="DG145">
        <f t="shared" si="104"/>
        <v>0</v>
      </c>
      <c r="DH145">
        <f t="shared" si="105"/>
        <v>38.831168831168831</v>
      </c>
      <c r="DI145">
        <f t="shared" si="106"/>
        <v>4.2857142857142858E-2</v>
      </c>
      <c r="DJ145">
        <f t="shared" si="107"/>
        <v>1.3506493506493505E-2</v>
      </c>
      <c r="DK145">
        <f t="shared" si="108"/>
        <v>1.4816620119275068</v>
      </c>
      <c r="DL145">
        <f t="shared" si="109"/>
        <v>0.23048075741094545</v>
      </c>
      <c r="DM145">
        <f t="shared" si="110"/>
        <v>0.59651327752925598</v>
      </c>
      <c r="DN145">
        <f t="shared" si="111"/>
        <v>1.5361713167141376E-2</v>
      </c>
      <c r="DO145">
        <f t="shared" si="112"/>
        <v>9.2790954282328697E-2</v>
      </c>
      <c r="DP145">
        <f t="shared" si="113"/>
        <v>2.3895998259997691E-3</v>
      </c>
    </row>
    <row r="146" spans="1:120">
      <c r="A146" s="16" t="s">
        <v>1176</v>
      </c>
      <c r="B146" s="16" t="s">
        <v>24</v>
      </c>
      <c r="C146" s="123" t="s">
        <v>546</v>
      </c>
      <c r="D146" s="16" t="s">
        <v>119</v>
      </c>
      <c r="E146" s="16" t="s">
        <v>171</v>
      </c>
      <c r="F146" s="16" t="s">
        <v>45</v>
      </c>
      <c r="G146" s="16" t="s">
        <v>595</v>
      </c>
      <c r="H146" s="27">
        <v>55</v>
      </c>
      <c r="I146" s="16" t="s">
        <v>712</v>
      </c>
      <c r="J146" s="16" t="s">
        <v>635</v>
      </c>
      <c r="K146" s="16" t="s">
        <v>802</v>
      </c>
      <c r="L146" s="16" t="s">
        <v>1725</v>
      </c>
      <c r="M146" s="16" t="s">
        <v>125</v>
      </c>
      <c r="N146" s="16">
        <v>33</v>
      </c>
      <c r="O146" s="95">
        <v>3.9601486341882151</v>
      </c>
      <c r="P146" s="95">
        <v>1.6674310038687226</v>
      </c>
      <c r="Q146" s="95">
        <v>3.1264331322538546</v>
      </c>
      <c r="R146" s="95">
        <v>5.7317940757987333</v>
      </c>
      <c r="S146" s="95">
        <v>2.2927176303194936</v>
      </c>
      <c r="T146" s="95">
        <v>4.1685775096718061</v>
      </c>
      <c r="U146" s="95">
        <v>13.860520219658756</v>
      </c>
      <c r="V146" s="95">
        <v>13.547876906433368</v>
      </c>
      <c r="W146" s="95">
        <v>24.69882174480545</v>
      </c>
      <c r="X146" s="95">
        <v>1.0421443774179515</v>
      </c>
      <c r="Y146" s="95">
        <v>33.452834515116244</v>
      </c>
      <c r="Z146" s="95">
        <v>107.54929974953259</v>
      </c>
      <c r="AA146" s="18"/>
      <c r="AB146" s="18"/>
      <c r="AC146" s="18"/>
      <c r="AD146" s="18"/>
      <c r="AE146" s="127"/>
      <c r="AF146" s="127"/>
      <c r="AG146" s="18"/>
      <c r="AH146" s="18">
        <v>319</v>
      </c>
      <c r="AI146" s="18"/>
      <c r="AJ146" s="18">
        <v>0.23</v>
      </c>
      <c r="AK146" s="134"/>
      <c r="AL146" s="18"/>
      <c r="AM146" s="134"/>
      <c r="AN146" s="127"/>
      <c r="AO146" s="18"/>
      <c r="AP146" s="18"/>
      <c r="AQ146" s="18"/>
      <c r="AR146" s="18"/>
      <c r="AS146" s="18"/>
      <c r="AT146" s="18"/>
      <c r="AU146" s="18"/>
      <c r="AV146" s="18"/>
      <c r="AW146" s="18"/>
      <c r="AX146" s="127">
        <v>0.53</v>
      </c>
      <c r="AY146" s="127">
        <v>6.1</v>
      </c>
      <c r="AZ146" s="127">
        <v>4.0000000000000001E-3</v>
      </c>
      <c r="BA146" s="127">
        <v>1.7000000000000001E-2</v>
      </c>
      <c r="BB146" s="18"/>
      <c r="BC146" s="127">
        <v>0.25</v>
      </c>
      <c r="BD146" s="18"/>
      <c r="BE146" s="18"/>
      <c r="BF146" s="18"/>
      <c r="BG146" s="18"/>
      <c r="BH146" s="127">
        <v>4.3999999999999997E-2</v>
      </c>
      <c r="BI146" s="127">
        <v>183</v>
      </c>
      <c r="BJ146" s="18"/>
      <c r="BK146" s="127">
        <v>2.9</v>
      </c>
      <c r="BL146" s="127">
        <v>1.6</v>
      </c>
      <c r="BM146" s="127">
        <v>8.6999999999999994E-2</v>
      </c>
      <c r="BN146" s="127">
        <v>0.25</v>
      </c>
      <c r="BO146" s="18"/>
      <c r="BP146" s="18"/>
      <c r="BQ146" s="18"/>
      <c r="BR146" s="18"/>
      <c r="BS146" s="18"/>
      <c r="BT146" s="18"/>
      <c r="BU146" s="18"/>
      <c r="BV146" s="18"/>
      <c r="BW146" s="18"/>
      <c r="BX146" s="18"/>
      <c r="BY146" s="127">
        <v>1.0999999999999999E-2</v>
      </c>
      <c r="BZ146" s="18"/>
      <c r="CA146" s="127"/>
      <c r="CB146" s="127">
        <v>1.8</v>
      </c>
      <c r="CC146" s="127">
        <v>5.7000000000000002E-2</v>
      </c>
      <c r="CE146">
        <f t="shared" si="76"/>
        <v>30</v>
      </c>
      <c r="CF146">
        <f t="shared" si="77"/>
        <v>63.103448275862071</v>
      </c>
      <c r="CG146">
        <f t="shared" si="78"/>
        <v>2.103448275862069</v>
      </c>
      <c r="CH146">
        <f t="shared" si="79"/>
        <v>1.8124999999999998</v>
      </c>
      <c r="CI146">
        <f t="shared" si="80"/>
        <v>0</v>
      </c>
      <c r="CJ146" t="e">
        <f t="shared" si="81"/>
        <v>#DIV/0!</v>
      </c>
      <c r="CK146">
        <f t="shared" si="82"/>
        <v>0</v>
      </c>
      <c r="CL146">
        <f t="shared" si="83"/>
        <v>3.8124999999999996</v>
      </c>
      <c r="CM146">
        <f t="shared" si="84"/>
        <v>114.375</v>
      </c>
      <c r="CN146">
        <f t="shared" si="85"/>
        <v>114.375</v>
      </c>
      <c r="CO146">
        <f t="shared" si="86"/>
        <v>6.8749999999999992E-3</v>
      </c>
      <c r="CP146">
        <f t="shared" si="87"/>
        <v>0</v>
      </c>
      <c r="CQ146">
        <f t="shared" si="88"/>
        <v>0</v>
      </c>
      <c r="CR146">
        <f t="shared" si="89"/>
        <v>8.6206896551724144E-2</v>
      </c>
      <c r="CS146">
        <f t="shared" si="90"/>
        <v>5.8620689655172423E-3</v>
      </c>
      <c r="CT146">
        <f t="shared" si="91"/>
        <v>8.688524590163936E-2</v>
      </c>
      <c r="CU146">
        <f t="shared" si="92"/>
        <v>1.3793103448275863E-3</v>
      </c>
      <c r="CV146" t="e">
        <f t="shared" si="93"/>
        <v>#DIV/0!</v>
      </c>
      <c r="CW146">
        <f t="shared" si="94"/>
        <v>0</v>
      </c>
      <c r="CX146">
        <f t="shared" si="95"/>
        <v>6.8000000000000005E-2</v>
      </c>
      <c r="CY146">
        <f t="shared" si="96"/>
        <v>3.7931034482758621E-3</v>
      </c>
      <c r="CZ146">
        <f t="shared" si="97"/>
        <v>31.578947368421051</v>
      </c>
      <c r="DA146">
        <f t="shared" si="98"/>
        <v>3.2075471698113207E-2</v>
      </c>
      <c r="DB146">
        <f t="shared" si="99"/>
        <v>2.7868852459016396E-3</v>
      </c>
      <c r="DC146">
        <f t="shared" si="100"/>
        <v>4.25</v>
      </c>
      <c r="DD146">
        <f t="shared" si="101"/>
        <v>1.0625000000000001E-2</v>
      </c>
      <c r="DE146">
        <f t="shared" si="102"/>
        <v>0</v>
      </c>
      <c r="DF146">
        <f t="shared" si="103"/>
        <v>0</v>
      </c>
      <c r="DG146">
        <f t="shared" si="104"/>
        <v>0</v>
      </c>
      <c r="DH146">
        <f t="shared" si="105"/>
        <v>30</v>
      </c>
      <c r="DI146">
        <f t="shared" si="106"/>
        <v>4.0983606557377053E-2</v>
      </c>
      <c r="DJ146">
        <f t="shared" si="107"/>
        <v>9.3442622950819683E-3</v>
      </c>
      <c r="DK146">
        <f t="shared" si="108"/>
        <v>0.79059228631706679</v>
      </c>
      <c r="DL146">
        <f t="shared" si="109"/>
        <v>1.0780803904323637</v>
      </c>
      <c r="DM146">
        <f t="shared" si="110"/>
        <v>0.37585534923270392</v>
      </c>
      <c r="DN146">
        <f t="shared" si="111"/>
        <v>1.252851164109013E-2</v>
      </c>
      <c r="DO146">
        <f t="shared" si="112"/>
        <v>0.51253002168095985</v>
      </c>
      <c r="DP146">
        <f t="shared" si="113"/>
        <v>1.7084334056031991E-2</v>
      </c>
    </row>
    <row r="147" spans="1:120">
      <c r="A147" s="16" t="s">
        <v>1319</v>
      </c>
      <c r="B147" s="16" t="s">
        <v>24</v>
      </c>
      <c r="C147" s="123" t="s">
        <v>546</v>
      </c>
      <c r="D147" s="16" t="s">
        <v>119</v>
      </c>
      <c r="E147" s="16" t="s">
        <v>171</v>
      </c>
      <c r="F147" s="16" t="s">
        <v>45</v>
      </c>
      <c r="G147" s="16" t="s">
        <v>595</v>
      </c>
      <c r="H147" s="27">
        <v>55</v>
      </c>
      <c r="I147" s="16" t="s">
        <v>712</v>
      </c>
      <c r="J147" s="16" t="s">
        <v>1426</v>
      </c>
      <c r="K147" s="16"/>
      <c r="L147" s="16" t="s">
        <v>1725</v>
      </c>
      <c r="M147" s="16" t="s">
        <v>122</v>
      </c>
      <c r="N147" s="16">
        <v>12</v>
      </c>
      <c r="O147" s="95">
        <v>4.1844383058415726</v>
      </c>
      <c r="P147" s="95">
        <v>0.30617841262255407</v>
      </c>
      <c r="Q147" s="95">
        <v>0.71441629611929292</v>
      </c>
      <c r="R147" s="95">
        <v>6.2256277233252666</v>
      </c>
      <c r="S147" s="95">
        <v>2.3473678301062479</v>
      </c>
      <c r="T147" s="95">
        <v>4.8988546019608652</v>
      </c>
      <c r="U147" s="95">
        <v>12.043017563153796</v>
      </c>
      <c r="V147" s="95">
        <v>9.6956497330475475</v>
      </c>
      <c r="W147" s="95">
        <v>32.556971208864923</v>
      </c>
      <c r="X147" s="95">
        <v>0</v>
      </c>
      <c r="Y147" s="95">
        <v>34.904339038971173</v>
      </c>
      <c r="Z147" s="95">
        <v>107.87686071401323</v>
      </c>
      <c r="AA147" s="18"/>
      <c r="AB147" s="18"/>
      <c r="AC147" s="18"/>
      <c r="AD147" s="18"/>
      <c r="AE147" s="127"/>
      <c r="AF147" s="127"/>
      <c r="AG147" s="18"/>
      <c r="AH147" s="18">
        <v>365</v>
      </c>
      <c r="AI147" s="18"/>
      <c r="AJ147" s="18">
        <v>1.62</v>
      </c>
      <c r="AK147" s="134"/>
      <c r="AL147" s="18"/>
      <c r="AM147" s="134"/>
      <c r="AN147" s="127"/>
      <c r="AO147" s="18"/>
      <c r="AP147" s="18"/>
      <c r="AQ147" s="18"/>
      <c r="AR147" s="18"/>
      <c r="AS147" s="18"/>
      <c r="AT147" s="18"/>
      <c r="AU147" s="18"/>
      <c r="AV147" s="18"/>
      <c r="AW147" s="18"/>
      <c r="AX147" s="127">
        <v>0.7</v>
      </c>
      <c r="AY147" s="127">
        <v>11.6</v>
      </c>
      <c r="AZ147" s="127"/>
      <c r="BA147" s="127">
        <v>3.6999999999999998E-2</v>
      </c>
      <c r="BB147" s="18"/>
      <c r="BC147" s="127">
        <v>0.5</v>
      </c>
      <c r="BD147" s="18"/>
      <c r="BE147" s="18"/>
      <c r="BF147" s="18"/>
      <c r="BG147" s="18"/>
      <c r="BH147" s="127">
        <v>3.6999999999999998E-2</v>
      </c>
      <c r="BI147" s="127">
        <v>216</v>
      </c>
      <c r="BJ147" s="18"/>
      <c r="BK147" s="127">
        <v>3.6</v>
      </c>
      <c r="BL147" s="127">
        <v>2.8</v>
      </c>
      <c r="BM147" s="127">
        <v>0.2</v>
      </c>
      <c r="BN147" s="127">
        <v>0.51</v>
      </c>
      <c r="BO147" s="18"/>
      <c r="BP147" s="18"/>
      <c r="BQ147" s="18"/>
      <c r="BR147" s="18"/>
      <c r="BS147" s="18"/>
      <c r="BT147" s="18"/>
      <c r="BU147" s="18"/>
      <c r="BV147" s="18"/>
      <c r="BW147" s="18"/>
      <c r="BX147" s="18"/>
      <c r="BY147" s="127">
        <v>1.7999999999999999E-2</v>
      </c>
      <c r="BZ147" s="18"/>
      <c r="CA147" s="127"/>
      <c r="CB147" s="127">
        <v>1.4</v>
      </c>
      <c r="CC147" s="127">
        <v>8.2000000000000003E-2</v>
      </c>
      <c r="CE147">
        <f t="shared" si="76"/>
        <v>18.620689655172413</v>
      </c>
      <c r="CF147">
        <f t="shared" si="77"/>
        <v>60</v>
      </c>
      <c r="CG147">
        <f t="shared" si="78"/>
        <v>3.2222222222222219</v>
      </c>
      <c r="CH147">
        <f t="shared" si="79"/>
        <v>1.2857142857142858</v>
      </c>
      <c r="CI147">
        <f t="shared" si="80"/>
        <v>0</v>
      </c>
      <c r="CJ147" t="e">
        <f t="shared" si="81"/>
        <v>#DIV/0!</v>
      </c>
      <c r="CK147">
        <f t="shared" si="82"/>
        <v>0</v>
      </c>
      <c r="CL147">
        <f t="shared" si="83"/>
        <v>4.1428571428571432</v>
      </c>
      <c r="CM147">
        <f t="shared" si="84"/>
        <v>77.142857142857153</v>
      </c>
      <c r="CN147">
        <f t="shared" si="85"/>
        <v>77.142857142857153</v>
      </c>
      <c r="CO147">
        <f t="shared" si="86"/>
        <v>6.4285714285714285E-3</v>
      </c>
      <c r="CP147">
        <f t="shared" si="87"/>
        <v>0</v>
      </c>
      <c r="CQ147">
        <f t="shared" si="88"/>
        <v>0</v>
      </c>
      <c r="CR147">
        <f t="shared" si="89"/>
        <v>0.1388888888888889</v>
      </c>
      <c r="CS147">
        <f t="shared" si="90"/>
        <v>1.0277777777777776E-2</v>
      </c>
      <c r="CT147">
        <f t="shared" si="91"/>
        <v>6.0344827586206892E-2</v>
      </c>
      <c r="CU147">
        <f t="shared" si="92"/>
        <v>0</v>
      </c>
      <c r="CV147" t="e">
        <f t="shared" si="93"/>
        <v>#DIV/0!</v>
      </c>
      <c r="CW147">
        <f t="shared" si="94"/>
        <v>0</v>
      </c>
      <c r="CX147">
        <f t="shared" si="95"/>
        <v>7.3999999999999996E-2</v>
      </c>
      <c r="CY147">
        <f t="shared" si="96"/>
        <v>4.9999999999999992E-3</v>
      </c>
      <c r="CZ147">
        <f t="shared" si="97"/>
        <v>17.073170731707314</v>
      </c>
      <c r="DA147">
        <f t="shared" si="98"/>
        <v>5.2857142857142859E-2</v>
      </c>
      <c r="DB147">
        <f t="shared" si="99"/>
        <v>3.1896551724137929E-3</v>
      </c>
      <c r="DC147" t="e">
        <f t="shared" si="100"/>
        <v>#DIV/0!</v>
      </c>
      <c r="DD147">
        <f t="shared" si="101"/>
        <v>1.3214285714285715E-2</v>
      </c>
      <c r="DE147">
        <f t="shared" si="102"/>
        <v>0</v>
      </c>
      <c r="DF147">
        <f t="shared" si="103"/>
        <v>0</v>
      </c>
      <c r="DG147">
        <f t="shared" si="104"/>
        <v>0</v>
      </c>
      <c r="DH147">
        <f t="shared" si="105"/>
        <v>18.620689655172413</v>
      </c>
      <c r="DI147">
        <f t="shared" si="106"/>
        <v>4.3103448275862072E-2</v>
      </c>
      <c r="DJ147">
        <f t="shared" si="107"/>
        <v>7.0689655172413799E-3</v>
      </c>
      <c r="DK147">
        <f t="shared" si="108"/>
        <v>0.6520466194739577</v>
      </c>
      <c r="DL147">
        <f t="shared" si="109"/>
        <v>0.19844897114424803</v>
      </c>
      <c r="DM147">
        <f t="shared" si="110"/>
        <v>0.20235929569881447</v>
      </c>
      <c r="DN147">
        <f t="shared" si="111"/>
        <v>1.0867443657899297E-2</v>
      </c>
      <c r="DO147">
        <f t="shared" si="112"/>
        <v>6.1587611734421802E-2</v>
      </c>
      <c r="DP147">
        <f t="shared" si="113"/>
        <v>3.3074828524041339E-3</v>
      </c>
    </row>
    <row r="148" spans="1:120">
      <c r="A148" s="16" t="s">
        <v>1319</v>
      </c>
      <c r="B148" s="16" t="s">
        <v>24</v>
      </c>
      <c r="C148" s="123" t="s">
        <v>546</v>
      </c>
      <c r="D148" s="16" t="s">
        <v>119</v>
      </c>
      <c r="E148" s="16" t="s">
        <v>171</v>
      </c>
      <c r="F148" s="16" t="s">
        <v>45</v>
      </c>
      <c r="G148" s="16" t="s">
        <v>595</v>
      </c>
      <c r="H148" s="27">
        <v>55</v>
      </c>
      <c r="I148" s="16" t="s">
        <v>712</v>
      </c>
      <c r="J148" s="16" t="s">
        <v>1426</v>
      </c>
      <c r="K148" s="16" t="s">
        <v>802</v>
      </c>
      <c r="L148" s="16" t="s">
        <v>1725</v>
      </c>
      <c r="M148" s="16" t="s">
        <v>123</v>
      </c>
      <c r="N148" s="16">
        <v>18</v>
      </c>
      <c r="O148" s="95">
        <v>3.8931151886402304</v>
      </c>
      <c r="P148" s="95">
        <v>0.30735119910317604</v>
      </c>
      <c r="Q148" s="95">
        <v>0.92205359730952818</v>
      </c>
      <c r="R148" s="95">
        <v>7.6837799775794009</v>
      </c>
      <c r="S148" s="95">
        <v>3.9955655883412886</v>
      </c>
      <c r="T148" s="95">
        <v>7.6837799775794009</v>
      </c>
      <c r="U148" s="95">
        <v>11.986696765023867</v>
      </c>
      <c r="V148" s="95">
        <v>8.5033831751878708</v>
      </c>
      <c r="W148" s="95">
        <v>29.813066313008079</v>
      </c>
      <c r="X148" s="95">
        <v>0</v>
      </c>
      <c r="Y148" s="95">
        <v>32.558737024996454</v>
      </c>
      <c r="Z148" s="95">
        <v>107.3475288067693</v>
      </c>
      <c r="AA148" s="18"/>
      <c r="AB148" s="18"/>
      <c r="AC148" s="18"/>
      <c r="AD148" s="18"/>
      <c r="AE148" s="127"/>
      <c r="AF148" s="127"/>
      <c r="AG148" s="18"/>
      <c r="AH148" s="18">
        <v>475</v>
      </c>
      <c r="AI148" s="18"/>
      <c r="AJ148" s="18">
        <v>0.23</v>
      </c>
      <c r="AK148" s="134"/>
      <c r="AL148" s="18"/>
      <c r="AM148" s="134"/>
      <c r="AN148" s="127"/>
      <c r="AO148" s="18"/>
      <c r="AP148" s="18"/>
      <c r="AQ148" s="18"/>
      <c r="AR148" s="18"/>
      <c r="AS148" s="18"/>
      <c r="AT148" s="18"/>
      <c r="AU148" s="18"/>
      <c r="AV148" s="18"/>
      <c r="AW148" s="18"/>
      <c r="AX148" s="127">
        <v>0.99</v>
      </c>
      <c r="AY148" s="127">
        <v>9</v>
      </c>
      <c r="AZ148" s="127">
        <v>4.0000000000000001E-3</v>
      </c>
      <c r="BA148" s="127">
        <v>2.1000000000000001E-2</v>
      </c>
      <c r="BB148" s="18"/>
      <c r="BC148" s="127">
        <v>0.44</v>
      </c>
      <c r="BD148" s="18"/>
      <c r="BE148" s="18"/>
      <c r="BF148" s="18"/>
      <c r="BG148" s="18"/>
      <c r="BH148" s="127">
        <v>5.6000000000000001E-2</v>
      </c>
      <c r="BI148" s="127">
        <v>251</v>
      </c>
      <c r="BJ148" s="18"/>
      <c r="BK148" s="127">
        <v>2.9</v>
      </c>
      <c r="BL148" s="127">
        <v>2.2599999999999998</v>
      </c>
      <c r="BM148" s="127">
        <v>0.13100000000000001</v>
      </c>
      <c r="BN148" s="127">
        <v>0.44</v>
      </c>
      <c r="BO148" s="18"/>
      <c r="BP148" s="18"/>
      <c r="BQ148" s="18"/>
      <c r="BR148" s="18"/>
      <c r="BS148" s="18"/>
      <c r="BT148" s="18"/>
      <c r="BU148" s="18"/>
      <c r="BV148" s="18"/>
      <c r="BW148" s="18"/>
      <c r="BX148" s="18"/>
      <c r="BY148" s="127">
        <v>1.7999999999999999E-2</v>
      </c>
      <c r="BZ148" s="18"/>
      <c r="CA148" s="127"/>
      <c r="CB148" s="127">
        <v>1.86</v>
      </c>
      <c r="CC148" s="127">
        <v>9.4E-2</v>
      </c>
      <c r="CE148">
        <f t="shared" si="76"/>
        <v>27.888888888888889</v>
      </c>
      <c r="CF148">
        <f t="shared" si="77"/>
        <v>86.551724137931032</v>
      </c>
      <c r="CG148">
        <f t="shared" si="78"/>
        <v>3.103448275862069</v>
      </c>
      <c r="CH148">
        <f t="shared" si="79"/>
        <v>1.2831858407079646</v>
      </c>
      <c r="CI148">
        <f t="shared" si="80"/>
        <v>0</v>
      </c>
      <c r="CJ148" t="e">
        <f t="shared" si="81"/>
        <v>#DIV/0!</v>
      </c>
      <c r="CK148">
        <f t="shared" si="82"/>
        <v>0</v>
      </c>
      <c r="CL148">
        <f t="shared" si="83"/>
        <v>3.9823008849557526</v>
      </c>
      <c r="CM148">
        <f t="shared" si="84"/>
        <v>111.06194690265488</v>
      </c>
      <c r="CN148">
        <f t="shared" si="85"/>
        <v>111.06194690265488</v>
      </c>
      <c r="CO148">
        <f t="shared" si="86"/>
        <v>7.9646017699115043E-3</v>
      </c>
      <c r="CP148">
        <f t="shared" si="87"/>
        <v>0</v>
      </c>
      <c r="CQ148">
        <f t="shared" si="88"/>
        <v>0</v>
      </c>
      <c r="CR148">
        <f t="shared" si="89"/>
        <v>0.15172413793103448</v>
      </c>
      <c r="CS148">
        <f t="shared" si="90"/>
        <v>7.241379310344828E-3</v>
      </c>
      <c r="CT148">
        <f t="shared" si="91"/>
        <v>0.11</v>
      </c>
      <c r="CU148">
        <f t="shared" si="92"/>
        <v>1.3793103448275863E-3</v>
      </c>
      <c r="CV148" t="e">
        <f t="shared" si="93"/>
        <v>#DIV/0!</v>
      </c>
      <c r="CW148">
        <f t="shared" si="94"/>
        <v>0</v>
      </c>
      <c r="CX148">
        <f t="shared" si="95"/>
        <v>4.7727272727272729E-2</v>
      </c>
      <c r="CY148">
        <f t="shared" si="96"/>
        <v>6.2068965517241377E-3</v>
      </c>
      <c r="CZ148">
        <f t="shared" si="97"/>
        <v>19.787234042553191</v>
      </c>
      <c r="DA148">
        <f t="shared" si="98"/>
        <v>2.1212121212121213E-2</v>
      </c>
      <c r="DB148">
        <f t="shared" si="99"/>
        <v>2.3333333333333335E-3</v>
      </c>
      <c r="DC148">
        <f t="shared" si="100"/>
        <v>5.25</v>
      </c>
      <c r="DD148">
        <f t="shared" si="101"/>
        <v>9.2920353982300901E-3</v>
      </c>
      <c r="DE148">
        <f t="shared" si="102"/>
        <v>0</v>
      </c>
      <c r="DF148">
        <f t="shared" si="103"/>
        <v>0</v>
      </c>
      <c r="DG148">
        <f t="shared" si="104"/>
        <v>0</v>
      </c>
      <c r="DH148">
        <f t="shared" si="105"/>
        <v>27.888888888888889</v>
      </c>
      <c r="DI148">
        <f t="shared" si="106"/>
        <v>4.8888888888888891E-2</v>
      </c>
      <c r="DJ148">
        <f t="shared" si="107"/>
        <v>1.0444444444444444E-2</v>
      </c>
      <c r="DK148">
        <f t="shared" si="108"/>
        <v>1.377781237359065</v>
      </c>
      <c r="DL148">
        <f t="shared" si="109"/>
        <v>0.31794951631363044</v>
      </c>
      <c r="DM148">
        <f t="shared" si="110"/>
        <v>0.44395173203792093</v>
      </c>
      <c r="DN148">
        <f t="shared" si="111"/>
        <v>1.5918588001359715E-2</v>
      </c>
      <c r="DO148">
        <f t="shared" si="112"/>
        <v>0.10245039970105868</v>
      </c>
      <c r="DP148">
        <f t="shared" si="113"/>
        <v>3.6735203080060885E-3</v>
      </c>
    </row>
    <row r="149" spans="1:120">
      <c r="A149" s="16" t="s">
        <v>1175</v>
      </c>
      <c r="B149" s="16" t="s">
        <v>24</v>
      </c>
      <c r="C149" s="123" t="s">
        <v>546</v>
      </c>
      <c r="D149" s="16" t="s">
        <v>119</v>
      </c>
      <c r="E149" s="16" t="s">
        <v>171</v>
      </c>
      <c r="F149" s="16" t="s">
        <v>45</v>
      </c>
      <c r="G149" s="16" t="s">
        <v>595</v>
      </c>
      <c r="H149" s="27">
        <v>55</v>
      </c>
      <c r="I149" s="16" t="s">
        <v>712</v>
      </c>
      <c r="J149" s="16"/>
      <c r="K149" s="16"/>
      <c r="L149" s="16" t="s">
        <v>99</v>
      </c>
      <c r="M149" s="16" t="s">
        <v>46</v>
      </c>
      <c r="N149" s="16">
        <v>71</v>
      </c>
      <c r="O149" s="95">
        <v>6.522257837317273</v>
      </c>
      <c r="P149" s="95">
        <v>0.81528222966465913</v>
      </c>
      <c r="Q149" s="95">
        <v>0.91719250837274147</v>
      </c>
      <c r="R149" s="95">
        <v>6.4203475586091896</v>
      </c>
      <c r="S149" s="95">
        <v>9.2738353624354968</v>
      </c>
      <c r="T149" s="95">
        <v>8.254732575354673</v>
      </c>
      <c r="U149" s="95">
        <v>10.394848428224403</v>
      </c>
      <c r="V149" s="95">
        <v>17.936209052622502</v>
      </c>
      <c r="W149" s="95">
        <v>20.382055741616476</v>
      </c>
      <c r="X149" s="95">
        <v>2.0382055741616476</v>
      </c>
      <c r="Y149" s="95">
        <v>22.012620200945797</v>
      </c>
      <c r="Z149" s="95">
        <v>104.96758706932488</v>
      </c>
      <c r="AA149" s="18"/>
      <c r="AB149" s="18"/>
      <c r="AC149" s="18"/>
      <c r="AD149" s="18"/>
      <c r="AE149" s="127"/>
      <c r="AF149" s="127"/>
      <c r="AG149" s="18"/>
      <c r="AH149" s="18">
        <v>641</v>
      </c>
      <c r="AI149" s="18"/>
      <c r="AJ149" s="18">
        <v>1</v>
      </c>
      <c r="AK149" s="134"/>
      <c r="AL149" s="18"/>
      <c r="AM149" s="134"/>
      <c r="AN149" s="127"/>
      <c r="AO149" s="18"/>
      <c r="AP149" s="18"/>
      <c r="AQ149" s="18"/>
      <c r="AR149" s="18"/>
      <c r="AS149" s="18"/>
      <c r="AT149" s="18"/>
      <c r="AU149" s="18"/>
      <c r="AV149" s="18"/>
      <c r="AW149" s="18"/>
      <c r="AX149" s="127">
        <v>0.56999999999999995</v>
      </c>
      <c r="AY149" s="127">
        <v>23</v>
      </c>
      <c r="AZ149" s="127">
        <v>6.1999999999999998E-3</v>
      </c>
      <c r="BA149" s="127">
        <v>0.47</v>
      </c>
      <c r="BB149" s="18"/>
      <c r="BC149" s="127">
        <v>2.7389999999999999</v>
      </c>
      <c r="BD149" s="18"/>
      <c r="BE149" s="18"/>
      <c r="BF149" s="18"/>
      <c r="BG149" s="18"/>
      <c r="BH149" s="127">
        <v>3.5000000000000003E-2</v>
      </c>
      <c r="BI149" s="127">
        <v>415</v>
      </c>
      <c r="BJ149" s="18"/>
      <c r="BK149" s="127">
        <v>8.75</v>
      </c>
      <c r="BL149" s="127">
        <v>6.4</v>
      </c>
      <c r="BM149" s="127">
        <v>0.46</v>
      </c>
      <c r="BN149" s="127">
        <v>1.4</v>
      </c>
      <c r="BO149" s="18">
        <v>4.5999999999999999E-2</v>
      </c>
      <c r="BP149" s="18">
        <v>1.2999999999999999E-2</v>
      </c>
      <c r="BQ149" s="18">
        <v>0.02</v>
      </c>
      <c r="BR149" s="18"/>
      <c r="BS149" s="18"/>
      <c r="BT149" s="18">
        <v>5.3E-3</v>
      </c>
      <c r="BU149" s="18"/>
      <c r="BV149" s="18"/>
      <c r="BW149" s="18"/>
      <c r="BX149" s="18">
        <v>0.01</v>
      </c>
      <c r="BY149" s="127">
        <v>0.05</v>
      </c>
      <c r="BZ149" s="18"/>
      <c r="CA149" s="127"/>
      <c r="CB149" s="127">
        <v>3.7</v>
      </c>
      <c r="CC149" s="127">
        <v>0.39</v>
      </c>
      <c r="CE149">
        <f t="shared" si="76"/>
        <v>18.043478260869566</v>
      </c>
      <c r="CF149">
        <f t="shared" si="77"/>
        <v>47.428571428571431</v>
      </c>
      <c r="CG149">
        <f t="shared" si="78"/>
        <v>2.6285714285714286</v>
      </c>
      <c r="CH149">
        <f t="shared" si="79"/>
        <v>1.3671875</v>
      </c>
      <c r="CI149">
        <f t="shared" si="80"/>
        <v>0</v>
      </c>
      <c r="CJ149" t="e">
        <f t="shared" si="81"/>
        <v>#DIV/0!</v>
      </c>
      <c r="CK149">
        <f t="shared" si="82"/>
        <v>0</v>
      </c>
      <c r="CL149">
        <f t="shared" si="83"/>
        <v>3.59375</v>
      </c>
      <c r="CM149">
        <f t="shared" si="84"/>
        <v>64.84375</v>
      </c>
      <c r="CN149">
        <f t="shared" si="85"/>
        <v>64.84375</v>
      </c>
      <c r="CO149">
        <f t="shared" si="86"/>
        <v>7.8125E-3</v>
      </c>
      <c r="CP149">
        <f t="shared" si="87"/>
        <v>0</v>
      </c>
      <c r="CQ149">
        <f t="shared" si="88"/>
        <v>0</v>
      </c>
      <c r="CR149">
        <f t="shared" si="89"/>
        <v>0.31302857142857143</v>
      </c>
      <c r="CS149">
        <f t="shared" si="90"/>
        <v>5.3714285714285714E-2</v>
      </c>
      <c r="CT149">
        <f t="shared" si="91"/>
        <v>2.4782608695652172E-2</v>
      </c>
      <c r="CU149">
        <f t="shared" si="92"/>
        <v>7.0857142857142852E-4</v>
      </c>
      <c r="CV149" t="e">
        <f t="shared" si="93"/>
        <v>#DIV/0!</v>
      </c>
      <c r="CW149">
        <f t="shared" si="94"/>
        <v>0</v>
      </c>
      <c r="CX149">
        <f t="shared" si="95"/>
        <v>0.17159547280029208</v>
      </c>
      <c r="CY149">
        <f t="shared" si="96"/>
        <v>5.7142857142857143E-3</v>
      </c>
      <c r="CZ149">
        <f t="shared" si="97"/>
        <v>9.4871794871794872</v>
      </c>
      <c r="DA149">
        <f t="shared" si="98"/>
        <v>0.82456140350877194</v>
      </c>
      <c r="DB149">
        <f t="shared" si="99"/>
        <v>2.0434782608695651E-2</v>
      </c>
      <c r="DC149">
        <f t="shared" si="100"/>
        <v>75.806451612903217</v>
      </c>
      <c r="DD149">
        <f t="shared" si="101"/>
        <v>7.3437499999999989E-2</v>
      </c>
      <c r="DE149">
        <f t="shared" si="102"/>
        <v>0</v>
      </c>
      <c r="DF149">
        <f t="shared" si="103"/>
        <v>0</v>
      </c>
      <c r="DG149">
        <f t="shared" si="104"/>
        <v>0</v>
      </c>
      <c r="DH149">
        <f t="shared" si="105"/>
        <v>18.043478260869566</v>
      </c>
      <c r="DI149">
        <f t="shared" si="106"/>
        <v>0.11908695652173913</v>
      </c>
      <c r="DJ149">
        <f t="shared" si="107"/>
        <v>1.6956521739130436E-2</v>
      </c>
      <c r="DK149">
        <f t="shared" si="108"/>
        <v>1.0598668985640567</v>
      </c>
      <c r="DL149">
        <f t="shared" si="109"/>
        <v>0.10482200095688474</v>
      </c>
      <c r="DM149">
        <f t="shared" si="110"/>
        <v>0.40321023314936943</v>
      </c>
      <c r="DN149">
        <f t="shared" si="111"/>
        <v>2.234659123478433E-2</v>
      </c>
      <c r="DO149">
        <f t="shared" si="112"/>
        <v>3.9877935146640932E-2</v>
      </c>
      <c r="DP149">
        <f t="shared" si="113"/>
        <v>2.2101024298138349E-3</v>
      </c>
    </row>
    <row r="150" spans="1:120">
      <c r="A150" s="16" t="s">
        <v>1164</v>
      </c>
      <c r="B150" s="16" t="s">
        <v>24</v>
      </c>
      <c r="C150" s="123" t="s">
        <v>546</v>
      </c>
      <c r="D150" s="16" t="s">
        <v>119</v>
      </c>
      <c r="E150" s="16" t="s">
        <v>171</v>
      </c>
      <c r="F150" s="16" t="s">
        <v>113</v>
      </c>
      <c r="G150" s="16" t="s">
        <v>595</v>
      </c>
      <c r="H150" s="27" t="s">
        <v>805</v>
      </c>
      <c r="I150" s="16" t="s">
        <v>735</v>
      </c>
      <c r="J150" s="16" t="s">
        <v>1311</v>
      </c>
      <c r="K150" s="16" t="s">
        <v>128</v>
      </c>
      <c r="L150" s="16" t="s">
        <v>114</v>
      </c>
      <c r="M150" s="16" t="s">
        <v>129</v>
      </c>
      <c r="N150" s="16">
        <v>28</v>
      </c>
      <c r="O150" s="95">
        <v>7.4121793920899641</v>
      </c>
      <c r="P150" s="95">
        <v>1.3021396229347235</v>
      </c>
      <c r="Q150" s="95">
        <v>1.2019750365551294</v>
      </c>
      <c r="R150" s="95">
        <v>5.5090522508776756</v>
      </c>
      <c r="S150" s="95">
        <v>5.909710596396053</v>
      </c>
      <c r="T150" s="95">
        <v>8.3136606695063122</v>
      </c>
      <c r="U150" s="95">
        <v>12.119914951930886</v>
      </c>
      <c r="V150" s="95">
        <v>10.817775328996165</v>
      </c>
      <c r="W150" s="95">
        <v>26.844109149731221</v>
      </c>
      <c r="X150" s="95">
        <v>1.1018104501755352</v>
      </c>
      <c r="Y150" s="95">
        <v>25.141311181278127</v>
      </c>
      <c r="Z150" s="95">
        <v>105.67363863047179</v>
      </c>
      <c r="AA150" s="18"/>
      <c r="AB150" s="18"/>
      <c r="AC150" s="18"/>
      <c r="AD150" s="18"/>
      <c r="AE150" s="127"/>
      <c r="AF150" s="127"/>
      <c r="AG150" s="18"/>
      <c r="AH150" s="18"/>
      <c r="AI150" s="18"/>
      <c r="AJ150" s="18"/>
      <c r="AK150" s="134"/>
      <c r="AL150" s="18"/>
      <c r="AM150" s="134"/>
      <c r="AN150" s="127"/>
      <c r="AO150" s="18"/>
      <c r="AP150" s="18"/>
      <c r="AQ150" s="18"/>
      <c r="AR150" s="18"/>
      <c r="AS150" s="18"/>
      <c r="AT150" s="18"/>
      <c r="AU150" s="18"/>
      <c r="AV150" s="18"/>
      <c r="AW150" s="18"/>
      <c r="AX150" s="127">
        <v>0.99</v>
      </c>
      <c r="AY150" s="127">
        <v>3.7</v>
      </c>
      <c r="AZ150" s="127"/>
      <c r="BA150" s="127"/>
      <c r="BB150" s="18"/>
      <c r="BC150" s="127">
        <v>0.15</v>
      </c>
      <c r="BD150" s="18"/>
      <c r="BE150" s="18"/>
      <c r="BF150" s="18"/>
      <c r="BG150" s="18"/>
      <c r="BH150" s="127">
        <v>1.7000000000000001E-2</v>
      </c>
      <c r="BI150" s="127">
        <v>81</v>
      </c>
      <c r="BJ150" s="18"/>
      <c r="BK150" s="127">
        <v>1.9</v>
      </c>
      <c r="BL150" s="127">
        <v>1.3</v>
      </c>
      <c r="BM150" s="127">
        <v>0.06</v>
      </c>
      <c r="BN150" s="127">
        <v>0.15</v>
      </c>
      <c r="BO150" s="18">
        <v>6.1999999999999998E-3</v>
      </c>
      <c r="BP150" s="18">
        <v>6.4000000000000003E-3</v>
      </c>
      <c r="BQ150" s="18">
        <v>4.7999999999999996E-3</v>
      </c>
      <c r="BR150" s="18"/>
      <c r="BS150" s="18"/>
      <c r="BT150" s="18"/>
      <c r="BU150" s="18"/>
      <c r="BV150" s="18"/>
      <c r="BW150" s="18"/>
      <c r="BX150" s="18"/>
      <c r="BY150" s="127"/>
      <c r="BZ150" s="18"/>
      <c r="CA150" s="127">
        <v>0.89</v>
      </c>
      <c r="CB150" s="127">
        <v>0.87</v>
      </c>
      <c r="CC150" s="127">
        <v>9.4E-2</v>
      </c>
      <c r="CE150">
        <f t="shared" si="76"/>
        <v>21.891891891891891</v>
      </c>
      <c r="CF150">
        <f t="shared" si="77"/>
        <v>42.631578947368425</v>
      </c>
      <c r="CG150">
        <f t="shared" si="78"/>
        <v>1.9473684210526319</v>
      </c>
      <c r="CH150">
        <f t="shared" si="79"/>
        <v>1.4615384615384615</v>
      </c>
      <c r="CI150">
        <f t="shared" si="80"/>
        <v>0</v>
      </c>
      <c r="CJ150" t="e">
        <f t="shared" si="81"/>
        <v>#DIV/0!</v>
      </c>
      <c r="CK150">
        <f t="shared" si="82"/>
        <v>0</v>
      </c>
      <c r="CL150">
        <f t="shared" si="83"/>
        <v>2.8461538461538463</v>
      </c>
      <c r="CM150">
        <f t="shared" si="84"/>
        <v>62.307692307692307</v>
      </c>
      <c r="CN150">
        <f t="shared" si="85"/>
        <v>62.307692307692307</v>
      </c>
      <c r="CO150">
        <f t="shared" si="86"/>
        <v>0</v>
      </c>
      <c r="CP150">
        <f t="shared" si="87"/>
        <v>9.4680851063829792</v>
      </c>
      <c r="CQ150">
        <f t="shared" si="88"/>
        <v>0.46842105263157896</v>
      </c>
      <c r="CR150">
        <f t="shared" si="89"/>
        <v>7.8947368421052627E-2</v>
      </c>
      <c r="CS150">
        <f t="shared" si="90"/>
        <v>0</v>
      </c>
      <c r="CT150">
        <f t="shared" si="91"/>
        <v>0.26756756756756755</v>
      </c>
      <c r="CU150">
        <f t="shared" si="92"/>
        <v>0</v>
      </c>
      <c r="CV150" t="e">
        <f t="shared" si="93"/>
        <v>#DIV/0!</v>
      </c>
      <c r="CW150">
        <f t="shared" si="94"/>
        <v>0</v>
      </c>
      <c r="CX150">
        <f t="shared" si="95"/>
        <v>0</v>
      </c>
      <c r="CY150">
        <f t="shared" si="96"/>
        <v>0</v>
      </c>
      <c r="CZ150">
        <f t="shared" si="97"/>
        <v>9.2553191489361701</v>
      </c>
      <c r="DA150">
        <f t="shared" si="98"/>
        <v>0</v>
      </c>
      <c r="DB150">
        <f t="shared" si="99"/>
        <v>0</v>
      </c>
      <c r="DC150" t="e">
        <f t="shared" si="100"/>
        <v>#DIV/0!</v>
      </c>
      <c r="DD150">
        <f t="shared" si="101"/>
        <v>0</v>
      </c>
      <c r="DE150">
        <f t="shared" si="102"/>
        <v>0</v>
      </c>
      <c r="DF150">
        <f t="shared" si="103"/>
        <v>0</v>
      </c>
      <c r="DG150">
        <f t="shared" si="104"/>
        <v>0</v>
      </c>
      <c r="DH150">
        <f t="shared" si="105"/>
        <v>21.891891891891891</v>
      </c>
      <c r="DI150">
        <f t="shared" si="106"/>
        <v>4.0540540540540536E-2</v>
      </c>
      <c r="DJ150">
        <f t="shared" si="107"/>
        <v>2.5405405405405403E-2</v>
      </c>
      <c r="DK150">
        <f t="shared" si="108"/>
        <v>3.1103739981031859</v>
      </c>
      <c r="DL150">
        <f t="shared" si="109"/>
        <v>0.6326184402921734</v>
      </c>
      <c r="DM150">
        <f t="shared" si="110"/>
        <v>1.5972190801070412</v>
      </c>
      <c r="DN150">
        <f t="shared" si="111"/>
        <v>7.2959390078963612E-2</v>
      </c>
      <c r="DO150">
        <f t="shared" si="112"/>
        <v>0.32485811798787279</v>
      </c>
      <c r="DP150">
        <f t="shared" si="113"/>
        <v>1.4839197982162091E-2</v>
      </c>
    </row>
    <row r="151" spans="1:120">
      <c r="A151" s="16" t="s">
        <v>1164</v>
      </c>
      <c r="B151" s="16" t="s">
        <v>24</v>
      </c>
      <c r="C151" s="123" t="s">
        <v>546</v>
      </c>
      <c r="D151" s="16" t="s">
        <v>119</v>
      </c>
      <c r="E151" s="16" t="s">
        <v>171</v>
      </c>
      <c r="F151" s="16" t="s">
        <v>113</v>
      </c>
      <c r="G151" s="16" t="s">
        <v>595</v>
      </c>
      <c r="H151" s="27" t="s">
        <v>805</v>
      </c>
      <c r="I151" s="16" t="s">
        <v>735</v>
      </c>
      <c r="J151" s="16" t="s">
        <v>1311</v>
      </c>
      <c r="K151" s="16" t="s">
        <v>115</v>
      </c>
      <c r="L151" s="16" t="s">
        <v>114</v>
      </c>
      <c r="M151" s="16" t="s">
        <v>130</v>
      </c>
      <c r="N151" s="16">
        <v>43</v>
      </c>
      <c r="O151" s="95">
        <v>7.5069563756541671</v>
      </c>
      <c r="P151" s="95">
        <v>1.2011130201046665</v>
      </c>
      <c r="Q151" s="95">
        <v>1.1010202684292778</v>
      </c>
      <c r="R151" s="95">
        <v>5.1047303354448328</v>
      </c>
      <c r="S151" s="95">
        <v>5.1047303354448328</v>
      </c>
      <c r="T151" s="95">
        <v>8.5078838924080546</v>
      </c>
      <c r="U151" s="95">
        <v>12.411501207748223</v>
      </c>
      <c r="V151" s="95">
        <v>6.7062143622510551</v>
      </c>
      <c r="W151" s="95">
        <v>27.72569221408272</v>
      </c>
      <c r="X151" s="95">
        <v>1.3012057717800556</v>
      </c>
      <c r="Y151" s="95">
        <v>30.127918254292059</v>
      </c>
      <c r="Z151" s="95">
        <v>106.79896603763994</v>
      </c>
      <c r="AA151" s="18"/>
      <c r="AB151" s="18"/>
      <c r="AC151" s="18"/>
      <c r="AD151" s="18"/>
      <c r="AE151" s="127"/>
      <c r="AF151" s="127"/>
      <c r="AG151" s="18"/>
      <c r="AH151" s="18"/>
      <c r="AI151" s="18"/>
      <c r="AJ151" s="18"/>
      <c r="AK151" s="134"/>
      <c r="AL151" s="18"/>
      <c r="AM151" s="134"/>
      <c r="AN151" s="127"/>
      <c r="AO151" s="18"/>
      <c r="AP151" s="18"/>
      <c r="AQ151" s="18"/>
      <c r="AR151" s="18"/>
      <c r="AS151" s="18"/>
      <c r="AT151" s="18"/>
      <c r="AU151" s="18"/>
      <c r="AV151" s="18"/>
      <c r="AW151" s="18"/>
      <c r="AX151" s="127">
        <v>0.75</v>
      </c>
      <c r="AY151" s="127">
        <v>12.3</v>
      </c>
      <c r="AZ151" s="127"/>
      <c r="BA151" s="127"/>
      <c r="BB151" s="18"/>
      <c r="BC151" s="127">
        <v>0.35</v>
      </c>
      <c r="BD151" s="18"/>
      <c r="BE151" s="18"/>
      <c r="BF151" s="18"/>
      <c r="BG151" s="18"/>
      <c r="BH151" s="127">
        <v>2.3E-2</v>
      </c>
      <c r="BI151" s="127">
        <v>181</v>
      </c>
      <c r="BJ151" s="18"/>
      <c r="BK151" s="127">
        <v>3.6</v>
      </c>
      <c r="BL151" s="127">
        <v>3.2</v>
      </c>
      <c r="BM151" s="127">
        <v>0.122</v>
      </c>
      <c r="BN151" s="127">
        <v>0.24</v>
      </c>
      <c r="BO151" s="18">
        <v>1.2999999999999999E-2</v>
      </c>
      <c r="BP151" s="18">
        <v>6.4999999999999997E-3</v>
      </c>
      <c r="BQ151" s="18">
        <v>6.7000000000000002E-3</v>
      </c>
      <c r="BR151" s="18"/>
      <c r="BS151" s="18"/>
      <c r="BT151" s="18"/>
      <c r="BU151" s="18"/>
      <c r="BV151" s="18"/>
      <c r="BW151" s="18"/>
      <c r="BX151" s="18"/>
      <c r="BY151" s="127"/>
      <c r="BZ151" s="18"/>
      <c r="CA151" s="127">
        <v>1.6</v>
      </c>
      <c r="CB151" s="127">
        <v>1.64</v>
      </c>
      <c r="CC151" s="127">
        <v>6.9000000000000006E-2</v>
      </c>
      <c r="CE151">
        <f t="shared" si="76"/>
        <v>14.715447154471544</v>
      </c>
      <c r="CF151">
        <f t="shared" si="77"/>
        <v>50.277777777777779</v>
      </c>
      <c r="CG151">
        <f t="shared" si="78"/>
        <v>3.416666666666667</v>
      </c>
      <c r="CH151">
        <f t="shared" si="79"/>
        <v>1.125</v>
      </c>
      <c r="CI151">
        <f t="shared" si="80"/>
        <v>0</v>
      </c>
      <c r="CJ151" t="e">
        <f t="shared" si="81"/>
        <v>#DIV/0!</v>
      </c>
      <c r="CK151">
        <f t="shared" si="82"/>
        <v>0</v>
      </c>
      <c r="CL151">
        <f t="shared" si="83"/>
        <v>3.84375</v>
      </c>
      <c r="CM151">
        <f t="shared" si="84"/>
        <v>56.5625</v>
      </c>
      <c r="CN151">
        <f t="shared" si="85"/>
        <v>56.5625</v>
      </c>
      <c r="CO151">
        <f t="shared" si="86"/>
        <v>0</v>
      </c>
      <c r="CP151">
        <f t="shared" si="87"/>
        <v>23.188405797101449</v>
      </c>
      <c r="CQ151">
        <f t="shared" si="88"/>
        <v>0.44444444444444448</v>
      </c>
      <c r="CR151">
        <f t="shared" si="89"/>
        <v>9.722222222222221E-2</v>
      </c>
      <c r="CS151">
        <f t="shared" si="90"/>
        <v>0</v>
      </c>
      <c r="CT151">
        <f t="shared" si="91"/>
        <v>6.097560975609756E-2</v>
      </c>
      <c r="CU151">
        <f t="shared" si="92"/>
        <v>0</v>
      </c>
      <c r="CV151" t="e">
        <f t="shared" si="93"/>
        <v>#DIV/0!</v>
      </c>
      <c r="CW151">
        <f t="shared" si="94"/>
        <v>0</v>
      </c>
      <c r="CX151">
        <f t="shared" si="95"/>
        <v>0</v>
      </c>
      <c r="CY151">
        <f t="shared" si="96"/>
        <v>0</v>
      </c>
      <c r="CZ151">
        <f t="shared" si="97"/>
        <v>23.768115942028981</v>
      </c>
      <c r="DA151">
        <f t="shared" si="98"/>
        <v>0</v>
      </c>
      <c r="DB151">
        <f t="shared" si="99"/>
        <v>0</v>
      </c>
      <c r="DC151" t="e">
        <f t="shared" si="100"/>
        <v>#DIV/0!</v>
      </c>
      <c r="DD151">
        <f t="shared" si="101"/>
        <v>0</v>
      </c>
      <c r="DE151">
        <f t="shared" si="102"/>
        <v>0</v>
      </c>
      <c r="DF151">
        <f t="shared" si="103"/>
        <v>0</v>
      </c>
      <c r="DG151">
        <f t="shared" si="104"/>
        <v>0</v>
      </c>
      <c r="DH151">
        <f t="shared" si="105"/>
        <v>14.715447154471544</v>
      </c>
      <c r="DI151">
        <f t="shared" si="106"/>
        <v>2.8455284552845524E-2</v>
      </c>
      <c r="DJ151">
        <f t="shared" si="107"/>
        <v>5.6097560975609754E-3</v>
      </c>
      <c r="DK151">
        <f t="shared" si="108"/>
        <v>1.4179806487346758</v>
      </c>
      <c r="DL151">
        <f t="shared" si="109"/>
        <v>0.30583896345257716</v>
      </c>
      <c r="DM151">
        <f t="shared" si="110"/>
        <v>0.41501872645892945</v>
      </c>
      <c r="DN151">
        <f t="shared" si="111"/>
        <v>2.8202930030081948E-2</v>
      </c>
      <c r="DO151">
        <f t="shared" si="112"/>
        <v>8.95138429617299E-2</v>
      </c>
      <c r="DP151">
        <f t="shared" si="113"/>
        <v>6.0829849084490482E-3</v>
      </c>
    </row>
    <row r="152" spans="1:120">
      <c r="A152" s="16" t="s">
        <v>1164</v>
      </c>
      <c r="B152" s="16" t="s">
        <v>24</v>
      </c>
      <c r="C152" s="123" t="s">
        <v>546</v>
      </c>
      <c r="D152" s="16" t="s">
        <v>119</v>
      </c>
      <c r="E152" s="16" t="s">
        <v>171</v>
      </c>
      <c r="F152" s="16" t="s">
        <v>113</v>
      </c>
      <c r="G152" s="16" t="s">
        <v>595</v>
      </c>
      <c r="H152" s="27" t="s">
        <v>805</v>
      </c>
      <c r="I152" s="16" t="s">
        <v>735</v>
      </c>
      <c r="J152" s="16" t="s">
        <v>1311</v>
      </c>
      <c r="K152" s="16" t="s">
        <v>128</v>
      </c>
      <c r="L152" s="16" t="s">
        <v>114</v>
      </c>
      <c r="M152" s="16" t="s">
        <v>131</v>
      </c>
      <c r="N152" s="16">
        <v>24</v>
      </c>
      <c r="O152" s="95">
        <v>5.2044777594263048</v>
      </c>
      <c r="P152" s="95">
        <v>1.2010333290983779</v>
      </c>
      <c r="Q152" s="95">
        <v>1.0008611075819815</v>
      </c>
      <c r="R152" s="95">
        <v>8.5073194144468438</v>
      </c>
      <c r="S152" s="95">
        <v>4.2036166518443236</v>
      </c>
      <c r="T152" s="95">
        <v>6.1052527562500876</v>
      </c>
      <c r="U152" s="95">
        <v>14.312313838422339</v>
      </c>
      <c r="V152" s="95">
        <v>6.4055110885246833</v>
      </c>
      <c r="W152" s="95">
        <v>27.823938790779088</v>
      </c>
      <c r="X152" s="95">
        <v>0.90077499682378348</v>
      </c>
      <c r="Y152" s="95">
        <v>31.427038778074223</v>
      </c>
      <c r="Z152" s="95">
        <v>107.09213851127203</v>
      </c>
      <c r="AA152" s="18"/>
      <c r="AB152" s="18"/>
      <c r="AC152" s="18"/>
      <c r="AD152" s="18"/>
      <c r="AE152" s="127"/>
      <c r="AF152" s="127"/>
      <c r="AG152" s="18"/>
      <c r="AH152" s="18"/>
      <c r="AI152" s="18"/>
      <c r="AJ152" s="18"/>
      <c r="AK152" s="134"/>
      <c r="AL152" s="18"/>
      <c r="AM152" s="134"/>
      <c r="AN152" s="127"/>
      <c r="AO152" s="18"/>
      <c r="AP152" s="18"/>
      <c r="AQ152" s="18"/>
      <c r="AR152" s="18"/>
      <c r="AS152" s="18"/>
      <c r="AT152" s="18"/>
      <c r="AU152" s="18"/>
      <c r="AV152" s="18"/>
      <c r="AW152" s="18"/>
      <c r="AX152" s="127">
        <v>0.28999999999999998</v>
      </c>
      <c r="AY152" s="127">
        <v>4.5999999999999996</v>
      </c>
      <c r="AZ152" s="127"/>
      <c r="BA152" s="127"/>
      <c r="BB152" s="18"/>
      <c r="BC152" s="127">
        <v>0</v>
      </c>
      <c r="BD152" s="18"/>
      <c r="BE152" s="18"/>
      <c r="BF152" s="18"/>
      <c r="BG152" s="18"/>
      <c r="BH152" s="127">
        <v>1.9E-2</v>
      </c>
      <c r="BI152" s="127">
        <v>103</v>
      </c>
      <c r="BJ152" s="18"/>
      <c r="BK152" s="127">
        <v>1.6</v>
      </c>
      <c r="BL152" s="127">
        <v>1.1000000000000001</v>
      </c>
      <c r="BM152" s="127">
        <v>5.3999999999999999E-2</v>
      </c>
      <c r="BN152" s="127">
        <v>0.12</v>
      </c>
      <c r="BO152" s="18">
        <v>0</v>
      </c>
      <c r="BP152" s="18">
        <v>8.8000000000000005E-3</v>
      </c>
      <c r="BQ152" s="18">
        <v>6.0000000000000001E-3</v>
      </c>
      <c r="BR152" s="18"/>
      <c r="BS152" s="18"/>
      <c r="BT152" s="18"/>
      <c r="BU152" s="18"/>
      <c r="BV152" s="18"/>
      <c r="BW152" s="18"/>
      <c r="BX152" s="18"/>
      <c r="BY152" s="127"/>
      <c r="BZ152" s="18"/>
      <c r="CA152" s="127">
        <v>0.72</v>
      </c>
      <c r="CB152" s="127">
        <v>0.87</v>
      </c>
      <c r="CC152" s="127">
        <v>5.0999999999999997E-2</v>
      </c>
      <c r="CE152">
        <f t="shared" si="76"/>
        <v>22.39130434782609</v>
      </c>
      <c r="CF152">
        <f t="shared" si="77"/>
        <v>64.375</v>
      </c>
      <c r="CG152">
        <f t="shared" si="78"/>
        <v>2.8749999999999996</v>
      </c>
      <c r="CH152">
        <f t="shared" si="79"/>
        <v>1.4545454545454546</v>
      </c>
      <c r="CI152">
        <f t="shared" si="80"/>
        <v>0</v>
      </c>
      <c r="CJ152" t="e">
        <f t="shared" si="81"/>
        <v>#DIV/0!</v>
      </c>
      <c r="CK152">
        <f t="shared" si="82"/>
        <v>0</v>
      </c>
      <c r="CL152">
        <f t="shared" si="83"/>
        <v>4.1818181818181808</v>
      </c>
      <c r="CM152">
        <f t="shared" si="84"/>
        <v>93.636363636363626</v>
      </c>
      <c r="CN152">
        <f t="shared" si="85"/>
        <v>93.636363636363626</v>
      </c>
      <c r="CO152">
        <f t="shared" si="86"/>
        <v>0</v>
      </c>
      <c r="CP152">
        <f t="shared" si="87"/>
        <v>14.117647058823529</v>
      </c>
      <c r="CQ152">
        <f t="shared" si="88"/>
        <v>0.44999999999999996</v>
      </c>
      <c r="CR152">
        <f t="shared" si="89"/>
        <v>0</v>
      </c>
      <c r="CS152">
        <f t="shared" si="90"/>
        <v>0</v>
      </c>
      <c r="CT152">
        <f t="shared" si="91"/>
        <v>6.3043478260869562E-2</v>
      </c>
      <c r="CU152">
        <f t="shared" si="92"/>
        <v>0</v>
      </c>
      <c r="CV152" t="e">
        <f t="shared" si="93"/>
        <v>#DIV/0!</v>
      </c>
      <c r="CW152">
        <f t="shared" si="94"/>
        <v>0</v>
      </c>
      <c r="CX152" t="e">
        <f t="shared" si="95"/>
        <v>#DIV/0!</v>
      </c>
      <c r="CY152">
        <f t="shared" si="96"/>
        <v>0</v>
      </c>
      <c r="CZ152">
        <f t="shared" si="97"/>
        <v>17.058823529411764</v>
      </c>
      <c r="DA152">
        <f t="shared" si="98"/>
        <v>0</v>
      </c>
      <c r="DB152">
        <f t="shared" si="99"/>
        <v>0</v>
      </c>
      <c r="DC152" t="e">
        <f t="shared" si="100"/>
        <v>#DIV/0!</v>
      </c>
      <c r="DD152">
        <f t="shared" si="101"/>
        <v>0</v>
      </c>
      <c r="DE152">
        <f t="shared" si="102"/>
        <v>0</v>
      </c>
      <c r="DF152">
        <f t="shared" si="103"/>
        <v>0</v>
      </c>
      <c r="DG152">
        <f t="shared" si="104"/>
        <v>0</v>
      </c>
      <c r="DH152">
        <f t="shared" si="105"/>
        <v>22.39130434782609</v>
      </c>
      <c r="DI152">
        <f t="shared" si="106"/>
        <v>0</v>
      </c>
      <c r="DJ152">
        <f t="shared" si="107"/>
        <v>1.1086956521739131E-2</v>
      </c>
      <c r="DK152">
        <f t="shared" si="108"/>
        <v>2.6272604074027019</v>
      </c>
      <c r="DL152">
        <f t="shared" si="109"/>
        <v>0.62553819223873841</v>
      </c>
      <c r="DM152">
        <f t="shared" si="110"/>
        <v>0.91382970692267917</v>
      </c>
      <c r="DN152">
        <f t="shared" si="111"/>
        <v>4.0811812153828383E-2</v>
      </c>
      <c r="DO152">
        <f t="shared" si="112"/>
        <v>0.21757850164825687</v>
      </c>
      <c r="DP152">
        <f t="shared" si="113"/>
        <v>9.7170981318638987E-3</v>
      </c>
    </row>
    <row r="153" spans="1:120">
      <c r="A153" s="16" t="s">
        <v>1164</v>
      </c>
      <c r="B153" s="16" t="s">
        <v>24</v>
      </c>
      <c r="C153" s="123" t="s">
        <v>546</v>
      </c>
      <c r="D153" s="16" t="s">
        <v>119</v>
      </c>
      <c r="E153" s="16" t="s">
        <v>171</v>
      </c>
      <c r="F153" s="16" t="s">
        <v>113</v>
      </c>
      <c r="G153" s="16" t="s">
        <v>595</v>
      </c>
      <c r="H153" s="27" t="s">
        <v>805</v>
      </c>
      <c r="I153" s="16" t="s">
        <v>735</v>
      </c>
      <c r="J153" s="16" t="s">
        <v>1311</v>
      </c>
      <c r="K153" s="16" t="s">
        <v>128</v>
      </c>
      <c r="L153" s="16" t="s">
        <v>114</v>
      </c>
      <c r="M153" s="16" t="s">
        <v>132</v>
      </c>
      <c r="N153" s="16">
        <v>35</v>
      </c>
      <c r="O153" s="95">
        <v>7.2999485194039551</v>
      </c>
      <c r="P153" s="95">
        <v>1.5999887165816888</v>
      </c>
      <c r="Q153" s="95">
        <v>1.1999915374362666</v>
      </c>
      <c r="R153" s="95">
        <v>7.6999456985493779</v>
      </c>
      <c r="S153" s="95">
        <v>3.9999717914542217</v>
      </c>
      <c r="T153" s="95">
        <v>7.2999485194039551</v>
      </c>
      <c r="U153" s="95">
        <v>13.999901270089776</v>
      </c>
      <c r="V153" s="95">
        <v>5.7999590976086219</v>
      </c>
      <c r="W153" s="95">
        <v>28.199801129752259</v>
      </c>
      <c r="X153" s="95">
        <v>0.59999576871813332</v>
      </c>
      <c r="Y153" s="95">
        <v>28.799796898470397</v>
      </c>
      <c r="Z153" s="95">
        <v>106.49924894746866</v>
      </c>
      <c r="AA153" s="18"/>
      <c r="AB153" s="18"/>
      <c r="AC153" s="18"/>
      <c r="AD153" s="18"/>
      <c r="AE153" s="127"/>
      <c r="AF153" s="127"/>
      <c r="AG153" s="18"/>
      <c r="AH153" s="18"/>
      <c r="AI153" s="18"/>
      <c r="AJ153" s="18"/>
      <c r="AK153" s="134"/>
      <c r="AL153" s="18"/>
      <c r="AM153" s="134"/>
      <c r="AN153" s="127"/>
      <c r="AO153" s="18"/>
      <c r="AP153" s="18"/>
      <c r="AQ153" s="18"/>
      <c r="AR153" s="18"/>
      <c r="AS153" s="18"/>
      <c r="AT153" s="18"/>
      <c r="AU153" s="18"/>
      <c r="AV153" s="18"/>
      <c r="AW153" s="18"/>
      <c r="AX153" s="127">
        <v>0.86</v>
      </c>
      <c r="AY153" s="127">
        <v>23.6</v>
      </c>
      <c r="AZ153" s="127"/>
      <c r="BA153" s="127"/>
      <c r="BB153" s="18"/>
      <c r="BC153" s="127">
        <v>0</v>
      </c>
      <c r="BD153" s="18"/>
      <c r="BE153" s="18"/>
      <c r="BF153" s="18"/>
      <c r="BG153" s="18"/>
      <c r="BH153" s="127">
        <v>3.4000000000000002E-2</v>
      </c>
      <c r="BI153" s="127">
        <v>164</v>
      </c>
      <c r="BJ153" s="18"/>
      <c r="BK153" s="127">
        <v>9.4</v>
      </c>
      <c r="BL153" s="127">
        <v>7.4</v>
      </c>
      <c r="BM153" s="127">
        <v>0.18</v>
      </c>
      <c r="BN153" s="127">
        <v>0.2</v>
      </c>
      <c r="BO153" s="18">
        <v>0.01</v>
      </c>
      <c r="BP153" s="18">
        <v>1.2999999999999999E-2</v>
      </c>
      <c r="BQ153" s="18">
        <v>1.0999999999999999E-2</v>
      </c>
      <c r="BR153" s="18">
        <v>1.6999999999999999E-3</v>
      </c>
      <c r="BS153" s="18">
        <v>0</v>
      </c>
      <c r="BT153" s="18"/>
      <c r="BU153" s="18"/>
      <c r="BV153" s="18"/>
      <c r="BW153" s="18"/>
      <c r="BX153" s="18"/>
      <c r="BY153" s="127"/>
      <c r="BZ153" s="18"/>
      <c r="CA153" s="127">
        <v>1.9</v>
      </c>
      <c r="CB153" s="127">
        <v>2.15</v>
      </c>
      <c r="CC153" s="127">
        <v>0.09</v>
      </c>
      <c r="CE153">
        <f t="shared" si="76"/>
        <v>6.9491525423728806</v>
      </c>
      <c r="CF153">
        <f t="shared" si="77"/>
        <v>17.446808510638299</v>
      </c>
      <c r="CG153">
        <f t="shared" si="78"/>
        <v>2.5106382978723403</v>
      </c>
      <c r="CH153">
        <f t="shared" si="79"/>
        <v>1.2702702702702702</v>
      </c>
      <c r="CI153">
        <f t="shared" si="80"/>
        <v>0</v>
      </c>
      <c r="CJ153" t="e">
        <f t="shared" si="81"/>
        <v>#DIV/0!</v>
      </c>
      <c r="CK153">
        <f t="shared" si="82"/>
        <v>0</v>
      </c>
      <c r="CL153">
        <f t="shared" si="83"/>
        <v>3.189189189189189</v>
      </c>
      <c r="CM153">
        <f t="shared" si="84"/>
        <v>22.162162162162161</v>
      </c>
      <c r="CN153">
        <f t="shared" si="85"/>
        <v>22.162162162162161</v>
      </c>
      <c r="CO153">
        <f t="shared" si="86"/>
        <v>0</v>
      </c>
      <c r="CP153">
        <f t="shared" si="87"/>
        <v>21.111111111111111</v>
      </c>
      <c r="CQ153">
        <f t="shared" si="88"/>
        <v>0.20212765957446807</v>
      </c>
      <c r="CR153">
        <f t="shared" si="89"/>
        <v>0</v>
      </c>
      <c r="CS153">
        <f t="shared" si="90"/>
        <v>0</v>
      </c>
      <c r="CT153">
        <f t="shared" si="91"/>
        <v>3.6440677966101689E-2</v>
      </c>
      <c r="CU153">
        <f t="shared" si="92"/>
        <v>0</v>
      </c>
      <c r="CV153" t="e">
        <f t="shared" si="93"/>
        <v>#DIV/0!</v>
      </c>
      <c r="CW153">
        <f t="shared" si="94"/>
        <v>0</v>
      </c>
      <c r="CX153" t="e">
        <f t="shared" si="95"/>
        <v>#DIV/0!</v>
      </c>
      <c r="CY153">
        <f t="shared" si="96"/>
        <v>0</v>
      </c>
      <c r="CZ153">
        <f t="shared" si="97"/>
        <v>23.888888888888889</v>
      </c>
      <c r="DA153">
        <f t="shared" si="98"/>
        <v>0</v>
      </c>
      <c r="DB153">
        <f t="shared" si="99"/>
        <v>0</v>
      </c>
      <c r="DC153" t="e">
        <f t="shared" si="100"/>
        <v>#DIV/0!</v>
      </c>
      <c r="DD153">
        <f t="shared" si="101"/>
        <v>0</v>
      </c>
      <c r="DE153">
        <f t="shared" si="102"/>
        <v>0</v>
      </c>
      <c r="DF153">
        <f t="shared" si="103"/>
        <v>0</v>
      </c>
      <c r="DG153">
        <f t="shared" si="104"/>
        <v>0</v>
      </c>
      <c r="DH153">
        <f t="shared" si="105"/>
        <v>6.9491525423728806</v>
      </c>
      <c r="DI153">
        <f t="shared" si="106"/>
        <v>0</v>
      </c>
      <c r="DJ153">
        <f t="shared" si="107"/>
        <v>3.813559322033898E-3</v>
      </c>
      <c r="DK153">
        <f t="shared" si="108"/>
        <v>0.42552891398449166</v>
      </c>
      <c r="DL153">
        <f t="shared" si="109"/>
        <v>0.12765867419534752</v>
      </c>
      <c r="DM153">
        <f t="shared" si="110"/>
        <v>0.1694903301463653</v>
      </c>
      <c r="DN153">
        <f t="shared" si="111"/>
        <v>2.4390071899111108E-2</v>
      </c>
      <c r="DO153">
        <f t="shared" si="112"/>
        <v>5.0847099043909598E-2</v>
      </c>
      <c r="DP153">
        <f t="shared" si="113"/>
        <v>7.3170215697333334E-3</v>
      </c>
    </row>
    <row r="154" spans="1:120">
      <c r="A154" s="16" t="s">
        <v>1164</v>
      </c>
      <c r="B154" s="16" t="s">
        <v>24</v>
      </c>
      <c r="C154" s="123" t="s">
        <v>546</v>
      </c>
      <c r="D154" s="16" t="s">
        <v>119</v>
      </c>
      <c r="E154" s="16" t="s">
        <v>171</v>
      </c>
      <c r="F154" s="16" t="s">
        <v>113</v>
      </c>
      <c r="G154" s="16" t="s">
        <v>595</v>
      </c>
      <c r="H154" s="27" t="s">
        <v>805</v>
      </c>
      <c r="I154" s="16" t="s">
        <v>735</v>
      </c>
      <c r="J154" s="16" t="s">
        <v>1311</v>
      </c>
      <c r="K154" s="16" t="s">
        <v>128</v>
      </c>
      <c r="L154" s="16" t="s">
        <v>114</v>
      </c>
      <c r="M154" s="16" t="s">
        <v>133</v>
      </c>
      <c r="N154" s="16">
        <v>34</v>
      </c>
      <c r="O154" s="95">
        <v>4.0025403994072404</v>
      </c>
      <c r="P154" s="95">
        <v>1.6010161597628962</v>
      </c>
      <c r="Q154" s="95">
        <v>1.3008256298073531</v>
      </c>
      <c r="R154" s="95">
        <v>5.2033025192294122</v>
      </c>
      <c r="S154" s="95">
        <v>4.7029849693035075</v>
      </c>
      <c r="T154" s="95">
        <v>7.3046362289182127</v>
      </c>
      <c r="U154" s="95">
        <v>13.908827887940159</v>
      </c>
      <c r="V154" s="95">
        <v>6.804318678992308</v>
      </c>
      <c r="W154" s="95">
        <v>30.019052995554301</v>
      </c>
      <c r="X154" s="95">
        <v>0.900571589866629</v>
      </c>
      <c r="Y154" s="95">
        <v>31.319878625361653</v>
      </c>
      <c r="Z154" s="95">
        <v>107.06795568414367</v>
      </c>
      <c r="AA154" s="18"/>
      <c r="AB154" s="18"/>
      <c r="AC154" s="18"/>
      <c r="AD154" s="18"/>
      <c r="AE154" s="127"/>
      <c r="AF154" s="127"/>
      <c r="AG154" s="18"/>
      <c r="AH154" s="18"/>
      <c r="AI154" s="18"/>
      <c r="AJ154" s="18"/>
      <c r="AK154" s="134"/>
      <c r="AL154" s="18"/>
      <c r="AM154" s="134"/>
      <c r="AN154" s="127"/>
      <c r="AO154" s="18"/>
      <c r="AP154" s="18"/>
      <c r="AQ154" s="18"/>
      <c r="AR154" s="18"/>
      <c r="AS154" s="18"/>
      <c r="AT154" s="18"/>
      <c r="AU154" s="18"/>
      <c r="AV154" s="18"/>
      <c r="AW154" s="18"/>
      <c r="AX154" s="127">
        <v>0.3</v>
      </c>
      <c r="AY154" s="127">
        <v>9.5</v>
      </c>
      <c r="AZ154" s="127">
        <v>4.7000000000000002E-3</v>
      </c>
      <c r="BA154" s="127"/>
      <c r="BB154" s="18"/>
      <c r="BC154" s="127">
        <v>0</v>
      </c>
      <c r="BD154" s="18"/>
      <c r="BE154" s="18"/>
      <c r="BF154" s="18"/>
      <c r="BG154" s="18"/>
      <c r="BH154" s="127">
        <v>1.2E-2</v>
      </c>
      <c r="BI154" s="127">
        <v>55</v>
      </c>
      <c r="BJ154" s="18"/>
      <c r="BK154" s="127">
        <v>3.2</v>
      </c>
      <c r="BL154" s="127">
        <v>2.7</v>
      </c>
      <c r="BM154" s="127">
        <v>8.3000000000000004E-2</v>
      </c>
      <c r="BN154" s="127">
        <v>0.13</v>
      </c>
      <c r="BO154" s="18">
        <v>5.8999999999999999E-3</v>
      </c>
      <c r="BP154" s="18">
        <v>6.3E-3</v>
      </c>
      <c r="BQ154" s="18">
        <v>1.09E-2</v>
      </c>
      <c r="BR154" s="18">
        <v>1.1000000000000001E-3</v>
      </c>
      <c r="BS154" s="18">
        <v>0</v>
      </c>
      <c r="BT154" s="18"/>
      <c r="BU154" s="18"/>
      <c r="BV154" s="18"/>
      <c r="BW154" s="18"/>
      <c r="BX154" s="18"/>
      <c r="BY154" s="127"/>
      <c r="BZ154" s="18"/>
      <c r="CA154" s="127">
        <v>0.6</v>
      </c>
      <c r="CB154" s="127">
        <v>0.81</v>
      </c>
      <c r="CC154" s="127">
        <v>3.4000000000000002E-2</v>
      </c>
      <c r="CE154">
        <f t="shared" si="76"/>
        <v>5.7894736842105265</v>
      </c>
      <c r="CF154">
        <f t="shared" si="77"/>
        <v>17.1875</v>
      </c>
      <c r="CG154">
        <f t="shared" si="78"/>
        <v>2.96875</v>
      </c>
      <c r="CH154">
        <f t="shared" si="79"/>
        <v>1.1851851851851851</v>
      </c>
      <c r="CI154">
        <f t="shared" si="80"/>
        <v>0</v>
      </c>
      <c r="CJ154" t="e">
        <f t="shared" si="81"/>
        <v>#DIV/0!</v>
      </c>
      <c r="CK154">
        <f t="shared" si="82"/>
        <v>0</v>
      </c>
      <c r="CL154">
        <f t="shared" si="83"/>
        <v>3.5185185185185182</v>
      </c>
      <c r="CM154">
        <f t="shared" si="84"/>
        <v>20.37037037037037</v>
      </c>
      <c r="CN154">
        <f t="shared" si="85"/>
        <v>20.37037037037037</v>
      </c>
      <c r="CO154">
        <f t="shared" si="86"/>
        <v>0</v>
      </c>
      <c r="CP154">
        <f t="shared" si="87"/>
        <v>17.647058823529409</v>
      </c>
      <c r="CQ154">
        <f t="shared" si="88"/>
        <v>0.18749999999999997</v>
      </c>
      <c r="CR154">
        <f t="shared" si="89"/>
        <v>0</v>
      </c>
      <c r="CS154">
        <f t="shared" si="90"/>
        <v>0</v>
      </c>
      <c r="CT154">
        <f t="shared" si="91"/>
        <v>3.1578947368421054E-2</v>
      </c>
      <c r="CU154">
        <f t="shared" si="92"/>
        <v>1.46875E-3</v>
      </c>
      <c r="CV154" t="e">
        <f t="shared" si="93"/>
        <v>#DIV/0!</v>
      </c>
      <c r="CW154">
        <f t="shared" si="94"/>
        <v>0</v>
      </c>
      <c r="CX154" t="e">
        <f t="shared" si="95"/>
        <v>#DIV/0!</v>
      </c>
      <c r="CY154">
        <f t="shared" si="96"/>
        <v>0</v>
      </c>
      <c r="CZ154">
        <f t="shared" si="97"/>
        <v>23.823529411764707</v>
      </c>
      <c r="DA154">
        <f t="shared" si="98"/>
        <v>0</v>
      </c>
      <c r="DB154">
        <f t="shared" si="99"/>
        <v>0</v>
      </c>
      <c r="DC154">
        <f t="shared" si="100"/>
        <v>0</v>
      </c>
      <c r="DD154">
        <f t="shared" si="101"/>
        <v>0</v>
      </c>
      <c r="DE154">
        <f t="shared" si="102"/>
        <v>0</v>
      </c>
      <c r="DF154">
        <f t="shared" si="103"/>
        <v>0</v>
      </c>
      <c r="DG154">
        <f t="shared" si="104"/>
        <v>0</v>
      </c>
      <c r="DH154">
        <f t="shared" si="105"/>
        <v>5.7894736842105265</v>
      </c>
      <c r="DI154">
        <f t="shared" si="106"/>
        <v>0</v>
      </c>
      <c r="DJ154">
        <f t="shared" si="107"/>
        <v>3.5789473684210531E-3</v>
      </c>
      <c r="DK154">
        <f t="shared" si="108"/>
        <v>1.4696828029073461</v>
      </c>
      <c r="DL154">
        <f t="shared" si="109"/>
        <v>0.4065080093147978</v>
      </c>
      <c r="DM154">
        <f t="shared" si="110"/>
        <v>0.4950510494003692</v>
      </c>
      <c r="DN154">
        <f t="shared" si="111"/>
        <v>8.5508817623700134E-2</v>
      </c>
      <c r="DO154">
        <f t="shared" si="112"/>
        <v>0.1369290136639319</v>
      </c>
      <c r="DP154">
        <f t="shared" si="113"/>
        <v>2.3651375087406418E-2</v>
      </c>
    </row>
    <row r="155" spans="1:120">
      <c r="A155" s="16" t="s">
        <v>1164</v>
      </c>
      <c r="B155" s="16" t="s">
        <v>24</v>
      </c>
      <c r="C155" s="123" t="s">
        <v>546</v>
      </c>
      <c r="D155" s="16" t="s">
        <v>119</v>
      </c>
      <c r="E155" s="16" t="s">
        <v>171</v>
      </c>
      <c r="F155" s="16" t="s">
        <v>113</v>
      </c>
      <c r="G155" s="16" t="s">
        <v>595</v>
      </c>
      <c r="H155" s="27" t="s">
        <v>805</v>
      </c>
      <c r="I155" s="16" t="s">
        <v>735</v>
      </c>
      <c r="J155" s="16" t="s">
        <v>1311</v>
      </c>
      <c r="K155" s="16" t="s">
        <v>128</v>
      </c>
      <c r="L155" s="16" t="s">
        <v>114</v>
      </c>
      <c r="M155" s="16" t="s">
        <v>134</v>
      </c>
      <c r="N155" s="16">
        <v>27</v>
      </c>
      <c r="O155" s="95">
        <v>3.2977023061505801</v>
      </c>
      <c r="P155" s="95">
        <v>2.0985378311867331</v>
      </c>
      <c r="Q155" s="95">
        <v>0.99930372913653953</v>
      </c>
      <c r="R155" s="95">
        <v>4.9965186456826984</v>
      </c>
      <c r="S155" s="95">
        <v>1.0992341020501937</v>
      </c>
      <c r="T155" s="95">
        <v>2.2983985770140407</v>
      </c>
      <c r="U155" s="95">
        <v>15.589138174530017</v>
      </c>
      <c r="V155" s="95">
        <v>10.192898037192704</v>
      </c>
      <c r="W155" s="95">
        <v>29.579390382441574</v>
      </c>
      <c r="X155" s="95">
        <v>0.59958223748192374</v>
      </c>
      <c r="Y155" s="95">
        <v>37.773680961361194</v>
      </c>
      <c r="Z155" s="95">
        <v>108.52438498422819</v>
      </c>
      <c r="AA155" s="18"/>
      <c r="AB155" s="18"/>
      <c r="AC155" s="18"/>
      <c r="AD155" s="18"/>
      <c r="AE155" s="127"/>
      <c r="AF155" s="127"/>
      <c r="AG155" s="18"/>
      <c r="AH155" s="18"/>
      <c r="AI155" s="18"/>
      <c r="AJ155" s="18"/>
      <c r="AK155" s="134"/>
      <c r="AL155" s="18"/>
      <c r="AM155" s="134"/>
      <c r="AN155" s="127"/>
      <c r="AO155" s="18"/>
      <c r="AP155" s="18"/>
      <c r="AQ155" s="18"/>
      <c r="AR155" s="18"/>
      <c r="AS155" s="18"/>
      <c r="AT155" s="18"/>
      <c r="AU155" s="18"/>
      <c r="AV155" s="18"/>
      <c r="AW155" s="18"/>
      <c r="AX155" s="127">
        <v>0.22</v>
      </c>
      <c r="AY155" s="127">
        <v>1.7</v>
      </c>
      <c r="AZ155" s="127"/>
      <c r="BA155" s="127"/>
      <c r="BB155" s="18"/>
      <c r="BC155" s="127">
        <v>0</v>
      </c>
      <c r="BD155" s="18"/>
      <c r="BE155" s="18"/>
      <c r="BF155" s="18"/>
      <c r="BG155" s="18"/>
      <c r="BH155" s="127">
        <v>7.4999999999999997E-3</v>
      </c>
      <c r="BI155" s="127">
        <v>50</v>
      </c>
      <c r="BJ155" s="18"/>
      <c r="BK155" s="127">
        <v>0.4</v>
      </c>
      <c r="BL155" s="127">
        <v>0.68</v>
      </c>
      <c r="BM155" s="127">
        <v>2.1999999999999999E-2</v>
      </c>
      <c r="BN155" s="127">
        <v>5.8999999999999997E-2</v>
      </c>
      <c r="BO155" s="18">
        <v>0</v>
      </c>
      <c r="BP155" s="18">
        <v>0</v>
      </c>
      <c r="BQ155" s="18">
        <v>0</v>
      </c>
      <c r="BR155" s="18">
        <v>0</v>
      </c>
      <c r="BS155" s="18">
        <v>0</v>
      </c>
      <c r="BT155" s="18"/>
      <c r="BU155" s="18"/>
      <c r="BV155" s="18"/>
      <c r="BW155" s="18"/>
      <c r="BX155" s="18"/>
      <c r="BY155" s="127"/>
      <c r="BZ155" s="18"/>
      <c r="CA155" s="127">
        <v>0</v>
      </c>
      <c r="CB155" s="127">
        <v>0.14000000000000001</v>
      </c>
      <c r="CC155" s="127">
        <v>7.4999999999999997E-3</v>
      </c>
      <c r="CE155">
        <f t="shared" si="76"/>
        <v>29.411764705882355</v>
      </c>
      <c r="CF155">
        <f t="shared" si="77"/>
        <v>125</v>
      </c>
      <c r="CG155">
        <f t="shared" si="78"/>
        <v>4.25</v>
      </c>
      <c r="CH155">
        <f t="shared" si="79"/>
        <v>0.58823529411764708</v>
      </c>
      <c r="CI155">
        <f t="shared" si="80"/>
        <v>0</v>
      </c>
      <c r="CJ155" t="e">
        <f t="shared" si="81"/>
        <v>#DIV/0!</v>
      </c>
      <c r="CK155">
        <f t="shared" si="82"/>
        <v>0</v>
      </c>
      <c r="CL155">
        <f t="shared" si="83"/>
        <v>2.4999999999999996</v>
      </c>
      <c r="CM155">
        <f t="shared" si="84"/>
        <v>73.529411764705884</v>
      </c>
      <c r="CN155">
        <f t="shared" si="85"/>
        <v>73.529411764705884</v>
      </c>
      <c r="CO155">
        <f t="shared" si="86"/>
        <v>0</v>
      </c>
      <c r="CP155">
        <f t="shared" si="87"/>
        <v>0</v>
      </c>
      <c r="CQ155">
        <f t="shared" si="88"/>
        <v>0</v>
      </c>
      <c r="CR155">
        <f t="shared" si="89"/>
        <v>0</v>
      </c>
      <c r="CS155">
        <f t="shared" si="90"/>
        <v>0</v>
      </c>
      <c r="CT155">
        <f t="shared" si="91"/>
        <v>0.12941176470588237</v>
      </c>
      <c r="CU155">
        <f t="shared" si="92"/>
        <v>0</v>
      </c>
      <c r="CV155" t="e">
        <f t="shared" si="93"/>
        <v>#DIV/0!</v>
      </c>
      <c r="CW155">
        <f t="shared" si="94"/>
        <v>0</v>
      </c>
      <c r="CX155" t="e">
        <f t="shared" si="95"/>
        <v>#DIV/0!</v>
      </c>
      <c r="CY155">
        <f t="shared" si="96"/>
        <v>0</v>
      </c>
      <c r="CZ155">
        <f t="shared" si="97"/>
        <v>18.666666666666668</v>
      </c>
      <c r="DA155">
        <f t="shared" si="98"/>
        <v>0</v>
      </c>
      <c r="DB155">
        <f t="shared" si="99"/>
        <v>0</v>
      </c>
      <c r="DC155" t="e">
        <f t="shared" si="100"/>
        <v>#DIV/0!</v>
      </c>
      <c r="DD155">
        <f t="shared" si="101"/>
        <v>0</v>
      </c>
      <c r="DE155">
        <f t="shared" si="102"/>
        <v>0</v>
      </c>
      <c r="DF155">
        <f t="shared" si="103"/>
        <v>0</v>
      </c>
      <c r="DG155">
        <f t="shared" si="104"/>
        <v>0</v>
      </c>
      <c r="DH155">
        <f t="shared" si="105"/>
        <v>29.411764705882355</v>
      </c>
      <c r="DI155">
        <f t="shared" si="106"/>
        <v>0</v>
      </c>
      <c r="DJ155">
        <f t="shared" si="107"/>
        <v>4.4117647058823529E-3</v>
      </c>
      <c r="DK155">
        <f t="shared" si="108"/>
        <v>2.748085255125484</v>
      </c>
      <c r="DL155">
        <f t="shared" si="109"/>
        <v>2.4982593228413488</v>
      </c>
      <c r="DM155">
        <f t="shared" si="110"/>
        <v>0.64660829532364339</v>
      </c>
      <c r="DN155">
        <f t="shared" si="111"/>
        <v>2.1984682041003872E-2</v>
      </c>
      <c r="DO155">
        <f t="shared" si="112"/>
        <v>0.58782572302149383</v>
      </c>
      <c r="DP155">
        <f t="shared" si="113"/>
        <v>1.998607458273079E-2</v>
      </c>
    </row>
    <row r="156" spans="1:120">
      <c r="A156" s="16" t="s">
        <v>1164</v>
      </c>
      <c r="B156" s="16" t="s">
        <v>24</v>
      </c>
      <c r="C156" s="123" t="s">
        <v>546</v>
      </c>
      <c r="D156" s="16" t="s">
        <v>119</v>
      </c>
      <c r="E156" s="16" t="s">
        <v>171</v>
      </c>
      <c r="F156" s="16" t="s">
        <v>113</v>
      </c>
      <c r="G156" s="16" t="s">
        <v>595</v>
      </c>
      <c r="H156" s="27" t="s">
        <v>805</v>
      </c>
      <c r="I156" s="16" t="s">
        <v>735</v>
      </c>
      <c r="J156" s="16" t="s">
        <v>1311</v>
      </c>
      <c r="K156" s="16" t="s">
        <v>117</v>
      </c>
      <c r="L156" s="16" t="s">
        <v>114</v>
      </c>
      <c r="M156" s="16" t="s">
        <v>135</v>
      </c>
      <c r="N156" s="16">
        <v>37</v>
      </c>
      <c r="O156" s="95">
        <v>4.4959732820393574</v>
      </c>
      <c r="P156" s="95">
        <v>1.8982998301943954</v>
      </c>
      <c r="Q156" s="95">
        <v>1.0990156911651763</v>
      </c>
      <c r="R156" s="95">
        <v>5.3951679384472291</v>
      </c>
      <c r="S156" s="95">
        <v>1.7983893128157429</v>
      </c>
      <c r="T156" s="95">
        <v>2.6975839692236145</v>
      </c>
      <c r="U156" s="95">
        <v>14.886667089419205</v>
      </c>
      <c r="V156" s="95">
        <v>4.8956153515539675</v>
      </c>
      <c r="W156" s="95">
        <v>28.874139522430536</v>
      </c>
      <c r="X156" s="95">
        <v>1.6984787954370906</v>
      </c>
      <c r="Y156" s="95">
        <v>41.662685746898049</v>
      </c>
      <c r="Z156" s="95">
        <v>109.40201652962438</v>
      </c>
      <c r="AA156" s="18"/>
      <c r="AB156" s="18"/>
      <c r="AC156" s="18"/>
      <c r="AD156" s="18"/>
      <c r="AE156" s="127"/>
      <c r="AF156" s="127"/>
      <c r="AG156" s="18"/>
      <c r="AH156" s="18"/>
      <c r="AI156" s="18"/>
      <c r="AJ156" s="18"/>
      <c r="AK156" s="134"/>
      <c r="AL156" s="18"/>
      <c r="AM156" s="134"/>
      <c r="AN156" s="127"/>
      <c r="AO156" s="18"/>
      <c r="AP156" s="18"/>
      <c r="AQ156" s="18"/>
      <c r="AR156" s="18"/>
      <c r="AS156" s="18"/>
      <c r="AT156" s="18"/>
      <c r="AU156" s="18"/>
      <c r="AV156" s="18"/>
      <c r="AW156" s="18"/>
      <c r="AX156" s="127">
        <v>0.32</v>
      </c>
      <c r="AY156" s="127">
        <v>71</v>
      </c>
      <c r="AZ156" s="127"/>
      <c r="BA156" s="127">
        <v>0.46</v>
      </c>
      <c r="BB156" s="18"/>
      <c r="BC156" s="127">
        <v>0</v>
      </c>
      <c r="BD156" s="18"/>
      <c r="BE156" s="18"/>
      <c r="BF156" s="18"/>
      <c r="BG156" s="18"/>
      <c r="BH156" s="127">
        <v>8.9999999999999993E-3</v>
      </c>
      <c r="BI156" s="127">
        <v>61</v>
      </c>
      <c r="BJ156" s="18"/>
      <c r="BK156" s="127">
        <v>5.6</v>
      </c>
      <c r="BL156" s="127">
        <v>3.7</v>
      </c>
      <c r="BM156" s="127">
        <v>0.10100000000000001</v>
      </c>
      <c r="BN156" s="127">
        <v>0.1</v>
      </c>
      <c r="BO156" s="18">
        <v>0</v>
      </c>
      <c r="BP156" s="18">
        <v>5.1999999999999998E-3</v>
      </c>
      <c r="BQ156" s="18">
        <v>1.0999999999999999E-2</v>
      </c>
      <c r="BR156" s="18"/>
      <c r="BS156" s="18">
        <v>0</v>
      </c>
      <c r="BT156" s="18"/>
      <c r="BU156" s="18"/>
      <c r="BV156" s="18"/>
      <c r="BW156" s="18"/>
      <c r="BX156" s="18"/>
      <c r="BY156" s="127"/>
      <c r="BZ156" s="18"/>
      <c r="CA156" s="127">
        <v>2.5499999999999998</v>
      </c>
      <c r="CB156" s="127">
        <v>0.11</v>
      </c>
      <c r="CC156" s="127">
        <v>1.9E-2</v>
      </c>
      <c r="CE156">
        <f t="shared" si="76"/>
        <v>0.85915492957746475</v>
      </c>
      <c r="CF156">
        <f t="shared" si="77"/>
        <v>10.892857142857144</v>
      </c>
      <c r="CG156">
        <f t="shared" si="78"/>
        <v>12.678571428571429</v>
      </c>
      <c r="CH156">
        <f t="shared" si="79"/>
        <v>1.5135135135135134</v>
      </c>
      <c r="CI156">
        <f t="shared" si="80"/>
        <v>0</v>
      </c>
      <c r="CJ156" t="e">
        <f t="shared" si="81"/>
        <v>#DIV/0!</v>
      </c>
      <c r="CK156">
        <f t="shared" si="82"/>
        <v>0</v>
      </c>
      <c r="CL156">
        <f t="shared" si="83"/>
        <v>19.189189189189189</v>
      </c>
      <c r="CM156">
        <f t="shared" si="84"/>
        <v>16.486486486486484</v>
      </c>
      <c r="CN156">
        <f t="shared" si="85"/>
        <v>16.486486486486484</v>
      </c>
      <c r="CO156">
        <f t="shared" si="86"/>
        <v>0</v>
      </c>
      <c r="CP156">
        <f t="shared" si="87"/>
        <v>134.21052631578948</v>
      </c>
      <c r="CQ156">
        <f t="shared" si="88"/>
        <v>0.45535714285714285</v>
      </c>
      <c r="CR156">
        <f t="shared" si="89"/>
        <v>0</v>
      </c>
      <c r="CS156">
        <f t="shared" si="90"/>
        <v>8.2142857142857156E-2</v>
      </c>
      <c r="CT156">
        <f t="shared" si="91"/>
        <v>4.507042253521127E-3</v>
      </c>
      <c r="CU156">
        <f t="shared" si="92"/>
        <v>0</v>
      </c>
      <c r="CV156" t="e">
        <f t="shared" si="93"/>
        <v>#DIV/0!</v>
      </c>
      <c r="CW156">
        <f t="shared" si="94"/>
        <v>0</v>
      </c>
      <c r="CX156" t="e">
        <f t="shared" si="95"/>
        <v>#DIV/0!</v>
      </c>
      <c r="CY156">
        <f t="shared" si="96"/>
        <v>0</v>
      </c>
      <c r="CZ156">
        <f t="shared" si="97"/>
        <v>5.7894736842105265</v>
      </c>
      <c r="DA156">
        <f t="shared" si="98"/>
        <v>1.4375</v>
      </c>
      <c r="DB156">
        <f t="shared" si="99"/>
        <v>6.4788732394366203E-3</v>
      </c>
      <c r="DC156" t="e">
        <f t="shared" si="100"/>
        <v>#DIV/0!</v>
      </c>
      <c r="DD156">
        <f t="shared" si="101"/>
        <v>0.12432432432432432</v>
      </c>
      <c r="DE156">
        <f t="shared" si="102"/>
        <v>0</v>
      </c>
      <c r="DF156">
        <f t="shared" si="103"/>
        <v>0</v>
      </c>
      <c r="DG156">
        <f t="shared" si="104"/>
        <v>0</v>
      </c>
      <c r="DH156">
        <f t="shared" si="105"/>
        <v>0.85915492957746475</v>
      </c>
      <c r="DI156">
        <f t="shared" si="106"/>
        <v>0</v>
      </c>
      <c r="DJ156">
        <f t="shared" si="107"/>
        <v>2.6760563380281689E-4</v>
      </c>
      <c r="DK156">
        <f t="shared" si="108"/>
        <v>0.32114094871709697</v>
      </c>
      <c r="DL156">
        <f t="shared" si="109"/>
        <v>0.19625280199378148</v>
      </c>
      <c r="DM156">
        <f t="shared" si="110"/>
        <v>2.53294269410668E-2</v>
      </c>
      <c r="DN156">
        <f t="shared" si="111"/>
        <v>2.9481792013372834E-2</v>
      </c>
      <c r="DO156">
        <f t="shared" si="112"/>
        <v>1.5479094241763046E-2</v>
      </c>
      <c r="DP156">
        <f t="shared" si="113"/>
        <v>1.8016650674838954E-2</v>
      </c>
    </row>
    <row r="157" spans="1:120">
      <c r="A157" s="16" t="s">
        <v>1164</v>
      </c>
      <c r="B157" s="16" t="s">
        <v>24</v>
      </c>
      <c r="C157" s="123" t="s">
        <v>546</v>
      </c>
      <c r="D157" s="16" t="s">
        <v>119</v>
      </c>
      <c r="E157" s="16" t="s">
        <v>171</v>
      </c>
      <c r="F157" s="16" t="s">
        <v>113</v>
      </c>
      <c r="G157" s="16" t="s">
        <v>595</v>
      </c>
      <c r="H157" s="27" t="s">
        <v>805</v>
      </c>
      <c r="I157" s="16" t="s">
        <v>735</v>
      </c>
      <c r="J157" s="16" t="s">
        <v>1311</v>
      </c>
      <c r="K157" s="16" t="s">
        <v>136</v>
      </c>
      <c r="L157" s="16" t="s">
        <v>114</v>
      </c>
      <c r="M157" s="16" t="s">
        <v>137</v>
      </c>
      <c r="N157" s="16">
        <v>26</v>
      </c>
      <c r="O157" s="95">
        <v>4.7029650569541035</v>
      </c>
      <c r="P157" s="95">
        <v>1.000630863181724</v>
      </c>
      <c r="Q157" s="95">
        <v>0.8005046905453792</v>
      </c>
      <c r="R157" s="95">
        <v>5.7035959201358271</v>
      </c>
      <c r="S157" s="95">
        <v>3.2020187621815168</v>
      </c>
      <c r="T157" s="95">
        <v>5.6035328338176544</v>
      </c>
      <c r="U157" s="95">
        <v>16.110156897225757</v>
      </c>
      <c r="V157" s="95">
        <v>6.9043529559538968</v>
      </c>
      <c r="W157" s="95">
        <v>28.417916514360957</v>
      </c>
      <c r="X157" s="95">
        <v>0.90056777686355161</v>
      </c>
      <c r="Y157" s="95">
        <v>34.421701693451304</v>
      </c>
      <c r="Z157" s="95">
        <v>107.76794396467167</v>
      </c>
      <c r="AA157" s="18"/>
      <c r="AB157" s="18"/>
      <c r="AC157" s="18"/>
      <c r="AD157" s="18"/>
      <c r="AE157" s="127"/>
      <c r="AF157" s="127"/>
      <c r="AG157" s="18"/>
      <c r="AH157" s="18"/>
      <c r="AI157" s="18"/>
      <c r="AJ157" s="18"/>
      <c r="AK157" s="134"/>
      <c r="AL157" s="18"/>
      <c r="AM157" s="134"/>
      <c r="AN157" s="127"/>
      <c r="AO157" s="18"/>
      <c r="AP157" s="18"/>
      <c r="AQ157" s="18"/>
      <c r="AR157" s="18"/>
      <c r="AS157" s="18"/>
      <c r="AT157" s="18"/>
      <c r="AU157" s="18"/>
      <c r="AV157" s="18"/>
      <c r="AW157" s="18"/>
      <c r="AX157" s="127">
        <v>1.49</v>
      </c>
      <c r="AY157" s="127">
        <v>17</v>
      </c>
      <c r="AZ157" s="127">
        <v>6.6000000000000003E-2</v>
      </c>
      <c r="BA157" s="127">
        <v>0.81</v>
      </c>
      <c r="BB157" s="18"/>
      <c r="BC157" s="127">
        <v>0.89</v>
      </c>
      <c r="BD157" s="18"/>
      <c r="BE157" s="18"/>
      <c r="BF157" s="18"/>
      <c r="BG157" s="18"/>
      <c r="BH157" s="127">
        <v>1.9E-2</v>
      </c>
      <c r="BI157" s="127">
        <v>84</v>
      </c>
      <c r="BJ157" s="18"/>
      <c r="BK157" s="127">
        <v>3.8</v>
      </c>
      <c r="BL157" s="127">
        <v>4.4000000000000004</v>
      </c>
      <c r="BM157" s="127">
        <v>0.26</v>
      </c>
      <c r="BN157" s="127">
        <v>0.79</v>
      </c>
      <c r="BO157" s="18">
        <v>0.09</v>
      </c>
      <c r="BP157" s="18">
        <v>2.5000000000000001E-2</v>
      </c>
      <c r="BQ157" s="18">
        <v>6.5000000000000002E-2</v>
      </c>
      <c r="BR157" s="18">
        <v>1.7999999999999999E-2</v>
      </c>
      <c r="BS157" s="18">
        <v>0</v>
      </c>
      <c r="BT157" s="18">
        <v>5.7999999999999996E-3</v>
      </c>
      <c r="BU157" s="18"/>
      <c r="BV157" s="18"/>
      <c r="BW157" s="18"/>
      <c r="BX157" s="18"/>
      <c r="BY157" s="127"/>
      <c r="BZ157" s="18"/>
      <c r="CA157" s="127">
        <v>1.1399999999999999</v>
      </c>
      <c r="CB157" s="127">
        <v>0.83</v>
      </c>
      <c r="CC157" s="127">
        <v>0.14799999999999999</v>
      </c>
      <c r="CE157">
        <f t="shared" si="76"/>
        <v>4.9411764705882355</v>
      </c>
      <c r="CF157">
        <f t="shared" si="77"/>
        <v>22.105263157894736</v>
      </c>
      <c r="CG157">
        <f t="shared" si="78"/>
        <v>4.4736842105263159</v>
      </c>
      <c r="CH157">
        <f t="shared" si="79"/>
        <v>0.86363636363636354</v>
      </c>
      <c r="CI157">
        <f t="shared" si="80"/>
        <v>0</v>
      </c>
      <c r="CJ157" t="e">
        <f t="shared" si="81"/>
        <v>#DIV/0!</v>
      </c>
      <c r="CK157">
        <f t="shared" si="82"/>
        <v>0</v>
      </c>
      <c r="CL157">
        <f t="shared" si="83"/>
        <v>3.8636363636363633</v>
      </c>
      <c r="CM157">
        <f t="shared" si="84"/>
        <v>19.09090909090909</v>
      </c>
      <c r="CN157">
        <f t="shared" si="85"/>
        <v>19.09090909090909</v>
      </c>
      <c r="CO157">
        <f t="shared" si="86"/>
        <v>0</v>
      </c>
      <c r="CP157">
        <f t="shared" si="87"/>
        <v>7.7027027027027026</v>
      </c>
      <c r="CQ157">
        <f t="shared" si="88"/>
        <v>0.3</v>
      </c>
      <c r="CR157">
        <f t="shared" si="89"/>
        <v>0.23421052631578948</v>
      </c>
      <c r="CS157">
        <f t="shared" si="90"/>
        <v>0.21315789473684213</v>
      </c>
      <c r="CT157">
        <f t="shared" si="91"/>
        <v>8.7647058823529411E-2</v>
      </c>
      <c r="CU157">
        <f t="shared" si="92"/>
        <v>1.7368421052631582E-2</v>
      </c>
      <c r="CV157" t="e">
        <f t="shared" si="93"/>
        <v>#DIV/0!</v>
      </c>
      <c r="CW157">
        <f t="shared" si="94"/>
        <v>0</v>
      </c>
      <c r="CX157">
        <f t="shared" si="95"/>
        <v>0.9101123595505618</v>
      </c>
      <c r="CY157">
        <f t="shared" si="96"/>
        <v>0</v>
      </c>
      <c r="CZ157">
        <f t="shared" si="97"/>
        <v>5.6081081081081079</v>
      </c>
      <c r="DA157">
        <f t="shared" si="98"/>
        <v>0.5436241610738255</v>
      </c>
      <c r="DB157">
        <f t="shared" si="99"/>
        <v>4.7647058823529417E-2</v>
      </c>
      <c r="DC157">
        <f t="shared" si="100"/>
        <v>12.272727272727273</v>
      </c>
      <c r="DD157">
        <f t="shared" si="101"/>
        <v>0.18409090909090908</v>
      </c>
      <c r="DE157">
        <f t="shared" si="102"/>
        <v>0</v>
      </c>
      <c r="DF157">
        <f t="shared" si="103"/>
        <v>0</v>
      </c>
      <c r="DG157">
        <f t="shared" si="104"/>
        <v>0</v>
      </c>
      <c r="DH157">
        <f t="shared" si="105"/>
        <v>4.9411764705882355</v>
      </c>
      <c r="DI157">
        <f t="shared" si="106"/>
        <v>5.2352941176470588E-2</v>
      </c>
      <c r="DJ157">
        <f t="shared" si="107"/>
        <v>8.7058823529411761E-3</v>
      </c>
      <c r="DK157">
        <f t="shared" si="108"/>
        <v>0.84263651636355708</v>
      </c>
      <c r="DL157">
        <f t="shared" si="109"/>
        <v>0.21065912909088927</v>
      </c>
      <c r="DM157">
        <f t="shared" si="110"/>
        <v>0.18835404483420687</v>
      </c>
      <c r="DN157">
        <f t="shared" si="111"/>
        <v>3.811927097835139E-2</v>
      </c>
      <c r="DO157">
        <f t="shared" si="112"/>
        <v>4.7088511208551717E-2</v>
      </c>
      <c r="DP157">
        <f t="shared" si="113"/>
        <v>9.5298177445878474E-3</v>
      </c>
    </row>
    <row r="158" spans="1:120">
      <c r="A158" s="16" t="s">
        <v>1164</v>
      </c>
      <c r="B158" s="16" t="s">
        <v>24</v>
      </c>
      <c r="C158" s="123" t="s">
        <v>546</v>
      </c>
      <c r="D158" s="16" t="s">
        <v>119</v>
      </c>
      <c r="E158" s="16" t="s">
        <v>171</v>
      </c>
      <c r="F158" s="16" t="s">
        <v>113</v>
      </c>
      <c r="G158" s="16" t="s">
        <v>595</v>
      </c>
      <c r="H158" s="27" t="s">
        <v>805</v>
      </c>
      <c r="I158" s="16" t="s">
        <v>735</v>
      </c>
      <c r="J158" s="16" t="s">
        <v>1311</v>
      </c>
      <c r="K158" s="16" t="s">
        <v>128</v>
      </c>
      <c r="L158" s="16" t="s">
        <v>114</v>
      </c>
      <c r="M158" s="16" t="s">
        <v>138</v>
      </c>
      <c r="N158" s="16">
        <v>33</v>
      </c>
      <c r="O158" s="95">
        <v>5.1070158440509239</v>
      </c>
      <c r="P158" s="95">
        <v>2.2030264425317712</v>
      </c>
      <c r="Q158" s="95">
        <v>1.0013756556962596</v>
      </c>
      <c r="R158" s="95">
        <v>6.609079327595313</v>
      </c>
      <c r="S158" s="95">
        <v>2.3031640081013971</v>
      </c>
      <c r="T158" s="95">
        <v>5.6077036718990536</v>
      </c>
      <c r="U158" s="95">
        <v>13.91912161417801</v>
      </c>
      <c r="V158" s="95">
        <v>10.113894122532221</v>
      </c>
      <c r="W158" s="95">
        <v>26.436317310381252</v>
      </c>
      <c r="X158" s="95">
        <v>0.80110052455700775</v>
      </c>
      <c r="Y158" s="95">
        <v>33.445946900255066</v>
      </c>
      <c r="Z158" s="95">
        <v>107.54774542177829</v>
      </c>
      <c r="AA158" s="18"/>
      <c r="AB158" s="18"/>
      <c r="AC158" s="18"/>
      <c r="AD158" s="18"/>
      <c r="AE158" s="127"/>
      <c r="AF158" s="127"/>
      <c r="AG158" s="18"/>
      <c r="AH158" s="18"/>
      <c r="AI158" s="18"/>
      <c r="AJ158" s="18"/>
      <c r="AK158" s="134"/>
      <c r="AL158" s="18"/>
      <c r="AM158" s="134"/>
      <c r="AN158" s="127"/>
      <c r="AO158" s="18"/>
      <c r="AP158" s="18"/>
      <c r="AQ158" s="18"/>
      <c r="AR158" s="18"/>
      <c r="AS158" s="18"/>
      <c r="AT158" s="18"/>
      <c r="AU158" s="18"/>
      <c r="AV158" s="18"/>
      <c r="AW158" s="18"/>
      <c r="AX158" s="127">
        <v>0.42</v>
      </c>
      <c r="AY158" s="127">
        <v>27</v>
      </c>
      <c r="AZ158" s="127"/>
      <c r="BA158" s="127"/>
      <c r="BB158" s="18"/>
      <c r="BC158" s="127">
        <v>9.0999999999999998E-2</v>
      </c>
      <c r="BD158" s="18"/>
      <c r="BE158" s="18"/>
      <c r="BF158" s="18"/>
      <c r="BG158" s="18"/>
      <c r="BH158" s="127">
        <v>1.2E-2</v>
      </c>
      <c r="BI158" s="127">
        <v>75</v>
      </c>
      <c r="BJ158" s="18"/>
      <c r="BK158" s="127">
        <v>6.7</v>
      </c>
      <c r="BL158" s="127">
        <v>3.4</v>
      </c>
      <c r="BM158" s="127">
        <v>9.2999999999999999E-2</v>
      </c>
      <c r="BN158" s="127">
        <v>0.11</v>
      </c>
      <c r="BO158" s="18">
        <v>1.1000000000000001E-3</v>
      </c>
      <c r="BP158" s="18">
        <v>2.7000000000000001E-3</v>
      </c>
      <c r="BQ158" s="18">
        <v>2.2000000000000001E-3</v>
      </c>
      <c r="BR158" s="18">
        <v>5.0000000000000001E-4</v>
      </c>
      <c r="BS158" s="18"/>
      <c r="BT158" s="18"/>
      <c r="BU158" s="18"/>
      <c r="BV158" s="18">
        <v>1.9E-3</v>
      </c>
      <c r="BW158" s="18">
        <v>5.9999999999999995E-4</v>
      </c>
      <c r="BX158" s="18">
        <v>0</v>
      </c>
      <c r="BY158" s="127"/>
      <c r="BZ158" s="18"/>
      <c r="CA158" s="127">
        <v>5.6</v>
      </c>
      <c r="CB158" s="127">
        <v>0.74</v>
      </c>
      <c r="CC158" s="127">
        <v>2.5999999999999999E-2</v>
      </c>
      <c r="CE158">
        <f t="shared" si="76"/>
        <v>2.7777777777777777</v>
      </c>
      <c r="CF158">
        <f t="shared" si="77"/>
        <v>11.194029850746269</v>
      </c>
      <c r="CG158">
        <f t="shared" si="78"/>
        <v>4.0298507462686564</v>
      </c>
      <c r="CH158">
        <f t="shared" si="79"/>
        <v>1.9705882352941178</v>
      </c>
      <c r="CI158">
        <f t="shared" si="80"/>
        <v>0</v>
      </c>
      <c r="CJ158" t="e">
        <f t="shared" si="81"/>
        <v>#DIV/0!</v>
      </c>
      <c r="CK158">
        <f t="shared" si="82"/>
        <v>0</v>
      </c>
      <c r="CL158">
        <f t="shared" si="83"/>
        <v>7.9411764705882355</v>
      </c>
      <c r="CM158">
        <f t="shared" si="84"/>
        <v>22.058823529411764</v>
      </c>
      <c r="CN158">
        <f t="shared" si="85"/>
        <v>22.058823529411764</v>
      </c>
      <c r="CO158">
        <f t="shared" si="86"/>
        <v>0</v>
      </c>
      <c r="CP158">
        <f t="shared" si="87"/>
        <v>215.38461538461539</v>
      </c>
      <c r="CQ158">
        <f t="shared" si="88"/>
        <v>0.83582089552238803</v>
      </c>
      <c r="CR158">
        <f t="shared" si="89"/>
        <v>1.3582089552238805E-2</v>
      </c>
      <c r="CS158">
        <f t="shared" si="90"/>
        <v>0</v>
      </c>
      <c r="CT158">
        <f t="shared" si="91"/>
        <v>1.5555555555555555E-2</v>
      </c>
      <c r="CU158">
        <f t="shared" si="92"/>
        <v>0</v>
      </c>
      <c r="CV158" t="e">
        <f t="shared" si="93"/>
        <v>#DIV/0!</v>
      </c>
      <c r="CW158">
        <f t="shared" si="94"/>
        <v>0</v>
      </c>
      <c r="CX158">
        <f t="shared" si="95"/>
        <v>0</v>
      </c>
      <c r="CY158">
        <f t="shared" si="96"/>
        <v>0</v>
      </c>
      <c r="CZ158">
        <f t="shared" si="97"/>
        <v>28.461538461538463</v>
      </c>
      <c r="DA158">
        <f t="shared" si="98"/>
        <v>0</v>
      </c>
      <c r="DB158">
        <f t="shared" si="99"/>
        <v>0</v>
      </c>
      <c r="DC158" t="e">
        <f t="shared" si="100"/>
        <v>#DIV/0!</v>
      </c>
      <c r="DD158">
        <f t="shared" si="101"/>
        <v>0</v>
      </c>
      <c r="DE158">
        <f t="shared" si="102"/>
        <v>0</v>
      </c>
      <c r="DF158">
        <f t="shared" si="103"/>
        <v>0</v>
      </c>
      <c r="DG158">
        <f t="shared" si="104"/>
        <v>0</v>
      </c>
      <c r="DH158">
        <f t="shared" si="105"/>
        <v>2.7777777777777777</v>
      </c>
      <c r="DI158">
        <f t="shared" si="106"/>
        <v>3.3703703703703704E-3</v>
      </c>
      <c r="DJ158">
        <f t="shared" si="107"/>
        <v>9.6296296296296288E-4</v>
      </c>
      <c r="DK158">
        <f t="shared" si="108"/>
        <v>0.34375582210468614</v>
      </c>
      <c r="DL158">
        <f t="shared" si="109"/>
        <v>0.14945905308899396</v>
      </c>
      <c r="DM158">
        <f t="shared" si="110"/>
        <v>8.5302370670422109E-2</v>
      </c>
      <c r="DN158">
        <f t="shared" si="111"/>
        <v>3.070885344135196E-2</v>
      </c>
      <c r="DO158">
        <f t="shared" si="112"/>
        <v>3.7087987248009616E-2</v>
      </c>
      <c r="DP158">
        <f t="shared" si="113"/>
        <v>1.3351675409283462E-2</v>
      </c>
    </row>
    <row r="159" spans="1:120">
      <c r="A159" s="16" t="s">
        <v>966</v>
      </c>
      <c r="B159" s="16" t="s">
        <v>24</v>
      </c>
      <c r="C159" s="123" t="s">
        <v>546</v>
      </c>
      <c r="D159" s="16" t="s">
        <v>119</v>
      </c>
      <c r="E159" s="16" t="s">
        <v>171</v>
      </c>
      <c r="F159" s="16" t="s">
        <v>120</v>
      </c>
      <c r="G159" s="16" t="s">
        <v>595</v>
      </c>
      <c r="H159" s="27">
        <v>53</v>
      </c>
      <c r="I159" s="16" t="s">
        <v>712</v>
      </c>
      <c r="J159" s="16"/>
      <c r="K159" s="16" t="s">
        <v>968</v>
      </c>
      <c r="L159" s="16" t="s">
        <v>969</v>
      </c>
      <c r="M159" s="16" t="s">
        <v>967</v>
      </c>
      <c r="N159" s="16">
        <v>20</v>
      </c>
      <c r="O159" s="95">
        <v>4.3353779340745344</v>
      </c>
      <c r="P159" s="95">
        <v>5.8768456439677017</v>
      </c>
      <c r="Q159" s="95">
        <v>0</v>
      </c>
      <c r="R159" s="95">
        <v>13.102475534091926</v>
      </c>
      <c r="S159" s="95">
        <v>5.2987952527577642</v>
      </c>
      <c r="T159" s="95">
        <v>7.1292881582559016</v>
      </c>
      <c r="U159" s="95">
        <v>11.464666092330436</v>
      </c>
      <c r="V159" s="95">
        <v>11.368324360462113</v>
      </c>
      <c r="W159" s="95">
        <v>21.580547938504349</v>
      </c>
      <c r="X159" s="95">
        <v>0</v>
      </c>
      <c r="Y159" s="95">
        <v>25.626900676973918</v>
      </c>
      <c r="Z159" s="95">
        <v>105.78322159141865</v>
      </c>
      <c r="AA159" s="18"/>
      <c r="AB159" s="18"/>
      <c r="AC159" s="18"/>
      <c r="AD159" s="18"/>
      <c r="AE159" s="127"/>
      <c r="AF159" s="127"/>
      <c r="AG159" s="18"/>
      <c r="AH159" s="18"/>
      <c r="AI159" s="18"/>
      <c r="AJ159" s="18"/>
      <c r="AK159" s="134"/>
      <c r="AL159" s="18"/>
      <c r="AM159" s="134"/>
      <c r="AN159" s="127"/>
      <c r="AO159" s="18"/>
      <c r="AP159" s="18"/>
      <c r="AQ159" s="18"/>
      <c r="AR159" s="18"/>
      <c r="AS159" s="18"/>
      <c r="AT159" s="18"/>
      <c r="AU159" s="18"/>
      <c r="AV159" s="18"/>
      <c r="AW159" s="18"/>
      <c r="AX159" s="127"/>
      <c r="AY159" s="127"/>
      <c r="AZ159" s="127"/>
      <c r="BA159" s="127"/>
      <c r="BB159" s="18"/>
      <c r="BC159" s="127">
        <v>0</v>
      </c>
      <c r="BD159" s="18"/>
      <c r="BE159" s="18"/>
      <c r="BF159" s="18"/>
      <c r="BG159" s="18"/>
      <c r="BH159" s="127"/>
      <c r="BI159" s="127"/>
      <c r="BJ159" s="18"/>
      <c r="BK159" s="127"/>
      <c r="BL159" s="127"/>
      <c r="BM159" s="127"/>
      <c r="BN159" s="127"/>
      <c r="BO159" s="18"/>
      <c r="BP159" s="18"/>
      <c r="BQ159" s="18"/>
      <c r="BR159" s="18"/>
      <c r="BS159" s="18"/>
      <c r="BT159" s="18"/>
      <c r="BU159" s="18"/>
      <c r="BV159" s="18"/>
      <c r="BW159" s="18"/>
      <c r="BX159" s="18"/>
      <c r="BY159" s="127"/>
      <c r="BZ159" s="18"/>
      <c r="CA159" s="127"/>
      <c r="CB159" s="127"/>
      <c r="CC159" s="127"/>
      <c r="CE159" t="e">
        <f t="shared" si="76"/>
        <v>#DIV/0!</v>
      </c>
      <c r="CF159" t="e">
        <f t="shared" si="77"/>
        <v>#DIV/0!</v>
      </c>
      <c r="CG159" t="e">
        <f t="shared" si="78"/>
        <v>#DIV/0!</v>
      </c>
      <c r="CH159" t="e">
        <f t="shared" si="79"/>
        <v>#DIV/0!</v>
      </c>
      <c r="CI159" t="e">
        <f t="shared" si="80"/>
        <v>#DIV/0!</v>
      </c>
      <c r="CJ159" t="e">
        <f t="shared" si="81"/>
        <v>#DIV/0!</v>
      </c>
      <c r="CK159" t="e">
        <f t="shared" si="82"/>
        <v>#DIV/0!</v>
      </c>
      <c r="CL159" t="e">
        <f t="shared" si="83"/>
        <v>#DIV/0!</v>
      </c>
      <c r="CM159" t="e">
        <f t="shared" si="84"/>
        <v>#DIV/0!</v>
      </c>
      <c r="CN159" t="e">
        <f t="shared" si="85"/>
        <v>#DIV/0!</v>
      </c>
      <c r="CO159" t="e">
        <f t="shared" si="86"/>
        <v>#DIV/0!</v>
      </c>
      <c r="CP159" t="e">
        <f t="shared" si="87"/>
        <v>#DIV/0!</v>
      </c>
      <c r="CQ159" t="e">
        <f t="shared" si="88"/>
        <v>#DIV/0!</v>
      </c>
      <c r="CR159" t="e">
        <f t="shared" si="89"/>
        <v>#DIV/0!</v>
      </c>
      <c r="CS159" t="e">
        <f t="shared" si="90"/>
        <v>#DIV/0!</v>
      </c>
      <c r="CT159" t="e">
        <f t="shared" si="91"/>
        <v>#DIV/0!</v>
      </c>
      <c r="CU159" t="e">
        <f t="shared" si="92"/>
        <v>#DIV/0!</v>
      </c>
      <c r="CV159" t="e">
        <f t="shared" si="93"/>
        <v>#DIV/0!</v>
      </c>
      <c r="CW159" t="e">
        <f t="shared" si="94"/>
        <v>#DIV/0!</v>
      </c>
      <c r="CX159" t="e">
        <f t="shared" si="95"/>
        <v>#DIV/0!</v>
      </c>
      <c r="CY159" t="e">
        <f t="shared" si="96"/>
        <v>#DIV/0!</v>
      </c>
      <c r="CZ159" t="e">
        <f t="shared" si="97"/>
        <v>#DIV/0!</v>
      </c>
      <c r="DA159" t="e">
        <f t="shared" si="98"/>
        <v>#DIV/0!</v>
      </c>
      <c r="DB159" t="e">
        <f t="shared" si="99"/>
        <v>#DIV/0!</v>
      </c>
      <c r="DC159" t="e">
        <f t="shared" si="100"/>
        <v>#DIV/0!</v>
      </c>
      <c r="DD159" t="e">
        <f t="shared" si="101"/>
        <v>#DIV/0!</v>
      </c>
      <c r="DE159" t="e">
        <f t="shared" si="102"/>
        <v>#DIV/0!</v>
      </c>
      <c r="DF159" t="e">
        <f t="shared" si="103"/>
        <v>#DIV/0!</v>
      </c>
      <c r="DG159" t="e">
        <f t="shared" si="104"/>
        <v>#DIV/0!</v>
      </c>
      <c r="DH159" t="e">
        <f t="shared" si="105"/>
        <v>#DIV/0!</v>
      </c>
      <c r="DI159" t="e">
        <f t="shared" si="106"/>
        <v>#DIV/0!</v>
      </c>
      <c r="DJ159" t="e">
        <f t="shared" si="107"/>
        <v>#DIV/0!</v>
      </c>
      <c r="DK159" t="e">
        <f t="shared" si="108"/>
        <v>#DIV/0!</v>
      </c>
      <c r="DL159" t="e">
        <f t="shared" si="109"/>
        <v>#DIV/0!</v>
      </c>
      <c r="DM159" t="e">
        <f t="shared" si="110"/>
        <v>#DIV/0!</v>
      </c>
      <c r="DN159" t="e">
        <f t="shared" si="111"/>
        <v>#DIV/0!</v>
      </c>
      <c r="DO159" t="e">
        <f t="shared" si="112"/>
        <v>#DIV/0!</v>
      </c>
      <c r="DP159" t="e">
        <f t="shared" si="113"/>
        <v>#DIV/0!</v>
      </c>
    </row>
    <row r="160" spans="1:120">
      <c r="A160" s="16" t="s">
        <v>1396</v>
      </c>
      <c r="B160" s="16" t="s">
        <v>24</v>
      </c>
      <c r="C160" s="123" t="s">
        <v>546</v>
      </c>
      <c r="D160" s="16" t="s">
        <v>119</v>
      </c>
      <c r="E160" s="16" t="s">
        <v>171</v>
      </c>
      <c r="F160" s="16" t="s">
        <v>120</v>
      </c>
      <c r="G160" s="16" t="s">
        <v>595</v>
      </c>
      <c r="H160" s="27">
        <v>53</v>
      </c>
      <c r="I160" s="16" t="s">
        <v>712</v>
      </c>
      <c r="J160" s="16" t="s">
        <v>1318</v>
      </c>
      <c r="K160" s="16" t="s">
        <v>968</v>
      </c>
      <c r="L160" s="16"/>
      <c r="M160" s="16" t="s">
        <v>1485</v>
      </c>
      <c r="N160" s="16">
        <v>50</v>
      </c>
      <c r="O160" s="95">
        <v>5.3617284315949716</v>
      </c>
      <c r="P160" s="95">
        <v>0</v>
      </c>
      <c r="Q160" s="95">
        <v>1.6318303922245567</v>
      </c>
      <c r="R160" s="95">
        <v>14.22023627509971</v>
      </c>
      <c r="S160" s="95">
        <v>6.6438808826285527</v>
      </c>
      <c r="T160" s="95">
        <v>8.2757112748531085</v>
      </c>
      <c r="U160" s="95">
        <v>13.987117647639058</v>
      </c>
      <c r="V160" s="95">
        <v>4.5458132354826937</v>
      </c>
      <c r="W160" s="95">
        <v>26.109286275592908</v>
      </c>
      <c r="X160" s="95">
        <v>0</v>
      </c>
      <c r="Y160" s="95">
        <v>24.827133824559329</v>
      </c>
      <c r="Z160" s="95">
        <v>105.60273823967489</v>
      </c>
      <c r="AA160" s="16"/>
      <c r="AB160" s="16"/>
      <c r="AC160" s="16"/>
      <c r="AD160" s="16"/>
      <c r="AE160" s="128"/>
      <c r="AF160" s="128"/>
      <c r="AG160" s="16"/>
      <c r="AH160" s="16"/>
      <c r="AI160" s="16"/>
      <c r="AJ160" s="16"/>
      <c r="AK160" s="135"/>
      <c r="AL160" s="16"/>
      <c r="AM160" s="135"/>
      <c r="AN160" s="128"/>
      <c r="AO160" s="16"/>
      <c r="AP160" s="16"/>
      <c r="AQ160" s="16"/>
      <c r="AR160" s="16"/>
      <c r="AS160" s="16"/>
      <c r="AT160" s="16"/>
      <c r="AU160" s="16"/>
      <c r="AV160" s="16"/>
      <c r="AW160" s="16"/>
      <c r="AX160" s="128">
        <v>0.22949999999999998</v>
      </c>
      <c r="AY160" s="128">
        <v>8.9280000000000008</v>
      </c>
      <c r="AZ160" s="128"/>
      <c r="BA160" s="128"/>
      <c r="BB160" s="16"/>
      <c r="BC160" s="128">
        <v>9.0499999999999997E-2</v>
      </c>
      <c r="BD160" s="16"/>
      <c r="BE160" s="16"/>
      <c r="BF160" s="16"/>
      <c r="BG160" s="16"/>
      <c r="BH160" s="128"/>
      <c r="BI160" s="128">
        <v>74.77</v>
      </c>
      <c r="BJ160" s="16"/>
      <c r="BK160" s="128">
        <v>2.6890000000000001</v>
      </c>
      <c r="BL160" s="128">
        <v>1.9379999999999999</v>
      </c>
      <c r="BM160" s="128">
        <v>6.0999999999999999E-2</v>
      </c>
      <c r="BN160" s="128">
        <v>5.7000000000000002E-2</v>
      </c>
      <c r="BO160" s="16"/>
      <c r="BP160" s="16">
        <v>2E-3</v>
      </c>
      <c r="BQ160" s="16">
        <v>1E-3</v>
      </c>
      <c r="BR160" s="16"/>
      <c r="BS160" s="16"/>
      <c r="BT160" s="16"/>
      <c r="BU160" s="16"/>
      <c r="BV160" s="16"/>
      <c r="BW160" s="16"/>
      <c r="BX160" s="16">
        <v>2E-3</v>
      </c>
      <c r="BY160" s="128"/>
      <c r="BZ160" s="16"/>
      <c r="CA160" s="128">
        <v>0.78400000000000003</v>
      </c>
      <c r="CB160" s="128">
        <v>0.32899999999999996</v>
      </c>
      <c r="CC160" s="128">
        <v>2.4500000000000001E-2</v>
      </c>
      <c r="CE160">
        <f t="shared" si="76"/>
        <v>8.3747759856630815</v>
      </c>
      <c r="CF160">
        <f t="shared" si="77"/>
        <v>27.8058757902566</v>
      </c>
      <c r="CG160">
        <f t="shared" si="78"/>
        <v>3.3201933804388251</v>
      </c>
      <c r="CH160">
        <f t="shared" si="79"/>
        <v>1.3875128998968009</v>
      </c>
      <c r="CI160">
        <f t="shared" si="80"/>
        <v>0</v>
      </c>
      <c r="CJ160" t="e">
        <f t="shared" si="81"/>
        <v>#DIV/0!</v>
      </c>
      <c r="CK160">
        <f t="shared" si="82"/>
        <v>0</v>
      </c>
      <c r="CL160">
        <f t="shared" si="83"/>
        <v>4.6068111455108367</v>
      </c>
      <c r="CM160">
        <f t="shared" si="84"/>
        <v>38.581011351909183</v>
      </c>
      <c r="CN160">
        <f t="shared" si="85"/>
        <v>38.581011351909183</v>
      </c>
      <c r="CO160">
        <f t="shared" si="86"/>
        <v>0</v>
      </c>
      <c r="CP160">
        <f t="shared" si="87"/>
        <v>32</v>
      </c>
      <c r="CQ160">
        <f t="shared" si="88"/>
        <v>0.29155820007437711</v>
      </c>
      <c r="CR160">
        <f t="shared" si="89"/>
        <v>3.3655634064708069E-2</v>
      </c>
      <c r="CS160">
        <f t="shared" si="90"/>
        <v>0</v>
      </c>
      <c r="CT160">
        <f t="shared" si="91"/>
        <v>2.5705645161290317E-2</v>
      </c>
      <c r="CU160">
        <f t="shared" si="92"/>
        <v>0</v>
      </c>
      <c r="CV160" t="e">
        <f t="shared" si="93"/>
        <v>#DIV/0!</v>
      </c>
      <c r="CW160">
        <f t="shared" si="94"/>
        <v>0</v>
      </c>
      <c r="CX160">
        <f t="shared" si="95"/>
        <v>0</v>
      </c>
      <c r="CY160">
        <f t="shared" si="96"/>
        <v>0</v>
      </c>
      <c r="CZ160">
        <f t="shared" si="97"/>
        <v>13.428571428571427</v>
      </c>
      <c r="DA160">
        <f t="shared" si="98"/>
        <v>0</v>
      </c>
      <c r="DB160">
        <f t="shared" si="99"/>
        <v>0</v>
      </c>
      <c r="DC160" t="e">
        <f t="shared" si="100"/>
        <v>#DIV/0!</v>
      </c>
      <c r="DD160">
        <f t="shared" si="101"/>
        <v>0</v>
      </c>
      <c r="DE160">
        <f t="shared" si="102"/>
        <v>0</v>
      </c>
      <c r="DF160">
        <f t="shared" si="103"/>
        <v>0</v>
      </c>
      <c r="DG160">
        <f t="shared" si="104"/>
        <v>0</v>
      </c>
      <c r="DH160">
        <f t="shared" si="105"/>
        <v>8.3747759856630815</v>
      </c>
      <c r="DI160">
        <f t="shared" si="106"/>
        <v>1.0136648745519712E-2</v>
      </c>
      <c r="DJ160">
        <f t="shared" si="107"/>
        <v>2.7441756272401432E-3</v>
      </c>
      <c r="DK160">
        <f t="shared" si="108"/>
        <v>2.4707626934282456</v>
      </c>
      <c r="DL160">
        <f t="shared" si="109"/>
        <v>0.60685399487711289</v>
      </c>
      <c r="DM160">
        <f t="shared" si="110"/>
        <v>0.7441622852406532</v>
      </c>
      <c r="DN160">
        <f t="shared" si="111"/>
        <v>8.8857574998375724E-2</v>
      </c>
      <c r="DO160">
        <f t="shared" si="112"/>
        <v>0.18277670163805518</v>
      </c>
      <c r="DP160">
        <f t="shared" si="113"/>
        <v>2.1824667543460703E-2</v>
      </c>
    </row>
    <row r="161" spans="1:120">
      <c r="A161" s="16" t="s">
        <v>1396</v>
      </c>
      <c r="B161" s="16" t="s">
        <v>24</v>
      </c>
      <c r="C161" s="123" t="s">
        <v>546</v>
      </c>
      <c r="D161" s="16" t="s">
        <v>119</v>
      </c>
      <c r="E161" s="16" t="s">
        <v>171</v>
      </c>
      <c r="F161" s="16" t="s">
        <v>120</v>
      </c>
      <c r="G161" s="16" t="s">
        <v>595</v>
      </c>
      <c r="H161" s="27">
        <v>53</v>
      </c>
      <c r="I161" s="16" t="s">
        <v>712</v>
      </c>
      <c r="J161" s="16" t="s">
        <v>1318</v>
      </c>
      <c r="K161" s="16" t="s">
        <v>968</v>
      </c>
      <c r="L161" s="16"/>
      <c r="M161" s="16" t="s">
        <v>1484</v>
      </c>
      <c r="N161" s="16">
        <v>24</v>
      </c>
      <c r="O161" s="95">
        <v>15.714413624961285</v>
      </c>
      <c r="P161" s="95">
        <v>0.31220689321115136</v>
      </c>
      <c r="Q161" s="95">
        <v>1.7691723948631908</v>
      </c>
      <c r="R161" s="95">
        <v>10.198758511564279</v>
      </c>
      <c r="S161" s="95">
        <v>1.2488275728446054</v>
      </c>
      <c r="T161" s="95">
        <v>5.0993792557821394</v>
      </c>
      <c r="U161" s="95">
        <v>13.737103301290659</v>
      </c>
      <c r="V161" s="95">
        <v>4.2668275405524012</v>
      </c>
      <c r="W161" s="95">
        <v>27.057930744966452</v>
      </c>
      <c r="X161" s="95">
        <v>2.7057930744966452</v>
      </c>
      <c r="Y161" s="95">
        <v>23.103310097625197</v>
      </c>
      <c r="Z161" s="95">
        <v>105.213723012158</v>
      </c>
      <c r="AA161" s="16"/>
      <c r="AB161" s="16"/>
      <c r="AC161" s="16"/>
      <c r="AD161" s="16"/>
      <c r="AE161" s="128"/>
      <c r="AF161" s="128"/>
      <c r="AG161" s="16"/>
      <c r="AH161" s="16"/>
      <c r="AI161" s="16"/>
      <c r="AJ161" s="16">
        <v>10.78</v>
      </c>
      <c r="AK161" s="135"/>
      <c r="AL161" s="16"/>
      <c r="AM161" s="135"/>
      <c r="AN161" s="128"/>
      <c r="AO161" s="16"/>
      <c r="AP161" s="16"/>
      <c r="AQ161" s="16"/>
      <c r="AR161" s="16"/>
      <c r="AS161" s="16"/>
      <c r="AT161" s="16"/>
      <c r="AU161" s="16"/>
      <c r="AV161" s="16"/>
      <c r="AW161" s="16"/>
      <c r="AX161" s="128">
        <v>0.82499999999999996</v>
      </c>
      <c r="AY161" s="128">
        <v>1.4104999999999999</v>
      </c>
      <c r="AZ161" s="128">
        <v>0.04</v>
      </c>
      <c r="BA161" s="128">
        <v>0.47850000000000004</v>
      </c>
      <c r="BB161" s="16"/>
      <c r="BC161" s="128">
        <v>2.8999999999999998E-2</v>
      </c>
      <c r="BD161" s="16"/>
      <c r="BE161" s="16"/>
      <c r="BF161" s="16"/>
      <c r="BG161" s="16"/>
      <c r="BH161" s="128"/>
      <c r="BI161" s="128">
        <v>33.545000000000002</v>
      </c>
      <c r="BJ161" s="16"/>
      <c r="BK161" s="128">
        <v>0.72700000000000009</v>
      </c>
      <c r="BL161" s="128">
        <v>0.73849999999999993</v>
      </c>
      <c r="BM161" s="128">
        <v>5.8999999999999997E-2</v>
      </c>
      <c r="BN161" s="128">
        <v>0.20100000000000001</v>
      </c>
      <c r="BO161" s="16">
        <v>3.3000000000000002E-2</v>
      </c>
      <c r="BP161" s="16">
        <v>6.0000000000000001E-3</v>
      </c>
      <c r="BQ161" s="16">
        <v>2.1999999999999999E-2</v>
      </c>
      <c r="BR161" s="16">
        <v>8.0000000000000002E-3</v>
      </c>
      <c r="BS161" s="16"/>
      <c r="BT161" s="16">
        <v>2E-3</v>
      </c>
      <c r="BU161" s="16"/>
      <c r="BV161" s="16"/>
      <c r="BW161" s="16"/>
      <c r="BX161" s="16">
        <v>1.9E-2</v>
      </c>
      <c r="BY161" s="128"/>
      <c r="BZ161" s="16"/>
      <c r="CA161" s="128">
        <v>0.59699999999999998</v>
      </c>
      <c r="CB161" s="128">
        <v>0.40149999999999997</v>
      </c>
      <c r="CC161" s="128">
        <v>2.9000000000000001E-2</v>
      </c>
      <c r="CE161">
        <f t="shared" si="76"/>
        <v>23.782346685572495</v>
      </c>
      <c r="CF161">
        <f t="shared" si="77"/>
        <v>46.141678129298484</v>
      </c>
      <c r="CG161">
        <f t="shared" si="78"/>
        <v>1.9401650618982114</v>
      </c>
      <c r="CH161">
        <f t="shared" si="79"/>
        <v>0.98442789438050127</v>
      </c>
      <c r="CI161">
        <f t="shared" si="80"/>
        <v>0</v>
      </c>
      <c r="CJ161" t="e">
        <f t="shared" si="81"/>
        <v>#DIV/0!</v>
      </c>
      <c r="CK161">
        <f t="shared" si="82"/>
        <v>0</v>
      </c>
      <c r="CL161">
        <f t="shared" si="83"/>
        <v>1.9099526066350712</v>
      </c>
      <c r="CM161">
        <f t="shared" si="84"/>
        <v>45.423155044008134</v>
      </c>
      <c r="CN161">
        <f t="shared" si="85"/>
        <v>45.423155044008134</v>
      </c>
      <c r="CO161">
        <f t="shared" si="86"/>
        <v>0</v>
      </c>
      <c r="CP161">
        <f t="shared" si="87"/>
        <v>20.586206896551722</v>
      </c>
      <c r="CQ161">
        <f t="shared" si="88"/>
        <v>0.82118294360385136</v>
      </c>
      <c r="CR161">
        <f t="shared" si="89"/>
        <v>3.9889958734525437E-2</v>
      </c>
      <c r="CS161">
        <f t="shared" si="90"/>
        <v>0.65818431911966979</v>
      </c>
      <c r="CT161">
        <f t="shared" si="91"/>
        <v>0.58489897199574625</v>
      </c>
      <c r="CU161">
        <f t="shared" si="92"/>
        <v>5.5020632737276476E-2</v>
      </c>
      <c r="CV161" t="e">
        <f t="shared" si="93"/>
        <v>#DIV/0!</v>
      </c>
      <c r="CW161">
        <f t="shared" si="94"/>
        <v>0</v>
      </c>
      <c r="CX161">
        <f t="shared" si="95"/>
        <v>16.500000000000004</v>
      </c>
      <c r="CY161">
        <f t="shared" si="96"/>
        <v>0</v>
      </c>
      <c r="CZ161">
        <f t="shared" si="97"/>
        <v>13.844827586206895</v>
      </c>
      <c r="DA161">
        <f t="shared" si="98"/>
        <v>0.58000000000000007</v>
      </c>
      <c r="DB161">
        <f t="shared" si="99"/>
        <v>0.33924140375753287</v>
      </c>
      <c r="DC161">
        <f t="shared" si="100"/>
        <v>11.9625</v>
      </c>
      <c r="DD161">
        <f t="shared" si="101"/>
        <v>0.64793500338524046</v>
      </c>
      <c r="DE161">
        <f t="shared" si="102"/>
        <v>0</v>
      </c>
      <c r="DF161">
        <f t="shared" si="103"/>
        <v>0</v>
      </c>
      <c r="DG161">
        <f t="shared" si="104"/>
        <v>0</v>
      </c>
      <c r="DH161">
        <f t="shared" si="105"/>
        <v>23.782346685572495</v>
      </c>
      <c r="DI161">
        <f t="shared" si="106"/>
        <v>2.056008507621411E-2</v>
      </c>
      <c r="DJ161">
        <f t="shared" si="107"/>
        <v>2.056008507621411E-2</v>
      </c>
      <c r="DK161">
        <f t="shared" si="108"/>
        <v>1.7177820809416855</v>
      </c>
      <c r="DL161">
        <f t="shared" si="109"/>
        <v>2.4335246146673875</v>
      </c>
      <c r="DM161">
        <f t="shared" si="110"/>
        <v>0.88537934976576071</v>
      </c>
      <c r="DN161">
        <f t="shared" si="111"/>
        <v>3.7228426675945905E-2</v>
      </c>
      <c r="DO161">
        <f t="shared" si="112"/>
        <v>1.2542874121681609</v>
      </c>
      <c r="DP161">
        <f t="shared" si="113"/>
        <v>5.2740271124256694E-2</v>
      </c>
    </row>
    <row r="162" spans="1:120">
      <c r="A162" s="16" t="s">
        <v>1396</v>
      </c>
      <c r="B162" s="16" t="s">
        <v>24</v>
      </c>
      <c r="C162" s="123" t="s">
        <v>546</v>
      </c>
      <c r="D162" s="16" t="s">
        <v>119</v>
      </c>
      <c r="E162" s="16" t="s">
        <v>171</v>
      </c>
      <c r="F162" s="16" t="s">
        <v>120</v>
      </c>
      <c r="G162" s="16" t="s">
        <v>595</v>
      </c>
      <c r="H162" s="27">
        <v>53</v>
      </c>
      <c r="I162" s="16" t="s">
        <v>712</v>
      </c>
      <c r="J162" s="16" t="s">
        <v>1318</v>
      </c>
      <c r="K162" s="16" t="s">
        <v>968</v>
      </c>
      <c r="L162" s="16"/>
      <c r="M162" s="16" t="s">
        <v>1483</v>
      </c>
      <c r="N162" s="16">
        <v>35</v>
      </c>
      <c r="O162" s="95">
        <v>4.0933562345741379</v>
      </c>
      <c r="P162" s="95">
        <v>0</v>
      </c>
      <c r="Q162" s="95">
        <v>1.3303407762365949</v>
      </c>
      <c r="R162" s="95">
        <v>17.294430091075732</v>
      </c>
      <c r="S162" s="95">
        <v>4.7073596697602582</v>
      </c>
      <c r="T162" s="95">
        <v>7.7773768456908616</v>
      </c>
      <c r="U162" s="95">
        <v>16.066423220703491</v>
      </c>
      <c r="V162" s="95">
        <v>7.7773768456908616</v>
      </c>
      <c r="W162" s="95">
        <v>22.411125384293403</v>
      </c>
      <c r="X162" s="95">
        <v>0</v>
      </c>
      <c r="Y162" s="95">
        <v>23.946133972258703</v>
      </c>
      <c r="Z162" s="95">
        <v>105.40392304028404</v>
      </c>
      <c r="AA162" s="16"/>
      <c r="AB162" s="16"/>
      <c r="AC162" s="16"/>
      <c r="AD162" s="16"/>
      <c r="AE162" s="128"/>
      <c r="AF162" s="128"/>
      <c r="AG162" s="16"/>
      <c r="AH162" s="16"/>
      <c r="AI162" s="16"/>
      <c r="AJ162" s="16"/>
      <c r="AK162" s="135"/>
      <c r="AL162" s="16"/>
      <c r="AM162" s="135"/>
      <c r="AN162" s="128"/>
      <c r="AO162" s="16"/>
      <c r="AP162" s="16"/>
      <c r="AQ162" s="16"/>
      <c r="AR162" s="16"/>
      <c r="AS162" s="16"/>
      <c r="AT162" s="16"/>
      <c r="AU162" s="16"/>
      <c r="AV162" s="16"/>
      <c r="AW162" s="16"/>
      <c r="AX162" s="128">
        <v>0.11399999999999999</v>
      </c>
      <c r="AY162" s="128">
        <v>0.61350000000000005</v>
      </c>
      <c r="AZ162" s="128">
        <v>2E-3</v>
      </c>
      <c r="BA162" s="128">
        <v>0.13200000000000001</v>
      </c>
      <c r="BB162" s="16"/>
      <c r="BC162" s="128">
        <v>3.5500000000000004E-2</v>
      </c>
      <c r="BD162" s="16"/>
      <c r="BE162" s="16"/>
      <c r="BF162" s="16"/>
      <c r="BG162" s="16"/>
      <c r="BH162" s="128"/>
      <c r="BI162" s="128">
        <v>47.09</v>
      </c>
      <c r="BJ162" s="16"/>
      <c r="BK162" s="128">
        <v>0.1</v>
      </c>
      <c r="BL162" s="128">
        <v>7.85E-2</v>
      </c>
      <c r="BM162" s="128">
        <v>5.0000000000000001E-3</v>
      </c>
      <c r="BN162" s="128">
        <v>1.2E-2</v>
      </c>
      <c r="BO162" s="16"/>
      <c r="BP162" s="16"/>
      <c r="BQ162" s="16"/>
      <c r="BR162" s="16"/>
      <c r="BS162" s="16"/>
      <c r="BT162" s="16"/>
      <c r="BU162" s="16"/>
      <c r="BV162" s="16"/>
      <c r="BW162" s="16"/>
      <c r="BX162" s="16">
        <v>4.0000000000000001E-3</v>
      </c>
      <c r="BY162" s="128"/>
      <c r="BZ162" s="16"/>
      <c r="CA162" s="128">
        <v>0.56599999999999995</v>
      </c>
      <c r="CB162" s="128">
        <v>0.2455</v>
      </c>
      <c r="CC162" s="128">
        <v>6.5000000000000006E-3</v>
      </c>
      <c r="CE162">
        <f t="shared" si="76"/>
        <v>76.756316218418903</v>
      </c>
      <c r="CF162">
        <f t="shared" si="77"/>
        <v>470.90000000000003</v>
      </c>
      <c r="CG162">
        <f t="shared" si="78"/>
        <v>6.1349999999999998</v>
      </c>
      <c r="CH162">
        <f t="shared" si="79"/>
        <v>1.2738853503184715</v>
      </c>
      <c r="CI162">
        <f t="shared" si="80"/>
        <v>0</v>
      </c>
      <c r="CJ162" t="e">
        <f t="shared" si="81"/>
        <v>#DIV/0!</v>
      </c>
      <c r="CK162">
        <f t="shared" si="82"/>
        <v>0</v>
      </c>
      <c r="CL162">
        <f t="shared" si="83"/>
        <v>7.8152866242038224</v>
      </c>
      <c r="CM162">
        <f t="shared" si="84"/>
        <v>599.87261146496814</v>
      </c>
      <c r="CN162">
        <f t="shared" si="85"/>
        <v>599.87261146496814</v>
      </c>
      <c r="CO162">
        <f t="shared" si="86"/>
        <v>0</v>
      </c>
      <c r="CP162">
        <f t="shared" si="87"/>
        <v>87.076923076923066</v>
      </c>
      <c r="CQ162">
        <f t="shared" si="88"/>
        <v>5.6599999999999993</v>
      </c>
      <c r="CR162">
        <f t="shared" si="89"/>
        <v>0.35500000000000004</v>
      </c>
      <c r="CS162">
        <f t="shared" si="90"/>
        <v>1.32</v>
      </c>
      <c r="CT162">
        <f t="shared" si="91"/>
        <v>0.18581907090464544</v>
      </c>
      <c r="CU162">
        <f t="shared" si="92"/>
        <v>0.02</v>
      </c>
      <c r="CV162" t="e">
        <f t="shared" si="93"/>
        <v>#DIV/0!</v>
      </c>
      <c r="CW162">
        <f t="shared" si="94"/>
        <v>0</v>
      </c>
      <c r="CX162">
        <f t="shared" si="95"/>
        <v>3.7183098591549295</v>
      </c>
      <c r="CY162">
        <f t="shared" si="96"/>
        <v>0</v>
      </c>
      <c r="CZ162">
        <f t="shared" si="97"/>
        <v>37.769230769230766</v>
      </c>
      <c r="DA162">
        <f t="shared" si="98"/>
        <v>1.1578947368421053</v>
      </c>
      <c r="DB162">
        <f t="shared" si="99"/>
        <v>0.21515892420537897</v>
      </c>
      <c r="DC162">
        <f t="shared" si="100"/>
        <v>66</v>
      </c>
      <c r="DD162">
        <f t="shared" si="101"/>
        <v>1.6815286624203822</v>
      </c>
      <c r="DE162">
        <f t="shared" si="102"/>
        <v>0</v>
      </c>
      <c r="DF162">
        <f t="shared" si="103"/>
        <v>0</v>
      </c>
      <c r="DG162">
        <f t="shared" si="104"/>
        <v>0</v>
      </c>
      <c r="DH162">
        <f t="shared" si="105"/>
        <v>76.756316218418903</v>
      </c>
      <c r="DI162">
        <f t="shared" si="106"/>
        <v>5.7864710676446621E-2</v>
      </c>
      <c r="DJ162">
        <f t="shared" si="107"/>
        <v>1.0594947025264874E-2</v>
      </c>
      <c r="DK162">
        <f t="shared" si="108"/>
        <v>47.073596697602582</v>
      </c>
      <c r="DL162">
        <f t="shared" si="109"/>
        <v>13.303407762365948</v>
      </c>
      <c r="DM162">
        <f t="shared" si="110"/>
        <v>7.6729578969197361</v>
      </c>
      <c r="DN162">
        <f t="shared" si="111"/>
        <v>9.9965166059890809E-2</v>
      </c>
      <c r="DO162">
        <f t="shared" si="112"/>
        <v>2.168444623042534</v>
      </c>
      <c r="DP162">
        <f t="shared" si="113"/>
        <v>2.8251025190838708E-2</v>
      </c>
    </row>
    <row r="163" spans="1:120">
      <c r="A163" s="16" t="s">
        <v>1396</v>
      </c>
      <c r="B163" s="16" t="s">
        <v>24</v>
      </c>
      <c r="C163" s="123" t="s">
        <v>546</v>
      </c>
      <c r="D163" s="16" t="s">
        <v>119</v>
      </c>
      <c r="E163" s="16" t="s">
        <v>171</v>
      </c>
      <c r="F163" s="16" t="s">
        <v>120</v>
      </c>
      <c r="G163" s="16" t="s">
        <v>595</v>
      </c>
      <c r="H163" s="27">
        <v>53</v>
      </c>
      <c r="I163" s="16" t="s">
        <v>712</v>
      </c>
      <c r="J163" s="16" t="s">
        <v>1318</v>
      </c>
      <c r="K163" s="16" t="s">
        <v>968</v>
      </c>
      <c r="L163" s="16"/>
      <c r="M163" s="16" t="s">
        <v>1482</v>
      </c>
      <c r="N163" s="16">
        <v>30</v>
      </c>
      <c r="O163" s="95">
        <v>3.7009363078033606</v>
      </c>
      <c r="P163" s="95">
        <v>0</v>
      </c>
      <c r="Q163" s="95">
        <v>0.84592829892648236</v>
      </c>
      <c r="R163" s="95">
        <v>19.985056062138142</v>
      </c>
      <c r="S163" s="95">
        <v>5.1813108309247049</v>
      </c>
      <c r="T163" s="95">
        <v>9.5166933629229256</v>
      </c>
      <c r="U163" s="95">
        <v>12.688924483897235</v>
      </c>
      <c r="V163" s="95">
        <v>9.5166933629229256</v>
      </c>
      <c r="W163" s="95">
        <v>21.042466435796246</v>
      </c>
      <c r="X163" s="95">
        <v>0</v>
      </c>
      <c r="Y163" s="95">
        <v>22.628581996283401</v>
      </c>
      <c r="Z163" s="95">
        <v>105.10659114161541</v>
      </c>
      <c r="AA163" s="16"/>
      <c r="AB163" s="16"/>
      <c r="AC163" s="16"/>
      <c r="AD163" s="16"/>
      <c r="AE163" s="128"/>
      <c r="AF163" s="128"/>
      <c r="AG163" s="16"/>
      <c r="AH163" s="16"/>
      <c r="AI163" s="16"/>
      <c r="AJ163" s="16"/>
      <c r="AK163" s="135"/>
      <c r="AL163" s="16"/>
      <c r="AM163" s="135"/>
      <c r="AN163" s="128"/>
      <c r="AO163" s="16"/>
      <c r="AP163" s="16"/>
      <c r="AQ163" s="16"/>
      <c r="AR163" s="16"/>
      <c r="AS163" s="16"/>
      <c r="AT163" s="16"/>
      <c r="AU163" s="16"/>
      <c r="AV163" s="16"/>
      <c r="AW163" s="16"/>
      <c r="AX163" s="128">
        <v>0.77700000000000002</v>
      </c>
      <c r="AY163" s="128">
        <v>2.6630000000000003</v>
      </c>
      <c r="AZ163" s="128">
        <v>8.0000000000000002E-3</v>
      </c>
      <c r="BA163" s="128">
        <v>0.114</v>
      </c>
      <c r="BB163" s="16"/>
      <c r="BC163" s="128">
        <v>6.3500000000000001E-2</v>
      </c>
      <c r="BD163" s="16"/>
      <c r="BE163" s="16"/>
      <c r="BF163" s="16"/>
      <c r="BG163" s="16"/>
      <c r="BH163" s="128"/>
      <c r="BI163" s="128">
        <v>166.05</v>
      </c>
      <c r="BJ163" s="16"/>
      <c r="BK163" s="128">
        <v>0.4355</v>
      </c>
      <c r="BL163" s="128">
        <v>0.3175</v>
      </c>
      <c r="BM163" s="128">
        <v>2.8500000000000001E-2</v>
      </c>
      <c r="BN163" s="128">
        <v>8.8999999999999996E-2</v>
      </c>
      <c r="BO163" s="16">
        <v>4.0000000000000001E-3</v>
      </c>
      <c r="BP163" s="16">
        <v>3.0000000000000001E-3</v>
      </c>
      <c r="BQ163" s="16">
        <v>4.0000000000000001E-3</v>
      </c>
      <c r="BR163" s="16"/>
      <c r="BS163" s="16"/>
      <c r="BT163" s="16"/>
      <c r="BU163" s="16"/>
      <c r="BV163" s="16"/>
      <c r="BW163" s="16"/>
      <c r="BX163" s="16">
        <v>4.0000000000000001E-3</v>
      </c>
      <c r="BY163" s="128"/>
      <c r="BZ163" s="16"/>
      <c r="CA163" s="128">
        <v>0.8879999999999999</v>
      </c>
      <c r="CB163" s="128">
        <v>0.75600000000000001</v>
      </c>
      <c r="CC163" s="128">
        <v>3.4000000000000002E-2</v>
      </c>
      <c r="CE163">
        <f t="shared" si="76"/>
        <v>62.35448742020278</v>
      </c>
      <c r="CF163">
        <f t="shared" si="77"/>
        <v>381.28587830080369</v>
      </c>
      <c r="CG163">
        <f t="shared" si="78"/>
        <v>6.1148105625717575</v>
      </c>
      <c r="CH163">
        <f t="shared" si="79"/>
        <v>1.3716535433070867</v>
      </c>
      <c r="CI163">
        <f t="shared" si="80"/>
        <v>0</v>
      </c>
      <c r="CJ163" t="e">
        <f t="shared" si="81"/>
        <v>#DIV/0!</v>
      </c>
      <c r="CK163">
        <f t="shared" si="82"/>
        <v>0</v>
      </c>
      <c r="CL163">
        <f t="shared" si="83"/>
        <v>8.3874015748031496</v>
      </c>
      <c r="CM163">
        <f t="shared" si="84"/>
        <v>522.99212598425197</v>
      </c>
      <c r="CN163">
        <f t="shared" si="85"/>
        <v>522.99212598425197</v>
      </c>
      <c r="CO163">
        <f t="shared" si="86"/>
        <v>0</v>
      </c>
      <c r="CP163">
        <f t="shared" si="87"/>
        <v>26.117647058823525</v>
      </c>
      <c r="CQ163">
        <f t="shared" si="88"/>
        <v>2.0390355912743972</v>
      </c>
      <c r="CR163">
        <f t="shared" si="89"/>
        <v>0.14580941446613088</v>
      </c>
      <c r="CS163">
        <f t="shared" si="90"/>
        <v>0.26176808266360507</v>
      </c>
      <c r="CT163">
        <f t="shared" si="91"/>
        <v>0.29177619226436347</v>
      </c>
      <c r="CU163">
        <f t="shared" si="92"/>
        <v>1.8369690011481057E-2</v>
      </c>
      <c r="CV163" t="e">
        <f t="shared" si="93"/>
        <v>#DIV/0!</v>
      </c>
      <c r="CW163">
        <f t="shared" si="94"/>
        <v>0</v>
      </c>
      <c r="CX163">
        <f t="shared" si="95"/>
        <v>1.7952755905511812</v>
      </c>
      <c r="CY163">
        <f t="shared" si="96"/>
        <v>0</v>
      </c>
      <c r="CZ163">
        <f t="shared" si="97"/>
        <v>22.235294117647058</v>
      </c>
      <c r="DA163">
        <f t="shared" si="98"/>
        <v>0.14671814671814673</v>
      </c>
      <c r="DB163">
        <f t="shared" si="99"/>
        <v>4.2808862185505066E-2</v>
      </c>
      <c r="DC163">
        <f t="shared" si="100"/>
        <v>14.25</v>
      </c>
      <c r="DD163">
        <f t="shared" si="101"/>
        <v>0.35905511811023622</v>
      </c>
      <c r="DE163">
        <f t="shared" si="102"/>
        <v>0</v>
      </c>
      <c r="DF163">
        <f t="shared" si="103"/>
        <v>0</v>
      </c>
      <c r="DG163">
        <f t="shared" si="104"/>
        <v>0</v>
      </c>
      <c r="DH163">
        <f t="shared" si="105"/>
        <v>62.35448742020278</v>
      </c>
      <c r="DI163">
        <f t="shared" si="106"/>
        <v>2.3845287269996244E-2</v>
      </c>
      <c r="DJ163">
        <f t="shared" si="107"/>
        <v>1.2767555388659407E-2</v>
      </c>
      <c r="DK163">
        <f t="shared" si="108"/>
        <v>11.89738422715202</v>
      </c>
      <c r="DL163">
        <f t="shared" si="109"/>
        <v>1.9424300779023704</v>
      </c>
      <c r="DM163">
        <f t="shared" si="110"/>
        <v>1.9456668535203547</v>
      </c>
      <c r="DN163">
        <f t="shared" si="111"/>
        <v>3.1203317259408038E-2</v>
      </c>
      <c r="DO163">
        <f t="shared" si="112"/>
        <v>0.31765989445230275</v>
      </c>
      <c r="DP163">
        <f t="shared" si="113"/>
        <v>5.0944191443931487E-3</v>
      </c>
    </row>
    <row r="164" spans="1:120">
      <c r="A164" s="16" t="s">
        <v>1396</v>
      </c>
      <c r="B164" s="16" t="s">
        <v>24</v>
      </c>
      <c r="C164" s="123" t="s">
        <v>546</v>
      </c>
      <c r="D164" s="16" t="s">
        <v>119</v>
      </c>
      <c r="E164" s="16" t="s">
        <v>171</v>
      </c>
      <c r="F164" s="16" t="s">
        <v>120</v>
      </c>
      <c r="G164" s="16" t="s">
        <v>595</v>
      </c>
      <c r="H164" s="27">
        <v>53</v>
      </c>
      <c r="I164" s="16" t="s">
        <v>712</v>
      </c>
      <c r="J164" s="16" t="s">
        <v>1318</v>
      </c>
      <c r="K164" s="16" t="s">
        <v>968</v>
      </c>
      <c r="L164" s="16"/>
      <c r="M164" s="16" t="s">
        <v>1481</v>
      </c>
      <c r="N164" s="16">
        <v>20</v>
      </c>
      <c r="O164" s="95">
        <v>4.3353779340745344</v>
      </c>
      <c r="P164" s="95">
        <v>5.8768456439677017</v>
      </c>
      <c r="Q164" s="95">
        <v>0</v>
      </c>
      <c r="R164" s="95">
        <v>13.102475534091926</v>
      </c>
      <c r="S164" s="95">
        <v>5.2987952527577642</v>
      </c>
      <c r="T164" s="95">
        <v>7.1292881582559016</v>
      </c>
      <c r="U164" s="95">
        <v>11.464666092330436</v>
      </c>
      <c r="V164" s="95">
        <v>11.368324360462113</v>
      </c>
      <c r="W164" s="95">
        <v>21.580547938504349</v>
      </c>
      <c r="X164" s="95">
        <v>0</v>
      </c>
      <c r="Y164" s="95">
        <v>25.626900676973918</v>
      </c>
      <c r="Z164" s="95">
        <v>105.78322159141865</v>
      </c>
      <c r="AA164" s="16"/>
      <c r="AB164" s="16"/>
      <c r="AC164" s="16"/>
      <c r="AD164" s="16"/>
      <c r="AE164" s="128"/>
      <c r="AF164" s="128"/>
      <c r="AG164" s="16"/>
      <c r="AH164" s="16"/>
      <c r="AI164" s="16"/>
      <c r="AJ164" s="16"/>
      <c r="AK164" s="135"/>
      <c r="AL164" s="16"/>
      <c r="AM164" s="135"/>
      <c r="AN164" s="128"/>
      <c r="AO164" s="16"/>
      <c r="AP164" s="16"/>
      <c r="AQ164" s="16"/>
      <c r="AR164" s="16"/>
      <c r="AS164" s="16"/>
      <c r="AT164" s="16"/>
      <c r="AU164" s="16"/>
      <c r="AV164" s="16"/>
      <c r="AW164" s="16"/>
      <c r="AX164" s="128">
        <v>0.39500000000000002</v>
      </c>
      <c r="AY164" s="128">
        <v>2.0960000000000001</v>
      </c>
      <c r="AZ164" s="128">
        <v>6.0000000000000001E-3</v>
      </c>
      <c r="BA164" s="128">
        <v>4.2999999999999997E-2</v>
      </c>
      <c r="BB164" s="16"/>
      <c r="BC164" s="128">
        <v>8.1499999999999989E-2</v>
      </c>
      <c r="BD164" s="16"/>
      <c r="BE164" s="16"/>
      <c r="BF164" s="16"/>
      <c r="BG164" s="16"/>
      <c r="BH164" s="128"/>
      <c r="BI164" s="128">
        <v>86.17</v>
      </c>
      <c r="BJ164" s="16"/>
      <c r="BK164" s="128">
        <v>0.39850000000000002</v>
      </c>
      <c r="BL164" s="128">
        <v>0.29500000000000004</v>
      </c>
      <c r="BM164" s="128">
        <v>1.6E-2</v>
      </c>
      <c r="BN164" s="128">
        <v>3.2000000000000001E-2</v>
      </c>
      <c r="BO164" s="16"/>
      <c r="BP164" s="16">
        <v>1E-3</v>
      </c>
      <c r="BQ164" s="16">
        <v>1E-3</v>
      </c>
      <c r="BR164" s="16"/>
      <c r="BS164" s="16"/>
      <c r="BT164" s="16"/>
      <c r="BU164" s="16"/>
      <c r="BV164" s="16"/>
      <c r="BW164" s="16"/>
      <c r="BX164" s="16">
        <v>2E-3</v>
      </c>
      <c r="BY164" s="128"/>
      <c r="BZ164" s="16"/>
      <c r="CA164" s="128">
        <v>0.36750000000000005</v>
      </c>
      <c r="CB164" s="128">
        <v>0.21299999999999997</v>
      </c>
      <c r="CC164" s="128">
        <v>1.2E-2</v>
      </c>
      <c r="CE164">
        <f t="shared" si="76"/>
        <v>41.111641221374043</v>
      </c>
      <c r="CF164">
        <f t="shared" si="77"/>
        <v>216.23588456712673</v>
      </c>
      <c r="CG164">
        <f t="shared" si="78"/>
        <v>5.2597239648682557</v>
      </c>
      <c r="CH164">
        <f t="shared" si="79"/>
        <v>1.3508474576271186</v>
      </c>
      <c r="CI164">
        <f t="shared" si="80"/>
        <v>0</v>
      </c>
      <c r="CJ164" t="e">
        <f t="shared" si="81"/>
        <v>#DIV/0!</v>
      </c>
      <c r="CK164">
        <f t="shared" si="82"/>
        <v>0</v>
      </c>
      <c r="CL164">
        <f t="shared" si="83"/>
        <v>7.1050847457627109</v>
      </c>
      <c r="CM164">
        <f t="shared" si="84"/>
        <v>292.1016949152542</v>
      </c>
      <c r="CN164">
        <f t="shared" si="85"/>
        <v>292.1016949152542</v>
      </c>
      <c r="CO164">
        <f t="shared" si="86"/>
        <v>0</v>
      </c>
      <c r="CP164">
        <f t="shared" si="87"/>
        <v>30.625000000000004</v>
      </c>
      <c r="CQ164">
        <f t="shared" si="88"/>
        <v>0.92220828105395236</v>
      </c>
      <c r="CR164">
        <f t="shared" si="89"/>
        <v>0.20451693851944788</v>
      </c>
      <c r="CS164">
        <f t="shared" si="90"/>
        <v>0.10790464240903386</v>
      </c>
      <c r="CT164">
        <f t="shared" si="91"/>
        <v>0.18845419847328243</v>
      </c>
      <c r="CU164">
        <f t="shared" si="92"/>
        <v>1.5056461731493099E-2</v>
      </c>
      <c r="CV164" t="e">
        <f t="shared" si="93"/>
        <v>#DIV/0!</v>
      </c>
      <c r="CW164">
        <f t="shared" si="94"/>
        <v>0</v>
      </c>
      <c r="CX164">
        <f t="shared" si="95"/>
        <v>0.52760736196319025</v>
      </c>
      <c r="CY164">
        <f t="shared" si="96"/>
        <v>0</v>
      </c>
      <c r="CZ164">
        <f t="shared" si="97"/>
        <v>17.749999999999996</v>
      </c>
      <c r="DA164">
        <f t="shared" si="98"/>
        <v>0.10886075949367087</v>
      </c>
      <c r="DB164">
        <f t="shared" si="99"/>
        <v>2.0515267175572515E-2</v>
      </c>
      <c r="DC164">
        <f t="shared" si="100"/>
        <v>7.1666666666666661</v>
      </c>
      <c r="DD164">
        <f t="shared" si="101"/>
        <v>0.14576271186440676</v>
      </c>
      <c r="DE164">
        <f t="shared" si="102"/>
        <v>0</v>
      </c>
      <c r="DF164">
        <f t="shared" si="103"/>
        <v>0</v>
      </c>
      <c r="DG164">
        <f t="shared" si="104"/>
        <v>0</v>
      </c>
      <c r="DH164">
        <f t="shared" si="105"/>
        <v>41.111641221374043</v>
      </c>
      <c r="DI164">
        <f t="shared" si="106"/>
        <v>3.8883587786259534E-2</v>
      </c>
      <c r="DJ164">
        <f t="shared" si="107"/>
        <v>5.7251908396946565E-3</v>
      </c>
      <c r="DK164">
        <f t="shared" si="108"/>
        <v>13.296851324360762</v>
      </c>
      <c r="DL164">
        <f t="shared" si="109"/>
        <v>0</v>
      </c>
      <c r="DM164">
        <f t="shared" si="110"/>
        <v>2.5280511702088568</v>
      </c>
      <c r="DN164">
        <f t="shared" si="111"/>
        <v>6.1492343655074437E-2</v>
      </c>
      <c r="DO164">
        <f t="shared" si="112"/>
        <v>0</v>
      </c>
      <c r="DP164">
        <f t="shared" si="113"/>
        <v>0</v>
      </c>
    </row>
    <row r="165" spans="1:120">
      <c r="A165" s="16" t="s">
        <v>1180</v>
      </c>
      <c r="B165" s="16" t="s">
        <v>24</v>
      </c>
      <c r="C165" s="123" t="s">
        <v>546</v>
      </c>
      <c r="D165" s="16" t="s">
        <v>119</v>
      </c>
      <c r="E165" s="16" t="s">
        <v>171</v>
      </c>
      <c r="F165" s="16" t="s">
        <v>120</v>
      </c>
      <c r="G165" s="16" t="s">
        <v>595</v>
      </c>
      <c r="H165" s="27">
        <v>53</v>
      </c>
      <c r="I165" s="16" t="s">
        <v>712</v>
      </c>
      <c r="J165" s="16" t="s">
        <v>635</v>
      </c>
      <c r="K165" s="16" t="s">
        <v>968</v>
      </c>
      <c r="L165" s="16" t="s">
        <v>969</v>
      </c>
      <c r="M165" s="16" t="s">
        <v>121</v>
      </c>
      <c r="N165" s="16">
        <v>20</v>
      </c>
      <c r="O165" s="95">
        <v>3.3950116699181789</v>
      </c>
      <c r="P165" s="95">
        <v>0</v>
      </c>
      <c r="Q165" s="95">
        <v>0.87613204384985266</v>
      </c>
      <c r="R165" s="95">
        <v>7.5566388782049803</v>
      </c>
      <c r="S165" s="95">
        <v>3.6140446808806423</v>
      </c>
      <c r="T165" s="95">
        <v>5.3663087685803479</v>
      </c>
      <c r="U165" s="95">
        <v>18.836838942771834</v>
      </c>
      <c r="V165" s="95">
        <v>5.0377592521366523</v>
      </c>
      <c r="W165" s="95">
        <v>30.555105029263611</v>
      </c>
      <c r="X165" s="95">
        <v>0</v>
      </c>
      <c r="Y165" s="95">
        <v>31.978819600519621</v>
      </c>
      <c r="Z165" s="95">
        <v>107.21665886612573</v>
      </c>
      <c r="AA165" s="18"/>
      <c r="AB165" s="18"/>
      <c r="AC165" s="18"/>
      <c r="AD165" s="18"/>
      <c r="AE165" s="127"/>
      <c r="AF165" s="127"/>
      <c r="AG165" s="18"/>
      <c r="AH165" s="18"/>
      <c r="AI165" s="18"/>
      <c r="AJ165" s="18">
        <v>280</v>
      </c>
      <c r="AK165" s="134"/>
      <c r="AL165" s="18"/>
      <c r="AM165" s="134"/>
      <c r="AN165" s="127"/>
      <c r="AO165" s="18"/>
      <c r="AP165" s="18"/>
      <c r="AQ165" s="18"/>
      <c r="AR165" s="18"/>
      <c r="AS165" s="18"/>
      <c r="AT165" s="18"/>
      <c r="AU165" s="18"/>
      <c r="AV165" s="18"/>
      <c r="AW165" s="18"/>
      <c r="AX165" s="127">
        <v>5</v>
      </c>
      <c r="AY165" s="127">
        <v>250</v>
      </c>
      <c r="AZ165" s="127">
        <v>0.7</v>
      </c>
      <c r="BA165" s="127">
        <v>21</v>
      </c>
      <c r="BB165" s="18"/>
      <c r="BC165" s="127">
        <v>48</v>
      </c>
      <c r="BD165" s="18"/>
      <c r="BE165" s="18"/>
      <c r="BF165" s="18"/>
      <c r="BG165" s="18"/>
      <c r="BH165" s="127"/>
      <c r="BI165" s="127">
        <v>530</v>
      </c>
      <c r="BJ165" s="18"/>
      <c r="BK165" s="127">
        <v>124</v>
      </c>
      <c r="BL165" s="127">
        <v>81</v>
      </c>
      <c r="BM165" s="127">
        <v>4</v>
      </c>
      <c r="BN165" s="127">
        <v>10</v>
      </c>
      <c r="BO165" s="18">
        <v>0.9</v>
      </c>
      <c r="BP165" s="18" t="s">
        <v>1157</v>
      </c>
      <c r="BQ165" s="18"/>
      <c r="BR165" s="18" t="s">
        <v>1157</v>
      </c>
      <c r="BS165" s="18" t="s">
        <v>1157</v>
      </c>
      <c r="BT165" s="18" t="s">
        <v>1157</v>
      </c>
      <c r="BU165" s="18" t="s">
        <v>1157</v>
      </c>
      <c r="BV165" s="18" t="s">
        <v>1157</v>
      </c>
      <c r="BW165" s="18" t="s">
        <v>1157</v>
      </c>
      <c r="BX165" s="18"/>
      <c r="BY165" s="127">
        <v>2</v>
      </c>
      <c r="BZ165" s="18"/>
      <c r="CA165" s="127">
        <v>44</v>
      </c>
      <c r="CB165" s="127">
        <v>91</v>
      </c>
      <c r="CC165" s="127">
        <v>4</v>
      </c>
      <c r="CE165">
        <f t="shared" si="76"/>
        <v>2.12</v>
      </c>
      <c r="CF165">
        <f t="shared" si="77"/>
        <v>4.274193548387097</v>
      </c>
      <c r="CG165">
        <f t="shared" si="78"/>
        <v>2.0161290322580645</v>
      </c>
      <c r="CH165">
        <f t="shared" si="79"/>
        <v>1.5308641975308641</v>
      </c>
      <c r="CI165">
        <f t="shared" si="80"/>
        <v>0</v>
      </c>
      <c r="CJ165" t="e">
        <f t="shared" si="81"/>
        <v>#DIV/0!</v>
      </c>
      <c r="CK165">
        <f t="shared" si="82"/>
        <v>0</v>
      </c>
      <c r="CL165">
        <f t="shared" si="83"/>
        <v>3.0864197530864197</v>
      </c>
      <c r="CM165">
        <f t="shared" si="84"/>
        <v>6.5432098765432096</v>
      </c>
      <c r="CN165">
        <f t="shared" si="85"/>
        <v>6.5432098765432096</v>
      </c>
      <c r="CO165">
        <f t="shared" si="86"/>
        <v>2.4691358024691357E-2</v>
      </c>
      <c r="CP165">
        <f t="shared" si="87"/>
        <v>11</v>
      </c>
      <c r="CQ165">
        <f t="shared" si="88"/>
        <v>0.35483870967741937</v>
      </c>
      <c r="CR165">
        <f t="shared" si="89"/>
        <v>0.38709677419354838</v>
      </c>
      <c r="CS165">
        <f t="shared" si="90"/>
        <v>0.16935483870967741</v>
      </c>
      <c r="CT165">
        <f t="shared" si="91"/>
        <v>0.02</v>
      </c>
      <c r="CU165">
        <f t="shared" si="92"/>
        <v>5.6451612903225803E-3</v>
      </c>
      <c r="CV165" t="e">
        <f t="shared" si="93"/>
        <v>#DIV/0!</v>
      </c>
      <c r="CW165">
        <f t="shared" si="94"/>
        <v>0</v>
      </c>
      <c r="CX165">
        <f t="shared" si="95"/>
        <v>0.4375</v>
      </c>
      <c r="CY165">
        <f t="shared" si="96"/>
        <v>1.6129032258064516E-2</v>
      </c>
      <c r="CZ165">
        <f t="shared" si="97"/>
        <v>22.75</v>
      </c>
      <c r="DA165">
        <f t="shared" si="98"/>
        <v>4.2</v>
      </c>
      <c r="DB165">
        <f t="shared" si="99"/>
        <v>8.4000000000000005E-2</v>
      </c>
      <c r="DC165">
        <f t="shared" si="100"/>
        <v>30.000000000000004</v>
      </c>
      <c r="DD165">
        <f t="shared" si="101"/>
        <v>0.25925925925925924</v>
      </c>
      <c r="DE165">
        <f t="shared" si="102"/>
        <v>0</v>
      </c>
      <c r="DF165">
        <f t="shared" si="103"/>
        <v>0</v>
      </c>
      <c r="DG165">
        <f t="shared" si="104"/>
        <v>0</v>
      </c>
      <c r="DH165">
        <f t="shared" si="105"/>
        <v>2.12</v>
      </c>
      <c r="DI165">
        <f t="shared" si="106"/>
        <v>0.192</v>
      </c>
      <c r="DJ165">
        <f t="shared" si="107"/>
        <v>1.6E-2</v>
      </c>
      <c r="DK165">
        <f t="shared" si="108"/>
        <v>2.914552162000518E-2</v>
      </c>
      <c r="DL165">
        <f t="shared" si="109"/>
        <v>7.065580998789134E-3</v>
      </c>
      <c r="DM165">
        <f t="shared" si="110"/>
        <v>1.445617872352257E-2</v>
      </c>
      <c r="DN165">
        <f t="shared" si="111"/>
        <v>6.8189522280766839E-3</v>
      </c>
      <c r="DO165">
        <f t="shared" si="112"/>
        <v>3.5045281753994105E-3</v>
      </c>
      <c r="DP165">
        <f t="shared" si="113"/>
        <v>1.6530793280185899E-3</v>
      </c>
    </row>
    <row r="166" spans="1:120">
      <c r="A166" s="16" t="s">
        <v>1160</v>
      </c>
      <c r="B166" s="16" t="s">
        <v>24</v>
      </c>
      <c r="C166" s="123" t="s">
        <v>546</v>
      </c>
      <c r="D166" s="16" t="s">
        <v>119</v>
      </c>
      <c r="E166" s="16" t="s">
        <v>806</v>
      </c>
      <c r="F166" s="16" t="s">
        <v>139</v>
      </c>
      <c r="G166" s="16" t="s">
        <v>595</v>
      </c>
      <c r="H166" s="27">
        <v>2700</v>
      </c>
      <c r="I166" s="16" t="s">
        <v>735</v>
      </c>
      <c r="J166" s="16" t="s">
        <v>1311</v>
      </c>
      <c r="K166" s="16" t="s">
        <v>968</v>
      </c>
      <c r="L166" s="16"/>
      <c r="M166" s="16" t="s">
        <v>140</v>
      </c>
      <c r="N166" s="16">
        <v>69</v>
      </c>
      <c r="O166" s="95">
        <v>1.6856820081654411</v>
      </c>
      <c r="P166" s="95">
        <v>0</v>
      </c>
      <c r="Q166" s="95">
        <v>0.19326290539476393</v>
      </c>
      <c r="R166" s="95">
        <v>5.7442030214554833</v>
      </c>
      <c r="S166" s="95">
        <v>3.7042056867329753</v>
      </c>
      <c r="T166" s="95">
        <v>6.1522024883999853</v>
      </c>
      <c r="U166" s="95">
        <v>16.470294270864883</v>
      </c>
      <c r="V166" s="95">
        <v>9.1263038658638518</v>
      </c>
      <c r="W166" s="95">
        <v>31.641432344353849</v>
      </c>
      <c r="X166" s="95">
        <v>0</v>
      </c>
      <c r="Y166" s="95">
        <v>32.650694183637619</v>
      </c>
      <c r="Z166" s="95">
        <v>107.36828077486885</v>
      </c>
      <c r="AA166" s="18"/>
      <c r="AB166" s="18"/>
      <c r="AC166" s="18"/>
      <c r="AD166" s="18"/>
      <c r="AE166" s="127"/>
      <c r="AF166" s="127"/>
      <c r="AG166" s="18"/>
      <c r="AH166" s="18"/>
      <c r="AI166" s="18"/>
      <c r="AJ166" s="18">
        <v>2.3093333333333337E-2</v>
      </c>
      <c r="AK166" s="134"/>
      <c r="AL166" s="18"/>
      <c r="AM166" s="134"/>
      <c r="AN166" s="127"/>
      <c r="AO166" s="18"/>
      <c r="AP166" s="18"/>
      <c r="AQ166" s="18"/>
      <c r="AR166" s="18"/>
      <c r="AS166" s="18"/>
      <c r="AT166" s="18"/>
      <c r="AU166" s="18"/>
      <c r="AV166" s="18"/>
      <c r="AW166" s="18"/>
      <c r="AX166" s="127">
        <v>0.45750000000000002</v>
      </c>
      <c r="AY166" s="127">
        <v>7.3999999999999995</v>
      </c>
      <c r="AZ166" s="127">
        <v>2.52E-2</v>
      </c>
      <c r="BA166" s="127">
        <v>0.82799999999999996</v>
      </c>
      <c r="BB166" s="18"/>
      <c r="BC166" s="127">
        <v>0.1855</v>
      </c>
      <c r="BD166" s="18"/>
      <c r="BE166" s="18"/>
      <c r="BF166" s="18"/>
      <c r="BG166" s="18"/>
      <c r="BH166" s="127">
        <v>2.545E-2</v>
      </c>
      <c r="BI166" s="127">
        <v>176.5</v>
      </c>
      <c r="BJ166" s="18"/>
      <c r="BK166" s="127">
        <v>2.23</v>
      </c>
      <c r="BL166" s="127">
        <v>1.7050000000000001</v>
      </c>
      <c r="BM166" s="127">
        <v>7.7649999999999997E-2</v>
      </c>
      <c r="BN166" s="127">
        <v>0.1638333333333333</v>
      </c>
      <c r="BO166" s="18">
        <v>8.8475000000000012E-3</v>
      </c>
      <c r="BP166" s="18">
        <v>2.7999999999999997E-2</v>
      </c>
      <c r="BQ166" s="18">
        <v>1.465E-2</v>
      </c>
      <c r="BR166" s="18">
        <v>5.0749999999999997E-3</v>
      </c>
      <c r="BS166" s="18"/>
      <c r="BT166" s="18">
        <v>2.7400000000000002E-3</v>
      </c>
      <c r="BU166" s="18"/>
      <c r="BV166" s="18">
        <v>1.8449999999999999E-3</v>
      </c>
      <c r="BW166" s="18">
        <v>3.5950000000000001E-4</v>
      </c>
      <c r="BX166" s="18">
        <v>1.7479999999999999E-2</v>
      </c>
      <c r="BY166" s="127"/>
      <c r="BZ166" s="18"/>
      <c r="CA166" s="127">
        <v>0.95850000000000002</v>
      </c>
      <c r="CB166" s="127">
        <v>1.585</v>
      </c>
      <c r="CC166" s="127">
        <v>3.2500000000000001E-2</v>
      </c>
      <c r="CE166">
        <f t="shared" si="76"/>
        <v>23.851351351351354</v>
      </c>
      <c r="CF166">
        <f t="shared" si="77"/>
        <v>79.147982062780272</v>
      </c>
      <c r="CG166">
        <f t="shared" si="78"/>
        <v>3.3183856502242151</v>
      </c>
      <c r="CH166">
        <f t="shared" si="79"/>
        <v>1.3079178885630498</v>
      </c>
      <c r="CI166">
        <f t="shared" si="80"/>
        <v>0</v>
      </c>
      <c r="CJ166" t="e">
        <f t="shared" si="81"/>
        <v>#DIV/0!</v>
      </c>
      <c r="CK166">
        <f t="shared" si="82"/>
        <v>0</v>
      </c>
      <c r="CL166">
        <f t="shared" si="83"/>
        <v>4.3401759530791786</v>
      </c>
      <c r="CM166">
        <f t="shared" si="84"/>
        <v>103.51906158357771</v>
      </c>
      <c r="CN166">
        <f t="shared" si="85"/>
        <v>103.51906158357771</v>
      </c>
      <c r="CO166">
        <f t="shared" si="86"/>
        <v>0</v>
      </c>
      <c r="CP166">
        <f t="shared" si="87"/>
        <v>29.492307692307691</v>
      </c>
      <c r="CQ166">
        <f t="shared" si="88"/>
        <v>0.42982062780269059</v>
      </c>
      <c r="CR166">
        <f t="shared" si="89"/>
        <v>8.3183856502242151E-2</v>
      </c>
      <c r="CS166">
        <f t="shared" si="90"/>
        <v>0.37130044843049326</v>
      </c>
      <c r="CT166">
        <f t="shared" si="91"/>
        <v>6.1824324324324331E-2</v>
      </c>
      <c r="CU166">
        <f t="shared" si="92"/>
        <v>1.1300448430493274E-2</v>
      </c>
      <c r="CV166" t="e">
        <f t="shared" si="93"/>
        <v>#DIV/0!</v>
      </c>
      <c r="CW166">
        <f t="shared" si="94"/>
        <v>0</v>
      </c>
      <c r="CX166">
        <f t="shared" si="95"/>
        <v>4.4636118598382746</v>
      </c>
      <c r="CY166">
        <f t="shared" si="96"/>
        <v>0</v>
      </c>
      <c r="CZ166">
        <f t="shared" si="97"/>
        <v>48.769230769230766</v>
      </c>
      <c r="DA166">
        <f t="shared" si="98"/>
        <v>1.8098360655737704</v>
      </c>
      <c r="DB166">
        <f t="shared" si="99"/>
        <v>0.1118918918918919</v>
      </c>
      <c r="DC166">
        <f t="shared" si="100"/>
        <v>32.857142857142854</v>
      </c>
      <c r="DD166">
        <f t="shared" si="101"/>
        <v>0.48563049853372431</v>
      </c>
      <c r="DE166">
        <f t="shared" si="102"/>
        <v>0</v>
      </c>
      <c r="DF166">
        <f t="shared" si="103"/>
        <v>0</v>
      </c>
      <c r="DG166">
        <f t="shared" si="104"/>
        <v>0</v>
      </c>
      <c r="DH166">
        <f t="shared" si="105"/>
        <v>23.851351351351354</v>
      </c>
      <c r="DI166">
        <f t="shared" si="106"/>
        <v>2.5067567567567568E-2</v>
      </c>
      <c r="DJ166">
        <f t="shared" si="107"/>
        <v>4.3918918918918921E-3</v>
      </c>
      <c r="DK166">
        <f t="shared" si="108"/>
        <v>1.6610787832883298</v>
      </c>
      <c r="DL166">
        <f t="shared" si="109"/>
        <v>8.6664979997651992E-2</v>
      </c>
      <c r="DM166">
        <f t="shared" si="110"/>
        <v>0.50056833604499673</v>
      </c>
      <c r="DN166">
        <f t="shared" si="111"/>
        <v>2.0987001057977198E-2</v>
      </c>
      <c r="DO166">
        <f t="shared" si="112"/>
        <v>2.6116608837130264E-2</v>
      </c>
      <c r="DP166">
        <f t="shared" si="113"/>
        <v>1.0949739682422886E-3</v>
      </c>
    </row>
    <row r="167" spans="1:120">
      <c r="A167" s="16" t="s">
        <v>1160</v>
      </c>
      <c r="B167" s="16" t="s">
        <v>24</v>
      </c>
      <c r="C167" s="123" t="s">
        <v>546</v>
      </c>
      <c r="D167" s="16" t="s">
        <v>119</v>
      </c>
      <c r="E167" s="16" t="s">
        <v>806</v>
      </c>
      <c r="F167" s="16" t="s">
        <v>139</v>
      </c>
      <c r="G167" s="16" t="s">
        <v>595</v>
      </c>
      <c r="H167" s="27">
        <v>2700</v>
      </c>
      <c r="I167" s="16" t="s">
        <v>735</v>
      </c>
      <c r="J167" s="16" t="s">
        <v>1311</v>
      </c>
      <c r="K167" s="16" t="s">
        <v>968</v>
      </c>
      <c r="L167" s="16"/>
      <c r="M167" s="16" t="s">
        <v>141</v>
      </c>
      <c r="N167" s="16">
        <v>65</v>
      </c>
      <c r="O167" s="95">
        <v>2.5445755371382384</v>
      </c>
      <c r="P167" s="95">
        <v>0</v>
      </c>
      <c r="Q167" s="95">
        <v>0.40627676643383637</v>
      </c>
      <c r="R167" s="95">
        <v>5.8268641501694951</v>
      </c>
      <c r="S167" s="95">
        <v>4.5225019000398099</v>
      </c>
      <c r="T167" s="95">
        <v>6.2972898797244632</v>
      </c>
      <c r="U167" s="95">
        <v>14.74357002400685</v>
      </c>
      <c r="V167" s="95">
        <v>14.679421060885719</v>
      </c>
      <c r="W167" s="95">
        <v>27.2526178326276</v>
      </c>
      <c r="X167" s="95">
        <v>0</v>
      </c>
      <c r="Y167" s="95">
        <v>30.641821384194078</v>
      </c>
      <c r="Z167" s="95">
        <v>106.91493853522009</v>
      </c>
      <c r="AA167" s="18"/>
      <c r="AB167" s="18"/>
      <c r="AC167" s="18"/>
      <c r="AD167" s="18"/>
      <c r="AE167" s="127"/>
      <c r="AF167" s="127"/>
      <c r="AG167" s="18"/>
      <c r="AH167" s="18"/>
      <c r="AI167" s="18"/>
      <c r="AJ167" s="18">
        <v>7.9733333333333337E-2</v>
      </c>
      <c r="AK167" s="134"/>
      <c r="AL167" s="18"/>
      <c r="AM167" s="134"/>
      <c r="AN167" s="127"/>
      <c r="AO167" s="18"/>
      <c r="AP167" s="18"/>
      <c r="AQ167" s="18"/>
      <c r="AR167" s="18"/>
      <c r="AS167" s="18"/>
      <c r="AT167" s="18"/>
      <c r="AU167" s="18"/>
      <c r="AV167" s="18"/>
      <c r="AW167" s="18"/>
      <c r="AX167" s="127">
        <v>0.25700000000000001</v>
      </c>
      <c r="AY167" s="127">
        <v>4.2300000000000004</v>
      </c>
      <c r="AZ167" s="127">
        <v>7.9799999999999999E-4</v>
      </c>
      <c r="BA167" s="127">
        <v>0.42899999999999999</v>
      </c>
      <c r="BB167" s="18"/>
      <c r="BC167" s="127">
        <v>9.3799999999999994E-2</v>
      </c>
      <c r="BD167" s="18"/>
      <c r="BE167" s="18"/>
      <c r="BF167" s="18"/>
      <c r="BG167" s="18"/>
      <c r="BH167" s="127">
        <v>1.8100000000000002E-2</v>
      </c>
      <c r="BI167" s="127">
        <v>154</v>
      </c>
      <c r="BJ167" s="18"/>
      <c r="BK167" s="127">
        <v>0.67200000000000004</v>
      </c>
      <c r="BL167" s="127">
        <v>0.65</v>
      </c>
      <c r="BM167" s="127">
        <v>3.39E-2</v>
      </c>
      <c r="BN167" s="127">
        <v>7.7233333333333334E-2</v>
      </c>
      <c r="BO167" s="18">
        <v>4.7200000000000002E-3</v>
      </c>
      <c r="BP167" s="18">
        <v>2.58E-2</v>
      </c>
      <c r="BQ167" s="18">
        <v>6.62E-3</v>
      </c>
      <c r="BR167" s="18">
        <v>5.7700000000000004E-4</v>
      </c>
      <c r="BS167" s="18"/>
      <c r="BT167" s="18">
        <v>0</v>
      </c>
      <c r="BU167" s="18"/>
      <c r="BV167" s="18"/>
      <c r="BW167" s="18">
        <v>5.6999999999999996E-6</v>
      </c>
      <c r="BX167" s="18">
        <v>9.6699999999999998E-3</v>
      </c>
      <c r="BY167" s="127"/>
      <c r="BZ167" s="18"/>
      <c r="CA167" s="127">
        <v>0.81899999999999995</v>
      </c>
      <c r="CB167" s="127">
        <v>0.45800000000000002</v>
      </c>
      <c r="CC167" s="127">
        <v>1.01E-2</v>
      </c>
      <c r="CE167">
        <f t="shared" si="76"/>
        <v>36.406619385342786</v>
      </c>
      <c r="CF167">
        <f t="shared" si="77"/>
        <v>229.16666666666666</v>
      </c>
      <c r="CG167">
        <f t="shared" si="78"/>
        <v>6.2946428571428577</v>
      </c>
      <c r="CH167">
        <f t="shared" si="79"/>
        <v>1.0338461538461539</v>
      </c>
      <c r="CI167">
        <f t="shared" si="80"/>
        <v>0</v>
      </c>
      <c r="CJ167" t="e">
        <f t="shared" si="81"/>
        <v>#DIV/0!</v>
      </c>
      <c r="CK167">
        <f t="shared" si="82"/>
        <v>0</v>
      </c>
      <c r="CL167">
        <f t="shared" si="83"/>
        <v>6.5076923076923086</v>
      </c>
      <c r="CM167">
        <f t="shared" si="84"/>
        <v>236.92307692307691</v>
      </c>
      <c r="CN167">
        <f t="shared" si="85"/>
        <v>236.92307692307691</v>
      </c>
      <c r="CO167">
        <f t="shared" si="86"/>
        <v>0</v>
      </c>
      <c r="CP167">
        <f t="shared" si="87"/>
        <v>81.089108910891085</v>
      </c>
      <c r="CQ167">
        <f t="shared" si="88"/>
        <v>1.2187499999999998</v>
      </c>
      <c r="CR167">
        <f t="shared" si="89"/>
        <v>0.13958333333333331</v>
      </c>
      <c r="CS167">
        <f t="shared" si="90"/>
        <v>0.6383928571428571</v>
      </c>
      <c r="CT167">
        <f t="shared" si="91"/>
        <v>6.0756501182033094E-2</v>
      </c>
      <c r="CU167">
        <f t="shared" si="92"/>
        <v>1.1875E-3</v>
      </c>
      <c r="CV167" t="e">
        <f t="shared" si="93"/>
        <v>#DIV/0!</v>
      </c>
      <c r="CW167">
        <f t="shared" si="94"/>
        <v>0</v>
      </c>
      <c r="CX167">
        <f t="shared" si="95"/>
        <v>4.5735607675906182</v>
      </c>
      <c r="CY167">
        <f t="shared" si="96"/>
        <v>0</v>
      </c>
      <c r="CZ167">
        <f t="shared" si="97"/>
        <v>45.346534653465348</v>
      </c>
      <c r="DA167">
        <f t="shared" si="98"/>
        <v>1.6692607003891049</v>
      </c>
      <c r="DB167">
        <f t="shared" si="99"/>
        <v>0.10141843971631205</v>
      </c>
      <c r="DC167">
        <f t="shared" si="100"/>
        <v>537.59398496240601</v>
      </c>
      <c r="DD167">
        <f t="shared" si="101"/>
        <v>0.65999999999999992</v>
      </c>
      <c r="DE167">
        <f t="shared" si="102"/>
        <v>0</v>
      </c>
      <c r="DF167">
        <f t="shared" si="103"/>
        <v>0</v>
      </c>
      <c r="DG167">
        <f t="shared" si="104"/>
        <v>0</v>
      </c>
      <c r="DH167">
        <f t="shared" si="105"/>
        <v>36.406619385342786</v>
      </c>
      <c r="DI167">
        <f t="shared" si="106"/>
        <v>2.2174940898345149E-2</v>
      </c>
      <c r="DJ167">
        <f t="shared" si="107"/>
        <v>2.3877068557919619E-3</v>
      </c>
      <c r="DK167">
        <f t="shared" si="108"/>
        <v>6.7299135417259075</v>
      </c>
      <c r="DL167">
        <f t="shared" si="109"/>
        <v>0.6045785214789231</v>
      </c>
      <c r="DM167">
        <f t="shared" si="110"/>
        <v>1.0691493853522007</v>
      </c>
      <c r="DN167">
        <f t="shared" si="111"/>
        <v>2.9366895454803959E-2</v>
      </c>
      <c r="DO167">
        <f t="shared" si="112"/>
        <v>9.6046516887431752E-2</v>
      </c>
      <c r="DP167">
        <f t="shared" si="113"/>
        <v>2.6381608209989373E-3</v>
      </c>
    </row>
    <row r="168" spans="1:120">
      <c r="A168" s="16" t="s">
        <v>1160</v>
      </c>
      <c r="B168" s="16" t="s">
        <v>24</v>
      </c>
      <c r="C168" s="123" t="s">
        <v>546</v>
      </c>
      <c r="D168" s="16" t="s">
        <v>119</v>
      </c>
      <c r="E168" s="16" t="s">
        <v>806</v>
      </c>
      <c r="F168" s="16" t="s">
        <v>139</v>
      </c>
      <c r="G168" s="16" t="s">
        <v>595</v>
      </c>
      <c r="H168" s="27">
        <v>2700</v>
      </c>
      <c r="I168" s="16" t="s">
        <v>735</v>
      </c>
      <c r="J168" s="16" t="s">
        <v>1311</v>
      </c>
      <c r="K168" s="16" t="s">
        <v>968</v>
      </c>
      <c r="L168" s="16"/>
      <c r="M168" s="16" t="s">
        <v>143</v>
      </c>
      <c r="N168" s="16">
        <v>40</v>
      </c>
      <c r="O168" s="95">
        <v>2.1363405316904922</v>
      </c>
      <c r="P168" s="95">
        <v>0</v>
      </c>
      <c r="Q168" s="95">
        <v>0.30059062757454164</v>
      </c>
      <c r="R168" s="95">
        <v>5.2173944643295433</v>
      </c>
      <c r="S168" s="95">
        <v>3.4138506988822939</v>
      </c>
      <c r="T168" s="95">
        <v>2.9844355166329484</v>
      </c>
      <c r="U168" s="95">
        <v>18.04617303402873</v>
      </c>
      <c r="V168" s="95">
        <v>15.158355933401882</v>
      </c>
      <c r="W168" s="95">
        <v>27.546983941295487</v>
      </c>
      <c r="X168" s="95">
        <v>0</v>
      </c>
      <c r="Y168" s="95">
        <v>32.538935434944129</v>
      </c>
      <c r="Z168" s="95">
        <v>107.34306018278005</v>
      </c>
      <c r="AA168" s="18"/>
      <c r="AB168" s="18"/>
      <c r="AC168" s="18"/>
      <c r="AD168" s="18"/>
      <c r="AE168" s="127"/>
      <c r="AF168" s="127"/>
      <c r="AG168" s="18"/>
      <c r="AH168" s="18"/>
      <c r="AI168" s="18"/>
      <c r="AJ168" s="18">
        <v>9.5000000000000015E-3</v>
      </c>
      <c r="AK168" s="134"/>
      <c r="AL168" s="18"/>
      <c r="AM168" s="134"/>
      <c r="AN168" s="127"/>
      <c r="AO168" s="18"/>
      <c r="AP168" s="18"/>
      <c r="AQ168" s="18"/>
      <c r="AR168" s="18"/>
      <c r="AS168" s="18"/>
      <c r="AT168" s="18"/>
      <c r="AU168" s="18"/>
      <c r="AV168" s="18"/>
      <c r="AW168" s="18"/>
      <c r="AX168" s="127">
        <v>0.19400000000000001</v>
      </c>
      <c r="AY168" s="127">
        <v>3.49</v>
      </c>
      <c r="AZ168" s="127"/>
      <c r="BA168" s="127">
        <v>0.41399999999999998</v>
      </c>
      <c r="BB168" s="18"/>
      <c r="BC168" s="127">
        <v>5.2699999999999997E-2</v>
      </c>
      <c r="BD168" s="18"/>
      <c r="BE168" s="18"/>
      <c r="BF168" s="18"/>
      <c r="BG168" s="18"/>
      <c r="BH168" s="127">
        <v>1.2200000000000001E-2</v>
      </c>
      <c r="BI168" s="127">
        <v>94</v>
      </c>
      <c r="BJ168" s="18"/>
      <c r="BK168" s="127">
        <v>1.1299999999999999</v>
      </c>
      <c r="BL168" s="127">
        <v>0.79500000000000004</v>
      </c>
      <c r="BM168" s="127">
        <v>2.8199999999999999E-2</v>
      </c>
      <c r="BN168" s="127">
        <v>0.10366666666666667</v>
      </c>
      <c r="BO168" s="18">
        <v>3.8149999999999998E-3</v>
      </c>
      <c r="BP168" s="18">
        <v>1.3899999999999999E-2</v>
      </c>
      <c r="BQ168" s="18">
        <v>4.6499999999999996E-3</v>
      </c>
      <c r="BR168" s="18">
        <v>1.2800000000000001E-3</v>
      </c>
      <c r="BS168" s="18"/>
      <c r="BT168" s="18"/>
      <c r="BU168" s="18"/>
      <c r="BV168" s="18"/>
      <c r="BW168" s="18"/>
      <c r="BX168" s="18">
        <v>7.8600000000000007E-3</v>
      </c>
      <c r="BY168" s="127"/>
      <c r="BZ168" s="18"/>
      <c r="CA168" s="127">
        <v>0.56699999999999995</v>
      </c>
      <c r="CB168" s="127">
        <v>0.63200000000000001</v>
      </c>
      <c r="CC168" s="127">
        <v>2.5499999999999998E-2</v>
      </c>
      <c r="CE168">
        <f t="shared" si="76"/>
        <v>26.934097421203436</v>
      </c>
      <c r="CF168">
        <f t="shared" si="77"/>
        <v>83.185840707964616</v>
      </c>
      <c r="CG168">
        <f t="shared" si="78"/>
        <v>3.0884955752212395</v>
      </c>
      <c r="CH168">
        <f t="shared" si="79"/>
        <v>1.4213836477987418</v>
      </c>
      <c r="CI168">
        <f t="shared" si="80"/>
        <v>0</v>
      </c>
      <c r="CJ168" t="e">
        <f t="shared" si="81"/>
        <v>#DIV/0!</v>
      </c>
      <c r="CK168">
        <f t="shared" si="82"/>
        <v>0</v>
      </c>
      <c r="CL168">
        <f t="shared" si="83"/>
        <v>4.3899371069182394</v>
      </c>
      <c r="CM168">
        <f t="shared" si="84"/>
        <v>118.23899371069182</v>
      </c>
      <c r="CN168">
        <f t="shared" si="85"/>
        <v>118.23899371069182</v>
      </c>
      <c r="CO168">
        <f t="shared" si="86"/>
        <v>0</v>
      </c>
      <c r="CP168">
        <f t="shared" si="87"/>
        <v>22.235294117647058</v>
      </c>
      <c r="CQ168">
        <f t="shared" si="88"/>
        <v>0.50176991150442474</v>
      </c>
      <c r="CR168">
        <f t="shared" si="89"/>
        <v>4.6637168141592925E-2</v>
      </c>
      <c r="CS168">
        <f t="shared" si="90"/>
        <v>0.36637168141592924</v>
      </c>
      <c r="CT168">
        <f t="shared" si="91"/>
        <v>5.5587392550143264E-2</v>
      </c>
      <c r="CU168">
        <f t="shared" si="92"/>
        <v>0</v>
      </c>
      <c r="CV168" t="e">
        <f t="shared" si="93"/>
        <v>#DIV/0!</v>
      </c>
      <c r="CW168">
        <f t="shared" si="94"/>
        <v>0</v>
      </c>
      <c r="CX168">
        <f t="shared" si="95"/>
        <v>7.8557874762808346</v>
      </c>
      <c r="CY168">
        <f t="shared" si="96"/>
        <v>0</v>
      </c>
      <c r="CZ168">
        <f t="shared" si="97"/>
        <v>24.784313725490197</v>
      </c>
      <c r="DA168">
        <f t="shared" si="98"/>
        <v>2.134020618556701</v>
      </c>
      <c r="DB168">
        <f t="shared" si="99"/>
        <v>0.11862464183381087</v>
      </c>
      <c r="DC168" t="e">
        <f t="shared" si="100"/>
        <v>#DIV/0!</v>
      </c>
      <c r="DD168">
        <f t="shared" si="101"/>
        <v>0.52075471698113207</v>
      </c>
      <c r="DE168">
        <f t="shared" si="102"/>
        <v>0</v>
      </c>
      <c r="DF168">
        <f t="shared" si="103"/>
        <v>0</v>
      </c>
      <c r="DG168">
        <f t="shared" si="104"/>
        <v>0</v>
      </c>
      <c r="DH168">
        <f t="shared" si="105"/>
        <v>26.934097421203436</v>
      </c>
      <c r="DI168">
        <f t="shared" si="106"/>
        <v>1.5100286532951288E-2</v>
      </c>
      <c r="DJ168">
        <f t="shared" si="107"/>
        <v>7.3065902578796551E-3</v>
      </c>
      <c r="DK168">
        <f t="shared" si="108"/>
        <v>3.0211068131701717</v>
      </c>
      <c r="DL168">
        <f t="shared" si="109"/>
        <v>0.26600940493322273</v>
      </c>
      <c r="DM168">
        <f t="shared" si="110"/>
        <v>0.97818071601211853</v>
      </c>
      <c r="DN168">
        <f t="shared" si="111"/>
        <v>3.6317560626407383E-2</v>
      </c>
      <c r="DO168">
        <f t="shared" si="112"/>
        <v>8.6129119648865798E-2</v>
      </c>
      <c r="DP168">
        <f t="shared" si="113"/>
        <v>3.1977726337717193E-3</v>
      </c>
    </row>
    <row r="169" spans="1:120">
      <c r="A169" s="16" t="s">
        <v>1162</v>
      </c>
      <c r="B169" s="16" t="s">
        <v>24</v>
      </c>
      <c r="C169" s="123" t="s">
        <v>546</v>
      </c>
      <c r="D169" s="16" t="s">
        <v>1429</v>
      </c>
      <c r="E169" s="16" t="s">
        <v>801</v>
      </c>
      <c r="F169" s="16" t="s">
        <v>800</v>
      </c>
      <c r="G169" s="16" t="s">
        <v>829</v>
      </c>
      <c r="H169" s="27"/>
      <c r="I169" s="16" t="s">
        <v>712</v>
      </c>
      <c r="J169" s="16"/>
      <c r="K169" s="16" t="s">
        <v>1169</v>
      </c>
      <c r="L169" s="16" t="s">
        <v>1428</v>
      </c>
      <c r="M169" s="16" t="s">
        <v>786</v>
      </c>
      <c r="N169" s="16">
        <v>15</v>
      </c>
      <c r="O169" s="95">
        <v>20.334666940920513</v>
      </c>
      <c r="P169" s="95">
        <v>1.7459057474527708</v>
      </c>
      <c r="Q169" s="95">
        <v>2.259407437880057</v>
      </c>
      <c r="R169" s="95">
        <v>4.826915890016485</v>
      </c>
      <c r="S169" s="95">
        <v>1.4378047331963997</v>
      </c>
      <c r="T169" s="95">
        <v>5.5458182566146847</v>
      </c>
      <c r="U169" s="95">
        <v>17.253656798356797</v>
      </c>
      <c r="V169" s="95">
        <v>4.5188148757601141</v>
      </c>
      <c r="W169" s="95">
        <v>22.285973364544194</v>
      </c>
      <c r="X169" s="95">
        <v>2.7729091283073424</v>
      </c>
      <c r="Y169" s="95">
        <v>21.977872350287821</v>
      </c>
      <c r="Z169" s="95">
        <v>104.95974552333719</v>
      </c>
      <c r="AA169" s="18"/>
      <c r="AB169" s="18"/>
      <c r="AC169" s="18"/>
      <c r="AD169" s="18"/>
      <c r="AE169" s="127"/>
      <c r="AF169" s="127"/>
      <c r="AG169" s="18"/>
      <c r="AH169" s="18"/>
      <c r="AI169" s="18"/>
      <c r="AJ169" s="18"/>
      <c r="AK169" s="134"/>
      <c r="AL169" s="18"/>
      <c r="AM169" s="134"/>
      <c r="AN169" s="127"/>
      <c r="AO169" s="18"/>
      <c r="AP169" s="18"/>
      <c r="AQ169" s="18"/>
      <c r="AR169" s="18"/>
      <c r="AS169" s="18"/>
      <c r="AT169" s="18"/>
      <c r="AU169" s="18"/>
      <c r="AV169" s="18"/>
      <c r="AW169" s="18"/>
      <c r="AX169" s="127"/>
      <c r="AY169" s="127"/>
      <c r="AZ169" s="127"/>
      <c r="BA169" s="127"/>
      <c r="BB169" s="18"/>
      <c r="BC169" s="127"/>
      <c r="BD169" s="18"/>
      <c r="BE169" s="18"/>
      <c r="BF169" s="18"/>
      <c r="BG169" s="18"/>
      <c r="BH169" s="127"/>
      <c r="BI169" s="127"/>
      <c r="BJ169" s="18"/>
      <c r="BK169" s="127"/>
      <c r="BL169" s="127"/>
      <c r="BM169" s="127"/>
      <c r="BN169" s="127"/>
      <c r="BO169" s="18"/>
      <c r="BP169" s="18"/>
      <c r="BQ169" s="18"/>
      <c r="BR169" s="18"/>
      <c r="BS169" s="18"/>
      <c r="BT169" s="18"/>
      <c r="BU169" s="18"/>
      <c r="BV169" s="18"/>
      <c r="BW169" s="18"/>
      <c r="BX169" s="18"/>
      <c r="BY169" s="127"/>
      <c r="BZ169" s="18"/>
      <c r="CA169" s="127"/>
      <c r="CB169" s="127"/>
      <c r="CC169" s="127"/>
      <c r="CE169" t="e">
        <f t="shared" si="76"/>
        <v>#DIV/0!</v>
      </c>
      <c r="CF169" t="e">
        <f t="shared" si="77"/>
        <v>#DIV/0!</v>
      </c>
      <c r="CG169" t="e">
        <f t="shared" si="78"/>
        <v>#DIV/0!</v>
      </c>
      <c r="CH169" t="e">
        <f t="shared" si="79"/>
        <v>#DIV/0!</v>
      </c>
      <c r="CI169" t="e">
        <f t="shared" si="80"/>
        <v>#DIV/0!</v>
      </c>
      <c r="CJ169" t="e">
        <f t="shared" si="81"/>
        <v>#DIV/0!</v>
      </c>
      <c r="CK169" t="e">
        <f t="shared" si="82"/>
        <v>#DIV/0!</v>
      </c>
      <c r="CL169" t="e">
        <f t="shared" si="83"/>
        <v>#DIV/0!</v>
      </c>
      <c r="CM169" t="e">
        <f t="shared" si="84"/>
        <v>#DIV/0!</v>
      </c>
      <c r="CN169" t="e">
        <f t="shared" si="85"/>
        <v>#DIV/0!</v>
      </c>
      <c r="CO169" t="e">
        <f t="shared" si="86"/>
        <v>#DIV/0!</v>
      </c>
      <c r="CP169" t="e">
        <f t="shared" si="87"/>
        <v>#DIV/0!</v>
      </c>
      <c r="CQ169" t="e">
        <f t="shared" si="88"/>
        <v>#DIV/0!</v>
      </c>
      <c r="CR169" t="e">
        <f t="shared" si="89"/>
        <v>#DIV/0!</v>
      </c>
      <c r="CS169" t="e">
        <f t="shared" si="90"/>
        <v>#DIV/0!</v>
      </c>
      <c r="CT169" t="e">
        <f t="shared" si="91"/>
        <v>#DIV/0!</v>
      </c>
      <c r="CU169" t="e">
        <f t="shared" si="92"/>
        <v>#DIV/0!</v>
      </c>
      <c r="CV169" t="e">
        <f t="shared" si="93"/>
        <v>#DIV/0!</v>
      </c>
      <c r="CW169" t="e">
        <f t="shared" si="94"/>
        <v>#DIV/0!</v>
      </c>
      <c r="CX169" t="e">
        <f t="shared" si="95"/>
        <v>#DIV/0!</v>
      </c>
      <c r="CY169" t="e">
        <f t="shared" si="96"/>
        <v>#DIV/0!</v>
      </c>
      <c r="CZ169" t="e">
        <f t="shared" si="97"/>
        <v>#DIV/0!</v>
      </c>
      <c r="DA169" t="e">
        <f t="shared" si="98"/>
        <v>#DIV/0!</v>
      </c>
      <c r="DB169" t="e">
        <f t="shared" si="99"/>
        <v>#DIV/0!</v>
      </c>
      <c r="DC169" t="e">
        <f t="shared" si="100"/>
        <v>#DIV/0!</v>
      </c>
      <c r="DD169" t="e">
        <f t="shared" si="101"/>
        <v>#DIV/0!</v>
      </c>
      <c r="DE169" t="e">
        <f t="shared" si="102"/>
        <v>#DIV/0!</v>
      </c>
      <c r="DF169" t="e">
        <f t="shared" si="103"/>
        <v>#DIV/0!</v>
      </c>
      <c r="DG169" t="e">
        <f t="shared" si="104"/>
        <v>#DIV/0!</v>
      </c>
      <c r="DH169" t="e">
        <f t="shared" si="105"/>
        <v>#DIV/0!</v>
      </c>
      <c r="DI169" t="e">
        <f t="shared" si="106"/>
        <v>#DIV/0!</v>
      </c>
      <c r="DJ169" t="e">
        <f t="shared" si="107"/>
        <v>#DIV/0!</v>
      </c>
      <c r="DK169" t="e">
        <f t="shared" si="108"/>
        <v>#DIV/0!</v>
      </c>
      <c r="DL169" t="e">
        <f t="shared" si="109"/>
        <v>#DIV/0!</v>
      </c>
      <c r="DM169" t="e">
        <f t="shared" si="110"/>
        <v>#DIV/0!</v>
      </c>
      <c r="DN169" t="e">
        <f t="shared" si="111"/>
        <v>#DIV/0!</v>
      </c>
      <c r="DO169" t="e">
        <f t="shared" si="112"/>
        <v>#DIV/0!</v>
      </c>
      <c r="DP169" t="e">
        <f t="shared" si="113"/>
        <v>#DIV/0!</v>
      </c>
    </row>
    <row r="170" spans="1:120">
      <c r="A170" s="4" t="s">
        <v>1651</v>
      </c>
      <c r="B170" s="4" t="s">
        <v>24</v>
      </c>
      <c r="C170" s="123" t="s">
        <v>546</v>
      </c>
      <c r="D170" s="4" t="s">
        <v>119</v>
      </c>
      <c r="E170" s="4" t="s">
        <v>1394</v>
      </c>
      <c r="F170" s="4" t="s">
        <v>1628</v>
      </c>
      <c r="G170" s="4" t="s">
        <v>595</v>
      </c>
      <c r="H170" s="49">
        <v>132</v>
      </c>
      <c r="I170" s="4" t="s">
        <v>735</v>
      </c>
      <c r="J170" s="4"/>
      <c r="K170" s="4" t="s">
        <v>1276</v>
      </c>
      <c r="L170" s="4"/>
      <c r="M170" s="4" t="s">
        <v>1631</v>
      </c>
      <c r="N170" s="4">
        <v>14</v>
      </c>
      <c r="O170" s="95">
        <v>0.90042036550208926</v>
      </c>
      <c r="P170" s="95">
        <v>0.90042036550208926</v>
      </c>
      <c r="Q170" s="95">
        <v>0.50023353639004953</v>
      </c>
      <c r="R170" s="95">
        <v>21.510042064772129</v>
      </c>
      <c r="S170" s="95">
        <v>2.1009808528382083</v>
      </c>
      <c r="T170" s="95">
        <v>6.5030359730706433</v>
      </c>
      <c r="U170" s="95">
        <v>1.4006539018921385</v>
      </c>
      <c r="V170" s="95">
        <v>16.207566579037604</v>
      </c>
      <c r="W170" s="95">
        <v>19.909294748323969</v>
      </c>
      <c r="X170" s="95">
        <v>2.1009808528382083</v>
      </c>
      <c r="Y170" s="95">
        <v>36.116861327361576</v>
      </c>
      <c r="Z170" s="95">
        <v>108.15049056752871</v>
      </c>
      <c r="CE170" t="e">
        <f t="shared" si="76"/>
        <v>#DIV/0!</v>
      </c>
      <c r="CF170" t="e">
        <f t="shared" si="77"/>
        <v>#DIV/0!</v>
      </c>
      <c r="CG170" t="e">
        <f t="shared" si="78"/>
        <v>#DIV/0!</v>
      </c>
      <c r="CH170" t="e">
        <f t="shared" si="79"/>
        <v>#DIV/0!</v>
      </c>
      <c r="CI170" t="e">
        <f t="shared" si="80"/>
        <v>#DIV/0!</v>
      </c>
      <c r="CJ170" t="e">
        <f t="shared" si="81"/>
        <v>#DIV/0!</v>
      </c>
      <c r="CK170" t="e">
        <f t="shared" si="82"/>
        <v>#DIV/0!</v>
      </c>
      <c r="CL170" t="e">
        <f t="shared" si="83"/>
        <v>#DIV/0!</v>
      </c>
      <c r="CM170" t="e">
        <f t="shared" si="84"/>
        <v>#DIV/0!</v>
      </c>
      <c r="CN170" t="e">
        <f t="shared" si="85"/>
        <v>#DIV/0!</v>
      </c>
      <c r="CO170" t="e">
        <f t="shared" si="86"/>
        <v>#DIV/0!</v>
      </c>
      <c r="CP170" t="e">
        <f t="shared" si="87"/>
        <v>#DIV/0!</v>
      </c>
      <c r="CQ170" t="e">
        <f t="shared" si="88"/>
        <v>#DIV/0!</v>
      </c>
      <c r="CR170" t="e">
        <f t="shared" si="89"/>
        <v>#DIV/0!</v>
      </c>
      <c r="CS170" t="e">
        <f t="shared" si="90"/>
        <v>#DIV/0!</v>
      </c>
      <c r="CT170" t="e">
        <f t="shared" si="91"/>
        <v>#DIV/0!</v>
      </c>
      <c r="CU170" t="e">
        <f t="shared" si="92"/>
        <v>#DIV/0!</v>
      </c>
      <c r="CV170" t="e">
        <f t="shared" si="93"/>
        <v>#DIV/0!</v>
      </c>
      <c r="CW170" t="e">
        <f t="shared" si="94"/>
        <v>#DIV/0!</v>
      </c>
      <c r="CX170" t="e">
        <f t="shared" si="95"/>
        <v>#DIV/0!</v>
      </c>
      <c r="CY170" t="e">
        <f t="shared" si="96"/>
        <v>#DIV/0!</v>
      </c>
      <c r="CZ170" t="e">
        <f t="shared" si="97"/>
        <v>#DIV/0!</v>
      </c>
      <c r="DA170" t="e">
        <f t="shared" si="98"/>
        <v>#DIV/0!</v>
      </c>
      <c r="DB170" t="e">
        <f t="shared" si="99"/>
        <v>#DIV/0!</v>
      </c>
      <c r="DC170" t="e">
        <f t="shared" si="100"/>
        <v>#DIV/0!</v>
      </c>
      <c r="DD170" t="e">
        <f t="shared" si="101"/>
        <v>#DIV/0!</v>
      </c>
      <c r="DE170" t="e">
        <f t="shared" si="102"/>
        <v>#DIV/0!</v>
      </c>
      <c r="DF170" t="e">
        <f t="shared" si="103"/>
        <v>#DIV/0!</v>
      </c>
      <c r="DG170" t="e">
        <f t="shared" si="104"/>
        <v>#DIV/0!</v>
      </c>
      <c r="DH170" t="e">
        <f t="shared" si="105"/>
        <v>#DIV/0!</v>
      </c>
      <c r="DI170" t="e">
        <f t="shared" si="106"/>
        <v>#DIV/0!</v>
      </c>
      <c r="DJ170" t="e">
        <f t="shared" si="107"/>
        <v>#DIV/0!</v>
      </c>
      <c r="DK170" t="e">
        <f t="shared" si="108"/>
        <v>#DIV/0!</v>
      </c>
      <c r="DL170" t="e">
        <f t="shared" si="109"/>
        <v>#DIV/0!</v>
      </c>
      <c r="DM170" t="e">
        <f t="shared" si="110"/>
        <v>#DIV/0!</v>
      </c>
      <c r="DN170" t="e">
        <f t="shared" si="111"/>
        <v>#DIV/0!</v>
      </c>
      <c r="DO170" t="e">
        <f t="shared" si="112"/>
        <v>#DIV/0!</v>
      </c>
      <c r="DP170" t="e">
        <f t="shared" si="113"/>
        <v>#DIV/0!</v>
      </c>
    </row>
    <row r="171" spans="1:120">
      <c r="A171" s="4" t="s">
        <v>1651</v>
      </c>
      <c r="B171" s="4" t="s">
        <v>24</v>
      </c>
      <c r="C171" s="123" t="s">
        <v>546</v>
      </c>
      <c r="D171" s="4" t="s">
        <v>119</v>
      </c>
      <c r="E171" s="4" t="s">
        <v>1394</v>
      </c>
      <c r="F171" s="4" t="s">
        <v>1628</v>
      </c>
      <c r="G171" s="4" t="s">
        <v>595</v>
      </c>
      <c r="H171" s="49">
        <v>132</v>
      </c>
      <c r="I171" s="4" t="s">
        <v>735</v>
      </c>
      <c r="J171" s="4"/>
      <c r="K171" s="4" t="s">
        <v>1276</v>
      </c>
      <c r="L171" s="4"/>
      <c r="M171" s="4" t="s">
        <v>1632</v>
      </c>
      <c r="N171" s="4">
        <v>38</v>
      </c>
      <c r="O171" s="95">
        <v>0.69917262928635937</v>
      </c>
      <c r="P171" s="95">
        <v>0.2996454125512969</v>
      </c>
      <c r="Q171" s="95">
        <v>0.39952721673506247</v>
      </c>
      <c r="R171" s="95">
        <v>19.776597228385594</v>
      </c>
      <c r="S171" s="95">
        <v>1.3983452585727187</v>
      </c>
      <c r="T171" s="95">
        <v>4.7943266008207504</v>
      </c>
      <c r="U171" s="95">
        <v>0.59929082510259379</v>
      </c>
      <c r="V171" s="95">
        <v>20.375888053488186</v>
      </c>
      <c r="W171" s="95">
        <v>19.277188207466768</v>
      </c>
      <c r="X171" s="95">
        <v>1.5981088669402499</v>
      </c>
      <c r="Y171" s="95">
        <v>39.752958065138714</v>
      </c>
      <c r="Z171" s="95">
        <v>108.97104836448828</v>
      </c>
      <c r="BR171" s="45"/>
      <c r="BS171" s="45"/>
      <c r="BT171" s="45"/>
      <c r="BU171" s="45"/>
      <c r="BV171" s="45"/>
      <c r="BW171" s="45"/>
      <c r="BX171" s="45"/>
      <c r="BY171" s="141"/>
      <c r="BZ171" s="45"/>
      <c r="CA171" s="141"/>
      <c r="CB171" s="141"/>
      <c r="CC171" s="141"/>
      <c r="CE171" t="e">
        <f t="shared" si="76"/>
        <v>#DIV/0!</v>
      </c>
      <c r="CF171" t="e">
        <f t="shared" si="77"/>
        <v>#DIV/0!</v>
      </c>
      <c r="CG171" t="e">
        <f t="shared" si="78"/>
        <v>#DIV/0!</v>
      </c>
      <c r="CH171" t="e">
        <f t="shared" si="79"/>
        <v>#DIV/0!</v>
      </c>
      <c r="CI171" t="e">
        <f t="shared" si="80"/>
        <v>#DIV/0!</v>
      </c>
      <c r="CJ171" t="e">
        <f t="shared" si="81"/>
        <v>#DIV/0!</v>
      </c>
      <c r="CK171" t="e">
        <f t="shared" si="82"/>
        <v>#DIV/0!</v>
      </c>
      <c r="CL171" t="e">
        <f t="shared" si="83"/>
        <v>#DIV/0!</v>
      </c>
      <c r="CM171" t="e">
        <f t="shared" si="84"/>
        <v>#DIV/0!</v>
      </c>
      <c r="CN171" t="e">
        <f t="shared" si="85"/>
        <v>#DIV/0!</v>
      </c>
      <c r="CO171" t="e">
        <f t="shared" si="86"/>
        <v>#DIV/0!</v>
      </c>
      <c r="CP171" t="e">
        <f t="shared" si="87"/>
        <v>#DIV/0!</v>
      </c>
      <c r="CQ171" t="e">
        <f t="shared" si="88"/>
        <v>#DIV/0!</v>
      </c>
      <c r="CR171" t="e">
        <f t="shared" si="89"/>
        <v>#DIV/0!</v>
      </c>
      <c r="CS171" t="e">
        <f t="shared" si="90"/>
        <v>#DIV/0!</v>
      </c>
      <c r="CT171" t="e">
        <f t="shared" si="91"/>
        <v>#DIV/0!</v>
      </c>
      <c r="CU171" t="e">
        <f t="shared" si="92"/>
        <v>#DIV/0!</v>
      </c>
      <c r="CV171" t="e">
        <f t="shared" si="93"/>
        <v>#DIV/0!</v>
      </c>
      <c r="CW171" t="e">
        <f t="shared" si="94"/>
        <v>#DIV/0!</v>
      </c>
      <c r="CX171" t="e">
        <f t="shared" si="95"/>
        <v>#DIV/0!</v>
      </c>
      <c r="CY171" t="e">
        <f t="shared" si="96"/>
        <v>#DIV/0!</v>
      </c>
      <c r="CZ171" t="e">
        <f t="shared" si="97"/>
        <v>#DIV/0!</v>
      </c>
      <c r="DA171" t="e">
        <f t="shared" si="98"/>
        <v>#DIV/0!</v>
      </c>
      <c r="DB171" t="e">
        <f t="shared" si="99"/>
        <v>#DIV/0!</v>
      </c>
      <c r="DC171" t="e">
        <f t="shared" si="100"/>
        <v>#DIV/0!</v>
      </c>
      <c r="DD171" t="e">
        <f t="shared" si="101"/>
        <v>#DIV/0!</v>
      </c>
      <c r="DE171" t="e">
        <f t="shared" si="102"/>
        <v>#DIV/0!</v>
      </c>
      <c r="DF171" t="e">
        <f t="shared" si="103"/>
        <v>#DIV/0!</v>
      </c>
      <c r="DG171" t="e">
        <f t="shared" si="104"/>
        <v>#DIV/0!</v>
      </c>
      <c r="DH171" t="e">
        <f t="shared" si="105"/>
        <v>#DIV/0!</v>
      </c>
      <c r="DI171" t="e">
        <f t="shared" si="106"/>
        <v>#DIV/0!</v>
      </c>
      <c r="DJ171" t="e">
        <f t="shared" si="107"/>
        <v>#DIV/0!</v>
      </c>
      <c r="DK171" t="e">
        <f t="shared" si="108"/>
        <v>#DIV/0!</v>
      </c>
      <c r="DL171" t="e">
        <f t="shared" si="109"/>
        <v>#DIV/0!</v>
      </c>
      <c r="DM171" t="e">
        <f t="shared" si="110"/>
        <v>#DIV/0!</v>
      </c>
      <c r="DN171" t="e">
        <f t="shared" si="111"/>
        <v>#DIV/0!</v>
      </c>
      <c r="DO171" t="e">
        <f t="shared" si="112"/>
        <v>#DIV/0!</v>
      </c>
      <c r="DP171" t="e">
        <f t="shared" si="113"/>
        <v>#DIV/0!</v>
      </c>
    </row>
    <row r="172" spans="1:120">
      <c r="A172" s="4" t="s">
        <v>1651</v>
      </c>
      <c r="B172" s="4" t="s">
        <v>24</v>
      </c>
      <c r="C172" s="123" t="s">
        <v>546</v>
      </c>
      <c r="D172" s="4" t="s">
        <v>119</v>
      </c>
      <c r="E172" s="4" t="s">
        <v>1394</v>
      </c>
      <c r="F172" s="4" t="s">
        <v>1628</v>
      </c>
      <c r="G172" s="4" t="s">
        <v>595</v>
      </c>
      <c r="H172" s="49">
        <v>132</v>
      </c>
      <c r="I172" s="4" t="s">
        <v>735</v>
      </c>
      <c r="J172" s="4"/>
      <c r="K172" s="4" t="s">
        <v>1276</v>
      </c>
      <c r="L172" s="4"/>
      <c r="M172" s="4" t="s">
        <v>1633</v>
      </c>
      <c r="N172" s="4">
        <v>31</v>
      </c>
      <c r="O172" s="95">
        <v>0.60035479359452193</v>
      </c>
      <c r="P172" s="95">
        <v>0.30017739679726096</v>
      </c>
      <c r="Q172" s="95">
        <v>0.60035479359452193</v>
      </c>
      <c r="R172" s="95">
        <v>19.611589924087721</v>
      </c>
      <c r="S172" s="95">
        <v>1.0005913226575367</v>
      </c>
      <c r="T172" s="95">
        <v>3.902306158364393</v>
      </c>
      <c r="U172" s="95">
        <v>1.4008278517205512</v>
      </c>
      <c r="V172" s="95">
        <v>12.907628062282223</v>
      </c>
      <c r="W172" s="95">
        <v>27.216083976284995</v>
      </c>
      <c r="X172" s="95">
        <v>1.7010052485178122</v>
      </c>
      <c r="Y172" s="95">
        <v>39.723475509504205</v>
      </c>
      <c r="Z172" s="95">
        <v>108.96439503740575</v>
      </c>
      <c r="BR172" s="45"/>
      <c r="BS172" s="45"/>
      <c r="BT172" s="45"/>
      <c r="BU172" s="45"/>
      <c r="BV172" s="45"/>
      <c r="BW172" s="45"/>
      <c r="BX172" s="45"/>
      <c r="BY172" s="141"/>
      <c r="BZ172" s="45"/>
      <c r="CA172" s="141"/>
      <c r="CB172" s="141"/>
      <c r="CC172" s="141"/>
      <c r="CE172" t="e">
        <f t="shared" si="76"/>
        <v>#DIV/0!</v>
      </c>
      <c r="CF172" t="e">
        <f t="shared" si="77"/>
        <v>#DIV/0!</v>
      </c>
      <c r="CG172" t="e">
        <f t="shared" si="78"/>
        <v>#DIV/0!</v>
      </c>
      <c r="CH172" t="e">
        <f t="shared" si="79"/>
        <v>#DIV/0!</v>
      </c>
      <c r="CI172" t="e">
        <f t="shared" si="80"/>
        <v>#DIV/0!</v>
      </c>
      <c r="CJ172" t="e">
        <f t="shared" si="81"/>
        <v>#DIV/0!</v>
      </c>
      <c r="CK172" t="e">
        <f t="shared" si="82"/>
        <v>#DIV/0!</v>
      </c>
      <c r="CL172" t="e">
        <f t="shared" si="83"/>
        <v>#DIV/0!</v>
      </c>
      <c r="CM172" t="e">
        <f t="shared" si="84"/>
        <v>#DIV/0!</v>
      </c>
      <c r="CN172" t="e">
        <f t="shared" si="85"/>
        <v>#DIV/0!</v>
      </c>
      <c r="CO172" t="e">
        <f t="shared" si="86"/>
        <v>#DIV/0!</v>
      </c>
      <c r="CP172" t="e">
        <f t="shared" si="87"/>
        <v>#DIV/0!</v>
      </c>
      <c r="CQ172" t="e">
        <f t="shared" si="88"/>
        <v>#DIV/0!</v>
      </c>
      <c r="CR172" t="e">
        <f t="shared" si="89"/>
        <v>#DIV/0!</v>
      </c>
      <c r="CS172" t="e">
        <f t="shared" si="90"/>
        <v>#DIV/0!</v>
      </c>
      <c r="CT172" t="e">
        <f t="shared" si="91"/>
        <v>#DIV/0!</v>
      </c>
      <c r="CU172" t="e">
        <f t="shared" si="92"/>
        <v>#DIV/0!</v>
      </c>
      <c r="CV172" t="e">
        <f t="shared" si="93"/>
        <v>#DIV/0!</v>
      </c>
      <c r="CW172" t="e">
        <f t="shared" si="94"/>
        <v>#DIV/0!</v>
      </c>
      <c r="CX172" t="e">
        <f t="shared" si="95"/>
        <v>#DIV/0!</v>
      </c>
      <c r="CY172" t="e">
        <f t="shared" si="96"/>
        <v>#DIV/0!</v>
      </c>
      <c r="CZ172" t="e">
        <f t="shared" si="97"/>
        <v>#DIV/0!</v>
      </c>
      <c r="DA172" t="e">
        <f t="shared" si="98"/>
        <v>#DIV/0!</v>
      </c>
      <c r="DB172" t="e">
        <f t="shared" si="99"/>
        <v>#DIV/0!</v>
      </c>
      <c r="DC172" t="e">
        <f t="shared" si="100"/>
        <v>#DIV/0!</v>
      </c>
      <c r="DD172" t="e">
        <f t="shared" si="101"/>
        <v>#DIV/0!</v>
      </c>
      <c r="DE172" t="e">
        <f t="shared" si="102"/>
        <v>#DIV/0!</v>
      </c>
      <c r="DF172" t="e">
        <f t="shared" si="103"/>
        <v>#DIV/0!</v>
      </c>
      <c r="DG172" t="e">
        <f t="shared" si="104"/>
        <v>#DIV/0!</v>
      </c>
      <c r="DH172" t="e">
        <f t="shared" si="105"/>
        <v>#DIV/0!</v>
      </c>
      <c r="DI172" t="e">
        <f t="shared" si="106"/>
        <v>#DIV/0!</v>
      </c>
      <c r="DJ172" t="e">
        <f t="shared" si="107"/>
        <v>#DIV/0!</v>
      </c>
      <c r="DK172" t="e">
        <f t="shared" si="108"/>
        <v>#DIV/0!</v>
      </c>
      <c r="DL172" t="e">
        <f t="shared" si="109"/>
        <v>#DIV/0!</v>
      </c>
      <c r="DM172" t="e">
        <f t="shared" si="110"/>
        <v>#DIV/0!</v>
      </c>
      <c r="DN172" t="e">
        <f t="shared" si="111"/>
        <v>#DIV/0!</v>
      </c>
      <c r="DO172" t="e">
        <f t="shared" si="112"/>
        <v>#DIV/0!</v>
      </c>
      <c r="DP172" t="e">
        <f t="shared" si="113"/>
        <v>#DIV/0!</v>
      </c>
    </row>
    <row r="173" spans="1:120">
      <c r="A173" s="4" t="s">
        <v>1651</v>
      </c>
      <c r="B173" s="4" t="s">
        <v>24</v>
      </c>
      <c r="C173" s="123" t="s">
        <v>546</v>
      </c>
      <c r="D173" s="4" t="s">
        <v>119</v>
      </c>
      <c r="E173" s="4" t="s">
        <v>1394</v>
      </c>
      <c r="F173" s="4" t="s">
        <v>1628</v>
      </c>
      <c r="G173" s="4" t="s">
        <v>595</v>
      </c>
      <c r="H173" s="49">
        <v>132</v>
      </c>
      <c r="I173" s="4" t="s">
        <v>735</v>
      </c>
      <c r="J173" s="4"/>
      <c r="K173" s="4" t="s">
        <v>1276</v>
      </c>
      <c r="L173" s="4"/>
      <c r="M173" s="4" t="s">
        <v>1634</v>
      </c>
      <c r="N173" s="4">
        <v>54</v>
      </c>
      <c r="O173" s="95">
        <v>1.0007198407881548</v>
      </c>
      <c r="P173" s="95">
        <v>0.200143968157631</v>
      </c>
      <c r="Q173" s="95">
        <v>0.60043190447289285</v>
      </c>
      <c r="R173" s="95">
        <v>23.016556338127561</v>
      </c>
      <c r="S173" s="95">
        <v>1.5010797611822324</v>
      </c>
      <c r="T173" s="95">
        <v>6.1043910288077443</v>
      </c>
      <c r="U173" s="95">
        <v>0.40028793631526199</v>
      </c>
      <c r="V173" s="95">
        <v>18.513317054580867</v>
      </c>
      <c r="W173" s="95">
        <v>15.811373484452847</v>
      </c>
      <c r="X173" s="95">
        <v>1.7012237293398631</v>
      </c>
      <c r="Y173" s="95">
        <v>40.228937599683832</v>
      </c>
      <c r="Z173" s="95">
        <v>109.07846264590889</v>
      </c>
      <c r="BR173" s="45"/>
      <c r="BS173" s="45"/>
      <c r="BT173" s="45"/>
      <c r="BU173" s="45"/>
      <c r="BV173" s="45"/>
      <c r="BW173" s="45"/>
      <c r="BX173" s="45"/>
      <c r="BY173" s="141"/>
      <c r="BZ173" s="45"/>
      <c r="CA173" s="141"/>
      <c r="CB173" s="141"/>
      <c r="CC173" s="141"/>
      <c r="CE173" t="e">
        <f t="shared" si="76"/>
        <v>#DIV/0!</v>
      </c>
      <c r="CF173" t="e">
        <f t="shared" si="77"/>
        <v>#DIV/0!</v>
      </c>
      <c r="CG173" t="e">
        <f t="shared" si="78"/>
        <v>#DIV/0!</v>
      </c>
      <c r="CH173" t="e">
        <f t="shared" si="79"/>
        <v>#DIV/0!</v>
      </c>
      <c r="CI173" t="e">
        <f t="shared" si="80"/>
        <v>#DIV/0!</v>
      </c>
      <c r="CJ173" t="e">
        <f t="shared" si="81"/>
        <v>#DIV/0!</v>
      </c>
      <c r="CK173" t="e">
        <f t="shared" si="82"/>
        <v>#DIV/0!</v>
      </c>
      <c r="CL173" t="e">
        <f t="shared" si="83"/>
        <v>#DIV/0!</v>
      </c>
      <c r="CM173" t="e">
        <f t="shared" si="84"/>
        <v>#DIV/0!</v>
      </c>
      <c r="CN173" t="e">
        <f t="shared" si="85"/>
        <v>#DIV/0!</v>
      </c>
      <c r="CO173" t="e">
        <f t="shared" si="86"/>
        <v>#DIV/0!</v>
      </c>
      <c r="CP173" t="e">
        <f t="shared" si="87"/>
        <v>#DIV/0!</v>
      </c>
      <c r="CQ173" t="e">
        <f t="shared" si="88"/>
        <v>#DIV/0!</v>
      </c>
      <c r="CR173" t="e">
        <f t="shared" si="89"/>
        <v>#DIV/0!</v>
      </c>
      <c r="CS173" t="e">
        <f t="shared" si="90"/>
        <v>#DIV/0!</v>
      </c>
      <c r="CT173" t="e">
        <f t="shared" si="91"/>
        <v>#DIV/0!</v>
      </c>
      <c r="CU173" t="e">
        <f t="shared" si="92"/>
        <v>#DIV/0!</v>
      </c>
      <c r="CV173" t="e">
        <f t="shared" si="93"/>
        <v>#DIV/0!</v>
      </c>
      <c r="CW173" t="e">
        <f t="shared" si="94"/>
        <v>#DIV/0!</v>
      </c>
      <c r="CX173" t="e">
        <f t="shared" si="95"/>
        <v>#DIV/0!</v>
      </c>
      <c r="CY173" t="e">
        <f t="shared" si="96"/>
        <v>#DIV/0!</v>
      </c>
      <c r="CZ173" t="e">
        <f t="shared" si="97"/>
        <v>#DIV/0!</v>
      </c>
      <c r="DA173" t="e">
        <f t="shared" si="98"/>
        <v>#DIV/0!</v>
      </c>
      <c r="DB173" t="e">
        <f t="shared" si="99"/>
        <v>#DIV/0!</v>
      </c>
      <c r="DC173" t="e">
        <f t="shared" si="100"/>
        <v>#DIV/0!</v>
      </c>
      <c r="DD173" t="e">
        <f t="shared" si="101"/>
        <v>#DIV/0!</v>
      </c>
      <c r="DE173" t="e">
        <f t="shared" si="102"/>
        <v>#DIV/0!</v>
      </c>
      <c r="DF173" t="e">
        <f t="shared" si="103"/>
        <v>#DIV/0!</v>
      </c>
      <c r="DG173" t="e">
        <f t="shared" si="104"/>
        <v>#DIV/0!</v>
      </c>
      <c r="DH173" t="e">
        <f t="shared" si="105"/>
        <v>#DIV/0!</v>
      </c>
      <c r="DI173" t="e">
        <f t="shared" si="106"/>
        <v>#DIV/0!</v>
      </c>
      <c r="DJ173" t="e">
        <f t="shared" si="107"/>
        <v>#DIV/0!</v>
      </c>
      <c r="DK173" t="e">
        <f t="shared" si="108"/>
        <v>#DIV/0!</v>
      </c>
      <c r="DL173" t="e">
        <f t="shared" si="109"/>
        <v>#DIV/0!</v>
      </c>
      <c r="DM173" t="e">
        <f t="shared" si="110"/>
        <v>#DIV/0!</v>
      </c>
      <c r="DN173" t="e">
        <f t="shared" si="111"/>
        <v>#DIV/0!</v>
      </c>
      <c r="DO173" t="e">
        <f t="shared" si="112"/>
        <v>#DIV/0!</v>
      </c>
      <c r="DP173" t="e">
        <f t="shared" si="113"/>
        <v>#DIV/0!</v>
      </c>
    </row>
    <row r="174" spans="1:120">
      <c r="A174" s="4" t="s">
        <v>1651</v>
      </c>
      <c r="B174" s="4" t="s">
        <v>24</v>
      </c>
      <c r="C174" s="123" t="s">
        <v>546</v>
      </c>
      <c r="D174" s="4" t="s">
        <v>119</v>
      </c>
      <c r="E174" s="4" t="s">
        <v>1394</v>
      </c>
      <c r="F174" s="4" t="s">
        <v>1628</v>
      </c>
      <c r="G174" s="4" t="s">
        <v>595</v>
      </c>
      <c r="H174" s="49">
        <v>132</v>
      </c>
      <c r="I174" s="4" t="s">
        <v>735</v>
      </c>
      <c r="J174" s="4"/>
      <c r="K174" s="4" t="s">
        <v>1276</v>
      </c>
      <c r="L174" s="4"/>
      <c r="M174" s="4" t="s">
        <v>1635</v>
      </c>
      <c r="N174" s="4">
        <v>40</v>
      </c>
      <c r="O174" s="95">
        <v>1.09976422544109</v>
      </c>
      <c r="P174" s="95">
        <v>0.39991426379676004</v>
      </c>
      <c r="Q174" s="95">
        <v>0.69984996164433</v>
      </c>
      <c r="R174" s="95">
        <v>22.895091602364509</v>
      </c>
      <c r="S174" s="95">
        <v>1.7996141870854201</v>
      </c>
      <c r="T174" s="95">
        <v>6.6985639185957302</v>
      </c>
      <c r="U174" s="95">
        <v>0.89980709354271005</v>
      </c>
      <c r="V174" s="95">
        <v>12.897235007445513</v>
      </c>
      <c r="W174" s="95">
        <v>20.395627453634759</v>
      </c>
      <c r="X174" s="95">
        <v>2.0995498849329901</v>
      </c>
      <c r="Y174" s="95">
        <v>38.891662154234915</v>
      </c>
      <c r="Z174" s="95">
        <v>108.77667975271874</v>
      </c>
      <c r="BR174" s="45"/>
      <c r="BS174" s="45"/>
      <c r="BT174" s="45"/>
      <c r="BU174" s="45"/>
      <c r="BV174" s="45"/>
      <c r="BW174" s="45"/>
      <c r="BX174" s="45"/>
      <c r="BY174" s="141"/>
      <c r="BZ174" s="45"/>
      <c r="CA174" s="141"/>
      <c r="CB174" s="141"/>
      <c r="CC174" s="141"/>
      <c r="CE174" t="e">
        <f t="shared" si="76"/>
        <v>#DIV/0!</v>
      </c>
      <c r="CF174" t="e">
        <f t="shared" si="77"/>
        <v>#DIV/0!</v>
      </c>
      <c r="CG174" t="e">
        <f t="shared" si="78"/>
        <v>#DIV/0!</v>
      </c>
      <c r="CH174" t="e">
        <f t="shared" si="79"/>
        <v>#DIV/0!</v>
      </c>
      <c r="CI174" t="e">
        <f t="shared" si="80"/>
        <v>#DIV/0!</v>
      </c>
      <c r="CJ174" t="e">
        <f t="shared" si="81"/>
        <v>#DIV/0!</v>
      </c>
      <c r="CK174" t="e">
        <f t="shared" si="82"/>
        <v>#DIV/0!</v>
      </c>
      <c r="CL174" t="e">
        <f t="shared" si="83"/>
        <v>#DIV/0!</v>
      </c>
      <c r="CM174" t="e">
        <f t="shared" si="84"/>
        <v>#DIV/0!</v>
      </c>
      <c r="CN174" t="e">
        <f t="shared" si="85"/>
        <v>#DIV/0!</v>
      </c>
      <c r="CO174" t="e">
        <f t="shared" si="86"/>
        <v>#DIV/0!</v>
      </c>
      <c r="CP174" t="e">
        <f t="shared" si="87"/>
        <v>#DIV/0!</v>
      </c>
      <c r="CQ174" t="e">
        <f t="shared" si="88"/>
        <v>#DIV/0!</v>
      </c>
      <c r="CR174" t="e">
        <f t="shared" si="89"/>
        <v>#DIV/0!</v>
      </c>
      <c r="CS174" t="e">
        <f t="shared" si="90"/>
        <v>#DIV/0!</v>
      </c>
      <c r="CT174" t="e">
        <f t="shared" si="91"/>
        <v>#DIV/0!</v>
      </c>
      <c r="CU174" t="e">
        <f t="shared" si="92"/>
        <v>#DIV/0!</v>
      </c>
      <c r="CV174" t="e">
        <f t="shared" si="93"/>
        <v>#DIV/0!</v>
      </c>
      <c r="CW174" t="e">
        <f t="shared" si="94"/>
        <v>#DIV/0!</v>
      </c>
      <c r="CX174" t="e">
        <f t="shared" si="95"/>
        <v>#DIV/0!</v>
      </c>
      <c r="CY174" t="e">
        <f t="shared" si="96"/>
        <v>#DIV/0!</v>
      </c>
      <c r="CZ174" t="e">
        <f t="shared" si="97"/>
        <v>#DIV/0!</v>
      </c>
      <c r="DA174" t="e">
        <f t="shared" si="98"/>
        <v>#DIV/0!</v>
      </c>
      <c r="DB174" t="e">
        <f t="shared" si="99"/>
        <v>#DIV/0!</v>
      </c>
      <c r="DC174" t="e">
        <f t="shared" si="100"/>
        <v>#DIV/0!</v>
      </c>
      <c r="DD174" t="e">
        <f t="shared" si="101"/>
        <v>#DIV/0!</v>
      </c>
      <c r="DE174" t="e">
        <f t="shared" si="102"/>
        <v>#DIV/0!</v>
      </c>
      <c r="DF174" t="e">
        <f t="shared" si="103"/>
        <v>#DIV/0!</v>
      </c>
      <c r="DG174" t="e">
        <f t="shared" si="104"/>
        <v>#DIV/0!</v>
      </c>
      <c r="DH174" t="e">
        <f t="shared" si="105"/>
        <v>#DIV/0!</v>
      </c>
      <c r="DI174" t="e">
        <f t="shared" si="106"/>
        <v>#DIV/0!</v>
      </c>
      <c r="DJ174" t="e">
        <f t="shared" si="107"/>
        <v>#DIV/0!</v>
      </c>
      <c r="DK174" t="e">
        <f t="shared" si="108"/>
        <v>#DIV/0!</v>
      </c>
      <c r="DL174" t="e">
        <f t="shared" si="109"/>
        <v>#DIV/0!</v>
      </c>
      <c r="DM174" t="e">
        <f t="shared" si="110"/>
        <v>#DIV/0!</v>
      </c>
      <c r="DN174" t="e">
        <f t="shared" si="111"/>
        <v>#DIV/0!</v>
      </c>
      <c r="DO174" t="e">
        <f t="shared" si="112"/>
        <v>#DIV/0!</v>
      </c>
      <c r="DP174" t="e">
        <f t="shared" si="113"/>
        <v>#DIV/0!</v>
      </c>
    </row>
    <row r="175" spans="1:120">
      <c r="A175" s="4" t="s">
        <v>1651</v>
      </c>
      <c r="B175" s="4" t="s">
        <v>24</v>
      </c>
      <c r="C175" s="123" t="s">
        <v>546</v>
      </c>
      <c r="D175" s="4" t="s">
        <v>119</v>
      </c>
      <c r="E175" s="4" t="s">
        <v>1394</v>
      </c>
      <c r="F175" s="4" t="s">
        <v>1628</v>
      </c>
      <c r="G175" s="4" t="s">
        <v>595</v>
      </c>
      <c r="H175" s="49">
        <v>132</v>
      </c>
      <c r="I175" s="4" t="s">
        <v>735</v>
      </c>
      <c r="J175" s="4"/>
      <c r="K175" s="4" t="s">
        <v>1276</v>
      </c>
      <c r="L175" s="4"/>
      <c r="M175" s="4" t="s">
        <v>1636</v>
      </c>
      <c r="N175" s="4">
        <v>36</v>
      </c>
      <c r="O175" s="95">
        <v>1.3996565017894056</v>
      </c>
      <c r="P175" s="95">
        <v>0.79980371530823191</v>
      </c>
      <c r="Q175" s="95">
        <v>0.79980371530823191</v>
      </c>
      <c r="R175" s="95">
        <v>25.993620747517536</v>
      </c>
      <c r="S175" s="95">
        <v>1.7995583594435218</v>
      </c>
      <c r="T175" s="95">
        <v>6.6983561157064431</v>
      </c>
      <c r="U175" s="95">
        <v>0.79980371530823191</v>
      </c>
      <c r="V175" s="95">
        <v>15.096295126442877</v>
      </c>
      <c r="W175" s="95">
        <v>15.496196984096994</v>
      </c>
      <c r="X175" s="95">
        <v>1.6995828950299927</v>
      </c>
      <c r="Y175" s="95">
        <v>37.990676477141015</v>
      </c>
      <c r="Z175" s="95">
        <v>108.57335435309247</v>
      </c>
      <c r="BR175" s="45"/>
      <c r="BS175" s="45"/>
      <c r="BT175" s="45"/>
      <c r="BU175" s="45"/>
      <c r="BV175" s="45"/>
      <c r="BW175" s="45"/>
      <c r="BX175" s="45"/>
      <c r="BY175" s="141"/>
      <c r="BZ175" s="45"/>
      <c r="CA175" s="141"/>
      <c r="CB175" s="141"/>
      <c r="CC175" s="141"/>
      <c r="CE175" t="e">
        <f t="shared" si="76"/>
        <v>#DIV/0!</v>
      </c>
      <c r="CF175" t="e">
        <f t="shared" si="77"/>
        <v>#DIV/0!</v>
      </c>
      <c r="CG175" t="e">
        <f t="shared" si="78"/>
        <v>#DIV/0!</v>
      </c>
      <c r="CH175" t="e">
        <f t="shared" si="79"/>
        <v>#DIV/0!</v>
      </c>
      <c r="CI175" t="e">
        <f t="shared" si="80"/>
        <v>#DIV/0!</v>
      </c>
      <c r="CJ175" t="e">
        <f t="shared" si="81"/>
        <v>#DIV/0!</v>
      </c>
      <c r="CK175" t="e">
        <f t="shared" si="82"/>
        <v>#DIV/0!</v>
      </c>
      <c r="CL175" t="e">
        <f t="shared" si="83"/>
        <v>#DIV/0!</v>
      </c>
      <c r="CM175" t="e">
        <f t="shared" si="84"/>
        <v>#DIV/0!</v>
      </c>
      <c r="CN175" t="e">
        <f t="shared" si="85"/>
        <v>#DIV/0!</v>
      </c>
      <c r="CO175" t="e">
        <f t="shared" si="86"/>
        <v>#DIV/0!</v>
      </c>
      <c r="CP175" t="e">
        <f t="shared" si="87"/>
        <v>#DIV/0!</v>
      </c>
      <c r="CQ175" t="e">
        <f t="shared" si="88"/>
        <v>#DIV/0!</v>
      </c>
      <c r="CR175" t="e">
        <f t="shared" si="89"/>
        <v>#DIV/0!</v>
      </c>
      <c r="CS175" t="e">
        <f t="shared" si="90"/>
        <v>#DIV/0!</v>
      </c>
      <c r="CT175" t="e">
        <f t="shared" si="91"/>
        <v>#DIV/0!</v>
      </c>
      <c r="CU175" t="e">
        <f t="shared" si="92"/>
        <v>#DIV/0!</v>
      </c>
      <c r="CV175" t="e">
        <f t="shared" si="93"/>
        <v>#DIV/0!</v>
      </c>
      <c r="CW175" t="e">
        <f t="shared" si="94"/>
        <v>#DIV/0!</v>
      </c>
      <c r="CX175" t="e">
        <f t="shared" si="95"/>
        <v>#DIV/0!</v>
      </c>
      <c r="CY175" t="e">
        <f t="shared" si="96"/>
        <v>#DIV/0!</v>
      </c>
      <c r="CZ175" t="e">
        <f t="shared" si="97"/>
        <v>#DIV/0!</v>
      </c>
      <c r="DA175" t="e">
        <f t="shared" si="98"/>
        <v>#DIV/0!</v>
      </c>
      <c r="DB175" t="e">
        <f t="shared" si="99"/>
        <v>#DIV/0!</v>
      </c>
      <c r="DC175" t="e">
        <f t="shared" si="100"/>
        <v>#DIV/0!</v>
      </c>
      <c r="DD175" t="e">
        <f t="shared" si="101"/>
        <v>#DIV/0!</v>
      </c>
      <c r="DE175" t="e">
        <f t="shared" si="102"/>
        <v>#DIV/0!</v>
      </c>
      <c r="DF175" t="e">
        <f t="shared" si="103"/>
        <v>#DIV/0!</v>
      </c>
      <c r="DG175" t="e">
        <f t="shared" si="104"/>
        <v>#DIV/0!</v>
      </c>
      <c r="DH175" t="e">
        <f t="shared" si="105"/>
        <v>#DIV/0!</v>
      </c>
      <c r="DI175" t="e">
        <f t="shared" si="106"/>
        <v>#DIV/0!</v>
      </c>
      <c r="DJ175" t="e">
        <f t="shared" si="107"/>
        <v>#DIV/0!</v>
      </c>
      <c r="DK175" t="e">
        <f t="shared" si="108"/>
        <v>#DIV/0!</v>
      </c>
      <c r="DL175" t="e">
        <f t="shared" si="109"/>
        <v>#DIV/0!</v>
      </c>
      <c r="DM175" t="e">
        <f t="shared" si="110"/>
        <v>#DIV/0!</v>
      </c>
      <c r="DN175" t="e">
        <f t="shared" si="111"/>
        <v>#DIV/0!</v>
      </c>
      <c r="DO175" t="e">
        <f t="shared" si="112"/>
        <v>#DIV/0!</v>
      </c>
      <c r="DP175" t="e">
        <f t="shared" si="113"/>
        <v>#DIV/0!</v>
      </c>
    </row>
    <row r="176" spans="1:120">
      <c r="A176" s="4" t="s">
        <v>1651</v>
      </c>
      <c r="B176" s="4" t="s">
        <v>24</v>
      </c>
      <c r="C176" s="123" t="s">
        <v>546</v>
      </c>
      <c r="D176" s="4" t="s">
        <v>119</v>
      </c>
      <c r="E176" s="4" t="s">
        <v>1394</v>
      </c>
      <c r="F176" s="4" t="s">
        <v>1628</v>
      </c>
      <c r="G176" s="4" t="s">
        <v>595</v>
      </c>
      <c r="H176" s="49">
        <v>132</v>
      </c>
      <c r="I176" s="4" t="s">
        <v>735</v>
      </c>
      <c r="J176" s="4"/>
      <c r="K176" s="4" t="s">
        <v>1276</v>
      </c>
      <c r="L176" s="4"/>
      <c r="M176" s="4" t="s">
        <v>1637</v>
      </c>
      <c r="N176" s="4">
        <v>50</v>
      </c>
      <c r="O176" s="95">
        <v>0.89936955335963353</v>
      </c>
      <c r="P176" s="95">
        <v>0.49964975186646304</v>
      </c>
      <c r="Q176" s="95">
        <v>0.69950965261304821</v>
      </c>
      <c r="R176" s="95">
        <v>18.58697076943243</v>
      </c>
      <c r="S176" s="95">
        <v>1.299089354852804</v>
      </c>
      <c r="T176" s="95">
        <v>7.0950264765037758</v>
      </c>
      <c r="U176" s="95">
        <v>0.79943960298634098</v>
      </c>
      <c r="V176" s="95">
        <v>17.587671265699502</v>
      </c>
      <c r="W176" s="95">
        <v>17.687601216072792</v>
      </c>
      <c r="X176" s="95">
        <v>3.1977584119453639</v>
      </c>
      <c r="Y176" s="95">
        <v>40.871349702676682</v>
      </c>
      <c r="Z176" s="95">
        <v>109.22343575800883</v>
      </c>
      <c r="BR176" s="45"/>
      <c r="BS176" s="45"/>
      <c r="BT176" s="45"/>
      <c r="BU176" s="45"/>
      <c r="BV176" s="45"/>
      <c r="BW176" s="45"/>
      <c r="BX176" s="45"/>
      <c r="BY176" s="141"/>
      <c r="BZ176" s="45"/>
      <c r="CA176" s="141"/>
      <c r="CB176" s="141"/>
      <c r="CC176" s="141"/>
      <c r="CE176" t="e">
        <f t="shared" si="76"/>
        <v>#DIV/0!</v>
      </c>
      <c r="CF176" t="e">
        <f t="shared" si="77"/>
        <v>#DIV/0!</v>
      </c>
      <c r="CG176" t="e">
        <f t="shared" si="78"/>
        <v>#DIV/0!</v>
      </c>
      <c r="CH176" t="e">
        <f t="shared" si="79"/>
        <v>#DIV/0!</v>
      </c>
      <c r="CI176" t="e">
        <f t="shared" si="80"/>
        <v>#DIV/0!</v>
      </c>
      <c r="CJ176" t="e">
        <f t="shared" si="81"/>
        <v>#DIV/0!</v>
      </c>
      <c r="CK176" t="e">
        <f t="shared" si="82"/>
        <v>#DIV/0!</v>
      </c>
      <c r="CL176" t="e">
        <f t="shared" si="83"/>
        <v>#DIV/0!</v>
      </c>
      <c r="CM176" t="e">
        <f t="shared" si="84"/>
        <v>#DIV/0!</v>
      </c>
      <c r="CN176" t="e">
        <f t="shared" si="85"/>
        <v>#DIV/0!</v>
      </c>
      <c r="CO176" t="e">
        <f t="shared" si="86"/>
        <v>#DIV/0!</v>
      </c>
      <c r="CP176" t="e">
        <f t="shared" si="87"/>
        <v>#DIV/0!</v>
      </c>
      <c r="CQ176" t="e">
        <f t="shared" si="88"/>
        <v>#DIV/0!</v>
      </c>
      <c r="CR176" t="e">
        <f t="shared" si="89"/>
        <v>#DIV/0!</v>
      </c>
      <c r="CS176" t="e">
        <f t="shared" si="90"/>
        <v>#DIV/0!</v>
      </c>
      <c r="CT176" t="e">
        <f t="shared" si="91"/>
        <v>#DIV/0!</v>
      </c>
      <c r="CU176" t="e">
        <f t="shared" si="92"/>
        <v>#DIV/0!</v>
      </c>
      <c r="CV176" t="e">
        <f t="shared" si="93"/>
        <v>#DIV/0!</v>
      </c>
      <c r="CW176" t="e">
        <f t="shared" si="94"/>
        <v>#DIV/0!</v>
      </c>
      <c r="CX176" t="e">
        <f t="shared" si="95"/>
        <v>#DIV/0!</v>
      </c>
      <c r="CY176" t="e">
        <f t="shared" si="96"/>
        <v>#DIV/0!</v>
      </c>
      <c r="CZ176" t="e">
        <f t="shared" si="97"/>
        <v>#DIV/0!</v>
      </c>
      <c r="DA176" t="e">
        <f t="shared" si="98"/>
        <v>#DIV/0!</v>
      </c>
      <c r="DB176" t="e">
        <f t="shared" si="99"/>
        <v>#DIV/0!</v>
      </c>
      <c r="DC176" t="e">
        <f t="shared" si="100"/>
        <v>#DIV/0!</v>
      </c>
      <c r="DD176" t="e">
        <f t="shared" si="101"/>
        <v>#DIV/0!</v>
      </c>
      <c r="DE176" t="e">
        <f t="shared" si="102"/>
        <v>#DIV/0!</v>
      </c>
      <c r="DF176" t="e">
        <f t="shared" si="103"/>
        <v>#DIV/0!</v>
      </c>
      <c r="DG176" t="e">
        <f t="shared" si="104"/>
        <v>#DIV/0!</v>
      </c>
      <c r="DH176" t="e">
        <f t="shared" si="105"/>
        <v>#DIV/0!</v>
      </c>
      <c r="DI176" t="e">
        <f t="shared" si="106"/>
        <v>#DIV/0!</v>
      </c>
      <c r="DJ176" t="e">
        <f t="shared" si="107"/>
        <v>#DIV/0!</v>
      </c>
      <c r="DK176" t="e">
        <f t="shared" si="108"/>
        <v>#DIV/0!</v>
      </c>
      <c r="DL176" t="e">
        <f t="shared" si="109"/>
        <v>#DIV/0!</v>
      </c>
      <c r="DM176" t="e">
        <f t="shared" si="110"/>
        <v>#DIV/0!</v>
      </c>
      <c r="DN176" t="e">
        <f t="shared" si="111"/>
        <v>#DIV/0!</v>
      </c>
      <c r="DO176" t="e">
        <f t="shared" si="112"/>
        <v>#DIV/0!</v>
      </c>
      <c r="DP176" t="e">
        <f t="shared" si="113"/>
        <v>#DIV/0!</v>
      </c>
    </row>
    <row r="177" spans="1:120">
      <c r="A177" s="4" t="s">
        <v>1651</v>
      </c>
      <c r="B177" s="4" t="s">
        <v>24</v>
      </c>
      <c r="C177" s="123" t="s">
        <v>546</v>
      </c>
      <c r="D177" s="4" t="s">
        <v>119</v>
      </c>
      <c r="E177" s="4" t="s">
        <v>1394</v>
      </c>
      <c r="F177" s="4" t="s">
        <v>1628</v>
      </c>
      <c r="G177" s="4" t="s">
        <v>595</v>
      </c>
      <c r="H177" s="49">
        <v>132</v>
      </c>
      <c r="I177" s="4" t="s">
        <v>735</v>
      </c>
      <c r="J177" s="4"/>
      <c r="K177" s="4" t="s">
        <v>1276</v>
      </c>
      <c r="L177" s="4"/>
      <c r="M177" s="4" t="s">
        <v>1638</v>
      </c>
      <c r="N177" s="4">
        <v>49</v>
      </c>
      <c r="O177" s="95">
        <v>0.89870201570651143</v>
      </c>
      <c r="P177" s="95">
        <v>0.39942311809178283</v>
      </c>
      <c r="Q177" s="95">
        <v>0.39942311809178283</v>
      </c>
      <c r="R177" s="95">
        <v>13.180962897028833</v>
      </c>
      <c r="S177" s="95">
        <v>2.5962502675965884</v>
      </c>
      <c r="T177" s="95">
        <v>9.4862990546798418</v>
      </c>
      <c r="U177" s="95">
        <v>0.4992788976147286</v>
      </c>
      <c r="V177" s="95">
        <v>23.366252408369295</v>
      </c>
      <c r="W177" s="95">
        <v>15.477645826056586</v>
      </c>
      <c r="X177" s="95">
        <v>1.2981251337982942</v>
      </c>
      <c r="Y177" s="95">
        <v>41.839571620114249</v>
      </c>
      <c r="Z177" s="95">
        <v>109.44193435714848</v>
      </c>
      <c r="AA177" s="4"/>
      <c r="AB177" s="4"/>
      <c r="AC177" s="4"/>
      <c r="AD177" s="4"/>
      <c r="AE177" s="130"/>
      <c r="AF177" s="130"/>
      <c r="AG177" s="4"/>
      <c r="AH177" s="4"/>
      <c r="AI177" s="4"/>
      <c r="AJ177" s="4"/>
      <c r="AK177" s="137"/>
      <c r="AL177" s="4"/>
      <c r="AM177" s="137"/>
      <c r="AN177" s="130"/>
      <c r="AO177" s="4"/>
      <c r="AP177" s="4"/>
      <c r="AQ177" s="4"/>
      <c r="AR177" s="4"/>
      <c r="AS177" s="4"/>
      <c r="AT177" s="4"/>
      <c r="AU177" s="4"/>
      <c r="AV177" s="4"/>
      <c r="AW177" s="4"/>
      <c r="AX177" s="130"/>
      <c r="AY177" s="130"/>
      <c r="AZ177" s="130"/>
      <c r="BA177" s="130"/>
      <c r="BB177" s="4"/>
      <c r="BC177" s="130"/>
      <c r="BD177" s="4"/>
      <c r="BE177" s="4"/>
      <c r="BF177" s="4"/>
      <c r="BG177" s="4"/>
      <c r="BH177" s="130"/>
      <c r="BI177" s="130"/>
      <c r="BJ177" s="4"/>
      <c r="BK177" s="130"/>
      <c r="BL177" s="130"/>
      <c r="BM177" s="130"/>
      <c r="BR177" s="45"/>
      <c r="BS177" s="45"/>
      <c r="BT177" s="45"/>
      <c r="BU177" s="45"/>
      <c r="BV177" s="45"/>
      <c r="BW177" s="45"/>
      <c r="BX177" s="45"/>
      <c r="BY177" s="141"/>
      <c r="BZ177" s="45"/>
      <c r="CA177" s="141"/>
      <c r="CB177" s="141"/>
      <c r="CC177" s="141"/>
      <c r="CE177" t="e">
        <f t="shared" si="76"/>
        <v>#DIV/0!</v>
      </c>
      <c r="CF177" t="e">
        <f t="shared" si="77"/>
        <v>#DIV/0!</v>
      </c>
      <c r="CG177" t="e">
        <f t="shared" si="78"/>
        <v>#DIV/0!</v>
      </c>
      <c r="CH177" t="e">
        <f t="shared" si="79"/>
        <v>#DIV/0!</v>
      </c>
      <c r="CI177" t="e">
        <f t="shared" si="80"/>
        <v>#DIV/0!</v>
      </c>
      <c r="CJ177" t="e">
        <f t="shared" si="81"/>
        <v>#DIV/0!</v>
      </c>
      <c r="CK177" t="e">
        <f t="shared" si="82"/>
        <v>#DIV/0!</v>
      </c>
      <c r="CL177" t="e">
        <f t="shared" si="83"/>
        <v>#DIV/0!</v>
      </c>
      <c r="CM177" t="e">
        <f t="shared" si="84"/>
        <v>#DIV/0!</v>
      </c>
      <c r="CN177" t="e">
        <f t="shared" si="85"/>
        <v>#DIV/0!</v>
      </c>
      <c r="CO177" t="e">
        <f t="shared" si="86"/>
        <v>#DIV/0!</v>
      </c>
      <c r="CP177" t="e">
        <f t="shared" si="87"/>
        <v>#DIV/0!</v>
      </c>
      <c r="CQ177" t="e">
        <f t="shared" si="88"/>
        <v>#DIV/0!</v>
      </c>
      <c r="CR177" t="e">
        <f t="shared" si="89"/>
        <v>#DIV/0!</v>
      </c>
      <c r="CS177" t="e">
        <f t="shared" si="90"/>
        <v>#DIV/0!</v>
      </c>
      <c r="CT177" t="e">
        <f t="shared" si="91"/>
        <v>#DIV/0!</v>
      </c>
      <c r="CU177" t="e">
        <f t="shared" si="92"/>
        <v>#DIV/0!</v>
      </c>
      <c r="CV177" t="e">
        <f t="shared" si="93"/>
        <v>#DIV/0!</v>
      </c>
      <c r="CW177" t="e">
        <f t="shared" si="94"/>
        <v>#DIV/0!</v>
      </c>
      <c r="CX177" t="e">
        <f t="shared" si="95"/>
        <v>#DIV/0!</v>
      </c>
      <c r="CY177" t="e">
        <f t="shared" si="96"/>
        <v>#DIV/0!</v>
      </c>
      <c r="CZ177" t="e">
        <f t="shared" si="97"/>
        <v>#DIV/0!</v>
      </c>
      <c r="DA177" t="e">
        <f t="shared" si="98"/>
        <v>#DIV/0!</v>
      </c>
      <c r="DB177" t="e">
        <f t="shared" si="99"/>
        <v>#DIV/0!</v>
      </c>
      <c r="DC177" t="e">
        <f t="shared" si="100"/>
        <v>#DIV/0!</v>
      </c>
      <c r="DD177" t="e">
        <f t="shared" si="101"/>
        <v>#DIV/0!</v>
      </c>
      <c r="DE177" t="e">
        <f t="shared" si="102"/>
        <v>#DIV/0!</v>
      </c>
      <c r="DF177" t="e">
        <f t="shared" si="103"/>
        <v>#DIV/0!</v>
      </c>
      <c r="DG177" t="e">
        <f t="shared" si="104"/>
        <v>#DIV/0!</v>
      </c>
      <c r="DH177" t="e">
        <f t="shared" si="105"/>
        <v>#DIV/0!</v>
      </c>
      <c r="DI177" t="e">
        <f t="shared" si="106"/>
        <v>#DIV/0!</v>
      </c>
      <c r="DJ177" t="e">
        <f t="shared" si="107"/>
        <v>#DIV/0!</v>
      </c>
      <c r="DK177" t="e">
        <f t="shared" si="108"/>
        <v>#DIV/0!</v>
      </c>
      <c r="DL177" t="e">
        <f t="shared" si="109"/>
        <v>#DIV/0!</v>
      </c>
      <c r="DM177" t="e">
        <f t="shared" si="110"/>
        <v>#DIV/0!</v>
      </c>
      <c r="DN177" t="e">
        <f t="shared" si="111"/>
        <v>#DIV/0!</v>
      </c>
      <c r="DO177" t="e">
        <f t="shared" si="112"/>
        <v>#DIV/0!</v>
      </c>
      <c r="DP177" t="e">
        <f t="shared" si="113"/>
        <v>#DIV/0!</v>
      </c>
    </row>
    <row r="178" spans="1:120">
      <c r="A178" s="16" t="s">
        <v>1656</v>
      </c>
      <c r="B178" s="4" t="s">
        <v>24</v>
      </c>
      <c r="C178" s="123" t="s">
        <v>546</v>
      </c>
      <c r="D178" s="4" t="s">
        <v>119</v>
      </c>
      <c r="E178" s="4" t="s">
        <v>237</v>
      </c>
      <c r="F178" s="4" t="s">
        <v>849</v>
      </c>
      <c r="G178" s="4" t="s">
        <v>595</v>
      </c>
      <c r="H178" s="49">
        <v>364</v>
      </c>
      <c r="I178" s="4" t="s">
        <v>1148</v>
      </c>
      <c r="J178" s="4" t="s">
        <v>635</v>
      </c>
      <c r="K178" s="4" t="s">
        <v>1678</v>
      </c>
      <c r="L178" s="4"/>
      <c r="M178" s="4" t="s">
        <v>1694</v>
      </c>
      <c r="N178" s="4">
        <v>30</v>
      </c>
      <c r="O178" s="95">
        <v>2.2468052434093</v>
      </c>
      <c r="P178" s="95">
        <v>0.20136462087158821</v>
      </c>
      <c r="Q178" s="95">
        <v>0.30734600027768721</v>
      </c>
      <c r="R178" s="95">
        <v>6.5496492472969212</v>
      </c>
      <c r="S178" s="95">
        <v>10.004642215935752</v>
      </c>
      <c r="T178" s="95">
        <v>12.293840011107489</v>
      </c>
      <c r="U178" s="95">
        <v>7.0795561443274169</v>
      </c>
      <c r="V178" s="95">
        <v>4.8751434526805566</v>
      </c>
      <c r="W178" s="95">
        <v>43.134421418282315</v>
      </c>
      <c r="X178" s="95">
        <v>0.71007524202086381</v>
      </c>
      <c r="Y178" s="95">
        <v>16.109169669727056</v>
      </c>
      <c r="Z178" s="95">
        <v>103.51201326593694</v>
      </c>
      <c r="AB178" s="26"/>
      <c r="CE178" t="e">
        <f t="shared" si="76"/>
        <v>#DIV/0!</v>
      </c>
      <c r="CF178" t="e">
        <f t="shared" si="77"/>
        <v>#DIV/0!</v>
      </c>
      <c r="CG178" t="e">
        <f t="shared" si="78"/>
        <v>#DIV/0!</v>
      </c>
      <c r="CH178" t="e">
        <f t="shared" si="79"/>
        <v>#DIV/0!</v>
      </c>
      <c r="CI178" t="e">
        <f t="shared" si="80"/>
        <v>#DIV/0!</v>
      </c>
      <c r="CJ178" t="e">
        <f t="shared" si="81"/>
        <v>#DIV/0!</v>
      </c>
      <c r="CK178" t="e">
        <f t="shared" si="82"/>
        <v>#DIV/0!</v>
      </c>
      <c r="CL178" t="e">
        <f t="shared" si="83"/>
        <v>#DIV/0!</v>
      </c>
      <c r="CM178" t="e">
        <f t="shared" si="84"/>
        <v>#DIV/0!</v>
      </c>
      <c r="CN178" t="e">
        <f t="shared" si="85"/>
        <v>#DIV/0!</v>
      </c>
      <c r="CO178" t="e">
        <f t="shared" si="86"/>
        <v>#DIV/0!</v>
      </c>
      <c r="CP178" t="e">
        <f t="shared" si="87"/>
        <v>#DIV/0!</v>
      </c>
      <c r="CQ178" t="e">
        <f t="shared" si="88"/>
        <v>#DIV/0!</v>
      </c>
      <c r="CR178" t="e">
        <f t="shared" si="89"/>
        <v>#DIV/0!</v>
      </c>
      <c r="CS178" t="e">
        <f t="shared" si="90"/>
        <v>#DIV/0!</v>
      </c>
      <c r="CT178" t="e">
        <f t="shared" si="91"/>
        <v>#DIV/0!</v>
      </c>
      <c r="CU178" t="e">
        <f t="shared" si="92"/>
        <v>#DIV/0!</v>
      </c>
      <c r="CV178" t="e">
        <f t="shared" si="93"/>
        <v>#DIV/0!</v>
      </c>
      <c r="CW178" t="e">
        <f t="shared" si="94"/>
        <v>#DIV/0!</v>
      </c>
      <c r="CX178" t="e">
        <f t="shared" si="95"/>
        <v>#DIV/0!</v>
      </c>
      <c r="CY178" t="e">
        <f t="shared" si="96"/>
        <v>#DIV/0!</v>
      </c>
      <c r="CZ178" t="e">
        <f t="shared" si="97"/>
        <v>#DIV/0!</v>
      </c>
      <c r="DA178" t="e">
        <f t="shared" si="98"/>
        <v>#DIV/0!</v>
      </c>
      <c r="DB178" t="e">
        <f t="shared" si="99"/>
        <v>#DIV/0!</v>
      </c>
      <c r="DC178" t="e">
        <f t="shared" si="100"/>
        <v>#DIV/0!</v>
      </c>
      <c r="DD178" t="e">
        <f t="shared" si="101"/>
        <v>#DIV/0!</v>
      </c>
      <c r="DE178" t="e">
        <f t="shared" si="102"/>
        <v>#DIV/0!</v>
      </c>
      <c r="DF178" t="e">
        <f t="shared" si="103"/>
        <v>#DIV/0!</v>
      </c>
      <c r="DG178" t="e">
        <f t="shared" si="104"/>
        <v>#DIV/0!</v>
      </c>
      <c r="DH178" t="e">
        <f t="shared" si="105"/>
        <v>#DIV/0!</v>
      </c>
      <c r="DI178" t="e">
        <f t="shared" si="106"/>
        <v>#DIV/0!</v>
      </c>
      <c r="DJ178" t="e">
        <f t="shared" si="107"/>
        <v>#DIV/0!</v>
      </c>
      <c r="DK178" t="e">
        <f t="shared" si="108"/>
        <v>#DIV/0!</v>
      </c>
      <c r="DL178" t="e">
        <f t="shared" si="109"/>
        <v>#DIV/0!</v>
      </c>
      <c r="DM178" t="e">
        <f t="shared" si="110"/>
        <v>#DIV/0!</v>
      </c>
      <c r="DN178" t="e">
        <f t="shared" si="111"/>
        <v>#DIV/0!</v>
      </c>
      <c r="DO178" t="e">
        <f t="shared" si="112"/>
        <v>#DIV/0!</v>
      </c>
      <c r="DP178" t="e">
        <f t="shared" si="113"/>
        <v>#DIV/0!</v>
      </c>
    </row>
    <row r="179" spans="1:120">
      <c r="A179" s="16" t="s">
        <v>1229</v>
      </c>
      <c r="B179" s="16" t="s">
        <v>24</v>
      </c>
      <c r="C179" s="124" t="s">
        <v>541</v>
      </c>
      <c r="D179" s="16"/>
      <c r="E179" s="16" t="s">
        <v>1394</v>
      </c>
      <c r="F179" s="16" t="s">
        <v>1432</v>
      </c>
      <c r="G179" s="16" t="s">
        <v>595</v>
      </c>
      <c r="H179" s="27">
        <v>93</v>
      </c>
      <c r="I179" s="16"/>
      <c r="J179" s="16" t="s">
        <v>1311</v>
      </c>
      <c r="K179" s="16" t="s">
        <v>1274</v>
      </c>
      <c r="L179" s="16"/>
      <c r="M179" s="16" t="s">
        <v>1486</v>
      </c>
      <c r="N179" s="16">
        <v>18</v>
      </c>
      <c r="O179" s="95">
        <v>60.516138713244331</v>
      </c>
      <c r="P179" s="95">
        <v>1.6257741376468473</v>
      </c>
      <c r="Q179" s="95">
        <v>6.1745532075155038</v>
      </c>
      <c r="R179" s="95">
        <v>4.6318681219956677</v>
      </c>
      <c r="S179" s="95">
        <v>4.2715247852856768</v>
      </c>
      <c r="T179" s="95">
        <v>3.8817412101450106</v>
      </c>
      <c r="U179" s="95">
        <v>0.80094232823937905</v>
      </c>
      <c r="V179" s="95">
        <v>2.6164979899422476</v>
      </c>
      <c r="W179" s="95">
        <v>9.4547617033509219</v>
      </c>
      <c r="X179" s="95">
        <v>5.1366543804319722</v>
      </c>
      <c r="Y179" s="95">
        <v>1.1487910498024081</v>
      </c>
      <c r="Z179" s="95">
        <v>100.25924762759998</v>
      </c>
      <c r="AA179" s="16"/>
      <c r="AB179" s="16"/>
      <c r="AC179" s="16"/>
      <c r="AD179" s="16"/>
      <c r="AE179" s="128"/>
      <c r="AF179" s="128"/>
      <c r="AG179" s="16"/>
      <c r="AH179" s="16"/>
      <c r="AI179" s="16"/>
      <c r="AJ179" s="16">
        <v>197.33333333333334</v>
      </c>
      <c r="AK179" s="135"/>
      <c r="AL179" s="16"/>
      <c r="AM179" s="135"/>
      <c r="AN179" s="128"/>
      <c r="AO179" s="16"/>
      <c r="AP179" s="16"/>
      <c r="AQ179" s="16"/>
      <c r="AR179" s="16"/>
      <c r="AS179" s="16"/>
      <c r="AT179" s="16"/>
      <c r="AU179" s="16"/>
      <c r="AV179" s="16"/>
      <c r="AW179" s="16"/>
      <c r="AX179" s="128">
        <v>0.51500000000000001</v>
      </c>
      <c r="AY179" s="128">
        <v>94.86</v>
      </c>
      <c r="AZ179" s="128">
        <v>924.5</v>
      </c>
      <c r="BA179" s="128">
        <v>17.850000000000001</v>
      </c>
      <c r="BB179" s="16"/>
      <c r="BC179" s="128">
        <v>10.920000000000002</v>
      </c>
      <c r="BD179" s="16"/>
      <c r="BE179" s="16"/>
      <c r="BF179" s="16"/>
      <c r="BG179" s="16"/>
      <c r="BH179" s="128"/>
      <c r="BI179" s="128">
        <v>476.2</v>
      </c>
      <c r="BJ179" s="16"/>
      <c r="BK179" s="128">
        <v>4464</v>
      </c>
      <c r="BL179" s="128">
        <v>9263.4</v>
      </c>
      <c r="BM179" s="128">
        <v>1006.04</v>
      </c>
      <c r="BN179" s="128">
        <v>3490.2</v>
      </c>
      <c r="BO179" s="16">
        <v>516.38</v>
      </c>
      <c r="BP179" s="16">
        <v>111.16</v>
      </c>
      <c r="BQ179" s="16">
        <v>289.84000000000003</v>
      </c>
      <c r="BR179" s="16">
        <v>198.4</v>
      </c>
      <c r="BS179" s="16"/>
      <c r="BT179" s="16">
        <v>75.240000000000009</v>
      </c>
      <c r="BU179" s="16"/>
      <c r="BV179" s="16">
        <v>53.679999999999993</v>
      </c>
      <c r="BW179" s="16">
        <v>6.6560000000000006</v>
      </c>
      <c r="BX179" s="16">
        <v>1.83</v>
      </c>
      <c r="BY179" s="128"/>
      <c r="BZ179" s="16"/>
      <c r="CA179" s="128">
        <v>97.61999999999999</v>
      </c>
      <c r="CB179" s="128">
        <v>104.53999999999999</v>
      </c>
      <c r="CC179" s="128">
        <v>3.3860000000000001</v>
      </c>
      <c r="CE179">
        <f t="shared" si="76"/>
        <v>5.0200295171832172</v>
      </c>
      <c r="CF179">
        <f t="shared" si="77"/>
        <v>0.10667562724014337</v>
      </c>
      <c r="CG179">
        <f t="shared" si="78"/>
        <v>2.1250000000000002E-2</v>
      </c>
      <c r="CH179">
        <f t="shared" si="79"/>
        <v>0.48189649588703931</v>
      </c>
      <c r="CI179">
        <f t="shared" si="80"/>
        <v>0</v>
      </c>
      <c r="CJ179" t="e">
        <f t="shared" si="81"/>
        <v>#DIV/0!</v>
      </c>
      <c r="CK179">
        <f t="shared" si="82"/>
        <v>0</v>
      </c>
      <c r="CL179">
        <f t="shared" si="83"/>
        <v>1.0240300537599585E-2</v>
      </c>
      <c r="CM179">
        <f t="shared" si="84"/>
        <v>5.1406610963577092E-2</v>
      </c>
      <c r="CN179">
        <f t="shared" si="85"/>
        <v>5.1406610963577092E-2</v>
      </c>
      <c r="CO179">
        <f t="shared" si="86"/>
        <v>0</v>
      </c>
      <c r="CP179">
        <f t="shared" si="87"/>
        <v>28.830478440637918</v>
      </c>
      <c r="CQ179">
        <f t="shared" si="88"/>
        <v>2.1868279569892471E-2</v>
      </c>
      <c r="CR179">
        <f t="shared" si="89"/>
        <v>2.4462365591397853E-3</v>
      </c>
      <c r="CS179">
        <f t="shared" si="90"/>
        <v>3.9986559139784947E-3</v>
      </c>
      <c r="CT179">
        <f t="shared" si="91"/>
        <v>5.4290533417668142E-3</v>
      </c>
      <c r="CU179">
        <f t="shared" si="92"/>
        <v>0.20710125448028674</v>
      </c>
      <c r="CV179" t="e">
        <f t="shared" si="93"/>
        <v>#DIV/0!</v>
      </c>
      <c r="CW179">
        <f t="shared" si="94"/>
        <v>0</v>
      </c>
      <c r="CX179">
        <f t="shared" si="95"/>
        <v>1.6346153846153846</v>
      </c>
      <c r="CY179">
        <f t="shared" si="96"/>
        <v>0</v>
      </c>
      <c r="CZ179">
        <f t="shared" si="97"/>
        <v>30.874187832250438</v>
      </c>
      <c r="DA179">
        <f t="shared" si="98"/>
        <v>34.660194174757287</v>
      </c>
      <c r="DB179">
        <f t="shared" si="99"/>
        <v>0.18817204301075272</v>
      </c>
      <c r="DC179">
        <f t="shared" si="100"/>
        <v>1.9307733910221742E-2</v>
      </c>
      <c r="DD179">
        <f t="shared" si="101"/>
        <v>1.9269382732042234E-3</v>
      </c>
      <c r="DE179">
        <f t="shared" si="102"/>
        <v>0</v>
      </c>
      <c r="DF179">
        <f t="shared" si="103"/>
        <v>0</v>
      </c>
      <c r="DG179">
        <f t="shared" si="104"/>
        <v>0</v>
      </c>
      <c r="DH179">
        <f t="shared" si="105"/>
        <v>5.0200295171832172</v>
      </c>
      <c r="DI179">
        <f t="shared" si="106"/>
        <v>0.11511701454775461</v>
      </c>
      <c r="DJ179">
        <f t="shared" si="107"/>
        <v>3.5694707990723169E-2</v>
      </c>
      <c r="DK179">
        <f t="shared" si="108"/>
        <v>9.5688279240270535E-4</v>
      </c>
      <c r="DL179">
        <f t="shared" si="109"/>
        <v>1.3831884425437957E-3</v>
      </c>
      <c r="DM179">
        <f t="shared" si="110"/>
        <v>4.5029778466009668E-2</v>
      </c>
      <c r="DN179">
        <f t="shared" si="111"/>
        <v>8.970022648646948E-3</v>
      </c>
      <c r="DO179">
        <f t="shared" si="112"/>
        <v>6.5091220825590379E-2</v>
      </c>
      <c r="DP179">
        <f t="shared" si="113"/>
        <v>1.2966302409734363E-2</v>
      </c>
    </row>
    <row r="180" spans="1:120">
      <c r="A180" s="16" t="s">
        <v>905</v>
      </c>
      <c r="B180" s="16" t="s">
        <v>24</v>
      </c>
      <c r="C180" s="124" t="s">
        <v>541</v>
      </c>
      <c r="D180" s="16" t="s">
        <v>71</v>
      </c>
      <c r="E180" s="16" t="s">
        <v>1627</v>
      </c>
      <c r="F180" s="16" t="s">
        <v>102</v>
      </c>
      <c r="G180" s="16"/>
      <c r="H180" s="27"/>
      <c r="I180" s="16" t="s">
        <v>712</v>
      </c>
      <c r="J180" s="16"/>
      <c r="K180" s="16" t="s">
        <v>48</v>
      </c>
      <c r="L180" s="16" t="s">
        <v>99</v>
      </c>
      <c r="M180" s="16" t="s">
        <v>907</v>
      </c>
      <c r="N180" s="16">
        <v>45</v>
      </c>
      <c r="O180" s="95">
        <v>45.438397780243307</v>
      </c>
      <c r="P180" s="95">
        <v>2.8467227545861307</v>
      </c>
      <c r="Q180" s="95">
        <v>5.1512637537794497</v>
      </c>
      <c r="R180" s="95">
        <v>9.7208765543708662</v>
      </c>
      <c r="S180" s="95">
        <v>3.9651211923494092</v>
      </c>
      <c r="T180" s="95">
        <v>6.7115571671060952</v>
      </c>
      <c r="U180" s="95">
        <v>1.7592450878341142</v>
      </c>
      <c r="V180" s="95">
        <v>2.7804157793563573</v>
      </c>
      <c r="W180" s="95">
        <v>14.909142102272027</v>
      </c>
      <c r="X180" s="95">
        <v>3.870599763564325</v>
      </c>
      <c r="Y180" s="95">
        <v>3.6762851871719002</v>
      </c>
      <c r="Z180" s="95">
        <v>100.82962712263399</v>
      </c>
      <c r="AA180" s="18">
        <v>0</v>
      </c>
      <c r="AB180" s="18">
        <v>0</v>
      </c>
      <c r="AC180" s="18">
        <v>0</v>
      </c>
      <c r="AD180" s="18">
        <v>0</v>
      </c>
      <c r="AE180" s="127"/>
      <c r="AF180" s="127"/>
      <c r="AG180" s="18"/>
      <c r="AH180" s="18"/>
      <c r="AI180" s="18"/>
      <c r="AJ180" s="18"/>
      <c r="AK180" s="134"/>
      <c r="AL180" s="18"/>
      <c r="AM180" s="134"/>
      <c r="AN180" s="127"/>
      <c r="AO180" s="18"/>
      <c r="AP180" s="18"/>
      <c r="AQ180" s="18"/>
      <c r="AR180" s="18"/>
      <c r="AS180" s="18"/>
      <c r="AT180" s="18"/>
      <c r="AU180" s="18"/>
      <c r="AV180" s="18"/>
      <c r="AW180" s="18"/>
      <c r="AX180" s="127"/>
      <c r="AY180" s="127">
        <v>0</v>
      </c>
      <c r="AZ180" s="127"/>
      <c r="BA180" s="127"/>
      <c r="BB180" s="18"/>
      <c r="BC180" s="127"/>
      <c r="BD180" s="18"/>
      <c r="BE180" s="18"/>
      <c r="BF180" s="18"/>
      <c r="BG180" s="18"/>
      <c r="BH180" s="127"/>
      <c r="BI180" s="127"/>
      <c r="BJ180" s="18"/>
      <c r="BK180" s="127"/>
      <c r="BL180" s="127"/>
      <c r="BM180" s="127"/>
      <c r="BN180" s="127"/>
      <c r="BO180" s="18"/>
      <c r="BP180" s="18"/>
      <c r="BQ180" s="18"/>
      <c r="BR180" s="18"/>
      <c r="BS180" s="18"/>
      <c r="BT180" s="18"/>
      <c r="BU180" s="18"/>
      <c r="BV180" s="18"/>
      <c r="BW180" s="18"/>
      <c r="BX180" s="18"/>
      <c r="BY180" s="127"/>
      <c r="BZ180" s="18"/>
      <c r="CA180" s="127"/>
      <c r="CB180" s="127"/>
      <c r="CC180" s="127"/>
      <c r="CE180" t="e">
        <f t="shared" si="76"/>
        <v>#DIV/0!</v>
      </c>
      <c r="CF180" t="e">
        <f t="shared" si="77"/>
        <v>#DIV/0!</v>
      </c>
      <c r="CG180" t="e">
        <f t="shared" si="78"/>
        <v>#DIV/0!</v>
      </c>
      <c r="CH180" t="e">
        <f t="shared" si="79"/>
        <v>#DIV/0!</v>
      </c>
      <c r="CI180" t="e">
        <f t="shared" si="80"/>
        <v>#DIV/0!</v>
      </c>
      <c r="CJ180" t="e">
        <f t="shared" si="81"/>
        <v>#DIV/0!</v>
      </c>
      <c r="CK180" t="e">
        <f t="shared" si="82"/>
        <v>#DIV/0!</v>
      </c>
      <c r="CL180" t="e">
        <f t="shared" si="83"/>
        <v>#DIV/0!</v>
      </c>
      <c r="CM180" t="e">
        <f t="shared" si="84"/>
        <v>#DIV/0!</v>
      </c>
      <c r="CN180" t="e">
        <f t="shared" si="85"/>
        <v>#DIV/0!</v>
      </c>
      <c r="CO180" t="e">
        <f t="shared" si="86"/>
        <v>#DIV/0!</v>
      </c>
      <c r="CP180" t="e">
        <f t="shared" si="87"/>
        <v>#DIV/0!</v>
      </c>
      <c r="CQ180" t="e">
        <f t="shared" si="88"/>
        <v>#DIV/0!</v>
      </c>
      <c r="CR180" t="e">
        <f t="shared" si="89"/>
        <v>#DIV/0!</v>
      </c>
      <c r="CS180" t="e">
        <f t="shared" si="90"/>
        <v>#DIV/0!</v>
      </c>
      <c r="CT180" t="e">
        <f t="shared" si="91"/>
        <v>#DIV/0!</v>
      </c>
      <c r="CU180" t="e">
        <f t="shared" si="92"/>
        <v>#DIV/0!</v>
      </c>
      <c r="CV180" t="e">
        <f t="shared" si="93"/>
        <v>#DIV/0!</v>
      </c>
      <c r="CW180" t="e">
        <f t="shared" si="94"/>
        <v>#DIV/0!</v>
      </c>
      <c r="CX180" t="e">
        <f t="shared" si="95"/>
        <v>#DIV/0!</v>
      </c>
      <c r="CY180" t="e">
        <f t="shared" si="96"/>
        <v>#DIV/0!</v>
      </c>
      <c r="CZ180" t="e">
        <f t="shared" si="97"/>
        <v>#DIV/0!</v>
      </c>
      <c r="DA180" t="e">
        <f t="shared" si="98"/>
        <v>#DIV/0!</v>
      </c>
      <c r="DB180" t="e">
        <f t="shared" si="99"/>
        <v>#DIV/0!</v>
      </c>
      <c r="DC180" t="e">
        <f t="shared" si="100"/>
        <v>#DIV/0!</v>
      </c>
      <c r="DD180" t="e">
        <f t="shared" si="101"/>
        <v>#DIV/0!</v>
      </c>
      <c r="DE180" t="e">
        <f t="shared" si="102"/>
        <v>#DIV/0!</v>
      </c>
      <c r="DF180" t="e">
        <f t="shared" si="103"/>
        <v>#DIV/0!</v>
      </c>
      <c r="DG180" t="e">
        <f t="shared" si="104"/>
        <v>#DIV/0!</v>
      </c>
      <c r="DH180" t="e">
        <f t="shared" si="105"/>
        <v>#DIV/0!</v>
      </c>
      <c r="DI180" t="e">
        <f t="shared" si="106"/>
        <v>#DIV/0!</v>
      </c>
      <c r="DJ180" t="e">
        <f t="shared" si="107"/>
        <v>#DIV/0!</v>
      </c>
      <c r="DK180" t="e">
        <f t="shared" si="108"/>
        <v>#DIV/0!</v>
      </c>
      <c r="DL180" t="e">
        <f t="shared" si="109"/>
        <v>#DIV/0!</v>
      </c>
      <c r="DM180" t="e">
        <f t="shared" si="110"/>
        <v>#DIV/0!</v>
      </c>
      <c r="DN180" t="e">
        <f t="shared" si="111"/>
        <v>#DIV/0!</v>
      </c>
      <c r="DO180" t="e">
        <f t="shared" si="112"/>
        <v>#DIV/0!</v>
      </c>
      <c r="DP180" t="e">
        <f t="shared" si="113"/>
        <v>#DIV/0!</v>
      </c>
    </row>
    <row r="181" spans="1:120">
      <c r="A181" s="16" t="s">
        <v>838</v>
      </c>
      <c r="B181" s="16" t="s">
        <v>24</v>
      </c>
      <c r="C181" s="124" t="s">
        <v>541</v>
      </c>
      <c r="D181" s="16" t="s">
        <v>1719</v>
      </c>
      <c r="E181" s="16" t="s">
        <v>388</v>
      </c>
      <c r="F181" s="16" t="s">
        <v>342</v>
      </c>
      <c r="G181" s="16" t="s">
        <v>829</v>
      </c>
      <c r="H181" s="27"/>
      <c r="I181" s="16" t="s">
        <v>735</v>
      </c>
      <c r="J181" s="16"/>
      <c r="K181" s="16" t="s">
        <v>903</v>
      </c>
      <c r="L181" s="16"/>
      <c r="M181" s="16">
        <v>14</v>
      </c>
      <c r="N181" s="16">
        <v>50</v>
      </c>
      <c r="O181" s="95">
        <v>45.659307909959317</v>
      </c>
      <c r="P181" s="95">
        <v>3.8656594906038255</v>
      </c>
      <c r="Q181" s="95">
        <v>6.0818360048505209</v>
      </c>
      <c r="R181" s="95">
        <v>8.9051841668360385</v>
      </c>
      <c r="S181" s="95">
        <v>7.6807213438960824</v>
      </c>
      <c r="T181" s="95">
        <v>6.2336289167852268</v>
      </c>
      <c r="U181" s="95">
        <v>0.75896455967352594</v>
      </c>
      <c r="V181" s="95">
        <v>2.7525114697493209</v>
      </c>
      <c r="W181" s="95">
        <v>15.401920797641422</v>
      </c>
      <c r="X181" s="95">
        <v>1.8923516354526584</v>
      </c>
      <c r="Y181" s="95">
        <v>0.99171369130674059</v>
      </c>
      <c r="Z181" s="95">
        <v>100.22379998675468</v>
      </c>
      <c r="AA181" s="18">
        <v>0</v>
      </c>
      <c r="AB181" s="18">
        <v>0</v>
      </c>
      <c r="AC181" s="18">
        <v>0</v>
      </c>
      <c r="AD181" s="18">
        <v>0</v>
      </c>
      <c r="AE181" s="127"/>
      <c r="AF181" s="127"/>
      <c r="AG181" s="18"/>
      <c r="AH181" s="18"/>
      <c r="AI181" s="18"/>
      <c r="AJ181" s="18"/>
      <c r="AK181" s="134"/>
      <c r="AL181" s="18"/>
      <c r="AM181" s="134"/>
      <c r="AN181" s="127"/>
      <c r="AO181" s="18"/>
      <c r="AP181" s="18"/>
      <c r="AQ181" s="18"/>
      <c r="AR181" s="18"/>
      <c r="AS181" s="18"/>
      <c r="AT181" s="18"/>
      <c r="AU181" s="18"/>
      <c r="AV181" s="18"/>
      <c r="AW181" s="18"/>
      <c r="AX181" s="127"/>
      <c r="AY181" s="127">
        <v>0</v>
      </c>
      <c r="AZ181" s="127"/>
      <c r="BA181" s="127"/>
      <c r="BB181" s="18"/>
      <c r="BC181" s="127"/>
      <c r="BD181" s="18"/>
      <c r="BE181" s="18"/>
      <c r="BF181" s="18"/>
      <c r="BG181" s="18"/>
      <c r="BH181" s="127"/>
      <c r="BI181" s="127"/>
      <c r="BJ181" s="18"/>
      <c r="BK181" s="127"/>
      <c r="BL181" s="127"/>
      <c r="BM181" s="127"/>
      <c r="BN181" s="127"/>
      <c r="BO181" s="18"/>
      <c r="BP181" s="18"/>
      <c r="BQ181" s="18"/>
      <c r="BR181" s="18"/>
      <c r="BS181" s="18"/>
      <c r="BT181" s="18"/>
      <c r="BU181" s="18"/>
      <c r="BV181" s="18"/>
      <c r="BW181" s="18"/>
      <c r="BX181" s="18"/>
      <c r="BY181" s="127"/>
      <c r="BZ181" s="18"/>
      <c r="CA181" s="127"/>
      <c r="CB181" s="127"/>
      <c r="CC181" s="127"/>
      <c r="CE181" t="e">
        <f t="shared" si="76"/>
        <v>#DIV/0!</v>
      </c>
      <c r="CF181" t="e">
        <f t="shared" si="77"/>
        <v>#DIV/0!</v>
      </c>
      <c r="CG181" t="e">
        <f t="shared" si="78"/>
        <v>#DIV/0!</v>
      </c>
      <c r="CH181" t="e">
        <f t="shared" si="79"/>
        <v>#DIV/0!</v>
      </c>
      <c r="CI181" t="e">
        <f t="shared" si="80"/>
        <v>#DIV/0!</v>
      </c>
      <c r="CJ181" t="e">
        <f t="shared" si="81"/>
        <v>#DIV/0!</v>
      </c>
      <c r="CK181" t="e">
        <f t="shared" si="82"/>
        <v>#DIV/0!</v>
      </c>
      <c r="CL181" t="e">
        <f t="shared" si="83"/>
        <v>#DIV/0!</v>
      </c>
      <c r="CM181" t="e">
        <f t="shared" si="84"/>
        <v>#DIV/0!</v>
      </c>
      <c r="CN181" t="e">
        <f t="shared" si="85"/>
        <v>#DIV/0!</v>
      </c>
      <c r="CO181" t="e">
        <f t="shared" si="86"/>
        <v>#DIV/0!</v>
      </c>
      <c r="CP181" t="e">
        <f t="shared" si="87"/>
        <v>#DIV/0!</v>
      </c>
      <c r="CQ181" t="e">
        <f t="shared" si="88"/>
        <v>#DIV/0!</v>
      </c>
      <c r="CR181" t="e">
        <f t="shared" si="89"/>
        <v>#DIV/0!</v>
      </c>
      <c r="CS181" t="e">
        <f t="shared" si="90"/>
        <v>#DIV/0!</v>
      </c>
      <c r="CT181" t="e">
        <f t="shared" si="91"/>
        <v>#DIV/0!</v>
      </c>
      <c r="CU181" t="e">
        <f t="shared" si="92"/>
        <v>#DIV/0!</v>
      </c>
      <c r="CV181" t="e">
        <f t="shared" si="93"/>
        <v>#DIV/0!</v>
      </c>
      <c r="CW181" t="e">
        <f t="shared" si="94"/>
        <v>#DIV/0!</v>
      </c>
      <c r="CX181" t="e">
        <f t="shared" si="95"/>
        <v>#DIV/0!</v>
      </c>
      <c r="CY181" t="e">
        <f t="shared" si="96"/>
        <v>#DIV/0!</v>
      </c>
      <c r="CZ181" t="e">
        <f t="shared" si="97"/>
        <v>#DIV/0!</v>
      </c>
      <c r="DA181" t="e">
        <f t="shared" si="98"/>
        <v>#DIV/0!</v>
      </c>
      <c r="DB181" t="e">
        <f t="shared" si="99"/>
        <v>#DIV/0!</v>
      </c>
      <c r="DC181" t="e">
        <f t="shared" si="100"/>
        <v>#DIV/0!</v>
      </c>
      <c r="DD181" t="e">
        <f t="shared" si="101"/>
        <v>#DIV/0!</v>
      </c>
      <c r="DE181" t="e">
        <f t="shared" si="102"/>
        <v>#DIV/0!</v>
      </c>
      <c r="DF181" t="e">
        <f t="shared" si="103"/>
        <v>#DIV/0!</v>
      </c>
      <c r="DG181" t="e">
        <f t="shared" si="104"/>
        <v>#DIV/0!</v>
      </c>
      <c r="DH181" t="e">
        <f t="shared" si="105"/>
        <v>#DIV/0!</v>
      </c>
      <c r="DI181" t="e">
        <f t="shared" si="106"/>
        <v>#DIV/0!</v>
      </c>
      <c r="DJ181" t="e">
        <f t="shared" si="107"/>
        <v>#DIV/0!</v>
      </c>
      <c r="DK181" t="e">
        <f t="shared" si="108"/>
        <v>#DIV/0!</v>
      </c>
      <c r="DL181" t="e">
        <f t="shared" si="109"/>
        <v>#DIV/0!</v>
      </c>
      <c r="DM181" t="e">
        <f t="shared" si="110"/>
        <v>#DIV/0!</v>
      </c>
      <c r="DN181" t="e">
        <f t="shared" si="111"/>
        <v>#DIV/0!</v>
      </c>
      <c r="DO181" t="e">
        <f t="shared" si="112"/>
        <v>#DIV/0!</v>
      </c>
      <c r="DP181" t="e">
        <f t="shared" si="113"/>
        <v>#DIV/0!</v>
      </c>
    </row>
    <row r="182" spans="1:120">
      <c r="A182" s="16" t="s">
        <v>838</v>
      </c>
      <c r="B182" s="16" t="s">
        <v>24</v>
      </c>
      <c r="C182" s="124" t="s">
        <v>541</v>
      </c>
      <c r="D182" s="16" t="s">
        <v>1719</v>
      </c>
      <c r="E182" s="16" t="s">
        <v>388</v>
      </c>
      <c r="F182" s="16" t="s">
        <v>342</v>
      </c>
      <c r="G182" s="16" t="s">
        <v>829</v>
      </c>
      <c r="H182" s="27"/>
      <c r="I182" s="16" t="s">
        <v>735</v>
      </c>
      <c r="J182" s="16"/>
      <c r="K182" s="16" t="s">
        <v>903</v>
      </c>
      <c r="L182" s="16"/>
      <c r="M182" s="16">
        <v>25</v>
      </c>
      <c r="N182" s="16">
        <v>53</v>
      </c>
      <c r="O182" s="95">
        <v>48.042862998682757</v>
      </c>
      <c r="P182" s="95">
        <v>2.4490839251664958</v>
      </c>
      <c r="Q182" s="95">
        <v>5.8471878713350094</v>
      </c>
      <c r="R182" s="95">
        <v>9.2044737520840787</v>
      </c>
      <c r="S182" s="95">
        <v>4.0103749274601368</v>
      </c>
      <c r="T182" s="95">
        <v>5.479825282560034</v>
      </c>
      <c r="U182" s="95">
        <v>1.5000639041644785</v>
      </c>
      <c r="V182" s="95">
        <v>2.3572432779727523</v>
      </c>
      <c r="W182" s="95">
        <v>13.480166104770589</v>
      </c>
      <c r="X182" s="95">
        <v>5.6533020605926607</v>
      </c>
      <c r="Y182" s="95">
        <v>2.5511290887150997</v>
      </c>
      <c r="Z182" s="95">
        <v>100.5757131935041</v>
      </c>
      <c r="AA182" s="18">
        <v>0</v>
      </c>
      <c r="AB182" s="18">
        <v>0</v>
      </c>
      <c r="AC182" s="18">
        <v>0</v>
      </c>
      <c r="AD182" s="18">
        <v>0</v>
      </c>
      <c r="AE182" s="127"/>
      <c r="AF182" s="127"/>
      <c r="AG182" s="18"/>
      <c r="AH182" s="18"/>
      <c r="AI182" s="18"/>
      <c r="AJ182" s="18"/>
      <c r="AK182" s="134"/>
      <c r="AL182" s="18"/>
      <c r="AM182" s="134"/>
      <c r="AN182" s="127"/>
      <c r="AO182" s="18"/>
      <c r="AP182" s="18"/>
      <c r="AQ182" s="18"/>
      <c r="AR182" s="18"/>
      <c r="AS182" s="18"/>
      <c r="AT182" s="18"/>
      <c r="AU182" s="18"/>
      <c r="AV182" s="18"/>
      <c r="AW182" s="18"/>
      <c r="AX182" s="127"/>
      <c r="AY182" s="127">
        <v>0</v>
      </c>
      <c r="AZ182" s="127"/>
      <c r="BA182" s="127"/>
      <c r="BB182" s="18"/>
      <c r="BC182" s="127"/>
      <c r="BD182" s="18"/>
      <c r="BE182" s="18"/>
      <c r="BF182" s="18"/>
      <c r="BG182" s="18"/>
      <c r="BH182" s="127"/>
      <c r="BI182" s="127"/>
      <c r="BJ182" s="18"/>
      <c r="BK182" s="127"/>
      <c r="BL182" s="127"/>
      <c r="BM182" s="127"/>
      <c r="BN182" s="127"/>
      <c r="BO182" s="18"/>
      <c r="BP182" s="18"/>
      <c r="BQ182" s="18"/>
      <c r="BR182" s="18"/>
      <c r="BS182" s="18"/>
      <c r="BT182" s="18"/>
      <c r="BU182" s="18"/>
      <c r="BV182" s="18"/>
      <c r="BW182" s="18"/>
      <c r="BX182" s="18"/>
      <c r="BY182" s="127"/>
      <c r="BZ182" s="18"/>
      <c r="CA182" s="127"/>
      <c r="CB182" s="127"/>
      <c r="CC182" s="127"/>
      <c r="CE182" t="e">
        <f t="shared" si="76"/>
        <v>#DIV/0!</v>
      </c>
      <c r="CF182" t="e">
        <f t="shared" si="77"/>
        <v>#DIV/0!</v>
      </c>
      <c r="CG182" t="e">
        <f t="shared" si="78"/>
        <v>#DIV/0!</v>
      </c>
      <c r="CH182" t="e">
        <f t="shared" si="79"/>
        <v>#DIV/0!</v>
      </c>
      <c r="CI182" t="e">
        <f t="shared" si="80"/>
        <v>#DIV/0!</v>
      </c>
      <c r="CJ182" t="e">
        <f t="shared" si="81"/>
        <v>#DIV/0!</v>
      </c>
      <c r="CK182" t="e">
        <f t="shared" si="82"/>
        <v>#DIV/0!</v>
      </c>
      <c r="CL182" t="e">
        <f t="shared" si="83"/>
        <v>#DIV/0!</v>
      </c>
      <c r="CM182" t="e">
        <f t="shared" si="84"/>
        <v>#DIV/0!</v>
      </c>
      <c r="CN182" t="e">
        <f t="shared" si="85"/>
        <v>#DIV/0!</v>
      </c>
      <c r="CO182" t="e">
        <f t="shared" si="86"/>
        <v>#DIV/0!</v>
      </c>
      <c r="CP182" t="e">
        <f t="shared" si="87"/>
        <v>#DIV/0!</v>
      </c>
      <c r="CQ182" t="e">
        <f t="shared" si="88"/>
        <v>#DIV/0!</v>
      </c>
      <c r="CR182" t="e">
        <f t="shared" si="89"/>
        <v>#DIV/0!</v>
      </c>
      <c r="CS182" t="e">
        <f t="shared" si="90"/>
        <v>#DIV/0!</v>
      </c>
      <c r="CT182" t="e">
        <f t="shared" si="91"/>
        <v>#DIV/0!</v>
      </c>
      <c r="CU182" t="e">
        <f t="shared" si="92"/>
        <v>#DIV/0!</v>
      </c>
      <c r="CV182" t="e">
        <f t="shared" si="93"/>
        <v>#DIV/0!</v>
      </c>
      <c r="CW182" t="e">
        <f t="shared" si="94"/>
        <v>#DIV/0!</v>
      </c>
      <c r="CX182" t="e">
        <f t="shared" si="95"/>
        <v>#DIV/0!</v>
      </c>
      <c r="CY182" t="e">
        <f t="shared" si="96"/>
        <v>#DIV/0!</v>
      </c>
      <c r="CZ182" t="e">
        <f t="shared" si="97"/>
        <v>#DIV/0!</v>
      </c>
      <c r="DA182" t="e">
        <f t="shared" si="98"/>
        <v>#DIV/0!</v>
      </c>
      <c r="DB182" t="e">
        <f t="shared" si="99"/>
        <v>#DIV/0!</v>
      </c>
      <c r="DC182" t="e">
        <f t="shared" si="100"/>
        <v>#DIV/0!</v>
      </c>
      <c r="DD182" t="e">
        <f t="shared" si="101"/>
        <v>#DIV/0!</v>
      </c>
      <c r="DE182" t="e">
        <f t="shared" si="102"/>
        <v>#DIV/0!</v>
      </c>
      <c r="DF182" t="e">
        <f t="shared" si="103"/>
        <v>#DIV/0!</v>
      </c>
      <c r="DG182" t="e">
        <f t="shared" si="104"/>
        <v>#DIV/0!</v>
      </c>
      <c r="DH182" t="e">
        <f t="shared" si="105"/>
        <v>#DIV/0!</v>
      </c>
      <c r="DI182" t="e">
        <f t="shared" si="106"/>
        <v>#DIV/0!</v>
      </c>
      <c r="DJ182" t="e">
        <f t="shared" si="107"/>
        <v>#DIV/0!</v>
      </c>
      <c r="DK182" t="e">
        <f t="shared" si="108"/>
        <v>#DIV/0!</v>
      </c>
      <c r="DL182" t="e">
        <f t="shared" si="109"/>
        <v>#DIV/0!</v>
      </c>
      <c r="DM182" t="e">
        <f t="shared" si="110"/>
        <v>#DIV/0!</v>
      </c>
      <c r="DN182" t="e">
        <f t="shared" si="111"/>
        <v>#DIV/0!</v>
      </c>
      <c r="DO182" t="e">
        <f t="shared" si="112"/>
        <v>#DIV/0!</v>
      </c>
      <c r="DP182" t="e">
        <f t="shared" si="113"/>
        <v>#DIV/0!</v>
      </c>
    </row>
    <row r="183" spans="1:120">
      <c r="A183" s="16" t="s">
        <v>838</v>
      </c>
      <c r="B183" s="16" t="s">
        <v>24</v>
      </c>
      <c r="C183" s="124" t="s">
        <v>541</v>
      </c>
      <c r="D183" s="16" t="s">
        <v>1719</v>
      </c>
      <c r="E183" s="16" t="s">
        <v>388</v>
      </c>
      <c r="F183" s="16" t="s">
        <v>342</v>
      </c>
      <c r="G183" s="16" t="s">
        <v>829</v>
      </c>
      <c r="H183" s="27"/>
      <c r="I183" s="16" t="s">
        <v>735</v>
      </c>
      <c r="J183" s="16"/>
      <c r="K183" s="16" t="s">
        <v>903</v>
      </c>
      <c r="L183" s="16"/>
      <c r="M183" s="16">
        <v>27</v>
      </c>
      <c r="N183" s="16">
        <v>53</v>
      </c>
      <c r="O183" s="95">
        <v>53.971656149547485</v>
      </c>
      <c r="P183" s="95">
        <v>2.1320864165947193</v>
      </c>
      <c r="Q183" s="95">
        <v>6.5301583967200578</v>
      </c>
      <c r="R183" s="95">
        <v>6.6743574780356445</v>
      </c>
      <c r="S183" s="95">
        <v>4.562870930200293</v>
      </c>
      <c r="T183" s="95">
        <v>4.1096738174941692</v>
      </c>
      <c r="U183" s="95">
        <v>0.77249507847634769</v>
      </c>
      <c r="V183" s="95">
        <v>3.2135795264616061</v>
      </c>
      <c r="W183" s="95">
        <v>14.13150996892732</v>
      </c>
      <c r="X183" s="95">
        <v>2.4101846448462045</v>
      </c>
      <c r="Y183" s="95">
        <v>1.9260877290010268</v>
      </c>
      <c r="Z183" s="95">
        <v>100.43466013630487</v>
      </c>
      <c r="AA183" s="18">
        <v>0</v>
      </c>
      <c r="AB183" s="18">
        <v>0</v>
      </c>
      <c r="AC183" s="18">
        <v>0</v>
      </c>
      <c r="AD183" s="18">
        <v>0</v>
      </c>
      <c r="AE183" s="127"/>
      <c r="AF183" s="127"/>
      <c r="AG183" s="18"/>
      <c r="AH183" s="18"/>
      <c r="AI183" s="18"/>
      <c r="AJ183" s="18"/>
      <c r="AK183" s="134"/>
      <c r="AL183" s="18"/>
      <c r="AM183" s="134"/>
      <c r="AN183" s="127"/>
      <c r="AO183" s="18"/>
      <c r="AP183" s="18"/>
      <c r="AQ183" s="18"/>
      <c r="AR183" s="18"/>
      <c r="AS183" s="18"/>
      <c r="AT183" s="18"/>
      <c r="AU183" s="18"/>
      <c r="AV183" s="18"/>
      <c r="AW183" s="18"/>
      <c r="AX183" s="127"/>
      <c r="AY183" s="127">
        <v>0</v>
      </c>
      <c r="AZ183" s="127"/>
      <c r="BA183" s="127"/>
      <c r="BB183" s="18"/>
      <c r="BC183" s="127"/>
      <c r="BD183" s="18"/>
      <c r="BE183" s="18"/>
      <c r="BF183" s="18"/>
      <c r="BG183" s="18"/>
      <c r="BH183" s="127"/>
      <c r="BI183" s="127"/>
      <c r="BJ183" s="18"/>
      <c r="BK183" s="127"/>
      <c r="BL183" s="127"/>
      <c r="BM183" s="127"/>
      <c r="BN183" s="127"/>
      <c r="BO183" s="18"/>
      <c r="BP183" s="18"/>
      <c r="BQ183" s="18"/>
      <c r="BR183" s="18"/>
      <c r="BS183" s="18"/>
      <c r="BT183" s="18"/>
      <c r="BU183" s="18"/>
      <c r="BV183" s="18"/>
      <c r="BW183" s="18"/>
      <c r="BX183" s="18"/>
      <c r="BY183" s="127"/>
      <c r="BZ183" s="18"/>
      <c r="CA183" s="127"/>
      <c r="CB183" s="127"/>
      <c r="CC183" s="127"/>
      <c r="CE183" t="e">
        <f t="shared" si="76"/>
        <v>#DIV/0!</v>
      </c>
      <c r="CF183" t="e">
        <f t="shared" si="77"/>
        <v>#DIV/0!</v>
      </c>
      <c r="CG183" t="e">
        <f t="shared" si="78"/>
        <v>#DIV/0!</v>
      </c>
      <c r="CH183" t="e">
        <f t="shared" si="79"/>
        <v>#DIV/0!</v>
      </c>
      <c r="CI183" t="e">
        <f t="shared" si="80"/>
        <v>#DIV/0!</v>
      </c>
      <c r="CJ183" t="e">
        <f t="shared" si="81"/>
        <v>#DIV/0!</v>
      </c>
      <c r="CK183" t="e">
        <f t="shared" si="82"/>
        <v>#DIV/0!</v>
      </c>
      <c r="CL183" t="e">
        <f t="shared" si="83"/>
        <v>#DIV/0!</v>
      </c>
      <c r="CM183" t="e">
        <f t="shared" si="84"/>
        <v>#DIV/0!</v>
      </c>
      <c r="CN183" t="e">
        <f t="shared" si="85"/>
        <v>#DIV/0!</v>
      </c>
      <c r="CO183" t="e">
        <f t="shared" si="86"/>
        <v>#DIV/0!</v>
      </c>
      <c r="CP183" t="e">
        <f t="shared" si="87"/>
        <v>#DIV/0!</v>
      </c>
      <c r="CQ183" t="e">
        <f t="shared" si="88"/>
        <v>#DIV/0!</v>
      </c>
      <c r="CR183" t="e">
        <f t="shared" si="89"/>
        <v>#DIV/0!</v>
      </c>
      <c r="CS183" t="e">
        <f t="shared" si="90"/>
        <v>#DIV/0!</v>
      </c>
      <c r="CT183" t="e">
        <f t="shared" si="91"/>
        <v>#DIV/0!</v>
      </c>
      <c r="CU183" t="e">
        <f t="shared" si="92"/>
        <v>#DIV/0!</v>
      </c>
      <c r="CV183" t="e">
        <f t="shared" si="93"/>
        <v>#DIV/0!</v>
      </c>
      <c r="CW183" t="e">
        <f t="shared" si="94"/>
        <v>#DIV/0!</v>
      </c>
      <c r="CX183" t="e">
        <f t="shared" si="95"/>
        <v>#DIV/0!</v>
      </c>
      <c r="CY183" t="e">
        <f t="shared" si="96"/>
        <v>#DIV/0!</v>
      </c>
      <c r="CZ183" t="e">
        <f t="shared" si="97"/>
        <v>#DIV/0!</v>
      </c>
      <c r="DA183" t="e">
        <f t="shared" si="98"/>
        <v>#DIV/0!</v>
      </c>
      <c r="DB183" t="e">
        <f t="shared" si="99"/>
        <v>#DIV/0!</v>
      </c>
      <c r="DC183" t="e">
        <f t="shared" si="100"/>
        <v>#DIV/0!</v>
      </c>
      <c r="DD183" t="e">
        <f t="shared" si="101"/>
        <v>#DIV/0!</v>
      </c>
      <c r="DE183" t="e">
        <f t="shared" si="102"/>
        <v>#DIV/0!</v>
      </c>
      <c r="DF183" t="e">
        <f t="shared" si="103"/>
        <v>#DIV/0!</v>
      </c>
      <c r="DG183" t="e">
        <f t="shared" si="104"/>
        <v>#DIV/0!</v>
      </c>
      <c r="DH183" t="e">
        <f t="shared" si="105"/>
        <v>#DIV/0!</v>
      </c>
      <c r="DI183" t="e">
        <f t="shared" si="106"/>
        <v>#DIV/0!</v>
      </c>
      <c r="DJ183" t="e">
        <f t="shared" si="107"/>
        <v>#DIV/0!</v>
      </c>
      <c r="DK183" t="e">
        <f t="shared" si="108"/>
        <v>#DIV/0!</v>
      </c>
      <c r="DL183" t="e">
        <f t="shared" si="109"/>
        <v>#DIV/0!</v>
      </c>
      <c r="DM183" t="e">
        <f t="shared" si="110"/>
        <v>#DIV/0!</v>
      </c>
      <c r="DN183" t="e">
        <f t="shared" si="111"/>
        <v>#DIV/0!</v>
      </c>
      <c r="DO183" t="e">
        <f t="shared" si="112"/>
        <v>#DIV/0!</v>
      </c>
      <c r="DP183" t="e">
        <f t="shared" si="113"/>
        <v>#DIV/0!</v>
      </c>
    </row>
    <row r="184" spans="1:120">
      <c r="A184" s="16" t="s">
        <v>838</v>
      </c>
      <c r="B184" s="16" t="s">
        <v>24</v>
      </c>
      <c r="C184" s="124" t="s">
        <v>541</v>
      </c>
      <c r="D184" s="16" t="s">
        <v>1719</v>
      </c>
      <c r="E184" s="16" t="s">
        <v>388</v>
      </c>
      <c r="F184" s="16" t="s">
        <v>342</v>
      </c>
      <c r="G184" s="16" t="s">
        <v>829</v>
      </c>
      <c r="H184" s="27"/>
      <c r="I184" s="16" t="s">
        <v>735</v>
      </c>
      <c r="J184" s="16"/>
      <c r="K184" s="16" t="s">
        <v>903</v>
      </c>
      <c r="L184" s="16"/>
      <c r="M184" s="16">
        <v>31</v>
      </c>
      <c r="N184" s="16">
        <v>41</v>
      </c>
      <c r="O184" s="95">
        <v>47.453527477526762</v>
      </c>
      <c r="P184" s="95">
        <v>2.1435235040397118</v>
      </c>
      <c r="Q184" s="95">
        <v>7.4615032450144252</v>
      </c>
      <c r="R184" s="95">
        <v>6.063109339998042</v>
      </c>
      <c r="S184" s="95">
        <v>3.4398448612446808</v>
      </c>
      <c r="T184" s="95">
        <v>7.7575136336675286</v>
      </c>
      <c r="U184" s="95">
        <v>2.521191930941947</v>
      </c>
      <c r="V184" s="95">
        <v>3.3888085873389726</v>
      </c>
      <c r="W184" s="95">
        <v>13.473576311106758</v>
      </c>
      <c r="X184" s="95">
        <v>3.3888085873389726</v>
      </c>
      <c r="Y184" s="95">
        <v>3.7562697594600665</v>
      </c>
      <c r="Z184" s="95">
        <v>100.84767723767787</v>
      </c>
      <c r="AA184" s="18">
        <v>0</v>
      </c>
      <c r="AB184" s="18">
        <v>0</v>
      </c>
      <c r="AC184" s="18">
        <v>0</v>
      </c>
      <c r="AD184" s="18">
        <v>0</v>
      </c>
      <c r="AE184" s="127"/>
      <c r="AF184" s="127"/>
      <c r="AG184" s="18"/>
      <c r="AH184" s="18"/>
      <c r="AI184" s="18"/>
      <c r="AJ184" s="18"/>
      <c r="AK184" s="134"/>
      <c r="AL184" s="18"/>
      <c r="AM184" s="134"/>
      <c r="AN184" s="127"/>
      <c r="AO184" s="18"/>
      <c r="AP184" s="18"/>
      <c r="AQ184" s="18"/>
      <c r="AR184" s="18"/>
      <c r="AS184" s="18"/>
      <c r="AT184" s="18"/>
      <c r="AU184" s="18"/>
      <c r="AV184" s="18"/>
      <c r="AW184" s="18"/>
      <c r="AX184" s="127"/>
      <c r="AY184" s="127">
        <v>0</v>
      </c>
      <c r="AZ184" s="127"/>
      <c r="BA184" s="127"/>
      <c r="BB184" s="18"/>
      <c r="BC184" s="127"/>
      <c r="BD184" s="18"/>
      <c r="BE184" s="18"/>
      <c r="BF184" s="18"/>
      <c r="BG184" s="18"/>
      <c r="BH184" s="127"/>
      <c r="BI184" s="127"/>
      <c r="BJ184" s="18"/>
      <c r="BK184" s="127"/>
      <c r="BL184" s="127"/>
      <c r="BM184" s="127"/>
      <c r="BN184" s="127"/>
      <c r="BO184" s="18"/>
      <c r="BP184" s="18"/>
      <c r="BQ184" s="18"/>
      <c r="BR184" s="18"/>
      <c r="BS184" s="18"/>
      <c r="BT184" s="18"/>
      <c r="BU184" s="18"/>
      <c r="BV184" s="18"/>
      <c r="BW184" s="18"/>
      <c r="BX184" s="18"/>
      <c r="BY184" s="127"/>
      <c r="BZ184" s="18"/>
      <c r="CA184" s="127"/>
      <c r="CB184" s="127"/>
      <c r="CC184" s="127"/>
      <c r="CE184" t="e">
        <f t="shared" si="76"/>
        <v>#DIV/0!</v>
      </c>
      <c r="CF184" t="e">
        <f t="shared" si="77"/>
        <v>#DIV/0!</v>
      </c>
      <c r="CG184" t="e">
        <f t="shared" si="78"/>
        <v>#DIV/0!</v>
      </c>
      <c r="CH184" t="e">
        <f t="shared" si="79"/>
        <v>#DIV/0!</v>
      </c>
      <c r="CI184" t="e">
        <f t="shared" si="80"/>
        <v>#DIV/0!</v>
      </c>
      <c r="CJ184" t="e">
        <f t="shared" si="81"/>
        <v>#DIV/0!</v>
      </c>
      <c r="CK184" t="e">
        <f t="shared" si="82"/>
        <v>#DIV/0!</v>
      </c>
      <c r="CL184" t="e">
        <f t="shared" si="83"/>
        <v>#DIV/0!</v>
      </c>
      <c r="CM184" t="e">
        <f t="shared" si="84"/>
        <v>#DIV/0!</v>
      </c>
      <c r="CN184" t="e">
        <f t="shared" si="85"/>
        <v>#DIV/0!</v>
      </c>
      <c r="CO184" t="e">
        <f t="shared" si="86"/>
        <v>#DIV/0!</v>
      </c>
      <c r="CP184" t="e">
        <f t="shared" si="87"/>
        <v>#DIV/0!</v>
      </c>
      <c r="CQ184" t="e">
        <f t="shared" si="88"/>
        <v>#DIV/0!</v>
      </c>
      <c r="CR184" t="e">
        <f t="shared" si="89"/>
        <v>#DIV/0!</v>
      </c>
      <c r="CS184" t="e">
        <f t="shared" si="90"/>
        <v>#DIV/0!</v>
      </c>
      <c r="CT184" t="e">
        <f t="shared" si="91"/>
        <v>#DIV/0!</v>
      </c>
      <c r="CU184" t="e">
        <f t="shared" si="92"/>
        <v>#DIV/0!</v>
      </c>
      <c r="CV184" t="e">
        <f t="shared" si="93"/>
        <v>#DIV/0!</v>
      </c>
      <c r="CW184" t="e">
        <f t="shared" si="94"/>
        <v>#DIV/0!</v>
      </c>
      <c r="CX184" t="e">
        <f t="shared" si="95"/>
        <v>#DIV/0!</v>
      </c>
      <c r="CY184" t="e">
        <f t="shared" si="96"/>
        <v>#DIV/0!</v>
      </c>
      <c r="CZ184" t="e">
        <f t="shared" si="97"/>
        <v>#DIV/0!</v>
      </c>
      <c r="DA184" t="e">
        <f t="shared" si="98"/>
        <v>#DIV/0!</v>
      </c>
      <c r="DB184" t="e">
        <f t="shared" si="99"/>
        <v>#DIV/0!</v>
      </c>
      <c r="DC184" t="e">
        <f t="shared" si="100"/>
        <v>#DIV/0!</v>
      </c>
      <c r="DD184" t="e">
        <f t="shared" si="101"/>
        <v>#DIV/0!</v>
      </c>
      <c r="DE184" t="e">
        <f t="shared" si="102"/>
        <v>#DIV/0!</v>
      </c>
      <c r="DF184" t="e">
        <f t="shared" si="103"/>
        <v>#DIV/0!</v>
      </c>
      <c r="DG184" t="e">
        <f t="shared" si="104"/>
        <v>#DIV/0!</v>
      </c>
      <c r="DH184" t="e">
        <f t="shared" si="105"/>
        <v>#DIV/0!</v>
      </c>
      <c r="DI184" t="e">
        <f t="shared" si="106"/>
        <v>#DIV/0!</v>
      </c>
      <c r="DJ184" t="e">
        <f t="shared" si="107"/>
        <v>#DIV/0!</v>
      </c>
      <c r="DK184" t="e">
        <f t="shared" si="108"/>
        <v>#DIV/0!</v>
      </c>
      <c r="DL184" t="e">
        <f t="shared" si="109"/>
        <v>#DIV/0!</v>
      </c>
      <c r="DM184" t="e">
        <f t="shared" si="110"/>
        <v>#DIV/0!</v>
      </c>
      <c r="DN184" t="e">
        <f t="shared" si="111"/>
        <v>#DIV/0!</v>
      </c>
      <c r="DO184" t="e">
        <f t="shared" si="112"/>
        <v>#DIV/0!</v>
      </c>
      <c r="DP184" t="e">
        <f t="shared" si="113"/>
        <v>#DIV/0!</v>
      </c>
    </row>
    <row r="185" spans="1:120">
      <c r="A185" s="16" t="s">
        <v>1431</v>
      </c>
      <c r="B185" s="16" t="s">
        <v>24</v>
      </c>
      <c r="C185" s="124" t="s">
        <v>541</v>
      </c>
      <c r="D185" s="16" t="s">
        <v>1722</v>
      </c>
      <c r="E185" s="16" t="s">
        <v>388</v>
      </c>
      <c r="F185" s="16" t="s">
        <v>342</v>
      </c>
      <c r="G185" s="16" t="s">
        <v>640</v>
      </c>
      <c r="H185" s="27">
        <v>71</v>
      </c>
      <c r="I185" s="16"/>
      <c r="J185" s="16" t="s">
        <v>1311</v>
      </c>
      <c r="K185" s="16" t="s">
        <v>115</v>
      </c>
      <c r="L185" s="16"/>
      <c r="M185" s="16" t="s">
        <v>1250</v>
      </c>
      <c r="N185" s="16">
        <v>26</v>
      </c>
      <c r="O185" s="95">
        <v>50.091700315672874</v>
      </c>
      <c r="P185" s="95">
        <v>3.3421311303865338</v>
      </c>
      <c r="Q185" s="95">
        <v>6.5936623204915055</v>
      </c>
      <c r="R185" s="95">
        <v>6.6137956405540752</v>
      </c>
      <c r="S185" s="95">
        <v>1.832132125693823</v>
      </c>
      <c r="T185" s="95">
        <v>5.6675295976133091</v>
      </c>
      <c r="U185" s="95">
        <v>0</v>
      </c>
      <c r="V185" s="95">
        <v>1.2482658438793079</v>
      </c>
      <c r="W185" s="95">
        <v>19.629987061005245</v>
      </c>
      <c r="X185" s="95">
        <v>2.7280648684781648</v>
      </c>
      <c r="Y185" s="95">
        <v>2.9092647490412906</v>
      </c>
      <c r="Z185" s="95">
        <v>100.65653365281612</v>
      </c>
      <c r="AA185" s="18"/>
      <c r="AB185" s="18"/>
      <c r="AC185" s="18"/>
      <c r="AD185" s="18"/>
      <c r="AE185" s="127"/>
      <c r="AF185" s="127"/>
      <c r="AG185" s="18"/>
      <c r="AH185" s="18"/>
      <c r="AI185" s="18"/>
      <c r="AJ185" s="18">
        <v>33.200000000000003</v>
      </c>
      <c r="AK185" s="134"/>
      <c r="AL185" s="18"/>
      <c r="AM185" s="134"/>
      <c r="AN185" s="127"/>
      <c r="AO185" s="18"/>
      <c r="AP185" s="18"/>
      <c r="AQ185" s="18"/>
      <c r="AR185" s="18"/>
      <c r="AS185" s="18"/>
      <c r="AT185" s="18"/>
      <c r="AU185" s="18"/>
      <c r="AV185" s="18"/>
      <c r="AW185" s="18"/>
      <c r="AX185" s="127" t="s">
        <v>1192</v>
      </c>
      <c r="AY185" s="127">
        <v>24.57</v>
      </c>
      <c r="AZ185" s="127">
        <v>2.9279999999999999</v>
      </c>
      <c r="BA185" s="127">
        <v>2.746</v>
      </c>
      <c r="BB185" s="18"/>
      <c r="BC185" s="127">
        <v>3.4000000000000002E-2</v>
      </c>
      <c r="BD185" s="18"/>
      <c r="BE185" s="18"/>
      <c r="BF185" s="18"/>
      <c r="BG185" s="18"/>
      <c r="BH185" s="127"/>
      <c r="BI185" s="127">
        <v>68.430000000000007</v>
      </c>
      <c r="BJ185" s="18"/>
      <c r="BK185" s="127">
        <v>550</v>
      </c>
      <c r="BL185" s="127">
        <v>678.9</v>
      </c>
      <c r="BM185" s="127">
        <v>49.34</v>
      </c>
      <c r="BN185" s="127">
        <v>119.3</v>
      </c>
      <c r="BO185" s="18">
        <v>11.5</v>
      </c>
      <c r="BP185" s="18">
        <v>2.0499999999999998</v>
      </c>
      <c r="BQ185" s="18">
        <v>4.194</v>
      </c>
      <c r="BR185" s="18">
        <v>1.458</v>
      </c>
      <c r="BS185" s="18"/>
      <c r="BT185" s="18">
        <v>0.313</v>
      </c>
      <c r="BU185" s="18"/>
      <c r="BV185" s="18">
        <v>0.14899999999999999</v>
      </c>
      <c r="BW185" s="18">
        <v>1.9E-2</v>
      </c>
      <c r="BX185" s="18">
        <v>6.7000000000000004E-2</v>
      </c>
      <c r="BY185" s="127"/>
      <c r="BZ185" s="18"/>
      <c r="CA185" s="127">
        <v>99.42</v>
      </c>
      <c r="CB185" s="127">
        <v>14.08</v>
      </c>
      <c r="CC185" s="127">
        <v>6.4000000000000001E-2</v>
      </c>
      <c r="CE185">
        <f t="shared" si="76"/>
        <v>2.7851037851037854</v>
      </c>
      <c r="CF185">
        <f t="shared" si="77"/>
        <v>0.12441818181818183</v>
      </c>
      <c r="CG185">
        <f t="shared" si="78"/>
        <v>4.4672727272727274E-2</v>
      </c>
      <c r="CH185">
        <f t="shared" si="79"/>
        <v>0.81013404035940495</v>
      </c>
      <c r="CI185">
        <f t="shared" si="80"/>
        <v>0</v>
      </c>
      <c r="CJ185" t="e">
        <f t="shared" si="81"/>
        <v>#DIV/0!</v>
      </c>
      <c r="CK185">
        <f t="shared" si="82"/>
        <v>0</v>
      </c>
      <c r="CL185">
        <f t="shared" si="83"/>
        <v>3.6190897039328325E-2</v>
      </c>
      <c r="CM185">
        <f t="shared" si="84"/>
        <v>0.1007954043305347</v>
      </c>
      <c r="CN185">
        <f t="shared" si="85"/>
        <v>0.1007954043305347</v>
      </c>
      <c r="CO185">
        <f t="shared" si="86"/>
        <v>0</v>
      </c>
      <c r="CP185">
        <f t="shared" si="87"/>
        <v>1553.4375</v>
      </c>
      <c r="CQ185">
        <f t="shared" si="88"/>
        <v>0.18076363636363638</v>
      </c>
      <c r="CR185">
        <f t="shared" si="89"/>
        <v>6.1818181818181818E-5</v>
      </c>
      <c r="CS185">
        <f t="shared" si="90"/>
        <v>4.9927272727272728E-3</v>
      </c>
      <c r="CT185" t="e">
        <f t="shared" si="91"/>
        <v>#VALUE!</v>
      </c>
      <c r="CU185">
        <f t="shared" si="92"/>
        <v>5.3236363636363637E-3</v>
      </c>
      <c r="CV185" t="e">
        <f t="shared" si="93"/>
        <v>#DIV/0!</v>
      </c>
      <c r="CW185">
        <f t="shared" si="94"/>
        <v>0</v>
      </c>
      <c r="CX185">
        <f t="shared" si="95"/>
        <v>80.764705882352942</v>
      </c>
      <c r="CY185">
        <f t="shared" si="96"/>
        <v>0</v>
      </c>
      <c r="CZ185">
        <f t="shared" si="97"/>
        <v>220</v>
      </c>
      <c r="DA185" t="e">
        <f t="shared" si="98"/>
        <v>#VALUE!</v>
      </c>
      <c r="DB185">
        <f t="shared" si="99"/>
        <v>0.11176231176231176</v>
      </c>
      <c r="DC185">
        <f t="shared" si="100"/>
        <v>0.93784153005464488</v>
      </c>
      <c r="DD185">
        <f t="shared" si="101"/>
        <v>4.0447783178671377E-3</v>
      </c>
      <c r="DE185">
        <f t="shared" si="102"/>
        <v>0</v>
      </c>
      <c r="DF185">
        <f t="shared" si="103"/>
        <v>0</v>
      </c>
      <c r="DG185">
        <f t="shared" si="104"/>
        <v>0</v>
      </c>
      <c r="DH185">
        <f t="shared" si="105"/>
        <v>2.7851037851037854</v>
      </c>
      <c r="DI185">
        <f t="shared" si="106"/>
        <v>1.3838013838013839E-3</v>
      </c>
      <c r="DJ185">
        <f t="shared" si="107"/>
        <v>2.6048026048026049E-3</v>
      </c>
      <c r="DK185">
        <f t="shared" si="108"/>
        <v>3.3311493194433145E-3</v>
      </c>
      <c r="DL185">
        <f t="shared" si="109"/>
        <v>1.1988476946348192E-2</v>
      </c>
      <c r="DM185">
        <f t="shared" si="110"/>
        <v>7.456785208359068E-2</v>
      </c>
      <c r="DN185">
        <f t="shared" si="111"/>
        <v>2.677381449209152E-2</v>
      </c>
      <c r="DO185">
        <f t="shared" si="112"/>
        <v>0.2683623248063291</v>
      </c>
      <c r="DP185">
        <f t="shared" si="113"/>
        <v>9.6356310397362338E-2</v>
      </c>
    </row>
    <row r="186" spans="1:120">
      <c r="A186" s="16" t="s">
        <v>1431</v>
      </c>
      <c r="B186" s="16" t="s">
        <v>24</v>
      </c>
      <c r="C186" s="124" t="s">
        <v>541</v>
      </c>
      <c r="D186" s="16" t="s">
        <v>1722</v>
      </c>
      <c r="E186" s="16" t="s">
        <v>388</v>
      </c>
      <c r="F186" s="16" t="s">
        <v>342</v>
      </c>
      <c r="G186" s="16" t="s">
        <v>640</v>
      </c>
      <c r="H186" s="27">
        <v>71</v>
      </c>
      <c r="I186" s="16"/>
      <c r="J186" s="16" t="s">
        <v>1311</v>
      </c>
      <c r="K186" s="16" t="s">
        <v>115</v>
      </c>
      <c r="L186" s="16"/>
      <c r="M186" s="16" t="s">
        <v>1251</v>
      </c>
      <c r="N186" s="16">
        <v>16</v>
      </c>
      <c r="O186" s="95">
        <v>44.752920276808389</v>
      </c>
      <c r="P186" s="95">
        <v>3.5299494420583692</v>
      </c>
      <c r="Q186" s="95">
        <v>6.044158446373447</v>
      </c>
      <c r="R186" s="95">
        <v>8.5583674506885252</v>
      </c>
      <c r="S186" s="95">
        <v>3.7612566704553569</v>
      </c>
      <c r="T186" s="95">
        <v>6.8688189997887932</v>
      </c>
      <c r="U186" s="95">
        <v>0</v>
      </c>
      <c r="V186" s="95">
        <v>1.7599463030205547</v>
      </c>
      <c r="W186" s="95">
        <v>18.404009911586371</v>
      </c>
      <c r="X186" s="95">
        <v>4.4048941755600168</v>
      </c>
      <c r="Y186" s="95">
        <v>2.4739816602460367</v>
      </c>
      <c r="Z186" s="95">
        <v>100.55830333658585</v>
      </c>
      <c r="AA186" s="18"/>
      <c r="AB186" s="18"/>
      <c r="AC186" s="18"/>
      <c r="AD186" s="18"/>
      <c r="AE186" s="127"/>
      <c r="AF186" s="127"/>
      <c r="AG186" s="18"/>
      <c r="AH186" s="18"/>
      <c r="AI186" s="18"/>
      <c r="AJ186" s="18">
        <v>134.6</v>
      </c>
      <c r="AK186" s="134"/>
      <c r="AL186" s="18"/>
      <c r="AM186" s="134"/>
      <c r="AN186" s="127"/>
      <c r="AO186" s="18"/>
      <c r="AP186" s="18"/>
      <c r="AQ186" s="18"/>
      <c r="AR186" s="18"/>
      <c r="AS186" s="18"/>
      <c r="AT186" s="18"/>
      <c r="AU186" s="18"/>
      <c r="AV186" s="18"/>
      <c r="AW186" s="18"/>
      <c r="AX186" s="127">
        <v>0.26500000000000001</v>
      </c>
      <c r="AY186" s="127">
        <v>5.7080000000000002</v>
      </c>
      <c r="AZ186" s="127">
        <v>1.19</v>
      </c>
      <c r="BA186" s="127">
        <v>1.4850000000000001</v>
      </c>
      <c r="BB186" s="18"/>
      <c r="BC186" s="127">
        <v>5.3999999999999999E-2</v>
      </c>
      <c r="BD186" s="18"/>
      <c r="BE186" s="18"/>
      <c r="BF186" s="18"/>
      <c r="BG186" s="18"/>
      <c r="BH186" s="127"/>
      <c r="BI186" s="127">
        <v>26.59</v>
      </c>
      <c r="BJ186" s="18"/>
      <c r="BK186" s="127" t="s">
        <v>1191</v>
      </c>
      <c r="BL186" s="127" t="s">
        <v>1191</v>
      </c>
      <c r="BM186" s="127">
        <v>6.3570000000000002</v>
      </c>
      <c r="BN186" s="127">
        <v>17.100000000000001</v>
      </c>
      <c r="BO186" s="18">
        <v>1.6779999999999999</v>
      </c>
      <c r="BP186" s="18">
        <v>0.46</v>
      </c>
      <c r="BQ186" s="18">
        <v>0.34</v>
      </c>
      <c r="BR186" s="18">
        <v>0.308</v>
      </c>
      <c r="BS186" s="18"/>
      <c r="BT186" s="18">
        <v>9.9000000000000005E-2</v>
      </c>
      <c r="BU186" s="18"/>
      <c r="BV186" s="18">
        <v>0.105</v>
      </c>
      <c r="BW186" s="18" t="s">
        <v>1192</v>
      </c>
      <c r="BX186" s="18">
        <v>4.2999999999999997E-2</v>
      </c>
      <c r="BY186" s="127"/>
      <c r="BZ186" s="18"/>
      <c r="CA186" s="127">
        <v>3.327</v>
      </c>
      <c r="CB186" s="127">
        <v>0.82399999999999995</v>
      </c>
      <c r="CC186" s="127">
        <v>2.1999999999999999E-2</v>
      </c>
      <c r="CE186">
        <f t="shared" si="76"/>
        <v>4.658374211632796</v>
      </c>
      <c r="CF186" t="e">
        <f t="shared" si="77"/>
        <v>#VALUE!</v>
      </c>
      <c r="CG186" t="e">
        <f t="shared" si="78"/>
        <v>#VALUE!</v>
      </c>
      <c r="CH186" t="e">
        <f t="shared" si="79"/>
        <v>#VALUE!</v>
      </c>
      <c r="CI186" t="e">
        <f t="shared" si="80"/>
        <v>#VALUE!</v>
      </c>
      <c r="CJ186" t="e">
        <f t="shared" si="81"/>
        <v>#DIV/0!</v>
      </c>
      <c r="CK186" t="e">
        <f t="shared" si="82"/>
        <v>#VALUE!</v>
      </c>
      <c r="CL186" t="e">
        <f t="shared" si="83"/>
        <v>#VALUE!</v>
      </c>
      <c r="CM186" t="e">
        <f t="shared" si="84"/>
        <v>#VALUE!</v>
      </c>
      <c r="CN186" t="e">
        <f t="shared" si="85"/>
        <v>#VALUE!</v>
      </c>
      <c r="CO186" t="e">
        <f t="shared" si="86"/>
        <v>#VALUE!</v>
      </c>
      <c r="CP186">
        <f t="shared" si="87"/>
        <v>151.22727272727275</v>
      </c>
      <c r="CQ186" t="e">
        <f t="shared" si="88"/>
        <v>#VALUE!</v>
      </c>
      <c r="CR186" t="e">
        <f t="shared" si="89"/>
        <v>#VALUE!</v>
      </c>
      <c r="CS186" t="e">
        <f t="shared" si="90"/>
        <v>#VALUE!</v>
      </c>
      <c r="CT186">
        <f t="shared" si="91"/>
        <v>4.6426068675543102E-2</v>
      </c>
      <c r="CU186" t="e">
        <f t="shared" si="92"/>
        <v>#VALUE!</v>
      </c>
      <c r="CV186" t="e">
        <f t="shared" si="93"/>
        <v>#DIV/0!</v>
      </c>
      <c r="CW186" t="e">
        <f t="shared" si="94"/>
        <v>#VALUE!</v>
      </c>
      <c r="CX186">
        <f t="shared" si="95"/>
        <v>27.500000000000004</v>
      </c>
      <c r="CY186" t="e">
        <f t="shared" si="96"/>
        <v>#VALUE!</v>
      </c>
      <c r="CZ186">
        <f t="shared" si="97"/>
        <v>37.454545454545453</v>
      </c>
      <c r="DA186">
        <f t="shared" si="98"/>
        <v>5.6037735849056602</v>
      </c>
      <c r="DB186">
        <f t="shared" si="99"/>
        <v>0.26016117729502453</v>
      </c>
      <c r="DC186">
        <f t="shared" si="100"/>
        <v>1.2478991596638658</v>
      </c>
      <c r="DD186" t="e">
        <f t="shared" si="101"/>
        <v>#VALUE!</v>
      </c>
      <c r="DE186" t="e">
        <f t="shared" si="102"/>
        <v>#VALUE!</v>
      </c>
      <c r="DF186">
        <f t="shared" si="103"/>
        <v>0</v>
      </c>
      <c r="DG186">
        <f t="shared" si="104"/>
        <v>0</v>
      </c>
      <c r="DH186">
        <f t="shared" si="105"/>
        <v>4.658374211632796</v>
      </c>
      <c r="DI186">
        <f t="shared" si="106"/>
        <v>9.4604064470918004E-3</v>
      </c>
      <c r="DJ186">
        <f t="shared" si="107"/>
        <v>3.8542396636299927E-3</v>
      </c>
      <c r="DK186" t="e">
        <f t="shared" si="108"/>
        <v>#VALUE!</v>
      </c>
      <c r="DL186" t="e">
        <f t="shared" si="109"/>
        <v>#VALUE!</v>
      </c>
      <c r="DM186">
        <f t="shared" si="110"/>
        <v>0.65894475656190554</v>
      </c>
      <c r="DN186">
        <f t="shared" si="111"/>
        <v>0.1414538048309649</v>
      </c>
      <c r="DO186">
        <f t="shared" si="112"/>
        <v>1.058892509876217</v>
      </c>
      <c r="DP186">
        <f t="shared" si="113"/>
        <v>0.22730945642622968</v>
      </c>
    </row>
    <row r="187" spans="1:120">
      <c r="A187" s="16" t="s">
        <v>1431</v>
      </c>
      <c r="B187" s="16" t="s">
        <v>24</v>
      </c>
      <c r="C187" s="124" t="s">
        <v>541</v>
      </c>
      <c r="D187" s="16" t="s">
        <v>1722</v>
      </c>
      <c r="E187" s="16" t="s">
        <v>388</v>
      </c>
      <c r="F187" s="16" t="s">
        <v>342</v>
      </c>
      <c r="G187" s="16" t="s">
        <v>640</v>
      </c>
      <c r="H187" s="27">
        <v>71</v>
      </c>
      <c r="I187" s="16"/>
      <c r="J187" s="16" t="s">
        <v>1311</v>
      </c>
      <c r="K187" s="16" t="s">
        <v>115</v>
      </c>
      <c r="L187" s="16"/>
      <c r="M187" s="16" t="s">
        <v>1479</v>
      </c>
      <c r="N187" s="16">
        <v>25</v>
      </c>
      <c r="O187" s="95">
        <v>43.126987700479894</v>
      </c>
      <c r="P187" s="95">
        <v>1.7982206162298948</v>
      </c>
      <c r="Q187" s="95">
        <v>5.8997799993160598</v>
      </c>
      <c r="R187" s="95">
        <v>9.8801110262518943</v>
      </c>
      <c r="S187" s="95">
        <v>3.0206065407457228</v>
      </c>
      <c r="T187" s="95">
        <v>9.0113078071745303</v>
      </c>
      <c r="U187" s="95">
        <v>0</v>
      </c>
      <c r="V187" s="95">
        <v>2.6064096572320952</v>
      </c>
      <c r="W187" s="95">
        <v>16.305213902219386</v>
      </c>
      <c r="X187" s="95">
        <v>4.8390318830006729</v>
      </c>
      <c r="Y187" s="95">
        <v>4.5359609926248474</v>
      </c>
      <c r="Z187" s="95">
        <v>101.02363012527501</v>
      </c>
      <c r="AA187" s="16"/>
      <c r="AB187" s="16"/>
      <c r="AC187" s="16"/>
      <c r="AD187" s="16"/>
      <c r="AE187" s="128"/>
      <c r="AF187" s="128"/>
      <c r="AG187" s="16"/>
      <c r="AH187" s="16"/>
      <c r="AI187" s="16"/>
      <c r="AJ187" s="16">
        <v>64.405000000000001</v>
      </c>
      <c r="AK187" s="135"/>
      <c r="AL187" s="16"/>
      <c r="AM187" s="135"/>
      <c r="AN187" s="128"/>
      <c r="AO187" s="16"/>
      <c r="AP187" s="16"/>
      <c r="AQ187" s="16"/>
      <c r="AR187" s="16"/>
      <c r="AS187" s="16"/>
      <c r="AT187" s="16"/>
      <c r="AU187" s="16"/>
      <c r="AV187" s="16"/>
      <c r="AW187" s="16"/>
      <c r="AX187" s="128">
        <v>0.25600000000000001</v>
      </c>
      <c r="AY187" s="128">
        <v>5.0274999999999999</v>
      </c>
      <c r="AZ187" s="128">
        <v>0.318</v>
      </c>
      <c r="BA187" s="128">
        <v>0.72599999999999998</v>
      </c>
      <c r="BB187" s="16"/>
      <c r="BC187" s="128">
        <v>0.10150000000000001</v>
      </c>
      <c r="BD187" s="16"/>
      <c r="BE187" s="16"/>
      <c r="BF187" s="16"/>
      <c r="BG187" s="16"/>
      <c r="BH187" s="128"/>
      <c r="BI187" s="128">
        <v>48.215000000000003</v>
      </c>
      <c r="BJ187" s="16"/>
      <c r="BK187" s="128">
        <v>17.25</v>
      </c>
      <c r="BL187" s="128">
        <v>19.850000000000001</v>
      </c>
      <c r="BM187" s="128">
        <v>1.343</v>
      </c>
      <c r="BN187" s="128">
        <v>3.806</v>
      </c>
      <c r="BO187" s="16">
        <v>0.27900000000000003</v>
      </c>
      <c r="BP187" s="16">
        <v>0.109</v>
      </c>
      <c r="BQ187" s="16">
        <v>0.40699999999999997</v>
      </c>
      <c r="BR187" s="16">
        <v>0.1085</v>
      </c>
      <c r="BS187" s="16"/>
      <c r="BT187" s="16">
        <v>2.4E-2</v>
      </c>
      <c r="BU187" s="16"/>
      <c r="BV187" s="16">
        <v>6.7500000000000004E-2</v>
      </c>
      <c r="BW187" s="16">
        <v>4.1000000000000002E-2</v>
      </c>
      <c r="BX187" s="16">
        <v>2.6500000000000003E-2</v>
      </c>
      <c r="BY187" s="128"/>
      <c r="BZ187" s="16"/>
      <c r="CA187" s="128">
        <v>3.2894999999999999</v>
      </c>
      <c r="CB187" s="128">
        <v>0.38100000000000001</v>
      </c>
      <c r="CC187" s="128">
        <v>2.2499999999999999E-2</v>
      </c>
      <c r="CE187">
        <f t="shared" si="76"/>
        <v>9.5902536051715579</v>
      </c>
      <c r="CF187">
        <f t="shared" si="77"/>
        <v>2.7950724637681161</v>
      </c>
      <c r="CG187">
        <f t="shared" si="78"/>
        <v>0.29144927536231885</v>
      </c>
      <c r="CH187">
        <f t="shared" si="79"/>
        <v>0.8690176322418135</v>
      </c>
      <c r="CI187">
        <f t="shared" si="80"/>
        <v>0</v>
      </c>
      <c r="CJ187" t="e">
        <f t="shared" si="81"/>
        <v>#DIV/0!</v>
      </c>
      <c r="CK187">
        <f t="shared" si="82"/>
        <v>0</v>
      </c>
      <c r="CL187">
        <f t="shared" si="83"/>
        <v>0.25327455919395464</v>
      </c>
      <c r="CM187">
        <f t="shared" si="84"/>
        <v>2.4289672544080605</v>
      </c>
      <c r="CN187">
        <f t="shared" si="85"/>
        <v>2.4289672544080605</v>
      </c>
      <c r="CO187">
        <f t="shared" si="86"/>
        <v>0</v>
      </c>
      <c r="CP187">
        <f t="shared" si="87"/>
        <v>146.19999999999999</v>
      </c>
      <c r="CQ187">
        <f t="shared" si="88"/>
        <v>0.19069565217391304</v>
      </c>
      <c r="CR187">
        <f t="shared" si="89"/>
        <v>5.8840579710144935E-3</v>
      </c>
      <c r="CS187">
        <f t="shared" si="90"/>
        <v>4.2086956521739126E-2</v>
      </c>
      <c r="CT187">
        <f t="shared" si="91"/>
        <v>5.0919940328194933E-2</v>
      </c>
      <c r="CU187">
        <f t="shared" si="92"/>
        <v>1.8434782608695653E-2</v>
      </c>
      <c r="CV187" t="e">
        <f t="shared" si="93"/>
        <v>#DIV/0!</v>
      </c>
      <c r="CW187">
        <f t="shared" si="94"/>
        <v>0</v>
      </c>
      <c r="CX187">
        <f t="shared" si="95"/>
        <v>7.152709359605911</v>
      </c>
      <c r="CY187">
        <f t="shared" si="96"/>
        <v>0</v>
      </c>
      <c r="CZ187">
        <f t="shared" si="97"/>
        <v>16.933333333333334</v>
      </c>
      <c r="DA187">
        <f t="shared" si="98"/>
        <v>2.8359375</v>
      </c>
      <c r="DB187">
        <f t="shared" si="99"/>
        <v>0.14440576827449031</v>
      </c>
      <c r="DC187">
        <f t="shared" si="100"/>
        <v>2.283018867924528</v>
      </c>
      <c r="DD187">
        <f t="shared" si="101"/>
        <v>3.6574307304785891E-2</v>
      </c>
      <c r="DE187">
        <f t="shared" si="102"/>
        <v>0</v>
      </c>
      <c r="DF187">
        <f t="shared" si="103"/>
        <v>0</v>
      </c>
      <c r="DG187">
        <f t="shared" si="104"/>
        <v>0</v>
      </c>
      <c r="DH187">
        <f t="shared" si="105"/>
        <v>9.5902536051715579</v>
      </c>
      <c r="DI187">
        <f t="shared" si="106"/>
        <v>2.0188960716061664E-2</v>
      </c>
      <c r="DJ187">
        <f t="shared" si="107"/>
        <v>4.4753853804077575E-3</v>
      </c>
      <c r="DK187">
        <f t="shared" si="108"/>
        <v>0.17510762555047668</v>
      </c>
      <c r="DL187">
        <f t="shared" si="109"/>
        <v>0.34201623184440927</v>
      </c>
      <c r="DM187">
        <f t="shared" si="110"/>
        <v>0.60081681566299805</v>
      </c>
      <c r="DN187">
        <f t="shared" si="111"/>
        <v>6.2648689012666653E-2</v>
      </c>
      <c r="DO187">
        <f t="shared" si="112"/>
        <v>1.1735017402916081</v>
      </c>
      <c r="DP187">
        <f t="shared" si="113"/>
        <v>0.12236399459330208</v>
      </c>
    </row>
    <row r="188" spans="1:120">
      <c r="A188" s="16" t="s">
        <v>846</v>
      </c>
      <c r="B188" s="16" t="s">
        <v>24</v>
      </c>
      <c r="C188" s="124" t="s">
        <v>541</v>
      </c>
      <c r="D188" s="16" t="s">
        <v>1722</v>
      </c>
      <c r="E188" s="16" t="s">
        <v>388</v>
      </c>
      <c r="F188" s="16" t="s">
        <v>1789</v>
      </c>
      <c r="G188" s="16" t="s">
        <v>640</v>
      </c>
      <c r="H188" s="27"/>
      <c r="I188" s="16" t="s">
        <v>1148</v>
      </c>
      <c r="J188" s="16"/>
      <c r="K188" s="16"/>
      <c r="L188" s="16"/>
      <c r="M188" s="16" t="s">
        <v>515</v>
      </c>
      <c r="N188" s="16">
        <v>14</v>
      </c>
      <c r="O188" s="95">
        <v>45.906345051391355</v>
      </c>
      <c r="P188" s="95">
        <v>2.6355312701410014</v>
      </c>
      <c r="Q188" s="95">
        <v>7.0848692318999538</v>
      </c>
      <c r="R188" s="95">
        <v>11.393912753423264</v>
      </c>
      <c r="S188" s="95">
        <v>7.2852898608080139</v>
      </c>
      <c r="T188" s="95">
        <v>4.9604105654745076</v>
      </c>
      <c r="U188" s="95">
        <v>0</v>
      </c>
      <c r="V188" s="95">
        <v>2.8559939619398684</v>
      </c>
      <c r="W188" s="95">
        <v>13.688728954420561</v>
      </c>
      <c r="X188" s="95">
        <v>3.4672768801094538</v>
      </c>
      <c r="Y188" s="95">
        <v>0.93195592442248332</v>
      </c>
      <c r="Z188" s="95">
        <v>100.21031445403047</v>
      </c>
      <c r="AA188" s="18"/>
      <c r="AB188" s="18"/>
      <c r="AC188" s="18"/>
      <c r="AD188" s="18"/>
      <c r="AE188" s="127"/>
      <c r="AF188" s="127"/>
      <c r="AG188" s="18"/>
      <c r="AH188" s="18"/>
      <c r="AI188" s="18"/>
      <c r="AJ188" s="18"/>
      <c r="AK188" s="134"/>
      <c r="AL188" s="18"/>
      <c r="AM188" s="134"/>
      <c r="AN188" s="127"/>
      <c r="AO188" s="18"/>
      <c r="AP188" s="18"/>
      <c r="AQ188" s="18"/>
      <c r="AR188" s="18"/>
      <c r="AS188" s="18"/>
      <c r="AT188" s="18"/>
      <c r="AU188" s="18"/>
      <c r="AV188" s="18"/>
      <c r="AW188" s="18"/>
      <c r="AX188" s="127"/>
      <c r="AY188" s="127"/>
      <c r="AZ188" s="127"/>
      <c r="BA188" s="127"/>
      <c r="BB188" s="18"/>
      <c r="BC188" s="127"/>
      <c r="BD188" s="18"/>
      <c r="BE188" s="18"/>
      <c r="BF188" s="18"/>
      <c r="BG188" s="18"/>
      <c r="BH188" s="127"/>
      <c r="BI188" s="127"/>
      <c r="BJ188" s="18"/>
      <c r="BK188" s="127"/>
      <c r="BL188" s="127"/>
      <c r="BM188" s="127"/>
      <c r="BN188" s="127"/>
      <c r="BO188" s="18"/>
      <c r="BP188" s="18"/>
      <c r="BQ188" s="18"/>
      <c r="BR188" s="18"/>
      <c r="BS188" s="18"/>
      <c r="BT188" s="18"/>
      <c r="BU188" s="18"/>
      <c r="BV188" s="18"/>
      <c r="BW188" s="18"/>
      <c r="BX188" s="18"/>
      <c r="BY188" s="127"/>
      <c r="BZ188" s="18"/>
      <c r="CA188" s="127"/>
      <c r="CB188" s="127"/>
      <c r="CC188" s="127"/>
      <c r="CE188" t="e">
        <f t="shared" si="76"/>
        <v>#DIV/0!</v>
      </c>
      <c r="CF188" t="e">
        <f t="shared" si="77"/>
        <v>#DIV/0!</v>
      </c>
      <c r="CG188" t="e">
        <f t="shared" si="78"/>
        <v>#DIV/0!</v>
      </c>
      <c r="CH188" t="e">
        <f t="shared" si="79"/>
        <v>#DIV/0!</v>
      </c>
      <c r="CI188" t="e">
        <f t="shared" si="80"/>
        <v>#DIV/0!</v>
      </c>
      <c r="CJ188" t="e">
        <f t="shared" si="81"/>
        <v>#DIV/0!</v>
      </c>
      <c r="CK188" t="e">
        <f t="shared" si="82"/>
        <v>#DIV/0!</v>
      </c>
      <c r="CL188" t="e">
        <f t="shared" si="83"/>
        <v>#DIV/0!</v>
      </c>
      <c r="CM188" t="e">
        <f t="shared" si="84"/>
        <v>#DIV/0!</v>
      </c>
      <c r="CN188" t="e">
        <f t="shared" si="85"/>
        <v>#DIV/0!</v>
      </c>
      <c r="CO188" t="e">
        <f t="shared" si="86"/>
        <v>#DIV/0!</v>
      </c>
      <c r="CP188" t="e">
        <f t="shared" si="87"/>
        <v>#DIV/0!</v>
      </c>
      <c r="CQ188" t="e">
        <f t="shared" si="88"/>
        <v>#DIV/0!</v>
      </c>
      <c r="CR188" t="e">
        <f t="shared" si="89"/>
        <v>#DIV/0!</v>
      </c>
      <c r="CS188" t="e">
        <f t="shared" si="90"/>
        <v>#DIV/0!</v>
      </c>
      <c r="CT188" t="e">
        <f t="shared" si="91"/>
        <v>#DIV/0!</v>
      </c>
      <c r="CU188" t="e">
        <f t="shared" si="92"/>
        <v>#DIV/0!</v>
      </c>
      <c r="CV188" t="e">
        <f t="shared" si="93"/>
        <v>#DIV/0!</v>
      </c>
      <c r="CW188" t="e">
        <f t="shared" si="94"/>
        <v>#DIV/0!</v>
      </c>
      <c r="CX188" t="e">
        <f t="shared" si="95"/>
        <v>#DIV/0!</v>
      </c>
      <c r="CY188" t="e">
        <f t="shared" si="96"/>
        <v>#DIV/0!</v>
      </c>
      <c r="CZ188" t="e">
        <f t="shared" si="97"/>
        <v>#DIV/0!</v>
      </c>
      <c r="DA188" t="e">
        <f t="shared" si="98"/>
        <v>#DIV/0!</v>
      </c>
      <c r="DB188" t="e">
        <f t="shared" si="99"/>
        <v>#DIV/0!</v>
      </c>
      <c r="DC188" t="e">
        <f t="shared" si="100"/>
        <v>#DIV/0!</v>
      </c>
      <c r="DD188" t="e">
        <f t="shared" si="101"/>
        <v>#DIV/0!</v>
      </c>
      <c r="DE188" t="e">
        <f t="shared" si="102"/>
        <v>#DIV/0!</v>
      </c>
      <c r="DF188" t="e">
        <f t="shared" si="103"/>
        <v>#DIV/0!</v>
      </c>
      <c r="DG188" t="e">
        <f t="shared" si="104"/>
        <v>#DIV/0!</v>
      </c>
      <c r="DH188" t="e">
        <f t="shared" si="105"/>
        <v>#DIV/0!</v>
      </c>
      <c r="DI188" t="e">
        <f t="shared" si="106"/>
        <v>#DIV/0!</v>
      </c>
      <c r="DJ188" t="e">
        <f t="shared" si="107"/>
        <v>#DIV/0!</v>
      </c>
      <c r="DK188" t="e">
        <f t="shared" si="108"/>
        <v>#DIV/0!</v>
      </c>
      <c r="DL188" t="e">
        <f t="shared" si="109"/>
        <v>#DIV/0!</v>
      </c>
      <c r="DM188" t="e">
        <f t="shared" si="110"/>
        <v>#DIV/0!</v>
      </c>
      <c r="DN188" t="e">
        <f t="shared" si="111"/>
        <v>#DIV/0!</v>
      </c>
      <c r="DO188" t="e">
        <f t="shared" si="112"/>
        <v>#DIV/0!</v>
      </c>
      <c r="DP188" t="e">
        <f t="shared" si="113"/>
        <v>#DIV/0!</v>
      </c>
    </row>
    <row r="189" spans="1:120">
      <c r="A189" s="16" t="s">
        <v>846</v>
      </c>
      <c r="B189" s="16" t="s">
        <v>24</v>
      </c>
      <c r="C189" s="124" t="s">
        <v>541</v>
      </c>
      <c r="D189" s="16" t="s">
        <v>1722</v>
      </c>
      <c r="E189" s="16" t="s">
        <v>388</v>
      </c>
      <c r="F189" s="16" t="s">
        <v>1789</v>
      </c>
      <c r="G189" s="16" t="s">
        <v>640</v>
      </c>
      <c r="H189" s="27"/>
      <c r="I189" s="16" t="s">
        <v>1148</v>
      </c>
      <c r="J189" s="16"/>
      <c r="K189" s="16"/>
      <c r="L189" s="16"/>
      <c r="M189" s="16" t="s">
        <v>521</v>
      </c>
      <c r="N189" s="16">
        <v>10</v>
      </c>
      <c r="O189" s="95">
        <v>40.134780513716706</v>
      </c>
      <c r="P189" s="95">
        <v>1.3472095663421941</v>
      </c>
      <c r="Q189" s="95">
        <v>6.5852407907025148</v>
      </c>
      <c r="R189" s="95">
        <v>10.476062448720642</v>
      </c>
      <c r="S189" s="95">
        <v>6.4645951578957517</v>
      </c>
      <c r="T189" s="95">
        <v>9.6717582300088853</v>
      </c>
      <c r="U189" s="95">
        <v>0</v>
      </c>
      <c r="V189" s="95">
        <v>7.5202444449549333</v>
      </c>
      <c r="W189" s="95">
        <v>9.0082072495716865</v>
      </c>
      <c r="X189" s="95">
        <v>6.8768010699855271</v>
      </c>
      <c r="Y189" s="95">
        <v>2.4732354725386547</v>
      </c>
      <c r="Z189" s="95">
        <v>100.5581349444375</v>
      </c>
      <c r="AA189" s="18"/>
      <c r="AB189" s="18"/>
      <c r="AC189" s="18"/>
      <c r="AD189" s="18"/>
      <c r="AE189" s="127"/>
      <c r="AF189" s="127"/>
      <c r="AG189" s="18"/>
      <c r="AH189" s="18"/>
      <c r="AI189" s="18"/>
      <c r="AJ189" s="18"/>
      <c r="AK189" s="134"/>
      <c r="AL189" s="18"/>
      <c r="AM189" s="134"/>
      <c r="AN189" s="127"/>
      <c r="AO189" s="18"/>
      <c r="AP189" s="18"/>
      <c r="AQ189" s="18"/>
      <c r="AR189" s="18"/>
      <c r="AS189" s="18"/>
      <c r="AT189" s="18"/>
      <c r="AU189" s="18"/>
      <c r="AV189" s="18"/>
      <c r="AW189" s="18"/>
      <c r="AX189" s="127"/>
      <c r="AY189" s="127"/>
      <c r="AZ189" s="127"/>
      <c r="BA189" s="127"/>
      <c r="BB189" s="18"/>
      <c r="BC189" s="127"/>
      <c r="BD189" s="18"/>
      <c r="BE189" s="18"/>
      <c r="BF189" s="18"/>
      <c r="BG189" s="18"/>
      <c r="BH189" s="127"/>
      <c r="BI189" s="127"/>
      <c r="BJ189" s="18"/>
      <c r="BK189" s="127"/>
      <c r="BL189" s="127"/>
      <c r="BM189" s="127"/>
      <c r="BN189" s="127"/>
      <c r="BO189" s="18"/>
      <c r="BP189" s="18"/>
      <c r="BQ189" s="18"/>
      <c r="BR189" s="18"/>
      <c r="BS189" s="18"/>
      <c r="BT189" s="18"/>
      <c r="BU189" s="18"/>
      <c r="BV189" s="18"/>
      <c r="BW189" s="18"/>
      <c r="BX189" s="18"/>
      <c r="BY189" s="127"/>
      <c r="BZ189" s="18"/>
      <c r="CA189" s="127"/>
      <c r="CB189" s="127"/>
      <c r="CC189" s="127"/>
      <c r="CE189" t="e">
        <f t="shared" si="76"/>
        <v>#DIV/0!</v>
      </c>
      <c r="CF189" t="e">
        <f t="shared" si="77"/>
        <v>#DIV/0!</v>
      </c>
      <c r="CG189" t="e">
        <f t="shared" si="78"/>
        <v>#DIV/0!</v>
      </c>
      <c r="CH189" t="e">
        <f t="shared" si="79"/>
        <v>#DIV/0!</v>
      </c>
      <c r="CI189" t="e">
        <f t="shared" si="80"/>
        <v>#DIV/0!</v>
      </c>
      <c r="CJ189" t="e">
        <f t="shared" si="81"/>
        <v>#DIV/0!</v>
      </c>
      <c r="CK189" t="e">
        <f t="shared" si="82"/>
        <v>#DIV/0!</v>
      </c>
      <c r="CL189" t="e">
        <f t="shared" si="83"/>
        <v>#DIV/0!</v>
      </c>
      <c r="CM189" t="e">
        <f t="shared" si="84"/>
        <v>#DIV/0!</v>
      </c>
      <c r="CN189" t="e">
        <f t="shared" si="85"/>
        <v>#DIV/0!</v>
      </c>
      <c r="CO189" t="e">
        <f t="shared" si="86"/>
        <v>#DIV/0!</v>
      </c>
      <c r="CP189" t="e">
        <f t="shared" si="87"/>
        <v>#DIV/0!</v>
      </c>
      <c r="CQ189" t="e">
        <f t="shared" si="88"/>
        <v>#DIV/0!</v>
      </c>
      <c r="CR189" t="e">
        <f t="shared" si="89"/>
        <v>#DIV/0!</v>
      </c>
      <c r="CS189" t="e">
        <f t="shared" si="90"/>
        <v>#DIV/0!</v>
      </c>
      <c r="CT189" t="e">
        <f t="shared" si="91"/>
        <v>#DIV/0!</v>
      </c>
      <c r="CU189" t="e">
        <f t="shared" si="92"/>
        <v>#DIV/0!</v>
      </c>
      <c r="CV189" t="e">
        <f t="shared" si="93"/>
        <v>#DIV/0!</v>
      </c>
      <c r="CW189" t="e">
        <f t="shared" si="94"/>
        <v>#DIV/0!</v>
      </c>
      <c r="CX189" t="e">
        <f t="shared" si="95"/>
        <v>#DIV/0!</v>
      </c>
      <c r="CY189" t="e">
        <f t="shared" si="96"/>
        <v>#DIV/0!</v>
      </c>
      <c r="CZ189" t="e">
        <f t="shared" si="97"/>
        <v>#DIV/0!</v>
      </c>
      <c r="DA189" t="e">
        <f t="shared" si="98"/>
        <v>#DIV/0!</v>
      </c>
      <c r="DB189" t="e">
        <f t="shared" si="99"/>
        <v>#DIV/0!</v>
      </c>
      <c r="DC189" t="e">
        <f t="shared" si="100"/>
        <v>#DIV/0!</v>
      </c>
      <c r="DD189" t="e">
        <f t="shared" si="101"/>
        <v>#DIV/0!</v>
      </c>
      <c r="DE189" t="e">
        <f t="shared" si="102"/>
        <v>#DIV/0!</v>
      </c>
      <c r="DF189" t="e">
        <f t="shared" si="103"/>
        <v>#DIV/0!</v>
      </c>
      <c r="DG189" t="e">
        <f t="shared" si="104"/>
        <v>#DIV/0!</v>
      </c>
      <c r="DH189" t="e">
        <f t="shared" si="105"/>
        <v>#DIV/0!</v>
      </c>
      <c r="DI189" t="e">
        <f t="shared" si="106"/>
        <v>#DIV/0!</v>
      </c>
      <c r="DJ189" t="e">
        <f t="shared" si="107"/>
        <v>#DIV/0!</v>
      </c>
      <c r="DK189" t="e">
        <f t="shared" si="108"/>
        <v>#DIV/0!</v>
      </c>
      <c r="DL189" t="e">
        <f t="shared" si="109"/>
        <v>#DIV/0!</v>
      </c>
      <c r="DM189" t="e">
        <f t="shared" si="110"/>
        <v>#DIV/0!</v>
      </c>
      <c r="DN189" t="e">
        <f t="shared" si="111"/>
        <v>#DIV/0!</v>
      </c>
      <c r="DO189" t="e">
        <f t="shared" si="112"/>
        <v>#DIV/0!</v>
      </c>
      <c r="DP189" t="e">
        <f t="shared" si="113"/>
        <v>#DIV/0!</v>
      </c>
    </row>
    <row r="190" spans="1:120">
      <c r="A190" s="16" t="s">
        <v>839</v>
      </c>
      <c r="B190" s="16" t="s">
        <v>24</v>
      </c>
      <c r="C190" s="124" t="s">
        <v>541</v>
      </c>
      <c r="D190" s="16" t="s">
        <v>110</v>
      </c>
      <c r="E190" s="16" t="s">
        <v>388</v>
      </c>
      <c r="F190" s="16" t="s">
        <v>387</v>
      </c>
      <c r="G190" s="16" t="s">
        <v>640</v>
      </c>
      <c r="H190" s="27"/>
      <c r="I190" s="16" t="s">
        <v>735</v>
      </c>
      <c r="J190" s="16"/>
      <c r="K190" s="16"/>
      <c r="L190" s="16"/>
      <c r="M190" s="16">
        <v>11671</v>
      </c>
      <c r="N190" s="16">
        <v>11</v>
      </c>
      <c r="O190" s="95">
        <v>47.001991406180572</v>
      </c>
      <c r="P190" s="95">
        <v>1.4880543130777693</v>
      </c>
      <c r="Q190" s="95">
        <v>4.6694118100026554</v>
      </c>
      <c r="R190" s="95">
        <v>8.7846516689280723</v>
      </c>
      <c r="S190" s="95">
        <v>6.9168869449270103</v>
      </c>
      <c r="T190" s="95">
        <v>5.9214299216956743</v>
      </c>
      <c r="U190" s="95">
        <v>1.1904434504622152</v>
      </c>
      <c r="V190" s="95">
        <v>4.9054480113874046</v>
      </c>
      <c r="W190" s="95">
        <v>12.078896044776098</v>
      </c>
      <c r="X190" s="95">
        <v>4.5873122616949162</v>
      </c>
      <c r="Y190" s="95">
        <v>3.1710950533864182</v>
      </c>
      <c r="Z190" s="95">
        <v>100.71562088651882</v>
      </c>
      <c r="AA190" s="18"/>
      <c r="AB190" s="18"/>
      <c r="AC190" s="18"/>
      <c r="AD190" s="18"/>
      <c r="AE190" s="127"/>
      <c r="AF190" s="127"/>
      <c r="AG190" s="18"/>
      <c r="AH190" s="18"/>
      <c r="AI190" s="18"/>
      <c r="AJ190" s="18"/>
      <c r="AK190" s="134"/>
      <c r="AL190" s="18"/>
      <c r="AM190" s="134"/>
      <c r="AN190" s="127"/>
      <c r="AO190" s="18"/>
      <c r="AP190" s="18"/>
      <c r="AQ190" s="18"/>
      <c r="AR190" s="18"/>
      <c r="AS190" s="18"/>
      <c r="AT190" s="18"/>
      <c r="AU190" s="18"/>
      <c r="AV190" s="18"/>
      <c r="AW190" s="18"/>
      <c r="AX190" s="127"/>
      <c r="AY190" s="127"/>
      <c r="AZ190" s="127"/>
      <c r="BA190" s="127"/>
      <c r="BB190" s="18"/>
      <c r="BC190" s="127"/>
      <c r="BD190" s="18"/>
      <c r="BE190" s="18"/>
      <c r="BF190" s="18"/>
      <c r="BG190" s="18"/>
      <c r="BH190" s="127"/>
      <c r="BI190" s="127"/>
      <c r="BJ190" s="18"/>
      <c r="BK190" s="127"/>
      <c r="BL190" s="127"/>
      <c r="BM190" s="127"/>
      <c r="BN190" s="127"/>
      <c r="BO190" s="18"/>
      <c r="BP190" s="18"/>
      <c r="BQ190" s="18"/>
      <c r="BR190" s="18"/>
      <c r="BS190" s="18"/>
      <c r="BT190" s="18"/>
      <c r="BU190" s="18"/>
      <c r="BV190" s="18"/>
      <c r="BW190" s="18"/>
      <c r="BX190" s="18"/>
      <c r="BY190" s="127"/>
      <c r="BZ190" s="18"/>
      <c r="CA190" s="127"/>
      <c r="CB190" s="127"/>
      <c r="CC190" s="127"/>
      <c r="CE190" t="e">
        <f t="shared" si="76"/>
        <v>#DIV/0!</v>
      </c>
      <c r="CF190" t="e">
        <f t="shared" si="77"/>
        <v>#DIV/0!</v>
      </c>
      <c r="CG190" t="e">
        <f t="shared" si="78"/>
        <v>#DIV/0!</v>
      </c>
      <c r="CH190" t="e">
        <f t="shared" si="79"/>
        <v>#DIV/0!</v>
      </c>
      <c r="CI190" t="e">
        <f t="shared" si="80"/>
        <v>#DIV/0!</v>
      </c>
      <c r="CJ190" t="e">
        <f t="shared" si="81"/>
        <v>#DIV/0!</v>
      </c>
      <c r="CK190" t="e">
        <f t="shared" si="82"/>
        <v>#DIV/0!</v>
      </c>
      <c r="CL190" t="e">
        <f t="shared" si="83"/>
        <v>#DIV/0!</v>
      </c>
      <c r="CM190" t="e">
        <f t="shared" si="84"/>
        <v>#DIV/0!</v>
      </c>
      <c r="CN190" t="e">
        <f t="shared" si="85"/>
        <v>#DIV/0!</v>
      </c>
      <c r="CO190" t="e">
        <f t="shared" si="86"/>
        <v>#DIV/0!</v>
      </c>
      <c r="CP190" t="e">
        <f t="shared" si="87"/>
        <v>#DIV/0!</v>
      </c>
      <c r="CQ190" t="e">
        <f t="shared" si="88"/>
        <v>#DIV/0!</v>
      </c>
      <c r="CR190" t="e">
        <f t="shared" si="89"/>
        <v>#DIV/0!</v>
      </c>
      <c r="CS190" t="e">
        <f t="shared" si="90"/>
        <v>#DIV/0!</v>
      </c>
      <c r="CT190" t="e">
        <f t="shared" si="91"/>
        <v>#DIV/0!</v>
      </c>
      <c r="CU190" t="e">
        <f t="shared" si="92"/>
        <v>#DIV/0!</v>
      </c>
      <c r="CV190" t="e">
        <f t="shared" si="93"/>
        <v>#DIV/0!</v>
      </c>
      <c r="CW190" t="e">
        <f t="shared" si="94"/>
        <v>#DIV/0!</v>
      </c>
      <c r="CX190" t="e">
        <f t="shared" si="95"/>
        <v>#DIV/0!</v>
      </c>
      <c r="CY190" t="e">
        <f t="shared" si="96"/>
        <v>#DIV/0!</v>
      </c>
      <c r="CZ190" t="e">
        <f t="shared" si="97"/>
        <v>#DIV/0!</v>
      </c>
      <c r="DA190" t="e">
        <f t="shared" si="98"/>
        <v>#DIV/0!</v>
      </c>
      <c r="DB190" t="e">
        <f t="shared" si="99"/>
        <v>#DIV/0!</v>
      </c>
      <c r="DC190" t="e">
        <f t="shared" si="100"/>
        <v>#DIV/0!</v>
      </c>
      <c r="DD190" t="e">
        <f t="shared" si="101"/>
        <v>#DIV/0!</v>
      </c>
      <c r="DE190" t="e">
        <f t="shared" si="102"/>
        <v>#DIV/0!</v>
      </c>
      <c r="DF190" t="e">
        <f t="shared" si="103"/>
        <v>#DIV/0!</v>
      </c>
      <c r="DG190" t="e">
        <f t="shared" si="104"/>
        <v>#DIV/0!</v>
      </c>
      <c r="DH190" t="e">
        <f t="shared" si="105"/>
        <v>#DIV/0!</v>
      </c>
      <c r="DI190" t="e">
        <f t="shared" si="106"/>
        <v>#DIV/0!</v>
      </c>
      <c r="DJ190" t="e">
        <f t="shared" si="107"/>
        <v>#DIV/0!</v>
      </c>
      <c r="DK190" t="e">
        <f t="shared" si="108"/>
        <v>#DIV/0!</v>
      </c>
      <c r="DL190" t="e">
        <f t="shared" si="109"/>
        <v>#DIV/0!</v>
      </c>
      <c r="DM190" t="e">
        <f t="shared" si="110"/>
        <v>#DIV/0!</v>
      </c>
      <c r="DN190" t="e">
        <f t="shared" si="111"/>
        <v>#DIV/0!</v>
      </c>
      <c r="DO190" t="e">
        <f t="shared" si="112"/>
        <v>#DIV/0!</v>
      </c>
      <c r="DP190" t="e">
        <f t="shared" si="113"/>
        <v>#DIV/0!</v>
      </c>
    </row>
    <row r="191" spans="1:120">
      <c r="A191" s="16" t="s">
        <v>839</v>
      </c>
      <c r="B191" s="16" t="s">
        <v>24</v>
      </c>
      <c r="C191" s="124" t="s">
        <v>541</v>
      </c>
      <c r="D191" s="16" t="s">
        <v>110</v>
      </c>
      <c r="E191" s="16" t="s">
        <v>388</v>
      </c>
      <c r="F191" s="16" t="s">
        <v>387</v>
      </c>
      <c r="G191" s="16" t="s">
        <v>640</v>
      </c>
      <c r="H191" s="27"/>
      <c r="I191" s="16" t="s">
        <v>735</v>
      </c>
      <c r="J191" s="16"/>
      <c r="K191" s="16"/>
      <c r="L191" s="16"/>
      <c r="M191" s="16" t="s">
        <v>390</v>
      </c>
      <c r="N191" s="16">
        <v>15</v>
      </c>
      <c r="O191" s="95">
        <v>61.482785527147634</v>
      </c>
      <c r="P191" s="95">
        <v>2.8121445173654229</v>
      </c>
      <c r="Q191" s="95">
        <v>6.6661986940424951</v>
      </c>
      <c r="R191" s="95">
        <v>4.1979855205275207</v>
      </c>
      <c r="S191" s="95">
        <v>0.9812158927498057</v>
      </c>
      <c r="T191" s="95">
        <v>2.387288151432517</v>
      </c>
      <c r="U191" s="95">
        <v>2.2052068517469863</v>
      </c>
      <c r="V191" s="95">
        <v>0.77890333754366026</v>
      </c>
      <c r="W191" s="95">
        <v>15.972576233525187</v>
      </c>
      <c r="X191" s="95">
        <v>1.5679223028476279</v>
      </c>
      <c r="Y191" s="95">
        <v>1.2239909589971805</v>
      </c>
      <c r="Z191" s="95">
        <v>100.27621798792602</v>
      </c>
      <c r="AA191" s="18"/>
      <c r="AB191" s="18"/>
      <c r="AC191" s="18"/>
      <c r="AD191" s="18"/>
      <c r="AE191" s="127"/>
      <c r="AF191" s="127"/>
      <c r="AG191" s="18"/>
      <c r="AH191" s="18"/>
      <c r="AI191" s="18"/>
      <c r="AJ191" s="18"/>
      <c r="AK191" s="134"/>
      <c r="AL191" s="18"/>
      <c r="AM191" s="134"/>
      <c r="AN191" s="127"/>
      <c r="AO191" s="18"/>
      <c r="AP191" s="18"/>
      <c r="AQ191" s="18"/>
      <c r="AR191" s="18"/>
      <c r="AS191" s="18"/>
      <c r="AT191" s="18"/>
      <c r="AU191" s="18"/>
      <c r="AV191" s="18"/>
      <c r="AW191" s="18"/>
      <c r="AX191" s="127"/>
      <c r="AY191" s="127"/>
      <c r="AZ191" s="127"/>
      <c r="BA191" s="127"/>
      <c r="BB191" s="18"/>
      <c r="BC191" s="127"/>
      <c r="BD191" s="18"/>
      <c r="BE191" s="18"/>
      <c r="BF191" s="18"/>
      <c r="BG191" s="18"/>
      <c r="BH191" s="127"/>
      <c r="BI191" s="127"/>
      <c r="BJ191" s="18"/>
      <c r="BK191" s="127"/>
      <c r="BL191" s="127"/>
      <c r="BM191" s="127"/>
      <c r="BN191" s="127"/>
      <c r="BO191" s="18"/>
      <c r="BP191" s="18"/>
      <c r="BQ191" s="18"/>
      <c r="BR191" s="18"/>
      <c r="BS191" s="18"/>
      <c r="BT191" s="18"/>
      <c r="BU191" s="18"/>
      <c r="BV191" s="18"/>
      <c r="BW191" s="18"/>
      <c r="BX191" s="18"/>
      <c r="BY191" s="127"/>
      <c r="BZ191" s="18"/>
      <c r="CA191" s="127"/>
      <c r="CB191" s="127"/>
      <c r="CC191" s="127"/>
      <c r="CE191" t="e">
        <f t="shared" si="76"/>
        <v>#DIV/0!</v>
      </c>
      <c r="CF191" t="e">
        <f t="shared" si="77"/>
        <v>#DIV/0!</v>
      </c>
      <c r="CG191" t="e">
        <f t="shared" si="78"/>
        <v>#DIV/0!</v>
      </c>
      <c r="CH191" t="e">
        <f t="shared" si="79"/>
        <v>#DIV/0!</v>
      </c>
      <c r="CI191" t="e">
        <f t="shared" si="80"/>
        <v>#DIV/0!</v>
      </c>
      <c r="CJ191" t="e">
        <f t="shared" si="81"/>
        <v>#DIV/0!</v>
      </c>
      <c r="CK191" t="e">
        <f t="shared" si="82"/>
        <v>#DIV/0!</v>
      </c>
      <c r="CL191" t="e">
        <f t="shared" si="83"/>
        <v>#DIV/0!</v>
      </c>
      <c r="CM191" t="e">
        <f t="shared" si="84"/>
        <v>#DIV/0!</v>
      </c>
      <c r="CN191" t="e">
        <f t="shared" si="85"/>
        <v>#DIV/0!</v>
      </c>
      <c r="CO191" t="e">
        <f t="shared" si="86"/>
        <v>#DIV/0!</v>
      </c>
      <c r="CP191" t="e">
        <f t="shared" si="87"/>
        <v>#DIV/0!</v>
      </c>
      <c r="CQ191" t="e">
        <f t="shared" si="88"/>
        <v>#DIV/0!</v>
      </c>
      <c r="CR191" t="e">
        <f t="shared" si="89"/>
        <v>#DIV/0!</v>
      </c>
      <c r="CS191" t="e">
        <f t="shared" si="90"/>
        <v>#DIV/0!</v>
      </c>
      <c r="CT191" t="e">
        <f t="shared" si="91"/>
        <v>#DIV/0!</v>
      </c>
      <c r="CU191" t="e">
        <f t="shared" si="92"/>
        <v>#DIV/0!</v>
      </c>
      <c r="CV191" t="e">
        <f t="shared" si="93"/>
        <v>#DIV/0!</v>
      </c>
      <c r="CW191" t="e">
        <f t="shared" si="94"/>
        <v>#DIV/0!</v>
      </c>
      <c r="CX191" t="e">
        <f t="shared" si="95"/>
        <v>#DIV/0!</v>
      </c>
      <c r="CY191" t="e">
        <f t="shared" si="96"/>
        <v>#DIV/0!</v>
      </c>
      <c r="CZ191" t="e">
        <f t="shared" si="97"/>
        <v>#DIV/0!</v>
      </c>
      <c r="DA191" t="e">
        <f t="shared" si="98"/>
        <v>#DIV/0!</v>
      </c>
      <c r="DB191" t="e">
        <f t="shared" si="99"/>
        <v>#DIV/0!</v>
      </c>
      <c r="DC191" t="e">
        <f t="shared" si="100"/>
        <v>#DIV/0!</v>
      </c>
      <c r="DD191" t="e">
        <f t="shared" si="101"/>
        <v>#DIV/0!</v>
      </c>
      <c r="DE191" t="e">
        <f t="shared" si="102"/>
        <v>#DIV/0!</v>
      </c>
      <c r="DF191" t="e">
        <f t="shared" si="103"/>
        <v>#DIV/0!</v>
      </c>
      <c r="DG191" t="e">
        <f t="shared" si="104"/>
        <v>#DIV/0!</v>
      </c>
      <c r="DH191" t="e">
        <f t="shared" si="105"/>
        <v>#DIV/0!</v>
      </c>
      <c r="DI191" t="e">
        <f t="shared" si="106"/>
        <v>#DIV/0!</v>
      </c>
      <c r="DJ191" t="e">
        <f t="shared" si="107"/>
        <v>#DIV/0!</v>
      </c>
      <c r="DK191" t="e">
        <f t="shared" si="108"/>
        <v>#DIV/0!</v>
      </c>
      <c r="DL191" t="e">
        <f t="shared" si="109"/>
        <v>#DIV/0!</v>
      </c>
      <c r="DM191" t="e">
        <f t="shared" si="110"/>
        <v>#DIV/0!</v>
      </c>
      <c r="DN191" t="e">
        <f t="shared" si="111"/>
        <v>#DIV/0!</v>
      </c>
      <c r="DO191" t="e">
        <f t="shared" si="112"/>
        <v>#DIV/0!</v>
      </c>
      <c r="DP191" t="e">
        <f t="shared" si="113"/>
        <v>#DIV/0!</v>
      </c>
    </row>
    <row r="192" spans="1:120">
      <c r="A192" s="16" t="s">
        <v>772</v>
      </c>
      <c r="B192" s="16" t="s">
        <v>24</v>
      </c>
      <c r="C192" s="124" t="s">
        <v>541</v>
      </c>
      <c r="D192" s="16" t="s">
        <v>110</v>
      </c>
      <c r="E192" s="16" t="s">
        <v>1394</v>
      </c>
      <c r="F192" s="16" t="s">
        <v>1728</v>
      </c>
      <c r="G192" s="16" t="s">
        <v>595</v>
      </c>
      <c r="H192" s="27">
        <v>84</v>
      </c>
      <c r="I192" s="16"/>
      <c r="J192" s="16" t="s">
        <v>635</v>
      </c>
      <c r="K192" s="16" t="s">
        <v>585</v>
      </c>
      <c r="L192" s="16" t="s">
        <v>778</v>
      </c>
      <c r="M192" s="16" t="s">
        <v>579</v>
      </c>
      <c r="N192" s="16">
        <v>50</v>
      </c>
      <c r="O192" s="95">
        <v>47.884966584760491</v>
      </c>
      <c r="P192" s="95">
        <v>1.1103470421784865</v>
      </c>
      <c r="Q192" s="95">
        <v>6.0718977892102819</v>
      </c>
      <c r="R192" s="95">
        <v>7.1322291988582061</v>
      </c>
      <c r="S192" s="95">
        <v>5.7818071205330197</v>
      </c>
      <c r="T192" s="95">
        <v>3.751172439792184</v>
      </c>
      <c r="U192" s="95">
        <v>1.7705533915819109</v>
      </c>
      <c r="V192" s="95">
        <v>0.96030014458679902</v>
      </c>
      <c r="W192" s="95">
        <v>18.47577465678977</v>
      </c>
      <c r="X192" s="95">
        <v>5.0315726325745835</v>
      </c>
      <c r="Y192" s="95">
        <v>2.6208191446014726</v>
      </c>
      <c r="Z192" s="95">
        <v>100.5914401454672</v>
      </c>
      <c r="AA192" s="16"/>
      <c r="AB192" s="16"/>
      <c r="AC192" s="16"/>
      <c r="AD192" s="16"/>
      <c r="AE192" s="128"/>
      <c r="AF192" s="128"/>
      <c r="AG192" s="16"/>
      <c r="AH192" s="16">
        <v>239.76666666666665</v>
      </c>
      <c r="AI192" s="16"/>
      <c r="AJ192" s="16">
        <v>9.8656666666666677</v>
      </c>
      <c r="AK192" s="135"/>
      <c r="AL192" s="16"/>
      <c r="AM192" s="135"/>
      <c r="AN192" s="128"/>
      <c r="AO192" s="16"/>
      <c r="AP192" s="16"/>
      <c r="AQ192" s="16"/>
      <c r="AR192" s="16"/>
      <c r="AS192" s="16"/>
      <c r="AT192" s="16"/>
      <c r="AU192" s="16"/>
      <c r="AV192" s="16"/>
      <c r="AW192" s="16"/>
      <c r="AX192" s="128">
        <v>1.1506666666666667</v>
      </c>
      <c r="AY192" s="128">
        <v>8.7690000000000001</v>
      </c>
      <c r="AZ192" s="128">
        <v>8.7666666666666674E-3</v>
      </c>
      <c r="BA192" s="128">
        <v>2.1510000000000002</v>
      </c>
      <c r="BB192" s="16"/>
      <c r="BC192" s="128">
        <v>0.18579999999999999</v>
      </c>
      <c r="BD192" s="16"/>
      <c r="BE192" s="16"/>
      <c r="BF192" s="16"/>
      <c r="BG192" s="16"/>
      <c r="BH192" s="128">
        <v>5.043333333333333E-2</v>
      </c>
      <c r="BI192" s="128">
        <v>27.686666666666667</v>
      </c>
      <c r="BJ192" s="16"/>
      <c r="BK192" s="128">
        <v>0.90233333333333343</v>
      </c>
      <c r="BL192" s="128">
        <v>1.3946666666666667</v>
      </c>
      <c r="BM192" s="128">
        <v>0.19476666666666664</v>
      </c>
      <c r="BN192" s="128">
        <v>0.64866666666666661</v>
      </c>
      <c r="BO192" s="16">
        <v>6.3966666666666658E-2</v>
      </c>
      <c r="BP192" s="16">
        <v>1.4100000000000001E-2</v>
      </c>
      <c r="BQ192" s="16">
        <v>3.0649999999999997E-2</v>
      </c>
      <c r="BR192" s="16">
        <v>4.5999999999999999E-3</v>
      </c>
      <c r="BS192" s="16"/>
      <c r="BT192" s="16">
        <v>5.0000000000000001E-3</v>
      </c>
      <c r="BU192" s="16"/>
      <c r="BV192" s="16"/>
      <c r="BW192" s="16"/>
      <c r="BX192" s="16">
        <v>5.7799999999999997E-2</v>
      </c>
      <c r="BY192" s="128">
        <v>8.8600000000000016E-3</v>
      </c>
      <c r="BZ192" s="16"/>
      <c r="CA192" s="128"/>
      <c r="CB192" s="128">
        <v>0.20766666666666667</v>
      </c>
      <c r="CC192" s="128">
        <v>5.553333333333333E-2</v>
      </c>
      <c r="CE192">
        <f t="shared" si="76"/>
        <v>3.157334549739613</v>
      </c>
      <c r="CF192">
        <f t="shared" si="77"/>
        <v>30.683413372737345</v>
      </c>
      <c r="CG192">
        <f t="shared" si="78"/>
        <v>9.7181381603250827</v>
      </c>
      <c r="CH192">
        <f t="shared" si="79"/>
        <v>0.64698852772466542</v>
      </c>
      <c r="CI192">
        <f t="shared" si="80"/>
        <v>0</v>
      </c>
      <c r="CJ192" t="e">
        <f t="shared" si="81"/>
        <v>#DIV/0!</v>
      </c>
      <c r="CK192">
        <f t="shared" si="82"/>
        <v>0</v>
      </c>
      <c r="CL192">
        <f t="shared" si="83"/>
        <v>6.2875239005736132</v>
      </c>
      <c r="CM192">
        <f t="shared" si="84"/>
        <v>19.851816443594647</v>
      </c>
      <c r="CN192">
        <f t="shared" si="85"/>
        <v>19.851816443594647</v>
      </c>
      <c r="CO192">
        <f t="shared" si="86"/>
        <v>6.3527724665391975E-3</v>
      </c>
      <c r="CP192">
        <f t="shared" si="87"/>
        <v>0</v>
      </c>
      <c r="CQ192">
        <f t="shared" si="88"/>
        <v>0</v>
      </c>
      <c r="CR192">
        <f t="shared" si="89"/>
        <v>0.20591060214259324</v>
      </c>
      <c r="CS192">
        <f t="shared" si="90"/>
        <v>2.383819726634651</v>
      </c>
      <c r="CT192">
        <f t="shared" si="91"/>
        <v>0.13121982742235908</v>
      </c>
      <c r="CU192">
        <f t="shared" si="92"/>
        <v>9.7155522718876987E-3</v>
      </c>
      <c r="CV192" t="e">
        <f t="shared" si="93"/>
        <v>#DIV/0!</v>
      </c>
      <c r="CW192">
        <f t="shared" si="94"/>
        <v>0</v>
      </c>
      <c r="CX192">
        <f t="shared" si="95"/>
        <v>11.576964477933263</v>
      </c>
      <c r="CY192">
        <f t="shared" si="96"/>
        <v>9.8189878093830809E-3</v>
      </c>
      <c r="CZ192">
        <f t="shared" si="97"/>
        <v>3.7394957983193278</v>
      </c>
      <c r="DA192">
        <f t="shared" si="98"/>
        <v>1.8693511008111241</v>
      </c>
      <c r="DB192">
        <f t="shared" si="99"/>
        <v>0.24529592884023266</v>
      </c>
      <c r="DC192">
        <f t="shared" si="100"/>
        <v>245.36121673003802</v>
      </c>
      <c r="DD192">
        <f t="shared" si="101"/>
        <v>1.5423040152963672</v>
      </c>
      <c r="DE192">
        <f t="shared" si="102"/>
        <v>0</v>
      </c>
      <c r="DF192">
        <f t="shared" si="103"/>
        <v>0</v>
      </c>
      <c r="DG192">
        <f t="shared" si="104"/>
        <v>0</v>
      </c>
      <c r="DH192">
        <f t="shared" si="105"/>
        <v>3.157334549739613</v>
      </c>
      <c r="DI192">
        <f t="shared" si="106"/>
        <v>2.1188276884479416E-2</v>
      </c>
      <c r="DJ192">
        <f t="shared" si="107"/>
        <v>6.3329151936746871E-3</v>
      </c>
      <c r="DK192">
        <f t="shared" si="108"/>
        <v>6.4076177915031609</v>
      </c>
      <c r="DL192">
        <f t="shared" si="109"/>
        <v>6.7291072654713124</v>
      </c>
      <c r="DM192">
        <f t="shared" si="110"/>
        <v>0.65934623338271403</v>
      </c>
      <c r="DN192">
        <f t="shared" si="111"/>
        <v>0.2088300188008555</v>
      </c>
      <c r="DO192">
        <f t="shared" si="112"/>
        <v>0.69242761879464954</v>
      </c>
      <c r="DP192">
        <f t="shared" si="113"/>
        <v>0.21930764950193649</v>
      </c>
    </row>
    <row r="193" spans="1:120">
      <c r="A193" s="16" t="s">
        <v>1520</v>
      </c>
      <c r="B193" s="16" t="s">
        <v>24</v>
      </c>
      <c r="C193" s="124" t="s">
        <v>541</v>
      </c>
      <c r="D193" s="16" t="s">
        <v>1720</v>
      </c>
      <c r="E193" s="16" t="s">
        <v>1394</v>
      </c>
      <c r="F193" s="16" t="s">
        <v>104</v>
      </c>
      <c r="G193" s="16" t="s">
        <v>595</v>
      </c>
      <c r="H193" s="27">
        <v>240</v>
      </c>
      <c r="I193" s="16" t="s">
        <v>736</v>
      </c>
      <c r="J193" s="16" t="s">
        <v>596</v>
      </c>
      <c r="K193" s="16" t="s">
        <v>48</v>
      </c>
      <c r="L193" s="16"/>
      <c r="M193" s="16" t="s">
        <v>743</v>
      </c>
      <c r="N193" s="16">
        <v>42</v>
      </c>
      <c r="O193" s="95">
        <v>42.249877355495912</v>
      </c>
      <c r="P193" s="95">
        <v>4.7057974778518457</v>
      </c>
      <c r="Q193" s="95">
        <v>5.0126973133639225</v>
      </c>
      <c r="R193" s="95">
        <v>11.355293913946845</v>
      </c>
      <c r="S193" s="95">
        <v>5.2172972037053071</v>
      </c>
      <c r="T193" s="95">
        <v>6.9563962716070762</v>
      </c>
      <c r="U193" s="95">
        <v>0</v>
      </c>
      <c r="V193" s="95">
        <v>2.4551986840966147</v>
      </c>
      <c r="W193" s="95">
        <v>19.13008974691946</v>
      </c>
      <c r="X193" s="95">
        <v>2.0459989034138459</v>
      </c>
      <c r="Y193" s="95">
        <v>1.1252993968776155</v>
      </c>
      <c r="Z193" s="95">
        <v>100.25394626727844</v>
      </c>
      <c r="AA193" s="18">
        <v>0</v>
      </c>
      <c r="AB193" s="18">
        <v>0</v>
      </c>
      <c r="AC193" s="18">
        <v>0</v>
      </c>
      <c r="AD193" s="18"/>
      <c r="AE193" s="127"/>
      <c r="AF193" s="127"/>
      <c r="AG193" s="18"/>
      <c r="AH193" s="18">
        <v>55.4</v>
      </c>
      <c r="AI193" s="18"/>
      <c r="AJ193" s="18">
        <v>10.8</v>
      </c>
      <c r="AK193" s="134"/>
      <c r="AL193" s="18"/>
      <c r="AM193" s="134"/>
      <c r="AN193" s="127"/>
      <c r="AO193" s="18"/>
      <c r="AP193" s="18"/>
      <c r="AQ193" s="18"/>
      <c r="AR193" s="18"/>
      <c r="AS193" s="18"/>
      <c r="AT193" s="18"/>
      <c r="AU193" s="18"/>
      <c r="AV193" s="18"/>
      <c r="AW193" s="18"/>
      <c r="AX193" s="127">
        <v>0.2</v>
      </c>
      <c r="AY193" s="127">
        <v>0.84</v>
      </c>
      <c r="AZ193" s="127">
        <v>2.5999999999999999E-2</v>
      </c>
      <c r="BA193" s="127">
        <v>0.57999999999999996</v>
      </c>
      <c r="BB193" s="18"/>
      <c r="BC193" s="127">
        <v>5.8000000000000003E-2</v>
      </c>
      <c r="BD193" s="18"/>
      <c r="BE193" s="18"/>
      <c r="BF193" s="18"/>
      <c r="BG193" s="18"/>
      <c r="BH193" s="127">
        <v>4.0000000000000001E-3</v>
      </c>
      <c r="BI193" s="127">
        <v>1.8</v>
      </c>
      <c r="BJ193" s="18"/>
      <c r="BK193" s="127">
        <v>8.5000000000000006E-2</v>
      </c>
      <c r="BL193" s="127">
        <v>0.13900000000000001</v>
      </c>
      <c r="BM193" s="127">
        <v>2.1999999999999999E-2</v>
      </c>
      <c r="BN193" s="127">
        <v>0.104</v>
      </c>
      <c r="BO193" s="18">
        <v>2.8000000000000001E-2</v>
      </c>
      <c r="BP193" s="18">
        <v>6.0000000000000001E-3</v>
      </c>
      <c r="BQ193" s="18">
        <v>1.7000000000000001E-2</v>
      </c>
      <c r="BR193" s="18">
        <v>8.9999999999999993E-3</v>
      </c>
      <c r="BS193" s="18">
        <v>2E-3</v>
      </c>
      <c r="BT193" s="18">
        <v>5.0000000000000001E-3</v>
      </c>
      <c r="BU193" s="18"/>
      <c r="BV193" s="18">
        <v>6.0000000000000001E-3</v>
      </c>
      <c r="BW193" s="18">
        <v>2E-3</v>
      </c>
      <c r="BX193" s="18">
        <v>0.13</v>
      </c>
      <c r="BY193" s="127">
        <v>2E-3</v>
      </c>
      <c r="BZ193" s="18"/>
      <c r="CA193" s="127"/>
      <c r="CB193" s="127">
        <v>1.0999999999999999E-2</v>
      </c>
      <c r="CC193" s="127">
        <v>3.0000000000000001E-3</v>
      </c>
      <c r="CE193">
        <f t="shared" si="76"/>
        <v>2.1428571428571428</v>
      </c>
      <c r="CF193">
        <f t="shared" si="77"/>
        <v>21.176470588235293</v>
      </c>
      <c r="CG193">
        <f t="shared" si="78"/>
        <v>9.8823529411764692</v>
      </c>
      <c r="CH193">
        <f t="shared" si="79"/>
        <v>0.61151079136690645</v>
      </c>
      <c r="CI193">
        <f t="shared" si="80"/>
        <v>0</v>
      </c>
      <c r="CJ193" t="e">
        <f t="shared" si="81"/>
        <v>#DIV/0!</v>
      </c>
      <c r="CK193">
        <f t="shared" si="82"/>
        <v>0</v>
      </c>
      <c r="CL193">
        <f t="shared" si="83"/>
        <v>6.0431654676258981</v>
      </c>
      <c r="CM193">
        <f t="shared" si="84"/>
        <v>12.949640287769784</v>
      </c>
      <c r="CN193">
        <f t="shared" si="85"/>
        <v>12.949640287769784</v>
      </c>
      <c r="CO193">
        <f t="shared" si="86"/>
        <v>1.4388489208633093E-2</v>
      </c>
      <c r="CP193">
        <f t="shared" si="87"/>
        <v>0</v>
      </c>
      <c r="CQ193">
        <f t="shared" si="88"/>
        <v>0</v>
      </c>
      <c r="CR193">
        <f t="shared" si="89"/>
        <v>0.68235294117647061</v>
      </c>
      <c r="CS193">
        <f t="shared" si="90"/>
        <v>6.8235294117647047</v>
      </c>
      <c r="CT193">
        <f t="shared" si="91"/>
        <v>0.23809523809523811</v>
      </c>
      <c r="CU193">
        <f t="shared" si="92"/>
        <v>0.30588235294117644</v>
      </c>
      <c r="CV193" t="e">
        <f t="shared" si="93"/>
        <v>#DIV/0!</v>
      </c>
      <c r="CW193">
        <f t="shared" si="94"/>
        <v>0</v>
      </c>
      <c r="CX193">
        <f t="shared" si="95"/>
        <v>9.9999999999999982</v>
      </c>
      <c r="CY193">
        <f t="shared" si="96"/>
        <v>2.3529411764705882E-2</v>
      </c>
      <c r="CZ193">
        <f t="shared" si="97"/>
        <v>3.6666666666666665</v>
      </c>
      <c r="DA193">
        <f t="shared" si="98"/>
        <v>2.8999999999999995</v>
      </c>
      <c r="DB193">
        <f t="shared" si="99"/>
        <v>0.69047619047619047</v>
      </c>
      <c r="DC193">
        <f t="shared" si="100"/>
        <v>22.307692307692307</v>
      </c>
      <c r="DD193">
        <f t="shared" si="101"/>
        <v>4.172661870503596</v>
      </c>
      <c r="DE193">
        <f t="shared" si="102"/>
        <v>0</v>
      </c>
      <c r="DF193">
        <f t="shared" si="103"/>
        <v>0</v>
      </c>
      <c r="DG193">
        <f t="shared" si="104"/>
        <v>0</v>
      </c>
      <c r="DH193">
        <f t="shared" si="105"/>
        <v>2.1428571428571428</v>
      </c>
      <c r="DI193">
        <f t="shared" si="106"/>
        <v>6.9047619047619052E-2</v>
      </c>
      <c r="DJ193">
        <f t="shared" si="107"/>
        <v>3.5714285714285718E-3</v>
      </c>
      <c r="DK193">
        <f t="shared" si="108"/>
        <v>61.379967102415371</v>
      </c>
      <c r="DL193">
        <f t="shared" si="109"/>
        <v>58.972909568987319</v>
      </c>
      <c r="DM193">
        <f t="shared" si="110"/>
        <v>6.2110680996491752</v>
      </c>
      <c r="DN193">
        <f t="shared" si="111"/>
        <v>2.8984984465029484</v>
      </c>
      <c r="DO193">
        <f t="shared" si="112"/>
        <v>5.9674968016237173</v>
      </c>
      <c r="DP193">
        <f t="shared" si="113"/>
        <v>2.7848318407577346</v>
      </c>
    </row>
    <row r="194" spans="1:120">
      <c r="A194" s="16" t="s">
        <v>1520</v>
      </c>
      <c r="B194" s="16" t="s">
        <v>24</v>
      </c>
      <c r="C194" s="124" t="s">
        <v>541</v>
      </c>
      <c r="D194" s="16" t="s">
        <v>1720</v>
      </c>
      <c r="E194" s="16" t="s">
        <v>1394</v>
      </c>
      <c r="F194" s="16" t="s">
        <v>104</v>
      </c>
      <c r="G194" s="16" t="s">
        <v>595</v>
      </c>
      <c r="H194" s="27">
        <v>240</v>
      </c>
      <c r="I194" s="16" t="s">
        <v>736</v>
      </c>
      <c r="J194" s="16" t="s">
        <v>596</v>
      </c>
      <c r="K194" s="16" t="s">
        <v>48</v>
      </c>
      <c r="L194" s="16"/>
      <c r="M194" s="16" t="s">
        <v>748</v>
      </c>
      <c r="N194" s="16">
        <v>76</v>
      </c>
      <c r="O194" s="95">
        <v>51.947142031029003</v>
      </c>
      <c r="P194" s="95">
        <v>4.7506332672511613</v>
      </c>
      <c r="Q194" s="95">
        <v>5.4735557209632946</v>
      </c>
      <c r="R194" s="95">
        <v>12.599505621840038</v>
      </c>
      <c r="S194" s="95">
        <v>4.5440839947619809</v>
      </c>
      <c r="T194" s="95">
        <v>3.4080629960714854</v>
      </c>
      <c r="U194" s="95">
        <v>0</v>
      </c>
      <c r="V194" s="95">
        <v>2.8916898148485326</v>
      </c>
      <c r="W194" s="95">
        <v>12.496230985595446</v>
      </c>
      <c r="X194" s="95">
        <v>0.92947172620131435</v>
      </c>
      <c r="Y194" s="95">
        <v>1.2392956349350857</v>
      </c>
      <c r="Z194" s="95">
        <v>100.27967179349733</v>
      </c>
      <c r="AA194" s="18">
        <v>0</v>
      </c>
      <c r="AB194" s="18">
        <v>0</v>
      </c>
      <c r="AC194" s="18">
        <v>0</v>
      </c>
      <c r="AD194" s="18"/>
      <c r="AE194" s="127"/>
      <c r="AF194" s="127"/>
      <c r="AG194" s="18"/>
      <c r="AH194" s="18">
        <v>102</v>
      </c>
      <c r="AI194" s="18"/>
      <c r="AJ194" s="18">
        <v>26.9</v>
      </c>
      <c r="AK194" s="134"/>
      <c r="AL194" s="18"/>
      <c r="AM194" s="134"/>
      <c r="AN194" s="127"/>
      <c r="AO194" s="18"/>
      <c r="AP194" s="18"/>
      <c r="AQ194" s="18"/>
      <c r="AR194" s="18"/>
      <c r="AS194" s="18"/>
      <c r="AT194" s="18"/>
      <c r="AU194" s="18"/>
      <c r="AV194" s="18"/>
      <c r="AW194" s="18"/>
      <c r="AX194" s="127">
        <v>0.5</v>
      </c>
      <c r="AY194" s="127">
        <v>1.96</v>
      </c>
      <c r="AZ194" s="127">
        <v>6.0999999999999999E-2</v>
      </c>
      <c r="BA194" s="127">
        <v>0.4</v>
      </c>
      <c r="BB194" s="18"/>
      <c r="BC194" s="127">
        <v>0.28899999999999998</v>
      </c>
      <c r="BD194" s="18"/>
      <c r="BE194" s="18"/>
      <c r="BF194" s="18"/>
      <c r="BG194" s="18"/>
      <c r="BH194" s="127">
        <v>1.7000000000000001E-2</v>
      </c>
      <c r="BI194" s="127">
        <v>4.09</v>
      </c>
      <c r="BJ194" s="18"/>
      <c r="BK194" s="127">
        <v>0.21</v>
      </c>
      <c r="BL194" s="127">
        <v>0.31</v>
      </c>
      <c r="BM194" s="127">
        <v>4.1000000000000002E-2</v>
      </c>
      <c r="BN194" s="127">
        <v>0.13700000000000001</v>
      </c>
      <c r="BO194" s="18">
        <v>3.1E-2</v>
      </c>
      <c r="BP194" s="18">
        <v>8.0000000000000002E-3</v>
      </c>
      <c r="BQ194" s="18">
        <v>2.5000000000000001E-2</v>
      </c>
      <c r="BR194" s="18">
        <v>1.7000000000000001E-2</v>
      </c>
      <c r="BS194" s="18">
        <v>5.0000000000000001E-3</v>
      </c>
      <c r="BT194" s="18">
        <v>8.0000000000000002E-3</v>
      </c>
      <c r="BU194" s="18"/>
      <c r="BV194" s="18">
        <v>0.01</v>
      </c>
      <c r="BW194" s="18">
        <v>4.0000000000000001E-3</v>
      </c>
      <c r="BX194" s="18">
        <v>0.01</v>
      </c>
      <c r="BY194" s="127">
        <v>0.01</v>
      </c>
      <c r="BZ194" s="18"/>
      <c r="CA194" s="127"/>
      <c r="CB194" s="127">
        <v>0.03</v>
      </c>
      <c r="CC194" s="127">
        <v>6.0000000000000001E-3</v>
      </c>
      <c r="CE194">
        <f t="shared" ref="CE194:CE257" si="114">BI194/AY194</f>
        <v>2.0867346938775508</v>
      </c>
      <c r="CF194">
        <f t="shared" ref="CF194:CF257" si="115">BI194/BK194</f>
        <v>19.476190476190474</v>
      </c>
      <c r="CG194">
        <f t="shared" ref="CG194:CG257" si="116">AY194/BK194</f>
        <v>9.3333333333333339</v>
      </c>
      <c r="CH194">
        <f t="shared" ref="CH194:CH257" si="117">BK194/BL194</f>
        <v>0.67741935483870963</v>
      </c>
      <c r="CI194">
        <f t="shared" ref="CI194:CI257" si="118">AE194/BK194</f>
        <v>0</v>
      </c>
      <c r="CJ194" t="e">
        <f t="shared" ref="CJ194:CJ257" si="119">AE194/AF194</f>
        <v>#DIV/0!</v>
      </c>
      <c r="CK194">
        <f t="shared" ref="CK194:CK257" si="120">AE194/BL194</f>
        <v>0</v>
      </c>
      <c r="CL194">
        <f t="shared" ref="CL194:CL257" si="121">AY194/BL194</f>
        <v>6.32258064516129</v>
      </c>
      <c r="CM194">
        <f t="shared" ref="CM194:CM257" si="122">BI194/BL194</f>
        <v>13.193548387096774</v>
      </c>
      <c r="CN194">
        <f t="shared" ref="CN194:CN257" si="123">BI194/BL194</f>
        <v>13.193548387096774</v>
      </c>
      <c r="CO194">
        <f t="shared" ref="CO194:CO257" si="124">BY194/BL194</f>
        <v>3.2258064516129031E-2</v>
      </c>
      <c r="CP194">
        <f t="shared" ref="CP194:CP257" si="125">CA194/CC194</f>
        <v>0</v>
      </c>
      <c r="CQ194">
        <f t="shared" ref="CQ194:CQ257" si="126">CA194/BK194</f>
        <v>0</v>
      </c>
      <c r="CR194">
        <f t="shared" ref="CR194:CR257" si="127">BC194/BK194</f>
        <v>1.3761904761904762</v>
      </c>
      <c r="CS194">
        <f t="shared" ref="CS194:CS257" si="128">BA194/BK194</f>
        <v>1.9047619047619049</v>
      </c>
      <c r="CT194">
        <f t="shared" ref="CT194:CT257" si="129">AX194/AY194</f>
        <v>0.25510204081632654</v>
      </c>
      <c r="CU194">
        <f t="shared" ref="CU194:CU257" si="130">AZ194/BK194</f>
        <v>0.2904761904761905</v>
      </c>
      <c r="CV194" t="e">
        <f t="shared" ref="CV194:CV257" si="131">AE194/AM194</f>
        <v>#DIV/0!</v>
      </c>
      <c r="CW194">
        <f t="shared" ref="CW194:CW257" si="132">AN194/BK194</f>
        <v>0</v>
      </c>
      <c r="CX194">
        <f t="shared" ref="CX194:CX257" si="133">BA194/BC194</f>
        <v>1.3840830449826991</v>
      </c>
      <c r="CY194">
        <f t="shared" ref="CY194:CY257" si="134">BY194/BK194</f>
        <v>4.7619047619047623E-2</v>
      </c>
      <c r="CZ194">
        <f t="shared" ref="CZ194:CZ257" si="135">CB194/CC194</f>
        <v>5</v>
      </c>
      <c r="DA194">
        <f t="shared" ref="DA194:DA257" si="136">BA194/AX194</f>
        <v>0.8</v>
      </c>
      <c r="DB194">
        <f t="shared" ref="DB194:DB257" si="137">BA194/AY194</f>
        <v>0.20408163265306123</v>
      </c>
      <c r="DC194">
        <f t="shared" ref="DC194:DC257" si="138">BA194/AZ194</f>
        <v>6.557377049180328</v>
      </c>
      <c r="DD194">
        <f t="shared" ref="DD194:DD257" si="139">BA194/BL194</f>
        <v>1.2903225806451615</v>
      </c>
      <c r="DE194">
        <f t="shared" ref="DE194:DE257" si="140">AF194/BK194</f>
        <v>0</v>
      </c>
      <c r="DF194">
        <f t="shared" si="103"/>
        <v>0</v>
      </c>
      <c r="DG194">
        <f t="shared" si="104"/>
        <v>0</v>
      </c>
      <c r="DH194">
        <f t="shared" si="105"/>
        <v>2.0867346938775508</v>
      </c>
      <c r="DI194">
        <f t="shared" si="106"/>
        <v>0.14744897959183673</v>
      </c>
      <c r="DJ194">
        <f t="shared" si="107"/>
        <v>3.0612244897959186E-3</v>
      </c>
      <c r="DK194">
        <f t="shared" si="108"/>
        <v>21.638495213152289</v>
      </c>
      <c r="DL194">
        <f t="shared" si="109"/>
        <v>26.064551052206166</v>
      </c>
      <c r="DM194">
        <f t="shared" si="110"/>
        <v>2.3184102014091739</v>
      </c>
      <c r="DN194">
        <f t="shared" si="111"/>
        <v>1.1110229816043964</v>
      </c>
      <c r="DO194">
        <f t="shared" si="112"/>
        <v>2.7926304698792319</v>
      </c>
      <c r="DP194">
        <f t="shared" si="113"/>
        <v>1.3382776823871136</v>
      </c>
    </row>
    <row r="195" spans="1:120">
      <c r="A195" s="16" t="s">
        <v>1178</v>
      </c>
      <c r="B195" s="16" t="s">
        <v>24</v>
      </c>
      <c r="C195" s="124" t="s">
        <v>541</v>
      </c>
      <c r="D195" s="16" t="s">
        <v>1720</v>
      </c>
      <c r="E195" s="16" t="s">
        <v>1394</v>
      </c>
      <c r="F195" s="16" t="s">
        <v>104</v>
      </c>
      <c r="G195" s="16" t="s">
        <v>595</v>
      </c>
      <c r="H195" s="27">
        <v>240</v>
      </c>
      <c r="I195" s="16" t="s">
        <v>736</v>
      </c>
      <c r="J195" s="16" t="s">
        <v>596</v>
      </c>
      <c r="K195" s="16" t="s">
        <v>48</v>
      </c>
      <c r="L195" s="16"/>
      <c r="M195" s="16" t="s">
        <v>747</v>
      </c>
      <c r="N195" s="16">
        <v>12</v>
      </c>
      <c r="O195" s="95">
        <v>51.818261389662865</v>
      </c>
      <c r="P195" s="95">
        <v>5.171483172621044</v>
      </c>
      <c r="Q195" s="95">
        <v>6.412639134050095</v>
      </c>
      <c r="R195" s="95">
        <v>10.136107018337249</v>
      </c>
      <c r="S195" s="95">
        <v>4.75776451881136</v>
      </c>
      <c r="T195" s="95">
        <v>3.3097492304774683</v>
      </c>
      <c r="U195" s="95">
        <v>0</v>
      </c>
      <c r="V195" s="95">
        <v>0.31028899035726265</v>
      </c>
      <c r="W195" s="95">
        <v>16.445316488934921</v>
      </c>
      <c r="X195" s="95">
        <v>0.51714831726210442</v>
      </c>
      <c r="Y195" s="95">
        <v>1.4480152883338924</v>
      </c>
      <c r="Z195" s="95">
        <v>100.32677354884825</v>
      </c>
      <c r="AA195" s="18">
        <v>0</v>
      </c>
      <c r="AB195" s="18">
        <v>0</v>
      </c>
      <c r="AC195" s="18">
        <v>0</v>
      </c>
      <c r="AD195" s="18">
        <v>1.1000000000000001</v>
      </c>
      <c r="AE195" s="127"/>
      <c r="AF195" s="127"/>
      <c r="AG195" s="18"/>
      <c r="AH195" s="18">
        <v>21.2</v>
      </c>
      <c r="AI195" s="18"/>
      <c r="AJ195" s="18"/>
      <c r="AK195" s="134">
        <v>0.158</v>
      </c>
      <c r="AL195" s="18"/>
      <c r="AM195" s="134">
        <v>9.43</v>
      </c>
      <c r="AN195" s="127">
        <v>0.36399999999999999</v>
      </c>
      <c r="AO195" s="18"/>
      <c r="AP195" s="18">
        <v>8.3000000000000004E-2</v>
      </c>
      <c r="AQ195" s="18">
        <v>5.4799999999999995E-2</v>
      </c>
      <c r="AR195" s="18"/>
      <c r="AS195" s="18">
        <v>7.3000000000000001E-3</v>
      </c>
      <c r="AT195" s="18"/>
      <c r="AU195" s="18">
        <v>2.8E-3</v>
      </c>
      <c r="AV195" s="18"/>
      <c r="AW195" s="18">
        <v>7.5700000000000003E-2</v>
      </c>
      <c r="AX195" s="127">
        <v>0.17299999999999999</v>
      </c>
      <c r="AY195" s="127">
        <v>1.7</v>
      </c>
      <c r="AZ195" s="127"/>
      <c r="BA195" s="127">
        <v>0.14499999999999999</v>
      </c>
      <c r="BB195" s="18" t="s">
        <v>231</v>
      </c>
      <c r="BC195" s="127">
        <v>0</v>
      </c>
      <c r="BD195" s="18"/>
      <c r="BE195" s="18"/>
      <c r="BF195" s="18"/>
      <c r="BG195" s="18"/>
      <c r="BH195" s="127">
        <v>5.4000000000000003E-3</v>
      </c>
      <c r="BI195" s="127">
        <v>0.57299999999999995</v>
      </c>
      <c r="BJ195" s="18">
        <v>0</v>
      </c>
      <c r="BK195" s="127">
        <v>4.3999999999999997E-2</v>
      </c>
      <c r="BL195" s="127">
        <v>5.6299999999999996E-2</v>
      </c>
      <c r="BM195" s="127"/>
      <c r="BN195" s="127" t="s">
        <v>1332</v>
      </c>
      <c r="BO195" s="18">
        <v>2.3500000000000001E-3</v>
      </c>
      <c r="BP195" s="18">
        <v>1.75E-3</v>
      </c>
      <c r="BQ195" s="18" t="s">
        <v>1338</v>
      </c>
      <c r="BR195" s="18"/>
      <c r="BS195" s="18"/>
      <c r="BT195" s="18"/>
      <c r="BU195" s="18"/>
      <c r="BV195" s="18" t="s">
        <v>222</v>
      </c>
      <c r="BW195" s="18">
        <v>2.9999999999999997E-5</v>
      </c>
      <c r="BX195" s="18">
        <v>2E-3</v>
      </c>
      <c r="BY195" s="127">
        <v>1E-3</v>
      </c>
      <c r="BZ195" s="18"/>
      <c r="CA195" s="127"/>
      <c r="CB195" s="127">
        <v>7.7999999999999996E-3</v>
      </c>
      <c r="CC195" s="127">
        <v>3.0000000000000001E-3</v>
      </c>
      <c r="CE195">
        <f t="shared" si="114"/>
        <v>0.33705882352941174</v>
      </c>
      <c r="CF195">
        <f t="shared" si="115"/>
        <v>13.022727272727272</v>
      </c>
      <c r="CG195">
        <f t="shared" si="116"/>
        <v>38.63636363636364</v>
      </c>
      <c r="CH195">
        <f t="shared" si="117"/>
        <v>0.78152753108348139</v>
      </c>
      <c r="CI195">
        <f t="shared" si="118"/>
        <v>0</v>
      </c>
      <c r="CJ195" t="e">
        <f t="shared" si="119"/>
        <v>#DIV/0!</v>
      </c>
      <c r="CK195">
        <f t="shared" si="120"/>
        <v>0</v>
      </c>
      <c r="CL195">
        <f t="shared" si="121"/>
        <v>30.195381882770871</v>
      </c>
      <c r="CM195">
        <f t="shared" si="122"/>
        <v>10.177619893428064</v>
      </c>
      <c r="CN195">
        <f t="shared" si="123"/>
        <v>10.177619893428064</v>
      </c>
      <c r="CO195">
        <f t="shared" si="124"/>
        <v>1.7761989342806397E-2</v>
      </c>
      <c r="CP195">
        <f t="shared" si="125"/>
        <v>0</v>
      </c>
      <c r="CQ195">
        <f t="shared" si="126"/>
        <v>0</v>
      </c>
      <c r="CR195">
        <f t="shared" si="127"/>
        <v>0</v>
      </c>
      <c r="CS195">
        <f t="shared" si="128"/>
        <v>3.2954545454545454</v>
      </c>
      <c r="CT195">
        <f t="shared" si="129"/>
        <v>0.10176470588235294</v>
      </c>
      <c r="CU195">
        <f t="shared" si="130"/>
        <v>0</v>
      </c>
      <c r="CV195">
        <f t="shared" si="131"/>
        <v>0</v>
      </c>
      <c r="CW195">
        <f t="shared" si="132"/>
        <v>8.2727272727272734</v>
      </c>
      <c r="CX195" t="e">
        <f t="shared" si="133"/>
        <v>#DIV/0!</v>
      </c>
      <c r="CY195">
        <f t="shared" si="134"/>
        <v>2.2727272727272728E-2</v>
      </c>
      <c r="CZ195">
        <f t="shared" si="135"/>
        <v>2.5999999999999996</v>
      </c>
      <c r="DA195">
        <f t="shared" si="136"/>
        <v>0.83815028901734101</v>
      </c>
      <c r="DB195">
        <f t="shared" si="137"/>
        <v>8.5294117647058826E-2</v>
      </c>
      <c r="DC195" t="e">
        <f t="shared" si="138"/>
        <v>#DIV/0!</v>
      </c>
      <c r="DD195">
        <f t="shared" si="139"/>
        <v>2.5754884547069272</v>
      </c>
      <c r="DE195">
        <f t="shared" si="140"/>
        <v>0</v>
      </c>
      <c r="DF195">
        <f t="shared" ref="DF195:DF258" si="141">AF195/AY195</f>
        <v>0</v>
      </c>
      <c r="DG195">
        <f t="shared" ref="DG195:DG258" si="142">AE195/AY195</f>
        <v>0</v>
      </c>
      <c r="DH195">
        <f t="shared" ref="DH195:DH258" si="143">BI195/AY195</f>
        <v>0.33705882352941174</v>
      </c>
      <c r="DI195">
        <f t="shared" ref="DI195:DI258" si="144">BC195/AY195</f>
        <v>0</v>
      </c>
      <c r="DJ195">
        <f t="shared" ref="DJ195:DJ258" si="145">CC195/AY195</f>
        <v>1.7647058823529412E-3</v>
      </c>
      <c r="DK195">
        <f t="shared" ref="DK195:DK258" si="146">S195/BK195</f>
        <v>108.13101179116728</v>
      </c>
      <c r="DL195">
        <f t="shared" ref="DL195:DL258" si="147">Q195/BK195</f>
        <v>145.74179850113853</v>
      </c>
      <c r="DM195">
        <f t="shared" ref="DM195:DM258" si="148">S195/AY195</f>
        <v>2.7986850110655062</v>
      </c>
      <c r="DN195">
        <f t="shared" ref="DN195:DN258" si="149">S195/BI195</f>
        <v>8.3032539595311707</v>
      </c>
      <c r="DO195">
        <f t="shared" ref="DO195:DO258" si="150">Q195/AY195</f>
        <v>3.7721406670882911</v>
      </c>
      <c r="DP195">
        <f t="shared" ref="DP195:DP258" si="151">Q195/BI195</f>
        <v>11.191342293281144</v>
      </c>
    </row>
    <row r="196" spans="1:120">
      <c r="A196" s="16" t="s">
        <v>1178</v>
      </c>
      <c r="B196" s="16" t="s">
        <v>24</v>
      </c>
      <c r="C196" s="124" t="s">
        <v>541</v>
      </c>
      <c r="D196" s="16" t="s">
        <v>1720</v>
      </c>
      <c r="E196" s="16" t="s">
        <v>1394</v>
      </c>
      <c r="F196" s="16" t="s">
        <v>104</v>
      </c>
      <c r="G196" s="16" t="s">
        <v>595</v>
      </c>
      <c r="H196" s="27">
        <v>240</v>
      </c>
      <c r="I196" s="16" t="s">
        <v>736</v>
      </c>
      <c r="J196" s="16" t="s">
        <v>596</v>
      </c>
      <c r="K196" s="16" t="s">
        <v>48</v>
      </c>
      <c r="L196" s="16"/>
      <c r="M196" s="16" t="s">
        <v>745</v>
      </c>
      <c r="N196" s="16">
        <v>34</v>
      </c>
      <c r="O196" s="95">
        <v>46.726326603080722</v>
      </c>
      <c r="P196" s="95">
        <v>5.0766962384721852</v>
      </c>
      <c r="Q196" s="95">
        <v>5.5947264668877148</v>
      </c>
      <c r="R196" s="95">
        <v>11.085846888092322</v>
      </c>
      <c r="S196" s="95">
        <v>5.9055446039370318</v>
      </c>
      <c r="T196" s="95">
        <v>5.283908329838396</v>
      </c>
      <c r="U196" s="95">
        <v>0</v>
      </c>
      <c r="V196" s="95">
        <v>1.6576967309296931</v>
      </c>
      <c r="W196" s="95">
        <v>16.991391492029351</v>
      </c>
      <c r="X196" s="95">
        <v>1.0360604568310581</v>
      </c>
      <c r="Y196" s="95">
        <v>0.82884836546484653</v>
      </c>
      <c r="Z196" s="95">
        <v>100.18704617556331</v>
      </c>
      <c r="AA196" s="18">
        <v>0</v>
      </c>
      <c r="AB196" s="18">
        <v>0</v>
      </c>
      <c r="AC196" s="18">
        <v>0</v>
      </c>
      <c r="AD196" s="18">
        <v>28.5</v>
      </c>
      <c r="AE196" s="127"/>
      <c r="AF196" s="127"/>
      <c r="AG196" s="18"/>
      <c r="AH196" s="18">
        <v>306</v>
      </c>
      <c r="AI196" s="18"/>
      <c r="AJ196" s="18"/>
      <c r="AK196" s="134">
        <v>0.2</v>
      </c>
      <c r="AL196" s="18"/>
      <c r="AM196" s="134">
        <v>155.19999999999999</v>
      </c>
      <c r="AN196" s="127">
        <v>1.3</v>
      </c>
      <c r="AO196" s="18"/>
      <c r="AP196" s="18">
        <v>0.60199999999999998</v>
      </c>
      <c r="AQ196" s="18">
        <v>0.14299999999999999</v>
      </c>
      <c r="AR196" s="18"/>
      <c r="AS196" s="18">
        <v>5.0500000000000003E-2</v>
      </c>
      <c r="AT196" s="18"/>
      <c r="AU196" s="18">
        <v>8.8999999999999999E-3</v>
      </c>
      <c r="AV196" s="18"/>
      <c r="AW196" s="18">
        <v>4.6200000000000005E-2</v>
      </c>
      <c r="AX196" s="127">
        <v>1.0900000000000001</v>
      </c>
      <c r="AY196" s="127">
        <v>5.9</v>
      </c>
      <c r="AZ196" s="127"/>
      <c r="BA196" s="127">
        <v>3.2</v>
      </c>
      <c r="BB196" s="18">
        <v>1.6999999999999999E-3</v>
      </c>
      <c r="BC196" s="127">
        <v>0</v>
      </c>
      <c r="BD196" s="18"/>
      <c r="BE196" s="18"/>
      <c r="BF196" s="18"/>
      <c r="BG196" s="18"/>
      <c r="BH196" s="127">
        <v>2.0799999999999999E-2</v>
      </c>
      <c r="BI196" s="127">
        <v>7</v>
      </c>
      <c r="BJ196" s="18">
        <v>0</v>
      </c>
      <c r="BK196" s="127">
        <v>0.54200000000000004</v>
      </c>
      <c r="BL196" s="127">
        <v>0.79200000000000004</v>
      </c>
      <c r="BM196" s="127"/>
      <c r="BN196" s="127" t="s">
        <v>1334</v>
      </c>
      <c r="BO196" s="18">
        <v>9.35E-2</v>
      </c>
      <c r="BP196" s="18">
        <v>3.1399999999999997E-2</v>
      </c>
      <c r="BQ196" s="18">
        <v>6.0999999999999999E-2</v>
      </c>
      <c r="BR196" s="18"/>
      <c r="BS196" s="18"/>
      <c r="BT196" s="18"/>
      <c r="BU196" s="18"/>
      <c r="BV196" s="18">
        <v>1.0999999999999999E-2</v>
      </c>
      <c r="BW196" s="18">
        <v>9.5999999999999992E-4</v>
      </c>
      <c r="BX196" s="18">
        <v>6.3200000000000006E-2</v>
      </c>
      <c r="BY196" s="127">
        <v>1.11E-2</v>
      </c>
      <c r="BZ196" s="18"/>
      <c r="CA196" s="127"/>
      <c r="CB196" s="127">
        <v>8.5800000000000001E-2</v>
      </c>
      <c r="CC196" s="127">
        <v>2.64E-2</v>
      </c>
      <c r="CE196">
        <f t="shared" si="114"/>
        <v>1.1864406779661016</v>
      </c>
      <c r="CF196">
        <f t="shared" si="115"/>
        <v>12.915129151291511</v>
      </c>
      <c r="CG196">
        <f t="shared" si="116"/>
        <v>10.885608856088561</v>
      </c>
      <c r="CH196">
        <f t="shared" si="117"/>
        <v>0.68434343434343436</v>
      </c>
      <c r="CI196">
        <f t="shared" si="118"/>
        <v>0</v>
      </c>
      <c r="CJ196" t="e">
        <f t="shared" si="119"/>
        <v>#DIV/0!</v>
      </c>
      <c r="CK196">
        <f t="shared" si="120"/>
        <v>0</v>
      </c>
      <c r="CL196">
        <f t="shared" si="121"/>
        <v>7.4494949494949498</v>
      </c>
      <c r="CM196">
        <f t="shared" si="122"/>
        <v>8.8383838383838373</v>
      </c>
      <c r="CN196">
        <f t="shared" si="123"/>
        <v>8.8383838383838373</v>
      </c>
      <c r="CO196">
        <f t="shared" si="124"/>
        <v>1.4015151515151515E-2</v>
      </c>
      <c r="CP196">
        <f t="shared" si="125"/>
        <v>0</v>
      </c>
      <c r="CQ196">
        <f t="shared" si="126"/>
        <v>0</v>
      </c>
      <c r="CR196">
        <f t="shared" si="127"/>
        <v>0</v>
      </c>
      <c r="CS196">
        <f t="shared" si="128"/>
        <v>5.9040590405904059</v>
      </c>
      <c r="CT196">
        <f t="shared" si="129"/>
        <v>0.18474576271186441</v>
      </c>
      <c r="CU196">
        <f t="shared" si="130"/>
        <v>0</v>
      </c>
      <c r="CV196">
        <f t="shared" si="131"/>
        <v>0</v>
      </c>
      <c r="CW196">
        <f t="shared" si="132"/>
        <v>2.3985239852398523</v>
      </c>
      <c r="CX196" t="e">
        <f t="shared" si="133"/>
        <v>#DIV/0!</v>
      </c>
      <c r="CY196">
        <f t="shared" si="134"/>
        <v>2.0479704797047971E-2</v>
      </c>
      <c r="CZ196">
        <f t="shared" si="135"/>
        <v>3.25</v>
      </c>
      <c r="DA196">
        <f t="shared" si="136"/>
        <v>2.9357798165137616</v>
      </c>
      <c r="DB196">
        <f t="shared" si="137"/>
        <v>0.5423728813559322</v>
      </c>
      <c r="DC196" t="e">
        <f t="shared" si="138"/>
        <v>#DIV/0!</v>
      </c>
      <c r="DD196">
        <f t="shared" si="139"/>
        <v>4.0404040404040407</v>
      </c>
      <c r="DE196">
        <f t="shared" si="140"/>
        <v>0</v>
      </c>
      <c r="DF196">
        <f t="shared" si="141"/>
        <v>0</v>
      </c>
      <c r="DG196">
        <f t="shared" si="142"/>
        <v>0</v>
      </c>
      <c r="DH196">
        <f t="shared" si="143"/>
        <v>1.1864406779661016</v>
      </c>
      <c r="DI196">
        <f t="shared" si="144"/>
        <v>0</v>
      </c>
      <c r="DJ196">
        <f t="shared" si="145"/>
        <v>4.4745762711864406E-3</v>
      </c>
      <c r="DK196">
        <f t="shared" si="146"/>
        <v>10.895838752651349</v>
      </c>
      <c r="DL196">
        <f t="shared" si="147"/>
        <v>10.322373555143384</v>
      </c>
      <c r="DM196">
        <f t="shared" si="148"/>
        <v>1.0009397633791579</v>
      </c>
      <c r="DN196">
        <f t="shared" si="149"/>
        <v>0.84364922913386164</v>
      </c>
      <c r="DO196">
        <f t="shared" si="150"/>
        <v>0.94825872320130755</v>
      </c>
      <c r="DP196">
        <f t="shared" si="151"/>
        <v>0.7992466381268164</v>
      </c>
    </row>
    <row r="197" spans="1:120">
      <c r="A197" s="16" t="s">
        <v>1178</v>
      </c>
      <c r="B197" s="16" t="s">
        <v>24</v>
      </c>
      <c r="C197" s="124" t="s">
        <v>541</v>
      </c>
      <c r="D197" s="16" t="s">
        <v>1720</v>
      </c>
      <c r="E197" s="16" t="s">
        <v>1394</v>
      </c>
      <c r="F197" s="16" t="s">
        <v>104</v>
      </c>
      <c r="G197" s="16" t="s">
        <v>595</v>
      </c>
      <c r="H197" s="27">
        <v>240</v>
      </c>
      <c r="I197" s="16" t="s">
        <v>736</v>
      </c>
      <c r="J197" s="16" t="s">
        <v>596</v>
      </c>
      <c r="K197" s="16" t="s">
        <v>48</v>
      </c>
      <c r="L197" s="16"/>
      <c r="M197" s="16" t="s">
        <v>746</v>
      </c>
      <c r="N197" s="16">
        <v>42</v>
      </c>
      <c r="O197" s="95">
        <v>49.268464298382824</v>
      </c>
      <c r="P197" s="95">
        <v>4.32902824379096</v>
      </c>
      <c r="Q197" s="95">
        <v>5.6689655573453051</v>
      </c>
      <c r="R197" s="95">
        <v>10.204138003221548</v>
      </c>
      <c r="S197" s="95">
        <v>4.9474608500468111</v>
      </c>
      <c r="T197" s="95">
        <v>4.8443887490041693</v>
      </c>
      <c r="U197" s="95">
        <v>0</v>
      </c>
      <c r="V197" s="95">
        <v>3.0921630312792567</v>
      </c>
      <c r="W197" s="95">
        <v>15.770031459524212</v>
      </c>
      <c r="X197" s="95">
        <v>1.2368652125117028</v>
      </c>
      <c r="Y197" s="95">
        <v>0.82457680834113534</v>
      </c>
      <c r="Z197" s="95">
        <v>100.18608221344792</v>
      </c>
      <c r="AA197" s="18">
        <v>0</v>
      </c>
      <c r="AB197" s="18">
        <v>0</v>
      </c>
      <c r="AC197" s="18">
        <v>0</v>
      </c>
      <c r="AD197" s="18">
        <v>18.2</v>
      </c>
      <c r="AE197" s="127"/>
      <c r="AF197" s="127"/>
      <c r="AG197" s="18"/>
      <c r="AH197" s="18">
        <v>205</v>
      </c>
      <c r="AI197" s="18"/>
      <c r="AJ197" s="18"/>
      <c r="AK197" s="134">
        <v>0.39</v>
      </c>
      <c r="AL197" s="18"/>
      <c r="AM197" s="134">
        <v>89.3</v>
      </c>
      <c r="AN197" s="127">
        <v>1.43</v>
      </c>
      <c r="AO197" s="18"/>
      <c r="AP197" s="18">
        <v>0.53700000000000003</v>
      </c>
      <c r="AQ197" s="18">
        <v>0.158</v>
      </c>
      <c r="AR197" s="18"/>
      <c r="AS197" s="18">
        <v>3.0100000000000002E-2</v>
      </c>
      <c r="AT197" s="18"/>
      <c r="AU197" s="18">
        <v>4.4000000000000003E-3</v>
      </c>
      <c r="AV197" s="18"/>
      <c r="AW197" s="18">
        <v>2.2699999999999998E-2</v>
      </c>
      <c r="AX197" s="127">
        <v>1.21</v>
      </c>
      <c r="AY197" s="127">
        <v>3.4</v>
      </c>
      <c r="AZ197" s="127"/>
      <c r="BA197" s="127">
        <v>1.6</v>
      </c>
      <c r="BB197" s="18">
        <v>8.4000000000000012E-3</v>
      </c>
      <c r="BC197" s="127">
        <v>0</v>
      </c>
      <c r="BD197" s="18"/>
      <c r="BE197" s="18"/>
      <c r="BF197" s="18"/>
      <c r="BG197" s="18"/>
      <c r="BH197" s="127">
        <v>1.1800000000000001E-2</v>
      </c>
      <c r="BI197" s="127">
        <v>5.3109999999999999</v>
      </c>
      <c r="BJ197" s="18">
        <v>0</v>
      </c>
      <c r="BK197" s="127">
        <v>0.29699999999999999</v>
      </c>
      <c r="BL197" s="127">
        <v>0.48299999999999998</v>
      </c>
      <c r="BM197" s="127"/>
      <c r="BN197" s="127" t="s">
        <v>1335</v>
      </c>
      <c r="BO197" s="18">
        <v>4.9599999999999998E-2</v>
      </c>
      <c r="BP197" s="18">
        <v>1.9699999999999999E-2</v>
      </c>
      <c r="BQ197" s="18">
        <v>4.2999999999999997E-2</v>
      </c>
      <c r="BR197" s="18"/>
      <c r="BS197" s="18"/>
      <c r="BT197" s="18"/>
      <c r="BU197" s="18"/>
      <c r="BV197" s="18">
        <v>7.6E-3</v>
      </c>
      <c r="BW197" s="18">
        <v>5.6000000000000006E-4</v>
      </c>
      <c r="BX197" s="18">
        <v>3.39E-2</v>
      </c>
      <c r="BY197" s="127">
        <v>6.7000000000000002E-3</v>
      </c>
      <c r="BZ197" s="18"/>
      <c r="CA197" s="127"/>
      <c r="CB197" s="127">
        <v>5.9400000000000001E-2</v>
      </c>
      <c r="CC197" s="127">
        <v>0.01</v>
      </c>
      <c r="CE197">
        <f t="shared" si="114"/>
        <v>1.5620588235294117</v>
      </c>
      <c r="CF197">
        <f t="shared" si="115"/>
        <v>17.882154882154882</v>
      </c>
      <c r="CG197">
        <f t="shared" si="116"/>
        <v>11.447811447811448</v>
      </c>
      <c r="CH197">
        <f t="shared" si="117"/>
        <v>0.61490683229813659</v>
      </c>
      <c r="CI197">
        <f t="shared" si="118"/>
        <v>0</v>
      </c>
      <c r="CJ197" t="e">
        <f t="shared" si="119"/>
        <v>#DIV/0!</v>
      </c>
      <c r="CK197">
        <f t="shared" si="120"/>
        <v>0</v>
      </c>
      <c r="CL197">
        <f t="shared" si="121"/>
        <v>7.0393374741200825</v>
      </c>
      <c r="CM197">
        <f t="shared" si="122"/>
        <v>10.995859213250517</v>
      </c>
      <c r="CN197">
        <f t="shared" si="123"/>
        <v>10.995859213250517</v>
      </c>
      <c r="CO197">
        <f t="shared" si="124"/>
        <v>1.3871635610766046E-2</v>
      </c>
      <c r="CP197">
        <f t="shared" si="125"/>
        <v>0</v>
      </c>
      <c r="CQ197">
        <f t="shared" si="126"/>
        <v>0</v>
      </c>
      <c r="CR197">
        <f t="shared" si="127"/>
        <v>0</v>
      </c>
      <c r="CS197">
        <f t="shared" si="128"/>
        <v>5.3872053872053876</v>
      </c>
      <c r="CT197">
        <f t="shared" si="129"/>
        <v>0.35588235294117648</v>
      </c>
      <c r="CU197">
        <f t="shared" si="130"/>
        <v>0</v>
      </c>
      <c r="CV197">
        <f t="shared" si="131"/>
        <v>0</v>
      </c>
      <c r="CW197">
        <f t="shared" si="132"/>
        <v>4.8148148148148149</v>
      </c>
      <c r="CX197" t="e">
        <f t="shared" si="133"/>
        <v>#DIV/0!</v>
      </c>
      <c r="CY197">
        <f t="shared" si="134"/>
        <v>2.255892255892256E-2</v>
      </c>
      <c r="CZ197">
        <f t="shared" si="135"/>
        <v>5.94</v>
      </c>
      <c r="DA197">
        <f t="shared" si="136"/>
        <v>1.3223140495867769</v>
      </c>
      <c r="DB197">
        <f t="shared" si="137"/>
        <v>0.4705882352941177</v>
      </c>
      <c r="DC197" t="e">
        <f t="shared" si="138"/>
        <v>#DIV/0!</v>
      </c>
      <c r="DD197">
        <f t="shared" si="139"/>
        <v>3.3126293995859215</v>
      </c>
      <c r="DE197">
        <f t="shared" si="140"/>
        <v>0</v>
      </c>
      <c r="DF197">
        <f t="shared" si="141"/>
        <v>0</v>
      </c>
      <c r="DG197">
        <f t="shared" si="142"/>
        <v>0</v>
      </c>
      <c r="DH197">
        <f t="shared" si="143"/>
        <v>1.5620588235294117</v>
      </c>
      <c r="DI197">
        <f t="shared" si="144"/>
        <v>0</v>
      </c>
      <c r="DJ197">
        <f t="shared" si="145"/>
        <v>2.9411764705882353E-3</v>
      </c>
      <c r="DK197">
        <f t="shared" si="146"/>
        <v>16.658117340224955</v>
      </c>
      <c r="DL197">
        <f t="shared" si="147"/>
        <v>19.087426119007763</v>
      </c>
      <c r="DM197">
        <f t="shared" si="148"/>
        <v>1.4551355441314151</v>
      </c>
      <c r="DN197">
        <f t="shared" si="149"/>
        <v>0.93154977406266448</v>
      </c>
      <c r="DO197">
        <f t="shared" si="150"/>
        <v>1.6673428109839132</v>
      </c>
      <c r="DP197">
        <f t="shared" si="151"/>
        <v>1.0674007827801366</v>
      </c>
    </row>
    <row r="198" spans="1:120">
      <c r="A198" s="16" t="s">
        <v>1178</v>
      </c>
      <c r="B198" s="16" t="s">
        <v>24</v>
      </c>
      <c r="C198" s="124" t="s">
        <v>541</v>
      </c>
      <c r="D198" s="16" t="s">
        <v>1720</v>
      </c>
      <c r="E198" s="16" t="s">
        <v>1394</v>
      </c>
      <c r="F198" s="16" t="s">
        <v>104</v>
      </c>
      <c r="G198" s="16" t="s">
        <v>595</v>
      </c>
      <c r="H198" s="27">
        <v>240</v>
      </c>
      <c r="I198" s="16" t="s">
        <v>736</v>
      </c>
      <c r="J198" s="16" t="s">
        <v>596</v>
      </c>
      <c r="K198" s="16" t="s">
        <v>48</v>
      </c>
      <c r="L198" s="16"/>
      <c r="M198" s="16" t="s">
        <v>749</v>
      </c>
      <c r="N198" s="16">
        <v>36</v>
      </c>
      <c r="O198" s="95">
        <v>54.342161569620551</v>
      </c>
      <c r="P198" s="95">
        <v>4.3639976786310957</v>
      </c>
      <c r="Q198" s="95">
        <v>5.818663571508127</v>
      </c>
      <c r="R198" s="95">
        <v>9.143614183798487</v>
      </c>
      <c r="S198" s="95">
        <v>5.2991400383377592</v>
      </c>
      <c r="T198" s="95">
        <v>5.7147588648740539</v>
      </c>
      <c r="U198" s="95">
        <v>0</v>
      </c>
      <c r="V198" s="95">
        <v>2.0780941326814744</v>
      </c>
      <c r="W198" s="95">
        <v>11.949041262918476</v>
      </c>
      <c r="X198" s="95">
        <v>0.72733294643851587</v>
      </c>
      <c r="Y198" s="95">
        <v>0.72733294643851587</v>
      </c>
      <c r="Z198" s="95">
        <v>100.16413719524706</v>
      </c>
      <c r="AA198" s="18">
        <v>0</v>
      </c>
      <c r="AB198" s="18">
        <v>0</v>
      </c>
      <c r="AC198" s="18">
        <v>0</v>
      </c>
      <c r="AD198" s="18">
        <v>21.1</v>
      </c>
      <c r="AE198" s="127"/>
      <c r="AF198" s="127"/>
      <c r="AG198" s="18"/>
      <c r="AH198" s="18">
        <v>150</v>
      </c>
      <c r="AI198" s="18"/>
      <c r="AJ198" s="18"/>
      <c r="AK198" s="134">
        <v>0.754</v>
      </c>
      <c r="AL198" s="18"/>
      <c r="AM198" s="134">
        <v>85.8</v>
      </c>
      <c r="AN198" s="127">
        <v>1.02</v>
      </c>
      <c r="AO198" s="18"/>
      <c r="AP198" s="18">
        <v>0.23699999999999999</v>
      </c>
      <c r="AQ198" s="18">
        <v>0.13500000000000001</v>
      </c>
      <c r="AR198" s="18"/>
      <c r="AS198" s="18">
        <v>2.3899999999999998E-2</v>
      </c>
      <c r="AT198" s="18"/>
      <c r="AU198" s="18">
        <v>3.8E-3</v>
      </c>
      <c r="AV198" s="18"/>
      <c r="AW198" s="18">
        <v>2.4E-2</v>
      </c>
      <c r="AX198" s="127">
        <v>0.55900000000000005</v>
      </c>
      <c r="AY198" s="127">
        <v>3.75</v>
      </c>
      <c r="AZ198" s="127"/>
      <c r="BA198" s="127">
        <v>0.75600000000000001</v>
      </c>
      <c r="BB198" s="18">
        <v>6.9999999999999999E-4</v>
      </c>
      <c r="BC198" s="127">
        <v>0</v>
      </c>
      <c r="BD198" s="18"/>
      <c r="BE198" s="18"/>
      <c r="BF198" s="18"/>
      <c r="BG198" s="18"/>
      <c r="BH198" s="127">
        <v>1.6800000000000002E-2</v>
      </c>
      <c r="BI198" s="127">
        <v>4.9370000000000003</v>
      </c>
      <c r="BJ198" s="18">
        <v>0</v>
      </c>
      <c r="BK198" s="127">
        <v>0.36799999999999999</v>
      </c>
      <c r="BL198" s="127">
        <v>0.53900000000000003</v>
      </c>
      <c r="BM198" s="127"/>
      <c r="BN198" s="127" t="s">
        <v>1336</v>
      </c>
      <c r="BO198" s="18">
        <v>2.53E-2</v>
      </c>
      <c r="BP198" s="18">
        <v>9.5999999999999992E-3</v>
      </c>
      <c r="BQ198" s="18" t="s">
        <v>1339</v>
      </c>
      <c r="BR198" s="18"/>
      <c r="BS198" s="18"/>
      <c r="BT198" s="18"/>
      <c r="BU198" s="18"/>
      <c r="BV198" s="18">
        <v>4.5999999999999999E-3</v>
      </c>
      <c r="BW198" s="18">
        <v>8.0000000000000004E-4</v>
      </c>
      <c r="BX198" s="18">
        <v>1.7000000000000001E-2</v>
      </c>
      <c r="BY198" s="127">
        <v>2.9600000000000001E-2</v>
      </c>
      <c r="BZ198" s="18"/>
      <c r="CA198" s="127"/>
      <c r="CB198" s="127">
        <v>6.6500000000000004E-2</v>
      </c>
      <c r="CC198" s="127">
        <v>2.3600000000000003E-2</v>
      </c>
      <c r="CE198">
        <f t="shared" si="114"/>
        <v>1.3165333333333333</v>
      </c>
      <c r="CF198">
        <f t="shared" si="115"/>
        <v>13.415760869565219</v>
      </c>
      <c r="CG198">
        <f t="shared" si="116"/>
        <v>10.190217391304348</v>
      </c>
      <c r="CH198">
        <f t="shared" si="117"/>
        <v>0.68274582560296837</v>
      </c>
      <c r="CI198">
        <f t="shared" si="118"/>
        <v>0</v>
      </c>
      <c r="CJ198" t="e">
        <f t="shared" si="119"/>
        <v>#DIV/0!</v>
      </c>
      <c r="CK198">
        <f t="shared" si="120"/>
        <v>0</v>
      </c>
      <c r="CL198">
        <f t="shared" si="121"/>
        <v>6.9573283858998138</v>
      </c>
      <c r="CM198">
        <f t="shared" si="122"/>
        <v>9.1595547309833023</v>
      </c>
      <c r="CN198">
        <f t="shared" si="123"/>
        <v>9.1595547309833023</v>
      </c>
      <c r="CO198">
        <f t="shared" si="124"/>
        <v>5.4916512059369198E-2</v>
      </c>
      <c r="CP198">
        <f t="shared" si="125"/>
        <v>0</v>
      </c>
      <c r="CQ198">
        <f t="shared" si="126"/>
        <v>0</v>
      </c>
      <c r="CR198">
        <f t="shared" si="127"/>
        <v>0</v>
      </c>
      <c r="CS198">
        <f t="shared" si="128"/>
        <v>2.0543478260869565</v>
      </c>
      <c r="CT198">
        <f t="shared" si="129"/>
        <v>0.14906666666666668</v>
      </c>
      <c r="CU198">
        <f t="shared" si="130"/>
        <v>0</v>
      </c>
      <c r="CV198">
        <f t="shared" si="131"/>
        <v>0</v>
      </c>
      <c r="CW198">
        <f t="shared" si="132"/>
        <v>2.7717391304347827</v>
      </c>
      <c r="CX198" t="e">
        <f t="shared" si="133"/>
        <v>#DIV/0!</v>
      </c>
      <c r="CY198">
        <f t="shared" si="134"/>
        <v>8.043478260869566E-2</v>
      </c>
      <c r="CZ198">
        <f t="shared" si="135"/>
        <v>2.8177966101694913</v>
      </c>
      <c r="DA198">
        <f t="shared" si="136"/>
        <v>1.3524150268336315</v>
      </c>
      <c r="DB198">
        <f t="shared" si="137"/>
        <v>0.2016</v>
      </c>
      <c r="DC198" t="e">
        <f t="shared" si="138"/>
        <v>#DIV/0!</v>
      </c>
      <c r="DD198">
        <f t="shared" si="139"/>
        <v>1.4025974025974026</v>
      </c>
      <c r="DE198">
        <f t="shared" si="140"/>
        <v>0</v>
      </c>
      <c r="DF198">
        <f t="shared" si="141"/>
        <v>0</v>
      </c>
      <c r="DG198">
        <f t="shared" si="142"/>
        <v>0</v>
      </c>
      <c r="DH198">
        <f t="shared" si="143"/>
        <v>1.3165333333333333</v>
      </c>
      <c r="DI198">
        <f t="shared" si="144"/>
        <v>0</v>
      </c>
      <c r="DJ198">
        <f t="shared" si="145"/>
        <v>6.2933333333333339E-3</v>
      </c>
      <c r="DK198">
        <f t="shared" si="146"/>
        <v>14.399837060700433</v>
      </c>
      <c r="DL198">
        <f t="shared" si="147"/>
        <v>15.811585792141649</v>
      </c>
      <c r="DM198">
        <f t="shared" si="148"/>
        <v>1.4131040102234025</v>
      </c>
      <c r="DN198">
        <f t="shared" si="149"/>
        <v>1.0733522459667326</v>
      </c>
      <c r="DO198">
        <f t="shared" si="150"/>
        <v>1.5516436190688339</v>
      </c>
      <c r="DP198">
        <f t="shared" si="151"/>
        <v>1.1785828583164122</v>
      </c>
    </row>
    <row r="199" spans="1:120">
      <c r="A199" s="16" t="s">
        <v>1178</v>
      </c>
      <c r="B199" s="16" t="s">
        <v>24</v>
      </c>
      <c r="C199" s="124" t="s">
        <v>541</v>
      </c>
      <c r="D199" s="16" t="s">
        <v>1720</v>
      </c>
      <c r="E199" s="16" t="s">
        <v>1394</v>
      </c>
      <c r="F199" s="16" t="s">
        <v>104</v>
      </c>
      <c r="G199" s="16" t="s">
        <v>595</v>
      </c>
      <c r="H199" s="27">
        <v>240</v>
      </c>
      <c r="I199" s="16" t="s">
        <v>736</v>
      </c>
      <c r="J199" s="16" t="s">
        <v>596</v>
      </c>
      <c r="K199" s="16" t="s">
        <v>48</v>
      </c>
      <c r="L199" s="16"/>
      <c r="M199" s="16" t="s">
        <v>744</v>
      </c>
      <c r="N199" s="16">
        <v>34</v>
      </c>
      <c r="O199" s="95">
        <v>45.429105697435702</v>
      </c>
      <c r="P199" s="95">
        <v>4.4295953401127779</v>
      </c>
      <c r="Q199" s="95">
        <v>4.7386368754694832</v>
      </c>
      <c r="R199" s="95">
        <v>10.816453737484691</v>
      </c>
      <c r="S199" s="95">
        <v>5.9748030168963053</v>
      </c>
      <c r="T199" s="95">
        <v>5.7687753266585009</v>
      </c>
      <c r="U199" s="95">
        <v>0</v>
      </c>
      <c r="V199" s="95">
        <v>2.2663045926158398</v>
      </c>
      <c r="W199" s="95">
        <v>18.336464431164522</v>
      </c>
      <c r="X199" s="95">
        <v>1.4421938316646252</v>
      </c>
      <c r="Y199" s="95">
        <v>1.0301384511890181</v>
      </c>
      <c r="Z199" s="95">
        <v>100.23247130069146</v>
      </c>
      <c r="AA199" s="18">
        <v>0</v>
      </c>
      <c r="AB199" s="18">
        <v>0</v>
      </c>
      <c r="AC199" s="18">
        <v>0</v>
      </c>
      <c r="AD199" s="18">
        <v>43</v>
      </c>
      <c r="AE199" s="127"/>
      <c r="AF199" s="127"/>
      <c r="AG199" s="18"/>
      <c r="AH199" s="18">
        <v>478</v>
      </c>
      <c r="AI199" s="18"/>
      <c r="AJ199" s="18"/>
      <c r="AK199" s="134">
        <v>20.2</v>
      </c>
      <c r="AL199" s="18"/>
      <c r="AM199" s="134">
        <v>264</v>
      </c>
      <c r="AN199" s="127">
        <v>3.67</v>
      </c>
      <c r="AO199" s="18"/>
      <c r="AP199" s="18">
        <v>1.22</v>
      </c>
      <c r="AQ199" s="18">
        <v>0.182</v>
      </c>
      <c r="AR199" s="18"/>
      <c r="AS199" s="18">
        <v>9.11E-2</v>
      </c>
      <c r="AT199" s="18"/>
      <c r="AU199" s="18">
        <v>1.4E-2</v>
      </c>
      <c r="AV199" s="18"/>
      <c r="AW199" s="18">
        <v>1.131</v>
      </c>
      <c r="AX199" s="127">
        <v>1.84</v>
      </c>
      <c r="AY199" s="127">
        <v>9.5</v>
      </c>
      <c r="AZ199" s="127"/>
      <c r="BA199" s="127">
        <v>7.3</v>
      </c>
      <c r="BB199" s="18">
        <v>1.3800000000000002E-2</v>
      </c>
      <c r="BC199" s="127">
        <v>0</v>
      </c>
      <c r="BD199" s="18"/>
      <c r="BE199" s="18"/>
      <c r="BF199" s="18"/>
      <c r="BG199" s="18"/>
      <c r="BH199" s="127">
        <v>3.9E-2</v>
      </c>
      <c r="BI199" s="127">
        <v>13.46</v>
      </c>
      <c r="BJ199" s="18">
        <v>0</v>
      </c>
      <c r="BK199" s="127">
        <v>1.355</v>
      </c>
      <c r="BL199" s="127">
        <v>2.2200000000000002</v>
      </c>
      <c r="BM199" s="127"/>
      <c r="BN199" s="127" t="s">
        <v>1042</v>
      </c>
      <c r="BO199" s="18">
        <v>0.251</v>
      </c>
      <c r="BP199" s="18">
        <v>7.3799999999999991E-2</v>
      </c>
      <c r="BQ199" s="18">
        <v>0.12</v>
      </c>
      <c r="BR199" s="18"/>
      <c r="BS199" s="18"/>
      <c r="BT199" s="18"/>
      <c r="BU199" s="18"/>
      <c r="BV199" s="18">
        <v>3.1E-2</v>
      </c>
      <c r="BW199" s="18">
        <v>3.5499999999999998E-3</v>
      </c>
      <c r="BX199" s="18">
        <v>0.11</v>
      </c>
      <c r="BY199" s="127">
        <v>1.6899999999999998E-2</v>
      </c>
      <c r="BZ199" s="18"/>
      <c r="CA199" s="127"/>
      <c r="CB199" s="127">
        <v>0.37</v>
      </c>
      <c r="CC199" s="127">
        <v>0.16400000000000001</v>
      </c>
      <c r="CE199">
        <f t="shared" si="114"/>
        <v>1.4168421052631579</v>
      </c>
      <c r="CF199">
        <f t="shared" si="115"/>
        <v>9.9335793357933593</v>
      </c>
      <c r="CG199">
        <f t="shared" si="116"/>
        <v>7.0110701107011071</v>
      </c>
      <c r="CH199">
        <f t="shared" si="117"/>
        <v>0.61036036036036034</v>
      </c>
      <c r="CI199">
        <f t="shared" si="118"/>
        <v>0</v>
      </c>
      <c r="CJ199" t="e">
        <f t="shared" si="119"/>
        <v>#DIV/0!</v>
      </c>
      <c r="CK199">
        <f t="shared" si="120"/>
        <v>0</v>
      </c>
      <c r="CL199">
        <f t="shared" si="121"/>
        <v>4.2792792792792786</v>
      </c>
      <c r="CM199">
        <f t="shared" si="122"/>
        <v>6.0630630630630629</v>
      </c>
      <c r="CN199">
        <f t="shared" si="123"/>
        <v>6.0630630630630629</v>
      </c>
      <c r="CO199">
        <f t="shared" si="124"/>
        <v>7.6126126126126112E-3</v>
      </c>
      <c r="CP199">
        <f t="shared" si="125"/>
        <v>0</v>
      </c>
      <c r="CQ199">
        <f t="shared" si="126"/>
        <v>0</v>
      </c>
      <c r="CR199">
        <f t="shared" si="127"/>
        <v>0</v>
      </c>
      <c r="CS199">
        <f t="shared" si="128"/>
        <v>5.3874538745387452</v>
      </c>
      <c r="CT199">
        <f t="shared" si="129"/>
        <v>0.19368421052631579</v>
      </c>
      <c r="CU199">
        <f t="shared" si="130"/>
        <v>0</v>
      </c>
      <c r="CV199">
        <f t="shared" si="131"/>
        <v>0</v>
      </c>
      <c r="CW199">
        <f t="shared" si="132"/>
        <v>2.7084870848708489</v>
      </c>
      <c r="CX199" t="e">
        <f t="shared" si="133"/>
        <v>#DIV/0!</v>
      </c>
      <c r="CY199">
        <f t="shared" si="134"/>
        <v>1.2472324723247231E-2</v>
      </c>
      <c r="CZ199">
        <f t="shared" si="135"/>
        <v>2.2560975609756095</v>
      </c>
      <c r="DA199">
        <f t="shared" si="136"/>
        <v>3.9673913043478257</v>
      </c>
      <c r="DB199">
        <f t="shared" si="137"/>
        <v>0.76842105263157889</v>
      </c>
      <c r="DC199" t="e">
        <f t="shared" si="138"/>
        <v>#DIV/0!</v>
      </c>
      <c r="DD199">
        <f t="shared" si="139"/>
        <v>3.288288288288288</v>
      </c>
      <c r="DE199">
        <f t="shared" si="140"/>
        <v>0</v>
      </c>
      <c r="DF199">
        <f t="shared" si="141"/>
        <v>0</v>
      </c>
      <c r="DG199">
        <f t="shared" si="142"/>
        <v>0</v>
      </c>
      <c r="DH199">
        <f t="shared" si="143"/>
        <v>1.4168421052631579</v>
      </c>
      <c r="DI199">
        <f t="shared" si="144"/>
        <v>0</v>
      </c>
      <c r="DJ199">
        <f t="shared" si="145"/>
        <v>1.7263157894736841E-2</v>
      </c>
      <c r="DK199">
        <f t="shared" si="146"/>
        <v>4.4094487209566831</v>
      </c>
      <c r="DL199">
        <f t="shared" si="147"/>
        <v>3.4971489855863345</v>
      </c>
      <c r="DM199">
        <f t="shared" si="148"/>
        <v>0.62892663335750587</v>
      </c>
      <c r="DN199">
        <f t="shared" si="149"/>
        <v>0.44389324048263779</v>
      </c>
      <c r="DO199">
        <f t="shared" si="150"/>
        <v>0.49880388162836664</v>
      </c>
      <c r="DP199">
        <f t="shared" si="151"/>
        <v>0.35205325969312651</v>
      </c>
    </row>
    <row r="200" spans="1:120">
      <c r="A200" s="16" t="s">
        <v>1085</v>
      </c>
      <c r="B200" s="16" t="s">
        <v>24</v>
      </c>
      <c r="C200" s="124" t="s">
        <v>541</v>
      </c>
      <c r="D200" s="16"/>
      <c r="E200" s="16" t="s">
        <v>1394</v>
      </c>
      <c r="F200" s="16" t="s">
        <v>976</v>
      </c>
      <c r="G200" s="16" t="s">
        <v>595</v>
      </c>
      <c r="H200" s="27">
        <v>84</v>
      </c>
      <c r="I200" s="16" t="s">
        <v>735</v>
      </c>
      <c r="J200" s="16"/>
      <c r="K200" s="16"/>
      <c r="L200" s="16"/>
      <c r="M200" s="16" t="s">
        <v>975</v>
      </c>
      <c r="N200" s="16">
        <v>28</v>
      </c>
      <c r="O200" s="95">
        <v>49.10955614080261</v>
      </c>
      <c r="P200" s="95">
        <v>1.8149183791166184</v>
      </c>
      <c r="Q200" s="95">
        <v>6.2988343745812054</v>
      </c>
      <c r="R200" s="95">
        <v>7.1529136118125543</v>
      </c>
      <c r="S200" s="95">
        <v>6.7258739931968794</v>
      </c>
      <c r="T200" s="95">
        <v>3.5230768535793175</v>
      </c>
      <c r="U200" s="95">
        <v>2.1351980930783743</v>
      </c>
      <c r="V200" s="95">
        <v>0.53379952326959357</v>
      </c>
      <c r="W200" s="95">
        <v>20.39114178889848</v>
      </c>
      <c r="X200" s="95">
        <v>0</v>
      </c>
      <c r="Y200" s="95">
        <v>2.989277330309724</v>
      </c>
      <c r="Z200" s="95">
        <v>100.67459008864535</v>
      </c>
      <c r="AA200" s="18"/>
      <c r="AB200" s="18"/>
      <c r="AC200" s="18"/>
      <c r="AD200" s="18"/>
      <c r="AE200" s="127"/>
      <c r="AF200" s="127"/>
      <c r="AG200" s="18"/>
      <c r="AH200" s="18"/>
      <c r="AI200" s="18"/>
      <c r="AJ200" s="18"/>
      <c r="AK200" s="134"/>
      <c r="AL200" s="18"/>
      <c r="AM200" s="134"/>
      <c r="AN200" s="127"/>
      <c r="AO200" s="18"/>
      <c r="AP200" s="18"/>
      <c r="AQ200" s="18"/>
      <c r="AR200" s="18"/>
      <c r="AS200" s="18"/>
      <c r="AT200" s="18"/>
      <c r="AU200" s="18"/>
      <c r="AV200" s="18"/>
      <c r="AW200" s="18"/>
      <c r="AX200" s="127"/>
      <c r="AY200" s="127"/>
      <c r="AZ200" s="127"/>
      <c r="BA200" s="127"/>
      <c r="BB200" s="18"/>
      <c r="BC200" s="127"/>
      <c r="BD200" s="18"/>
      <c r="BE200" s="18"/>
      <c r="BF200" s="18"/>
      <c r="BG200" s="18"/>
      <c r="BH200" s="127"/>
      <c r="BI200" s="127"/>
      <c r="BJ200" s="18"/>
      <c r="BK200" s="127"/>
      <c r="BL200" s="127"/>
      <c r="BM200" s="127"/>
      <c r="BN200" s="127"/>
      <c r="BO200" s="18"/>
      <c r="BP200" s="18"/>
      <c r="BQ200" s="18"/>
      <c r="BR200" s="18"/>
      <c r="BS200" s="18"/>
      <c r="BT200" s="18"/>
      <c r="BU200" s="18"/>
      <c r="BV200" s="18"/>
      <c r="BW200" s="18"/>
      <c r="BX200" s="18"/>
      <c r="BY200" s="127"/>
      <c r="BZ200" s="18"/>
      <c r="CA200" s="127"/>
      <c r="CB200" s="127"/>
      <c r="CC200" s="127"/>
      <c r="CE200" t="e">
        <f t="shared" si="114"/>
        <v>#DIV/0!</v>
      </c>
      <c r="CF200" t="e">
        <f t="shared" si="115"/>
        <v>#DIV/0!</v>
      </c>
      <c r="CG200" t="e">
        <f t="shared" si="116"/>
        <v>#DIV/0!</v>
      </c>
      <c r="CH200" t="e">
        <f t="shared" si="117"/>
        <v>#DIV/0!</v>
      </c>
      <c r="CI200" t="e">
        <f t="shared" si="118"/>
        <v>#DIV/0!</v>
      </c>
      <c r="CJ200" t="e">
        <f t="shared" si="119"/>
        <v>#DIV/0!</v>
      </c>
      <c r="CK200" t="e">
        <f t="shared" si="120"/>
        <v>#DIV/0!</v>
      </c>
      <c r="CL200" t="e">
        <f t="shared" si="121"/>
        <v>#DIV/0!</v>
      </c>
      <c r="CM200" t="e">
        <f t="shared" si="122"/>
        <v>#DIV/0!</v>
      </c>
      <c r="CN200" t="e">
        <f t="shared" si="123"/>
        <v>#DIV/0!</v>
      </c>
      <c r="CO200" t="e">
        <f t="shared" si="124"/>
        <v>#DIV/0!</v>
      </c>
      <c r="CP200" t="e">
        <f t="shared" si="125"/>
        <v>#DIV/0!</v>
      </c>
      <c r="CQ200" t="e">
        <f t="shared" si="126"/>
        <v>#DIV/0!</v>
      </c>
      <c r="CR200" t="e">
        <f t="shared" si="127"/>
        <v>#DIV/0!</v>
      </c>
      <c r="CS200" t="e">
        <f t="shared" si="128"/>
        <v>#DIV/0!</v>
      </c>
      <c r="CT200" t="e">
        <f t="shared" si="129"/>
        <v>#DIV/0!</v>
      </c>
      <c r="CU200" t="e">
        <f t="shared" si="130"/>
        <v>#DIV/0!</v>
      </c>
      <c r="CV200" t="e">
        <f t="shared" si="131"/>
        <v>#DIV/0!</v>
      </c>
      <c r="CW200" t="e">
        <f t="shared" si="132"/>
        <v>#DIV/0!</v>
      </c>
      <c r="CX200" t="e">
        <f t="shared" si="133"/>
        <v>#DIV/0!</v>
      </c>
      <c r="CY200" t="e">
        <f t="shared" si="134"/>
        <v>#DIV/0!</v>
      </c>
      <c r="CZ200" t="e">
        <f t="shared" si="135"/>
        <v>#DIV/0!</v>
      </c>
      <c r="DA200" t="e">
        <f t="shared" si="136"/>
        <v>#DIV/0!</v>
      </c>
      <c r="DB200" t="e">
        <f t="shared" si="137"/>
        <v>#DIV/0!</v>
      </c>
      <c r="DC200" t="e">
        <f t="shared" si="138"/>
        <v>#DIV/0!</v>
      </c>
      <c r="DD200" t="e">
        <f t="shared" si="139"/>
        <v>#DIV/0!</v>
      </c>
      <c r="DE200" t="e">
        <f t="shared" si="140"/>
        <v>#DIV/0!</v>
      </c>
      <c r="DF200" t="e">
        <f t="shared" si="141"/>
        <v>#DIV/0!</v>
      </c>
      <c r="DG200" t="e">
        <f t="shared" si="142"/>
        <v>#DIV/0!</v>
      </c>
      <c r="DH200" t="e">
        <f t="shared" si="143"/>
        <v>#DIV/0!</v>
      </c>
      <c r="DI200" t="e">
        <f t="shared" si="144"/>
        <v>#DIV/0!</v>
      </c>
      <c r="DJ200" t="e">
        <f t="shared" si="145"/>
        <v>#DIV/0!</v>
      </c>
      <c r="DK200" t="e">
        <f t="shared" si="146"/>
        <v>#DIV/0!</v>
      </c>
      <c r="DL200" t="e">
        <f t="shared" si="147"/>
        <v>#DIV/0!</v>
      </c>
      <c r="DM200" t="e">
        <f t="shared" si="148"/>
        <v>#DIV/0!</v>
      </c>
      <c r="DN200" t="e">
        <f t="shared" si="149"/>
        <v>#DIV/0!</v>
      </c>
      <c r="DO200" t="e">
        <f t="shared" si="150"/>
        <v>#DIV/0!</v>
      </c>
      <c r="DP200" t="e">
        <f t="shared" si="151"/>
        <v>#DIV/0!</v>
      </c>
    </row>
    <row r="201" spans="1:120">
      <c r="A201" s="16" t="s">
        <v>1277</v>
      </c>
      <c r="B201" s="16" t="s">
        <v>24</v>
      </c>
      <c r="C201" s="124" t="s">
        <v>541</v>
      </c>
      <c r="D201" s="16"/>
      <c r="E201" s="16" t="s">
        <v>1394</v>
      </c>
      <c r="F201" s="16" t="s">
        <v>1650</v>
      </c>
      <c r="G201" s="16" t="s">
        <v>1799</v>
      </c>
      <c r="H201" s="27"/>
      <c r="I201" s="16" t="s">
        <v>735</v>
      </c>
      <c r="J201" s="16" t="s">
        <v>635</v>
      </c>
      <c r="K201" s="16" t="s">
        <v>802</v>
      </c>
      <c r="L201" s="16"/>
      <c r="M201" s="16" t="s">
        <v>784</v>
      </c>
      <c r="N201" s="16">
        <v>34</v>
      </c>
      <c r="O201" s="95">
        <v>50.863126303596026</v>
      </c>
      <c r="P201" s="95">
        <v>3.9086638146960873</v>
      </c>
      <c r="Q201" s="95">
        <v>7.0375250996565759</v>
      </c>
      <c r="R201" s="95">
        <v>7.5477638978503387</v>
      </c>
      <c r="S201" s="95">
        <v>4.2636155399454667</v>
      </c>
      <c r="T201" s="95">
        <v>6.5448452204440466</v>
      </c>
      <c r="U201" s="95">
        <v>0.74234612129522026</v>
      </c>
      <c r="V201" s="95">
        <v>1.6603369447125391</v>
      </c>
      <c r="W201" s="95">
        <v>15.264769900202479</v>
      </c>
      <c r="X201" s="95">
        <v>1.6614294790110709</v>
      </c>
      <c r="Y201" s="95">
        <v>0.65292272153081266</v>
      </c>
      <c r="Z201" s="95">
        <v>100.14734504294067</v>
      </c>
      <c r="AA201" s="18"/>
      <c r="AB201" s="18"/>
      <c r="AC201" s="18"/>
      <c r="AD201" s="18"/>
      <c r="AE201" s="127"/>
      <c r="AF201" s="127"/>
      <c r="AG201" s="18"/>
      <c r="AH201" s="18">
        <v>237</v>
      </c>
      <c r="AI201" s="18"/>
      <c r="AJ201" s="18">
        <v>100</v>
      </c>
      <c r="AK201" s="134"/>
      <c r="AL201" s="18"/>
      <c r="AM201" s="134"/>
      <c r="AN201" s="127"/>
      <c r="AO201" s="18"/>
      <c r="AP201" s="18"/>
      <c r="AQ201" s="18"/>
      <c r="AR201" s="18"/>
      <c r="AS201" s="18"/>
      <c r="AT201" s="18"/>
      <c r="AU201" s="18"/>
      <c r="AV201" s="18"/>
      <c r="AW201" s="18"/>
      <c r="AX201" s="127">
        <v>1.1000000000000001</v>
      </c>
      <c r="AY201" s="127">
        <v>5.3</v>
      </c>
      <c r="AZ201" s="127">
        <v>0.28000000000000003</v>
      </c>
      <c r="BA201" s="127">
        <v>3</v>
      </c>
      <c r="BB201" s="18"/>
      <c r="BC201" s="127">
        <v>0.39</v>
      </c>
      <c r="BD201" s="18"/>
      <c r="BE201" s="18"/>
      <c r="BF201" s="18"/>
      <c r="BG201" s="18"/>
      <c r="BH201" s="127">
        <v>1.0999999999999999E-2</v>
      </c>
      <c r="BI201" s="127">
        <v>45</v>
      </c>
      <c r="BJ201" s="18">
        <v>0</v>
      </c>
      <c r="BK201" s="127">
        <v>0.5</v>
      </c>
      <c r="BL201" s="127">
        <v>0.7</v>
      </c>
      <c r="BM201" s="127">
        <v>0.08</v>
      </c>
      <c r="BN201" s="127">
        <v>0.39</v>
      </c>
      <c r="BO201" s="18">
        <v>0.08</v>
      </c>
      <c r="BP201" s="18">
        <v>2.5000000000000001E-2</v>
      </c>
      <c r="BQ201" s="18">
        <v>0.08</v>
      </c>
      <c r="BR201" s="18">
        <v>0.06</v>
      </c>
      <c r="BS201" s="18">
        <v>1.0999999999999999E-2</v>
      </c>
      <c r="BT201" s="18">
        <v>2.5999999999999999E-2</v>
      </c>
      <c r="BU201" s="18"/>
      <c r="BV201" s="18">
        <v>0.02</v>
      </c>
      <c r="BW201" s="18">
        <v>4.0000000000000001E-3</v>
      </c>
      <c r="BX201" s="18">
        <v>7.0000000000000007E-2</v>
      </c>
      <c r="BY201" s="127">
        <v>0.02</v>
      </c>
      <c r="BZ201" s="18"/>
      <c r="CA201" s="127"/>
      <c r="CB201" s="127">
        <v>0.11</v>
      </c>
      <c r="CC201" s="127">
        <v>2.1999999999999999E-2</v>
      </c>
      <c r="CE201">
        <f t="shared" si="114"/>
        <v>8.4905660377358494</v>
      </c>
      <c r="CF201">
        <f t="shared" si="115"/>
        <v>90</v>
      </c>
      <c r="CG201">
        <f t="shared" si="116"/>
        <v>10.6</v>
      </c>
      <c r="CH201">
        <f t="shared" si="117"/>
        <v>0.7142857142857143</v>
      </c>
      <c r="CI201">
        <f t="shared" si="118"/>
        <v>0</v>
      </c>
      <c r="CJ201" t="e">
        <f t="shared" si="119"/>
        <v>#DIV/0!</v>
      </c>
      <c r="CK201">
        <f t="shared" si="120"/>
        <v>0</v>
      </c>
      <c r="CL201">
        <f t="shared" si="121"/>
        <v>7.5714285714285721</v>
      </c>
      <c r="CM201">
        <f t="shared" si="122"/>
        <v>64.285714285714292</v>
      </c>
      <c r="CN201">
        <f t="shared" si="123"/>
        <v>64.285714285714292</v>
      </c>
      <c r="CO201">
        <f t="shared" si="124"/>
        <v>2.8571428571428574E-2</v>
      </c>
      <c r="CP201">
        <f t="shared" si="125"/>
        <v>0</v>
      </c>
      <c r="CQ201">
        <f t="shared" si="126"/>
        <v>0</v>
      </c>
      <c r="CR201">
        <f t="shared" si="127"/>
        <v>0.78</v>
      </c>
      <c r="CS201">
        <f t="shared" si="128"/>
        <v>6</v>
      </c>
      <c r="CT201">
        <f t="shared" si="129"/>
        <v>0.20754716981132079</v>
      </c>
      <c r="CU201">
        <f t="shared" si="130"/>
        <v>0.56000000000000005</v>
      </c>
      <c r="CV201" t="e">
        <f t="shared" si="131"/>
        <v>#DIV/0!</v>
      </c>
      <c r="CW201">
        <f t="shared" si="132"/>
        <v>0</v>
      </c>
      <c r="CX201">
        <f t="shared" si="133"/>
        <v>7.6923076923076916</v>
      </c>
      <c r="CY201">
        <f t="shared" si="134"/>
        <v>0.04</v>
      </c>
      <c r="CZ201">
        <f t="shared" si="135"/>
        <v>5</v>
      </c>
      <c r="DA201">
        <f t="shared" si="136"/>
        <v>2.7272727272727271</v>
      </c>
      <c r="DB201">
        <f t="shared" si="137"/>
        <v>0.56603773584905659</v>
      </c>
      <c r="DC201">
        <f t="shared" si="138"/>
        <v>10.714285714285714</v>
      </c>
      <c r="DD201">
        <f t="shared" si="139"/>
        <v>4.2857142857142856</v>
      </c>
      <c r="DE201">
        <f t="shared" si="140"/>
        <v>0</v>
      </c>
      <c r="DF201">
        <f t="shared" si="141"/>
        <v>0</v>
      </c>
      <c r="DG201">
        <f t="shared" si="142"/>
        <v>0</v>
      </c>
      <c r="DH201">
        <f t="shared" si="143"/>
        <v>8.4905660377358494</v>
      </c>
      <c r="DI201">
        <f t="shared" si="144"/>
        <v>7.358490566037737E-2</v>
      </c>
      <c r="DJ201">
        <f t="shared" si="145"/>
        <v>4.1509433962264152E-3</v>
      </c>
      <c r="DK201">
        <f t="shared" si="146"/>
        <v>8.5272310798909334</v>
      </c>
      <c r="DL201">
        <f t="shared" si="147"/>
        <v>14.075050199313152</v>
      </c>
      <c r="DM201">
        <f t="shared" si="148"/>
        <v>0.80445576225386162</v>
      </c>
      <c r="DN201">
        <f t="shared" si="149"/>
        <v>9.4747011998788155E-2</v>
      </c>
      <c r="DO201">
        <f t="shared" si="150"/>
        <v>1.327834924463505</v>
      </c>
      <c r="DP201">
        <f t="shared" si="151"/>
        <v>0.15638944665903501</v>
      </c>
    </row>
    <row r="202" spans="1:120">
      <c r="A202" s="16" t="s">
        <v>641</v>
      </c>
      <c r="B202" s="16" t="s">
        <v>24</v>
      </c>
      <c r="C202" s="124" t="s">
        <v>541</v>
      </c>
      <c r="D202" s="16" t="s">
        <v>110</v>
      </c>
      <c r="E202" s="16" t="s">
        <v>237</v>
      </c>
      <c r="F202" s="16" t="s">
        <v>639</v>
      </c>
      <c r="G202" s="16" t="s">
        <v>640</v>
      </c>
      <c r="H202" s="27"/>
      <c r="I202" s="16" t="s">
        <v>712</v>
      </c>
      <c r="J202" s="16" t="s">
        <v>635</v>
      </c>
      <c r="K202" s="16" t="s">
        <v>642</v>
      </c>
      <c r="L202" s="16"/>
      <c r="M202" s="16" t="s">
        <v>622</v>
      </c>
      <c r="N202" s="16" t="s">
        <v>1084</v>
      </c>
      <c r="O202" s="95">
        <v>40.692501004398821</v>
      </c>
      <c r="P202" s="95">
        <v>0.75850001872179162</v>
      </c>
      <c r="Q202" s="95">
        <v>21.73000053635403</v>
      </c>
      <c r="R202" s="95">
        <v>17.22000042503527</v>
      </c>
      <c r="S202" s="95">
        <v>6.5805001624241921</v>
      </c>
      <c r="T202" s="95">
        <v>9.3582502309864299</v>
      </c>
      <c r="U202" s="95">
        <v>0</v>
      </c>
      <c r="V202" s="95">
        <v>0.11275000278296902</v>
      </c>
      <c r="W202" s="95">
        <v>2.9417500726101919</v>
      </c>
      <c r="X202" s="95">
        <v>0.57400001416784241</v>
      </c>
      <c r="Y202" s="95">
        <v>4.1000001011988738E-2</v>
      </c>
      <c r="Z202" s="95">
        <v>100.00925246849351</v>
      </c>
      <c r="AA202" s="18"/>
      <c r="AB202" s="18"/>
      <c r="AC202" s="18"/>
      <c r="AD202" s="18">
        <v>105.14</v>
      </c>
      <c r="AE202" s="127">
        <v>213.88</v>
      </c>
      <c r="AF202" s="127">
        <v>345.9</v>
      </c>
      <c r="AG202" s="18">
        <v>32.71</v>
      </c>
      <c r="AH202" s="18">
        <v>453.86</v>
      </c>
      <c r="AI202" s="18">
        <v>164.68</v>
      </c>
      <c r="AJ202" s="18">
        <v>32.729999999999997</v>
      </c>
      <c r="AK202" s="134">
        <v>1.86</v>
      </c>
      <c r="AL202" s="18">
        <v>34.79</v>
      </c>
      <c r="AM202" s="134">
        <v>288.58999999999997</v>
      </c>
      <c r="AN202" s="127">
        <v>3.7999999999999999E-2</v>
      </c>
      <c r="AO202" s="18">
        <v>0.19700000000000001</v>
      </c>
      <c r="AP202" s="18">
        <v>1.0900000000000001</v>
      </c>
      <c r="AQ202" s="18">
        <v>0.14499999999999999</v>
      </c>
      <c r="AR202" s="18">
        <v>7.1999999999999995E-2</v>
      </c>
      <c r="AS202" s="18">
        <v>0</v>
      </c>
      <c r="AT202" s="18"/>
      <c r="AU202" s="18">
        <v>0</v>
      </c>
      <c r="AV202" s="18"/>
      <c r="AW202" s="18">
        <v>0</v>
      </c>
      <c r="AX202" s="127">
        <v>1.153</v>
      </c>
      <c r="AY202" s="127">
        <v>5.73</v>
      </c>
      <c r="AZ202" s="127">
        <v>0.11</v>
      </c>
      <c r="BA202" s="127">
        <v>0.76700000000000002</v>
      </c>
      <c r="BB202" s="18"/>
      <c r="BC202" s="127">
        <v>3.1</v>
      </c>
      <c r="BD202" s="18"/>
      <c r="BE202" s="18"/>
      <c r="BF202" s="18"/>
      <c r="BG202" s="18"/>
      <c r="BH202" s="127">
        <v>3.2000000000000001E-2</v>
      </c>
      <c r="BI202" s="127">
        <v>61.3</v>
      </c>
      <c r="BJ202" s="18">
        <v>0.23699999999999999</v>
      </c>
      <c r="BK202" s="127">
        <v>2.88</v>
      </c>
      <c r="BL202" s="127">
        <v>2.99</v>
      </c>
      <c r="BM202" s="127">
        <v>0.249</v>
      </c>
      <c r="BN202" s="127">
        <v>0.69099999999999995</v>
      </c>
      <c r="BO202" s="18">
        <v>3.6999999999999998E-2</v>
      </c>
      <c r="BP202" s="18">
        <v>1.4E-2</v>
      </c>
      <c r="BQ202" s="18">
        <v>4.9000000000000002E-2</v>
      </c>
      <c r="BR202" s="18">
        <v>1.4999999999999999E-2</v>
      </c>
      <c r="BS202" s="18">
        <v>4.0000000000000001E-3</v>
      </c>
      <c r="BT202" s="18">
        <v>2.1000000000000001E-2</v>
      </c>
      <c r="BU202" s="18"/>
      <c r="BV202" s="18">
        <v>1.9E-2</v>
      </c>
      <c r="BW202" s="18">
        <v>8.0000000000000002E-3</v>
      </c>
      <c r="BX202" s="18">
        <v>1.2999999999999999E-2</v>
      </c>
      <c r="BY202" s="127">
        <v>0.14699999999999999</v>
      </c>
      <c r="BZ202" s="18">
        <v>0.104</v>
      </c>
      <c r="CA202" s="127">
        <v>0.221</v>
      </c>
      <c r="CB202" s="127">
        <v>0.84299999999999997</v>
      </c>
      <c r="CC202" s="127">
        <v>0.13700000000000001</v>
      </c>
      <c r="CE202">
        <f t="shared" si="114"/>
        <v>10.69808027923211</v>
      </c>
      <c r="CF202">
        <f t="shared" si="115"/>
        <v>21.284722222222221</v>
      </c>
      <c r="CG202">
        <f t="shared" si="116"/>
        <v>1.9895833333333335</v>
      </c>
      <c r="CH202">
        <f t="shared" si="117"/>
        <v>0.96321070234113704</v>
      </c>
      <c r="CI202">
        <f t="shared" si="118"/>
        <v>74.263888888888886</v>
      </c>
      <c r="CJ202">
        <f t="shared" si="119"/>
        <v>0.61832899681989018</v>
      </c>
      <c r="CK202">
        <f t="shared" si="120"/>
        <v>71.531772575250827</v>
      </c>
      <c r="CL202">
        <f t="shared" si="121"/>
        <v>1.9163879598662208</v>
      </c>
      <c r="CM202">
        <f t="shared" si="122"/>
        <v>20.501672240802673</v>
      </c>
      <c r="CN202">
        <f t="shared" si="123"/>
        <v>20.501672240802673</v>
      </c>
      <c r="CO202">
        <f t="shared" si="124"/>
        <v>4.9163879598662204E-2</v>
      </c>
      <c r="CP202">
        <f t="shared" si="125"/>
        <v>1.6131386861313868</v>
      </c>
      <c r="CQ202">
        <f t="shared" si="126"/>
        <v>7.6736111111111116E-2</v>
      </c>
      <c r="CR202">
        <f t="shared" si="127"/>
        <v>1.0763888888888891</v>
      </c>
      <c r="CS202">
        <f t="shared" si="128"/>
        <v>0.26631944444444444</v>
      </c>
      <c r="CT202">
        <f t="shared" si="129"/>
        <v>0.20122164048865618</v>
      </c>
      <c r="CU202">
        <f t="shared" si="130"/>
        <v>3.8194444444444448E-2</v>
      </c>
      <c r="CV202">
        <f t="shared" si="131"/>
        <v>0.74112062095013687</v>
      </c>
      <c r="CW202">
        <f t="shared" si="132"/>
        <v>1.3194444444444444E-2</v>
      </c>
      <c r="CX202">
        <f t="shared" si="133"/>
        <v>0.24741935483870967</v>
      </c>
      <c r="CY202">
        <f t="shared" si="134"/>
        <v>5.1041666666666666E-2</v>
      </c>
      <c r="CZ202">
        <f t="shared" si="135"/>
        <v>6.1532846715328464</v>
      </c>
      <c r="DA202">
        <f t="shared" si="136"/>
        <v>0.66522116218560279</v>
      </c>
      <c r="DB202">
        <f t="shared" si="137"/>
        <v>0.1338568935427574</v>
      </c>
      <c r="DC202">
        <f t="shared" si="138"/>
        <v>6.9727272727272727</v>
      </c>
      <c r="DD202">
        <f t="shared" si="139"/>
        <v>0.25652173913043474</v>
      </c>
      <c r="DE202">
        <f t="shared" si="140"/>
        <v>120.10416666666666</v>
      </c>
      <c r="DF202">
        <f t="shared" si="141"/>
        <v>60.366492146596848</v>
      </c>
      <c r="DG202">
        <f t="shared" si="142"/>
        <v>37.326352530541008</v>
      </c>
      <c r="DH202">
        <f t="shared" si="143"/>
        <v>10.69808027923211</v>
      </c>
      <c r="DI202">
        <f t="shared" si="144"/>
        <v>0.5410122164048865</v>
      </c>
      <c r="DJ202">
        <f t="shared" si="145"/>
        <v>2.3909249563699827E-2</v>
      </c>
      <c r="DK202">
        <f t="shared" si="146"/>
        <v>2.2848958897306222</v>
      </c>
      <c r="DL202">
        <f t="shared" si="147"/>
        <v>7.5451390751229273</v>
      </c>
      <c r="DM202">
        <f t="shared" si="148"/>
        <v>1.148429347718009</v>
      </c>
      <c r="DN202">
        <f t="shared" si="149"/>
        <v>0.10734910542290689</v>
      </c>
      <c r="DO202">
        <f t="shared" si="150"/>
        <v>3.7923212105329891</v>
      </c>
      <c r="DP202">
        <f t="shared" si="151"/>
        <v>0.35448614251801031</v>
      </c>
    </row>
    <row r="203" spans="1:120">
      <c r="A203" s="16" t="s">
        <v>641</v>
      </c>
      <c r="B203" s="16" t="s">
        <v>24</v>
      </c>
      <c r="C203" s="124" t="s">
        <v>541</v>
      </c>
      <c r="D203" s="16" t="s">
        <v>110</v>
      </c>
      <c r="E203" s="16" t="s">
        <v>237</v>
      </c>
      <c r="F203" s="16" t="s">
        <v>639</v>
      </c>
      <c r="G203" s="16" t="s">
        <v>640</v>
      </c>
      <c r="H203" s="27"/>
      <c r="I203" s="16" t="s">
        <v>712</v>
      </c>
      <c r="J203" s="16" t="s">
        <v>635</v>
      </c>
      <c r="K203" s="16" t="s">
        <v>642</v>
      </c>
      <c r="L203" s="16"/>
      <c r="M203" s="16" t="s">
        <v>630</v>
      </c>
      <c r="N203" s="16" t="s">
        <v>1084</v>
      </c>
      <c r="O203" s="95">
        <v>50.429098087486025</v>
      </c>
      <c r="P203" s="95">
        <v>1.370790959917775</v>
      </c>
      <c r="Q203" s="95">
        <v>11.306523975964129</v>
      </c>
      <c r="R203" s="95">
        <v>1.6409468425293068</v>
      </c>
      <c r="S203" s="95">
        <v>3.3719456459291255</v>
      </c>
      <c r="T203" s="95">
        <v>18.110449908402721</v>
      </c>
      <c r="U203" s="95">
        <v>0</v>
      </c>
      <c r="V203" s="95">
        <v>7.0240529478998379</v>
      </c>
      <c r="W203" s="95">
        <v>5.3430830116503047</v>
      </c>
      <c r="X203" s="95">
        <v>1.1706754913166397</v>
      </c>
      <c r="Y203" s="95">
        <v>0.30017320290170246</v>
      </c>
      <c r="Z203" s="95">
        <v>100.06774007399757</v>
      </c>
      <c r="AA203" s="18"/>
      <c r="AB203" s="18"/>
      <c r="AC203" s="18"/>
      <c r="AD203" s="18">
        <v>42.42</v>
      </c>
      <c r="AE203" s="127">
        <v>29.03</v>
      </c>
      <c r="AF203" s="127">
        <v>21.71</v>
      </c>
      <c r="AG203" s="18">
        <v>13.49</v>
      </c>
      <c r="AH203" s="18">
        <v>148.49</v>
      </c>
      <c r="AI203" s="18">
        <v>139.4</v>
      </c>
      <c r="AJ203" s="18">
        <v>15.02</v>
      </c>
      <c r="AK203" s="134">
        <v>2.08</v>
      </c>
      <c r="AL203" s="18">
        <v>1.77</v>
      </c>
      <c r="AM203" s="134">
        <v>18.86</v>
      </c>
      <c r="AN203" s="127">
        <v>1.9E-2</v>
      </c>
      <c r="AO203" s="18">
        <v>0.218</v>
      </c>
      <c r="AP203" s="18">
        <v>1.0900000000000001</v>
      </c>
      <c r="AQ203" s="18">
        <v>1.9E-2</v>
      </c>
      <c r="AR203" s="18">
        <v>0.03</v>
      </c>
      <c r="AS203" s="18">
        <v>0</v>
      </c>
      <c r="AT203" s="18"/>
      <c r="AU203" s="18">
        <v>0</v>
      </c>
      <c r="AV203" s="18"/>
      <c r="AW203" s="18">
        <v>0</v>
      </c>
      <c r="AX203" s="127">
        <v>0.51500000000000001</v>
      </c>
      <c r="AY203" s="127">
        <v>2.5499999999999998</v>
      </c>
      <c r="AZ203" s="127">
        <v>2.4E-2</v>
      </c>
      <c r="BA203" s="127">
        <v>0.5</v>
      </c>
      <c r="BB203" s="18"/>
      <c r="BC203" s="127">
        <v>1.0880000000000001</v>
      </c>
      <c r="BD203" s="18"/>
      <c r="BE203" s="18"/>
      <c r="BF203" s="18"/>
      <c r="BG203" s="18"/>
      <c r="BH203" s="127">
        <v>1.2E-2</v>
      </c>
      <c r="BI203" s="127">
        <v>18.04</v>
      </c>
      <c r="BJ203" s="18">
        <v>9.5000000000000001E-2</v>
      </c>
      <c r="BK203" s="127">
        <v>0.81299999999999994</v>
      </c>
      <c r="BL203" s="127">
        <v>0.93700000000000006</v>
      </c>
      <c r="BM203" s="127">
        <v>8.6999999999999994E-2</v>
      </c>
      <c r="BN203" s="127">
        <v>0.246</v>
      </c>
      <c r="BO203" s="18">
        <v>3.6999999999999998E-2</v>
      </c>
      <c r="BP203" s="18">
        <v>6.0000000000000001E-3</v>
      </c>
      <c r="BQ203" s="18">
        <v>1.7999999999999999E-2</v>
      </c>
      <c r="BR203" s="18">
        <v>1.2E-2</v>
      </c>
      <c r="BS203" s="18">
        <v>4.0000000000000001E-3</v>
      </c>
      <c r="BT203" s="18">
        <v>1.2999999999999999E-2</v>
      </c>
      <c r="BU203" s="18"/>
      <c r="BV203" s="18">
        <v>1.7000000000000001E-2</v>
      </c>
      <c r="BW203" s="18">
        <v>4.0000000000000001E-3</v>
      </c>
      <c r="BX203" s="18">
        <v>1.4999999999999999E-2</v>
      </c>
      <c r="BY203" s="127">
        <v>2.8000000000000001E-2</v>
      </c>
      <c r="BZ203" s="18">
        <v>3.7999999999999999E-2</v>
      </c>
      <c r="CA203" s="127">
        <v>8.2000000000000003E-2</v>
      </c>
      <c r="CB203" s="127">
        <v>0.17199999999999999</v>
      </c>
      <c r="CC203" s="127">
        <v>2.7E-2</v>
      </c>
      <c r="CE203">
        <f t="shared" si="114"/>
        <v>7.0745098039215684</v>
      </c>
      <c r="CF203">
        <f t="shared" si="115"/>
        <v>22.189421894218942</v>
      </c>
      <c r="CG203">
        <f t="shared" si="116"/>
        <v>3.1365313653136533</v>
      </c>
      <c r="CH203">
        <f t="shared" si="117"/>
        <v>0.8676627534685164</v>
      </c>
      <c r="CI203">
        <f t="shared" si="118"/>
        <v>35.707257072570727</v>
      </c>
      <c r="CJ203">
        <f t="shared" si="119"/>
        <v>1.3371718102257024</v>
      </c>
      <c r="CK203">
        <f t="shared" si="120"/>
        <v>30.981856990394878</v>
      </c>
      <c r="CL203">
        <f t="shared" si="121"/>
        <v>2.7214514407684094</v>
      </c>
      <c r="CM203">
        <f t="shared" si="122"/>
        <v>19.25293489861259</v>
      </c>
      <c r="CN203">
        <f t="shared" si="123"/>
        <v>19.25293489861259</v>
      </c>
      <c r="CO203">
        <f t="shared" si="124"/>
        <v>2.9882604055496264E-2</v>
      </c>
      <c r="CP203">
        <f t="shared" si="125"/>
        <v>3.0370370370370372</v>
      </c>
      <c r="CQ203">
        <f t="shared" si="126"/>
        <v>0.10086100861008611</v>
      </c>
      <c r="CR203">
        <f t="shared" si="127"/>
        <v>1.3382533825338254</v>
      </c>
      <c r="CS203">
        <f t="shared" si="128"/>
        <v>0.61500615006150061</v>
      </c>
      <c r="CT203">
        <f t="shared" si="129"/>
        <v>0.20196078431372552</v>
      </c>
      <c r="CU203">
        <f t="shared" si="130"/>
        <v>2.9520295202952032E-2</v>
      </c>
      <c r="CV203">
        <f t="shared" si="131"/>
        <v>1.5392364793213151</v>
      </c>
      <c r="CW203">
        <f t="shared" si="132"/>
        <v>2.3370233702337026E-2</v>
      </c>
      <c r="CX203">
        <f t="shared" si="133"/>
        <v>0.45955882352941174</v>
      </c>
      <c r="CY203">
        <f t="shared" si="134"/>
        <v>3.444034440344404E-2</v>
      </c>
      <c r="CZ203">
        <f t="shared" si="135"/>
        <v>6.3703703703703702</v>
      </c>
      <c r="DA203">
        <f t="shared" si="136"/>
        <v>0.970873786407767</v>
      </c>
      <c r="DB203">
        <f t="shared" si="137"/>
        <v>0.19607843137254904</v>
      </c>
      <c r="DC203">
        <f t="shared" si="138"/>
        <v>20.833333333333332</v>
      </c>
      <c r="DD203">
        <f t="shared" si="139"/>
        <v>0.53361792956243326</v>
      </c>
      <c r="DE203">
        <f t="shared" si="140"/>
        <v>26.70356703567036</v>
      </c>
      <c r="DF203">
        <f t="shared" si="141"/>
        <v>8.5137254901960802</v>
      </c>
      <c r="DG203">
        <f t="shared" si="142"/>
        <v>11.384313725490196</v>
      </c>
      <c r="DH203">
        <f t="shared" si="143"/>
        <v>7.0745098039215684</v>
      </c>
      <c r="DI203">
        <f t="shared" si="144"/>
        <v>0.42666666666666675</v>
      </c>
      <c r="DJ203">
        <f t="shared" si="145"/>
        <v>1.0588235294117648E-2</v>
      </c>
      <c r="DK203">
        <f t="shared" si="146"/>
        <v>4.1475346198390231</v>
      </c>
      <c r="DL203">
        <f t="shared" si="147"/>
        <v>13.907163562071501</v>
      </c>
      <c r="DM203">
        <f t="shared" si="148"/>
        <v>1.3223316258545592</v>
      </c>
      <c r="DN203">
        <f t="shared" si="149"/>
        <v>0.18691494711358789</v>
      </c>
      <c r="DO203">
        <f t="shared" si="150"/>
        <v>4.4339309709663253</v>
      </c>
      <c r="DP203">
        <f t="shared" si="151"/>
        <v>0.62674744877849942</v>
      </c>
    </row>
    <row r="204" spans="1:120">
      <c r="A204" s="16" t="s">
        <v>641</v>
      </c>
      <c r="B204" s="16" t="s">
        <v>24</v>
      </c>
      <c r="C204" s="124" t="s">
        <v>541</v>
      </c>
      <c r="D204" s="16" t="s">
        <v>110</v>
      </c>
      <c r="E204" s="16" t="s">
        <v>237</v>
      </c>
      <c r="F204" s="16" t="s">
        <v>639</v>
      </c>
      <c r="G204" s="16" t="s">
        <v>640</v>
      </c>
      <c r="H204" s="27"/>
      <c r="I204" s="16" t="s">
        <v>712</v>
      </c>
      <c r="J204" s="16" t="s">
        <v>635</v>
      </c>
      <c r="K204" s="16" t="s">
        <v>642</v>
      </c>
      <c r="L204" s="16"/>
      <c r="M204" s="16" t="s">
        <v>629</v>
      </c>
      <c r="N204" s="16" t="s">
        <v>1084</v>
      </c>
      <c r="O204" s="95">
        <v>45.631526923018164</v>
      </c>
      <c r="P204" s="95">
        <v>2.6877470803008503</v>
      </c>
      <c r="Q204" s="95">
        <v>9.9687335739516598</v>
      </c>
      <c r="R204" s="95">
        <v>5.1749160202807412</v>
      </c>
      <c r="S204" s="95">
        <v>5.1548582062486448</v>
      </c>
      <c r="T204" s="95">
        <v>20.158103102256376</v>
      </c>
      <c r="U204" s="95">
        <v>0</v>
      </c>
      <c r="V204" s="95">
        <v>5.7265059061633785</v>
      </c>
      <c r="W204" s="95">
        <v>3.3797416644081584</v>
      </c>
      <c r="X204" s="95">
        <v>1.2636422840220416</v>
      </c>
      <c r="Y204" s="95">
        <v>1.1031797717652745</v>
      </c>
      <c r="Z204" s="95">
        <v>100.24895453241528</v>
      </c>
      <c r="AA204" s="18"/>
      <c r="AB204" s="18"/>
      <c r="AC204" s="18"/>
      <c r="AD204" s="18">
        <v>5.27</v>
      </c>
      <c r="AE204" s="127">
        <v>5.0599999999999996</v>
      </c>
      <c r="AF204" s="127">
        <v>6.9</v>
      </c>
      <c r="AG204" s="18">
        <v>5.69</v>
      </c>
      <c r="AH204" s="18">
        <v>22.25</v>
      </c>
      <c r="AI204" s="18">
        <v>21.47</v>
      </c>
      <c r="AJ204" s="18">
        <v>5.3</v>
      </c>
      <c r="AK204" s="134">
        <v>1.63</v>
      </c>
      <c r="AL204" s="18">
        <v>0.182</v>
      </c>
      <c r="AM204" s="134">
        <v>5.38</v>
      </c>
      <c r="AN204" s="127">
        <v>2.1999999999999999E-2</v>
      </c>
      <c r="AO204" s="18">
        <v>4.3999999999999997E-2</v>
      </c>
      <c r="AP204" s="18">
        <v>0.46</v>
      </c>
      <c r="AQ204" s="18">
        <v>7.0000000000000001E-3</v>
      </c>
      <c r="AR204" s="18">
        <v>1.2E-2</v>
      </c>
      <c r="AS204" s="18">
        <v>0</v>
      </c>
      <c r="AT204" s="18"/>
      <c r="AU204" s="18">
        <v>0</v>
      </c>
      <c r="AV204" s="18"/>
      <c r="AW204" s="18">
        <v>0</v>
      </c>
      <c r="AX204" s="127">
        <v>7.5999999999999998E-2</v>
      </c>
      <c r="AY204" s="127">
        <v>0.311</v>
      </c>
      <c r="AZ204" s="127">
        <v>5.0000000000000001E-3</v>
      </c>
      <c r="BA204" s="127">
        <v>0.105</v>
      </c>
      <c r="BB204" s="18"/>
      <c r="BC204" s="127">
        <v>0.17799999999999999</v>
      </c>
      <c r="BD204" s="18"/>
      <c r="BE204" s="18"/>
      <c r="BF204" s="18"/>
      <c r="BG204" s="18"/>
      <c r="BH204" s="127">
        <v>5.0000000000000001E-3</v>
      </c>
      <c r="BI204" s="127">
        <v>2.75</v>
      </c>
      <c r="BJ204" s="18">
        <v>2.7E-2</v>
      </c>
      <c r="BK204" s="127">
        <v>0.105</v>
      </c>
      <c r="BL204" s="127">
        <v>0.13200000000000001</v>
      </c>
      <c r="BM204" s="127">
        <v>1.4999999999999999E-2</v>
      </c>
      <c r="BN204" s="127">
        <v>3.7999999999999999E-2</v>
      </c>
      <c r="BO204" s="18">
        <v>1.7000000000000001E-2</v>
      </c>
      <c r="BP204" s="18">
        <v>5.0000000000000001E-3</v>
      </c>
      <c r="BQ204" s="18">
        <v>1.7000000000000001E-2</v>
      </c>
      <c r="BR204" s="18">
        <v>1.0999999999999999E-2</v>
      </c>
      <c r="BS204" s="18">
        <v>3.0000000000000001E-3</v>
      </c>
      <c r="BT204" s="18">
        <v>1.4E-2</v>
      </c>
      <c r="BU204" s="18"/>
      <c r="BV204" s="18">
        <v>1.4999999999999999E-2</v>
      </c>
      <c r="BW204" s="18">
        <v>3.0000000000000001E-3</v>
      </c>
      <c r="BX204" s="18">
        <v>0.01</v>
      </c>
      <c r="BY204" s="127">
        <v>8.0000000000000002E-3</v>
      </c>
      <c r="BZ204" s="18">
        <v>0.02</v>
      </c>
      <c r="CA204" s="127">
        <v>1.6E-2</v>
      </c>
      <c r="CB204" s="127">
        <v>2.9000000000000001E-2</v>
      </c>
      <c r="CC204" s="127">
        <v>5.0000000000000001E-3</v>
      </c>
      <c r="CE204">
        <f t="shared" si="114"/>
        <v>8.8424437299035379</v>
      </c>
      <c r="CF204">
        <f t="shared" si="115"/>
        <v>26.19047619047619</v>
      </c>
      <c r="CG204">
        <f t="shared" si="116"/>
        <v>2.961904761904762</v>
      </c>
      <c r="CH204">
        <f t="shared" si="117"/>
        <v>0.79545454545454541</v>
      </c>
      <c r="CI204">
        <f t="shared" si="118"/>
        <v>48.19047619047619</v>
      </c>
      <c r="CJ204">
        <f t="shared" si="119"/>
        <v>0.73333333333333328</v>
      </c>
      <c r="CK204">
        <f t="shared" si="120"/>
        <v>38.333333333333329</v>
      </c>
      <c r="CL204">
        <f t="shared" si="121"/>
        <v>2.356060606060606</v>
      </c>
      <c r="CM204">
        <f t="shared" si="122"/>
        <v>20.833333333333332</v>
      </c>
      <c r="CN204">
        <f t="shared" si="123"/>
        <v>20.833333333333332</v>
      </c>
      <c r="CO204">
        <f t="shared" si="124"/>
        <v>6.0606060606060608E-2</v>
      </c>
      <c r="CP204">
        <f t="shared" si="125"/>
        <v>3.2</v>
      </c>
      <c r="CQ204">
        <f t="shared" si="126"/>
        <v>0.15238095238095239</v>
      </c>
      <c r="CR204">
        <f t="shared" si="127"/>
        <v>1.6952380952380952</v>
      </c>
      <c r="CS204">
        <f t="shared" si="128"/>
        <v>1</v>
      </c>
      <c r="CT204">
        <f t="shared" si="129"/>
        <v>0.24437299035369775</v>
      </c>
      <c r="CU204">
        <f t="shared" si="130"/>
        <v>4.7619047619047623E-2</v>
      </c>
      <c r="CV204">
        <f t="shared" si="131"/>
        <v>0.94052044609665419</v>
      </c>
      <c r="CW204">
        <f t="shared" si="132"/>
        <v>0.20952380952380953</v>
      </c>
      <c r="CX204">
        <f t="shared" si="133"/>
        <v>0.5898876404494382</v>
      </c>
      <c r="CY204">
        <f t="shared" si="134"/>
        <v>7.6190476190476197E-2</v>
      </c>
      <c r="CZ204">
        <f t="shared" si="135"/>
        <v>5.8</v>
      </c>
      <c r="DA204">
        <f t="shared" si="136"/>
        <v>1.381578947368421</v>
      </c>
      <c r="DB204">
        <f t="shared" si="137"/>
        <v>0.33762057877813506</v>
      </c>
      <c r="DC204">
        <f t="shared" si="138"/>
        <v>21</v>
      </c>
      <c r="DD204">
        <f t="shared" si="139"/>
        <v>0.79545454545454541</v>
      </c>
      <c r="DE204">
        <f t="shared" si="140"/>
        <v>65.714285714285722</v>
      </c>
      <c r="DF204">
        <f t="shared" si="141"/>
        <v>22.186495176848876</v>
      </c>
      <c r="DG204">
        <f t="shared" si="142"/>
        <v>16.270096463022508</v>
      </c>
      <c r="DH204">
        <f t="shared" si="143"/>
        <v>8.8424437299035379</v>
      </c>
      <c r="DI204">
        <f t="shared" si="144"/>
        <v>0.57234726688102888</v>
      </c>
      <c r="DJ204">
        <f t="shared" si="145"/>
        <v>1.607717041800643E-2</v>
      </c>
      <c r="DK204">
        <f t="shared" si="146"/>
        <v>49.093887678558524</v>
      </c>
      <c r="DL204">
        <f t="shared" si="147"/>
        <v>94.940319751920569</v>
      </c>
      <c r="DM204">
        <f t="shared" si="148"/>
        <v>16.57510677250368</v>
      </c>
      <c r="DN204">
        <f t="shared" si="149"/>
        <v>1.8744938931813253</v>
      </c>
      <c r="DO204">
        <f t="shared" si="150"/>
        <v>32.053805704024633</v>
      </c>
      <c r="DP204">
        <f t="shared" si="151"/>
        <v>3.6249940268915126</v>
      </c>
    </row>
    <row r="205" spans="1:120">
      <c r="A205" s="16" t="s">
        <v>641</v>
      </c>
      <c r="B205" s="16" t="s">
        <v>24</v>
      </c>
      <c r="C205" s="124" t="s">
        <v>541</v>
      </c>
      <c r="D205" s="16" t="s">
        <v>110</v>
      </c>
      <c r="E205" s="16" t="s">
        <v>237</v>
      </c>
      <c r="F205" s="16" t="s">
        <v>639</v>
      </c>
      <c r="G205" s="16" t="s">
        <v>640</v>
      </c>
      <c r="H205" s="27"/>
      <c r="I205" s="16" t="s">
        <v>712</v>
      </c>
      <c r="J205" s="16" t="s">
        <v>635</v>
      </c>
      <c r="K205" s="16" t="s">
        <v>642</v>
      </c>
      <c r="L205" s="16"/>
      <c r="M205" s="16" t="s">
        <v>631</v>
      </c>
      <c r="N205" s="16" t="s">
        <v>1084</v>
      </c>
      <c r="O205" s="95">
        <v>60.595748119348528</v>
      </c>
      <c r="P205" s="95">
        <v>4.8877231540896</v>
      </c>
      <c r="Q205" s="95">
        <v>12.519782669286887</v>
      </c>
      <c r="R205" s="95">
        <v>1.9130227918670362</v>
      </c>
      <c r="S205" s="95">
        <v>1.7527695737001641</v>
      </c>
      <c r="T205" s="95">
        <v>8.7838795207716789</v>
      </c>
      <c r="U205" s="95">
        <v>0</v>
      </c>
      <c r="V205" s="95">
        <v>3.1249377542540069</v>
      </c>
      <c r="W205" s="95">
        <v>5.3384353301839287</v>
      </c>
      <c r="X205" s="95">
        <v>0.78123443856350172</v>
      </c>
      <c r="Y205" s="95">
        <v>0.39061721928175086</v>
      </c>
      <c r="Z205" s="95">
        <v>100.08815057134707</v>
      </c>
      <c r="AA205" s="18"/>
      <c r="AB205" s="18"/>
      <c r="AC205" s="18"/>
      <c r="AD205" s="18">
        <v>11.68</v>
      </c>
      <c r="AE205" s="127">
        <v>4.76</v>
      </c>
      <c r="AF205" s="127">
        <v>27.57</v>
      </c>
      <c r="AG205" s="18">
        <v>5.66</v>
      </c>
      <c r="AH205" s="18">
        <v>35.01</v>
      </c>
      <c r="AI205" s="18">
        <v>42.82</v>
      </c>
      <c r="AJ205" s="18">
        <v>6.97</v>
      </c>
      <c r="AK205" s="134">
        <v>1.69</v>
      </c>
      <c r="AL205" s="18">
        <v>0.45700000000000002</v>
      </c>
      <c r="AM205" s="134">
        <v>6.4</v>
      </c>
      <c r="AN205" s="127">
        <v>6.5000000000000002E-2</v>
      </c>
      <c r="AO205" s="18">
        <v>0.11700000000000001</v>
      </c>
      <c r="AP205" s="18">
        <v>1.1000000000000001</v>
      </c>
      <c r="AQ205" s="18">
        <v>0.01</v>
      </c>
      <c r="AR205" s="18">
        <v>0.02</v>
      </c>
      <c r="AS205" s="18">
        <v>0</v>
      </c>
      <c r="AT205" s="18"/>
      <c r="AU205" s="18">
        <v>0</v>
      </c>
      <c r="AV205" s="18"/>
      <c r="AW205" s="18">
        <v>0</v>
      </c>
      <c r="AX205" s="127">
        <v>9.8000000000000004E-2</v>
      </c>
      <c r="AY205" s="127">
        <v>0.55900000000000005</v>
      </c>
      <c r="AZ205" s="127">
        <v>0.01</v>
      </c>
      <c r="BA205" s="127">
        <v>0.47799999999999998</v>
      </c>
      <c r="BB205" s="18"/>
      <c r="BC205" s="127">
        <v>0.216</v>
      </c>
      <c r="BD205" s="18"/>
      <c r="BE205" s="18"/>
      <c r="BF205" s="18"/>
      <c r="BG205" s="18"/>
      <c r="BH205" s="127">
        <v>4.0000000000000001E-3</v>
      </c>
      <c r="BI205" s="127">
        <v>2.21</v>
      </c>
      <c r="BJ205" s="18">
        <v>4.5999999999999999E-2</v>
      </c>
      <c r="BK205" s="127">
        <v>8.8999999999999996E-2</v>
      </c>
      <c r="BL205" s="127">
        <v>0.107</v>
      </c>
      <c r="BM205" s="127">
        <v>1.2999999999999999E-2</v>
      </c>
      <c r="BN205" s="127">
        <v>4.4999999999999998E-2</v>
      </c>
      <c r="BO205" s="18">
        <v>2.5000000000000001E-2</v>
      </c>
      <c r="BP205" s="18">
        <v>8.0000000000000002E-3</v>
      </c>
      <c r="BQ205" s="18">
        <v>2.5000000000000001E-2</v>
      </c>
      <c r="BR205" s="18">
        <v>1.6E-2</v>
      </c>
      <c r="BS205" s="18">
        <v>3.0000000000000001E-3</v>
      </c>
      <c r="BT205" s="18">
        <v>1.7000000000000001E-2</v>
      </c>
      <c r="BU205" s="18"/>
      <c r="BV205" s="18">
        <v>1.9E-2</v>
      </c>
      <c r="BW205" s="18">
        <v>4.0000000000000001E-3</v>
      </c>
      <c r="BX205" s="18">
        <v>2.1000000000000001E-2</v>
      </c>
      <c r="BY205" s="127">
        <v>1.6E-2</v>
      </c>
      <c r="BZ205" s="18">
        <v>2.8000000000000001E-2</v>
      </c>
      <c r="CA205" s="127">
        <v>3.3000000000000002E-2</v>
      </c>
      <c r="CB205" s="127">
        <v>1.2999999999999999E-2</v>
      </c>
      <c r="CC205" s="127">
        <v>6.0000000000000001E-3</v>
      </c>
      <c r="CE205">
        <f t="shared" si="114"/>
        <v>3.9534883720930227</v>
      </c>
      <c r="CF205">
        <f t="shared" si="115"/>
        <v>24.831460674157306</v>
      </c>
      <c r="CG205">
        <f t="shared" si="116"/>
        <v>6.2808988764044953</v>
      </c>
      <c r="CH205">
        <f t="shared" si="117"/>
        <v>0.83177570093457942</v>
      </c>
      <c r="CI205">
        <f t="shared" si="118"/>
        <v>53.483146067415731</v>
      </c>
      <c r="CJ205">
        <f t="shared" si="119"/>
        <v>0.17265143271672106</v>
      </c>
      <c r="CK205">
        <f t="shared" si="120"/>
        <v>44.485981308411212</v>
      </c>
      <c r="CL205">
        <f t="shared" si="121"/>
        <v>5.2242990654205617</v>
      </c>
      <c r="CM205">
        <f t="shared" si="122"/>
        <v>20.654205607476637</v>
      </c>
      <c r="CN205">
        <f t="shared" si="123"/>
        <v>20.654205607476637</v>
      </c>
      <c r="CO205">
        <f t="shared" si="124"/>
        <v>0.14953271028037385</v>
      </c>
      <c r="CP205">
        <f t="shared" si="125"/>
        <v>5.5</v>
      </c>
      <c r="CQ205">
        <f t="shared" si="126"/>
        <v>0.3707865168539326</v>
      </c>
      <c r="CR205">
        <f t="shared" si="127"/>
        <v>2.4269662921348316</v>
      </c>
      <c r="CS205">
        <f t="shared" si="128"/>
        <v>5.3707865168539328</v>
      </c>
      <c r="CT205">
        <f t="shared" si="129"/>
        <v>0.17531305903398925</v>
      </c>
      <c r="CU205">
        <f t="shared" si="130"/>
        <v>0.11235955056179776</v>
      </c>
      <c r="CV205">
        <f t="shared" si="131"/>
        <v>0.74374999999999991</v>
      </c>
      <c r="CW205">
        <f t="shared" si="132"/>
        <v>0.7303370786516854</v>
      </c>
      <c r="CX205">
        <f t="shared" si="133"/>
        <v>2.2129629629629628</v>
      </c>
      <c r="CY205">
        <f t="shared" si="134"/>
        <v>0.17977528089887643</v>
      </c>
      <c r="CZ205">
        <f t="shared" si="135"/>
        <v>2.1666666666666665</v>
      </c>
      <c r="DA205">
        <f t="shared" si="136"/>
        <v>4.8775510204081627</v>
      </c>
      <c r="DB205">
        <f t="shared" si="137"/>
        <v>0.85509838998211085</v>
      </c>
      <c r="DC205">
        <f t="shared" si="138"/>
        <v>47.8</v>
      </c>
      <c r="DD205">
        <f t="shared" si="139"/>
        <v>4.4672897196261685</v>
      </c>
      <c r="DE205">
        <f t="shared" si="140"/>
        <v>309.77528089887642</v>
      </c>
      <c r="DF205">
        <f t="shared" si="141"/>
        <v>49.320214669051872</v>
      </c>
      <c r="DG205">
        <f t="shared" si="142"/>
        <v>8.5152057245080481</v>
      </c>
      <c r="DH205">
        <f t="shared" si="143"/>
        <v>3.9534883720930227</v>
      </c>
      <c r="DI205">
        <f t="shared" si="144"/>
        <v>0.38640429338103754</v>
      </c>
      <c r="DJ205">
        <f t="shared" si="145"/>
        <v>1.0733452593917709E-2</v>
      </c>
      <c r="DK205">
        <f t="shared" si="146"/>
        <v>19.694040153934427</v>
      </c>
      <c r="DL205">
        <f t="shared" si="147"/>
        <v>140.67171538524593</v>
      </c>
      <c r="DM205">
        <f t="shared" si="148"/>
        <v>3.1355448545620104</v>
      </c>
      <c r="DN205">
        <f t="shared" si="149"/>
        <v>0.79310840438921448</v>
      </c>
      <c r="DO205">
        <f t="shared" si="150"/>
        <v>22.396748961157218</v>
      </c>
      <c r="DP205">
        <f t="shared" si="151"/>
        <v>5.6650600313515325</v>
      </c>
    </row>
    <row r="206" spans="1:120">
      <c r="A206" s="16" t="s">
        <v>641</v>
      </c>
      <c r="B206" s="16" t="s">
        <v>24</v>
      </c>
      <c r="C206" s="124" t="s">
        <v>541</v>
      </c>
      <c r="D206" s="16" t="s">
        <v>110</v>
      </c>
      <c r="E206" s="16" t="s">
        <v>237</v>
      </c>
      <c r="F206" s="16" t="s">
        <v>639</v>
      </c>
      <c r="G206" s="16" t="s">
        <v>640</v>
      </c>
      <c r="H206" s="27"/>
      <c r="I206" s="16" t="s">
        <v>712</v>
      </c>
      <c r="J206" s="16" t="s">
        <v>635</v>
      </c>
      <c r="K206" s="16" t="s">
        <v>642</v>
      </c>
      <c r="L206" s="16"/>
      <c r="M206" s="16" t="s">
        <v>627</v>
      </c>
      <c r="N206" s="16" t="s">
        <v>1084</v>
      </c>
      <c r="O206" s="95">
        <v>49.729837902741657</v>
      </c>
      <c r="P206" s="95">
        <v>0.24014408645187119</v>
      </c>
      <c r="Q206" s="95">
        <v>11.206724034420654</v>
      </c>
      <c r="R206" s="95">
        <v>3.7222333400040033</v>
      </c>
      <c r="S206" s="95">
        <v>11.106663998399041</v>
      </c>
      <c r="T206" s="95">
        <v>12.007204322593559</v>
      </c>
      <c r="U206" s="95">
        <v>0</v>
      </c>
      <c r="V206" s="95">
        <v>10.606363818290976</v>
      </c>
      <c r="W206" s="95">
        <v>0.85051030618371026</v>
      </c>
      <c r="X206" s="95">
        <v>0.5303181909145489</v>
      </c>
      <c r="Y206" s="95">
        <v>0</v>
      </c>
      <c r="Z206" s="95">
        <v>100</v>
      </c>
      <c r="AA206" s="18"/>
      <c r="AB206" s="18"/>
      <c r="AC206" s="18"/>
      <c r="AD206" s="18">
        <v>239.8</v>
      </c>
      <c r="AE206" s="127">
        <v>239.25</v>
      </c>
      <c r="AF206" s="127">
        <v>200.44</v>
      </c>
      <c r="AG206" s="18">
        <v>20.46</v>
      </c>
      <c r="AH206" s="18">
        <v>197.53</v>
      </c>
      <c r="AI206" s="18">
        <v>428.76</v>
      </c>
      <c r="AJ206" s="18">
        <v>27.13</v>
      </c>
      <c r="AK206" s="134">
        <v>2.48</v>
      </c>
      <c r="AL206" s="18">
        <v>5.12</v>
      </c>
      <c r="AM206" s="134">
        <v>115.46</v>
      </c>
      <c r="AN206" s="127">
        <v>5.8999999999999997E-2</v>
      </c>
      <c r="AO206" s="18">
        <v>0.22800000000000001</v>
      </c>
      <c r="AP206" s="18">
        <v>2.2599999999999998</v>
      </c>
      <c r="AQ206" s="18">
        <v>7.3999999999999996E-2</v>
      </c>
      <c r="AR206" s="18">
        <v>7.8E-2</v>
      </c>
      <c r="AS206" s="18">
        <v>0</v>
      </c>
      <c r="AT206" s="18"/>
      <c r="AU206" s="18">
        <v>0</v>
      </c>
      <c r="AV206" s="18"/>
      <c r="AW206" s="18">
        <v>0</v>
      </c>
      <c r="AX206" s="127">
        <v>0.748</v>
      </c>
      <c r="AY206" s="127">
        <v>5.64</v>
      </c>
      <c r="AZ206" s="127">
        <v>5.0999999999999997E-2</v>
      </c>
      <c r="BA206" s="127">
        <v>0.35899999999999999</v>
      </c>
      <c r="BB206" s="18"/>
      <c r="BC206" s="127">
        <v>1.375</v>
      </c>
      <c r="BD206" s="18"/>
      <c r="BE206" s="18"/>
      <c r="BF206" s="18"/>
      <c r="BG206" s="18"/>
      <c r="BH206" s="127">
        <v>1.7999999999999999E-2</v>
      </c>
      <c r="BI206" s="127">
        <v>29.7</v>
      </c>
      <c r="BJ206" s="18">
        <v>0.84</v>
      </c>
      <c r="BK206" s="127">
        <v>1.69</v>
      </c>
      <c r="BL206" s="127">
        <v>2.0299999999999998</v>
      </c>
      <c r="BM206" s="127">
        <v>0.19400000000000001</v>
      </c>
      <c r="BN206" s="127">
        <v>0.61899999999999999</v>
      </c>
      <c r="BO206" s="18">
        <v>4.5999999999999999E-2</v>
      </c>
      <c r="BP206" s="18">
        <v>1.4E-2</v>
      </c>
      <c r="BQ206" s="18">
        <v>4.8000000000000001E-2</v>
      </c>
      <c r="BR206" s="18">
        <v>1.7000000000000001E-2</v>
      </c>
      <c r="BS206" s="18">
        <v>3.0000000000000001E-3</v>
      </c>
      <c r="BT206" s="18">
        <v>1.2999999999999999E-2</v>
      </c>
      <c r="BU206" s="18"/>
      <c r="BV206" s="18">
        <v>1.7000000000000001E-2</v>
      </c>
      <c r="BW206" s="18">
        <v>3.0000000000000001E-3</v>
      </c>
      <c r="BX206" s="18">
        <v>1.2999999999999999E-2</v>
      </c>
      <c r="BY206" s="127">
        <v>4.4999999999999998E-2</v>
      </c>
      <c r="BZ206" s="18">
        <v>4.5999999999999999E-2</v>
      </c>
      <c r="CA206" s="127">
        <v>0.15</v>
      </c>
      <c r="CB206" s="127">
        <v>0.316</v>
      </c>
      <c r="CC206" s="127">
        <v>4.9000000000000002E-2</v>
      </c>
      <c r="CE206">
        <f t="shared" si="114"/>
        <v>5.2659574468085104</v>
      </c>
      <c r="CF206">
        <f t="shared" si="115"/>
        <v>17.57396449704142</v>
      </c>
      <c r="CG206">
        <f t="shared" si="116"/>
        <v>3.3372781065088755</v>
      </c>
      <c r="CH206">
        <f t="shared" si="117"/>
        <v>0.83251231527093605</v>
      </c>
      <c r="CI206">
        <f t="shared" si="118"/>
        <v>141.5680473372781</v>
      </c>
      <c r="CJ206">
        <f t="shared" si="119"/>
        <v>1.1936240271402914</v>
      </c>
      <c r="CK206">
        <f t="shared" si="120"/>
        <v>117.85714285714288</v>
      </c>
      <c r="CL206">
        <f t="shared" si="121"/>
        <v>2.7783251231527095</v>
      </c>
      <c r="CM206">
        <f t="shared" si="122"/>
        <v>14.630541871921183</v>
      </c>
      <c r="CN206">
        <f t="shared" si="123"/>
        <v>14.630541871921183</v>
      </c>
      <c r="CO206">
        <f t="shared" si="124"/>
        <v>2.2167487684729065E-2</v>
      </c>
      <c r="CP206">
        <f t="shared" si="125"/>
        <v>3.0612244897959182</v>
      </c>
      <c r="CQ206">
        <f t="shared" si="126"/>
        <v>8.8757396449704137E-2</v>
      </c>
      <c r="CR206">
        <f t="shared" si="127"/>
        <v>0.81360946745562135</v>
      </c>
      <c r="CS206">
        <f t="shared" si="128"/>
        <v>0.21242603550295858</v>
      </c>
      <c r="CT206">
        <f t="shared" si="129"/>
        <v>0.1326241134751773</v>
      </c>
      <c r="CU206">
        <f t="shared" si="130"/>
        <v>3.0177514792899408E-2</v>
      </c>
      <c r="CV206">
        <f t="shared" si="131"/>
        <v>2.072146197817426</v>
      </c>
      <c r="CW206">
        <f t="shared" si="132"/>
        <v>3.4911242603550295E-2</v>
      </c>
      <c r="CX206">
        <f t="shared" si="133"/>
        <v>0.2610909090909091</v>
      </c>
      <c r="CY206">
        <f t="shared" si="134"/>
        <v>2.6627218934911243E-2</v>
      </c>
      <c r="CZ206">
        <f t="shared" si="135"/>
        <v>6.4489795918367347</v>
      </c>
      <c r="DA206">
        <f t="shared" si="136"/>
        <v>0.4799465240641711</v>
      </c>
      <c r="DB206">
        <f t="shared" si="137"/>
        <v>6.3652482269503541E-2</v>
      </c>
      <c r="DC206">
        <f t="shared" si="138"/>
        <v>7.0392156862745097</v>
      </c>
      <c r="DD206">
        <f t="shared" si="139"/>
        <v>0.17684729064039409</v>
      </c>
      <c r="DE206">
        <f t="shared" si="140"/>
        <v>118.60355029585799</v>
      </c>
      <c r="DF206">
        <f t="shared" si="141"/>
        <v>35.539007092198581</v>
      </c>
      <c r="DG206">
        <f t="shared" si="142"/>
        <v>42.420212765957451</v>
      </c>
      <c r="DH206">
        <f t="shared" si="143"/>
        <v>5.2659574468085104</v>
      </c>
      <c r="DI206">
        <f t="shared" si="144"/>
        <v>0.24379432624113476</v>
      </c>
      <c r="DJ206">
        <f t="shared" si="145"/>
        <v>8.6879432624113479E-3</v>
      </c>
      <c r="DK206">
        <f t="shared" si="146"/>
        <v>6.5719905315970655</v>
      </c>
      <c r="DL206">
        <f t="shared" si="147"/>
        <v>6.6311976535033459</v>
      </c>
      <c r="DM206">
        <f t="shared" si="148"/>
        <v>1.9692666663828089</v>
      </c>
      <c r="DN206">
        <f t="shared" si="149"/>
        <v>0.37396175078784649</v>
      </c>
      <c r="DO206">
        <f t="shared" si="150"/>
        <v>1.9870078075213926</v>
      </c>
      <c r="DP206">
        <f t="shared" si="151"/>
        <v>0.377330775569719</v>
      </c>
    </row>
    <row r="207" spans="1:120">
      <c r="A207" s="16" t="s">
        <v>641</v>
      </c>
      <c r="B207" s="16" t="s">
        <v>24</v>
      </c>
      <c r="C207" s="124" t="s">
        <v>541</v>
      </c>
      <c r="D207" s="16" t="s">
        <v>110</v>
      </c>
      <c r="E207" s="16" t="s">
        <v>237</v>
      </c>
      <c r="F207" s="16" t="s">
        <v>639</v>
      </c>
      <c r="G207" s="16" t="s">
        <v>640</v>
      </c>
      <c r="H207" s="27"/>
      <c r="I207" s="16" t="s">
        <v>712</v>
      </c>
      <c r="J207" s="16" t="s">
        <v>635</v>
      </c>
      <c r="K207" s="16" t="s">
        <v>642</v>
      </c>
      <c r="L207" s="16"/>
      <c r="M207" s="16" t="s">
        <v>605</v>
      </c>
      <c r="N207" s="16" t="s">
        <v>1084</v>
      </c>
      <c r="O207" s="95">
        <v>51.004219278677191</v>
      </c>
      <c r="P207" s="95">
        <v>1.1176223347917311</v>
      </c>
      <c r="Q207" s="95">
        <v>7.9757593891955345</v>
      </c>
      <c r="R207" s="95">
        <v>3.931998577858181</v>
      </c>
      <c r="S207" s="95">
        <v>18.389967508845757</v>
      </c>
      <c r="T207" s="95">
        <v>9.9773193887770901</v>
      </c>
      <c r="U207" s="95">
        <v>0</v>
      </c>
      <c r="V207" s="95">
        <v>1.3208263956629549</v>
      </c>
      <c r="W207" s="95">
        <v>6.2586850748336937</v>
      </c>
      <c r="X207" s="95">
        <v>0</v>
      </c>
      <c r="Y207" s="95">
        <v>3.048060913068357E-2</v>
      </c>
      <c r="Z207" s="95">
        <v>100.00687855777281</v>
      </c>
      <c r="AA207" s="18"/>
      <c r="AB207" s="18"/>
      <c r="AC207" s="18"/>
      <c r="AD207" s="18">
        <v>44.09</v>
      </c>
      <c r="AE207" s="127">
        <v>1120.5899999999999</v>
      </c>
      <c r="AF207" s="127">
        <v>391.07</v>
      </c>
      <c r="AG207" s="18">
        <v>52.66</v>
      </c>
      <c r="AH207" s="18">
        <v>629.12</v>
      </c>
      <c r="AI207" s="18">
        <v>136.11000000000001</v>
      </c>
      <c r="AJ207" s="18">
        <v>2.82</v>
      </c>
      <c r="AK207" s="134">
        <v>24.19</v>
      </c>
      <c r="AL207" s="18">
        <v>4.55</v>
      </c>
      <c r="AM207" s="134">
        <v>133.28</v>
      </c>
      <c r="AN207" s="127">
        <v>4.51</v>
      </c>
      <c r="AO207" s="18">
        <v>0.73299999999999998</v>
      </c>
      <c r="AP207" s="18">
        <v>2.82</v>
      </c>
      <c r="AQ207" s="18">
        <v>0.40400000000000003</v>
      </c>
      <c r="AR207" s="18">
        <v>6.9000000000000006E-2</v>
      </c>
      <c r="AS207" s="18">
        <v>0</v>
      </c>
      <c r="AT207" s="18">
        <v>0</v>
      </c>
      <c r="AU207" s="18">
        <v>0</v>
      </c>
      <c r="AV207" s="18"/>
      <c r="AW207" s="18">
        <v>0</v>
      </c>
      <c r="AX207" s="127">
        <v>3.17</v>
      </c>
      <c r="AY207" s="127">
        <v>8.84</v>
      </c>
      <c r="AZ207" s="127">
        <v>1.0999999999999999E-2</v>
      </c>
      <c r="BA207" s="127">
        <v>0.03</v>
      </c>
      <c r="BB207" s="18"/>
      <c r="BC207" s="127">
        <v>4.74</v>
      </c>
      <c r="BD207" s="18"/>
      <c r="BE207" s="18"/>
      <c r="BF207" s="18"/>
      <c r="BG207" s="18"/>
      <c r="BH207" s="127">
        <v>3.4000000000000002E-2</v>
      </c>
      <c r="BI207" s="127">
        <v>123.11</v>
      </c>
      <c r="BJ207" s="18">
        <v>0.215</v>
      </c>
      <c r="BK207" s="127">
        <v>10.29</v>
      </c>
      <c r="BL207" s="127">
        <v>7.3</v>
      </c>
      <c r="BM207" s="127">
        <v>0.47599999999999998</v>
      </c>
      <c r="BN207" s="127">
        <v>1.0229999999999999</v>
      </c>
      <c r="BO207" s="18">
        <v>1.9E-2</v>
      </c>
      <c r="BP207" s="18">
        <v>0.01</v>
      </c>
      <c r="BQ207" s="18">
        <v>2.1999999999999999E-2</v>
      </c>
      <c r="BR207" s="18">
        <v>7.0000000000000001E-3</v>
      </c>
      <c r="BS207" s="18">
        <v>2E-3</v>
      </c>
      <c r="BT207" s="18">
        <v>8.0000000000000002E-3</v>
      </c>
      <c r="BU207" s="18"/>
      <c r="BV207" s="18">
        <v>8.9999999999999993E-3</v>
      </c>
      <c r="BW207" s="18">
        <v>2E-3</v>
      </c>
      <c r="BX207" s="18">
        <v>8.0000000000000002E-3</v>
      </c>
      <c r="BY207" s="127">
        <v>0.13200000000000001</v>
      </c>
      <c r="BZ207" s="18">
        <v>0.95899999999999996</v>
      </c>
      <c r="CA207" s="127">
        <v>0.44500000000000001</v>
      </c>
      <c r="CB207" s="127">
        <v>9.09</v>
      </c>
      <c r="CC207" s="127">
        <v>0.63900000000000001</v>
      </c>
      <c r="CE207">
        <f t="shared" si="114"/>
        <v>13.926470588235293</v>
      </c>
      <c r="CF207">
        <f t="shared" si="115"/>
        <v>11.964042759961128</v>
      </c>
      <c r="CG207">
        <f t="shared" si="116"/>
        <v>0.85908649173955298</v>
      </c>
      <c r="CH207">
        <f t="shared" si="117"/>
        <v>1.4095890410958902</v>
      </c>
      <c r="CI207">
        <f t="shared" si="118"/>
        <v>108.90087463556851</v>
      </c>
      <c r="CJ207">
        <f t="shared" si="119"/>
        <v>2.8654460838213107</v>
      </c>
      <c r="CK207">
        <f t="shared" si="120"/>
        <v>153.5054794520548</v>
      </c>
      <c r="CL207">
        <f t="shared" si="121"/>
        <v>1.210958904109589</v>
      </c>
      <c r="CM207">
        <f t="shared" si="122"/>
        <v>16.864383561643837</v>
      </c>
      <c r="CN207">
        <f t="shared" si="123"/>
        <v>16.864383561643837</v>
      </c>
      <c r="CO207">
        <f t="shared" si="124"/>
        <v>1.8082191780821918E-2</v>
      </c>
      <c r="CP207">
        <f t="shared" si="125"/>
        <v>0.69640062597809071</v>
      </c>
      <c r="CQ207">
        <f t="shared" si="126"/>
        <v>4.3245869776482024E-2</v>
      </c>
      <c r="CR207">
        <f t="shared" si="127"/>
        <v>0.46064139941690968</v>
      </c>
      <c r="CS207">
        <f t="shared" si="128"/>
        <v>2.9154518950437317E-3</v>
      </c>
      <c r="CT207">
        <f t="shared" si="129"/>
        <v>0.35859728506787331</v>
      </c>
      <c r="CU207">
        <f t="shared" si="130"/>
        <v>1.0689990281827018E-3</v>
      </c>
      <c r="CV207">
        <f t="shared" si="131"/>
        <v>8.4077881152460971</v>
      </c>
      <c r="CW207">
        <f t="shared" si="132"/>
        <v>0.4382896015549077</v>
      </c>
      <c r="CX207">
        <f t="shared" si="133"/>
        <v>6.3291139240506328E-3</v>
      </c>
      <c r="CY207">
        <f t="shared" si="134"/>
        <v>1.2827988338192422E-2</v>
      </c>
      <c r="CZ207">
        <f t="shared" si="135"/>
        <v>14.225352112676056</v>
      </c>
      <c r="DA207">
        <f t="shared" si="136"/>
        <v>9.4637223974763408E-3</v>
      </c>
      <c r="DB207">
        <f t="shared" si="137"/>
        <v>3.3936651583710408E-3</v>
      </c>
      <c r="DC207">
        <f t="shared" si="138"/>
        <v>2.7272727272727275</v>
      </c>
      <c r="DD207">
        <f t="shared" si="139"/>
        <v>4.10958904109589E-3</v>
      </c>
      <c r="DE207">
        <f t="shared" si="140"/>
        <v>38.004859086491741</v>
      </c>
      <c r="DF207">
        <f t="shared" si="141"/>
        <v>44.238687782805428</v>
      </c>
      <c r="DG207">
        <f t="shared" si="142"/>
        <v>126.76357466063348</v>
      </c>
      <c r="DH207">
        <f t="shared" si="143"/>
        <v>13.926470588235293</v>
      </c>
      <c r="DI207">
        <f t="shared" si="144"/>
        <v>0.53619909502262442</v>
      </c>
      <c r="DJ207">
        <f t="shared" si="145"/>
        <v>7.2285067873303174E-2</v>
      </c>
      <c r="DK207">
        <f t="shared" si="146"/>
        <v>1.787168854115234</v>
      </c>
      <c r="DL207">
        <f t="shared" si="147"/>
        <v>0.77509809418809861</v>
      </c>
      <c r="DM207">
        <f t="shared" si="148"/>
        <v>2.0803130666115108</v>
      </c>
      <c r="DN207">
        <f t="shared" si="149"/>
        <v>0.1493783405803408</v>
      </c>
      <c r="DO207">
        <f t="shared" si="150"/>
        <v>0.90223522502211928</v>
      </c>
      <c r="DP207">
        <f t="shared" si="151"/>
        <v>6.4785633898103601E-2</v>
      </c>
    </row>
    <row r="208" spans="1:120">
      <c r="A208" s="16" t="s">
        <v>641</v>
      </c>
      <c r="B208" s="16" t="s">
        <v>24</v>
      </c>
      <c r="C208" s="124" t="s">
        <v>541</v>
      </c>
      <c r="D208" s="16" t="s">
        <v>110</v>
      </c>
      <c r="E208" s="16" t="s">
        <v>237</v>
      </c>
      <c r="F208" s="16" t="s">
        <v>639</v>
      </c>
      <c r="G208" s="16" t="s">
        <v>640</v>
      </c>
      <c r="H208" s="27"/>
      <c r="I208" s="16" t="s">
        <v>712</v>
      </c>
      <c r="J208" s="16" t="s">
        <v>635</v>
      </c>
      <c r="K208" s="16" t="s">
        <v>642</v>
      </c>
      <c r="L208" s="16"/>
      <c r="M208" s="16" t="s">
        <v>632</v>
      </c>
      <c r="N208" s="16" t="s">
        <v>1084</v>
      </c>
      <c r="O208" s="95">
        <v>64.705211096690576</v>
      </c>
      <c r="P208" s="95">
        <v>3.030244043631722</v>
      </c>
      <c r="Q208" s="95">
        <v>9.5507691804234138</v>
      </c>
      <c r="R208" s="95">
        <v>3.0102424327826673</v>
      </c>
      <c r="S208" s="95">
        <v>2.4501973290091481</v>
      </c>
      <c r="T208" s="95">
        <v>5.6704566757068857</v>
      </c>
      <c r="U208" s="95">
        <v>0</v>
      </c>
      <c r="V208" s="95">
        <v>2.6202110212261096</v>
      </c>
      <c r="W208" s="95">
        <v>7.5606089009425146</v>
      </c>
      <c r="X208" s="95">
        <v>1.340107926886636</v>
      </c>
      <c r="Y208" s="95">
        <v>8.0006443396217083E-2</v>
      </c>
      <c r="Z208" s="95">
        <v>100.01805505069588</v>
      </c>
      <c r="AA208" s="18"/>
      <c r="AB208" s="18"/>
      <c r="AC208" s="18"/>
      <c r="AD208" s="18">
        <v>37.409999999999997</v>
      </c>
      <c r="AE208" s="127">
        <v>20.84</v>
      </c>
      <c r="AF208" s="127">
        <v>47.95</v>
      </c>
      <c r="AG208" s="18">
        <v>7.19</v>
      </c>
      <c r="AH208" s="18">
        <v>67.900000000000006</v>
      </c>
      <c r="AI208" s="18">
        <v>56.32</v>
      </c>
      <c r="AJ208" s="18">
        <v>15.56</v>
      </c>
      <c r="AK208" s="134">
        <v>1.58</v>
      </c>
      <c r="AL208" s="18">
        <v>1.03</v>
      </c>
      <c r="AM208" s="134">
        <v>38.630000000000003</v>
      </c>
      <c r="AN208" s="127">
        <v>0.03</v>
      </c>
      <c r="AO208" s="18">
        <v>5.3999999999999999E-2</v>
      </c>
      <c r="AP208" s="18">
        <v>1.18</v>
      </c>
      <c r="AQ208" s="18">
        <v>1.2E-2</v>
      </c>
      <c r="AR208" s="18">
        <v>2.1999999999999999E-2</v>
      </c>
      <c r="AS208" s="18">
        <v>0</v>
      </c>
      <c r="AT208" s="18">
        <v>0</v>
      </c>
      <c r="AU208" s="18">
        <v>0</v>
      </c>
      <c r="AV208" s="18"/>
      <c r="AW208" s="18">
        <v>0</v>
      </c>
      <c r="AX208" s="127">
        <v>0.152</v>
      </c>
      <c r="AY208" s="127">
        <v>0.83399999999999996</v>
      </c>
      <c r="AZ208" s="127">
        <v>0.02</v>
      </c>
      <c r="BA208" s="127">
        <v>0.28799999999999998</v>
      </c>
      <c r="BB208" s="18"/>
      <c r="BC208" s="127">
        <v>0.91900000000000004</v>
      </c>
      <c r="BD208" s="18"/>
      <c r="BE208" s="18"/>
      <c r="BF208" s="18"/>
      <c r="BG208" s="18"/>
      <c r="BH208" s="127">
        <v>4.0000000000000001E-3</v>
      </c>
      <c r="BI208" s="127">
        <v>5.87</v>
      </c>
      <c r="BJ208" s="18">
        <v>9.4E-2</v>
      </c>
      <c r="BK208" s="127">
        <v>0.26400000000000001</v>
      </c>
      <c r="BL208" s="127">
        <v>0.28399999999999997</v>
      </c>
      <c r="BM208" s="127">
        <v>0.02</v>
      </c>
      <c r="BN208" s="127">
        <v>0.06</v>
      </c>
      <c r="BO208" s="18">
        <v>2.1000000000000001E-2</v>
      </c>
      <c r="BP208" s="18">
        <v>6.0000000000000001E-3</v>
      </c>
      <c r="BQ208" s="18">
        <v>1.7999999999999999E-2</v>
      </c>
      <c r="BR208" s="18">
        <v>1.0999999999999999E-2</v>
      </c>
      <c r="BS208" s="18">
        <v>5.0000000000000001E-3</v>
      </c>
      <c r="BT208" s="18">
        <v>1.2999999999999999E-2</v>
      </c>
      <c r="BU208" s="18"/>
      <c r="BV208" s="18">
        <v>1.7000000000000001E-2</v>
      </c>
      <c r="BW208" s="18">
        <v>4.0000000000000001E-3</v>
      </c>
      <c r="BX208" s="18">
        <v>0.01</v>
      </c>
      <c r="BY208" s="127">
        <v>4.4999999999999998E-2</v>
      </c>
      <c r="BZ208" s="18">
        <v>2.1000000000000001E-2</v>
      </c>
      <c r="CA208" s="127">
        <v>4.5999999999999999E-2</v>
      </c>
      <c r="CB208" s="127">
        <v>7.2999999999999995E-2</v>
      </c>
      <c r="CC208" s="127">
        <v>1.2E-2</v>
      </c>
      <c r="CE208">
        <f t="shared" si="114"/>
        <v>7.0383693045563556</v>
      </c>
      <c r="CF208">
        <f t="shared" si="115"/>
        <v>22.234848484848484</v>
      </c>
      <c r="CG208">
        <f t="shared" si="116"/>
        <v>3.1590909090909087</v>
      </c>
      <c r="CH208">
        <f t="shared" si="117"/>
        <v>0.92957746478873249</v>
      </c>
      <c r="CI208">
        <f t="shared" si="118"/>
        <v>78.939393939393938</v>
      </c>
      <c r="CJ208">
        <f t="shared" si="119"/>
        <v>0.43461939520333676</v>
      </c>
      <c r="CK208">
        <f t="shared" si="120"/>
        <v>73.380281690140848</v>
      </c>
      <c r="CL208">
        <f t="shared" si="121"/>
        <v>2.9366197183098595</v>
      </c>
      <c r="CM208">
        <f t="shared" si="122"/>
        <v>20.669014084507044</v>
      </c>
      <c r="CN208">
        <f t="shared" si="123"/>
        <v>20.669014084507044</v>
      </c>
      <c r="CO208">
        <f t="shared" si="124"/>
        <v>0.15845070422535212</v>
      </c>
      <c r="CP208">
        <f t="shared" si="125"/>
        <v>3.833333333333333</v>
      </c>
      <c r="CQ208">
        <f t="shared" si="126"/>
        <v>0.17424242424242423</v>
      </c>
      <c r="CR208">
        <f t="shared" si="127"/>
        <v>3.481060606060606</v>
      </c>
      <c r="CS208">
        <f t="shared" si="128"/>
        <v>1.0909090909090908</v>
      </c>
      <c r="CT208">
        <f t="shared" si="129"/>
        <v>0.18225419664268586</v>
      </c>
      <c r="CU208">
        <f t="shared" si="130"/>
        <v>7.575757575757576E-2</v>
      </c>
      <c r="CV208">
        <f t="shared" si="131"/>
        <v>0.53947709034429192</v>
      </c>
      <c r="CW208">
        <f t="shared" si="132"/>
        <v>0.11363636363636363</v>
      </c>
      <c r="CX208">
        <f t="shared" si="133"/>
        <v>0.31338411316648529</v>
      </c>
      <c r="CY208">
        <f t="shared" si="134"/>
        <v>0.17045454545454544</v>
      </c>
      <c r="CZ208">
        <f t="shared" si="135"/>
        <v>6.083333333333333</v>
      </c>
      <c r="DA208">
        <f t="shared" si="136"/>
        <v>1.8947368421052631</v>
      </c>
      <c r="DB208">
        <f t="shared" si="137"/>
        <v>0.34532374100719421</v>
      </c>
      <c r="DC208">
        <f t="shared" si="138"/>
        <v>14.399999999999999</v>
      </c>
      <c r="DD208">
        <f t="shared" si="139"/>
        <v>1.0140845070422535</v>
      </c>
      <c r="DE208">
        <f t="shared" si="140"/>
        <v>181.62878787878788</v>
      </c>
      <c r="DF208">
        <f t="shared" si="141"/>
        <v>57.494004796163075</v>
      </c>
      <c r="DG208">
        <f t="shared" si="142"/>
        <v>24.98800959232614</v>
      </c>
      <c r="DH208">
        <f t="shared" si="143"/>
        <v>7.0383693045563556</v>
      </c>
      <c r="DI208">
        <f t="shared" si="144"/>
        <v>1.1019184652278178</v>
      </c>
      <c r="DJ208">
        <f t="shared" si="145"/>
        <v>1.4388489208633094E-2</v>
      </c>
      <c r="DK208">
        <f t="shared" si="146"/>
        <v>9.2810504886710152</v>
      </c>
      <c r="DL208">
        <f t="shared" si="147"/>
        <v>36.177155986452327</v>
      </c>
      <c r="DM208">
        <f t="shared" si="148"/>
        <v>2.9378864856224798</v>
      </c>
      <c r="DN208">
        <f t="shared" si="149"/>
        <v>0.417410107156584</v>
      </c>
      <c r="DO208">
        <f t="shared" si="150"/>
        <v>11.45176160722232</v>
      </c>
      <c r="DP208">
        <f t="shared" si="151"/>
        <v>1.6270475605491335</v>
      </c>
    </row>
    <row r="209" spans="1:120">
      <c r="A209" s="16" t="s">
        <v>641</v>
      </c>
      <c r="B209" s="16" t="s">
        <v>24</v>
      </c>
      <c r="C209" s="124" t="s">
        <v>541</v>
      </c>
      <c r="D209" s="16" t="s">
        <v>110</v>
      </c>
      <c r="E209" s="16" t="s">
        <v>237</v>
      </c>
      <c r="F209" s="16" t="s">
        <v>639</v>
      </c>
      <c r="G209" s="16" t="s">
        <v>640</v>
      </c>
      <c r="H209" s="27"/>
      <c r="I209" s="16" t="s">
        <v>712</v>
      </c>
      <c r="J209" s="16" t="s">
        <v>635</v>
      </c>
      <c r="K209" s="16" t="s">
        <v>642</v>
      </c>
      <c r="L209" s="16"/>
      <c r="M209" s="16" t="s">
        <v>628</v>
      </c>
      <c r="N209" s="16" t="s">
        <v>1084</v>
      </c>
      <c r="O209" s="95">
        <v>59.176329468212721</v>
      </c>
      <c r="P209" s="95">
        <v>2.7189124350259894</v>
      </c>
      <c r="Q209" s="95">
        <v>12.814874050379849</v>
      </c>
      <c r="R209" s="95">
        <v>1.4794082367053178</v>
      </c>
      <c r="S209" s="95">
        <v>1.8892443022790881</v>
      </c>
      <c r="T209" s="95">
        <v>5.7377049180327866</v>
      </c>
      <c r="U209" s="95">
        <v>0.45981607357057175</v>
      </c>
      <c r="V209" s="95">
        <v>0.72970811675329861</v>
      </c>
      <c r="W209" s="95">
        <v>8.5665733706517386</v>
      </c>
      <c r="X209" s="95">
        <v>6.4274290283886444</v>
      </c>
      <c r="Y209" s="95">
        <v>0</v>
      </c>
      <c r="Z209" s="95">
        <v>100</v>
      </c>
      <c r="AA209" s="18"/>
      <c r="AB209" s="18"/>
      <c r="AC209" s="18"/>
      <c r="AD209" s="18">
        <v>46.1</v>
      </c>
      <c r="AE209" s="127">
        <v>45.13</v>
      </c>
      <c r="AF209" s="127">
        <v>198.38</v>
      </c>
      <c r="AG209" s="18">
        <v>24.43</v>
      </c>
      <c r="AH209" s="18">
        <v>448.53</v>
      </c>
      <c r="AI209" s="18">
        <v>168.13</v>
      </c>
      <c r="AJ209" s="18">
        <v>57.79</v>
      </c>
      <c r="AK209" s="134">
        <v>2.19</v>
      </c>
      <c r="AL209" s="18">
        <v>0.999</v>
      </c>
      <c r="AM209" s="134">
        <v>50.15</v>
      </c>
      <c r="AN209" s="127">
        <v>0.39600000000000002</v>
      </c>
      <c r="AO209" s="18">
        <v>0.307</v>
      </c>
      <c r="AP209" s="18">
        <v>2.37</v>
      </c>
      <c r="AQ209" s="18">
        <v>4.5999999999999999E-2</v>
      </c>
      <c r="AR209" s="18">
        <v>0.11600000000000001</v>
      </c>
      <c r="AS209" s="18">
        <v>0</v>
      </c>
      <c r="AT209" s="18">
        <v>0</v>
      </c>
      <c r="AU209" s="18">
        <v>0</v>
      </c>
      <c r="AV209" s="18"/>
      <c r="AW209" s="18">
        <v>0</v>
      </c>
      <c r="AX209" s="127">
        <v>1.2030000000000001</v>
      </c>
      <c r="AY209" s="127">
        <v>7.88</v>
      </c>
      <c r="AZ209" s="127">
        <v>6.2E-2</v>
      </c>
      <c r="BA209" s="127">
        <v>1.46</v>
      </c>
      <c r="BB209" s="18"/>
      <c r="BC209" s="127">
        <v>1.55</v>
      </c>
      <c r="BD209" s="18"/>
      <c r="BE209" s="18"/>
      <c r="BF209" s="18"/>
      <c r="BG209" s="18"/>
      <c r="BH209" s="127">
        <v>1.6E-2</v>
      </c>
      <c r="BI209" s="127">
        <v>24.31</v>
      </c>
      <c r="BJ209" s="18">
        <v>0.20399999999999999</v>
      </c>
      <c r="BK209" s="127">
        <v>1.1759999999999999</v>
      </c>
      <c r="BL209" s="127">
        <v>1.55</v>
      </c>
      <c r="BM209" s="127">
        <v>0.16800000000000001</v>
      </c>
      <c r="BN209" s="127">
        <v>0.55300000000000005</v>
      </c>
      <c r="BO209" s="18">
        <v>5.5E-2</v>
      </c>
      <c r="BP209" s="18">
        <v>1.9E-2</v>
      </c>
      <c r="BQ209" s="18">
        <v>3.9E-2</v>
      </c>
      <c r="BR209" s="18">
        <v>2.5000000000000001E-2</v>
      </c>
      <c r="BS209" s="18">
        <v>2E-3</v>
      </c>
      <c r="BT209" s="18">
        <v>8.0000000000000002E-3</v>
      </c>
      <c r="BU209" s="18"/>
      <c r="BV209" s="18">
        <v>8.9999999999999993E-3</v>
      </c>
      <c r="BW209" s="18">
        <v>2E-3</v>
      </c>
      <c r="BX209" s="18">
        <v>4.7E-2</v>
      </c>
      <c r="BY209" s="127">
        <v>7.6999999999999999E-2</v>
      </c>
      <c r="BZ209" s="18">
        <v>4.8000000000000001E-2</v>
      </c>
      <c r="CA209" s="127">
        <v>0.11700000000000001</v>
      </c>
      <c r="CB209" s="127">
        <v>0.16400000000000001</v>
      </c>
      <c r="CC209" s="127">
        <v>3.4000000000000002E-2</v>
      </c>
      <c r="CE209">
        <f t="shared" si="114"/>
        <v>3.0850253807106598</v>
      </c>
      <c r="CF209">
        <f t="shared" si="115"/>
        <v>20.671768707482993</v>
      </c>
      <c r="CG209">
        <f t="shared" si="116"/>
        <v>6.7006802721088441</v>
      </c>
      <c r="CH209">
        <f t="shared" si="117"/>
        <v>0.7587096774193548</v>
      </c>
      <c r="CI209">
        <f t="shared" si="118"/>
        <v>38.375850340136061</v>
      </c>
      <c r="CJ209">
        <f t="shared" si="119"/>
        <v>0.2274926907954431</v>
      </c>
      <c r="CK209">
        <f t="shared" si="120"/>
        <v>29.116129032258065</v>
      </c>
      <c r="CL209">
        <f t="shared" si="121"/>
        <v>5.0838709677419356</v>
      </c>
      <c r="CM209">
        <f t="shared" si="122"/>
        <v>15.683870967741933</v>
      </c>
      <c r="CN209">
        <f t="shared" si="123"/>
        <v>15.683870967741933</v>
      </c>
      <c r="CO209">
        <f t="shared" si="124"/>
        <v>4.9677419354838707E-2</v>
      </c>
      <c r="CP209">
        <f t="shared" si="125"/>
        <v>3.4411764705882351</v>
      </c>
      <c r="CQ209">
        <f t="shared" si="126"/>
        <v>9.948979591836736E-2</v>
      </c>
      <c r="CR209">
        <f t="shared" si="127"/>
        <v>1.3180272108843538</v>
      </c>
      <c r="CS209">
        <f t="shared" si="128"/>
        <v>1.2414965986394557</v>
      </c>
      <c r="CT209">
        <f t="shared" si="129"/>
        <v>0.15266497461928935</v>
      </c>
      <c r="CU209">
        <f t="shared" si="130"/>
        <v>5.2721088435374153E-2</v>
      </c>
      <c r="CV209">
        <f t="shared" si="131"/>
        <v>0.89990029910269198</v>
      </c>
      <c r="CW209">
        <f t="shared" si="132"/>
        <v>0.33673469387755106</v>
      </c>
      <c r="CX209">
        <f t="shared" si="133"/>
        <v>0.9419354838709677</v>
      </c>
      <c r="CY209">
        <f t="shared" si="134"/>
        <v>6.5476190476190479E-2</v>
      </c>
      <c r="CZ209">
        <f t="shared" si="135"/>
        <v>4.8235294117647056</v>
      </c>
      <c r="DA209">
        <f t="shared" si="136"/>
        <v>1.2136325852036574</v>
      </c>
      <c r="DB209">
        <f t="shared" si="137"/>
        <v>0.18527918781725888</v>
      </c>
      <c r="DC209">
        <f t="shared" si="138"/>
        <v>23.548387096774192</v>
      </c>
      <c r="DD209">
        <f t="shared" si="139"/>
        <v>0.9419354838709677</v>
      </c>
      <c r="DE209">
        <f t="shared" si="140"/>
        <v>168.6904761904762</v>
      </c>
      <c r="DF209">
        <f t="shared" si="141"/>
        <v>25.175126903553299</v>
      </c>
      <c r="DG209">
        <f t="shared" si="142"/>
        <v>5.7271573604060917</v>
      </c>
      <c r="DH209">
        <f t="shared" si="143"/>
        <v>3.0850253807106598</v>
      </c>
      <c r="DI209">
        <f t="shared" si="144"/>
        <v>0.1967005076142132</v>
      </c>
      <c r="DJ209">
        <f t="shared" si="145"/>
        <v>4.3147208121827414E-3</v>
      </c>
      <c r="DK209">
        <f t="shared" si="146"/>
        <v>1.6065002570400411</v>
      </c>
      <c r="DL209">
        <f t="shared" si="147"/>
        <v>10.897001743520281</v>
      </c>
      <c r="DM209">
        <f t="shared" si="148"/>
        <v>0.23975181501003656</v>
      </c>
      <c r="DN209">
        <f t="shared" si="149"/>
        <v>7.7714697749036943E-2</v>
      </c>
      <c r="DO209">
        <f t="shared" si="150"/>
        <v>1.6262530520786611</v>
      </c>
      <c r="DP209">
        <f t="shared" si="151"/>
        <v>0.52714414028711842</v>
      </c>
    </row>
    <row r="210" spans="1:120">
      <c r="A210" s="16" t="s">
        <v>641</v>
      </c>
      <c r="B210" s="16" t="s">
        <v>24</v>
      </c>
      <c r="C210" s="124" t="s">
        <v>541</v>
      </c>
      <c r="D210" s="16" t="s">
        <v>110</v>
      </c>
      <c r="E210" s="16" t="s">
        <v>237</v>
      </c>
      <c r="F210" s="16" t="s">
        <v>639</v>
      </c>
      <c r="G210" s="16" t="s">
        <v>640</v>
      </c>
      <c r="H210" s="27"/>
      <c r="I210" s="16" t="s">
        <v>712</v>
      </c>
      <c r="J210" s="16" t="s">
        <v>635</v>
      </c>
      <c r="K210" s="16" t="s">
        <v>642</v>
      </c>
      <c r="L210" s="16" t="s">
        <v>160</v>
      </c>
      <c r="M210" s="16" t="s">
        <v>621</v>
      </c>
      <c r="N210" s="16" t="s">
        <v>1084</v>
      </c>
      <c r="O210" s="95">
        <v>41.779110444777615</v>
      </c>
      <c r="P210" s="95">
        <v>0.10994502748625688</v>
      </c>
      <c r="Q210" s="95">
        <v>22.08895552223888</v>
      </c>
      <c r="R210" s="95">
        <v>6.3568215892053983</v>
      </c>
      <c r="S210" s="95">
        <v>6.6466766616691668</v>
      </c>
      <c r="T210" s="95">
        <v>19.890054972513742</v>
      </c>
      <c r="U210" s="95">
        <v>0</v>
      </c>
      <c r="V210" s="95">
        <v>0.77961019490254879</v>
      </c>
      <c r="W210" s="95">
        <v>1.9190404797601197</v>
      </c>
      <c r="X210" s="95">
        <v>0.42978510744627685</v>
      </c>
      <c r="Y210" s="95">
        <v>0</v>
      </c>
      <c r="Z210" s="95">
        <v>99.999999999999986</v>
      </c>
      <c r="AA210" s="18"/>
      <c r="AB210" s="18"/>
      <c r="AC210" s="18"/>
      <c r="AD210" s="18">
        <v>57.33</v>
      </c>
      <c r="AE210" s="127">
        <v>44.95</v>
      </c>
      <c r="AF210" s="127">
        <v>10.29</v>
      </c>
      <c r="AG210" s="18">
        <v>16.16</v>
      </c>
      <c r="AH210" s="18">
        <v>125.04</v>
      </c>
      <c r="AI210" s="18">
        <v>152.97</v>
      </c>
      <c r="AJ210" s="18">
        <v>11.28</v>
      </c>
      <c r="AK210" s="134">
        <v>2</v>
      </c>
      <c r="AL210" s="18">
        <v>2.0699999999999998</v>
      </c>
      <c r="AM210" s="134">
        <v>45.61</v>
      </c>
      <c r="AN210" s="127">
        <v>2.8000000000000001E-2</v>
      </c>
      <c r="AO210" s="18">
        <v>0.16500000000000001</v>
      </c>
      <c r="AP210" s="18">
        <v>1.29</v>
      </c>
      <c r="AQ210" s="18">
        <v>2.5999999999999999E-2</v>
      </c>
      <c r="AR210" s="18">
        <v>1.4E-2</v>
      </c>
      <c r="AS210" s="18">
        <v>0</v>
      </c>
      <c r="AT210" s="18">
        <v>0</v>
      </c>
      <c r="AU210" s="18">
        <v>0</v>
      </c>
      <c r="AV210" s="18">
        <v>0</v>
      </c>
      <c r="AW210" s="18">
        <v>0</v>
      </c>
      <c r="AX210" s="127">
        <v>0.38300000000000001</v>
      </c>
      <c r="AY210" s="127">
        <v>3.46</v>
      </c>
      <c r="AZ210" s="127">
        <v>4.2000000000000003E-2</v>
      </c>
      <c r="BA210" s="127">
        <v>0.188</v>
      </c>
      <c r="BB210" s="18"/>
      <c r="BC210" s="127">
        <v>0.61799999999999999</v>
      </c>
      <c r="BD210" s="18"/>
      <c r="BE210" s="18"/>
      <c r="BF210" s="18"/>
      <c r="BG210" s="18"/>
      <c r="BH210" s="127">
        <v>1.0999999999999999E-2</v>
      </c>
      <c r="BI210" s="127">
        <v>19.38</v>
      </c>
      <c r="BJ210" s="18">
        <v>0.08</v>
      </c>
      <c r="BK210" s="127">
        <v>1.0900000000000001</v>
      </c>
      <c r="BL210" s="127">
        <v>1.24</v>
      </c>
      <c r="BM210" s="127">
        <v>0.121</v>
      </c>
      <c r="BN210" s="127">
        <v>0.35499999999999998</v>
      </c>
      <c r="BO210" s="18">
        <v>5.7000000000000002E-2</v>
      </c>
      <c r="BP210" s="18">
        <v>0.01</v>
      </c>
      <c r="BQ210" s="18">
        <v>1.7000000000000001E-2</v>
      </c>
      <c r="BR210" s="18">
        <v>0.01</v>
      </c>
      <c r="BS210" s="18">
        <v>3.0000000000000001E-3</v>
      </c>
      <c r="BT210" s="18">
        <v>1.2E-2</v>
      </c>
      <c r="BU210" s="18"/>
      <c r="BV210" s="18">
        <v>1.6E-2</v>
      </c>
      <c r="BW210" s="18">
        <v>3.0000000000000001E-3</v>
      </c>
      <c r="BX210" s="18">
        <v>1.0999999999999999E-2</v>
      </c>
      <c r="BY210" s="127">
        <v>7.0000000000000001E-3</v>
      </c>
      <c r="BZ210" s="18">
        <v>4.1000000000000002E-2</v>
      </c>
      <c r="CA210" s="127">
        <v>8.8999999999999996E-2</v>
      </c>
      <c r="CB210" s="127">
        <v>0.23499999999999999</v>
      </c>
      <c r="CC210" s="127">
        <v>4.1000000000000002E-2</v>
      </c>
      <c r="CE210">
        <f t="shared" si="114"/>
        <v>5.601156069364162</v>
      </c>
      <c r="CF210">
        <f t="shared" si="115"/>
        <v>17.779816513761467</v>
      </c>
      <c r="CG210">
        <f t="shared" si="116"/>
        <v>3.1743119266055042</v>
      </c>
      <c r="CH210">
        <f t="shared" si="117"/>
        <v>0.87903225806451624</v>
      </c>
      <c r="CI210">
        <f t="shared" si="118"/>
        <v>41.238532110091739</v>
      </c>
      <c r="CJ210">
        <f t="shared" si="119"/>
        <v>4.368318756073859</v>
      </c>
      <c r="CK210">
        <f t="shared" si="120"/>
        <v>36.25</v>
      </c>
      <c r="CL210">
        <f t="shared" si="121"/>
        <v>2.7903225806451615</v>
      </c>
      <c r="CM210">
        <f t="shared" si="122"/>
        <v>15.629032258064516</v>
      </c>
      <c r="CN210">
        <f t="shared" si="123"/>
        <v>15.629032258064516</v>
      </c>
      <c r="CO210">
        <f t="shared" si="124"/>
        <v>5.6451612903225812E-3</v>
      </c>
      <c r="CP210">
        <f t="shared" si="125"/>
        <v>2.1707317073170729</v>
      </c>
      <c r="CQ210">
        <f t="shared" si="126"/>
        <v>8.1651376146788981E-2</v>
      </c>
      <c r="CR210">
        <f t="shared" si="127"/>
        <v>0.56697247706422016</v>
      </c>
      <c r="CS210">
        <f t="shared" si="128"/>
        <v>0.17247706422018347</v>
      </c>
      <c r="CT210">
        <f t="shared" si="129"/>
        <v>0.11069364161849711</v>
      </c>
      <c r="CU210">
        <f t="shared" si="130"/>
        <v>3.8532110091743121E-2</v>
      </c>
      <c r="CV210">
        <f t="shared" si="131"/>
        <v>0.98552948914711691</v>
      </c>
      <c r="CW210">
        <f t="shared" si="132"/>
        <v>2.5688073394495411E-2</v>
      </c>
      <c r="CX210">
        <f t="shared" si="133"/>
        <v>0.30420711974110032</v>
      </c>
      <c r="CY210">
        <f t="shared" si="134"/>
        <v>6.4220183486238527E-3</v>
      </c>
      <c r="CZ210">
        <f t="shared" si="135"/>
        <v>5.7317073170731705</v>
      </c>
      <c r="DA210">
        <f t="shared" si="136"/>
        <v>0.49086161879895562</v>
      </c>
      <c r="DB210">
        <f t="shared" si="137"/>
        <v>5.4335260115606937E-2</v>
      </c>
      <c r="DC210">
        <f t="shared" si="138"/>
        <v>4.4761904761904763</v>
      </c>
      <c r="DD210">
        <f t="shared" si="139"/>
        <v>0.15161290322580645</v>
      </c>
      <c r="DE210">
        <f t="shared" si="140"/>
        <v>9.4403669724770634</v>
      </c>
      <c r="DF210">
        <f t="shared" si="141"/>
        <v>2.9739884393063583</v>
      </c>
      <c r="DG210">
        <f t="shared" si="142"/>
        <v>12.991329479768787</v>
      </c>
      <c r="DH210">
        <f t="shared" si="143"/>
        <v>5.601156069364162</v>
      </c>
      <c r="DI210">
        <f t="shared" si="144"/>
        <v>0.17861271676300577</v>
      </c>
      <c r="DJ210">
        <f t="shared" si="145"/>
        <v>1.1849710982658961E-2</v>
      </c>
      <c r="DK210">
        <f t="shared" si="146"/>
        <v>6.097868496944189</v>
      </c>
      <c r="DL210">
        <f t="shared" si="147"/>
        <v>20.265096809393466</v>
      </c>
      <c r="DM210">
        <f t="shared" si="148"/>
        <v>1.92100481551132</v>
      </c>
      <c r="DN210">
        <f t="shared" si="149"/>
        <v>0.34296577201595291</v>
      </c>
      <c r="DO210">
        <f t="shared" si="150"/>
        <v>6.3840911913985199</v>
      </c>
      <c r="DP210">
        <f t="shared" si="151"/>
        <v>1.1397809866996327</v>
      </c>
    </row>
    <row r="211" spans="1:120">
      <c r="A211" s="16" t="s">
        <v>672</v>
      </c>
      <c r="B211" s="16" t="s">
        <v>24</v>
      </c>
      <c r="C211" s="124" t="s">
        <v>541</v>
      </c>
      <c r="D211" s="16" t="s">
        <v>1723</v>
      </c>
      <c r="E211" s="16" t="s">
        <v>237</v>
      </c>
      <c r="F211" s="16" t="s">
        <v>29</v>
      </c>
      <c r="G211" s="16" t="s">
        <v>595</v>
      </c>
      <c r="H211" s="27">
        <v>360</v>
      </c>
      <c r="I211" s="16" t="s">
        <v>735</v>
      </c>
      <c r="J211" s="16" t="s">
        <v>1496</v>
      </c>
      <c r="K211" s="16"/>
      <c r="L211" s="16"/>
      <c r="M211" s="16" t="s">
        <v>105</v>
      </c>
      <c r="N211" s="16">
        <v>20</v>
      </c>
      <c r="O211" s="95">
        <v>46.557810204579546</v>
      </c>
      <c r="P211" s="95">
        <v>4.5596801386127535</v>
      </c>
      <c r="Q211" s="95">
        <v>12.912278060690378</v>
      </c>
      <c r="R211" s="95">
        <v>10.744896470139022</v>
      </c>
      <c r="S211" s="95">
        <v>2.7296739843264688</v>
      </c>
      <c r="T211" s="95">
        <v>2.5456510190909767</v>
      </c>
      <c r="U211" s="95">
        <v>0</v>
      </c>
      <c r="V211" s="95">
        <v>1.5641952045016845</v>
      </c>
      <c r="W211" s="95">
        <v>13.515464446740047</v>
      </c>
      <c r="X211" s="95">
        <v>2.9545909418365155</v>
      </c>
      <c r="Y211" s="95">
        <v>2.4740865326105075</v>
      </c>
      <c r="Z211" s="95">
        <v>100.55832700312791</v>
      </c>
      <c r="AA211" s="18"/>
      <c r="AB211" s="18"/>
      <c r="AC211" s="18"/>
      <c r="AD211" s="18">
        <v>23</v>
      </c>
      <c r="AE211" s="127">
        <v>56</v>
      </c>
      <c r="AF211" s="127">
        <v>25</v>
      </c>
      <c r="AG211" s="18"/>
      <c r="AH211" s="18">
        <v>24</v>
      </c>
      <c r="AI211" s="18">
        <v>73</v>
      </c>
      <c r="AJ211" s="18">
        <v>3</v>
      </c>
      <c r="AK211" s="134"/>
      <c r="AL211" s="18">
        <v>0.99</v>
      </c>
      <c r="AM211" s="134">
        <v>349</v>
      </c>
      <c r="AN211" s="127">
        <v>2.0920000000000001</v>
      </c>
      <c r="AO211" s="18">
        <v>3.21</v>
      </c>
      <c r="AP211" s="18"/>
      <c r="AQ211" s="18">
        <v>0.34699999999999998</v>
      </c>
      <c r="AR211" s="18">
        <v>2.4E-2</v>
      </c>
      <c r="AS211" s="18"/>
      <c r="AT211" s="18"/>
      <c r="AU211" s="18"/>
      <c r="AV211" s="18"/>
      <c r="AW211" s="18"/>
      <c r="AX211" s="127">
        <v>0.05</v>
      </c>
      <c r="AY211" s="127">
        <v>0.2</v>
      </c>
      <c r="AZ211" s="127">
        <v>5.0000000000000001E-3</v>
      </c>
      <c r="BA211" s="127">
        <v>0.20599999999999999</v>
      </c>
      <c r="BB211" s="18"/>
      <c r="BC211" s="127">
        <v>7.5999999999999998E-2</v>
      </c>
      <c r="BD211" s="18"/>
      <c r="BE211" s="18"/>
      <c r="BF211" s="18"/>
      <c r="BG211" s="18"/>
      <c r="BH211" s="127">
        <v>4.0000000000000001E-3</v>
      </c>
      <c r="BI211" s="127">
        <v>2.0299999999999998</v>
      </c>
      <c r="BJ211" s="18">
        <v>7.03</v>
      </c>
      <c r="BK211" s="127">
        <v>5.7000000000000002E-2</v>
      </c>
      <c r="BL211" s="127">
        <v>7.9000000000000001E-2</v>
      </c>
      <c r="BM211" s="127">
        <v>8.0000000000000002E-3</v>
      </c>
      <c r="BN211" s="127">
        <v>3.2000000000000001E-2</v>
      </c>
      <c r="BO211" s="18">
        <v>1.7999999999999999E-2</v>
      </c>
      <c r="BP211" s="18">
        <v>4.0000000000000001E-3</v>
      </c>
      <c r="BQ211" s="18">
        <v>3.0000000000000001E-3</v>
      </c>
      <c r="BR211" s="18">
        <v>4.0000000000000001E-3</v>
      </c>
      <c r="BS211" s="18">
        <v>1E-3</v>
      </c>
      <c r="BT211" s="18" t="s">
        <v>1366</v>
      </c>
      <c r="BU211" s="18"/>
      <c r="BV211" s="18" t="s">
        <v>1366</v>
      </c>
      <c r="BW211" s="18" t="s">
        <v>1366</v>
      </c>
      <c r="BX211" s="18">
        <v>6.0000000000000001E-3</v>
      </c>
      <c r="BY211" s="127">
        <v>6.0000000000000001E-3</v>
      </c>
      <c r="BZ211" s="18"/>
      <c r="CA211" s="127">
        <v>2.23</v>
      </c>
      <c r="CB211" s="127">
        <v>7.0000000000000001E-3</v>
      </c>
      <c r="CC211" s="127">
        <v>3.0000000000000001E-3</v>
      </c>
      <c r="CE211">
        <f t="shared" si="114"/>
        <v>10.149999999999999</v>
      </c>
      <c r="CF211">
        <f t="shared" si="115"/>
        <v>35.614035087719294</v>
      </c>
      <c r="CG211">
        <f t="shared" si="116"/>
        <v>3.5087719298245617</v>
      </c>
      <c r="CH211">
        <f t="shared" si="117"/>
        <v>0.72151898734177222</v>
      </c>
      <c r="CI211">
        <f t="shared" si="118"/>
        <v>982.45614035087715</v>
      </c>
      <c r="CJ211">
        <f t="shared" si="119"/>
        <v>2.2400000000000002</v>
      </c>
      <c r="CK211">
        <f t="shared" si="120"/>
        <v>708.86075949367091</v>
      </c>
      <c r="CL211">
        <f t="shared" si="121"/>
        <v>2.5316455696202533</v>
      </c>
      <c r="CM211">
        <f t="shared" si="122"/>
        <v>25.696202531645568</v>
      </c>
      <c r="CN211">
        <f t="shared" si="123"/>
        <v>25.696202531645568</v>
      </c>
      <c r="CO211">
        <f t="shared" si="124"/>
        <v>7.5949367088607597E-2</v>
      </c>
      <c r="CP211">
        <f t="shared" si="125"/>
        <v>743.33333333333326</v>
      </c>
      <c r="CQ211">
        <f t="shared" si="126"/>
        <v>39.122807017543856</v>
      </c>
      <c r="CR211">
        <f t="shared" si="127"/>
        <v>1.3333333333333333</v>
      </c>
      <c r="CS211">
        <f t="shared" si="128"/>
        <v>3.6140350877192979</v>
      </c>
      <c r="CT211">
        <f t="shared" si="129"/>
        <v>0.25</v>
      </c>
      <c r="CU211">
        <f t="shared" si="130"/>
        <v>8.771929824561403E-2</v>
      </c>
      <c r="CV211">
        <f t="shared" si="131"/>
        <v>0.16045845272206305</v>
      </c>
      <c r="CW211">
        <f t="shared" si="132"/>
        <v>36.701754385964911</v>
      </c>
      <c r="CX211">
        <f t="shared" si="133"/>
        <v>2.7105263157894735</v>
      </c>
      <c r="CY211">
        <f t="shared" si="134"/>
        <v>0.10526315789473684</v>
      </c>
      <c r="CZ211">
        <f t="shared" si="135"/>
        <v>2.3333333333333335</v>
      </c>
      <c r="DA211">
        <f t="shared" si="136"/>
        <v>4.1199999999999992</v>
      </c>
      <c r="DB211">
        <f t="shared" si="137"/>
        <v>1.0299999999999998</v>
      </c>
      <c r="DC211">
        <f t="shared" si="138"/>
        <v>41.199999999999996</v>
      </c>
      <c r="DD211">
        <f t="shared" si="139"/>
        <v>2.6075949367088604</v>
      </c>
      <c r="DE211">
        <f t="shared" si="140"/>
        <v>438.59649122807014</v>
      </c>
      <c r="DF211">
        <f t="shared" si="141"/>
        <v>125</v>
      </c>
      <c r="DG211">
        <f t="shared" si="142"/>
        <v>280</v>
      </c>
      <c r="DH211">
        <f t="shared" si="143"/>
        <v>10.149999999999999</v>
      </c>
      <c r="DI211">
        <f t="shared" si="144"/>
        <v>0.37999999999999995</v>
      </c>
      <c r="DJ211">
        <f t="shared" si="145"/>
        <v>1.4999999999999999E-2</v>
      </c>
      <c r="DK211">
        <f t="shared" si="146"/>
        <v>47.889017268885418</v>
      </c>
      <c r="DL211">
        <f t="shared" si="147"/>
        <v>226.53119404719959</v>
      </c>
      <c r="DM211">
        <f t="shared" si="148"/>
        <v>13.648369921632343</v>
      </c>
      <c r="DN211">
        <f t="shared" si="149"/>
        <v>1.3446669873529404</v>
      </c>
      <c r="DO211">
        <f t="shared" si="150"/>
        <v>64.561390303451887</v>
      </c>
      <c r="DP211">
        <f t="shared" si="151"/>
        <v>6.360728108714472</v>
      </c>
    </row>
    <row r="212" spans="1:120">
      <c r="A212" s="16" t="s">
        <v>672</v>
      </c>
      <c r="B212" s="16" t="s">
        <v>24</v>
      </c>
      <c r="C212" s="124" t="s">
        <v>541</v>
      </c>
      <c r="D212" s="16" t="s">
        <v>1723</v>
      </c>
      <c r="E212" s="16" t="s">
        <v>237</v>
      </c>
      <c r="F212" s="16" t="s">
        <v>29</v>
      </c>
      <c r="G212" s="16" t="s">
        <v>595</v>
      </c>
      <c r="H212" s="27">
        <v>360</v>
      </c>
      <c r="I212" s="16" t="s">
        <v>735</v>
      </c>
      <c r="J212" s="16" t="s">
        <v>1496</v>
      </c>
      <c r="K212" s="16"/>
      <c r="L212" s="16"/>
      <c r="M212" s="16" t="s">
        <v>106</v>
      </c>
      <c r="N212" s="16">
        <v>20</v>
      </c>
      <c r="O212" s="95">
        <v>43.600406991393619</v>
      </c>
      <c r="P212" s="95">
        <v>5.2710485042006265</v>
      </c>
      <c r="Q212" s="95">
        <v>10.72490793918278</v>
      </c>
      <c r="R212" s="95">
        <v>19.642018896192699</v>
      </c>
      <c r="S212" s="95">
        <v>3.6866871040940796</v>
      </c>
      <c r="T212" s="95">
        <v>3.422626870742989</v>
      </c>
      <c r="U212" s="95">
        <v>0</v>
      </c>
      <c r="V212" s="95">
        <v>1.3710819808614347</v>
      </c>
      <c r="W212" s="95">
        <v>9.2421081672881886</v>
      </c>
      <c r="X212" s="95">
        <v>2.3156051232326451</v>
      </c>
      <c r="Y212" s="95">
        <v>0.93436697955001469</v>
      </c>
      <c r="Z212" s="95">
        <v>100.21085855673908</v>
      </c>
      <c r="AA212" s="18"/>
      <c r="AB212" s="18"/>
      <c r="AC212" s="18"/>
      <c r="AD212" s="18">
        <v>73</v>
      </c>
      <c r="AE212" s="127">
        <v>69</v>
      </c>
      <c r="AF212" s="127">
        <v>141</v>
      </c>
      <c r="AG212" s="18"/>
      <c r="AH212" s="18">
        <v>361</v>
      </c>
      <c r="AI212" s="18">
        <v>203</v>
      </c>
      <c r="AJ212" s="18">
        <v>98.97</v>
      </c>
      <c r="AK212" s="134"/>
      <c r="AL212" s="18">
        <v>3.68</v>
      </c>
      <c r="AM212" s="134">
        <v>294</v>
      </c>
      <c r="AN212" s="127">
        <v>0.252</v>
      </c>
      <c r="AO212" s="18">
        <v>0.51</v>
      </c>
      <c r="AP212" s="18"/>
      <c r="AQ212" s="18">
        <v>0.14599999999999999</v>
      </c>
      <c r="AR212" s="18">
        <v>5.2999999999999999E-2</v>
      </c>
      <c r="AS212" s="18"/>
      <c r="AT212" s="18"/>
      <c r="AU212" s="18"/>
      <c r="AV212" s="18"/>
      <c r="AW212" s="18"/>
      <c r="AX212" s="127">
        <v>1.9</v>
      </c>
      <c r="AY212" s="127">
        <v>4.91</v>
      </c>
      <c r="AZ212" s="127">
        <v>0.16300000000000001</v>
      </c>
      <c r="BA212" s="127">
        <v>2.2589999999999999</v>
      </c>
      <c r="BB212" s="18"/>
      <c r="BC212" s="127">
        <v>1.7889999999999999</v>
      </c>
      <c r="BD212" s="18"/>
      <c r="BE212" s="18"/>
      <c r="BF212" s="18"/>
      <c r="BG212" s="18"/>
      <c r="BH212" s="127">
        <v>2.4E-2</v>
      </c>
      <c r="BI212" s="127">
        <v>9.44</v>
      </c>
      <c r="BJ212" s="18">
        <v>0.223</v>
      </c>
      <c r="BK212" s="127">
        <v>0.68</v>
      </c>
      <c r="BL212" s="127">
        <v>1.06</v>
      </c>
      <c r="BM212" s="127">
        <v>0.13</v>
      </c>
      <c r="BN212" s="127">
        <v>0.49</v>
      </c>
      <c r="BO212" s="18">
        <v>7.2999999999999995E-2</v>
      </c>
      <c r="BP212" s="18">
        <v>2.1000000000000001E-2</v>
      </c>
      <c r="BQ212" s="18">
        <v>5.8999999999999997E-2</v>
      </c>
      <c r="BR212" s="18">
        <v>3.9E-2</v>
      </c>
      <c r="BS212" s="18">
        <v>7.0000000000000001E-3</v>
      </c>
      <c r="BT212" s="18">
        <v>1.4E-2</v>
      </c>
      <c r="BU212" s="18"/>
      <c r="BV212" s="18">
        <v>0.01</v>
      </c>
      <c r="BW212" s="18">
        <v>2E-3</v>
      </c>
      <c r="BX212" s="18">
        <v>6.7000000000000004E-2</v>
      </c>
      <c r="BY212" s="127">
        <v>7.5999999999999998E-2</v>
      </c>
      <c r="BZ212" s="18"/>
      <c r="CA212" s="127">
        <v>0.111</v>
      </c>
      <c r="CB212" s="127">
        <v>0.126</v>
      </c>
      <c r="CC212" s="127">
        <v>3.2000000000000001E-2</v>
      </c>
      <c r="CE212">
        <f t="shared" si="114"/>
        <v>1.9226069246435844</v>
      </c>
      <c r="CF212">
        <f t="shared" si="115"/>
        <v>13.882352941176469</v>
      </c>
      <c r="CG212">
        <f t="shared" si="116"/>
        <v>7.2205882352941178</v>
      </c>
      <c r="CH212">
        <f t="shared" si="117"/>
        <v>0.64150943396226412</v>
      </c>
      <c r="CI212">
        <f t="shared" si="118"/>
        <v>101.47058823529412</v>
      </c>
      <c r="CJ212">
        <f t="shared" si="119"/>
        <v>0.48936170212765956</v>
      </c>
      <c r="CK212">
        <f t="shared" si="120"/>
        <v>65.094339622641513</v>
      </c>
      <c r="CL212">
        <f t="shared" si="121"/>
        <v>4.632075471698113</v>
      </c>
      <c r="CM212">
        <f t="shared" si="122"/>
        <v>8.9056603773584904</v>
      </c>
      <c r="CN212">
        <f t="shared" si="123"/>
        <v>8.9056603773584904</v>
      </c>
      <c r="CO212">
        <f t="shared" si="124"/>
        <v>7.1698113207547168E-2</v>
      </c>
      <c r="CP212">
        <f t="shared" si="125"/>
        <v>3.46875</v>
      </c>
      <c r="CQ212">
        <f t="shared" si="126"/>
        <v>0.16323529411764706</v>
      </c>
      <c r="CR212">
        <f t="shared" si="127"/>
        <v>2.630882352941176</v>
      </c>
      <c r="CS212">
        <f t="shared" si="128"/>
        <v>3.3220588235294115</v>
      </c>
      <c r="CT212">
        <f t="shared" si="129"/>
        <v>0.38696537678207737</v>
      </c>
      <c r="CU212">
        <f t="shared" si="130"/>
        <v>0.23970588235294116</v>
      </c>
      <c r="CV212">
        <f t="shared" si="131"/>
        <v>0.23469387755102042</v>
      </c>
      <c r="CW212">
        <f t="shared" si="132"/>
        <v>0.37058823529411761</v>
      </c>
      <c r="CX212">
        <f t="shared" si="133"/>
        <v>1.262716601453326</v>
      </c>
      <c r="CY212">
        <f t="shared" si="134"/>
        <v>0.11176470588235293</v>
      </c>
      <c r="CZ212">
        <f t="shared" si="135"/>
        <v>3.9375</v>
      </c>
      <c r="DA212">
        <f t="shared" si="136"/>
        <v>1.1889473684210525</v>
      </c>
      <c r="DB212">
        <f t="shared" si="137"/>
        <v>0.46008146639511199</v>
      </c>
      <c r="DC212">
        <f t="shared" si="138"/>
        <v>13.858895705521471</v>
      </c>
      <c r="DD212">
        <f t="shared" si="139"/>
        <v>2.1311320754716978</v>
      </c>
      <c r="DE212">
        <f t="shared" si="140"/>
        <v>207.35294117647058</v>
      </c>
      <c r="DF212">
        <f t="shared" si="141"/>
        <v>28.716904276985744</v>
      </c>
      <c r="DG212">
        <f t="shared" si="142"/>
        <v>14.052953156822809</v>
      </c>
      <c r="DH212">
        <f t="shared" si="143"/>
        <v>1.9226069246435844</v>
      </c>
      <c r="DI212">
        <f t="shared" si="144"/>
        <v>0.36435845213849283</v>
      </c>
      <c r="DJ212">
        <f t="shared" si="145"/>
        <v>6.5173116089613037E-3</v>
      </c>
      <c r="DK212">
        <f t="shared" si="146"/>
        <v>5.4215986824912932</v>
      </c>
      <c r="DL212">
        <f t="shared" si="147"/>
        <v>15.771923439974675</v>
      </c>
      <c r="DM212">
        <f t="shared" si="148"/>
        <v>0.75085277069125855</v>
      </c>
      <c r="DN212">
        <f t="shared" si="149"/>
        <v>0.39053888814555932</v>
      </c>
      <c r="DO212">
        <f t="shared" si="150"/>
        <v>2.1842989692836619</v>
      </c>
      <c r="DP212">
        <f t="shared" si="151"/>
        <v>1.1361131291507183</v>
      </c>
    </row>
    <row r="213" spans="1:120">
      <c r="A213" s="16" t="s">
        <v>672</v>
      </c>
      <c r="B213" s="16" t="s">
        <v>24</v>
      </c>
      <c r="C213" s="124" t="s">
        <v>541</v>
      </c>
      <c r="D213" s="16" t="s">
        <v>1723</v>
      </c>
      <c r="E213" s="16" t="s">
        <v>237</v>
      </c>
      <c r="F213" s="16" t="s">
        <v>29</v>
      </c>
      <c r="G213" s="16" t="s">
        <v>595</v>
      </c>
      <c r="H213" s="27">
        <v>360</v>
      </c>
      <c r="I213" s="16" t="s">
        <v>735</v>
      </c>
      <c r="J213" s="16" t="s">
        <v>1496</v>
      </c>
      <c r="K213" s="16"/>
      <c r="L213" s="16"/>
      <c r="M213" s="16" t="s">
        <v>107</v>
      </c>
      <c r="N213" s="16">
        <v>20</v>
      </c>
      <c r="O213" s="95">
        <v>46.735410761956693</v>
      </c>
      <c r="P213" s="95">
        <v>5.3110724873704855</v>
      </c>
      <c r="Q213" s="95">
        <v>11.858692385922648</v>
      </c>
      <c r="R213" s="95">
        <v>14.068260710821058</v>
      </c>
      <c r="S213" s="95">
        <v>3.9731687310099817</v>
      </c>
      <c r="T213" s="95">
        <v>2.6149937056137125</v>
      </c>
      <c r="U213" s="95">
        <v>0</v>
      </c>
      <c r="V213" s="95">
        <v>1.023699086306143</v>
      </c>
      <c r="W213" s="95">
        <v>11.341775025510636</v>
      </c>
      <c r="X213" s="95">
        <v>1.9663130964692255</v>
      </c>
      <c r="Y213" s="95">
        <v>1.4291244670214471</v>
      </c>
      <c r="Z213" s="95">
        <v>100.32251045800203</v>
      </c>
      <c r="AA213" s="18"/>
      <c r="AB213" s="18"/>
      <c r="AC213" s="18"/>
      <c r="AD213" s="18">
        <v>23</v>
      </c>
      <c r="AE213" s="127">
        <v>39</v>
      </c>
      <c r="AF213" s="127">
        <v>65</v>
      </c>
      <c r="AG213" s="18"/>
      <c r="AH213" s="18">
        <v>215</v>
      </c>
      <c r="AI213" s="18">
        <v>47</v>
      </c>
      <c r="AJ213" s="18">
        <v>38.01</v>
      </c>
      <c r="AK213" s="134"/>
      <c r="AL213" s="18">
        <v>0.86</v>
      </c>
      <c r="AM213" s="134">
        <v>97</v>
      </c>
      <c r="AN213" s="127">
        <v>0.70199999999999996</v>
      </c>
      <c r="AO213" s="18">
        <v>0.434</v>
      </c>
      <c r="AP213" s="18"/>
      <c r="AQ213" s="18">
        <v>5.3999999999999999E-2</v>
      </c>
      <c r="AR213" s="18">
        <v>8.2000000000000003E-2</v>
      </c>
      <c r="AS213" s="18"/>
      <c r="AT213" s="18"/>
      <c r="AU213" s="18"/>
      <c r="AV213" s="18"/>
      <c r="AW213" s="18"/>
      <c r="AX213" s="127">
        <v>0.77</v>
      </c>
      <c r="AY213" s="127">
        <v>1.79</v>
      </c>
      <c r="AZ213" s="127">
        <v>2.5000000000000001E-2</v>
      </c>
      <c r="BA213" s="127">
        <v>0.88900000000000001</v>
      </c>
      <c r="BB213" s="18"/>
      <c r="BC213" s="127">
        <v>1.129</v>
      </c>
      <c r="BD213" s="18"/>
      <c r="BE213" s="18"/>
      <c r="BF213" s="18"/>
      <c r="BG213" s="18"/>
      <c r="BH213" s="127">
        <v>1.2999999999999999E-2</v>
      </c>
      <c r="BI213" s="127">
        <v>7.63</v>
      </c>
      <c r="BJ213" s="18">
        <v>0.13500000000000001</v>
      </c>
      <c r="BK213" s="127">
        <v>0.33500000000000002</v>
      </c>
      <c r="BL213" s="127">
        <v>0.47199999999999998</v>
      </c>
      <c r="BM213" s="127">
        <v>6.0999999999999999E-2</v>
      </c>
      <c r="BN213" s="127">
        <v>0.223</v>
      </c>
      <c r="BO213" s="18">
        <v>1.7999999999999999E-2</v>
      </c>
      <c r="BP213" s="18">
        <v>8.9999999999999993E-3</v>
      </c>
      <c r="BQ213" s="18">
        <v>1.4E-2</v>
      </c>
      <c r="BR213" s="18">
        <v>0.02</v>
      </c>
      <c r="BS213" s="18">
        <v>2E-3</v>
      </c>
      <c r="BT213" s="18" t="s">
        <v>1366</v>
      </c>
      <c r="BU213" s="18"/>
      <c r="BV213" s="18">
        <v>1.2E-2</v>
      </c>
      <c r="BW213" s="18">
        <v>2E-3</v>
      </c>
      <c r="BX213" s="18">
        <v>4.7E-2</v>
      </c>
      <c r="BY213" s="127">
        <v>0.05</v>
      </c>
      <c r="BZ213" s="18"/>
      <c r="CA213" s="127">
        <v>9.9000000000000005E-2</v>
      </c>
      <c r="CB213" s="127">
        <v>5.8000000000000003E-2</v>
      </c>
      <c r="CC213" s="127">
        <v>1.7000000000000001E-2</v>
      </c>
      <c r="CE213">
        <f t="shared" si="114"/>
        <v>4.2625698324022343</v>
      </c>
      <c r="CF213">
        <f t="shared" si="115"/>
        <v>22.776119402985074</v>
      </c>
      <c r="CG213">
        <f t="shared" si="116"/>
        <v>5.3432835820895521</v>
      </c>
      <c r="CH213">
        <f t="shared" si="117"/>
        <v>0.70974576271186451</v>
      </c>
      <c r="CI213">
        <f t="shared" si="118"/>
        <v>116.41791044776119</v>
      </c>
      <c r="CJ213">
        <f t="shared" si="119"/>
        <v>0.6</v>
      </c>
      <c r="CK213">
        <f t="shared" si="120"/>
        <v>82.627118644067806</v>
      </c>
      <c r="CL213">
        <f t="shared" si="121"/>
        <v>3.7923728813559325</v>
      </c>
      <c r="CM213">
        <f t="shared" si="122"/>
        <v>16.165254237288135</v>
      </c>
      <c r="CN213">
        <f t="shared" si="123"/>
        <v>16.165254237288135</v>
      </c>
      <c r="CO213">
        <f t="shared" si="124"/>
        <v>0.10593220338983052</v>
      </c>
      <c r="CP213">
        <f t="shared" si="125"/>
        <v>5.8235294117647056</v>
      </c>
      <c r="CQ213">
        <f t="shared" si="126"/>
        <v>0.29552238805970149</v>
      </c>
      <c r="CR213">
        <f t="shared" si="127"/>
        <v>3.3701492537313431</v>
      </c>
      <c r="CS213">
        <f t="shared" si="128"/>
        <v>2.6537313432835821</v>
      </c>
      <c r="CT213">
        <f t="shared" si="129"/>
        <v>0.43016759776536312</v>
      </c>
      <c r="CU213">
        <f t="shared" si="130"/>
        <v>7.4626865671641784E-2</v>
      </c>
      <c r="CV213">
        <f t="shared" si="131"/>
        <v>0.40206185567010311</v>
      </c>
      <c r="CW213">
        <f t="shared" si="132"/>
        <v>2.0955223880597011</v>
      </c>
      <c r="CX213">
        <f t="shared" si="133"/>
        <v>0.78742249778565099</v>
      </c>
      <c r="CY213">
        <f t="shared" si="134"/>
        <v>0.14925373134328357</v>
      </c>
      <c r="CZ213">
        <f t="shared" si="135"/>
        <v>3.4117647058823528</v>
      </c>
      <c r="DA213">
        <f t="shared" si="136"/>
        <v>1.1545454545454545</v>
      </c>
      <c r="DB213">
        <f t="shared" si="137"/>
        <v>0.49664804469273743</v>
      </c>
      <c r="DC213">
        <f t="shared" si="138"/>
        <v>35.559999999999995</v>
      </c>
      <c r="DD213">
        <f t="shared" si="139"/>
        <v>1.8834745762711866</v>
      </c>
      <c r="DE213">
        <f t="shared" si="140"/>
        <v>194.02985074626864</v>
      </c>
      <c r="DF213">
        <f t="shared" si="141"/>
        <v>36.312849162011176</v>
      </c>
      <c r="DG213">
        <f t="shared" si="142"/>
        <v>21.787709497206702</v>
      </c>
      <c r="DH213">
        <f t="shared" si="143"/>
        <v>4.2625698324022343</v>
      </c>
      <c r="DI213">
        <f t="shared" si="144"/>
        <v>0.63072625698324025</v>
      </c>
      <c r="DJ213">
        <f t="shared" si="145"/>
        <v>9.4972067039106149E-3</v>
      </c>
      <c r="DK213">
        <f t="shared" si="146"/>
        <v>11.860205167193975</v>
      </c>
      <c r="DL213">
        <f t="shared" si="147"/>
        <v>35.399081749022827</v>
      </c>
      <c r="DM213">
        <f t="shared" si="148"/>
        <v>2.2196473357597664</v>
      </c>
      <c r="DN213">
        <f t="shared" si="149"/>
        <v>0.5207298467902991</v>
      </c>
      <c r="DO213">
        <f t="shared" si="150"/>
        <v>6.6249678133646075</v>
      </c>
      <c r="DP213">
        <f t="shared" si="151"/>
        <v>1.5542191855730862</v>
      </c>
    </row>
    <row r="214" spans="1:120">
      <c r="A214" s="16" t="s">
        <v>672</v>
      </c>
      <c r="B214" s="16" t="s">
        <v>24</v>
      </c>
      <c r="C214" s="124" t="s">
        <v>541</v>
      </c>
      <c r="D214" s="16" t="s">
        <v>1723</v>
      </c>
      <c r="E214" s="16" t="s">
        <v>237</v>
      </c>
      <c r="F214" s="16" t="s">
        <v>29</v>
      </c>
      <c r="G214" s="16" t="s">
        <v>595</v>
      </c>
      <c r="H214" s="27">
        <v>360</v>
      </c>
      <c r="I214" s="16" t="s">
        <v>735</v>
      </c>
      <c r="J214" s="16" t="s">
        <v>1496</v>
      </c>
      <c r="K214" s="16"/>
      <c r="L214" s="16"/>
      <c r="M214" s="16" t="s">
        <v>108</v>
      </c>
      <c r="N214" s="16">
        <v>24</v>
      </c>
      <c r="O214" s="95">
        <v>49.436854626049318</v>
      </c>
      <c r="P214" s="95">
        <v>4.5585813609380992</v>
      </c>
      <c r="Q214" s="95">
        <v>14.282207235045533</v>
      </c>
      <c r="R214" s="95">
        <v>10.208796395892417</v>
      </c>
      <c r="S214" s="95">
        <v>3.2951164604563639</v>
      </c>
      <c r="T214" s="95">
        <v>2.7391919042444011</v>
      </c>
      <c r="U214" s="95">
        <v>0</v>
      </c>
      <c r="V214" s="95">
        <v>0.6165708714350866</v>
      </c>
      <c r="W214" s="95">
        <v>11.553123050004983</v>
      </c>
      <c r="X214" s="95">
        <v>2.7695150618559627</v>
      </c>
      <c r="Y214" s="95">
        <v>0.69743262506591763</v>
      </c>
      <c r="Z214" s="95">
        <v>100.1573895909881</v>
      </c>
      <c r="AA214" s="18"/>
      <c r="AB214" s="18"/>
      <c r="AC214" s="18"/>
      <c r="AD214" s="18">
        <v>25</v>
      </c>
      <c r="AE214" s="127">
        <v>55</v>
      </c>
      <c r="AF214" s="127">
        <v>112</v>
      </c>
      <c r="AG214" s="18"/>
      <c r="AH214" s="18">
        <v>214</v>
      </c>
      <c r="AI214" s="18">
        <v>130</v>
      </c>
      <c r="AJ214" s="18">
        <v>55.81</v>
      </c>
      <c r="AK214" s="134"/>
      <c r="AL214" s="18">
        <v>1.83</v>
      </c>
      <c r="AM214" s="134">
        <v>131</v>
      </c>
      <c r="AN214" s="127">
        <v>0.30299999999999999</v>
      </c>
      <c r="AO214" s="18">
        <v>7.6999999999999999E-2</v>
      </c>
      <c r="AP214" s="18"/>
      <c r="AQ214" s="18">
        <v>7.1999999999999995E-2</v>
      </c>
      <c r="AR214" s="18">
        <v>0.255</v>
      </c>
      <c r="AS214" s="18"/>
      <c r="AT214" s="18"/>
      <c r="AU214" s="18"/>
      <c r="AV214" s="18"/>
      <c r="AW214" s="18"/>
      <c r="AX214" s="127">
        <v>0.75</v>
      </c>
      <c r="AY214" s="127">
        <v>4.45</v>
      </c>
      <c r="AZ214" s="127">
        <v>7.0000000000000007E-2</v>
      </c>
      <c r="BA214" s="127">
        <v>2.06</v>
      </c>
      <c r="BB214" s="18"/>
      <c r="BC214" s="127">
        <v>0.23599999999999999</v>
      </c>
      <c r="BD214" s="18"/>
      <c r="BE214" s="18"/>
      <c r="BF214" s="18"/>
      <c r="BG214" s="18"/>
      <c r="BH214" s="127">
        <v>7.0000000000000001E-3</v>
      </c>
      <c r="BI214" s="127">
        <v>10.46</v>
      </c>
      <c r="BJ214" s="18">
        <v>0.223</v>
      </c>
      <c r="BK214" s="127">
        <v>0.45100000000000001</v>
      </c>
      <c r="BL214" s="127">
        <v>0.76500000000000001</v>
      </c>
      <c r="BM214" s="127">
        <v>0.114</v>
      </c>
      <c r="BN214" s="127">
        <v>0.52900000000000003</v>
      </c>
      <c r="BO214" s="18">
        <v>6.6000000000000003E-2</v>
      </c>
      <c r="BP214" s="18">
        <v>2.3E-2</v>
      </c>
      <c r="BQ214" s="18">
        <v>1.7000000000000001E-2</v>
      </c>
      <c r="BR214" s="18">
        <v>2.1000000000000001E-2</v>
      </c>
      <c r="BS214" s="18">
        <v>5.0000000000000001E-3</v>
      </c>
      <c r="BT214" s="18" t="s">
        <v>1366</v>
      </c>
      <c r="BU214" s="18"/>
      <c r="BV214" s="18">
        <v>1.4999999999999999E-2</v>
      </c>
      <c r="BW214" s="18" t="s">
        <v>1366</v>
      </c>
      <c r="BX214" s="18">
        <v>6.0999999999999999E-2</v>
      </c>
      <c r="BY214" s="127">
        <v>5.0000000000000001E-3</v>
      </c>
      <c r="BZ214" s="18"/>
      <c r="CA214" s="127">
        <v>8.6999999999999994E-2</v>
      </c>
      <c r="CB214" s="127">
        <v>5.7000000000000002E-2</v>
      </c>
      <c r="CC214" s="127">
        <v>1.2E-2</v>
      </c>
      <c r="CE214">
        <f t="shared" si="114"/>
        <v>2.350561797752809</v>
      </c>
      <c r="CF214">
        <f t="shared" si="115"/>
        <v>23.192904656319293</v>
      </c>
      <c r="CG214">
        <f t="shared" si="116"/>
        <v>9.8669623059866964</v>
      </c>
      <c r="CH214">
        <f t="shared" si="117"/>
        <v>0.58954248366013073</v>
      </c>
      <c r="CI214">
        <f t="shared" si="118"/>
        <v>121.95121951219512</v>
      </c>
      <c r="CJ214">
        <f t="shared" si="119"/>
        <v>0.49107142857142855</v>
      </c>
      <c r="CK214">
        <f t="shared" si="120"/>
        <v>71.895424836601308</v>
      </c>
      <c r="CL214">
        <f t="shared" si="121"/>
        <v>5.8169934640522873</v>
      </c>
      <c r="CM214">
        <f t="shared" si="122"/>
        <v>13.673202614379086</v>
      </c>
      <c r="CN214">
        <f t="shared" si="123"/>
        <v>13.673202614379086</v>
      </c>
      <c r="CO214">
        <f t="shared" si="124"/>
        <v>6.5359477124183009E-3</v>
      </c>
      <c r="CP214">
        <f t="shared" si="125"/>
        <v>7.2499999999999991</v>
      </c>
      <c r="CQ214">
        <f t="shared" si="126"/>
        <v>0.19290465631929044</v>
      </c>
      <c r="CR214">
        <f t="shared" si="127"/>
        <v>0.52328159645232808</v>
      </c>
      <c r="CS214">
        <f t="shared" si="128"/>
        <v>4.5676274944567625</v>
      </c>
      <c r="CT214">
        <f t="shared" si="129"/>
        <v>0.16853932584269662</v>
      </c>
      <c r="CU214">
        <f t="shared" si="130"/>
        <v>0.15521064301552107</v>
      </c>
      <c r="CV214">
        <f t="shared" si="131"/>
        <v>0.41984732824427479</v>
      </c>
      <c r="CW214">
        <f t="shared" si="132"/>
        <v>0.67184035476718396</v>
      </c>
      <c r="CX214">
        <f t="shared" si="133"/>
        <v>8.7288135593220346</v>
      </c>
      <c r="CY214">
        <f t="shared" si="134"/>
        <v>1.1086474501108647E-2</v>
      </c>
      <c r="CZ214">
        <f t="shared" si="135"/>
        <v>4.75</v>
      </c>
      <c r="DA214">
        <f t="shared" si="136"/>
        <v>2.7466666666666666</v>
      </c>
      <c r="DB214">
        <f t="shared" si="137"/>
        <v>0.46292134831460674</v>
      </c>
      <c r="DC214">
        <f t="shared" si="138"/>
        <v>29.428571428571427</v>
      </c>
      <c r="DD214">
        <f t="shared" si="139"/>
        <v>2.6928104575163401</v>
      </c>
      <c r="DE214">
        <f t="shared" si="140"/>
        <v>248.33702882483371</v>
      </c>
      <c r="DF214">
        <f t="shared" si="141"/>
        <v>25.168539325842694</v>
      </c>
      <c r="DG214">
        <f t="shared" si="142"/>
        <v>12.359550561797752</v>
      </c>
      <c r="DH214">
        <f t="shared" si="143"/>
        <v>2.350561797752809</v>
      </c>
      <c r="DI214">
        <f t="shared" si="144"/>
        <v>5.3033707865168533E-2</v>
      </c>
      <c r="DJ214">
        <f t="shared" si="145"/>
        <v>2.696629213483146E-3</v>
      </c>
      <c r="DK214">
        <f t="shared" si="146"/>
        <v>7.3062449234065712</v>
      </c>
      <c r="DL214">
        <f t="shared" si="147"/>
        <v>31.667865266176346</v>
      </c>
      <c r="DM214">
        <f t="shared" si="148"/>
        <v>0.74047560909131771</v>
      </c>
      <c r="DN214">
        <f t="shared" si="149"/>
        <v>0.31502069411628714</v>
      </c>
      <c r="DO214">
        <f t="shared" si="150"/>
        <v>3.2094847719203443</v>
      </c>
      <c r="DP214">
        <f t="shared" si="151"/>
        <v>1.3654117815531102</v>
      </c>
    </row>
    <row r="215" spans="1:120">
      <c r="A215" s="16" t="s">
        <v>672</v>
      </c>
      <c r="B215" s="16" t="s">
        <v>24</v>
      </c>
      <c r="C215" s="124" t="s">
        <v>541</v>
      </c>
      <c r="D215" s="16" t="s">
        <v>1723</v>
      </c>
      <c r="E215" s="16" t="s">
        <v>237</v>
      </c>
      <c r="F215" s="16" t="s">
        <v>29</v>
      </c>
      <c r="G215" s="16" t="s">
        <v>595</v>
      </c>
      <c r="H215" s="27">
        <v>360</v>
      </c>
      <c r="I215" s="16" t="s">
        <v>735</v>
      </c>
      <c r="J215" s="16" t="s">
        <v>1496</v>
      </c>
      <c r="K215" s="16"/>
      <c r="L215" s="16"/>
      <c r="M215" s="16" t="s">
        <v>111</v>
      </c>
      <c r="N215" s="16">
        <v>24</v>
      </c>
      <c r="O215" s="95">
        <v>53.030605784801452</v>
      </c>
      <c r="P215" s="95">
        <v>3.5569308758098543</v>
      </c>
      <c r="Q215" s="95">
        <v>16.592274142272103</v>
      </c>
      <c r="R215" s="95">
        <v>7.1239666688805308</v>
      </c>
      <c r="S215" s="95">
        <v>3.3447276133325619</v>
      </c>
      <c r="T215" s="95">
        <v>1.6268916789925754</v>
      </c>
      <c r="U215" s="95">
        <v>0</v>
      </c>
      <c r="V215" s="95">
        <v>0.69723929099681792</v>
      </c>
      <c r="W215" s="95">
        <v>10.75163196551615</v>
      </c>
      <c r="X215" s="95">
        <v>2.6575932395965669</v>
      </c>
      <c r="Y215" s="95">
        <v>0.79828846360505257</v>
      </c>
      <c r="Z215" s="95">
        <v>100.18014972380367</v>
      </c>
      <c r="AA215" s="18"/>
      <c r="AB215" s="18"/>
      <c r="AC215" s="18"/>
      <c r="AD215" s="18">
        <v>43</v>
      </c>
      <c r="AE215" s="127">
        <v>103</v>
      </c>
      <c r="AF215" s="127">
        <v>265</v>
      </c>
      <c r="AG215" s="18"/>
      <c r="AH215" s="18">
        <v>417</v>
      </c>
      <c r="AI215" s="18">
        <v>79</v>
      </c>
      <c r="AJ215" s="18">
        <v>71.040000000000006</v>
      </c>
      <c r="AK215" s="134"/>
      <c r="AL215" s="18">
        <v>1.38</v>
      </c>
      <c r="AM215" s="134">
        <v>117</v>
      </c>
      <c r="AN215" s="127">
        <v>0.107</v>
      </c>
      <c r="AO215" s="18">
        <v>0.122</v>
      </c>
      <c r="AP215" s="18"/>
      <c r="AQ215" s="18">
        <v>4.5999999999999999E-2</v>
      </c>
      <c r="AR215" s="18">
        <v>0.51400000000000001</v>
      </c>
      <c r="AS215" s="18"/>
      <c r="AT215" s="18"/>
      <c r="AU215" s="18"/>
      <c r="AV215" s="18"/>
      <c r="AW215" s="18"/>
      <c r="AX215" s="127">
        <v>2.6</v>
      </c>
      <c r="AY215" s="127">
        <v>2.25</v>
      </c>
      <c r="AZ215" s="127">
        <v>3.4000000000000002E-2</v>
      </c>
      <c r="BA215" s="127">
        <v>1.95</v>
      </c>
      <c r="BB215" s="18"/>
      <c r="BC215" s="127">
        <v>1.077</v>
      </c>
      <c r="BD215" s="18"/>
      <c r="BE215" s="18"/>
      <c r="BF215" s="18"/>
      <c r="BG215" s="18"/>
      <c r="BH215" s="127">
        <v>2.5000000000000001E-2</v>
      </c>
      <c r="BI215" s="127">
        <v>26.13</v>
      </c>
      <c r="BJ215" s="18">
        <v>0.21099999999999999</v>
      </c>
      <c r="BK215" s="127">
        <v>0.5</v>
      </c>
      <c r="BL215" s="127">
        <v>0.57499999999999996</v>
      </c>
      <c r="BM215" s="127">
        <v>4.5999999999999999E-2</v>
      </c>
      <c r="BN215" s="127">
        <v>0.16700000000000001</v>
      </c>
      <c r="BO215" s="18">
        <v>1.7999999999999999E-2</v>
      </c>
      <c r="BP215" s="18" t="s">
        <v>1366</v>
      </c>
      <c r="BQ215" s="18" t="s">
        <v>1366</v>
      </c>
      <c r="BR215" s="18">
        <v>1.0999999999999999E-2</v>
      </c>
      <c r="BS215" s="18">
        <v>4.0000000000000001E-3</v>
      </c>
      <c r="BT215" s="18" t="s">
        <v>1366</v>
      </c>
      <c r="BU215" s="18"/>
      <c r="BV215" s="18" t="s">
        <v>1366</v>
      </c>
      <c r="BW215" s="18" t="s">
        <v>1366</v>
      </c>
      <c r="BX215" s="18">
        <v>7.3999999999999996E-2</v>
      </c>
      <c r="BY215" s="127">
        <v>3.1E-2</v>
      </c>
      <c r="BZ215" s="18"/>
      <c r="CA215" s="127">
        <v>8.2000000000000003E-2</v>
      </c>
      <c r="CB215" s="127">
        <v>0.1</v>
      </c>
      <c r="CC215" s="127">
        <v>2.5000000000000001E-2</v>
      </c>
      <c r="CE215">
        <f t="shared" si="114"/>
        <v>11.613333333333333</v>
      </c>
      <c r="CF215">
        <f t="shared" si="115"/>
        <v>52.26</v>
      </c>
      <c r="CG215">
        <f t="shared" si="116"/>
        <v>4.5</v>
      </c>
      <c r="CH215">
        <f t="shared" si="117"/>
        <v>0.86956521739130443</v>
      </c>
      <c r="CI215">
        <f t="shared" si="118"/>
        <v>206</v>
      </c>
      <c r="CJ215">
        <f t="shared" si="119"/>
        <v>0.38867924528301889</v>
      </c>
      <c r="CK215">
        <f t="shared" si="120"/>
        <v>179.13043478260872</v>
      </c>
      <c r="CL215">
        <f t="shared" si="121"/>
        <v>3.9130434782608701</v>
      </c>
      <c r="CM215">
        <f t="shared" si="122"/>
        <v>45.443478260869568</v>
      </c>
      <c r="CN215">
        <f t="shared" si="123"/>
        <v>45.443478260869568</v>
      </c>
      <c r="CO215">
        <f t="shared" si="124"/>
        <v>5.3913043478260876E-2</v>
      </c>
      <c r="CP215">
        <f t="shared" si="125"/>
        <v>3.28</v>
      </c>
      <c r="CQ215">
        <f t="shared" si="126"/>
        <v>0.16400000000000001</v>
      </c>
      <c r="CR215">
        <f t="shared" si="127"/>
        <v>2.1539999999999999</v>
      </c>
      <c r="CS215">
        <f t="shared" si="128"/>
        <v>3.9</v>
      </c>
      <c r="CT215">
        <f t="shared" si="129"/>
        <v>1.1555555555555557</v>
      </c>
      <c r="CU215">
        <f t="shared" si="130"/>
        <v>6.8000000000000005E-2</v>
      </c>
      <c r="CV215">
        <f t="shared" si="131"/>
        <v>0.88034188034188032</v>
      </c>
      <c r="CW215">
        <f t="shared" si="132"/>
        <v>0.214</v>
      </c>
      <c r="CX215">
        <f t="shared" si="133"/>
        <v>1.8105849582172702</v>
      </c>
      <c r="CY215">
        <f t="shared" si="134"/>
        <v>6.2E-2</v>
      </c>
      <c r="CZ215">
        <f t="shared" si="135"/>
        <v>4</v>
      </c>
      <c r="DA215">
        <f t="shared" si="136"/>
        <v>0.75</v>
      </c>
      <c r="DB215">
        <f t="shared" si="137"/>
        <v>0.8666666666666667</v>
      </c>
      <c r="DC215">
        <f t="shared" si="138"/>
        <v>57.35294117647058</v>
      </c>
      <c r="DD215">
        <f t="shared" si="139"/>
        <v>3.3913043478260874</v>
      </c>
      <c r="DE215">
        <f t="shared" si="140"/>
        <v>530</v>
      </c>
      <c r="DF215">
        <f t="shared" si="141"/>
        <v>117.77777777777777</v>
      </c>
      <c r="DG215">
        <f t="shared" si="142"/>
        <v>45.777777777777779</v>
      </c>
      <c r="DH215">
        <f t="shared" si="143"/>
        <v>11.613333333333333</v>
      </c>
      <c r="DI215">
        <f t="shared" si="144"/>
        <v>0.47866666666666663</v>
      </c>
      <c r="DJ215">
        <f t="shared" si="145"/>
        <v>1.1111111111111112E-2</v>
      </c>
      <c r="DK215">
        <f t="shared" si="146"/>
        <v>6.6894552266651237</v>
      </c>
      <c r="DL215">
        <f t="shared" si="147"/>
        <v>33.184548284544206</v>
      </c>
      <c r="DM215">
        <f t="shared" si="148"/>
        <v>1.486545605925583</v>
      </c>
      <c r="DN215">
        <f t="shared" si="149"/>
        <v>0.12800335297866675</v>
      </c>
      <c r="DO215">
        <f t="shared" si="150"/>
        <v>7.3743440632320461</v>
      </c>
      <c r="DP215">
        <f t="shared" si="151"/>
        <v>0.6349894428730235</v>
      </c>
    </row>
    <row r="216" spans="1:120">
      <c r="A216" s="16" t="s">
        <v>672</v>
      </c>
      <c r="B216" s="16" t="s">
        <v>24</v>
      </c>
      <c r="C216" s="124" t="s">
        <v>541</v>
      </c>
      <c r="D216" s="16" t="s">
        <v>1723</v>
      </c>
      <c r="E216" s="16" t="s">
        <v>237</v>
      </c>
      <c r="F216" s="16" t="s">
        <v>29</v>
      </c>
      <c r="G216" s="16" t="s">
        <v>595</v>
      </c>
      <c r="H216" s="27">
        <v>360</v>
      </c>
      <c r="I216" s="16" t="s">
        <v>735</v>
      </c>
      <c r="J216" s="16" t="s">
        <v>1496</v>
      </c>
      <c r="K216" s="16"/>
      <c r="L216" s="16"/>
      <c r="M216" s="16" t="s">
        <v>112</v>
      </c>
      <c r="N216" s="16">
        <v>24</v>
      </c>
      <c r="O216" s="95">
        <v>51.892993918816835</v>
      </c>
      <c r="P216" s="95">
        <v>3.1512307032719997</v>
      </c>
      <c r="Q216" s="95">
        <v>17.13737476617078</v>
      </c>
      <c r="R216" s="95">
        <v>5.1054029900413243</v>
      </c>
      <c r="S216" s="95">
        <v>1.7290843793927531</v>
      </c>
      <c r="T216" s="95">
        <v>0.87988909247205194</v>
      </c>
      <c r="U216" s="95">
        <v>0</v>
      </c>
      <c r="V216" s="95">
        <v>2.2304165367314805</v>
      </c>
      <c r="W216" s="95">
        <v>13.024404822289792</v>
      </c>
      <c r="X216" s="95">
        <v>3.4786312958197403</v>
      </c>
      <c r="Y216" s="95">
        <v>1.7700094534612207</v>
      </c>
      <c r="Z216" s="95">
        <v>100.399437958468</v>
      </c>
      <c r="AA216" s="18"/>
      <c r="AB216" s="18"/>
      <c r="AC216" s="18"/>
      <c r="AD216" s="18">
        <v>3</v>
      </c>
      <c r="AE216" s="127">
        <v>5</v>
      </c>
      <c r="AF216" s="127">
        <v>41</v>
      </c>
      <c r="AG216" s="18"/>
      <c r="AH216" s="18">
        <v>73</v>
      </c>
      <c r="AI216" s="18">
        <v>35</v>
      </c>
      <c r="AJ216" s="18">
        <v>8.8699999999999992</v>
      </c>
      <c r="AK216" s="134"/>
      <c r="AL216" s="18">
        <v>0.17</v>
      </c>
      <c r="AM216" s="134">
        <v>14</v>
      </c>
      <c r="AN216" s="127">
        <v>0.13200000000000001</v>
      </c>
      <c r="AO216" s="18"/>
      <c r="AP216" s="18"/>
      <c r="AQ216" s="18">
        <v>8.9999999999999993E-3</v>
      </c>
      <c r="AR216" s="18">
        <v>0.03</v>
      </c>
      <c r="AS216" s="18"/>
      <c r="AT216" s="18"/>
      <c r="AU216" s="18"/>
      <c r="AV216" s="18"/>
      <c r="AW216" s="18"/>
      <c r="AX216" s="127">
        <v>0.49</v>
      </c>
      <c r="AY216" s="127">
        <v>0.23</v>
      </c>
      <c r="AZ216" s="127">
        <v>4.0000000000000001E-3</v>
      </c>
      <c r="BA216" s="127">
        <v>0.28999999999999998</v>
      </c>
      <c r="BB216" s="18"/>
      <c r="BC216" s="127">
        <v>8.5000000000000006E-2</v>
      </c>
      <c r="BD216" s="18"/>
      <c r="BE216" s="18"/>
      <c r="BF216" s="18"/>
      <c r="BG216" s="18"/>
      <c r="BH216" s="127">
        <v>5.0000000000000001E-3</v>
      </c>
      <c r="BI216" s="127">
        <v>2.42</v>
      </c>
      <c r="BJ216" s="18">
        <v>3.2000000000000001E-2</v>
      </c>
      <c r="BK216" s="127">
        <v>4.4999999999999998E-2</v>
      </c>
      <c r="BL216" s="127">
        <v>4.7E-2</v>
      </c>
      <c r="BM216" s="127">
        <v>6.0000000000000001E-3</v>
      </c>
      <c r="BN216" s="127" t="s">
        <v>1366</v>
      </c>
      <c r="BO216" s="18" t="s">
        <v>1366</v>
      </c>
      <c r="BP216" s="18" t="s">
        <v>1366</v>
      </c>
      <c r="BQ216" s="18" t="s">
        <v>1366</v>
      </c>
      <c r="BR216" s="18">
        <v>8.9999999999999993E-3</v>
      </c>
      <c r="BS216" s="18" t="s">
        <v>1366</v>
      </c>
      <c r="BT216" s="18" t="s">
        <v>1366</v>
      </c>
      <c r="BU216" s="18"/>
      <c r="BV216" s="18" t="s">
        <v>1366</v>
      </c>
      <c r="BW216" s="18" t="s">
        <v>1366</v>
      </c>
      <c r="BX216" s="18">
        <v>1.7000000000000001E-2</v>
      </c>
      <c r="BY216" s="127">
        <v>6.0000000000000001E-3</v>
      </c>
      <c r="BZ216" s="18"/>
      <c r="CA216" s="127">
        <v>2.1000000000000001E-2</v>
      </c>
      <c r="CB216" s="127">
        <v>1.9E-2</v>
      </c>
      <c r="CC216" s="127" t="s">
        <v>1366</v>
      </c>
      <c r="CE216">
        <f t="shared" si="114"/>
        <v>10.521739130434781</v>
      </c>
      <c r="CF216">
        <f t="shared" si="115"/>
        <v>53.777777777777779</v>
      </c>
      <c r="CG216">
        <f t="shared" si="116"/>
        <v>5.1111111111111116</v>
      </c>
      <c r="CH216">
        <f t="shared" si="117"/>
        <v>0.95744680851063824</v>
      </c>
      <c r="CI216">
        <f t="shared" si="118"/>
        <v>111.11111111111111</v>
      </c>
      <c r="CJ216">
        <f t="shared" si="119"/>
        <v>0.12195121951219512</v>
      </c>
      <c r="CK216">
        <f t="shared" si="120"/>
        <v>106.38297872340425</v>
      </c>
      <c r="CL216">
        <f t="shared" si="121"/>
        <v>4.8936170212765964</v>
      </c>
      <c r="CM216">
        <f t="shared" si="122"/>
        <v>51.48936170212766</v>
      </c>
      <c r="CN216">
        <f t="shared" si="123"/>
        <v>51.48936170212766</v>
      </c>
      <c r="CO216">
        <f t="shared" si="124"/>
        <v>0.1276595744680851</v>
      </c>
      <c r="CP216" t="e">
        <f t="shared" si="125"/>
        <v>#VALUE!</v>
      </c>
      <c r="CQ216">
        <f t="shared" si="126"/>
        <v>0.46666666666666673</v>
      </c>
      <c r="CR216">
        <f t="shared" si="127"/>
        <v>1.8888888888888891</v>
      </c>
      <c r="CS216">
        <f t="shared" si="128"/>
        <v>6.4444444444444446</v>
      </c>
      <c r="CT216">
        <f t="shared" si="129"/>
        <v>2.1304347826086953</v>
      </c>
      <c r="CU216">
        <f t="shared" si="130"/>
        <v>8.8888888888888892E-2</v>
      </c>
      <c r="CV216">
        <f t="shared" si="131"/>
        <v>0.35714285714285715</v>
      </c>
      <c r="CW216">
        <f t="shared" si="132"/>
        <v>2.9333333333333336</v>
      </c>
      <c r="CX216">
        <f t="shared" si="133"/>
        <v>3.4117647058823524</v>
      </c>
      <c r="CY216">
        <f t="shared" si="134"/>
        <v>0.13333333333333333</v>
      </c>
      <c r="CZ216" t="e">
        <f t="shared" si="135"/>
        <v>#VALUE!</v>
      </c>
      <c r="DA216">
        <f t="shared" si="136"/>
        <v>0.59183673469387754</v>
      </c>
      <c r="DB216">
        <f t="shared" si="137"/>
        <v>1.2608695652173911</v>
      </c>
      <c r="DC216">
        <f t="shared" si="138"/>
        <v>72.5</v>
      </c>
      <c r="DD216">
        <f t="shared" si="139"/>
        <v>6.1702127659574462</v>
      </c>
      <c r="DE216">
        <f t="shared" si="140"/>
        <v>911.1111111111112</v>
      </c>
      <c r="DF216">
        <f t="shared" si="141"/>
        <v>178.26086956521738</v>
      </c>
      <c r="DG216">
        <f t="shared" si="142"/>
        <v>21.739130434782609</v>
      </c>
      <c r="DH216">
        <f t="shared" si="143"/>
        <v>10.521739130434781</v>
      </c>
      <c r="DI216">
        <f t="shared" si="144"/>
        <v>0.36956521739130438</v>
      </c>
      <c r="DJ216" t="e">
        <f t="shared" si="145"/>
        <v>#VALUE!</v>
      </c>
      <c r="DK216">
        <f t="shared" si="146"/>
        <v>38.424097319838957</v>
      </c>
      <c r="DL216">
        <f t="shared" si="147"/>
        <v>380.8305503593507</v>
      </c>
      <c r="DM216">
        <f t="shared" si="148"/>
        <v>7.5177581712728392</v>
      </c>
      <c r="DN216">
        <f t="shared" si="149"/>
        <v>0.71449767743502191</v>
      </c>
      <c r="DO216">
        <f t="shared" si="150"/>
        <v>74.510325070307729</v>
      </c>
      <c r="DP216">
        <f t="shared" si="151"/>
        <v>7.0815598207317274</v>
      </c>
    </row>
    <row r="217" spans="1:120">
      <c r="A217" s="16" t="s">
        <v>844</v>
      </c>
      <c r="B217" s="16" t="s">
        <v>24</v>
      </c>
      <c r="C217" s="124" t="s">
        <v>541</v>
      </c>
      <c r="D217" s="16" t="s">
        <v>1721</v>
      </c>
      <c r="E217" s="16" t="s">
        <v>237</v>
      </c>
      <c r="F217" s="16" t="s">
        <v>238</v>
      </c>
      <c r="G217" s="16" t="s">
        <v>595</v>
      </c>
      <c r="H217" s="27">
        <v>355</v>
      </c>
      <c r="I217" s="16" t="s">
        <v>712</v>
      </c>
      <c r="J217" s="16"/>
      <c r="K217" s="16" t="s">
        <v>488</v>
      </c>
      <c r="L217" s="16"/>
      <c r="M217" s="16" t="s">
        <v>481</v>
      </c>
      <c r="N217" s="16">
        <v>22</v>
      </c>
      <c r="O217" s="95">
        <v>69.48761656472476</v>
      </c>
      <c r="P217" s="95">
        <v>1.4940338915070692</v>
      </c>
      <c r="Q217" s="95">
        <v>12.63411210267723</v>
      </c>
      <c r="R217" s="95">
        <v>3.0582572946956788</v>
      </c>
      <c r="S217" s="95">
        <v>1.0428156021257395</v>
      </c>
      <c r="T217" s="95">
        <v>0.52140780106286977</v>
      </c>
      <c r="U217" s="95">
        <v>0</v>
      </c>
      <c r="V217" s="95">
        <v>0.53143487416023272</v>
      </c>
      <c r="W217" s="95">
        <v>11.230321869046426</v>
      </c>
      <c r="X217" s="95">
        <v>0</v>
      </c>
      <c r="Y217" s="95">
        <v>0</v>
      </c>
      <c r="Z217" s="95">
        <v>100</v>
      </c>
      <c r="AA217" s="18"/>
      <c r="AB217" s="18"/>
      <c r="AC217" s="18"/>
      <c r="AD217" s="18"/>
      <c r="AE217" s="127"/>
      <c r="AF217" s="127"/>
      <c r="AG217" s="18"/>
      <c r="AH217" s="18"/>
      <c r="AI217" s="18"/>
      <c r="AJ217" s="18"/>
      <c r="AK217" s="134"/>
      <c r="AL217" s="18"/>
      <c r="AM217" s="134"/>
      <c r="AN217" s="127"/>
      <c r="AO217" s="18"/>
      <c r="AP217" s="18"/>
      <c r="AQ217" s="18"/>
      <c r="AR217" s="18"/>
      <c r="AS217" s="18"/>
      <c r="AT217" s="18"/>
      <c r="AU217" s="18"/>
      <c r="AV217" s="18"/>
      <c r="AW217" s="18"/>
      <c r="AX217" s="127"/>
      <c r="AY217" s="127"/>
      <c r="AZ217" s="127"/>
      <c r="BA217" s="127"/>
      <c r="BB217" s="18"/>
      <c r="BC217" s="127"/>
      <c r="BD217" s="18"/>
      <c r="BE217" s="18"/>
      <c r="BF217" s="18"/>
      <c r="BG217" s="18"/>
      <c r="BH217" s="127"/>
      <c r="BI217" s="127"/>
      <c r="BJ217" s="18"/>
      <c r="BK217" s="127"/>
      <c r="BL217" s="127"/>
      <c r="BM217" s="127"/>
      <c r="BN217" s="127"/>
      <c r="BO217" s="18"/>
      <c r="BP217" s="18"/>
      <c r="BQ217" s="18"/>
      <c r="BR217" s="18"/>
      <c r="BS217" s="18"/>
      <c r="BT217" s="18"/>
      <c r="BU217" s="18"/>
      <c r="BV217" s="18"/>
      <c r="BW217" s="18"/>
      <c r="BX217" s="18"/>
      <c r="BY217" s="127"/>
      <c r="BZ217" s="18"/>
      <c r="CA217" s="127"/>
      <c r="CB217" s="127"/>
      <c r="CC217" s="127"/>
      <c r="CE217" t="e">
        <f t="shared" si="114"/>
        <v>#DIV/0!</v>
      </c>
      <c r="CF217" t="e">
        <f t="shared" si="115"/>
        <v>#DIV/0!</v>
      </c>
      <c r="CG217" t="e">
        <f t="shared" si="116"/>
        <v>#DIV/0!</v>
      </c>
      <c r="CH217" t="e">
        <f t="shared" si="117"/>
        <v>#DIV/0!</v>
      </c>
      <c r="CI217" t="e">
        <f t="shared" si="118"/>
        <v>#DIV/0!</v>
      </c>
      <c r="CJ217" t="e">
        <f t="shared" si="119"/>
        <v>#DIV/0!</v>
      </c>
      <c r="CK217" t="e">
        <f t="shared" si="120"/>
        <v>#DIV/0!</v>
      </c>
      <c r="CL217" t="e">
        <f t="shared" si="121"/>
        <v>#DIV/0!</v>
      </c>
      <c r="CM217" t="e">
        <f t="shared" si="122"/>
        <v>#DIV/0!</v>
      </c>
      <c r="CN217" t="e">
        <f t="shared" si="123"/>
        <v>#DIV/0!</v>
      </c>
      <c r="CO217" t="e">
        <f t="shared" si="124"/>
        <v>#DIV/0!</v>
      </c>
      <c r="CP217" t="e">
        <f t="shared" si="125"/>
        <v>#DIV/0!</v>
      </c>
      <c r="CQ217" t="e">
        <f t="shared" si="126"/>
        <v>#DIV/0!</v>
      </c>
      <c r="CR217" t="e">
        <f t="shared" si="127"/>
        <v>#DIV/0!</v>
      </c>
      <c r="CS217" t="e">
        <f t="shared" si="128"/>
        <v>#DIV/0!</v>
      </c>
      <c r="CT217" t="e">
        <f t="shared" si="129"/>
        <v>#DIV/0!</v>
      </c>
      <c r="CU217" t="e">
        <f t="shared" si="130"/>
        <v>#DIV/0!</v>
      </c>
      <c r="CV217" t="e">
        <f t="shared" si="131"/>
        <v>#DIV/0!</v>
      </c>
      <c r="CW217" t="e">
        <f t="shared" si="132"/>
        <v>#DIV/0!</v>
      </c>
      <c r="CX217" t="e">
        <f t="shared" si="133"/>
        <v>#DIV/0!</v>
      </c>
      <c r="CY217" t="e">
        <f t="shared" si="134"/>
        <v>#DIV/0!</v>
      </c>
      <c r="CZ217" t="e">
        <f t="shared" si="135"/>
        <v>#DIV/0!</v>
      </c>
      <c r="DA217" t="e">
        <f t="shared" si="136"/>
        <v>#DIV/0!</v>
      </c>
      <c r="DB217" t="e">
        <f t="shared" si="137"/>
        <v>#DIV/0!</v>
      </c>
      <c r="DC217" t="e">
        <f t="shared" si="138"/>
        <v>#DIV/0!</v>
      </c>
      <c r="DD217" t="e">
        <f t="shared" si="139"/>
        <v>#DIV/0!</v>
      </c>
      <c r="DE217" t="e">
        <f t="shared" si="140"/>
        <v>#DIV/0!</v>
      </c>
      <c r="DF217" t="e">
        <f t="shared" si="141"/>
        <v>#DIV/0!</v>
      </c>
      <c r="DG217" t="e">
        <f t="shared" si="142"/>
        <v>#DIV/0!</v>
      </c>
      <c r="DH217" t="e">
        <f t="shared" si="143"/>
        <v>#DIV/0!</v>
      </c>
      <c r="DI217" t="e">
        <f t="shared" si="144"/>
        <v>#DIV/0!</v>
      </c>
      <c r="DJ217" t="e">
        <f t="shared" si="145"/>
        <v>#DIV/0!</v>
      </c>
      <c r="DK217" t="e">
        <f t="shared" si="146"/>
        <v>#DIV/0!</v>
      </c>
      <c r="DL217" t="e">
        <f t="shared" si="147"/>
        <v>#DIV/0!</v>
      </c>
      <c r="DM217" t="e">
        <f t="shared" si="148"/>
        <v>#DIV/0!</v>
      </c>
      <c r="DN217" t="e">
        <f t="shared" si="149"/>
        <v>#DIV/0!</v>
      </c>
      <c r="DO217" t="e">
        <f t="shared" si="150"/>
        <v>#DIV/0!</v>
      </c>
      <c r="DP217" t="e">
        <f t="shared" si="151"/>
        <v>#DIV/0!</v>
      </c>
    </row>
    <row r="218" spans="1:120">
      <c r="A218" s="16" t="s">
        <v>844</v>
      </c>
      <c r="B218" s="16" t="s">
        <v>24</v>
      </c>
      <c r="C218" s="124" t="s">
        <v>541</v>
      </c>
      <c r="D218" s="16" t="s">
        <v>1721</v>
      </c>
      <c r="E218" s="16" t="s">
        <v>237</v>
      </c>
      <c r="F218" s="16" t="s">
        <v>238</v>
      </c>
      <c r="G218" s="16" t="s">
        <v>595</v>
      </c>
      <c r="H218" s="27">
        <v>355</v>
      </c>
      <c r="I218" s="16" t="s">
        <v>712</v>
      </c>
      <c r="J218" s="16"/>
      <c r="K218" s="16" t="s">
        <v>488</v>
      </c>
      <c r="L218" s="16"/>
      <c r="M218" s="16" t="s">
        <v>485</v>
      </c>
      <c r="N218" s="16">
        <v>24</v>
      </c>
      <c r="O218" s="95">
        <v>45.441048411383925</v>
      </c>
      <c r="P218" s="95">
        <v>4.9735477162349877</v>
      </c>
      <c r="Q218" s="95">
        <v>5.812459379214383</v>
      </c>
      <c r="R218" s="95">
        <v>11.784711456139126</v>
      </c>
      <c r="S218" s="95">
        <v>9.2480023799871454</v>
      </c>
      <c r="T218" s="95">
        <v>7.4703086179593789</v>
      </c>
      <c r="U218" s="95">
        <v>0</v>
      </c>
      <c r="V218" s="95">
        <v>1.6778233259587911</v>
      </c>
      <c r="W218" s="95">
        <v>10.98574796758732</v>
      </c>
      <c r="X218" s="95">
        <v>2.2970200295864398</v>
      </c>
      <c r="Y218" s="95">
        <v>0.39948174427590261</v>
      </c>
      <c r="Z218" s="95">
        <v>100.09015102832738</v>
      </c>
      <c r="AA218" s="18"/>
      <c r="AB218" s="18"/>
      <c r="AC218" s="18"/>
      <c r="AD218" s="18"/>
      <c r="AE218" s="127"/>
      <c r="AF218" s="127"/>
      <c r="AG218" s="18"/>
      <c r="AH218" s="18"/>
      <c r="AI218" s="18"/>
      <c r="AJ218" s="18"/>
      <c r="AK218" s="134"/>
      <c r="AL218" s="18"/>
      <c r="AM218" s="134"/>
      <c r="AN218" s="127"/>
      <c r="AO218" s="18"/>
      <c r="AP218" s="18"/>
      <c r="AQ218" s="18"/>
      <c r="AR218" s="18"/>
      <c r="AS218" s="18"/>
      <c r="AT218" s="18"/>
      <c r="AU218" s="18"/>
      <c r="AV218" s="18"/>
      <c r="AW218" s="18"/>
      <c r="AX218" s="127"/>
      <c r="AY218" s="127"/>
      <c r="AZ218" s="127"/>
      <c r="BA218" s="127"/>
      <c r="BB218" s="18"/>
      <c r="BC218" s="127"/>
      <c r="BD218" s="18"/>
      <c r="BE218" s="18"/>
      <c r="BF218" s="18"/>
      <c r="BG218" s="18"/>
      <c r="BH218" s="127"/>
      <c r="BI218" s="127"/>
      <c r="BJ218" s="18"/>
      <c r="BK218" s="127"/>
      <c r="BL218" s="127"/>
      <c r="BM218" s="127"/>
      <c r="BN218" s="127"/>
      <c r="BO218" s="18"/>
      <c r="BP218" s="18"/>
      <c r="BQ218" s="18"/>
      <c r="BR218" s="18"/>
      <c r="BS218" s="18"/>
      <c r="BT218" s="18"/>
      <c r="BU218" s="18"/>
      <c r="BV218" s="18"/>
      <c r="BW218" s="18"/>
      <c r="BX218" s="18"/>
      <c r="BY218" s="127"/>
      <c r="BZ218" s="18"/>
      <c r="CA218" s="127"/>
      <c r="CB218" s="127"/>
      <c r="CC218" s="127"/>
      <c r="CE218" t="e">
        <f t="shared" si="114"/>
        <v>#DIV/0!</v>
      </c>
      <c r="CF218" t="e">
        <f t="shared" si="115"/>
        <v>#DIV/0!</v>
      </c>
      <c r="CG218" t="e">
        <f t="shared" si="116"/>
        <v>#DIV/0!</v>
      </c>
      <c r="CH218" t="e">
        <f t="shared" si="117"/>
        <v>#DIV/0!</v>
      </c>
      <c r="CI218" t="e">
        <f t="shared" si="118"/>
        <v>#DIV/0!</v>
      </c>
      <c r="CJ218" t="e">
        <f t="shared" si="119"/>
        <v>#DIV/0!</v>
      </c>
      <c r="CK218" t="e">
        <f t="shared" si="120"/>
        <v>#DIV/0!</v>
      </c>
      <c r="CL218" t="e">
        <f t="shared" si="121"/>
        <v>#DIV/0!</v>
      </c>
      <c r="CM218" t="e">
        <f t="shared" si="122"/>
        <v>#DIV/0!</v>
      </c>
      <c r="CN218" t="e">
        <f t="shared" si="123"/>
        <v>#DIV/0!</v>
      </c>
      <c r="CO218" t="e">
        <f t="shared" si="124"/>
        <v>#DIV/0!</v>
      </c>
      <c r="CP218" t="e">
        <f t="shared" si="125"/>
        <v>#DIV/0!</v>
      </c>
      <c r="CQ218" t="e">
        <f t="shared" si="126"/>
        <v>#DIV/0!</v>
      </c>
      <c r="CR218" t="e">
        <f t="shared" si="127"/>
        <v>#DIV/0!</v>
      </c>
      <c r="CS218" t="e">
        <f t="shared" si="128"/>
        <v>#DIV/0!</v>
      </c>
      <c r="CT218" t="e">
        <f t="shared" si="129"/>
        <v>#DIV/0!</v>
      </c>
      <c r="CU218" t="e">
        <f t="shared" si="130"/>
        <v>#DIV/0!</v>
      </c>
      <c r="CV218" t="e">
        <f t="shared" si="131"/>
        <v>#DIV/0!</v>
      </c>
      <c r="CW218" t="e">
        <f t="shared" si="132"/>
        <v>#DIV/0!</v>
      </c>
      <c r="CX218" t="e">
        <f t="shared" si="133"/>
        <v>#DIV/0!</v>
      </c>
      <c r="CY218" t="e">
        <f t="shared" si="134"/>
        <v>#DIV/0!</v>
      </c>
      <c r="CZ218" t="e">
        <f t="shared" si="135"/>
        <v>#DIV/0!</v>
      </c>
      <c r="DA218" t="e">
        <f t="shared" si="136"/>
        <v>#DIV/0!</v>
      </c>
      <c r="DB218" t="e">
        <f t="shared" si="137"/>
        <v>#DIV/0!</v>
      </c>
      <c r="DC218" t="e">
        <f t="shared" si="138"/>
        <v>#DIV/0!</v>
      </c>
      <c r="DD218" t="e">
        <f t="shared" si="139"/>
        <v>#DIV/0!</v>
      </c>
      <c r="DE218" t="e">
        <f t="shared" si="140"/>
        <v>#DIV/0!</v>
      </c>
      <c r="DF218" t="e">
        <f t="shared" si="141"/>
        <v>#DIV/0!</v>
      </c>
      <c r="DG218" t="e">
        <f t="shared" si="142"/>
        <v>#DIV/0!</v>
      </c>
      <c r="DH218" t="e">
        <f t="shared" si="143"/>
        <v>#DIV/0!</v>
      </c>
      <c r="DI218" t="e">
        <f t="shared" si="144"/>
        <v>#DIV/0!</v>
      </c>
      <c r="DJ218" t="e">
        <f t="shared" si="145"/>
        <v>#DIV/0!</v>
      </c>
      <c r="DK218" t="e">
        <f t="shared" si="146"/>
        <v>#DIV/0!</v>
      </c>
      <c r="DL218" t="e">
        <f t="shared" si="147"/>
        <v>#DIV/0!</v>
      </c>
      <c r="DM218" t="e">
        <f t="shared" si="148"/>
        <v>#DIV/0!</v>
      </c>
      <c r="DN218" t="e">
        <f t="shared" si="149"/>
        <v>#DIV/0!</v>
      </c>
      <c r="DO218" t="e">
        <f t="shared" si="150"/>
        <v>#DIV/0!</v>
      </c>
      <c r="DP218" t="e">
        <f t="shared" si="151"/>
        <v>#DIV/0!</v>
      </c>
    </row>
    <row r="219" spans="1:120">
      <c r="A219" s="16" t="s">
        <v>836</v>
      </c>
      <c r="B219" s="16" t="s">
        <v>24</v>
      </c>
      <c r="C219" s="124" t="s">
        <v>541</v>
      </c>
      <c r="D219" s="16" t="s">
        <v>1705</v>
      </c>
      <c r="E219" s="16" t="s">
        <v>237</v>
      </c>
      <c r="F219" s="16" t="s">
        <v>163</v>
      </c>
      <c r="G219" s="16" t="s">
        <v>595</v>
      </c>
      <c r="H219" s="27">
        <v>355</v>
      </c>
      <c r="I219" s="16" t="s">
        <v>1148</v>
      </c>
      <c r="J219" s="3" t="s">
        <v>635</v>
      </c>
      <c r="K219" s="16" t="s">
        <v>128</v>
      </c>
      <c r="L219" s="16" t="s">
        <v>1509</v>
      </c>
      <c r="M219" s="16" t="s">
        <v>377</v>
      </c>
      <c r="N219" s="16">
        <v>22</v>
      </c>
      <c r="O219" s="95">
        <v>50.123555950412801</v>
      </c>
      <c r="P219" s="95">
        <v>3.6317067485029635</v>
      </c>
      <c r="Q219" s="95">
        <v>5.2824825432770384</v>
      </c>
      <c r="R219" s="95">
        <v>14.206676536843549</v>
      </c>
      <c r="S219" s="95">
        <v>7.3734652166575323</v>
      </c>
      <c r="T219" s="95">
        <v>4.241993557480046</v>
      </c>
      <c r="U219" s="95">
        <v>0</v>
      </c>
      <c r="V219" s="95">
        <v>2.1910296912455896</v>
      </c>
      <c r="W219" s="95">
        <v>11.405360036620877</v>
      </c>
      <c r="X219" s="95">
        <v>0.97045607329142547</v>
      </c>
      <c r="Y219" s="95">
        <v>0.74034793220170603</v>
      </c>
      <c r="Z219" s="95">
        <v>100.16707428653353</v>
      </c>
      <c r="AA219" s="18"/>
      <c r="AB219" s="18"/>
      <c r="AC219" s="18"/>
      <c r="AD219" s="18"/>
      <c r="AE219" s="127"/>
      <c r="AF219" s="127"/>
      <c r="AG219" s="18"/>
      <c r="AH219" s="18">
        <v>195414</v>
      </c>
      <c r="AI219" s="18"/>
      <c r="AJ219" s="18">
        <v>34112</v>
      </c>
      <c r="AK219" s="134"/>
      <c r="AL219" s="18"/>
      <c r="AM219" s="134"/>
      <c r="AN219" s="127"/>
      <c r="AO219" s="18"/>
      <c r="AP219" s="18"/>
      <c r="AQ219" s="18"/>
      <c r="AR219" s="18"/>
      <c r="AS219" s="18"/>
      <c r="AT219" s="18"/>
      <c r="AU219" s="18"/>
      <c r="AV219" s="18"/>
      <c r="AW219" s="18"/>
      <c r="AX219" s="127">
        <v>500</v>
      </c>
      <c r="AY219" s="127">
        <v>3000</v>
      </c>
      <c r="AZ219" s="127">
        <v>302</v>
      </c>
      <c r="BA219" s="127">
        <v>1851</v>
      </c>
      <c r="BB219" s="18"/>
      <c r="BC219" s="127">
        <v>604</v>
      </c>
      <c r="BD219" s="18"/>
      <c r="BE219" s="18"/>
      <c r="BF219" s="18"/>
      <c r="BG219" s="18"/>
      <c r="BH219" s="127"/>
      <c r="BI219" s="127">
        <v>16082</v>
      </c>
      <c r="BJ219" s="18"/>
      <c r="BK219" s="127">
        <v>741</v>
      </c>
      <c r="BL219" s="127">
        <v>980</v>
      </c>
      <c r="BM219" s="127">
        <v>91.2</v>
      </c>
      <c r="BN219" s="127">
        <v>314</v>
      </c>
      <c r="BO219" s="18">
        <v>88.8</v>
      </c>
      <c r="BP219" s="18">
        <v>24.8</v>
      </c>
      <c r="BQ219" s="18">
        <v>88.8</v>
      </c>
      <c r="BR219" s="18">
        <v>77</v>
      </c>
      <c r="BS219" s="18">
        <v>15.6</v>
      </c>
      <c r="BT219" s="18">
        <v>38.799999999999997</v>
      </c>
      <c r="BU219" s="18"/>
      <c r="BV219" s="18">
        <v>20.399999999999999</v>
      </c>
      <c r="BW219" s="18">
        <v>2.29</v>
      </c>
      <c r="BX219" s="18">
        <v>81</v>
      </c>
      <c r="BY219" s="127">
        <v>30.6</v>
      </c>
      <c r="BZ219" s="18"/>
      <c r="CA219" s="127"/>
      <c r="CB219" s="127">
        <v>94.5</v>
      </c>
      <c r="CC219" s="127">
        <v>16.8</v>
      </c>
      <c r="CE219">
        <f t="shared" si="114"/>
        <v>5.3606666666666669</v>
      </c>
      <c r="CF219">
        <f t="shared" si="115"/>
        <v>21.70310391363023</v>
      </c>
      <c r="CG219">
        <f t="shared" si="116"/>
        <v>4.048582995951417</v>
      </c>
      <c r="CH219">
        <f t="shared" si="117"/>
        <v>0.7561224489795918</v>
      </c>
      <c r="CI219">
        <f t="shared" si="118"/>
        <v>0</v>
      </c>
      <c r="CJ219" t="e">
        <f t="shared" si="119"/>
        <v>#DIV/0!</v>
      </c>
      <c r="CK219">
        <f t="shared" si="120"/>
        <v>0</v>
      </c>
      <c r="CL219">
        <f t="shared" si="121"/>
        <v>3.0612244897959182</v>
      </c>
      <c r="CM219">
        <f t="shared" si="122"/>
        <v>16.410204081632653</v>
      </c>
      <c r="CN219">
        <f t="shared" si="123"/>
        <v>16.410204081632653</v>
      </c>
      <c r="CO219">
        <f t="shared" si="124"/>
        <v>3.1224489795918371E-2</v>
      </c>
      <c r="CP219">
        <f t="shared" si="125"/>
        <v>0</v>
      </c>
      <c r="CQ219">
        <f t="shared" si="126"/>
        <v>0</v>
      </c>
      <c r="CR219">
        <f t="shared" si="127"/>
        <v>0.81511470985155199</v>
      </c>
      <c r="CS219">
        <f t="shared" si="128"/>
        <v>2.4979757085020244</v>
      </c>
      <c r="CT219">
        <f t="shared" si="129"/>
        <v>0.16666666666666666</v>
      </c>
      <c r="CU219">
        <f t="shared" si="130"/>
        <v>0.40755735492577599</v>
      </c>
      <c r="CV219" t="e">
        <f t="shared" si="131"/>
        <v>#DIV/0!</v>
      </c>
      <c r="CW219">
        <f t="shared" si="132"/>
        <v>0</v>
      </c>
      <c r="CX219">
        <f t="shared" si="133"/>
        <v>3.064569536423841</v>
      </c>
      <c r="CY219">
        <f t="shared" si="134"/>
        <v>4.1295546558704453E-2</v>
      </c>
      <c r="CZ219">
        <f t="shared" si="135"/>
        <v>5.625</v>
      </c>
      <c r="DA219">
        <f t="shared" si="136"/>
        <v>3.702</v>
      </c>
      <c r="DB219">
        <f t="shared" si="137"/>
        <v>0.61699999999999999</v>
      </c>
      <c r="DC219">
        <f t="shared" si="138"/>
        <v>6.129139072847682</v>
      </c>
      <c r="DD219">
        <f t="shared" si="139"/>
        <v>1.8887755102040817</v>
      </c>
      <c r="DE219">
        <f t="shared" si="140"/>
        <v>0</v>
      </c>
      <c r="DF219">
        <f t="shared" si="141"/>
        <v>0</v>
      </c>
      <c r="DG219">
        <f t="shared" si="142"/>
        <v>0</v>
      </c>
      <c r="DH219">
        <f t="shared" si="143"/>
        <v>5.3606666666666669</v>
      </c>
      <c r="DI219">
        <f t="shared" si="144"/>
        <v>0.20133333333333334</v>
      </c>
      <c r="DJ219">
        <f t="shared" si="145"/>
        <v>5.5999999999999999E-3</v>
      </c>
      <c r="DK219">
        <f t="shared" si="146"/>
        <v>9.9506952991329726E-3</v>
      </c>
      <c r="DL219">
        <f t="shared" si="147"/>
        <v>7.1288563337072045E-3</v>
      </c>
      <c r="DM219">
        <f t="shared" si="148"/>
        <v>2.4578217388858442E-3</v>
      </c>
      <c r="DN219">
        <f t="shared" si="149"/>
        <v>4.5849180553771498E-4</v>
      </c>
      <c r="DO219">
        <f t="shared" si="150"/>
        <v>1.7608275144256795E-3</v>
      </c>
      <c r="DP219">
        <f t="shared" si="151"/>
        <v>3.2847174128075102E-4</v>
      </c>
    </row>
    <row r="220" spans="1:120">
      <c r="A220" s="16" t="s">
        <v>836</v>
      </c>
      <c r="B220" s="16" t="s">
        <v>24</v>
      </c>
      <c r="C220" s="124" t="s">
        <v>541</v>
      </c>
      <c r="D220" s="16" t="s">
        <v>1705</v>
      </c>
      <c r="E220" s="16" t="s">
        <v>237</v>
      </c>
      <c r="F220" s="16" t="s">
        <v>163</v>
      </c>
      <c r="G220" s="16" t="s">
        <v>595</v>
      </c>
      <c r="H220" s="27">
        <v>355</v>
      </c>
      <c r="I220" s="16" t="s">
        <v>1148</v>
      </c>
      <c r="J220" s="3" t="s">
        <v>635</v>
      </c>
      <c r="K220" s="16" t="s">
        <v>128</v>
      </c>
      <c r="L220" s="16" t="s">
        <v>1509</v>
      </c>
      <c r="M220" s="16" t="s">
        <v>378</v>
      </c>
      <c r="N220" s="16">
        <v>20</v>
      </c>
      <c r="O220" s="95">
        <v>60.139814465703559</v>
      </c>
      <c r="P220" s="95">
        <v>3.9491811499145331</v>
      </c>
      <c r="Q220" s="95">
        <v>6.7657291273916496</v>
      </c>
      <c r="R220" s="95">
        <v>9.7426499434439755</v>
      </c>
      <c r="S220" s="95">
        <v>3.1072237473946838</v>
      </c>
      <c r="T220" s="95">
        <v>1.4032623375330828</v>
      </c>
      <c r="U220" s="95">
        <v>0.17039614098616007</v>
      </c>
      <c r="V220" s="95">
        <v>1.252912801368824</v>
      </c>
      <c r="W220" s="95">
        <v>11.927729869031205</v>
      </c>
      <c r="X220" s="95">
        <v>0.98228363627315807</v>
      </c>
      <c r="Y220" s="95">
        <v>0.72167777358844265</v>
      </c>
      <c r="Z220" s="95">
        <v>100.16286099262926</v>
      </c>
      <c r="AA220" s="18"/>
      <c r="AB220" s="18"/>
      <c r="AC220" s="18"/>
      <c r="AD220" s="18"/>
      <c r="AE220" s="127"/>
      <c r="AF220" s="127"/>
      <c r="AG220" s="18"/>
      <c r="AH220" s="18">
        <v>117276</v>
      </c>
      <c r="AI220" s="18"/>
      <c r="AJ220" s="18">
        <v>27998</v>
      </c>
      <c r="AK220" s="134"/>
      <c r="AL220" s="18"/>
      <c r="AM220" s="134"/>
      <c r="AN220" s="127"/>
      <c r="AO220" s="18"/>
      <c r="AP220" s="18"/>
      <c r="AQ220" s="18"/>
      <c r="AR220" s="18"/>
      <c r="AS220" s="18"/>
      <c r="AT220" s="18"/>
      <c r="AU220" s="18"/>
      <c r="AV220" s="18"/>
      <c r="AW220" s="18"/>
      <c r="AX220" s="127">
        <v>277</v>
      </c>
      <c r="AY220" s="127">
        <v>737</v>
      </c>
      <c r="AZ220" s="127">
        <v>82.1</v>
      </c>
      <c r="BA220" s="127">
        <v>1842</v>
      </c>
      <c r="BB220" s="18"/>
      <c r="BC220" s="127">
        <v>109</v>
      </c>
      <c r="BD220" s="18"/>
      <c r="BE220" s="18"/>
      <c r="BF220" s="18"/>
      <c r="BG220" s="18"/>
      <c r="BH220" s="127"/>
      <c r="BI220" s="127">
        <v>9443</v>
      </c>
      <c r="BJ220" s="18"/>
      <c r="BK220" s="127">
        <v>420</v>
      </c>
      <c r="BL220" s="127">
        <v>436</v>
      </c>
      <c r="BM220" s="127">
        <v>34</v>
      </c>
      <c r="BN220" s="127">
        <v>98.3</v>
      </c>
      <c r="BO220" s="18">
        <v>28.1</v>
      </c>
      <c r="BP220" s="18">
        <v>8.7899999999999991</v>
      </c>
      <c r="BQ220" s="18">
        <v>34.9</v>
      </c>
      <c r="BR220" s="18">
        <v>18.3</v>
      </c>
      <c r="BS220" s="18">
        <v>3.29</v>
      </c>
      <c r="BT220" s="18">
        <v>8.7799999999999994</v>
      </c>
      <c r="BU220" s="18"/>
      <c r="BV220" s="18">
        <v>4.1500000000000004</v>
      </c>
      <c r="BW220" s="18">
        <v>0.83199999999999996</v>
      </c>
      <c r="BX220" s="18">
        <v>58.3</v>
      </c>
      <c r="BY220" s="127">
        <v>4.96</v>
      </c>
      <c r="BZ220" s="18"/>
      <c r="CA220" s="127"/>
      <c r="CB220" s="127">
        <v>80.5</v>
      </c>
      <c r="CC220" s="127">
        <v>16</v>
      </c>
      <c r="CE220">
        <f t="shared" si="114"/>
        <v>12.812754409769335</v>
      </c>
      <c r="CF220">
        <f t="shared" si="115"/>
        <v>22.483333333333334</v>
      </c>
      <c r="CG220">
        <f t="shared" si="116"/>
        <v>1.7547619047619047</v>
      </c>
      <c r="CH220">
        <f t="shared" si="117"/>
        <v>0.96330275229357798</v>
      </c>
      <c r="CI220">
        <f t="shared" si="118"/>
        <v>0</v>
      </c>
      <c r="CJ220" t="e">
        <f t="shared" si="119"/>
        <v>#DIV/0!</v>
      </c>
      <c r="CK220">
        <f t="shared" si="120"/>
        <v>0</v>
      </c>
      <c r="CL220">
        <f t="shared" si="121"/>
        <v>1.6903669724770642</v>
      </c>
      <c r="CM220">
        <f t="shared" si="122"/>
        <v>21.658256880733944</v>
      </c>
      <c r="CN220">
        <f t="shared" si="123"/>
        <v>21.658256880733944</v>
      </c>
      <c r="CO220">
        <f t="shared" si="124"/>
        <v>1.1376146788990826E-2</v>
      </c>
      <c r="CP220">
        <f t="shared" si="125"/>
        <v>0</v>
      </c>
      <c r="CQ220">
        <f t="shared" si="126"/>
        <v>0</v>
      </c>
      <c r="CR220">
        <f t="shared" si="127"/>
        <v>0.25952380952380955</v>
      </c>
      <c r="CS220">
        <f t="shared" si="128"/>
        <v>4.3857142857142861</v>
      </c>
      <c r="CT220">
        <f t="shared" si="129"/>
        <v>0.37584803256445048</v>
      </c>
      <c r="CU220">
        <f t="shared" si="130"/>
        <v>0.19547619047619047</v>
      </c>
      <c r="CV220" t="e">
        <f t="shared" si="131"/>
        <v>#DIV/0!</v>
      </c>
      <c r="CW220">
        <f t="shared" si="132"/>
        <v>0</v>
      </c>
      <c r="CX220">
        <f t="shared" si="133"/>
        <v>16.899082568807341</v>
      </c>
      <c r="CY220">
        <f t="shared" si="134"/>
        <v>1.180952380952381E-2</v>
      </c>
      <c r="CZ220">
        <f t="shared" si="135"/>
        <v>5.03125</v>
      </c>
      <c r="DA220">
        <f t="shared" si="136"/>
        <v>6.6498194945848379</v>
      </c>
      <c r="DB220">
        <f t="shared" si="137"/>
        <v>2.4993215739484396</v>
      </c>
      <c r="DC220">
        <f t="shared" si="138"/>
        <v>22.43605359317905</v>
      </c>
      <c r="DD220">
        <f t="shared" si="139"/>
        <v>4.2247706422018352</v>
      </c>
      <c r="DE220">
        <f t="shared" si="140"/>
        <v>0</v>
      </c>
      <c r="DF220">
        <f t="shared" si="141"/>
        <v>0</v>
      </c>
      <c r="DG220">
        <f t="shared" si="142"/>
        <v>0</v>
      </c>
      <c r="DH220">
        <f t="shared" si="143"/>
        <v>12.812754409769335</v>
      </c>
      <c r="DI220">
        <f t="shared" si="144"/>
        <v>0.14789687924016282</v>
      </c>
      <c r="DJ220">
        <f t="shared" si="145"/>
        <v>2.1709633649932156E-2</v>
      </c>
      <c r="DK220">
        <f t="shared" si="146"/>
        <v>7.3981517795111522E-3</v>
      </c>
      <c r="DL220">
        <f t="shared" si="147"/>
        <v>1.6108878874742022E-2</v>
      </c>
      <c r="DM220">
        <f t="shared" si="148"/>
        <v>4.216043076519245E-3</v>
      </c>
      <c r="DN220">
        <f t="shared" si="149"/>
        <v>3.2905048685742704E-4</v>
      </c>
      <c r="DO220">
        <f t="shared" si="150"/>
        <v>9.1800937956467432E-3</v>
      </c>
      <c r="DP220">
        <f t="shared" si="151"/>
        <v>7.1648089880246206E-4</v>
      </c>
    </row>
    <row r="221" spans="1:120">
      <c r="A221" s="16" t="s">
        <v>836</v>
      </c>
      <c r="B221" s="16" t="s">
        <v>24</v>
      </c>
      <c r="C221" s="124" t="s">
        <v>541</v>
      </c>
      <c r="D221" s="16" t="s">
        <v>1705</v>
      </c>
      <c r="E221" s="16" t="s">
        <v>237</v>
      </c>
      <c r="F221" s="16" t="s">
        <v>163</v>
      </c>
      <c r="G221" s="16" t="s">
        <v>595</v>
      </c>
      <c r="H221" s="27">
        <v>355</v>
      </c>
      <c r="I221" s="16" t="s">
        <v>1148</v>
      </c>
      <c r="J221" s="3" t="s">
        <v>635</v>
      </c>
      <c r="K221" s="16" t="s">
        <v>128</v>
      </c>
      <c r="L221" s="16" t="s">
        <v>1509</v>
      </c>
      <c r="M221" s="16" t="s">
        <v>381</v>
      </c>
      <c r="N221" s="16">
        <v>16</v>
      </c>
      <c r="O221" s="95">
        <v>58.494655738404347</v>
      </c>
      <c r="P221" s="95">
        <v>2.1534847574926257</v>
      </c>
      <c r="Q221" s="95">
        <v>8.7141011117143456</v>
      </c>
      <c r="R221" s="95">
        <v>8.9344576915507989</v>
      </c>
      <c r="S221" s="95">
        <v>3.9864508534049534</v>
      </c>
      <c r="T221" s="95">
        <v>1.4924150179832614</v>
      </c>
      <c r="U221" s="95">
        <v>1.7328040141684848</v>
      </c>
      <c r="V221" s="95">
        <v>0.35056728610345067</v>
      </c>
      <c r="W221" s="95">
        <v>12.119611891005009</v>
      </c>
      <c r="X221" s="95">
        <v>1.3622043117162657</v>
      </c>
      <c r="Y221" s="95">
        <v>0.8513776948226659</v>
      </c>
      <c r="Z221" s="95">
        <v>100.19213036836622</v>
      </c>
      <c r="AA221" s="18"/>
      <c r="AB221" s="18"/>
      <c r="AC221" s="18"/>
      <c r="AD221" s="18"/>
      <c r="AE221" s="127"/>
      <c r="AF221" s="127"/>
      <c r="AG221" s="18"/>
      <c r="AH221" s="18"/>
      <c r="AI221" s="18"/>
      <c r="AJ221" s="18"/>
      <c r="AK221" s="134"/>
      <c r="AL221" s="18"/>
      <c r="AM221" s="134"/>
      <c r="AN221" s="127"/>
      <c r="AO221" s="18"/>
      <c r="AP221" s="18"/>
      <c r="AQ221" s="18"/>
      <c r="AR221" s="18"/>
      <c r="AS221" s="18"/>
      <c r="AT221" s="18"/>
      <c r="AU221" s="18"/>
      <c r="AV221" s="18"/>
      <c r="AW221" s="18"/>
      <c r="AX221" s="127"/>
      <c r="AY221" s="127"/>
      <c r="AZ221" s="127"/>
      <c r="BA221" s="127"/>
      <c r="BB221" s="18"/>
      <c r="BC221" s="127"/>
      <c r="BD221" s="18"/>
      <c r="BE221" s="18"/>
      <c r="BF221" s="18"/>
      <c r="BG221" s="18"/>
      <c r="BH221" s="127"/>
      <c r="BI221" s="127"/>
      <c r="BJ221" s="18"/>
      <c r="BK221" s="127"/>
      <c r="BL221" s="127"/>
      <c r="BM221" s="127"/>
      <c r="BN221" s="127"/>
      <c r="BO221" s="18"/>
      <c r="BP221" s="18"/>
      <c r="BQ221" s="18"/>
      <c r="BR221" s="18"/>
      <c r="BS221" s="18"/>
      <c r="BT221" s="18"/>
      <c r="BU221" s="18"/>
      <c r="BV221" s="18"/>
      <c r="BW221" s="18"/>
      <c r="BX221" s="18"/>
      <c r="BY221" s="127"/>
      <c r="BZ221" s="18"/>
      <c r="CA221" s="127"/>
      <c r="CB221" s="127"/>
      <c r="CC221" s="127"/>
      <c r="CE221" t="e">
        <f t="shared" si="114"/>
        <v>#DIV/0!</v>
      </c>
      <c r="CF221" t="e">
        <f t="shared" si="115"/>
        <v>#DIV/0!</v>
      </c>
      <c r="CG221" t="e">
        <f t="shared" si="116"/>
        <v>#DIV/0!</v>
      </c>
      <c r="CH221" t="e">
        <f t="shared" si="117"/>
        <v>#DIV/0!</v>
      </c>
      <c r="CI221" t="e">
        <f t="shared" si="118"/>
        <v>#DIV/0!</v>
      </c>
      <c r="CJ221" t="e">
        <f t="shared" si="119"/>
        <v>#DIV/0!</v>
      </c>
      <c r="CK221" t="e">
        <f t="shared" si="120"/>
        <v>#DIV/0!</v>
      </c>
      <c r="CL221" t="e">
        <f t="shared" si="121"/>
        <v>#DIV/0!</v>
      </c>
      <c r="CM221" t="e">
        <f t="shared" si="122"/>
        <v>#DIV/0!</v>
      </c>
      <c r="CN221" t="e">
        <f t="shared" si="123"/>
        <v>#DIV/0!</v>
      </c>
      <c r="CO221" t="e">
        <f t="shared" si="124"/>
        <v>#DIV/0!</v>
      </c>
      <c r="CP221" t="e">
        <f t="shared" si="125"/>
        <v>#DIV/0!</v>
      </c>
      <c r="CQ221" t="e">
        <f t="shared" si="126"/>
        <v>#DIV/0!</v>
      </c>
      <c r="CR221" t="e">
        <f t="shared" si="127"/>
        <v>#DIV/0!</v>
      </c>
      <c r="CS221" t="e">
        <f t="shared" si="128"/>
        <v>#DIV/0!</v>
      </c>
      <c r="CT221" t="e">
        <f t="shared" si="129"/>
        <v>#DIV/0!</v>
      </c>
      <c r="CU221" t="e">
        <f t="shared" si="130"/>
        <v>#DIV/0!</v>
      </c>
      <c r="CV221" t="e">
        <f t="shared" si="131"/>
        <v>#DIV/0!</v>
      </c>
      <c r="CW221" t="e">
        <f t="shared" si="132"/>
        <v>#DIV/0!</v>
      </c>
      <c r="CX221" t="e">
        <f t="shared" si="133"/>
        <v>#DIV/0!</v>
      </c>
      <c r="CY221" t="e">
        <f t="shared" si="134"/>
        <v>#DIV/0!</v>
      </c>
      <c r="CZ221" t="e">
        <f t="shared" si="135"/>
        <v>#DIV/0!</v>
      </c>
      <c r="DA221" t="e">
        <f t="shared" si="136"/>
        <v>#DIV/0!</v>
      </c>
      <c r="DB221" t="e">
        <f t="shared" si="137"/>
        <v>#DIV/0!</v>
      </c>
      <c r="DC221" t="e">
        <f t="shared" si="138"/>
        <v>#DIV/0!</v>
      </c>
      <c r="DD221" t="e">
        <f t="shared" si="139"/>
        <v>#DIV/0!</v>
      </c>
      <c r="DE221" t="e">
        <f t="shared" si="140"/>
        <v>#DIV/0!</v>
      </c>
      <c r="DF221" t="e">
        <f t="shared" si="141"/>
        <v>#DIV/0!</v>
      </c>
      <c r="DG221" t="e">
        <f t="shared" si="142"/>
        <v>#DIV/0!</v>
      </c>
      <c r="DH221" t="e">
        <f t="shared" si="143"/>
        <v>#DIV/0!</v>
      </c>
      <c r="DI221" t="e">
        <f t="shared" si="144"/>
        <v>#DIV/0!</v>
      </c>
      <c r="DJ221" t="e">
        <f t="shared" si="145"/>
        <v>#DIV/0!</v>
      </c>
      <c r="DK221" t="e">
        <f t="shared" si="146"/>
        <v>#DIV/0!</v>
      </c>
      <c r="DL221" t="e">
        <f t="shared" si="147"/>
        <v>#DIV/0!</v>
      </c>
      <c r="DM221" t="e">
        <f t="shared" si="148"/>
        <v>#DIV/0!</v>
      </c>
      <c r="DN221" t="e">
        <f t="shared" si="149"/>
        <v>#DIV/0!</v>
      </c>
      <c r="DO221" t="e">
        <f t="shared" si="150"/>
        <v>#DIV/0!</v>
      </c>
      <c r="DP221" t="e">
        <f t="shared" si="151"/>
        <v>#DIV/0!</v>
      </c>
    </row>
    <row r="222" spans="1:120">
      <c r="A222" s="16" t="s">
        <v>836</v>
      </c>
      <c r="B222" s="16" t="s">
        <v>24</v>
      </c>
      <c r="C222" s="124" t="s">
        <v>541</v>
      </c>
      <c r="D222" s="16" t="s">
        <v>1705</v>
      </c>
      <c r="E222" s="16" t="s">
        <v>237</v>
      </c>
      <c r="F222" s="16" t="s">
        <v>163</v>
      </c>
      <c r="G222" s="16" t="s">
        <v>595</v>
      </c>
      <c r="H222" s="27">
        <v>355</v>
      </c>
      <c r="I222" s="16" t="s">
        <v>1148</v>
      </c>
      <c r="J222" s="3" t="s">
        <v>635</v>
      </c>
      <c r="K222" s="16" t="s">
        <v>128</v>
      </c>
      <c r="L222" s="16" t="s">
        <v>1509</v>
      </c>
      <c r="M222" s="16" t="s">
        <v>384</v>
      </c>
      <c r="N222" s="16">
        <v>25</v>
      </c>
      <c r="O222" s="95">
        <v>45.295255131535285</v>
      </c>
      <c r="P222" s="95">
        <v>3.8465815333432398</v>
      </c>
      <c r="Q222" s="95">
        <v>7.5525569531961265</v>
      </c>
      <c r="R222" s="95">
        <v>10.445025573569112</v>
      </c>
      <c r="S222" s="95">
        <v>2.1191349961760406</v>
      </c>
      <c r="T222" s="95">
        <v>5.7347207716422721</v>
      </c>
      <c r="U222" s="95">
        <v>2.4907368675434034</v>
      </c>
      <c r="V222" s="95">
        <v>1.0344592635361716</v>
      </c>
      <c r="W222" s="95">
        <v>14.361910163657528</v>
      </c>
      <c r="X222" s="95">
        <v>5.8753268851326244</v>
      </c>
      <c r="Y222" s="95">
        <v>1.6069270113183247</v>
      </c>
      <c r="Z222" s="95">
        <v>100.36263515065012</v>
      </c>
      <c r="AA222" s="18"/>
      <c r="AB222" s="18"/>
      <c r="AC222" s="18"/>
      <c r="AD222" s="18"/>
      <c r="AE222" s="127"/>
      <c r="AF222" s="127"/>
      <c r="AG222" s="18"/>
      <c r="AH222" s="18">
        <v>151191</v>
      </c>
      <c r="AI222" s="18"/>
      <c r="AJ222" s="18">
        <v>31409</v>
      </c>
      <c r="AK222" s="134"/>
      <c r="AL222" s="18"/>
      <c r="AM222" s="134"/>
      <c r="AN222" s="127"/>
      <c r="AO222" s="18"/>
      <c r="AP222" s="18"/>
      <c r="AQ222" s="18"/>
      <c r="AR222" s="18"/>
      <c r="AS222" s="18"/>
      <c r="AT222" s="18"/>
      <c r="AU222" s="18"/>
      <c r="AV222" s="18"/>
      <c r="AW222" s="18"/>
      <c r="AX222" s="127">
        <v>486</v>
      </c>
      <c r="AY222" s="127">
        <v>3722</v>
      </c>
      <c r="AZ222" s="127">
        <v>88.7</v>
      </c>
      <c r="BA222" s="127">
        <v>790</v>
      </c>
      <c r="BB222" s="18"/>
      <c r="BC222" s="127">
        <v>206</v>
      </c>
      <c r="BD222" s="18"/>
      <c r="BE222" s="18"/>
      <c r="BF222" s="18"/>
      <c r="BG222" s="18"/>
      <c r="BH222" s="127"/>
      <c r="BI222" s="127">
        <v>10745</v>
      </c>
      <c r="BJ222" s="18"/>
      <c r="BK222" s="127">
        <v>789</v>
      </c>
      <c r="BL222" s="127">
        <v>1274</v>
      </c>
      <c r="BM222" s="127">
        <v>110</v>
      </c>
      <c r="BN222" s="127">
        <v>347</v>
      </c>
      <c r="BO222" s="18">
        <v>127</v>
      </c>
      <c r="BP222" s="18">
        <v>23.4</v>
      </c>
      <c r="BQ222" s="18">
        <v>46</v>
      </c>
      <c r="BR222" s="18">
        <v>29.2</v>
      </c>
      <c r="BS222" s="18">
        <v>5.19</v>
      </c>
      <c r="BT222" s="18">
        <v>10.9</v>
      </c>
      <c r="BU222" s="18"/>
      <c r="BV222" s="18">
        <v>14.7</v>
      </c>
      <c r="BW222" s="18" t="s">
        <v>1366</v>
      </c>
      <c r="BX222" s="18">
        <v>26.2</v>
      </c>
      <c r="BY222" s="127">
        <v>3.78</v>
      </c>
      <c r="BZ222" s="18"/>
      <c r="CA222" s="127"/>
      <c r="CB222" s="127">
        <v>110</v>
      </c>
      <c r="CC222" s="127">
        <v>23.2</v>
      </c>
      <c r="CE222">
        <f t="shared" si="114"/>
        <v>2.8868887694787748</v>
      </c>
      <c r="CF222">
        <f t="shared" si="115"/>
        <v>13.618504435994931</v>
      </c>
      <c r="CG222">
        <f t="shared" si="116"/>
        <v>4.7173637515842843</v>
      </c>
      <c r="CH222">
        <f t="shared" si="117"/>
        <v>0.61930926216640503</v>
      </c>
      <c r="CI222">
        <f t="shared" si="118"/>
        <v>0</v>
      </c>
      <c r="CJ222" t="e">
        <f t="shared" si="119"/>
        <v>#DIV/0!</v>
      </c>
      <c r="CK222">
        <f t="shared" si="120"/>
        <v>0</v>
      </c>
      <c r="CL222">
        <f t="shared" si="121"/>
        <v>2.9215070643642074</v>
      </c>
      <c r="CM222">
        <f t="shared" si="122"/>
        <v>8.4340659340659343</v>
      </c>
      <c r="CN222">
        <f t="shared" si="123"/>
        <v>8.4340659340659343</v>
      </c>
      <c r="CO222">
        <f t="shared" si="124"/>
        <v>2.9670329670329668E-3</v>
      </c>
      <c r="CP222">
        <f t="shared" si="125"/>
        <v>0</v>
      </c>
      <c r="CQ222">
        <f t="shared" si="126"/>
        <v>0</v>
      </c>
      <c r="CR222">
        <f t="shared" si="127"/>
        <v>0.26108998732572875</v>
      </c>
      <c r="CS222">
        <f t="shared" si="128"/>
        <v>1.0012674271229405</v>
      </c>
      <c r="CT222">
        <f t="shared" si="129"/>
        <v>0.1305749596990865</v>
      </c>
      <c r="CU222">
        <f t="shared" si="130"/>
        <v>0.11242078580481622</v>
      </c>
      <c r="CV222" t="e">
        <f t="shared" si="131"/>
        <v>#DIV/0!</v>
      </c>
      <c r="CW222">
        <f t="shared" si="132"/>
        <v>0</v>
      </c>
      <c r="CX222">
        <f t="shared" si="133"/>
        <v>3.8349514563106797</v>
      </c>
      <c r="CY222">
        <f t="shared" si="134"/>
        <v>4.7908745247148285E-3</v>
      </c>
      <c r="CZ222">
        <f t="shared" si="135"/>
        <v>4.7413793103448274</v>
      </c>
      <c r="DA222">
        <f t="shared" si="136"/>
        <v>1.6255144032921811</v>
      </c>
      <c r="DB222">
        <f t="shared" si="137"/>
        <v>0.2122514777001612</v>
      </c>
      <c r="DC222">
        <f t="shared" si="138"/>
        <v>8.9064261555806077</v>
      </c>
      <c r="DD222">
        <f t="shared" si="139"/>
        <v>0.62009419152276291</v>
      </c>
      <c r="DE222">
        <f t="shared" si="140"/>
        <v>0</v>
      </c>
      <c r="DF222">
        <f t="shared" si="141"/>
        <v>0</v>
      </c>
      <c r="DG222">
        <f t="shared" si="142"/>
        <v>0</v>
      </c>
      <c r="DH222">
        <f t="shared" si="143"/>
        <v>2.8868887694787748</v>
      </c>
      <c r="DI222">
        <f t="shared" si="144"/>
        <v>5.5346587855991405E-2</v>
      </c>
      <c r="DJ222">
        <f t="shared" si="145"/>
        <v>6.2332079527135948E-3</v>
      </c>
      <c r="DK222">
        <f t="shared" si="146"/>
        <v>2.6858491713257801E-3</v>
      </c>
      <c r="DL222">
        <f t="shared" si="147"/>
        <v>9.5723155300331143E-3</v>
      </c>
      <c r="DM222">
        <f t="shared" si="148"/>
        <v>5.6935384099302542E-4</v>
      </c>
      <c r="DN222">
        <f t="shared" si="149"/>
        <v>1.9722056735002705E-4</v>
      </c>
      <c r="DO222">
        <f t="shared" si="150"/>
        <v>2.029166295861399E-3</v>
      </c>
      <c r="DP222">
        <f t="shared" si="151"/>
        <v>7.0289036325696852E-4</v>
      </c>
    </row>
    <row r="223" spans="1:120">
      <c r="A223" s="16" t="s">
        <v>836</v>
      </c>
      <c r="B223" s="16" t="s">
        <v>24</v>
      </c>
      <c r="C223" s="124" t="s">
        <v>541</v>
      </c>
      <c r="D223" s="16" t="s">
        <v>1705</v>
      </c>
      <c r="E223" s="16" t="s">
        <v>237</v>
      </c>
      <c r="F223" s="16" t="s">
        <v>163</v>
      </c>
      <c r="G223" s="16" t="s">
        <v>595</v>
      </c>
      <c r="H223" s="27">
        <v>355</v>
      </c>
      <c r="I223" s="16" t="s">
        <v>1148</v>
      </c>
      <c r="J223" s="3" t="s">
        <v>635</v>
      </c>
      <c r="K223" s="16" t="s">
        <v>128</v>
      </c>
      <c r="L223" s="16" t="s">
        <v>1509</v>
      </c>
      <c r="M223" s="16" t="s">
        <v>385</v>
      </c>
      <c r="N223" s="16">
        <v>15</v>
      </c>
      <c r="O223" s="95">
        <v>50.004614732062159</v>
      </c>
      <c r="P223" s="95">
        <v>4.7499373513020968</v>
      </c>
      <c r="Q223" s="95">
        <v>5.2810484897388283</v>
      </c>
      <c r="R223" s="95">
        <v>17.135849938241744</v>
      </c>
      <c r="S223" s="95">
        <v>8.1370234794457854</v>
      </c>
      <c r="T223" s="95">
        <v>1.9741300806044577</v>
      </c>
      <c r="U223" s="95">
        <v>0.21044026239945995</v>
      </c>
      <c r="V223" s="95">
        <v>0.62129982232221515</v>
      </c>
      <c r="W223" s="95">
        <v>9.8005036488891353</v>
      </c>
      <c r="X223" s="95">
        <v>1.2626415743967601</v>
      </c>
      <c r="Y223" s="95">
        <v>1.0622222768734648</v>
      </c>
      <c r="Z223" s="95">
        <v>100.23971165627611</v>
      </c>
      <c r="AA223" s="18"/>
      <c r="AB223" s="18"/>
      <c r="AC223" s="18"/>
      <c r="AD223" s="18"/>
      <c r="AE223" s="127"/>
      <c r="AF223" s="127"/>
      <c r="AG223" s="18"/>
      <c r="AH223" s="18">
        <v>301637</v>
      </c>
      <c r="AI223" s="18"/>
      <c r="AJ223" s="18">
        <v>30448</v>
      </c>
      <c r="AK223" s="134"/>
      <c r="AL223" s="18"/>
      <c r="AM223" s="134"/>
      <c r="AN223" s="127"/>
      <c r="AO223" s="18"/>
      <c r="AP223" s="18"/>
      <c r="AQ223" s="18"/>
      <c r="AR223" s="18"/>
      <c r="AS223" s="18"/>
      <c r="AT223" s="18"/>
      <c r="AU223" s="18"/>
      <c r="AV223" s="18"/>
      <c r="AW223" s="18"/>
      <c r="AX223" s="127">
        <v>1392</v>
      </c>
      <c r="AY223" s="127">
        <v>3399</v>
      </c>
      <c r="AZ223" s="127">
        <v>616</v>
      </c>
      <c r="BA223" s="127">
        <v>4176</v>
      </c>
      <c r="BB223" s="18"/>
      <c r="BC223" s="127">
        <v>165</v>
      </c>
      <c r="BD223" s="18"/>
      <c r="BE223" s="18"/>
      <c r="BF223" s="18"/>
      <c r="BG223" s="18"/>
      <c r="BH223" s="127"/>
      <c r="BI223" s="127">
        <v>20561</v>
      </c>
      <c r="BJ223" s="18"/>
      <c r="BK223" s="127">
        <v>1144</v>
      </c>
      <c r="BL223" s="127">
        <v>1588</v>
      </c>
      <c r="BM223" s="127">
        <v>108</v>
      </c>
      <c r="BN223" s="127">
        <v>648</v>
      </c>
      <c r="BO223" s="18">
        <v>180</v>
      </c>
      <c r="BP223" s="18">
        <v>179</v>
      </c>
      <c r="BQ223" s="18">
        <v>201</v>
      </c>
      <c r="BR223" s="18">
        <v>92.3</v>
      </c>
      <c r="BS223" s="18">
        <v>21.9</v>
      </c>
      <c r="BT223" s="18">
        <v>48.4</v>
      </c>
      <c r="BU223" s="18"/>
      <c r="BV223" s="18">
        <v>11.6</v>
      </c>
      <c r="BW223" s="18">
        <v>5.33</v>
      </c>
      <c r="BX223" s="18">
        <v>319</v>
      </c>
      <c r="BY223" s="127">
        <v>8.0299999999999994</v>
      </c>
      <c r="BZ223" s="18"/>
      <c r="CA223" s="127"/>
      <c r="CB223" s="127">
        <v>148</v>
      </c>
      <c r="CC223" s="127">
        <v>25.5</v>
      </c>
      <c r="CE223">
        <f t="shared" si="114"/>
        <v>6.0491320976757867</v>
      </c>
      <c r="CF223">
        <f t="shared" si="115"/>
        <v>17.972902097902097</v>
      </c>
      <c r="CG223">
        <f t="shared" si="116"/>
        <v>2.9711538461538463</v>
      </c>
      <c r="CH223">
        <f t="shared" si="117"/>
        <v>0.72040302267002521</v>
      </c>
      <c r="CI223">
        <f t="shared" si="118"/>
        <v>0</v>
      </c>
      <c r="CJ223" t="e">
        <f t="shared" si="119"/>
        <v>#DIV/0!</v>
      </c>
      <c r="CK223">
        <f t="shared" si="120"/>
        <v>0</v>
      </c>
      <c r="CL223">
        <f t="shared" si="121"/>
        <v>2.1404282115869018</v>
      </c>
      <c r="CM223">
        <f t="shared" si="122"/>
        <v>12.947732997481108</v>
      </c>
      <c r="CN223">
        <f t="shared" si="123"/>
        <v>12.947732997481108</v>
      </c>
      <c r="CO223">
        <f t="shared" si="124"/>
        <v>5.0566750629722915E-3</v>
      </c>
      <c r="CP223">
        <f t="shared" si="125"/>
        <v>0</v>
      </c>
      <c r="CQ223">
        <f t="shared" si="126"/>
        <v>0</v>
      </c>
      <c r="CR223">
        <f t="shared" si="127"/>
        <v>0.14423076923076922</v>
      </c>
      <c r="CS223">
        <f t="shared" si="128"/>
        <v>3.6503496503496504</v>
      </c>
      <c r="CT223">
        <f t="shared" si="129"/>
        <v>0.4095322153574581</v>
      </c>
      <c r="CU223">
        <f t="shared" si="130"/>
        <v>0.53846153846153844</v>
      </c>
      <c r="CV223" t="e">
        <f t="shared" si="131"/>
        <v>#DIV/0!</v>
      </c>
      <c r="CW223">
        <f t="shared" si="132"/>
        <v>0</v>
      </c>
      <c r="CX223">
        <f t="shared" si="133"/>
        <v>25.309090909090909</v>
      </c>
      <c r="CY223">
        <f t="shared" si="134"/>
        <v>7.0192307692307689E-3</v>
      </c>
      <c r="CZ223">
        <f t="shared" si="135"/>
        <v>5.8039215686274508</v>
      </c>
      <c r="DA223">
        <f t="shared" si="136"/>
        <v>3</v>
      </c>
      <c r="DB223">
        <f t="shared" si="137"/>
        <v>1.2285966460723743</v>
      </c>
      <c r="DC223">
        <f t="shared" si="138"/>
        <v>6.779220779220779</v>
      </c>
      <c r="DD223">
        <f t="shared" si="139"/>
        <v>2.6297229219143579</v>
      </c>
      <c r="DE223">
        <f t="shared" si="140"/>
        <v>0</v>
      </c>
      <c r="DF223">
        <f t="shared" si="141"/>
        <v>0</v>
      </c>
      <c r="DG223">
        <f t="shared" si="142"/>
        <v>0</v>
      </c>
      <c r="DH223">
        <f t="shared" si="143"/>
        <v>6.0491320976757867</v>
      </c>
      <c r="DI223">
        <f t="shared" si="144"/>
        <v>4.8543689320388349E-2</v>
      </c>
      <c r="DJ223">
        <f t="shared" si="145"/>
        <v>7.5022065313327451E-3</v>
      </c>
      <c r="DK223">
        <f t="shared" si="146"/>
        <v>7.1127827617533087E-3</v>
      </c>
      <c r="DL223">
        <f t="shared" si="147"/>
        <v>4.6163011273940811E-3</v>
      </c>
      <c r="DM223">
        <f t="shared" si="148"/>
        <v>2.393946301690434E-3</v>
      </c>
      <c r="DN223">
        <f t="shared" si="149"/>
        <v>3.9575037592752229E-4</v>
      </c>
      <c r="DO223">
        <f t="shared" si="150"/>
        <v>1.5537065283138653E-3</v>
      </c>
      <c r="DP223">
        <f t="shared" si="151"/>
        <v>2.5684784250468498E-4</v>
      </c>
    </row>
    <row r="224" spans="1:120">
      <c r="A224" s="16" t="s">
        <v>836</v>
      </c>
      <c r="B224" s="16" t="s">
        <v>24</v>
      </c>
      <c r="C224" s="124" t="s">
        <v>541</v>
      </c>
      <c r="D224" s="16" t="s">
        <v>1705</v>
      </c>
      <c r="E224" s="16" t="s">
        <v>237</v>
      </c>
      <c r="F224" s="16" t="s">
        <v>163</v>
      </c>
      <c r="G224" s="16" t="s">
        <v>595</v>
      </c>
      <c r="H224" s="27">
        <v>355</v>
      </c>
      <c r="I224" s="16" t="s">
        <v>1148</v>
      </c>
      <c r="J224" s="3" t="s">
        <v>635</v>
      </c>
      <c r="K224" s="16" t="s">
        <v>128</v>
      </c>
      <c r="L224" s="16" t="s">
        <v>1509</v>
      </c>
      <c r="M224" s="16" t="s">
        <v>386</v>
      </c>
      <c r="N224" s="16">
        <v>18</v>
      </c>
      <c r="O224" s="95">
        <v>63.637536273158581</v>
      </c>
      <c r="P224" s="95">
        <v>2.8116584422574786</v>
      </c>
      <c r="Q224" s="95">
        <v>9.8057838911470778</v>
      </c>
      <c r="R224" s="95">
        <v>7.3943615260792752</v>
      </c>
      <c r="S224" s="95">
        <v>3.8322604390911534</v>
      </c>
      <c r="T224" s="95">
        <v>0.79046625244961133</v>
      </c>
      <c r="U224" s="95">
        <v>0.23013574438406403</v>
      </c>
      <c r="V224" s="95">
        <v>0.51030099841683763</v>
      </c>
      <c r="W224" s="95">
        <v>10.105960949039334</v>
      </c>
      <c r="X224" s="95">
        <v>0.61036001771425674</v>
      </c>
      <c r="Y224" s="95">
        <v>0.35020656754096702</v>
      </c>
      <c r="Z224" s="95">
        <v>100.07903110127862</v>
      </c>
      <c r="AA224" s="18"/>
      <c r="AB224" s="18"/>
      <c r="AC224" s="18"/>
      <c r="AD224" s="18"/>
      <c r="AE224" s="127"/>
      <c r="AF224" s="127"/>
      <c r="AG224" s="18"/>
      <c r="AH224" s="18">
        <v>130591</v>
      </c>
      <c r="AI224" s="18"/>
      <c r="AJ224" s="18">
        <v>24112</v>
      </c>
      <c r="AK224" s="134"/>
      <c r="AL224" s="18"/>
      <c r="AM224" s="134"/>
      <c r="AN224" s="127"/>
      <c r="AO224" s="18"/>
      <c r="AP224" s="18"/>
      <c r="AQ224" s="18"/>
      <c r="AR224" s="18"/>
      <c r="AS224" s="18"/>
      <c r="AT224" s="18"/>
      <c r="AU224" s="18"/>
      <c r="AV224" s="18"/>
      <c r="AW224" s="18"/>
      <c r="AX224" s="127" t="s">
        <v>1366</v>
      </c>
      <c r="AY224" s="127">
        <v>1198</v>
      </c>
      <c r="AZ224" s="127">
        <v>47.3</v>
      </c>
      <c r="BA224" s="127">
        <v>275</v>
      </c>
      <c r="BB224" s="18"/>
      <c r="BC224" s="127">
        <v>366</v>
      </c>
      <c r="BD224" s="18"/>
      <c r="BE224" s="18"/>
      <c r="BF224" s="18"/>
      <c r="BG224" s="18"/>
      <c r="BH224" s="127"/>
      <c r="BI224" s="127">
        <v>11607</v>
      </c>
      <c r="BJ224" s="18"/>
      <c r="BK224" s="127">
        <v>505</v>
      </c>
      <c r="BL224" s="127">
        <v>487</v>
      </c>
      <c r="BM224" s="127">
        <v>38.700000000000003</v>
      </c>
      <c r="BN224" s="127">
        <v>140</v>
      </c>
      <c r="BO224" s="18">
        <v>31.3</v>
      </c>
      <c r="BP224" s="18">
        <v>13.9</v>
      </c>
      <c r="BQ224" s="18">
        <v>27.4</v>
      </c>
      <c r="BR224" s="18" t="s">
        <v>1366</v>
      </c>
      <c r="BS224" s="18">
        <v>2.46</v>
      </c>
      <c r="BT224" s="18">
        <v>7.1</v>
      </c>
      <c r="BU224" s="18"/>
      <c r="BV224" s="18" t="s">
        <v>1366</v>
      </c>
      <c r="BW224" s="18">
        <v>1.4</v>
      </c>
      <c r="BX224" s="18">
        <v>10.6</v>
      </c>
      <c r="BY224" s="127">
        <v>14.4</v>
      </c>
      <c r="BZ224" s="18"/>
      <c r="CA224" s="127"/>
      <c r="CB224" s="127">
        <v>79.099999999999994</v>
      </c>
      <c r="CC224" s="127">
        <v>20.3</v>
      </c>
      <c r="CE224">
        <f t="shared" si="114"/>
        <v>9.6886477462437401</v>
      </c>
      <c r="CF224">
        <f t="shared" si="115"/>
        <v>22.984158415841584</v>
      </c>
      <c r="CG224">
        <f t="shared" si="116"/>
        <v>2.3722772277227722</v>
      </c>
      <c r="CH224">
        <f t="shared" si="117"/>
        <v>1.0369609856262834</v>
      </c>
      <c r="CI224">
        <f t="shared" si="118"/>
        <v>0</v>
      </c>
      <c r="CJ224" t="e">
        <f t="shared" si="119"/>
        <v>#DIV/0!</v>
      </c>
      <c r="CK224">
        <f t="shared" si="120"/>
        <v>0</v>
      </c>
      <c r="CL224">
        <f t="shared" si="121"/>
        <v>2.4599589322381932</v>
      </c>
      <c r="CM224">
        <f t="shared" si="122"/>
        <v>23.833675564681723</v>
      </c>
      <c r="CN224">
        <f t="shared" si="123"/>
        <v>23.833675564681723</v>
      </c>
      <c r="CO224">
        <f t="shared" si="124"/>
        <v>2.9568788501026694E-2</v>
      </c>
      <c r="CP224">
        <f t="shared" si="125"/>
        <v>0</v>
      </c>
      <c r="CQ224">
        <f t="shared" si="126"/>
        <v>0</v>
      </c>
      <c r="CR224">
        <f t="shared" si="127"/>
        <v>0.72475247524752473</v>
      </c>
      <c r="CS224">
        <f t="shared" si="128"/>
        <v>0.54455445544554459</v>
      </c>
      <c r="CT224" t="e">
        <f t="shared" si="129"/>
        <v>#VALUE!</v>
      </c>
      <c r="CU224">
        <f t="shared" si="130"/>
        <v>9.3663366336633663E-2</v>
      </c>
      <c r="CV224" t="e">
        <f t="shared" si="131"/>
        <v>#DIV/0!</v>
      </c>
      <c r="CW224">
        <f t="shared" si="132"/>
        <v>0</v>
      </c>
      <c r="CX224">
        <f t="shared" si="133"/>
        <v>0.75136612021857918</v>
      </c>
      <c r="CY224">
        <f t="shared" si="134"/>
        <v>2.8514851485148516E-2</v>
      </c>
      <c r="CZ224">
        <f t="shared" si="135"/>
        <v>3.8965517241379306</v>
      </c>
      <c r="DA224" t="e">
        <f t="shared" si="136"/>
        <v>#VALUE!</v>
      </c>
      <c r="DB224">
        <f t="shared" si="137"/>
        <v>0.22954924874791319</v>
      </c>
      <c r="DC224">
        <f t="shared" si="138"/>
        <v>5.8139534883720936</v>
      </c>
      <c r="DD224">
        <f t="shared" si="139"/>
        <v>0.56468172484599588</v>
      </c>
      <c r="DE224">
        <f t="shared" si="140"/>
        <v>0</v>
      </c>
      <c r="DF224">
        <f t="shared" si="141"/>
        <v>0</v>
      </c>
      <c r="DG224">
        <f t="shared" si="142"/>
        <v>0</v>
      </c>
      <c r="DH224">
        <f t="shared" si="143"/>
        <v>9.6886477462437401</v>
      </c>
      <c r="DI224">
        <f t="shared" si="144"/>
        <v>0.30550918196994992</v>
      </c>
      <c r="DJ224">
        <f t="shared" si="145"/>
        <v>1.6944908180300502E-2</v>
      </c>
      <c r="DK224">
        <f t="shared" si="146"/>
        <v>7.5886345328537693E-3</v>
      </c>
      <c r="DL224">
        <f t="shared" si="147"/>
        <v>1.9417393843855598E-2</v>
      </c>
      <c r="DM224">
        <f t="shared" si="148"/>
        <v>3.1988818356353537E-3</v>
      </c>
      <c r="DN224">
        <f t="shared" si="149"/>
        <v>3.3016803989757503E-4</v>
      </c>
      <c r="DO224">
        <f t="shared" si="150"/>
        <v>8.1851284567170928E-3</v>
      </c>
      <c r="DP224">
        <f t="shared" si="151"/>
        <v>8.4481639451598842E-4</v>
      </c>
    </row>
    <row r="225" spans="1:120">
      <c r="A225" s="16" t="s">
        <v>827</v>
      </c>
      <c r="B225" s="16" t="s">
        <v>24</v>
      </c>
      <c r="C225" s="124" t="s">
        <v>541</v>
      </c>
      <c r="D225" s="16" t="s">
        <v>1718</v>
      </c>
      <c r="E225" s="16" t="s">
        <v>237</v>
      </c>
      <c r="F225" s="16" t="s">
        <v>163</v>
      </c>
      <c r="G225" s="16" t="s">
        <v>595</v>
      </c>
      <c r="H225" s="27">
        <v>355</v>
      </c>
      <c r="I225" s="16" t="s">
        <v>735</v>
      </c>
      <c r="J225" s="16"/>
      <c r="K225" s="16" t="s">
        <v>115</v>
      </c>
      <c r="L225" s="16"/>
      <c r="M225" s="16" t="s">
        <v>824</v>
      </c>
      <c r="N225" s="16">
        <v>31</v>
      </c>
      <c r="O225" s="95">
        <v>65.413030589041043</v>
      </c>
      <c r="P225" s="95">
        <v>1.7055544785486161</v>
      </c>
      <c r="Q225" s="95">
        <v>13.343455626292114</v>
      </c>
      <c r="R225" s="95">
        <v>1.2039208083872583</v>
      </c>
      <c r="S225" s="95">
        <v>0.80261387225817227</v>
      </c>
      <c r="T225" s="95">
        <v>2.2071881487099736</v>
      </c>
      <c r="U225" s="95">
        <v>0.60196040419362917</v>
      </c>
      <c r="V225" s="95">
        <v>2.3075148827422449</v>
      </c>
      <c r="W225" s="95">
        <v>10.734960541453054</v>
      </c>
      <c r="X225" s="95">
        <v>0.90294060629044393</v>
      </c>
      <c r="Y225" s="95">
        <v>1.0032673403227155</v>
      </c>
      <c r="Z225" s="95">
        <v>100.22640729823927</v>
      </c>
      <c r="AA225" s="18"/>
      <c r="AB225" s="18"/>
      <c r="AC225" s="18"/>
      <c r="AD225" s="18"/>
      <c r="AE225" s="127"/>
      <c r="AF225" s="127"/>
      <c r="AG225" s="18"/>
      <c r="AH225" s="18"/>
      <c r="AI225" s="18"/>
      <c r="AJ225" s="18"/>
      <c r="AK225" s="134"/>
      <c r="AL225" s="18"/>
      <c r="AM225" s="134"/>
      <c r="AN225" s="127"/>
      <c r="AO225" s="18"/>
      <c r="AP225" s="18"/>
      <c r="AQ225" s="18"/>
      <c r="AR225" s="18"/>
      <c r="AS225" s="18"/>
      <c r="AT225" s="18"/>
      <c r="AU225" s="18"/>
      <c r="AV225" s="18"/>
      <c r="AW225" s="18"/>
      <c r="AX225" s="127"/>
      <c r="AY225" s="127"/>
      <c r="AZ225" s="127"/>
      <c r="BA225" s="127"/>
      <c r="BB225" s="18"/>
      <c r="BC225" s="127"/>
      <c r="BD225" s="18"/>
      <c r="BE225" s="18"/>
      <c r="BF225" s="18"/>
      <c r="BG225" s="18"/>
      <c r="BH225" s="127"/>
      <c r="BI225" s="127"/>
      <c r="BJ225" s="18"/>
      <c r="BK225" s="127"/>
      <c r="BL225" s="127"/>
      <c r="BM225" s="127"/>
      <c r="BN225" s="127"/>
      <c r="BO225" s="18"/>
      <c r="BP225" s="18"/>
      <c r="BQ225" s="18"/>
      <c r="BR225" s="18"/>
      <c r="BS225" s="18"/>
      <c r="BT225" s="18"/>
      <c r="BU225" s="18"/>
      <c r="BV225" s="18"/>
      <c r="BW225" s="18"/>
      <c r="BX225" s="18"/>
      <c r="BY225" s="127"/>
      <c r="BZ225" s="18"/>
      <c r="CA225" s="127"/>
      <c r="CB225" s="127"/>
      <c r="CC225" s="127"/>
      <c r="CE225" t="e">
        <f t="shared" si="114"/>
        <v>#DIV/0!</v>
      </c>
      <c r="CF225" t="e">
        <f t="shared" si="115"/>
        <v>#DIV/0!</v>
      </c>
      <c r="CG225" t="e">
        <f t="shared" si="116"/>
        <v>#DIV/0!</v>
      </c>
      <c r="CH225" t="e">
        <f t="shared" si="117"/>
        <v>#DIV/0!</v>
      </c>
      <c r="CI225" t="e">
        <f t="shared" si="118"/>
        <v>#DIV/0!</v>
      </c>
      <c r="CJ225" t="e">
        <f t="shared" si="119"/>
        <v>#DIV/0!</v>
      </c>
      <c r="CK225" t="e">
        <f t="shared" si="120"/>
        <v>#DIV/0!</v>
      </c>
      <c r="CL225" t="e">
        <f t="shared" si="121"/>
        <v>#DIV/0!</v>
      </c>
      <c r="CM225" t="e">
        <f t="shared" si="122"/>
        <v>#DIV/0!</v>
      </c>
      <c r="CN225" t="e">
        <f t="shared" si="123"/>
        <v>#DIV/0!</v>
      </c>
      <c r="CO225" t="e">
        <f t="shared" si="124"/>
        <v>#DIV/0!</v>
      </c>
      <c r="CP225" t="e">
        <f t="shared" si="125"/>
        <v>#DIV/0!</v>
      </c>
      <c r="CQ225" t="e">
        <f t="shared" si="126"/>
        <v>#DIV/0!</v>
      </c>
      <c r="CR225" t="e">
        <f t="shared" si="127"/>
        <v>#DIV/0!</v>
      </c>
      <c r="CS225" t="e">
        <f t="shared" si="128"/>
        <v>#DIV/0!</v>
      </c>
      <c r="CT225" t="e">
        <f t="shared" si="129"/>
        <v>#DIV/0!</v>
      </c>
      <c r="CU225" t="e">
        <f t="shared" si="130"/>
        <v>#DIV/0!</v>
      </c>
      <c r="CV225" t="e">
        <f t="shared" si="131"/>
        <v>#DIV/0!</v>
      </c>
      <c r="CW225" t="e">
        <f t="shared" si="132"/>
        <v>#DIV/0!</v>
      </c>
      <c r="CX225" t="e">
        <f t="shared" si="133"/>
        <v>#DIV/0!</v>
      </c>
      <c r="CY225" t="e">
        <f t="shared" si="134"/>
        <v>#DIV/0!</v>
      </c>
      <c r="CZ225" t="e">
        <f t="shared" si="135"/>
        <v>#DIV/0!</v>
      </c>
      <c r="DA225" t="e">
        <f t="shared" si="136"/>
        <v>#DIV/0!</v>
      </c>
      <c r="DB225" t="e">
        <f t="shared" si="137"/>
        <v>#DIV/0!</v>
      </c>
      <c r="DC225" t="e">
        <f t="shared" si="138"/>
        <v>#DIV/0!</v>
      </c>
      <c r="DD225" t="e">
        <f t="shared" si="139"/>
        <v>#DIV/0!</v>
      </c>
      <c r="DE225" t="e">
        <f t="shared" si="140"/>
        <v>#DIV/0!</v>
      </c>
      <c r="DF225" t="e">
        <f t="shared" si="141"/>
        <v>#DIV/0!</v>
      </c>
      <c r="DG225" t="e">
        <f t="shared" si="142"/>
        <v>#DIV/0!</v>
      </c>
      <c r="DH225" t="e">
        <f t="shared" si="143"/>
        <v>#DIV/0!</v>
      </c>
      <c r="DI225" t="e">
        <f t="shared" si="144"/>
        <v>#DIV/0!</v>
      </c>
      <c r="DJ225" t="e">
        <f t="shared" si="145"/>
        <v>#DIV/0!</v>
      </c>
      <c r="DK225" t="e">
        <f t="shared" si="146"/>
        <v>#DIV/0!</v>
      </c>
      <c r="DL225" t="e">
        <f t="shared" si="147"/>
        <v>#DIV/0!</v>
      </c>
      <c r="DM225" t="e">
        <f t="shared" si="148"/>
        <v>#DIV/0!</v>
      </c>
      <c r="DN225" t="e">
        <f t="shared" si="149"/>
        <v>#DIV/0!</v>
      </c>
      <c r="DO225" t="e">
        <f t="shared" si="150"/>
        <v>#DIV/0!</v>
      </c>
      <c r="DP225" t="e">
        <f t="shared" si="151"/>
        <v>#DIV/0!</v>
      </c>
    </row>
    <row r="226" spans="1:120">
      <c r="A226" s="16" t="s">
        <v>827</v>
      </c>
      <c r="B226" s="16" t="s">
        <v>24</v>
      </c>
      <c r="C226" s="124" t="s">
        <v>541</v>
      </c>
      <c r="D226" s="16" t="s">
        <v>1718</v>
      </c>
      <c r="E226" s="16" t="s">
        <v>237</v>
      </c>
      <c r="F226" s="16" t="s">
        <v>163</v>
      </c>
      <c r="G226" s="16" t="s">
        <v>595</v>
      </c>
      <c r="H226" s="27">
        <v>355</v>
      </c>
      <c r="I226" s="16" t="s">
        <v>735</v>
      </c>
      <c r="J226" s="16" t="s">
        <v>596</v>
      </c>
      <c r="K226" s="16" t="s">
        <v>115</v>
      </c>
      <c r="L226" s="16"/>
      <c r="M226" s="16" t="s">
        <v>592</v>
      </c>
      <c r="N226" s="16">
        <v>17</v>
      </c>
      <c r="O226" s="95">
        <v>62.858523146867753</v>
      </c>
      <c r="P226" s="95">
        <v>0.60055913834587027</v>
      </c>
      <c r="Q226" s="95">
        <v>12.511648715538964</v>
      </c>
      <c r="R226" s="95">
        <v>2.9027025020050399</v>
      </c>
      <c r="S226" s="95">
        <v>1.6014910355889878</v>
      </c>
      <c r="T226" s="95">
        <v>3.4031684506265982</v>
      </c>
      <c r="U226" s="95">
        <v>0</v>
      </c>
      <c r="V226" s="95">
        <v>1.0009318972431172E-2</v>
      </c>
      <c r="W226" s="95">
        <v>15.11407164837107</v>
      </c>
      <c r="X226" s="95">
        <v>0.30027956917293513</v>
      </c>
      <c r="Y226" s="95">
        <v>0.90083870751880546</v>
      </c>
      <c r="Z226" s="95">
        <v>100.20329223300845</v>
      </c>
      <c r="AA226" s="18"/>
      <c r="AB226" s="18"/>
      <c r="AC226" s="18"/>
      <c r="AD226" s="18">
        <v>4.0999999999999996</v>
      </c>
      <c r="AE226" s="127">
        <v>0</v>
      </c>
      <c r="AF226" s="127">
        <v>0</v>
      </c>
      <c r="AG226" s="18">
        <v>0</v>
      </c>
      <c r="AH226" s="18">
        <v>24.65</v>
      </c>
      <c r="AI226" s="18"/>
      <c r="AJ226" s="18">
        <v>0</v>
      </c>
      <c r="AK226" s="134">
        <v>0.249</v>
      </c>
      <c r="AL226" s="18"/>
      <c r="AM226" s="134">
        <v>8.4</v>
      </c>
      <c r="AN226" s="127"/>
      <c r="AO226" s="18"/>
      <c r="AP226" s="18">
        <v>3.0499999999999999E-2</v>
      </c>
      <c r="AQ226" s="18">
        <v>1.21E-2</v>
      </c>
      <c r="AR226" s="18"/>
      <c r="AS226" s="18">
        <v>1.25E-3</v>
      </c>
      <c r="AT226" s="18">
        <v>0</v>
      </c>
      <c r="AU226" s="18">
        <v>3.0999999999999999E-3</v>
      </c>
      <c r="AV226" s="18"/>
      <c r="AW226" s="18">
        <v>3.0800000000000001E-2</v>
      </c>
      <c r="AX226" s="127">
        <v>2.5600000000000001E-2</v>
      </c>
      <c r="AY226" s="127">
        <v>1.38</v>
      </c>
      <c r="AZ226" s="127"/>
      <c r="BA226" s="127" t="s">
        <v>1321</v>
      </c>
      <c r="BB226" s="18" t="s">
        <v>1080</v>
      </c>
      <c r="BC226" s="127"/>
      <c r="BD226" s="18"/>
      <c r="BE226" s="18"/>
      <c r="BF226" s="18"/>
      <c r="BG226" s="18"/>
      <c r="BH226" s="127">
        <v>8.3000000000000001E-4</v>
      </c>
      <c r="BI226" s="127">
        <v>1.1399999999999999</v>
      </c>
      <c r="BJ226" s="18"/>
      <c r="BK226" s="127">
        <v>0.09</v>
      </c>
      <c r="BL226" s="127">
        <v>0.13</v>
      </c>
      <c r="BM226" s="127"/>
      <c r="BN226" s="127">
        <v>3.2000000000000001E-2</v>
      </c>
      <c r="BO226" s="18">
        <v>7.7000000000000002E-3</v>
      </c>
      <c r="BP226" s="18">
        <v>1.4E-3</v>
      </c>
      <c r="BQ226" s="18">
        <v>3.7000000000000002E-3</v>
      </c>
      <c r="BR226" s="18"/>
      <c r="BS226" s="18"/>
      <c r="BT226" s="18"/>
      <c r="BU226" s="18"/>
      <c r="BV226" s="18">
        <v>1E-3</v>
      </c>
      <c r="BW226" s="18" t="s">
        <v>34</v>
      </c>
      <c r="BX226" s="18">
        <v>2.15E-3</v>
      </c>
      <c r="BY226" s="127" t="s">
        <v>225</v>
      </c>
      <c r="BZ226" s="18"/>
      <c r="CA226" s="127"/>
      <c r="CB226" s="127">
        <v>9.300000000000001E-3</v>
      </c>
      <c r="CC226" s="127" t="s">
        <v>34</v>
      </c>
      <c r="CE226">
        <f t="shared" si="114"/>
        <v>0.82608695652173914</v>
      </c>
      <c r="CF226">
        <f t="shared" si="115"/>
        <v>12.666666666666666</v>
      </c>
      <c r="CG226">
        <f t="shared" si="116"/>
        <v>15.333333333333332</v>
      </c>
      <c r="CH226">
        <f t="shared" si="117"/>
        <v>0.69230769230769229</v>
      </c>
      <c r="CI226">
        <f t="shared" si="118"/>
        <v>0</v>
      </c>
      <c r="CJ226" t="e">
        <f t="shared" si="119"/>
        <v>#DIV/0!</v>
      </c>
      <c r="CK226">
        <f t="shared" si="120"/>
        <v>0</v>
      </c>
      <c r="CL226">
        <f t="shared" si="121"/>
        <v>10.615384615384615</v>
      </c>
      <c r="CM226">
        <f t="shared" si="122"/>
        <v>8.7692307692307683</v>
      </c>
      <c r="CN226">
        <f t="shared" si="123"/>
        <v>8.7692307692307683</v>
      </c>
      <c r="CO226" t="e">
        <f t="shared" si="124"/>
        <v>#VALUE!</v>
      </c>
      <c r="CP226" t="e">
        <f t="shared" si="125"/>
        <v>#VALUE!</v>
      </c>
      <c r="CQ226">
        <f t="shared" si="126"/>
        <v>0</v>
      </c>
      <c r="CR226">
        <f t="shared" si="127"/>
        <v>0</v>
      </c>
      <c r="CS226" t="e">
        <f t="shared" si="128"/>
        <v>#VALUE!</v>
      </c>
      <c r="CT226">
        <f t="shared" si="129"/>
        <v>1.8550724637681162E-2</v>
      </c>
      <c r="CU226">
        <f t="shared" si="130"/>
        <v>0</v>
      </c>
      <c r="CV226">
        <f t="shared" si="131"/>
        <v>0</v>
      </c>
      <c r="CW226">
        <f t="shared" si="132"/>
        <v>0</v>
      </c>
      <c r="CX226" t="e">
        <f t="shared" si="133"/>
        <v>#VALUE!</v>
      </c>
      <c r="CY226" t="e">
        <f t="shared" si="134"/>
        <v>#VALUE!</v>
      </c>
      <c r="CZ226" t="e">
        <f t="shared" si="135"/>
        <v>#VALUE!</v>
      </c>
      <c r="DA226" t="e">
        <f t="shared" si="136"/>
        <v>#VALUE!</v>
      </c>
      <c r="DB226" t="e">
        <f t="shared" si="137"/>
        <v>#VALUE!</v>
      </c>
      <c r="DC226" t="e">
        <f t="shared" si="138"/>
        <v>#VALUE!</v>
      </c>
      <c r="DD226" t="e">
        <f t="shared" si="139"/>
        <v>#VALUE!</v>
      </c>
      <c r="DE226">
        <f t="shared" si="140"/>
        <v>0</v>
      </c>
      <c r="DF226">
        <f t="shared" si="141"/>
        <v>0</v>
      </c>
      <c r="DG226">
        <f t="shared" si="142"/>
        <v>0</v>
      </c>
      <c r="DH226">
        <f t="shared" si="143"/>
        <v>0.82608695652173914</v>
      </c>
      <c r="DI226">
        <f t="shared" si="144"/>
        <v>0</v>
      </c>
      <c r="DJ226" t="e">
        <f t="shared" si="145"/>
        <v>#VALUE!</v>
      </c>
      <c r="DK226">
        <f t="shared" si="146"/>
        <v>17.794344839877642</v>
      </c>
      <c r="DL226">
        <f t="shared" si="147"/>
        <v>139.01831906154405</v>
      </c>
      <c r="DM226">
        <f t="shared" si="148"/>
        <v>1.1605007504268028</v>
      </c>
      <c r="DN226">
        <f t="shared" si="149"/>
        <v>1.4048166978850771</v>
      </c>
      <c r="DO226">
        <f t="shared" si="150"/>
        <v>9.0664121127093953</v>
      </c>
      <c r="DP226">
        <f t="shared" si="151"/>
        <v>10.975130452227162</v>
      </c>
    </row>
    <row r="227" spans="1:120">
      <c r="A227" s="16" t="s">
        <v>670</v>
      </c>
      <c r="B227" s="16" t="s">
        <v>24</v>
      </c>
      <c r="C227" s="124" t="s">
        <v>541</v>
      </c>
      <c r="D227" s="16" t="s">
        <v>1708</v>
      </c>
      <c r="E227" s="16" t="s">
        <v>237</v>
      </c>
      <c r="F227" s="16" t="s">
        <v>661</v>
      </c>
      <c r="G227" s="16" t="s">
        <v>595</v>
      </c>
      <c r="H227" s="27">
        <v>376</v>
      </c>
      <c r="I227" s="16" t="s">
        <v>712</v>
      </c>
      <c r="J227" s="16" t="s">
        <v>635</v>
      </c>
      <c r="K227" s="16" t="s">
        <v>662</v>
      </c>
      <c r="L227" s="16"/>
      <c r="M227" s="16" t="s">
        <v>660</v>
      </c>
      <c r="N227" s="16">
        <v>15</v>
      </c>
      <c r="O227" s="95">
        <v>50.071862348613116</v>
      </c>
      <c r="P227" s="95">
        <v>3.0469693112746317</v>
      </c>
      <c r="Q227" s="95">
        <v>7.2213172677208783</v>
      </c>
      <c r="R227" s="95">
        <v>6.0329992363237714</v>
      </c>
      <c r="S227" s="95">
        <v>8.7752716164709401</v>
      </c>
      <c r="T227" s="95">
        <v>5.9314335926146162</v>
      </c>
      <c r="U227" s="95">
        <v>1.035969565833375</v>
      </c>
      <c r="V227" s="95">
        <v>4.2860701645263148</v>
      </c>
      <c r="W227" s="95">
        <v>8.4096352991179835</v>
      </c>
      <c r="X227" s="95">
        <v>4.5907670956537787</v>
      </c>
      <c r="Y227" s="95">
        <v>0.77189889218957342</v>
      </c>
      <c r="Z227" s="95">
        <v>100.17419439033895</v>
      </c>
      <c r="AA227" s="18"/>
      <c r="AB227" s="18"/>
      <c r="AC227" s="18"/>
      <c r="AD227" s="18"/>
      <c r="AE227" s="127"/>
      <c r="AF227" s="127"/>
      <c r="AG227" s="18"/>
      <c r="AH227" s="18">
        <v>103356</v>
      </c>
      <c r="AI227" s="18"/>
      <c r="AJ227" s="18">
        <v>24283</v>
      </c>
      <c r="AK227" s="134"/>
      <c r="AL227" s="18"/>
      <c r="AM227" s="134"/>
      <c r="AN227" s="127"/>
      <c r="AO227" s="18"/>
      <c r="AP227" s="18"/>
      <c r="AQ227" s="18"/>
      <c r="AR227" s="18"/>
      <c r="AS227" s="18"/>
      <c r="AT227" s="18"/>
      <c r="AU227" s="18"/>
      <c r="AV227" s="18"/>
      <c r="AW227" s="18"/>
      <c r="AX227" s="127">
        <v>364</v>
      </c>
      <c r="AY227" s="127">
        <v>5528</v>
      </c>
      <c r="AZ227" s="127">
        <v>52</v>
      </c>
      <c r="BA227" s="127">
        <v>996</v>
      </c>
      <c r="BB227" s="18"/>
      <c r="BC227" s="127">
        <v>96</v>
      </c>
      <c r="BD227" s="18"/>
      <c r="BE227" s="18"/>
      <c r="BF227" s="18"/>
      <c r="BG227" s="18"/>
      <c r="BH227" s="127">
        <v>4</v>
      </c>
      <c r="BI227" s="127">
        <v>4307</v>
      </c>
      <c r="BJ227" s="18"/>
      <c r="BK227" s="127">
        <v>331</v>
      </c>
      <c r="BL227" s="127">
        <v>534</v>
      </c>
      <c r="BM227" s="127">
        <v>59</v>
      </c>
      <c r="BN227" s="127">
        <v>251</v>
      </c>
      <c r="BO227" s="18">
        <v>48</v>
      </c>
      <c r="BP227" s="18">
        <v>9</v>
      </c>
      <c r="BQ227" s="18">
        <v>24</v>
      </c>
      <c r="BR227" s="18">
        <v>13</v>
      </c>
      <c r="BS227" s="18">
        <v>2</v>
      </c>
      <c r="BT227" s="18">
        <v>5</v>
      </c>
      <c r="BU227" s="18"/>
      <c r="BV227" s="18">
        <v>12</v>
      </c>
      <c r="BW227" s="18" t="s">
        <v>669</v>
      </c>
      <c r="BX227" s="18">
        <v>20</v>
      </c>
      <c r="BY227" s="127">
        <v>6</v>
      </c>
      <c r="BZ227" s="18"/>
      <c r="CA227" s="127"/>
      <c r="CB227" s="127">
        <v>19</v>
      </c>
      <c r="CC227" s="127">
        <v>3</v>
      </c>
      <c r="CE227">
        <f t="shared" si="114"/>
        <v>0.77912445730824886</v>
      </c>
      <c r="CF227">
        <f t="shared" si="115"/>
        <v>13.012084592145015</v>
      </c>
      <c r="CG227">
        <f t="shared" si="116"/>
        <v>16.700906344410875</v>
      </c>
      <c r="CH227">
        <f t="shared" si="117"/>
        <v>0.61985018726591756</v>
      </c>
      <c r="CI227">
        <f t="shared" si="118"/>
        <v>0</v>
      </c>
      <c r="CJ227" t="e">
        <f t="shared" si="119"/>
        <v>#DIV/0!</v>
      </c>
      <c r="CK227">
        <f t="shared" si="120"/>
        <v>0</v>
      </c>
      <c r="CL227">
        <f t="shared" si="121"/>
        <v>10.352059925093632</v>
      </c>
      <c r="CM227">
        <f t="shared" si="122"/>
        <v>8.0655430711610485</v>
      </c>
      <c r="CN227">
        <f t="shared" si="123"/>
        <v>8.0655430711610485</v>
      </c>
      <c r="CO227">
        <f t="shared" si="124"/>
        <v>1.1235955056179775E-2</v>
      </c>
      <c r="CP227">
        <f t="shared" si="125"/>
        <v>0</v>
      </c>
      <c r="CQ227">
        <f t="shared" si="126"/>
        <v>0</v>
      </c>
      <c r="CR227">
        <f t="shared" si="127"/>
        <v>0.29003021148036257</v>
      </c>
      <c r="CS227">
        <f t="shared" si="128"/>
        <v>3.0090634441087611</v>
      </c>
      <c r="CT227">
        <f t="shared" si="129"/>
        <v>6.5846599131693204E-2</v>
      </c>
      <c r="CU227">
        <f t="shared" si="130"/>
        <v>0.15709969788519637</v>
      </c>
      <c r="CV227" t="e">
        <f t="shared" si="131"/>
        <v>#DIV/0!</v>
      </c>
      <c r="CW227">
        <f t="shared" si="132"/>
        <v>0</v>
      </c>
      <c r="CX227">
        <f t="shared" si="133"/>
        <v>10.375</v>
      </c>
      <c r="CY227">
        <f t="shared" si="134"/>
        <v>1.812688821752266E-2</v>
      </c>
      <c r="CZ227">
        <f t="shared" si="135"/>
        <v>6.333333333333333</v>
      </c>
      <c r="DA227">
        <f t="shared" si="136"/>
        <v>2.7362637362637363</v>
      </c>
      <c r="DB227">
        <f t="shared" si="137"/>
        <v>0.18017366136034732</v>
      </c>
      <c r="DC227">
        <f t="shared" si="138"/>
        <v>19.153846153846153</v>
      </c>
      <c r="DD227">
        <f t="shared" si="139"/>
        <v>1.8651685393258426</v>
      </c>
      <c r="DE227">
        <f t="shared" si="140"/>
        <v>0</v>
      </c>
      <c r="DF227">
        <f t="shared" si="141"/>
        <v>0</v>
      </c>
      <c r="DG227">
        <f t="shared" si="142"/>
        <v>0</v>
      </c>
      <c r="DH227">
        <f t="shared" si="143"/>
        <v>0.77912445730824886</v>
      </c>
      <c r="DI227">
        <f t="shared" si="144"/>
        <v>1.7366136034732273E-2</v>
      </c>
      <c r="DJ227">
        <f t="shared" si="145"/>
        <v>5.4269175108538354E-4</v>
      </c>
      <c r="DK227">
        <f t="shared" si="146"/>
        <v>2.6511394611694682E-2</v>
      </c>
      <c r="DL227">
        <f t="shared" si="147"/>
        <v>2.1816668482540418E-2</v>
      </c>
      <c r="DM227">
        <f t="shared" si="148"/>
        <v>1.5874225065974927E-3</v>
      </c>
      <c r="DN227">
        <f t="shared" si="149"/>
        <v>2.0374440716208358E-3</v>
      </c>
      <c r="DO227">
        <f t="shared" si="150"/>
        <v>1.3063164377208536E-3</v>
      </c>
      <c r="DP227">
        <f t="shared" si="151"/>
        <v>1.6766466839379796E-3</v>
      </c>
    </row>
    <row r="228" spans="1:120">
      <c r="A228" s="16" t="s">
        <v>1164</v>
      </c>
      <c r="B228" s="16" t="s">
        <v>24</v>
      </c>
      <c r="C228" s="124" t="s">
        <v>541</v>
      </c>
      <c r="D228" s="16" t="s">
        <v>110</v>
      </c>
      <c r="E228" s="16" t="s">
        <v>171</v>
      </c>
      <c r="F228" s="16" t="s">
        <v>113</v>
      </c>
      <c r="G228" s="16" t="s">
        <v>595</v>
      </c>
      <c r="H228" s="27" t="s">
        <v>805</v>
      </c>
      <c r="I228" s="16" t="s">
        <v>735</v>
      </c>
      <c r="J228" s="16" t="s">
        <v>1311</v>
      </c>
      <c r="K228" s="16" t="s">
        <v>115</v>
      </c>
      <c r="L228" s="16" t="s">
        <v>114</v>
      </c>
      <c r="M228" s="16" t="s">
        <v>116</v>
      </c>
      <c r="N228" s="16">
        <v>20</v>
      </c>
      <c r="O228" s="95">
        <v>50.041642551629707</v>
      </c>
      <c r="P228" s="95">
        <v>2.8023319828912636</v>
      </c>
      <c r="Q228" s="95">
        <v>6.4053302466086022</v>
      </c>
      <c r="R228" s="95">
        <v>4.5037478296466729</v>
      </c>
      <c r="S228" s="95">
        <v>2.902415267994523</v>
      </c>
      <c r="T228" s="95">
        <v>5.4044973955760085</v>
      </c>
      <c r="U228" s="95">
        <v>3.1025818382010417</v>
      </c>
      <c r="V228" s="95">
        <v>3.2026651233043011</v>
      </c>
      <c r="W228" s="95">
        <v>14.411993054869354</v>
      </c>
      <c r="X228" s="95">
        <v>3.5029149786140792</v>
      </c>
      <c r="Y228" s="95">
        <v>4.8039976849564514</v>
      </c>
      <c r="Z228" s="95">
        <v>101.08411795429201</v>
      </c>
      <c r="AA228" s="18"/>
      <c r="AB228" s="18"/>
      <c r="AC228" s="18"/>
      <c r="AD228" s="18"/>
      <c r="AE228" s="127"/>
      <c r="AF228" s="127">
        <v>0</v>
      </c>
      <c r="AG228" s="18">
        <v>0</v>
      </c>
      <c r="AH228" s="18"/>
      <c r="AI228" s="18"/>
      <c r="AJ228" s="18"/>
      <c r="AK228" s="134"/>
      <c r="AL228" s="18"/>
      <c r="AM228" s="134"/>
      <c r="AN228" s="127"/>
      <c r="AO228" s="18"/>
      <c r="AP228" s="18"/>
      <c r="AQ228" s="18"/>
      <c r="AR228" s="18"/>
      <c r="AS228" s="18"/>
      <c r="AT228" s="18"/>
      <c r="AU228" s="18"/>
      <c r="AV228" s="18"/>
      <c r="AW228" s="18"/>
      <c r="AX228" s="127">
        <v>0.53</v>
      </c>
      <c r="AY228" s="127">
        <v>1.3</v>
      </c>
      <c r="AZ228" s="127">
        <v>1.9199999999999998E-2</v>
      </c>
      <c r="BA228" s="127">
        <v>0.55000000000000004</v>
      </c>
      <c r="BB228" s="18"/>
      <c r="BC228" s="127">
        <v>0.11700000000000001</v>
      </c>
      <c r="BD228" s="18"/>
      <c r="BE228" s="18"/>
      <c r="BF228" s="18"/>
      <c r="BG228" s="18"/>
      <c r="BH228" s="127">
        <v>1.0999999999999999E-2</v>
      </c>
      <c r="BI228" s="127">
        <v>27</v>
      </c>
      <c r="BJ228" s="18"/>
      <c r="BK228" s="127">
        <v>0.70799999999999996</v>
      </c>
      <c r="BL228" s="127">
        <v>0.94</v>
      </c>
      <c r="BM228" s="127">
        <v>0.05</v>
      </c>
      <c r="BN228" s="127">
        <v>0.17</v>
      </c>
      <c r="BO228" s="18">
        <v>1.9E-2</v>
      </c>
      <c r="BP228" s="18">
        <v>5.4999999999999997E-3</v>
      </c>
      <c r="BQ228" s="18">
        <v>1.2E-2</v>
      </c>
      <c r="BR228" s="18">
        <v>4.7000000000000002E-3</v>
      </c>
      <c r="BS228" s="18"/>
      <c r="BT228" s="18"/>
      <c r="BU228" s="18"/>
      <c r="BV228" s="18"/>
      <c r="BW228" s="18"/>
      <c r="BX228" s="18">
        <v>1.7999999999999999E-2</v>
      </c>
      <c r="BY228" s="127">
        <v>0</v>
      </c>
      <c r="BZ228" s="18"/>
      <c r="CA228" s="127"/>
      <c r="CB228" s="127">
        <v>0.19</v>
      </c>
      <c r="CC228" s="127">
        <v>2.8000000000000001E-2</v>
      </c>
      <c r="CE228">
        <f t="shared" si="114"/>
        <v>20.76923076923077</v>
      </c>
      <c r="CF228">
        <f t="shared" si="115"/>
        <v>38.135593220338983</v>
      </c>
      <c r="CG228">
        <f t="shared" si="116"/>
        <v>1.8361581920903955</v>
      </c>
      <c r="CH228">
        <f t="shared" si="117"/>
        <v>0.7531914893617021</v>
      </c>
      <c r="CI228">
        <f t="shared" si="118"/>
        <v>0</v>
      </c>
      <c r="CJ228" t="e">
        <f t="shared" si="119"/>
        <v>#DIV/0!</v>
      </c>
      <c r="CK228">
        <f t="shared" si="120"/>
        <v>0</v>
      </c>
      <c r="CL228">
        <f t="shared" si="121"/>
        <v>1.3829787234042554</v>
      </c>
      <c r="CM228">
        <f t="shared" si="122"/>
        <v>28.723404255319149</v>
      </c>
      <c r="CN228">
        <f t="shared" si="123"/>
        <v>28.723404255319149</v>
      </c>
      <c r="CO228">
        <f t="shared" si="124"/>
        <v>0</v>
      </c>
      <c r="CP228">
        <f t="shared" si="125"/>
        <v>0</v>
      </c>
      <c r="CQ228">
        <f t="shared" si="126"/>
        <v>0</v>
      </c>
      <c r="CR228">
        <f t="shared" si="127"/>
        <v>0.16525423728813562</v>
      </c>
      <c r="CS228">
        <f t="shared" si="128"/>
        <v>0.77683615819209051</v>
      </c>
      <c r="CT228">
        <f t="shared" si="129"/>
        <v>0.40769230769230769</v>
      </c>
      <c r="CU228">
        <f t="shared" si="130"/>
        <v>2.7118644067796609E-2</v>
      </c>
      <c r="CV228" t="e">
        <f t="shared" si="131"/>
        <v>#DIV/0!</v>
      </c>
      <c r="CW228">
        <f t="shared" si="132"/>
        <v>0</v>
      </c>
      <c r="CX228">
        <f t="shared" si="133"/>
        <v>4.700854700854701</v>
      </c>
      <c r="CY228">
        <f t="shared" si="134"/>
        <v>0</v>
      </c>
      <c r="CZ228">
        <f t="shared" si="135"/>
        <v>6.7857142857142856</v>
      </c>
      <c r="DA228">
        <f t="shared" si="136"/>
        <v>1.0377358490566038</v>
      </c>
      <c r="DB228">
        <f t="shared" si="137"/>
        <v>0.42307692307692307</v>
      </c>
      <c r="DC228">
        <f t="shared" si="138"/>
        <v>28.645833333333339</v>
      </c>
      <c r="DD228">
        <f t="shared" si="139"/>
        <v>0.58510638297872353</v>
      </c>
      <c r="DE228">
        <f t="shared" si="140"/>
        <v>0</v>
      </c>
      <c r="DF228">
        <f t="shared" si="141"/>
        <v>0</v>
      </c>
      <c r="DG228">
        <f t="shared" si="142"/>
        <v>0</v>
      </c>
      <c r="DH228">
        <f t="shared" si="143"/>
        <v>20.76923076923077</v>
      </c>
      <c r="DI228">
        <f t="shared" si="144"/>
        <v>0.09</v>
      </c>
      <c r="DJ228">
        <f t="shared" si="145"/>
        <v>2.1538461538461538E-2</v>
      </c>
      <c r="DK228">
        <f t="shared" si="146"/>
        <v>4.0994565932126035</v>
      </c>
      <c r="DL228">
        <f t="shared" si="147"/>
        <v>9.0470766195036756</v>
      </c>
      <c r="DM228">
        <f t="shared" si="148"/>
        <v>2.232627129226556</v>
      </c>
      <c r="DN228">
        <f t="shared" si="149"/>
        <v>0.10749686177757492</v>
      </c>
      <c r="DO228">
        <f t="shared" si="150"/>
        <v>4.9271771127758477</v>
      </c>
      <c r="DP228">
        <f t="shared" si="151"/>
        <v>0.23723445357809639</v>
      </c>
    </row>
    <row r="229" spans="1:120">
      <c r="A229" s="16" t="s">
        <v>1164</v>
      </c>
      <c r="B229" s="16" t="s">
        <v>24</v>
      </c>
      <c r="C229" s="124" t="s">
        <v>541</v>
      </c>
      <c r="D229" s="16" t="s">
        <v>110</v>
      </c>
      <c r="E229" s="16" t="s">
        <v>171</v>
      </c>
      <c r="F229" s="16" t="s">
        <v>113</v>
      </c>
      <c r="G229" s="16" t="s">
        <v>595</v>
      </c>
      <c r="H229" s="27" t="s">
        <v>805</v>
      </c>
      <c r="I229" s="16" t="s">
        <v>735</v>
      </c>
      <c r="J229" s="16" t="s">
        <v>1311</v>
      </c>
      <c r="K229" s="16" t="s">
        <v>117</v>
      </c>
      <c r="L229" s="16" t="s">
        <v>114</v>
      </c>
      <c r="M229" s="16" t="s">
        <v>118</v>
      </c>
      <c r="N229" s="16">
        <v>20</v>
      </c>
      <c r="O229" s="95">
        <v>43.719362312787325</v>
      </c>
      <c r="P229" s="95">
        <v>2.2009747617421538</v>
      </c>
      <c r="Q229" s="95">
        <v>5.6024812117072997</v>
      </c>
      <c r="R229" s="95">
        <v>5.9026141337630493</v>
      </c>
      <c r="S229" s="95">
        <v>2.501107683797902</v>
      </c>
      <c r="T229" s="95">
        <v>4.8021267528919713</v>
      </c>
      <c r="U229" s="95">
        <v>6.1027027484668803</v>
      </c>
      <c r="V229" s="95">
        <v>2.0008861470383215</v>
      </c>
      <c r="W229" s="95">
        <v>18.208063938048724</v>
      </c>
      <c r="X229" s="95">
        <v>4.0017722940766429</v>
      </c>
      <c r="Y229" s="95">
        <v>6.402835670522629</v>
      </c>
      <c r="Z229" s="95">
        <v>101.4449276548429</v>
      </c>
      <c r="AA229" s="18"/>
      <c r="AB229" s="18"/>
      <c r="AC229" s="18"/>
      <c r="AD229" s="18"/>
      <c r="AE229" s="127"/>
      <c r="AF229" s="127">
        <v>0</v>
      </c>
      <c r="AG229" s="18">
        <v>0</v>
      </c>
      <c r="AH229" s="18"/>
      <c r="AI229" s="18"/>
      <c r="AJ229" s="18"/>
      <c r="AK229" s="134"/>
      <c r="AL229" s="18"/>
      <c r="AM229" s="134"/>
      <c r="AN229" s="127"/>
      <c r="AO229" s="18"/>
      <c r="AP229" s="18"/>
      <c r="AQ229" s="18"/>
      <c r="AR229" s="18"/>
      <c r="AS229" s="18"/>
      <c r="AT229" s="18"/>
      <c r="AU229" s="18"/>
      <c r="AV229" s="18"/>
      <c r="AW229" s="18"/>
      <c r="AX229" s="127">
        <v>0.46</v>
      </c>
      <c r="AY229" s="127">
        <v>1.5</v>
      </c>
      <c r="AZ229" s="127">
        <v>1.9E-2</v>
      </c>
      <c r="BA229" s="127">
        <v>0</v>
      </c>
      <c r="BB229" s="18"/>
      <c r="BC229" s="127">
        <v>0.18</v>
      </c>
      <c r="BD229" s="18"/>
      <c r="BE229" s="18"/>
      <c r="BF229" s="18"/>
      <c r="BG229" s="18"/>
      <c r="BH229" s="127">
        <v>6.4000000000000003E-3</v>
      </c>
      <c r="BI229" s="127">
        <v>19</v>
      </c>
      <c r="BJ229" s="18"/>
      <c r="BK229" s="127">
        <v>0.52</v>
      </c>
      <c r="BL229" s="127">
        <v>0.61</v>
      </c>
      <c r="BM229" s="127">
        <v>4.7E-2</v>
      </c>
      <c r="BN229" s="127">
        <v>0.16</v>
      </c>
      <c r="BO229" s="18">
        <v>1.7999999999999999E-2</v>
      </c>
      <c r="BP229" s="18">
        <v>6.7000000000000002E-3</v>
      </c>
      <c r="BQ229" s="18">
        <v>1.6E-2</v>
      </c>
      <c r="BR229" s="18">
        <v>5.5999999999999999E-3</v>
      </c>
      <c r="BS229" s="18"/>
      <c r="BT229" s="18"/>
      <c r="BU229" s="18"/>
      <c r="BV229" s="18"/>
      <c r="BW229" s="18"/>
      <c r="BX229" s="18"/>
      <c r="BY229" s="127"/>
      <c r="BZ229" s="18"/>
      <c r="CA229" s="127"/>
      <c r="CB229" s="127">
        <v>0.13</v>
      </c>
      <c r="CC229" s="127">
        <v>1.7999999999999999E-2</v>
      </c>
      <c r="CE229">
        <f t="shared" si="114"/>
        <v>12.666666666666666</v>
      </c>
      <c r="CF229">
        <f t="shared" si="115"/>
        <v>36.53846153846154</v>
      </c>
      <c r="CG229">
        <f t="shared" si="116"/>
        <v>2.8846153846153846</v>
      </c>
      <c r="CH229">
        <f t="shared" si="117"/>
        <v>0.85245901639344268</v>
      </c>
      <c r="CI229">
        <f t="shared" si="118"/>
        <v>0</v>
      </c>
      <c r="CJ229" t="e">
        <f t="shared" si="119"/>
        <v>#DIV/0!</v>
      </c>
      <c r="CK229">
        <f t="shared" si="120"/>
        <v>0</v>
      </c>
      <c r="CL229">
        <f t="shared" si="121"/>
        <v>2.459016393442623</v>
      </c>
      <c r="CM229">
        <f t="shared" si="122"/>
        <v>31.147540983606557</v>
      </c>
      <c r="CN229">
        <f t="shared" si="123"/>
        <v>31.147540983606557</v>
      </c>
      <c r="CO229">
        <f t="shared" si="124"/>
        <v>0</v>
      </c>
      <c r="CP229">
        <f t="shared" si="125"/>
        <v>0</v>
      </c>
      <c r="CQ229">
        <f t="shared" si="126"/>
        <v>0</v>
      </c>
      <c r="CR229">
        <f t="shared" si="127"/>
        <v>0.34615384615384615</v>
      </c>
      <c r="CS229">
        <f t="shared" si="128"/>
        <v>0</v>
      </c>
      <c r="CT229">
        <f t="shared" si="129"/>
        <v>0.3066666666666667</v>
      </c>
      <c r="CU229">
        <f t="shared" si="130"/>
        <v>3.6538461538461534E-2</v>
      </c>
      <c r="CV229" t="e">
        <f t="shared" si="131"/>
        <v>#DIV/0!</v>
      </c>
      <c r="CW229">
        <f t="shared" si="132"/>
        <v>0</v>
      </c>
      <c r="CX229">
        <f t="shared" si="133"/>
        <v>0</v>
      </c>
      <c r="CY229">
        <f t="shared" si="134"/>
        <v>0</v>
      </c>
      <c r="CZ229">
        <f t="shared" si="135"/>
        <v>7.2222222222222232</v>
      </c>
      <c r="DA229">
        <f t="shared" si="136"/>
        <v>0</v>
      </c>
      <c r="DB229">
        <f t="shared" si="137"/>
        <v>0</v>
      </c>
      <c r="DC229">
        <f t="shared" si="138"/>
        <v>0</v>
      </c>
      <c r="DD229">
        <f t="shared" si="139"/>
        <v>0</v>
      </c>
      <c r="DE229">
        <f t="shared" si="140"/>
        <v>0</v>
      </c>
      <c r="DF229">
        <f t="shared" si="141"/>
        <v>0</v>
      </c>
      <c r="DG229">
        <f t="shared" si="142"/>
        <v>0</v>
      </c>
      <c r="DH229">
        <f t="shared" si="143"/>
        <v>12.666666666666666</v>
      </c>
      <c r="DI229">
        <f t="shared" si="144"/>
        <v>0.12</v>
      </c>
      <c r="DJ229">
        <f t="shared" si="145"/>
        <v>1.1999999999999999E-2</v>
      </c>
      <c r="DK229">
        <f t="shared" si="146"/>
        <v>4.8098224688421194</v>
      </c>
      <c r="DL229">
        <f t="shared" si="147"/>
        <v>10.774002330206345</v>
      </c>
      <c r="DM229">
        <f t="shared" si="148"/>
        <v>1.6674051225319346</v>
      </c>
      <c r="DN229">
        <f t="shared" si="149"/>
        <v>0.13163724651567907</v>
      </c>
      <c r="DO229">
        <f t="shared" si="150"/>
        <v>3.734987474471533</v>
      </c>
      <c r="DP229">
        <f t="shared" si="151"/>
        <v>0.29486743219512102</v>
      </c>
    </row>
    <row r="230" spans="1:120">
      <c r="A230" s="16" t="s">
        <v>1362</v>
      </c>
      <c r="B230" s="16" t="s">
        <v>24</v>
      </c>
      <c r="C230" s="124" t="s">
        <v>541</v>
      </c>
      <c r="D230" s="16" t="s">
        <v>1265</v>
      </c>
      <c r="E230" s="16" t="s">
        <v>171</v>
      </c>
      <c r="F230" s="16" t="s">
        <v>1266</v>
      </c>
      <c r="G230" s="16" t="s">
        <v>595</v>
      </c>
      <c r="H230" s="27">
        <v>540</v>
      </c>
      <c r="I230" s="16" t="s">
        <v>735</v>
      </c>
      <c r="J230" s="16" t="s">
        <v>1311</v>
      </c>
      <c r="K230" s="16" t="s">
        <v>115</v>
      </c>
      <c r="L230" s="16"/>
      <c r="M230" s="16" t="s">
        <v>1495</v>
      </c>
      <c r="N230" s="16">
        <v>21</v>
      </c>
      <c r="O230" s="95">
        <v>50.401944803339745</v>
      </c>
      <c r="P230" s="95">
        <v>1.5580917603874882</v>
      </c>
      <c r="Q230" s="95">
        <v>4.626766130786943</v>
      </c>
      <c r="R230" s="95">
        <v>6.368554365524087</v>
      </c>
      <c r="S230" s="95">
        <v>5.4776410531881492</v>
      </c>
      <c r="T230" s="95">
        <v>3.5923033228979988</v>
      </c>
      <c r="U230" s="95">
        <v>1.2362494950015306</v>
      </c>
      <c r="V230" s="95">
        <v>2.4809982773866022</v>
      </c>
      <c r="W230" s="95">
        <v>20.465139590970079</v>
      </c>
      <c r="X230" s="95">
        <v>1.2373975635509284</v>
      </c>
      <c r="Y230" s="95">
        <v>3.2995150612189441</v>
      </c>
      <c r="Z230" s="95">
        <v>100.74460142425251</v>
      </c>
      <c r="AA230" s="16"/>
      <c r="AB230" s="16"/>
      <c r="AC230" s="16"/>
      <c r="AD230" s="16"/>
      <c r="AE230" s="128"/>
      <c r="AF230" s="128"/>
      <c r="AG230" s="16"/>
      <c r="AH230" s="16"/>
      <c r="AI230" s="16"/>
      <c r="AJ230" s="16"/>
      <c r="AK230" s="135"/>
      <c r="AL230" s="16"/>
      <c r="AM230" s="135"/>
      <c r="AN230" s="128"/>
      <c r="AO230" s="16"/>
      <c r="AP230" s="16"/>
      <c r="AQ230" s="16"/>
      <c r="AR230" s="16"/>
      <c r="AS230" s="16"/>
      <c r="AT230" s="16"/>
      <c r="AU230" s="16"/>
      <c r="AV230" s="16"/>
      <c r="AW230" s="16"/>
      <c r="AX230" s="128">
        <v>0.315</v>
      </c>
      <c r="AY230" s="128">
        <v>3.5060000000000002</v>
      </c>
      <c r="AZ230" s="128">
        <v>2.1999999999999999E-2</v>
      </c>
      <c r="BA230" s="128">
        <v>7.0999999999999994E-2</v>
      </c>
      <c r="BB230" s="16"/>
      <c r="BC230" s="128">
        <v>0.54349999999999998</v>
      </c>
      <c r="BD230" s="16"/>
      <c r="BE230" s="16"/>
      <c r="BF230" s="16"/>
      <c r="BG230" s="16"/>
      <c r="BH230" s="128"/>
      <c r="BI230" s="128">
        <v>9.3610000000000007</v>
      </c>
      <c r="BJ230" s="16"/>
      <c r="BK230" s="128">
        <v>0.38600000000000001</v>
      </c>
      <c r="BL230" s="128">
        <v>0.65149999999999997</v>
      </c>
      <c r="BM230" s="128">
        <v>5.6000000000000001E-2</v>
      </c>
      <c r="BN230" s="128">
        <v>0.17499999999999999</v>
      </c>
      <c r="BO230" s="16">
        <v>1.55E-2</v>
      </c>
      <c r="BP230" s="16">
        <v>5.0000000000000001E-3</v>
      </c>
      <c r="BQ230" s="16">
        <v>2E-3</v>
      </c>
      <c r="BR230" s="16">
        <v>1E-3</v>
      </c>
      <c r="BS230" s="16"/>
      <c r="BT230" s="16"/>
      <c r="BU230" s="16"/>
      <c r="BV230" s="16">
        <v>0.01</v>
      </c>
      <c r="BW230" s="16"/>
      <c r="BX230" s="16"/>
      <c r="BY230" s="128"/>
      <c r="BZ230" s="16"/>
      <c r="CA230" s="128">
        <v>0.36099999999999999</v>
      </c>
      <c r="CB230" s="128">
        <v>8.3000000000000004E-2</v>
      </c>
      <c r="CC230" s="128">
        <v>1.4E-2</v>
      </c>
      <c r="CE230">
        <f t="shared" si="114"/>
        <v>2.6699942954934399</v>
      </c>
      <c r="CF230">
        <f t="shared" si="115"/>
        <v>24.251295336787567</v>
      </c>
      <c r="CG230">
        <f t="shared" si="116"/>
        <v>9.0829015544041454</v>
      </c>
      <c r="CH230">
        <f t="shared" si="117"/>
        <v>0.59247889485801997</v>
      </c>
      <c r="CI230">
        <f t="shared" si="118"/>
        <v>0</v>
      </c>
      <c r="CJ230" t="e">
        <f t="shared" si="119"/>
        <v>#DIV/0!</v>
      </c>
      <c r="CK230">
        <f t="shared" si="120"/>
        <v>0</v>
      </c>
      <c r="CL230">
        <f t="shared" si="121"/>
        <v>5.3814274750575599</v>
      </c>
      <c r="CM230">
        <f t="shared" si="122"/>
        <v>14.368380660015351</v>
      </c>
      <c r="CN230">
        <f t="shared" si="123"/>
        <v>14.368380660015351</v>
      </c>
      <c r="CO230">
        <f t="shared" si="124"/>
        <v>0</v>
      </c>
      <c r="CP230">
        <f t="shared" si="125"/>
        <v>25.785714285714285</v>
      </c>
      <c r="CQ230">
        <f t="shared" si="126"/>
        <v>0.93523316062176165</v>
      </c>
      <c r="CR230">
        <f t="shared" si="127"/>
        <v>1.4080310880829014</v>
      </c>
      <c r="CS230">
        <f t="shared" si="128"/>
        <v>0.18393782383419688</v>
      </c>
      <c r="CT230">
        <f t="shared" si="129"/>
        <v>8.9845978322875067E-2</v>
      </c>
      <c r="CU230">
        <f t="shared" si="130"/>
        <v>5.6994818652849735E-2</v>
      </c>
      <c r="CV230" t="e">
        <f t="shared" si="131"/>
        <v>#DIV/0!</v>
      </c>
      <c r="CW230">
        <f t="shared" si="132"/>
        <v>0</v>
      </c>
      <c r="CX230">
        <f t="shared" si="133"/>
        <v>0.13063477460901562</v>
      </c>
      <c r="CY230">
        <f t="shared" si="134"/>
        <v>0</v>
      </c>
      <c r="CZ230">
        <f t="shared" si="135"/>
        <v>5.9285714285714288</v>
      </c>
      <c r="DA230">
        <f t="shared" si="136"/>
        <v>0.22539682539682537</v>
      </c>
      <c r="DB230">
        <f t="shared" si="137"/>
        <v>2.0250998288648028E-2</v>
      </c>
      <c r="DC230">
        <f t="shared" si="138"/>
        <v>3.2272727272727271</v>
      </c>
      <c r="DD230">
        <f t="shared" si="139"/>
        <v>0.10897927858787414</v>
      </c>
      <c r="DE230">
        <f t="shared" si="140"/>
        <v>0</v>
      </c>
      <c r="DF230">
        <f t="shared" si="141"/>
        <v>0</v>
      </c>
      <c r="DG230">
        <f t="shared" si="142"/>
        <v>0</v>
      </c>
      <c r="DH230">
        <f t="shared" si="143"/>
        <v>2.6699942954934399</v>
      </c>
      <c r="DI230">
        <f t="shared" si="144"/>
        <v>0.15501996577296062</v>
      </c>
      <c r="DJ230">
        <f t="shared" si="145"/>
        <v>3.9931545921277805E-3</v>
      </c>
      <c r="DK230">
        <f t="shared" si="146"/>
        <v>14.190779930539247</v>
      </c>
      <c r="DL230">
        <f t="shared" si="147"/>
        <v>11.986440753334049</v>
      </c>
      <c r="DM230">
        <f t="shared" si="148"/>
        <v>1.5623619661118509</v>
      </c>
      <c r="DN230">
        <f t="shared" si="149"/>
        <v>0.58515554462003516</v>
      </c>
      <c r="DO230">
        <f t="shared" si="150"/>
        <v>1.3196708872752261</v>
      </c>
      <c r="DP230">
        <f t="shared" si="151"/>
        <v>0.49425981527475082</v>
      </c>
    </row>
    <row r="231" spans="1:120">
      <c r="A231" s="16" t="s">
        <v>1362</v>
      </c>
      <c r="B231" s="16" t="s">
        <v>24</v>
      </c>
      <c r="C231" s="124" t="s">
        <v>541</v>
      </c>
      <c r="D231" s="16" t="s">
        <v>1265</v>
      </c>
      <c r="E231" s="16" t="s">
        <v>171</v>
      </c>
      <c r="F231" s="16" t="s">
        <v>1266</v>
      </c>
      <c r="G231" s="16" t="s">
        <v>595</v>
      </c>
      <c r="H231" s="27">
        <v>540</v>
      </c>
      <c r="I231" s="16" t="s">
        <v>735</v>
      </c>
      <c r="J231" s="16" t="s">
        <v>1311</v>
      </c>
      <c r="K231" s="16" t="s">
        <v>115</v>
      </c>
      <c r="L231" s="16"/>
      <c r="M231" s="16" t="s">
        <v>1261</v>
      </c>
      <c r="N231" s="16">
        <v>34</v>
      </c>
      <c r="O231" s="95">
        <v>52.240379182328347</v>
      </c>
      <c r="P231" s="95">
        <v>3.0580330381686567</v>
      </c>
      <c r="Q231" s="95">
        <v>6.7070249675079934</v>
      </c>
      <c r="R231" s="95">
        <v>3.8546135180865928</v>
      </c>
      <c r="S231" s="95">
        <v>3.0804397950403182</v>
      </c>
      <c r="T231" s="95">
        <v>4.4692244796214027</v>
      </c>
      <c r="U231" s="95">
        <v>0.24866256477705939</v>
      </c>
      <c r="V231" s="95">
        <v>2.0606035476466036</v>
      </c>
      <c r="W231" s="95">
        <v>20.451835242357753</v>
      </c>
      <c r="X231" s="95">
        <v>2.3031640669897375</v>
      </c>
      <c r="Y231" s="95">
        <v>1.9707611923682022</v>
      </c>
      <c r="Z231" s="95">
        <v>100.44474159489268</v>
      </c>
      <c r="AA231" s="18"/>
      <c r="AB231" s="18"/>
      <c r="AC231" s="18"/>
      <c r="AD231" s="18"/>
      <c r="AE231" s="127"/>
      <c r="AF231" s="127"/>
      <c r="AG231" s="18"/>
      <c r="AH231" s="18"/>
      <c r="AI231" s="18"/>
      <c r="AJ231" s="18">
        <v>106.5</v>
      </c>
      <c r="AK231" s="134"/>
      <c r="AL231" s="18"/>
      <c r="AM231" s="134"/>
      <c r="AN231" s="127"/>
      <c r="AO231" s="18"/>
      <c r="AP231" s="18"/>
      <c r="AQ231" s="18"/>
      <c r="AR231" s="18"/>
      <c r="AS231" s="18"/>
      <c r="AT231" s="18"/>
      <c r="AU231" s="18"/>
      <c r="AV231" s="18"/>
      <c r="AW231" s="18"/>
      <c r="AX231" s="127">
        <v>9.5980000000000008</v>
      </c>
      <c r="AY231" s="127">
        <v>755.1</v>
      </c>
      <c r="AZ231" s="127">
        <v>11.44</v>
      </c>
      <c r="BA231" s="127">
        <v>20.16</v>
      </c>
      <c r="BB231" s="18"/>
      <c r="BC231" s="127">
        <v>1.2569999999999999</v>
      </c>
      <c r="BD231" s="18"/>
      <c r="BE231" s="18"/>
      <c r="BF231" s="18"/>
      <c r="BG231" s="18"/>
      <c r="BH231" s="127"/>
      <c r="BI231" s="127">
        <v>190</v>
      </c>
      <c r="BJ231" s="18"/>
      <c r="BK231" s="127">
        <v>15.87</v>
      </c>
      <c r="BL231" s="127">
        <v>29.29</v>
      </c>
      <c r="BM231" s="127">
        <v>3.5179999999999998</v>
      </c>
      <c r="BN231" s="127">
        <v>13.49</v>
      </c>
      <c r="BO231" s="18">
        <v>2.661</v>
      </c>
      <c r="BP231" s="18">
        <v>0.51300000000000001</v>
      </c>
      <c r="BQ231" s="18">
        <v>2.5720000000000001</v>
      </c>
      <c r="BR231" s="18">
        <v>2.0430000000000001</v>
      </c>
      <c r="BS231" s="18"/>
      <c r="BT231" s="18">
        <v>1.0389999999999999</v>
      </c>
      <c r="BU231" s="18"/>
      <c r="BV231" s="18">
        <v>0.99199999999999999</v>
      </c>
      <c r="BW231" s="18">
        <v>0.16</v>
      </c>
      <c r="BX231" s="18">
        <v>0.43099999999999999</v>
      </c>
      <c r="BY231" s="127"/>
      <c r="BZ231" s="18"/>
      <c r="CA231" s="127">
        <v>18.170000000000002</v>
      </c>
      <c r="CB231" s="127">
        <v>3.073</v>
      </c>
      <c r="CC231" s="127">
        <v>0.999</v>
      </c>
      <c r="CE231">
        <f t="shared" si="114"/>
        <v>0.25162230168189642</v>
      </c>
      <c r="CF231">
        <f t="shared" si="115"/>
        <v>11.972274732199118</v>
      </c>
      <c r="CG231">
        <f t="shared" si="116"/>
        <v>47.580340264650289</v>
      </c>
      <c r="CH231">
        <f t="shared" si="117"/>
        <v>0.54182314783202457</v>
      </c>
      <c r="CI231">
        <f t="shared" si="118"/>
        <v>0</v>
      </c>
      <c r="CJ231" t="e">
        <f t="shared" si="119"/>
        <v>#DIV/0!</v>
      </c>
      <c r="CK231">
        <f t="shared" si="120"/>
        <v>0</v>
      </c>
      <c r="CL231">
        <f t="shared" si="121"/>
        <v>25.780129737111643</v>
      </c>
      <c r="CM231">
        <f t="shared" si="122"/>
        <v>6.4868555821099356</v>
      </c>
      <c r="CN231">
        <f t="shared" si="123"/>
        <v>6.4868555821099356</v>
      </c>
      <c r="CO231">
        <f t="shared" si="124"/>
        <v>0</v>
      </c>
      <c r="CP231">
        <f t="shared" si="125"/>
        <v>18.188188188188189</v>
      </c>
      <c r="CQ231">
        <f t="shared" si="126"/>
        <v>1.1449275362318843</v>
      </c>
      <c r="CR231">
        <f t="shared" si="127"/>
        <v>7.9206049149338376E-2</v>
      </c>
      <c r="CS231">
        <f t="shared" si="128"/>
        <v>1.2703213610586013</v>
      </c>
      <c r="CT231">
        <f t="shared" si="129"/>
        <v>1.2710899218646538E-2</v>
      </c>
      <c r="CU231">
        <f t="shared" si="130"/>
        <v>0.72085696282293632</v>
      </c>
      <c r="CV231" t="e">
        <f t="shared" si="131"/>
        <v>#DIV/0!</v>
      </c>
      <c r="CW231">
        <f t="shared" si="132"/>
        <v>0</v>
      </c>
      <c r="CX231">
        <f t="shared" si="133"/>
        <v>16.038186157517902</v>
      </c>
      <c r="CY231">
        <f t="shared" si="134"/>
        <v>0</v>
      </c>
      <c r="CZ231">
        <f t="shared" si="135"/>
        <v>3.0760760760760761</v>
      </c>
      <c r="DA231">
        <f t="shared" si="136"/>
        <v>2.1004375911648259</v>
      </c>
      <c r="DB231">
        <f t="shared" si="137"/>
        <v>2.6698450536352801E-2</v>
      </c>
      <c r="DC231">
        <f t="shared" si="138"/>
        <v>1.7622377622377623</v>
      </c>
      <c r="DD231">
        <f t="shared" si="139"/>
        <v>0.68828951860703314</v>
      </c>
      <c r="DE231">
        <f t="shared" si="140"/>
        <v>0</v>
      </c>
      <c r="DF231">
        <f t="shared" si="141"/>
        <v>0</v>
      </c>
      <c r="DG231">
        <f t="shared" si="142"/>
        <v>0</v>
      </c>
      <c r="DH231">
        <f t="shared" si="143"/>
        <v>0.25162230168189642</v>
      </c>
      <c r="DI231">
        <f t="shared" si="144"/>
        <v>1.664680174811283E-3</v>
      </c>
      <c r="DJ231">
        <f t="shared" si="145"/>
        <v>1.3230035756853396E-3</v>
      </c>
      <c r="DK231">
        <f t="shared" si="146"/>
        <v>0.19410458695906227</v>
      </c>
      <c r="DL231">
        <f t="shared" si="147"/>
        <v>0.42262287129855031</v>
      </c>
      <c r="DM231">
        <f t="shared" si="148"/>
        <v>4.0795123758976537E-3</v>
      </c>
      <c r="DN231">
        <f t="shared" si="149"/>
        <v>1.621284102652799E-2</v>
      </c>
      <c r="DO231">
        <f t="shared" si="150"/>
        <v>8.8823003145384622E-3</v>
      </c>
      <c r="DP231">
        <f t="shared" si="151"/>
        <v>3.5300131407936808E-2</v>
      </c>
    </row>
    <row r="232" spans="1:120">
      <c r="A232" s="16" t="s">
        <v>1181</v>
      </c>
      <c r="B232" s="16" t="s">
        <v>24</v>
      </c>
      <c r="C232" s="124" t="s">
        <v>541</v>
      </c>
      <c r="D232" s="16" t="s">
        <v>110</v>
      </c>
      <c r="E232" s="16" t="s">
        <v>801</v>
      </c>
      <c r="F232" s="16" t="s">
        <v>800</v>
      </c>
      <c r="G232" s="16" t="s">
        <v>829</v>
      </c>
      <c r="H232" s="27"/>
      <c r="I232" s="16" t="s">
        <v>712</v>
      </c>
      <c r="J232" s="16" t="s">
        <v>635</v>
      </c>
      <c r="K232" s="16" t="s">
        <v>1169</v>
      </c>
      <c r="L232" s="16" t="s">
        <v>789</v>
      </c>
      <c r="M232" s="16" t="s">
        <v>786</v>
      </c>
      <c r="N232" s="16">
        <v>52</v>
      </c>
      <c r="O232" s="95">
        <v>51.912466275998057</v>
      </c>
      <c r="P232" s="95">
        <v>1.7627921002551357</v>
      </c>
      <c r="Q232" s="95">
        <v>7.3328161755591079</v>
      </c>
      <c r="R232" s="95">
        <v>4.3048358693344131</v>
      </c>
      <c r="S232" s="95">
        <v>2.0894380815242886</v>
      </c>
      <c r="T232" s="95">
        <v>5.7629971100864408</v>
      </c>
      <c r="U232" s="95">
        <v>3.6252957381380293</v>
      </c>
      <c r="V232" s="95">
        <v>3.5228193529466747</v>
      </c>
      <c r="W232" s="95">
        <v>15.056479647334839</v>
      </c>
      <c r="X232" s="95">
        <v>3.096517839100962</v>
      </c>
      <c r="Y232" s="95">
        <v>1.9804756704789122</v>
      </c>
      <c r="Z232" s="95">
        <v>100.44693386075687</v>
      </c>
      <c r="AA232" s="18"/>
      <c r="AB232" s="18"/>
      <c r="AC232" s="18"/>
      <c r="AD232" s="18"/>
      <c r="AE232" s="127"/>
      <c r="AF232" s="127"/>
      <c r="AG232" s="18"/>
      <c r="AH232" s="18">
        <v>114</v>
      </c>
      <c r="AI232" s="18"/>
      <c r="AJ232" s="18">
        <v>9.1</v>
      </c>
      <c r="AK232" s="134"/>
      <c r="AL232" s="18"/>
      <c r="AM232" s="134"/>
      <c r="AN232" s="127"/>
      <c r="AO232" s="18"/>
      <c r="AP232" s="18"/>
      <c r="AQ232" s="18"/>
      <c r="AR232" s="18"/>
      <c r="AS232" s="18"/>
      <c r="AT232" s="18"/>
      <c r="AU232" s="18"/>
      <c r="AV232" s="18"/>
      <c r="AW232" s="18"/>
      <c r="AX232" s="127">
        <v>0.28999999999999998</v>
      </c>
      <c r="AY232" s="127">
        <v>3</v>
      </c>
      <c r="AZ232" s="127">
        <v>1.4999999999999999E-2</v>
      </c>
      <c r="BA232" s="127">
        <v>0.61</v>
      </c>
      <c r="BB232" s="18"/>
      <c r="BC232" s="127">
        <v>0.12</v>
      </c>
      <c r="BD232" s="18"/>
      <c r="BE232" s="18"/>
      <c r="BF232" s="18"/>
      <c r="BG232" s="18"/>
      <c r="BH232" s="127">
        <v>8.9999999999999993E-3</v>
      </c>
      <c r="BI232" s="127">
        <v>26</v>
      </c>
      <c r="BJ232" s="18"/>
      <c r="BK232" s="127">
        <v>1.17</v>
      </c>
      <c r="BL232" s="127">
        <v>1.31</v>
      </c>
      <c r="BM232" s="127">
        <v>0.11600000000000001</v>
      </c>
      <c r="BN232" s="127">
        <v>0.36</v>
      </c>
      <c r="BO232" s="18">
        <v>2.7E-2</v>
      </c>
      <c r="BP232" s="18">
        <v>7.0000000000000001E-3</v>
      </c>
      <c r="BQ232" s="18">
        <v>2.1000000000000001E-2</v>
      </c>
      <c r="BR232" s="18">
        <v>7.0000000000000001E-3</v>
      </c>
      <c r="BS232" s="18">
        <v>2E-3</v>
      </c>
      <c r="BT232" s="18"/>
      <c r="BU232" s="18"/>
      <c r="BV232" s="18">
        <v>0</v>
      </c>
      <c r="BW232" s="18">
        <v>1E-3</v>
      </c>
      <c r="BX232" s="18">
        <v>1.6E-2</v>
      </c>
      <c r="BY232" s="127">
        <v>3.0000000000000001E-3</v>
      </c>
      <c r="BZ232" s="18"/>
      <c r="CA232" s="127">
        <v>0</v>
      </c>
      <c r="CB232" s="127">
        <v>0.23</v>
      </c>
      <c r="CC232" s="127">
        <v>0.04</v>
      </c>
      <c r="CE232">
        <f t="shared" si="114"/>
        <v>8.6666666666666661</v>
      </c>
      <c r="CF232">
        <f t="shared" si="115"/>
        <v>22.222222222222225</v>
      </c>
      <c r="CG232">
        <f t="shared" si="116"/>
        <v>2.5641025641025643</v>
      </c>
      <c r="CH232">
        <f t="shared" si="117"/>
        <v>0.89312977099236635</v>
      </c>
      <c r="CI232">
        <f t="shared" si="118"/>
        <v>0</v>
      </c>
      <c r="CJ232" t="e">
        <f t="shared" si="119"/>
        <v>#DIV/0!</v>
      </c>
      <c r="CK232">
        <f t="shared" si="120"/>
        <v>0</v>
      </c>
      <c r="CL232">
        <f t="shared" si="121"/>
        <v>2.2900763358778624</v>
      </c>
      <c r="CM232">
        <f t="shared" si="122"/>
        <v>19.847328244274809</v>
      </c>
      <c r="CN232">
        <f t="shared" si="123"/>
        <v>19.847328244274809</v>
      </c>
      <c r="CO232">
        <f t="shared" si="124"/>
        <v>2.2900763358778627E-3</v>
      </c>
      <c r="CP232">
        <f t="shared" si="125"/>
        <v>0</v>
      </c>
      <c r="CQ232">
        <f t="shared" si="126"/>
        <v>0</v>
      </c>
      <c r="CR232">
        <f t="shared" si="127"/>
        <v>0.10256410256410256</v>
      </c>
      <c r="CS232">
        <f t="shared" si="128"/>
        <v>0.5213675213675214</v>
      </c>
      <c r="CT232">
        <f t="shared" si="129"/>
        <v>9.6666666666666665E-2</v>
      </c>
      <c r="CU232">
        <f t="shared" si="130"/>
        <v>1.282051282051282E-2</v>
      </c>
      <c r="CV232" t="e">
        <f t="shared" si="131"/>
        <v>#DIV/0!</v>
      </c>
      <c r="CW232">
        <f t="shared" si="132"/>
        <v>0</v>
      </c>
      <c r="CX232">
        <f t="shared" si="133"/>
        <v>5.083333333333333</v>
      </c>
      <c r="CY232">
        <f t="shared" si="134"/>
        <v>2.5641025641025641E-3</v>
      </c>
      <c r="CZ232">
        <f t="shared" si="135"/>
        <v>5.75</v>
      </c>
      <c r="DA232">
        <f t="shared" si="136"/>
        <v>2.103448275862069</v>
      </c>
      <c r="DB232">
        <f t="shared" si="137"/>
        <v>0.20333333333333334</v>
      </c>
      <c r="DC232">
        <f t="shared" si="138"/>
        <v>40.666666666666664</v>
      </c>
      <c r="DD232">
        <f t="shared" si="139"/>
        <v>0.46564885496183206</v>
      </c>
      <c r="DE232">
        <f t="shared" si="140"/>
        <v>0</v>
      </c>
      <c r="DF232">
        <f t="shared" si="141"/>
        <v>0</v>
      </c>
      <c r="DG232">
        <f t="shared" si="142"/>
        <v>0</v>
      </c>
      <c r="DH232">
        <f t="shared" si="143"/>
        <v>8.6666666666666661</v>
      </c>
      <c r="DI232">
        <f t="shared" si="144"/>
        <v>0.04</v>
      </c>
      <c r="DJ232">
        <f t="shared" si="145"/>
        <v>1.3333333333333334E-2</v>
      </c>
      <c r="DK232">
        <f t="shared" si="146"/>
        <v>1.7858445141233237</v>
      </c>
      <c r="DL232">
        <f t="shared" si="147"/>
        <v>6.2673642526146223</v>
      </c>
      <c r="DM232">
        <f t="shared" si="148"/>
        <v>0.69647936050809622</v>
      </c>
      <c r="DN232">
        <f t="shared" si="149"/>
        <v>8.036300313554956E-2</v>
      </c>
      <c r="DO232">
        <f t="shared" si="150"/>
        <v>2.4442720585197026</v>
      </c>
      <c r="DP232">
        <f t="shared" si="151"/>
        <v>0.28203139136765798</v>
      </c>
    </row>
    <row r="233" spans="1:120">
      <c r="A233" s="16" t="s">
        <v>1181</v>
      </c>
      <c r="B233" s="16" t="s">
        <v>24</v>
      </c>
      <c r="C233" s="124" t="s">
        <v>541</v>
      </c>
      <c r="D233" s="16" t="s">
        <v>110</v>
      </c>
      <c r="E233" s="16" t="s">
        <v>801</v>
      </c>
      <c r="F233" s="16" t="s">
        <v>800</v>
      </c>
      <c r="G233" s="16" t="s">
        <v>829</v>
      </c>
      <c r="H233" s="27"/>
      <c r="I233" s="16" t="s">
        <v>712</v>
      </c>
      <c r="J233" s="16" t="s">
        <v>635</v>
      </c>
      <c r="K233" s="16" t="s">
        <v>1169</v>
      </c>
      <c r="L233" s="16" t="s">
        <v>99</v>
      </c>
      <c r="M233" s="16" t="s">
        <v>786</v>
      </c>
      <c r="N233" s="16">
        <v>83</v>
      </c>
      <c r="O233" s="95">
        <v>44.977044173763218</v>
      </c>
      <c r="P233" s="95">
        <v>1.6628597195859705</v>
      </c>
      <c r="Q233" s="95">
        <v>7.1145192079708517</v>
      </c>
      <c r="R233" s="95">
        <v>4.5421135110241933</v>
      </c>
      <c r="S233" s="95">
        <v>1.723302072436405</v>
      </c>
      <c r="T233" s="95">
        <v>7.2544187676531564</v>
      </c>
      <c r="U233" s="95">
        <v>4.5250624178192416</v>
      </c>
      <c r="V233" s="95">
        <v>4.0723616859143421</v>
      </c>
      <c r="W233" s="95">
        <v>17.199583306526005</v>
      </c>
      <c r="X233" s="95">
        <v>2.9026190902618416</v>
      </c>
      <c r="Y233" s="95">
        <v>5.1994832010104739</v>
      </c>
      <c r="Z233" s="95">
        <v>101.1733671539657</v>
      </c>
      <c r="AA233" s="18"/>
      <c r="AB233" s="18"/>
      <c r="AC233" s="18"/>
      <c r="AD233" s="18"/>
      <c r="AE233" s="127"/>
      <c r="AF233" s="127"/>
      <c r="AG233" s="18"/>
      <c r="AH233" s="18">
        <v>163</v>
      </c>
      <c r="AI233" s="18"/>
      <c r="AJ233" s="18">
        <v>9.5</v>
      </c>
      <c r="AK233" s="134"/>
      <c r="AL233" s="18"/>
      <c r="AM233" s="134"/>
      <c r="AN233" s="127"/>
      <c r="AO233" s="18"/>
      <c r="AP233" s="18"/>
      <c r="AQ233" s="18"/>
      <c r="AR233" s="18"/>
      <c r="AS233" s="18"/>
      <c r="AT233" s="18"/>
      <c r="AU233" s="18"/>
      <c r="AV233" s="18"/>
      <c r="AW233" s="18"/>
      <c r="AX233" s="127">
        <v>0.39700000000000002</v>
      </c>
      <c r="AY233" s="127">
        <v>4.4000000000000004</v>
      </c>
      <c r="AZ233" s="127">
        <v>1.9E-2</v>
      </c>
      <c r="BA233" s="127">
        <v>0.67</v>
      </c>
      <c r="BB233" s="18"/>
      <c r="BC233" s="127">
        <v>0.02</v>
      </c>
      <c r="BD233" s="18"/>
      <c r="BE233" s="18"/>
      <c r="BF233" s="18"/>
      <c r="BG233" s="18"/>
      <c r="BH233" s="127">
        <v>1.2999999999999999E-2</v>
      </c>
      <c r="BI233" s="127">
        <v>46</v>
      </c>
      <c r="BJ233" s="18"/>
      <c r="BK233" s="127">
        <v>1.47</v>
      </c>
      <c r="BL233" s="127">
        <v>1.5</v>
      </c>
      <c r="BM233" s="127">
        <v>0.124</v>
      </c>
      <c r="BN233" s="127">
        <v>0.42</v>
      </c>
      <c r="BO233" s="18">
        <v>3.6999999999999998E-2</v>
      </c>
      <c r="BP233" s="18">
        <v>7.0000000000000001E-3</v>
      </c>
      <c r="BQ233" s="18">
        <v>2.1000000000000001E-2</v>
      </c>
      <c r="BR233" s="18">
        <v>8.9999999999999993E-3</v>
      </c>
      <c r="BS233" s="18">
        <v>2E-3</v>
      </c>
      <c r="BT233" s="18">
        <v>8.9999999999999993E-3</v>
      </c>
      <c r="BU233" s="18"/>
      <c r="BV233" s="18">
        <v>8.9999999999999993E-3</v>
      </c>
      <c r="BW233" s="18"/>
      <c r="BX233" s="18">
        <v>2.3E-2</v>
      </c>
      <c r="BY233" s="127">
        <v>3.0000000000000001E-3</v>
      </c>
      <c r="BZ233" s="18"/>
      <c r="CA233" s="127">
        <v>0</v>
      </c>
      <c r="CB233" s="127">
        <v>0.43</v>
      </c>
      <c r="CC233" s="127">
        <v>7.3999999999999996E-2</v>
      </c>
      <c r="CE233">
        <f t="shared" si="114"/>
        <v>10.454545454545453</v>
      </c>
      <c r="CF233">
        <f t="shared" si="115"/>
        <v>31.292517006802722</v>
      </c>
      <c r="CG233">
        <f t="shared" si="116"/>
        <v>2.9931972789115648</v>
      </c>
      <c r="CH233">
        <f t="shared" si="117"/>
        <v>0.98</v>
      </c>
      <c r="CI233">
        <f t="shared" si="118"/>
        <v>0</v>
      </c>
      <c r="CJ233" t="e">
        <f t="shared" si="119"/>
        <v>#DIV/0!</v>
      </c>
      <c r="CK233">
        <f t="shared" si="120"/>
        <v>0</v>
      </c>
      <c r="CL233">
        <f t="shared" si="121"/>
        <v>2.9333333333333336</v>
      </c>
      <c r="CM233">
        <f t="shared" si="122"/>
        <v>30.666666666666668</v>
      </c>
      <c r="CN233">
        <f t="shared" si="123"/>
        <v>30.666666666666668</v>
      </c>
      <c r="CO233">
        <f t="shared" si="124"/>
        <v>2E-3</v>
      </c>
      <c r="CP233">
        <f t="shared" si="125"/>
        <v>0</v>
      </c>
      <c r="CQ233">
        <f t="shared" si="126"/>
        <v>0</v>
      </c>
      <c r="CR233">
        <f t="shared" si="127"/>
        <v>1.360544217687075E-2</v>
      </c>
      <c r="CS233">
        <f t="shared" si="128"/>
        <v>0.45578231292517013</v>
      </c>
      <c r="CT233">
        <f t="shared" si="129"/>
        <v>9.0227272727272725E-2</v>
      </c>
      <c r="CU233">
        <f t="shared" si="130"/>
        <v>1.292517006802721E-2</v>
      </c>
      <c r="CV233" t="e">
        <f t="shared" si="131"/>
        <v>#DIV/0!</v>
      </c>
      <c r="CW233">
        <f t="shared" si="132"/>
        <v>0</v>
      </c>
      <c r="CX233">
        <f t="shared" si="133"/>
        <v>33.5</v>
      </c>
      <c r="CY233">
        <f t="shared" si="134"/>
        <v>2.0408163265306124E-3</v>
      </c>
      <c r="CZ233">
        <f t="shared" si="135"/>
        <v>5.8108108108108114</v>
      </c>
      <c r="DA233">
        <f t="shared" si="136"/>
        <v>1.6876574307304786</v>
      </c>
      <c r="DB233">
        <f t="shared" si="137"/>
        <v>0.15227272727272728</v>
      </c>
      <c r="DC233">
        <f t="shared" si="138"/>
        <v>35.263157894736842</v>
      </c>
      <c r="DD233">
        <f t="shared" si="139"/>
        <v>0.44666666666666671</v>
      </c>
      <c r="DE233">
        <f t="shared" si="140"/>
        <v>0</v>
      </c>
      <c r="DF233">
        <f t="shared" si="141"/>
        <v>0</v>
      </c>
      <c r="DG233">
        <f t="shared" si="142"/>
        <v>0</v>
      </c>
      <c r="DH233">
        <f t="shared" si="143"/>
        <v>10.454545454545453</v>
      </c>
      <c r="DI233">
        <f t="shared" si="144"/>
        <v>4.5454545454545452E-3</v>
      </c>
      <c r="DJ233">
        <f t="shared" si="145"/>
        <v>1.6818181818181815E-2</v>
      </c>
      <c r="DK233">
        <f t="shared" si="146"/>
        <v>1.1723143349907517</v>
      </c>
      <c r="DL233">
        <f t="shared" si="147"/>
        <v>4.8398089850141846</v>
      </c>
      <c r="DM233">
        <f t="shared" si="148"/>
        <v>0.39165956191736473</v>
      </c>
      <c r="DN233">
        <f t="shared" si="149"/>
        <v>3.7463088531226194E-2</v>
      </c>
      <c r="DO233">
        <f t="shared" si="150"/>
        <v>1.6169361836297389</v>
      </c>
      <c r="DP233">
        <f t="shared" si="151"/>
        <v>0.15466346104284459</v>
      </c>
    </row>
    <row r="234" spans="1:120">
      <c r="A234" s="4" t="s">
        <v>1651</v>
      </c>
      <c r="B234" s="4" t="s">
        <v>24</v>
      </c>
      <c r="C234" s="124" t="s">
        <v>541</v>
      </c>
      <c r="D234" s="4" t="s">
        <v>1717</v>
      </c>
      <c r="E234" s="4" t="s">
        <v>1394</v>
      </c>
      <c r="F234" s="4" t="s">
        <v>1628</v>
      </c>
      <c r="G234" s="4" t="s">
        <v>595</v>
      </c>
      <c r="H234" s="49">
        <v>132</v>
      </c>
      <c r="I234" s="4" t="s">
        <v>735</v>
      </c>
      <c r="J234" s="4"/>
      <c r="K234" s="4" t="s">
        <v>1648</v>
      </c>
      <c r="L234" s="4"/>
      <c r="M234" s="4" t="s">
        <v>1640</v>
      </c>
      <c r="N234" s="4">
        <v>18</v>
      </c>
      <c r="O234" s="95">
        <v>42.322476544543747</v>
      </c>
      <c r="P234" s="95">
        <v>3.317438779025994</v>
      </c>
      <c r="Q234" s="95">
        <v>4.4232517053679929</v>
      </c>
      <c r="R234" s="95">
        <v>14.476096490295248</v>
      </c>
      <c r="S234" s="95">
        <v>6.433820662353444</v>
      </c>
      <c r="T234" s="95">
        <v>7.539633588695442</v>
      </c>
      <c r="U234" s="95">
        <v>1.2063413741912707</v>
      </c>
      <c r="V234" s="95">
        <v>2.6137396440810865</v>
      </c>
      <c r="W234" s="95">
        <v>14.777681833843065</v>
      </c>
      <c r="X234" s="95">
        <v>2.1110974048347235</v>
      </c>
      <c r="Y234" s="95">
        <v>1.0052844784927255</v>
      </c>
      <c r="Z234" s="95">
        <v>100.22686250572472</v>
      </c>
      <c r="BR234" s="45"/>
      <c r="BS234" s="45"/>
      <c r="BT234" s="45"/>
      <c r="BU234" s="45"/>
      <c r="BV234" s="45"/>
      <c r="BW234" s="45"/>
      <c r="BX234" s="45"/>
      <c r="BY234" s="141"/>
      <c r="BZ234" s="45"/>
      <c r="CA234" s="141"/>
      <c r="CB234" s="141"/>
      <c r="CC234" s="141"/>
      <c r="CE234" t="e">
        <f t="shared" si="114"/>
        <v>#DIV/0!</v>
      </c>
      <c r="CF234" t="e">
        <f t="shared" si="115"/>
        <v>#DIV/0!</v>
      </c>
      <c r="CG234" t="e">
        <f t="shared" si="116"/>
        <v>#DIV/0!</v>
      </c>
      <c r="CH234" t="e">
        <f t="shared" si="117"/>
        <v>#DIV/0!</v>
      </c>
      <c r="CI234" t="e">
        <f t="shared" si="118"/>
        <v>#DIV/0!</v>
      </c>
      <c r="CJ234" t="e">
        <f t="shared" si="119"/>
        <v>#DIV/0!</v>
      </c>
      <c r="CK234" t="e">
        <f t="shared" si="120"/>
        <v>#DIV/0!</v>
      </c>
      <c r="CL234" t="e">
        <f t="shared" si="121"/>
        <v>#DIV/0!</v>
      </c>
      <c r="CM234" t="e">
        <f t="shared" si="122"/>
        <v>#DIV/0!</v>
      </c>
      <c r="CN234" t="e">
        <f t="shared" si="123"/>
        <v>#DIV/0!</v>
      </c>
      <c r="CO234" t="e">
        <f t="shared" si="124"/>
        <v>#DIV/0!</v>
      </c>
      <c r="CP234" t="e">
        <f t="shared" si="125"/>
        <v>#DIV/0!</v>
      </c>
      <c r="CQ234" t="e">
        <f t="shared" si="126"/>
        <v>#DIV/0!</v>
      </c>
      <c r="CR234" t="e">
        <f t="shared" si="127"/>
        <v>#DIV/0!</v>
      </c>
      <c r="CS234" t="e">
        <f t="shared" si="128"/>
        <v>#DIV/0!</v>
      </c>
      <c r="CT234" t="e">
        <f t="shared" si="129"/>
        <v>#DIV/0!</v>
      </c>
      <c r="CU234" t="e">
        <f t="shared" si="130"/>
        <v>#DIV/0!</v>
      </c>
      <c r="CV234" t="e">
        <f t="shared" si="131"/>
        <v>#DIV/0!</v>
      </c>
      <c r="CW234" t="e">
        <f t="shared" si="132"/>
        <v>#DIV/0!</v>
      </c>
      <c r="CX234" t="e">
        <f t="shared" si="133"/>
        <v>#DIV/0!</v>
      </c>
      <c r="CY234" t="e">
        <f t="shared" si="134"/>
        <v>#DIV/0!</v>
      </c>
      <c r="CZ234" t="e">
        <f t="shared" si="135"/>
        <v>#DIV/0!</v>
      </c>
      <c r="DA234" t="e">
        <f t="shared" si="136"/>
        <v>#DIV/0!</v>
      </c>
      <c r="DB234" t="e">
        <f t="shared" si="137"/>
        <v>#DIV/0!</v>
      </c>
      <c r="DC234" t="e">
        <f t="shared" si="138"/>
        <v>#DIV/0!</v>
      </c>
      <c r="DD234" t="e">
        <f t="shared" si="139"/>
        <v>#DIV/0!</v>
      </c>
      <c r="DE234" t="e">
        <f t="shared" si="140"/>
        <v>#DIV/0!</v>
      </c>
      <c r="DF234" t="e">
        <f t="shared" si="141"/>
        <v>#DIV/0!</v>
      </c>
      <c r="DG234" t="e">
        <f t="shared" si="142"/>
        <v>#DIV/0!</v>
      </c>
      <c r="DH234" t="e">
        <f t="shared" si="143"/>
        <v>#DIV/0!</v>
      </c>
      <c r="DI234" t="e">
        <f t="shared" si="144"/>
        <v>#DIV/0!</v>
      </c>
      <c r="DJ234" t="e">
        <f t="shared" si="145"/>
        <v>#DIV/0!</v>
      </c>
      <c r="DK234" t="e">
        <f t="shared" si="146"/>
        <v>#DIV/0!</v>
      </c>
      <c r="DL234" t="e">
        <f t="shared" si="147"/>
        <v>#DIV/0!</v>
      </c>
      <c r="DM234" t="e">
        <f t="shared" si="148"/>
        <v>#DIV/0!</v>
      </c>
      <c r="DN234" t="e">
        <f t="shared" si="149"/>
        <v>#DIV/0!</v>
      </c>
      <c r="DO234" t="e">
        <f t="shared" si="150"/>
        <v>#DIV/0!</v>
      </c>
      <c r="DP234" t="e">
        <f t="shared" si="151"/>
        <v>#DIV/0!</v>
      </c>
    </row>
    <row r="235" spans="1:120">
      <c r="A235" s="4" t="s">
        <v>1651</v>
      </c>
      <c r="B235" s="4" t="s">
        <v>24</v>
      </c>
      <c r="C235" s="124" t="s">
        <v>541</v>
      </c>
      <c r="D235" s="4" t="s">
        <v>1717</v>
      </c>
      <c r="E235" s="4" t="s">
        <v>1394</v>
      </c>
      <c r="F235" s="4" t="s">
        <v>1628</v>
      </c>
      <c r="G235" s="4" t="s">
        <v>595</v>
      </c>
      <c r="H235" s="49">
        <v>132</v>
      </c>
      <c r="I235" s="4" t="s">
        <v>735</v>
      </c>
      <c r="J235" s="4"/>
      <c r="K235" s="4" t="s">
        <v>1276</v>
      </c>
      <c r="L235" s="4"/>
      <c r="M235" s="4" t="s">
        <v>1641</v>
      </c>
      <c r="N235" s="4">
        <v>58</v>
      </c>
      <c r="O235" s="95">
        <v>41.497378368491646</v>
      </c>
      <c r="P235" s="95">
        <v>4.5769167318189314</v>
      </c>
      <c r="Q235" s="95">
        <v>3.8649519068693197</v>
      </c>
      <c r="R235" s="95">
        <v>13.934168716870968</v>
      </c>
      <c r="S235" s="95">
        <v>6.5093926852535926</v>
      </c>
      <c r="T235" s="95">
        <v>8.0350315958599019</v>
      </c>
      <c r="U235" s="95">
        <v>0.71196482494961155</v>
      </c>
      <c r="V235" s="95">
        <v>3.2546963426267963</v>
      </c>
      <c r="W235" s="95">
        <v>14.849552063234755</v>
      </c>
      <c r="X235" s="95">
        <v>2.1358944748488349</v>
      </c>
      <c r="Y235" s="95">
        <v>0.81367408565669908</v>
      </c>
      <c r="Z235" s="95">
        <v>100.18362179648108</v>
      </c>
      <c r="BR235" s="45"/>
      <c r="BS235" s="45"/>
      <c r="BT235" s="45"/>
      <c r="BU235" s="45"/>
      <c r="BV235" s="45"/>
      <c r="BW235" s="45"/>
      <c r="BX235" s="45"/>
      <c r="BY235" s="141"/>
      <c r="BZ235" s="45"/>
      <c r="CA235" s="141"/>
      <c r="CB235" s="141"/>
      <c r="CC235" s="141"/>
      <c r="CE235" t="e">
        <f t="shared" si="114"/>
        <v>#DIV/0!</v>
      </c>
      <c r="CF235" t="e">
        <f t="shared" si="115"/>
        <v>#DIV/0!</v>
      </c>
      <c r="CG235" t="e">
        <f t="shared" si="116"/>
        <v>#DIV/0!</v>
      </c>
      <c r="CH235" t="e">
        <f t="shared" si="117"/>
        <v>#DIV/0!</v>
      </c>
      <c r="CI235" t="e">
        <f t="shared" si="118"/>
        <v>#DIV/0!</v>
      </c>
      <c r="CJ235" t="e">
        <f t="shared" si="119"/>
        <v>#DIV/0!</v>
      </c>
      <c r="CK235" t="e">
        <f t="shared" si="120"/>
        <v>#DIV/0!</v>
      </c>
      <c r="CL235" t="e">
        <f t="shared" si="121"/>
        <v>#DIV/0!</v>
      </c>
      <c r="CM235" t="e">
        <f t="shared" si="122"/>
        <v>#DIV/0!</v>
      </c>
      <c r="CN235" t="e">
        <f t="shared" si="123"/>
        <v>#DIV/0!</v>
      </c>
      <c r="CO235" t="e">
        <f t="shared" si="124"/>
        <v>#DIV/0!</v>
      </c>
      <c r="CP235" t="e">
        <f t="shared" si="125"/>
        <v>#DIV/0!</v>
      </c>
      <c r="CQ235" t="e">
        <f t="shared" si="126"/>
        <v>#DIV/0!</v>
      </c>
      <c r="CR235" t="e">
        <f t="shared" si="127"/>
        <v>#DIV/0!</v>
      </c>
      <c r="CS235" t="e">
        <f t="shared" si="128"/>
        <v>#DIV/0!</v>
      </c>
      <c r="CT235" t="e">
        <f t="shared" si="129"/>
        <v>#DIV/0!</v>
      </c>
      <c r="CU235" t="e">
        <f t="shared" si="130"/>
        <v>#DIV/0!</v>
      </c>
      <c r="CV235" t="e">
        <f t="shared" si="131"/>
        <v>#DIV/0!</v>
      </c>
      <c r="CW235" t="e">
        <f t="shared" si="132"/>
        <v>#DIV/0!</v>
      </c>
      <c r="CX235" t="e">
        <f t="shared" si="133"/>
        <v>#DIV/0!</v>
      </c>
      <c r="CY235" t="e">
        <f t="shared" si="134"/>
        <v>#DIV/0!</v>
      </c>
      <c r="CZ235" t="e">
        <f t="shared" si="135"/>
        <v>#DIV/0!</v>
      </c>
      <c r="DA235" t="e">
        <f t="shared" si="136"/>
        <v>#DIV/0!</v>
      </c>
      <c r="DB235" t="e">
        <f t="shared" si="137"/>
        <v>#DIV/0!</v>
      </c>
      <c r="DC235" t="e">
        <f t="shared" si="138"/>
        <v>#DIV/0!</v>
      </c>
      <c r="DD235" t="e">
        <f t="shared" si="139"/>
        <v>#DIV/0!</v>
      </c>
      <c r="DE235" t="e">
        <f t="shared" si="140"/>
        <v>#DIV/0!</v>
      </c>
      <c r="DF235" t="e">
        <f t="shared" si="141"/>
        <v>#DIV/0!</v>
      </c>
      <c r="DG235" t="e">
        <f t="shared" si="142"/>
        <v>#DIV/0!</v>
      </c>
      <c r="DH235" t="e">
        <f t="shared" si="143"/>
        <v>#DIV/0!</v>
      </c>
      <c r="DI235" t="e">
        <f t="shared" si="144"/>
        <v>#DIV/0!</v>
      </c>
      <c r="DJ235" t="e">
        <f t="shared" si="145"/>
        <v>#DIV/0!</v>
      </c>
      <c r="DK235" t="e">
        <f t="shared" si="146"/>
        <v>#DIV/0!</v>
      </c>
      <c r="DL235" t="e">
        <f t="shared" si="147"/>
        <v>#DIV/0!</v>
      </c>
      <c r="DM235" t="e">
        <f t="shared" si="148"/>
        <v>#DIV/0!</v>
      </c>
      <c r="DN235" t="e">
        <f t="shared" si="149"/>
        <v>#DIV/0!</v>
      </c>
      <c r="DO235" t="e">
        <f t="shared" si="150"/>
        <v>#DIV/0!</v>
      </c>
      <c r="DP235" t="e">
        <f t="shared" si="151"/>
        <v>#DIV/0!</v>
      </c>
    </row>
    <row r="236" spans="1:120">
      <c r="A236" s="4" t="s">
        <v>1651</v>
      </c>
      <c r="B236" s="4" t="s">
        <v>24</v>
      </c>
      <c r="C236" s="124" t="s">
        <v>541</v>
      </c>
      <c r="D236" s="4" t="s">
        <v>1717</v>
      </c>
      <c r="E236" s="4" t="s">
        <v>1394</v>
      </c>
      <c r="F236" s="4" t="s">
        <v>1628</v>
      </c>
      <c r="G236" s="4" t="s">
        <v>595</v>
      </c>
      <c r="H236" s="49">
        <v>132</v>
      </c>
      <c r="I236" s="4" t="s">
        <v>735</v>
      </c>
      <c r="J236" s="4"/>
      <c r="K236" s="4" t="s">
        <v>1648</v>
      </c>
      <c r="L236" s="4"/>
      <c r="M236" s="4" t="s">
        <v>1643</v>
      </c>
      <c r="N236" s="4">
        <v>59</v>
      </c>
      <c r="O236" s="95">
        <v>41.897448318528284</v>
      </c>
      <c r="P236" s="95">
        <v>4.5518215457166535</v>
      </c>
      <c r="Q236" s="95">
        <v>4.2414700766905176</v>
      </c>
      <c r="R236" s="95">
        <v>11.689905333317769</v>
      </c>
      <c r="S236" s="95">
        <v>6.6208313392242228</v>
      </c>
      <c r="T236" s="95">
        <v>8.1725886843549009</v>
      </c>
      <c r="U236" s="95">
        <v>0.72415342772764935</v>
      </c>
      <c r="V236" s="95">
        <v>2.6897127315598408</v>
      </c>
      <c r="W236" s="95">
        <v>16.44862785838518</v>
      </c>
      <c r="X236" s="95">
        <v>2.4828117522090838</v>
      </c>
      <c r="Y236" s="95">
        <v>0.62070293805227095</v>
      </c>
      <c r="Z236" s="95">
        <v>100.14007400576638</v>
      </c>
      <c r="BR236" s="45"/>
      <c r="BS236" s="45"/>
      <c r="BT236" s="45"/>
      <c r="BU236" s="45"/>
      <c r="BV236" s="45"/>
      <c r="BW236" s="45"/>
      <c r="BX236" s="45"/>
      <c r="BY236" s="141"/>
      <c r="BZ236" s="45"/>
      <c r="CA236" s="141"/>
      <c r="CB236" s="141"/>
      <c r="CC236" s="141"/>
      <c r="CE236" t="e">
        <f t="shared" si="114"/>
        <v>#DIV/0!</v>
      </c>
      <c r="CF236" t="e">
        <f t="shared" si="115"/>
        <v>#DIV/0!</v>
      </c>
      <c r="CG236" t="e">
        <f t="shared" si="116"/>
        <v>#DIV/0!</v>
      </c>
      <c r="CH236" t="e">
        <f t="shared" si="117"/>
        <v>#DIV/0!</v>
      </c>
      <c r="CI236" t="e">
        <f t="shared" si="118"/>
        <v>#DIV/0!</v>
      </c>
      <c r="CJ236" t="e">
        <f t="shared" si="119"/>
        <v>#DIV/0!</v>
      </c>
      <c r="CK236" t="e">
        <f t="shared" si="120"/>
        <v>#DIV/0!</v>
      </c>
      <c r="CL236" t="e">
        <f t="shared" si="121"/>
        <v>#DIV/0!</v>
      </c>
      <c r="CM236" t="e">
        <f t="shared" si="122"/>
        <v>#DIV/0!</v>
      </c>
      <c r="CN236" t="e">
        <f t="shared" si="123"/>
        <v>#DIV/0!</v>
      </c>
      <c r="CO236" t="e">
        <f t="shared" si="124"/>
        <v>#DIV/0!</v>
      </c>
      <c r="CP236" t="e">
        <f t="shared" si="125"/>
        <v>#DIV/0!</v>
      </c>
      <c r="CQ236" t="e">
        <f t="shared" si="126"/>
        <v>#DIV/0!</v>
      </c>
      <c r="CR236" t="e">
        <f t="shared" si="127"/>
        <v>#DIV/0!</v>
      </c>
      <c r="CS236" t="e">
        <f t="shared" si="128"/>
        <v>#DIV/0!</v>
      </c>
      <c r="CT236" t="e">
        <f t="shared" si="129"/>
        <v>#DIV/0!</v>
      </c>
      <c r="CU236" t="e">
        <f t="shared" si="130"/>
        <v>#DIV/0!</v>
      </c>
      <c r="CV236" t="e">
        <f t="shared" si="131"/>
        <v>#DIV/0!</v>
      </c>
      <c r="CW236" t="e">
        <f t="shared" si="132"/>
        <v>#DIV/0!</v>
      </c>
      <c r="CX236" t="e">
        <f t="shared" si="133"/>
        <v>#DIV/0!</v>
      </c>
      <c r="CY236" t="e">
        <f t="shared" si="134"/>
        <v>#DIV/0!</v>
      </c>
      <c r="CZ236" t="e">
        <f t="shared" si="135"/>
        <v>#DIV/0!</v>
      </c>
      <c r="DA236" t="e">
        <f t="shared" si="136"/>
        <v>#DIV/0!</v>
      </c>
      <c r="DB236" t="e">
        <f t="shared" si="137"/>
        <v>#DIV/0!</v>
      </c>
      <c r="DC236" t="e">
        <f t="shared" si="138"/>
        <v>#DIV/0!</v>
      </c>
      <c r="DD236" t="e">
        <f t="shared" si="139"/>
        <v>#DIV/0!</v>
      </c>
      <c r="DE236" t="e">
        <f t="shared" si="140"/>
        <v>#DIV/0!</v>
      </c>
      <c r="DF236" t="e">
        <f t="shared" si="141"/>
        <v>#DIV/0!</v>
      </c>
      <c r="DG236" t="e">
        <f t="shared" si="142"/>
        <v>#DIV/0!</v>
      </c>
      <c r="DH236" t="e">
        <f t="shared" si="143"/>
        <v>#DIV/0!</v>
      </c>
      <c r="DI236" t="e">
        <f t="shared" si="144"/>
        <v>#DIV/0!</v>
      </c>
      <c r="DJ236" t="e">
        <f t="shared" si="145"/>
        <v>#DIV/0!</v>
      </c>
      <c r="DK236" t="e">
        <f t="shared" si="146"/>
        <v>#DIV/0!</v>
      </c>
      <c r="DL236" t="e">
        <f t="shared" si="147"/>
        <v>#DIV/0!</v>
      </c>
      <c r="DM236" t="e">
        <f t="shared" si="148"/>
        <v>#DIV/0!</v>
      </c>
      <c r="DN236" t="e">
        <f t="shared" si="149"/>
        <v>#DIV/0!</v>
      </c>
      <c r="DO236" t="e">
        <f t="shared" si="150"/>
        <v>#DIV/0!</v>
      </c>
      <c r="DP236" t="e">
        <f t="shared" si="151"/>
        <v>#DIV/0!</v>
      </c>
    </row>
    <row r="237" spans="1:120">
      <c r="A237" s="16" t="s">
        <v>1656</v>
      </c>
      <c r="B237" s="4" t="s">
        <v>24</v>
      </c>
      <c r="C237" s="124" t="s">
        <v>541</v>
      </c>
      <c r="D237" s="4" t="s">
        <v>1724</v>
      </c>
      <c r="E237" s="4" t="s">
        <v>237</v>
      </c>
      <c r="F237" s="4" t="s">
        <v>849</v>
      </c>
      <c r="G237" s="4" t="s">
        <v>595</v>
      </c>
      <c r="H237" s="49">
        <v>364</v>
      </c>
      <c r="I237" s="4" t="s">
        <v>1148</v>
      </c>
      <c r="J237" s="4" t="s">
        <v>635</v>
      </c>
      <c r="K237" s="4" t="s">
        <v>128</v>
      </c>
      <c r="L237" s="4"/>
      <c r="M237" s="4" t="s">
        <v>1657</v>
      </c>
      <c r="N237" s="4">
        <v>49</v>
      </c>
      <c r="O237" s="95">
        <v>50.797883117090286</v>
      </c>
      <c r="P237" s="95">
        <v>1.3926835805277213</v>
      </c>
      <c r="Q237" s="95">
        <v>18.836295909295803</v>
      </c>
      <c r="R237" s="95">
        <v>3.0659077384279336</v>
      </c>
      <c r="S237" s="95">
        <v>1.1321816158246942</v>
      </c>
      <c r="T237" s="95">
        <v>2.4547300520092934</v>
      </c>
      <c r="U237" s="95">
        <v>0.34065641538088154</v>
      </c>
      <c r="V237" s="95">
        <v>1.1822781474983535</v>
      </c>
      <c r="W237" s="95">
        <v>15.630117882181622</v>
      </c>
      <c r="X237" s="95">
        <v>4.4686106252903874</v>
      </c>
      <c r="Y237" s="95">
        <v>0.90173757012586286</v>
      </c>
      <c r="Z237" s="95">
        <v>100.20308265365283</v>
      </c>
      <c r="AB237" s="26"/>
      <c r="AJ237" s="44">
        <v>14446.193404590473</v>
      </c>
      <c r="AX237" s="131">
        <v>59.500087492498302</v>
      </c>
      <c r="AY237" s="131">
        <v>2159.7594561214569</v>
      </c>
      <c r="AZ237" s="131">
        <v>20.667345958182356</v>
      </c>
      <c r="BA237" s="131">
        <v>250.95376913578454</v>
      </c>
      <c r="BC237" s="131">
        <v>75.929115508176963</v>
      </c>
      <c r="BI237" s="131">
        <v>6433.4089420687205</v>
      </c>
      <c r="BK237" s="131">
        <v>205.43917038903635</v>
      </c>
      <c r="BL237" s="131">
        <v>384.133109335462</v>
      </c>
      <c r="BM237" s="131">
        <v>26.290580478837573</v>
      </c>
      <c r="BN237" s="131">
        <v>202.63732604473194</v>
      </c>
      <c r="BO237" s="44">
        <v>40.917833472865993</v>
      </c>
      <c r="BP237" s="44">
        <v>8.7025328639374528</v>
      </c>
      <c r="BQ237" s="44">
        <v>25.389266594362631</v>
      </c>
      <c r="BR237" s="45">
        <v>11.091675024039057</v>
      </c>
      <c r="BS237" s="45">
        <v>2.0009630383199601</v>
      </c>
      <c r="BT237" s="45">
        <v>6.6289554785543805</v>
      </c>
      <c r="BU237" s="45"/>
      <c r="BV237" s="45">
        <v>3.4723510355119349</v>
      </c>
      <c r="BW237" s="45">
        <v>2.5224758563765994</v>
      </c>
      <c r="BX237" s="45">
        <v>12.8729627512127</v>
      </c>
      <c r="BY237" s="141">
        <v>3.8479515784715579</v>
      </c>
      <c r="BZ237" s="45"/>
      <c r="CA237" s="141">
        <v>63.9278950252763</v>
      </c>
      <c r="CB237" s="141">
        <v>18.114352265709936</v>
      </c>
      <c r="CC237" s="141">
        <v>5.6305205119926924</v>
      </c>
      <c r="CE237">
        <f t="shared" si="114"/>
        <v>2.9787617893438822</v>
      </c>
      <c r="CF237">
        <f t="shared" si="115"/>
        <v>31.315395841435173</v>
      </c>
      <c r="CG237">
        <f t="shared" si="116"/>
        <v>10.51289027322083</v>
      </c>
      <c r="CH237">
        <f t="shared" si="117"/>
        <v>0.53481245275742972</v>
      </c>
      <c r="CI237">
        <f t="shared" si="118"/>
        <v>0</v>
      </c>
      <c r="CJ237" t="e">
        <f t="shared" si="119"/>
        <v>#DIV/0!</v>
      </c>
      <c r="CK237">
        <f t="shared" si="120"/>
        <v>0</v>
      </c>
      <c r="CL237">
        <f t="shared" si="121"/>
        <v>5.622424632590957</v>
      </c>
      <c r="CM237">
        <f t="shared" si="122"/>
        <v>16.747863659027757</v>
      </c>
      <c r="CN237">
        <f t="shared" si="123"/>
        <v>16.747863659027757</v>
      </c>
      <c r="CO237">
        <f t="shared" si="124"/>
        <v>1.0017234872381585E-2</v>
      </c>
      <c r="CP237">
        <f t="shared" si="125"/>
        <v>11.353816203868448</v>
      </c>
      <c r="CQ237">
        <f t="shared" si="126"/>
        <v>0.31117675808472761</v>
      </c>
      <c r="CR237">
        <f t="shared" si="127"/>
        <v>0.36959414976409516</v>
      </c>
      <c r="CS237">
        <f t="shared" si="128"/>
        <v>1.2215478122334609</v>
      </c>
      <c r="CT237">
        <f t="shared" si="129"/>
        <v>2.7549404783878042E-2</v>
      </c>
      <c r="CU237">
        <f t="shared" si="130"/>
        <v>0.10060080518746735</v>
      </c>
      <c r="CV237" t="e">
        <f t="shared" si="131"/>
        <v>#DIV/0!</v>
      </c>
      <c r="CW237">
        <f t="shared" si="132"/>
        <v>0</v>
      </c>
      <c r="CX237">
        <f t="shared" si="133"/>
        <v>3.3051059195962686</v>
      </c>
      <c r="CY237">
        <f t="shared" si="134"/>
        <v>1.8730369535589358E-2</v>
      </c>
      <c r="CZ237">
        <f t="shared" si="135"/>
        <v>3.2171718808460752</v>
      </c>
      <c r="DA237">
        <f t="shared" si="136"/>
        <v>4.2177042036690198</v>
      </c>
      <c r="DB237">
        <f t="shared" si="137"/>
        <v>0.11619524036554181</v>
      </c>
      <c r="DC237">
        <f t="shared" si="138"/>
        <v>12.142525201037246</v>
      </c>
      <c r="DD237">
        <f t="shared" si="139"/>
        <v>0.65329898162104938</v>
      </c>
      <c r="DE237">
        <f t="shared" si="140"/>
        <v>0</v>
      </c>
      <c r="DF237">
        <f t="shared" si="141"/>
        <v>0</v>
      </c>
      <c r="DG237">
        <f t="shared" si="142"/>
        <v>0</v>
      </c>
      <c r="DH237">
        <f t="shared" si="143"/>
        <v>2.9787617893438822</v>
      </c>
      <c r="DI237">
        <f t="shared" si="144"/>
        <v>3.5156283396731658E-2</v>
      </c>
      <c r="DJ237">
        <f t="shared" si="145"/>
        <v>2.6070127837773674E-3</v>
      </c>
      <c r="DK237">
        <f t="shared" si="146"/>
        <v>5.5110308987361221E-3</v>
      </c>
      <c r="DL237">
        <f t="shared" si="147"/>
        <v>9.1687947695786823E-2</v>
      </c>
      <c r="DM237">
        <f t="shared" si="148"/>
        <v>5.2421653375135148E-4</v>
      </c>
      <c r="DN237">
        <f t="shared" si="149"/>
        <v>1.7598471137459374E-4</v>
      </c>
      <c r="DO237">
        <f t="shared" si="150"/>
        <v>8.7214786146242573E-3</v>
      </c>
      <c r="DP237">
        <f t="shared" si="151"/>
        <v>2.9278872334888169E-3</v>
      </c>
    </row>
    <row r="238" spans="1:120">
      <c r="A238" s="16" t="s">
        <v>1656</v>
      </c>
      <c r="B238" s="4" t="s">
        <v>24</v>
      </c>
      <c r="C238" s="124" t="s">
        <v>541</v>
      </c>
      <c r="D238" s="4" t="s">
        <v>1724</v>
      </c>
      <c r="E238" s="4" t="s">
        <v>237</v>
      </c>
      <c r="F238" s="4" t="s">
        <v>849</v>
      </c>
      <c r="G238" s="4" t="s">
        <v>595</v>
      </c>
      <c r="H238" s="49">
        <v>364</v>
      </c>
      <c r="I238" s="4" t="s">
        <v>1148</v>
      </c>
      <c r="J238" s="4" t="s">
        <v>635</v>
      </c>
      <c r="K238" s="4" t="s">
        <v>128</v>
      </c>
      <c r="L238" s="4"/>
      <c r="M238" s="4" t="s">
        <v>1659</v>
      </c>
      <c r="N238" s="4">
        <v>30</v>
      </c>
      <c r="O238" s="95">
        <v>46.553442245170288</v>
      </c>
      <c r="P238" s="95">
        <v>1.7156548758457153</v>
      </c>
      <c r="Q238" s="95">
        <v>13.745305145664501</v>
      </c>
      <c r="R238" s="95">
        <v>3.1202845987603363</v>
      </c>
      <c r="S238" s="95">
        <v>1.073538431084746</v>
      </c>
      <c r="T238" s="95">
        <v>1.615324181351814</v>
      </c>
      <c r="U238" s="95">
        <v>0.86284397264755275</v>
      </c>
      <c r="V238" s="95">
        <v>1.8260186397890068</v>
      </c>
      <c r="W238" s="95">
        <v>22.474075566633932</v>
      </c>
      <c r="X238" s="95">
        <v>5.8392464195450655</v>
      </c>
      <c r="Y238" s="95">
        <v>1.5149934868579122</v>
      </c>
      <c r="Z238" s="95">
        <v>100.34072756335087</v>
      </c>
      <c r="AB238" s="26"/>
      <c r="AJ238" s="44">
        <v>4299.5470115788803</v>
      </c>
      <c r="AY238" s="131">
        <v>272.61939985248807</v>
      </c>
      <c r="AZ238" s="131">
        <v>124.72899334039872</v>
      </c>
      <c r="BA238" s="131">
        <v>443.69219341622409</v>
      </c>
      <c r="BC238" s="131">
        <v>43.599229825341254</v>
      </c>
      <c r="BI238" s="131">
        <v>104.18450556163715</v>
      </c>
      <c r="BK238" s="131">
        <v>26.546693551237805</v>
      </c>
      <c r="BL238" s="131">
        <v>21.173431166343267</v>
      </c>
      <c r="BP238" s="44">
        <v>27.23944269285181</v>
      </c>
      <c r="BQ238" s="44">
        <v>48.992066648267802</v>
      </c>
      <c r="BR238" s="45">
        <v>50.677036950107144</v>
      </c>
      <c r="BS238" s="45">
        <v>5.778152187128013</v>
      </c>
      <c r="BT238" s="45"/>
      <c r="BU238" s="45"/>
      <c r="BV238" s="45"/>
      <c r="BW238" s="45"/>
      <c r="BX238" s="45">
        <v>37.313880512589037</v>
      </c>
      <c r="BY238" s="141">
        <v>9.2473516043036863</v>
      </c>
      <c r="BZ238" s="45"/>
      <c r="CA238" s="141">
        <v>391.12697618478222</v>
      </c>
      <c r="CB238" s="141"/>
      <c r="CC238" s="141"/>
      <c r="CE238">
        <f t="shared" si="114"/>
        <v>0.38216101135139485</v>
      </c>
      <c r="CF238">
        <f t="shared" si="115"/>
        <v>3.9245755920808185</v>
      </c>
      <c r="CG238">
        <f t="shared" si="116"/>
        <v>10.26942957420686</v>
      </c>
      <c r="CH238">
        <f t="shared" si="117"/>
        <v>1.2537738141107586</v>
      </c>
      <c r="CI238">
        <f t="shared" si="118"/>
        <v>0</v>
      </c>
      <c r="CJ238" t="e">
        <f t="shared" si="119"/>
        <v>#DIV/0!</v>
      </c>
      <c r="CK238">
        <f t="shared" si="120"/>
        <v>0</v>
      </c>
      <c r="CL238">
        <f t="shared" si="121"/>
        <v>12.87554188599516</v>
      </c>
      <c r="CM238">
        <f t="shared" si="122"/>
        <v>4.9205301088491566</v>
      </c>
      <c r="CN238">
        <f t="shared" si="123"/>
        <v>4.9205301088491566</v>
      </c>
      <c r="CO238">
        <f t="shared" si="124"/>
        <v>0.43674317741203111</v>
      </c>
      <c r="CP238" t="e">
        <f t="shared" si="125"/>
        <v>#DIV/0!</v>
      </c>
      <c r="CQ238">
        <f t="shared" si="126"/>
        <v>14.733547717717371</v>
      </c>
      <c r="CR238">
        <f t="shared" si="127"/>
        <v>1.6423600830434995</v>
      </c>
      <c r="CS238">
        <f t="shared" si="128"/>
        <v>16.71365183614499</v>
      </c>
      <c r="CT238">
        <f t="shared" si="129"/>
        <v>0</v>
      </c>
      <c r="CU238">
        <f t="shared" si="130"/>
        <v>4.6984756538383632</v>
      </c>
      <c r="CV238" t="e">
        <f t="shared" si="131"/>
        <v>#DIV/0!</v>
      </c>
      <c r="CW238">
        <f t="shared" si="132"/>
        <v>0</v>
      </c>
      <c r="CX238">
        <f t="shared" si="133"/>
        <v>10.176606219735012</v>
      </c>
      <c r="CY238">
        <f t="shared" si="134"/>
        <v>0.34834287691818799</v>
      </c>
      <c r="CZ238" t="e">
        <f t="shared" si="135"/>
        <v>#DIV/0!</v>
      </c>
      <c r="DA238" t="e">
        <f t="shared" si="136"/>
        <v>#DIV/0!</v>
      </c>
      <c r="DB238">
        <f t="shared" si="137"/>
        <v>1.6275151132175552</v>
      </c>
      <c r="DC238">
        <f t="shared" si="138"/>
        <v>3.5572498545333464</v>
      </c>
      <c r="DD238">
        <f t="shared" si="139"/>
        <v>20.955139010322785</v>
      </c>
      <c r="DE238">
        <f t="shared" si="140"/>
        <v>0</v>
      </c>
      <c r="DF238">
        <f t="shared" si="141"/>
        <v>0</v>
      </c>
      <c r="DG238">
        <f t="shared" si="142"/>
        <v>0</v>
      </c>
      <c r="DH238">
        <f t="shared" si="143"/>
        <v>0.38216101135139485</v>
      </c>
      <c r="DI238">
        <f t="shared" si="144"/>
        <v>0.15992709927808663</v>
      </c>
      <c r="DJ238">
        <f t="shared" si="145"/>
        <v>0</v>
      </c>
      <c r="DK238">
        <f t="shared" si="146"/>
        <v>4.043962872486203E-2</v>
      </c>
      <c r="DL238">
        <f t="shared" si="147"/>
        <v>0.51777842386038286</v>
      </c>
      <c r="DM238">
        <f t="shared" si="148"/>
        <v>3.9378651396988918E-3</v>
      </c>
      <c r="DN238">
        <f t="shared" si="149"/>
        <v>1.0304204308476794E-2</v>
      </c>
      <c r="DO238">
        <f t="shared" si="150"/>
        <v>5.0419394779322245E-2</v>
      </c>
      <c r="DP238">
        <f t="shared" si="151"/>
        <v>0.13193233553844116</v>
      </c>
    </row>
    <row r="239" spans="1:120">
      <c r="A239" s="16" t="s">
        <v>1656</v>
      </c>
      <c r="B239" s="4" t="s">
        <v>24</v>
      </c>
      <c r="C239" s="124" t="s">
        <v>541</v>
      </c>
      <c r="D239" s="4" t="s">
        <v>1724</v>
      </c>
      <c r="E239" s="4" t="s">
        <v>237</v>
      </c>
      <c r="F239" s="4" t="s">
        <v>849</v>
      </c>
      <c r="G239" s="4" t="s">
        <v>595</v>
      </c>
      <c r="H239" s="49">
        <v>364</v>
      </c>
      <c r="I239" s="4" t="s">
        <v>1148</v>
      </c>
      <c r="J239" s="4" t="s">
        <v>635</v>
      </c>
      <c r="K239" s="4" t="s">
        <v>128</v>
      </c>
      <c r="L239" s="4"/>
      <c r="M239" s="4" t="s">
        <v>1660</v>
      </c>
      <c r="N239" s="4">
        <v>34</v>
      </c>
      <c r="O239" s="95">
        <v>50.536670369064666</v>
      </c>
      <c r="P239" s="95">
        <v>2.7119678554488162</v>
      </c>
      <c r="Q239" s="95">
        <v>17.512707553636265</v>
      </c>
      <c r="R239" s="95">
        <v>5.6941317702965923</v>
      </c>
      <c r="S239" s="95">
        <v>2.3016701356207663</v>
      </c>
      <c r="T239" s="95">
        <v>1.0407551917589553</v>
      </c>
      <c r="U239" s="95">
        <v>0</v>
      </c>
      <c r="V239" s="95">
        <v>0.88063900841142384</v>
      </c>
      <c r="W239" s="95">
        <v>16.71212663689861</v>
      </c>
      <c r="X239" s="95">
        <v>2.5318371491828433</v>
      </c>
      <c r="Y239" s="95">
        <v>0.10007261459220725</v>
      </c>
      <c r="Z239" s="95">
        <v>100.02257828491115</v>
      </c>
      <c r="AB239" s="26"/>
      <c r="AJ239" s="44">
        <v>26744.840052505999</v>
      </c>
      <c r="AX239" s="131">
        <v>152.58576813609662</v>
      </c>
      <c r="AY239" s="131">
        <v>1510.8602084367362</v>
      </c>
      <c r="AZ239" s="131">
        <v>22.145019521569886</v>
      </c>
      <c r="BA239" s="131">
        <v>1288.428455918214</v>
      </c>
      <c r="BC239" s="131">
        <v>799.68628952371205</v>
      </c>
      <c r="BH239" s="131">
        <v>42289.704552280593</v>
      </c>
      <c r="BI239" s="131">
        <v>6798.9081330692579</v>
      </c>
      <c r="BK239" s="131">
        <v>97.225305799995027</v>
      </c>
      <c r="BL239" s="131">
        <v>152.7835865069955</v>
      </c>
      <c r="BM239" s="131">
        <v>19.367864532761626</v>
      </c>
      <c r="BN239" s="131">
        <v>114.23162773270698</v>
      </c>
      <c r="BO239" s="44">
        <v>33.429063453267609</v>
      </c>
      <c r="BP239" s="44">
        <v>5.6092126058773877</v>
      </c>
      <c r="BQ239" s="44">
        <v>17.480673225233442</v>
      </c>
      <c r="BR239" s="45">
        <v>6.8741869596680134</v>
      </c>
      <c r="BS239" s="45">
        <v>0.67098384781685805</v>
      </c>
      <c r="BT239" s="45">
        <v>1.7526943002893909</v>
      </c>
      <c r="BU239" s="45"/>
      <c r="BV239" s="45">
        <v>1.3793438197234784</v>
      </c>
      <c r="BW239" s="45">
        <v>0.14503731830518796</v>
      </c>
      <c r="BX239" s="45">
        <v>37.853721713386477</v>
      </c>
      <c r="BY239" s="141">
        <v>38.715034188724559</v>
      </c>
      <c r="BZ239" s="45"/>
      <c r="CA239" s="141">
        <v>26.504964215941001</v>
      </c>
      <c r="CB239" s="141">
        <v>7.7768347654514036</v>
      </c>
      <c r="CC239" s="141">
        <v>1.4375104939420067</v>
      </c>
      <c r="CE239">
        <f t="shared" si="114"/>
        <v>4.5000246184946411</v>
      </c>
      <c r="CF239">
        <f t="shared" si="115"/>
        <v>69.929408574507207</v>
      </c>
      <c r="CG239">
        <f t="shared" si="116"/>
        <v>15.539783557428661</v>
      </c>
      <c r="CH239">
        <f t="shared" si="117"/>
        <v>0.6363596248969019</v>
      </c>
      <c r="CI239">
        <f t="shared" si="118"/>
        <v>0</v>
      </c>
      <c r="CJ239" t="e">
        <f t="shared" si="119"/>
        <v>#DIV/0!</v>
      </c>
      <c r="CK239">
        <f t="shared" si="120"/>
        <v>0</v>
      </c>
      <c r="CL239">
        <f t="shared" si="121"/>
        <v>9.8888908355843483</v>
      </c>
      <c r="CM239">
        <f t="shared" si="122"/>
        <v>44.500252209735606</v>
      </c>
      <c r="CN239">
        <f t="shared" si="123"/>
        <v>44.500252209735606</v>
      </c>
      <c r="CO239">
        <f t="shared" si="124"/>
        <v>0.25339786212540516</v>
      </c>
      <c r="CP239">
        <f t="shared" si="125"/>
        <v>18.438101375703965</v>
      </c>
      <c r="CQ239">
        <f t="shared" si="126"/>
        <v>0.27261384263954003</v>
      </c>
      <c r="CR239">
        <f t="shared" si="127"/>
        <v>8.2250838189058477</v>
      </c>
      <c r="CS239">
        <f t="shared" si="128"/>
        <v>13.251986664548808</v>
      </c>
      <c r="CT239">
        <f t="shared" si="129"/>
        <v>0.10099264464313</v>
      </c>
      <c r="CU239">
        <f t="shared" si="130"/>
        <v>0.22777011951111825</v>
      </c>
      <c r="CV239" t="e">
        <f t="shared" si="131"/>
        <v>#DIV/0!</v>
      </c>
      <c r="CW239">
        <f t="shared" si="132"/>
        <v>0</v>
      </c>
      <c r="CX239">
        <f t="shared" si="133"/>
        <v>1.6111673700015461</v>
      </c>
      <c r="CY239">
        <f t="shared" si="134"/>
        <v>0.39819915062408101</v>
      </c>
      <c r="CZ239">
        <f t="shared" si="135"/>
        <v>5.4099325175188202</v>
      </c>
      <c r="DA239">
        <f t="shared" si="136"/>
        <v>8.4439621837406182</v>
      </c>
      <c r="DB239">
        <f t="shared" si="137"/>
        <v>0.8527780722025442</v>
      </c>
      <c r="DC239">
        <f t="shared" si="138"/>
        <v>58.181409804730478</v>
      </c>
      <c r="DD239">
        <f t="shared" si="139"/>
        <v>8.4330292629910257</v>
      </c>
      <c r="DE239">
        <f t="shared" si="140"/>
        <v>0</v>
      </c>
      <c r="DF239">
        <f t="shared" si="141"/>
        <v>0</v>
      </c>
      <c r="DG239">
        <f t="shared" si="142"/>
        <v>0</v>
      </c>
      <c r="DH239">
        <f t="shared" si="143"/>
        <v>4.5000246184946411</v>
      </c>
      <c r="DI239">
        <f t="shared" si="144"/>
        <v>0.52929204506030059</v>
      </c>
      <c r="DJ239">
        <f t="shared" si="145"/>
        <v>9.5145168687007554E-4</v>
      </c>
      <c r="DK239">
        <f t="shared" si="146"/>
        <v>2.3673570545055402E-2</v>
      </c>
      <c r="DL239">
        <f t="shared" si="147"/>
        <v>0.18012499327759543</v>
      </c>
      <c r="DM239">
        <f t="shared" si="148"/>
        <v>1.5234170062644438E-3</v>
      </c>
      <c r="DN239">
        <f t="shared" si="149"/>
        <v>3.38535260452433E-4</v>
      </c>
      <c r="DO239">
        <f t="shared" si="150"/>
        <v>1.1591216352012072E-2</v>
      </c>
      <c r="DP239">
        <f t="shared" si="151"/>
        <v>2.5758117643119903E-3</v>
      </c>
    </row>
    <row r="240" spans="1:120">
      <c r="A240" s="16" t="s">
        <v>1656</v>
      </c>
      <c r="B240" s="4" t="s">
        <v>24</v>
      </c>
      <c r="C240" s="124" t="s">
        <v>541</v>
      </c>
      <c r="D240" s="4" t="s">
        <v>1724</v>
      </c>
      <c r="E240" s="4" t="s">
        <v>237</v>
      </c>
      <c r="F240" s="4" t="s">
        <v>849</v>
      </c>
      <c r="G240" s="4" t="s">
        <v>595</v>
      </c>
      <c r="H240" s="49">
        <v>364</v>
      </c>
      <c r="I240" s="4" t="s">
        <v>1148</v>
      </c>
      <c r="J240" s="4" t="s">
        <v>635</v>
      </c>
      <c r="K240" s="4" t="s">
        <v>128</v>
      </c>
      <c r="L240" s="4"/>
      <c r="M240" s="4" t="s">
        <v>1661</v>
      </c>
      <c r="N240" s="4">
        <v>30</v>
      </c>
      <c r="O240" s="95">
        <v>50.331250671848316</v>
      </c>
      <c r="P240" s="95">
        <v>1.0911657860498367</v>
      </c>
      <c r="Q240" s="95">
        <v>18.481006106069305</v>
      </c>
      <c r="R240" s="95">
        <v>6.2225940772031221</v>
      </c>
      <c r="S240" s="95">
        <v>1.6220031954794867</v>
      </c>
      <c r="T240" s="95">
        <v>3.2440063909589734</v>
      </c>
      <c r="U240" s="95">
        <v>0</v>
      </c>
      <c r="V240" s="95">
        <v>3.1260425221968293</v>
      </c>
      <c r="W240" s="95">
        <v>11.599780428277542</v>
      </c>
      <c r="X240" s="95">
        <v>3.558576707658025</v>
      </c>
      <c r="Y240" s="95">
        <v>0.93388062770031044</v>
      </c>
      <c r="Z240" s="95">
        <v>100.21030651344174</v>
      </c>
      <c r="AB240" s="26"/>
      <c r="AJ240" s="44">
        <v>19874.665147039945</v>
      </c>
      <c r="AY240" s="131">
        <v>2147.8029367401768</v>
      </c>
      <c r="AZ240" s="131">
        <v>27.94932255755149</v>
      </c>
      <c r="BA240" s="131">
        <v>463.26319075168465</v>
      </c>
      <c r="BC240" s="131">
        <v>114.55560360625759</v>
      </c>
      <c r="BI240" s="131">
        <v>10747.978966397473</v>
      </c>
      <c r="BK240" s="131">
        <v>208.3143811762005</v>
      </c>
      <c r="BL240" s="131">
        <v>321.7394051197565</v>
      </c>
      <c r="BM240" s="131">
        <v>26.798791283117577</v>
      </c>
      <c r="BN240" s="131">
        <v>178.73156000714624</v>
      </c>
      <c r="BP240" s="44">
        <v>15.46493692569541</v>
      </c>
      <c r="BQ240" s="44">
        <v>28.905210227072153</v>
      </c>
      <c r="BR240" s="45">
        <v>4.7120637861394359</v>
      </c>
      <c r="BS240" s="45">
        <v>3.164987211109604</v>
      </c>
      <c r="BT240" s="45">
        <v>9.6461643094498601</v>
      </c>
      <c r="BU240" s="45"/>
      <c r="BV240" s="45">
        <v>5.335141757308425</v>
      </c>
      <c r="BW240" s="45"/>
      <c r="BX240" s="45">
        <v>12.934871133511411</v>
      </c>
      <c r="BY240" s="141">
        <v>1.5629365464595462</v>
      </c>
      <c r="BZ240" s="45"/>
      <c r="CA240" s="141">
        <v>80.483003050594803</v>
      </c>
      <c r="CB240" s="141">
        <v>13.82862670687601</v>
      </c>
      <c r="CC240" s="141">
        <v>3.7576892424035511</v>
      </c>
      <c r="CE240">
        <f t="shared" si="114"/>
        <v>5.0041736988730419</v>
      </c>
      <c r="CF240">
        <f t="shared" si="115"/>
        <v>51.594992653466448</v>
      </c>
      <c r="CG240">
        <f t="shared" si="116"/>
        <v>10.310392036368725</v>
      </c>
      <c r="CH240">
        <f t="shared" si="117"/>
        <v>0.64746306439729562</v>
      </c>
      <c r="CI240">
        <f t="shared" si="118"/>
        <v>0</v>
      </c>
      <c r="CJ240" t="e">
        <f t="shared" si="119"/>
        <v>#DIV/0!</v>
      </c>
      <c r="CK240">
        <f t="shared" si="120"/>
        <v>0</v>
      </c>
      <c r="CL240">
        <f t="shared" si="121"/>
        <v>6.6755980230047687</v>
      </c>
      <c r="CM240">
        <f t="shared" si="122"/>
        <v>33.405852050969344</v>
      </c>
      <c r="CN240">
        <f t="shared" si="123"/>
        <v>33.405852050969344</v>
      </c>
      <c r="CO240">
        <f t="shared" si="124"/>
        <v>4.8577716051840039E-3</v>
      </c>
      <c r="CP240">
        <f t="shared" si="125"/>
        <v>21.418216850501192</v>
      </c>
      <c r="CQ240">
        <f t="shared" si="126"/>
        <v>0.38635356136319321</v>
      </c>
      <c r="CR240">
        <f t="shared" si="127"/>
        <v>0.54991692344736365</v>
      </c>
      <c r="CS240">
        <f t="shared" si="128"/>
        <v>2.2238656214514467</v>
      </c>
      <c r="CT240">
        <f t="shared" si="129"/>
        <v>0</v>
      </c>
      <c r="CU240">
        <f t="shared" si="130"/>
        <v>0.13416895367349052</v>
      </c>
      <c r="CV240" t="e">
        <f t="shared" si="131"/>
        <v>#DIV/0!</v>
      </c>
      <c r="CW240">
        <f t="shared" si="132"/>
        <v>0</v>
      </c>
      <c r="CX240">
        <f t="shared" si="133"/>
        <v>4.0440028786717415</v>
      </c>
      <c r="CY240">
        <f t="shared" si="134"/>
        <v>7.502777953374006E-3</v>
      </c>
      <c r="CZ240">
        <f t="shared" si="135"/>
        <v>3.6800878983890457</v>
      </c>
      <c r="DA240" t="e">
        <f t="shared" si="136"/>
        <v>#DIV/0!</v>
      </c>
      <c r="DB240">
        <f t="shared" si="137"/>
        <v>0.21569166464349906</v>
      </c>
      <c r="DC240">
        <f t="shared" si="138"/>
        <v>16.575113396675793</v>
      </c>
      <c r="DD240">
        <f t="shared" si="139"/>
        <v>1.43987085007275</v>
      </c>
      <c r="DE240">
        <f t="shared" si="140"/>
        <v>0</v>
      </c>
      <c r="DF240">
        <f t="shared" si="141"/>
        <v>0</v>
      </c>
      <c r="DG240">
        <f t="shared" si="142"/>
        <v>0</v>
      </c>
      <c r="DH240">
        <f t="shared" si="143"/>
        <v>5.0041736988730419</v>
      </c>
      <c r="DI240">
        <f t="shared" si="144"/>
        <v>5.3336179798750112E-2</v>
      </c>
      <c r="DJ240">
        <f t="shared" si="145"/>
        <v>1.7495502860736263E-3</v>
      </c>
      <c r="DK240">
        <f t="shared" si="146"/>
        <v>7.7863236629233607E-3</v>
      </c>
      <c r="DL240">
        <f t="shared" si="147"/>
        <v>8.8716899916944966E-2</v>
      </c>
      <c r="DM240">
        <f t="shared" si="148"/>
        <v>7.5519181379893189E-4</v>
      </c>
      <c r="DN240">
        <f t="shared" si="149"/>
        <v>1.5091239018521756E-4</v>
      </c>
      <c r="DO240">
        <f t="shared" si="150"/>
        <v>8.604609757224194E-3</v>
      </c>
      <c r="DP240">
        <f t="shared" si="151"/>
        <v>1.7194866275649031E-3</v>
      </c>
    </row>
    <row r="241" spans="1:120">
      <c r="A241" s="16" t="s">
        <v>1656</v>
      </c>
      <c r="B241" s="4" t="s">
        <v>24</v>
      </c>
      <c r="C241" s="124" t="s">
        <v>541</v>
      </c>
      <c r="D241" s="4" t="s">
        <v>1724</v>
      </c>
      <c r="E241" s="4" t="s">
        <v>237</v>
      </c>
      <c r="F241" s="4" t="s">
        <v>849</v>
      </c>
      <c r="G241" s="4" t="s">
        <v>595</v>
      </c>
      <c r="H241" s="49">
        <v>364</v>
      </c>
      <c r="I241" s="4" t="s">
        <v>1148</v>
      </c>
      <c r="J241" s="4" t="s">
        <v>635</v>
      </c>
      <c r="K241" s="4" t="s">
        <v>128</v>
      </c>
      <c r="L241" s="4"/>
      <c r="M241" s="4" t="s">
        <v>1663</v>
      </c>
      <c r="N241" s="4">
        <v>32</v>
      </c>
      <c r="O241" s="95">
        <v>42.960881336497074</v>
      </c>
      <c r="P241" s="95">
        <v>1.5722280582354409</v>
      </c>
      <c r="Q241" s="95">
        <v>10.51490102641537</v>
      </c>
      <c r="R241" s="95">
        <v>7.7209416108249993</v>
      </c>
      <c r="S241" s="95">
        <v>3.2546122224619003</v>
      </c>
      <c r="T241" s="95">
        <v>5.5879188311807395</v>
      </c>
      <c r="U241" s="95">
        <v>0</v>
      </c>
      <c r="V241" s="95">
        <v>2.8240019899515563</v>
      </c>
      <c r="W241" s="95">
        <v>21.830937369129053</v>
      </c>
      <c r="X241" s="95">
        <v>3.3146973711842738</v>
      </c>
      <c r="Y241" s="95">
        <v>0.5407663385013618</v>
      </c>
      <c r="Z241" s="95">
        <v>100.12188615438177</v>
      </c>
      <c r="AB241" s="26"/>
      <c r="BR241" s="45"/>
      <c r="BS241" s="45"/>
      <c r="BT241" s="45"/>
      <c r="BU241" s="45"/>
      <c r="BV241" s="45"/>
      <c r="BW241" s="45"/>
      <c r="BX241" s="45"/>
      <c r="BY241" s="141"/>
      <c r="BZ241" s="45"/>
      <c r="CA241" s="141"/>
      <c r="CB241" s="141"/>
      <c r="CC241" s="141"/>
      <c r="CE241" t="e">
        <f t="shared" si="114"/>
        <v>#DIV/0!</v>
      </c>
      <c r="CF241" t="e">
        <f t="shared" si="115"/>
        <v>#DIV/0!</v>
      </c>
      <c r="CG241" t="e">
        <f t="shared" si="116"/>
        <v>#DIV/0!</v>
      </c>
      <c r="CH241" t="e">
        <f t="shared" si="117"/>
        <v>#DIV/0!</v>
      </c>
      <c r="CI241" t="e">
        <f t="shared" si="118"/>
        <v>#DIV/0!</v>
      </c>
      <c r="CJ241" t="e">
        <f t="shared" si="119"/>
        <v>#DIV/0!</v>
      </c>
      <c r="CK241" t="e">
        <f t="shared" si="120"/>
        <v>#DIV/0!</v>
      </c>
      <c r="CL241" t="e">
        <f t="shared" si="121"/>
        <v>#DIV/0!</v>
      </c>
      <c r="CM241" t="e">
        <f t="shared" si="122"/>
        <v>#DIV/0!</v>
      </c>
      <c r="CN241" t="e">
        <f t="shared" si="123"/>
        <v>#DIV/0!</v>
      </c>
      <c r="CO241" t="e">
        <f t="shared" si="124"/>
        <v>#DIV/0!</v>
      </c>
      <c r="CP241" t="e">
        <f t="shared" si="125"/>
        <v>#DIV/0!</v>
      </c>
      <c r="CQ241" t="e">
        <f t="shared" si="126"/>
        <v>#DIV/0!</v>
      </c>
      <c r="CR241" t="e">
        <f t="shared" si="127"/>
        <v>#DIV/0!</v>
      </c>
      <c r="CS241" t="e">
        <f t="shared" si="128"/>
        <v>#DIV/0!</v>
      </c>
      <c r="CT241" t="e">
        <f t="shared" si="129"/>
        <v>#DIV/0!</v>
      </c>
      <c r="CU241" t="e">
        <f t="shared" si="130"/>
        <v>#DIV/0!</v>
      </c>
      <c r="CV241" t="e">
        <f t="shared" si="131"/>
        <v>#DIV/0!</v>
      </c>
      <c r="CW241" t="e">
        <f t="shared" si="132"/>
        <v>#DIV/0!</v>
      </c>
      <c r="CX241" t="e">
        <f t="shared" si="133"/>
        <v>#DIV/0!</v>
      </c>
      <c r="CY241" t="e">
        <f t="shared" si="134"/>
        <v>#DIV/0!</v>
      </c>
      <c r="CZ241" t="e">
        <f t="shared" si="135"/>
        <v>#DIV/0!</v>
      </c>
      <c r="DA241" t="e">
        <f t="shared" si="136"/>
        <v>#DIV/0!</v>
      </c>
      <c r="DB241" t="e">
        <f t="shared" si="137"/>
        <v>#DIV/0!</v>
      </c>
      <c r="DC241" t="e">
        <f t="shared" si="138"/>
        <v>#DIV/0!</v>
      </c>
      <c r="DD241" t="e">
        <f t="shared" si="139"/>
        <v>#DIV/0!</v>
      </c>
      <c r="DE241" t="e">
        <f t="shared" si="140"/>
        <v>#DIV/0!</v>
      </c>
      <c r="DF241" t="e">
        <f t="shared" si="141"/>
        <v>#DIV/0!</v>
      </c>
      <c r="DG241" t="e">
        <f t="shared" si="142"/>
        <v>#DIV/0!</v>
      </c>
      <c r="DH241" t="e">
        <f t="shared" si="143"/>
        <v>#DIV/0!</v>
      </c>
      <c r="DI241" t="e">
        <f t="shared" si="144"/>
        <v>#DIV/0!</v>
      </c>
      <c r="DJ241" t="e">
        <f t="shared" si="145"/>
        <v>#DIV/0!</v>
      </c>
      <c r="DK241" t="e">
        <f t="shared" si="146"/>
        <v>#DIV/0!</v>
      </c>
      <c r="DL241" t="e">
        <f t="shared" si="147"/>
        <v>#DIV/0!</v>
      </c>
      <c r="DM241" t="e">
        <f t="shared" si="148"/>
        <v>#DIV/0!</v>
      </c>
      <c r="DN241" t="e">
        <f t="shared" si="149"/>
        <v>#DIV/0!</v>
      </c>
      <c r="DO241" t="e">
        <f t="shared" si="150"/>
        <v>#DIV/0!</v>
      </c>
      <c r="DP241" t="e">
        <f t="shared" si="151"/>
        <v>#DIV/0!</v>
      </c>
    </row>
    <row r="242" spans="1:120">
      <c r="A242" s="16" t="s">
        <v>1656</v>
      </c>
      <c r="B242" s="4" t="s">
        <v>24</v>
      </c>
      <c r="C242" s="124" t="s">
        <v>541</v>
      </c>
      <c r="D242" s="4" t="s">
        <v>1724</v>
      </c>
      <c r="E242" s="4" t="s">
        <v>237</v>
      </c>
      <c r="F242" s="4" t="s">
        <v>849</v>
      </c>
      <c r="G242" s="4" t="s">
        <v>595</v>
      </c>
      <c r="H242" s="49">
        <v>364</v>
      </c>
      <c r="I242" s="4" t="s">
        <v>1148</v>
      </c>
      <c r="J242" s="4" t="s">
        <v>635</v>
      </c>
      <c r="K242" s="4" t="s">
        <v>128</v>
      </c>
      <c r="L242" s="4"/>
      <c r="M242" s="4" t="s">
        <v>1664</v>
      </c>
      <c r="N242" s="4">
        <v>39</v>
      </c>
      <c r="O242" s="95">
        <v>42.301563750422261</v>
      </c>
      <c r="P242" s="95">
        <v>1.8387615596976896</v>
      </c>
      <c r="Q242" s="95">
        <v>9.9775422337694284</v>
      </c>
      <c r="R242" s="95">
        <v>6.3703542560018311</v>
      </c>
      <c r="S242" s="95">
        <v>3.989007318032693</v>
      </c>
      <c r="T242" s="95">
        <v>0.87416533165955723</v>
      </c>
      <c r="U242" s="95">
        <v>3.7679540157739542</v>
      </c>
      <c r="V242" s="95">
        <v>3.3861346755088602</v>
      </c>
      <c r="W242" s="95">
        <v>19.191445787008675</v>
      </c>
      <c r="X242" s="95">
        <v>7.0335141627780473</v>
      </c>
      <c r="Y242" s="95">
        <v>1.6378040121897453</v>
      </c>
      <c r="Z242" s="95">
        <v>100.36824710284273</v>
      </c>
      <c r="AB242" s="26"/>
      <c r="AJ242" s="44">
        <v>13332.795546118739</v>
      </c>
      <c r="AY242" s="131">
        <v>1383.8494724436664</v>
      </c>
      <c r="AZ242" s="131">
        <v>32.095392600658236</v>
      </c>
      <c r="BA242" s="131">
        <v>1273.0955816634005</v>
      </c>
      <c r="BC242" s="131">
        <v>270.89250672451141</v>
      </c>
      <c r="BI242" s="131">
        <v>34803.327861938946</v>
      </c>
      <c r="BK242" s="131">
        <v>483.96296023430239</v>
      </c>
      <c r="BL242" s="131">
        <v>479.54616451013698</v>
      </c>
      <c r="BM242" s="131">
        <v>34.263886610360601</v>
      </c>
      <c r="BN242" s="131">
        <v>150.47820554141035</v>
      </c>
      <c r="BO242" s="44">
        <v>32.105783196042708</v>
      </c>
      <c r="BP242" s="44">
        <v>11.56105638081265</v>
      </c>
      <c r="BQ242" s="44">
        <v>22.289622838347594</v>
      </c>
      <c r="BR242" s="45">
        <v>8.7869378924982797</v>
      </c>
      <c r="BS242" s="45">
        <v>4.3065634671119604</v>
      </c>
      <c r="BT242" s="45">
        <v>4.4234158258804666</v>
      </c>
      <c r="BU242" s="45"/>
      <c r="BV242" s="45">
        <v>2.4382026110852819</v>
      </c>
      <c r="BW242" s="45">
        <v>0.83887508171367398</v>
      </c>
      <c r="BX242" s="45">
        <v>27.566739856736273</v>
      </c>
      <c r="BY242" s="141">
        <v>9.5572216081845163</v>
      </c>
      <c r="BZ242" s="45"/>
      <c r="CA242" s="141">
        <v>220.02639648993451</v>
      </c>
      <c r="CB242" s="141">
        <v>23.568819305013669</v>
      </c>
      <c r="CC242" s="141">
        <v>7.5671154853342992</v>
      </c>
      <c r="CE242">
        <f t="shared" si="114"/>
        <v>25.149648538349762</v>
      </c>
      <c r="CF242">
        <f t="shared" si="115"/>
        <v>71.91320559963826</v>
      </c>
      <c r="CG242">
        <f t="shared" si="116"/>
        <v>2.8594119512239105</v>
      </c>
      <c r="CH242">
        <f t="shared" si="117"/>
        <v>1.0092103660732585</v>
      </c>
      <c r="CI242">
        <f t="shared" si="118"/>
        <v>0</v>
      </c>
      <c r="CJ242" t="e">
        <f t="shared" si="119"/>
        <v>#DIV/0!</v>
      </c>
      <c r="CK242">
        <f t="shared" si="120"/>
        <v>0</v>
      </c>
      <c r="CL242">
        <f t="shared" si="121"/>
        <v>2.8857481820489332</v>
      </c>
      <c r="CM242">
        <f t="shared" si="122"/>
        <v>72.575552548712437</v>
      </c>
      <c r="CN242">
        <f t="shared" si="123"/>
        <v>72.575552548712437</v>
      </c>
      <c r="CO242">
        <f t="shared" si="124"/>
        <v>1.9929721715003915E-2</v>
      </c>
      <c r="CP242">
        <f t="shared" si="125"/>
        <v>29.076653701977197</v>
      </c>
      <c r="CQ242">
        <f t="shared" si="126"/>
        <v>0.45463478523937556</v>
      </c>
      <c r="CR242">
        <f t="shared" si="127"/>
        <v>0.5597380977117824</v>
      </c>
      <c r="CS242">
        <f t="shared" si="128"/>
        <v>2.6305640850015735</v>
      </c>
      <c r="CT242">
        <f t="shared" si="129"/>
        <v>0</v>
      </c>
      <c r="CU242">
        <f t="shared" si="130"/>
        <v>6.6317869832682647E-2</v>
      </c>
      <c r="CV242" t="e">
        <f t="shared" si="131"/>
        <v>#DIV/0!</v>
      </c>
      <c r="CW242">
        <f t="shared" si="132"/>
        <v>0</v>
      </c>
      <c r="CX242">
        <f t="shared" si="133"/>
        <v>4.6996338033007907</v>
      </c>
      <c r="CY242">
        <f t="shared" si="134"/>
        <v>1.9747836907926902E-2</v>
      </c>
      <c r="CZ242">
        <f t="shared" si="135"/>
        <v>3.1146371891233859</v>
      </c>
      <c r="DA242" t="e">
        <f t="shared" si="136"/>
        <v>#DIV/0!</v>
      </c>
      <c r="DB242">
        <f t="shared" si="137"/>
        <v>0.91996680781711648</v>
      </c>
      <c r="DC242">
        <f t="shared" si="138"/>
        <v>39.665991860691271</v>
      </c>
      <c r="DD242">
        <f t="shared" si="139"/>
        <v>2.6547925432036044</v>
      </c>
      <c r="DE242">
        <f t="shared" si="140"/>
        <v>0</v>
      </c>
      <c r="DF242">
        <f t="shared" si="141"/>
        <v>0</v>
      </c>
      <c r="DG242">
        <f t="shared" si="142"/>
        <v>0</v>
      </c>
      <c r="DH242">
        <f t="shared" si="143"/>
        <v>25.149648538349762</v>
      </c>
      <c r="DI242">
        <f t="shared" si="144"/>
        <v>0.19575287061110533</v>
      </c>
      <c r="DJ242">
        <f t="shared" si="145"/>
        <v>5.4681637244634214E-3</v>
      </c>
      <c r="DK242">
        <f t="shared" si="146"/>
        <v>8.2423814336979075E-3</v>
      </c>
      <c r="DL242">
        <f t="shared" si="147"/>
        <v>2.0616334417284686E-2</v>
      </c>
      <c r="DM242">
        <f t="shared" si="148"/>
        <v>2.8825442343730612E-3</v>
      </c>
      <c r="DN242">
        <f t="shared" si="149"/>
        <v>1.1461568657619913E-4</v>
      </c>
      <c r="DO242">
        <f t="shared" si="150"/>
        <v>7.2099909942882848E-3</v>
      </c>
      <c r="DP242">
        <f t="shared" si="151"/>
        <v>2.8668356869059373E-4</v>
      </c>
    </row>
    <row r="243" spans="1:120">
      <c r="A243" s="16" t="s">
        <v>1656</v>
      </c>
      <c r="B243" s="4" t="s">
        <v>24</v>
      </c>
      <c r="C243" s="124" t="s">
        <v>541</v>
      </c>
      <c r="D243" s="4" t="s">
        <v>1724</v>
      </c>
      <c r="E243" s="4" t="s">
        <v>237</v>
      </c>
      <c r="F243" s="4" t="s">
        <v>849</v>
      </c>
      <c r="G243" s="4" t="s">
        <v>595</v>
      </c>
      <c r="H243" s="49">
        <v>364</v>
      </c>
      <c r="I243" s="4" t="s">
        <v>1148</v>
      </c>
      <c r="J243" s="4" t="s">
        <v>635</v>
      </c>
      <c r="K243" s="4" t="s">
        <v>1667</v>
      </c>
      <c r="L243" s="4"/>
      <c r="M243" s="4" t="s">
        <v>1668</v>
      </c>
      <c r="N243" s="4">
        <v>28</v>
      </c>
      <c r="O243" s="95">
        <v>43.426743844528815</v>
      </c>
      <c r="P243" s="95">
        <v>1.3708442181337441</v>
      </c>
      <c r="Q243" s="95">
        <v>13.30819569429109</v>
      </c>
      <c r="R243" s="95">
        <v>8.4652132010302719</v>
      </c>
      <c r="S243" s="95">
        <v>3.9424278974065339</v>
      </c>
      <c r="T243" s="95">
        <v>3.151941085489995</v>
      </c>
      <c r="U243" s="95">
        <v>0</v>
      </c>
      <c r="V243" s="95">
        <v>0.97059773108739522</v>
      </c>
      <c r="W243" s="95">
        <v>21.113002191694886</v>
      </c>
      <c r="X243" s="95">
        <v>4.142551140929708</v>
      </c>
      <c r="Y243" s="95">
        <v>0.14008627046622202</v>
      </c>
      <c r="Z243" s="95">
        <v>100.03160327505867</v>
      </c>
      <c r="AB243" s="26"/>
      <c r="AJ243" s="44">
        <v>10568.379465329423</v>
      </c>
      <c r="AX243" s="131">
        <v>198.18806329665284</v>
      </c>
      <c r="AY243" s="131">
        <v>1381.0801192275976</v>
      </c>
      <c r="AZ243" s="131">
        <v>41.061582381264913</v>
      </c>
      <c r="BA243" s="131">
        <v>212.05873719798112</v>
      </c>
      <c r="BC243" s="131">
        <v>123.36026979538678</v>
      </c>
      <c r="BI243" s="131">
        <v>2500.5597041879896</v>
      </c>
      <c r="BK243" s="131">
        <v>38.492289880017545</v>
      </c>
      <c r="BL243" s="131">
        <v>79.426811577094128</v>
      </c>
      <c r="BM243" s="131">
        <v>13.750733193408703</v>
      </c>
      <c r="BN243" s="131">
        <v>70.274613833713573</v>
      </c>
      <c r="BO243" s="44">
        <v>14.155709413751346</v>
      </c>
      <c r="BP243" s="44">
        <v>7.3167455820959733</v>
      </c>
      <c r="BQ243" s="44">
        <v>12.461203444120235</v>
      </c>
      <c r="BR243" s="44">
        <v>10.100160918632696</v>
      </c>
      <c r="BS243" s="44">
        <v>2.1175457563018405</v>
      </c>
      <c r="BT243" s="45">
        <v>5.2297347250079564</v>
      </c>
      <c r="BU243" s="45"/>
      <c r="BV243" s="45">
        <v>2.7970288288050877</v>
      </c>
      <c r="BW243" s="45">
        <v>0.81817329673240957</v>
      </c>
      <c r="BX243" s="45">
        <v>4.7978463794192372</v>
      </c>
      <c r="BY243" s="141">
        <v>8.8310535054758468</v>
      </c>
      <c r="BZ243" s="45"/>
      <c r="CA243" s="141">
        <v>100.0845390751285</v>
      </c>
      <c r="CB243" s="141">
        <v>3.311345568668159</v>
      </c>
      <c r="CC243" s="141">
        <v>1.5200667300359159</v>
      </c>
      <c r="CE243">
        <f t="shared" si="114"/>
        <v>1.8105826514876544</v>
      </c>
      <c r="CF243">
        <f t="shared" si="115"/>
        <v>64.962612304499501</v>
      </c>
      <c r="CG243">
        <f t="shared" si="116"/>
        <v>35.879396199407616</v>
      </c>
      <c r="CH243">
        <f t="shared" si="117"/>
        <v>0.48462589792686989</v>
      </c>
      <c r="CI243">
        <f t="shared" si="118"/>
        <v>0</v>
      </c>
      <c r="CJ243" t="e">
        <f t="shared" si="119"/>
        <v>#DIV/0!</v>
      </c>
      <c r="CK243">
        <f t="shared" si="120"/>
        <v>0</v>
      </c>
      <c r="CL243">
        <f t="shared" si="121"/>
        <v>17.388084600211837</v>
      </c>
      <c r="CM243">
        <f t="shared" si="122"/>
        <v>31.482564319743197</v>
      </c>
      <c r="CN243">
        <f t="shared" si="123"/>
        <v>31.482564319743197</v>
      </c>
      <c r="CO243">
        <f t="shared" si="124"/>
        <v>0.11118479176145894</v>
      </c>
      <c r="CP243">
        <f t="shared" si="125"/>
        <v>65.842200935983726</v>
      </c>
      <c r="CQ243">
        <f t="shared" si="126"/>
        <v>2.6001191248194684</v>
      </c>
      <c r="CR243">
        <f t="shared" si="127"/>
        <v>3.2048046551635956</v>
      </c>
      <c r="CS243">
        <f t="shared" si="128"/>
        <v>5.5091224205932967</v>
      </c>
      <c r="CT243">
        <f t="shared" si="129"/>
        <v>0.14350222013730404</v>
      </c>
      <c r="CU243">
        <f t="shared" si="130"/>
        <v>1.0667482373549608</v>
      </c>
      <c r="CV243" t="e">
        <f t="shared" si="131"/>
        <v>#DIV/0!</v>
      </c>
      <c r="CW243">
        <f t="shared" si="132"/>
        <v>0</v>
      </c>
      <c r="CX243">
        <f t="shared" si="133"/>
        <v>1.7190197261218321</v>
      </c>
      <c r="CY243">
        <f t="shared" si="134"/>
        <v>0.22942395822650968</v>
      </c>
      <c r="CZ243">
        <f t="shared" si="135"/>
        <v>2.1784211858843321</v>
      </c>
      <c r="DA243">
        <f t="shared" si="136"/>
        <v>1.0699874335043393</v>
      </c>
      <c r="DB243">
        <f t="shared" si="137"/>
        <v>0.15354557222688867</v>
      </c>
      <c r="DC243">
        <f t="shared" si="138"/>
        <v>5.1644073340616492</v>
      </c>
      <c r="DD243">
        <f t="shared" si="139"/>
        <v>2.6698633998690773</v>
      </c>
      <c r="DE243">
        <f t="shared" si="140"/>
        <v>0</v>
      </c>
      <c r="DF243">
        <f t="shared" si="141"/>
        <v>0</v>
      </c>
      <c r="DG243">
        <f t="shared" si="142"/>
        <v>0</v>
      </c>
      <c r="DH243">
        <f t="shared" si="143"/>
        <v>1.8105826514876544</v>
      </c>
      <c r="DI243">
        <f t="shared" si="144"/>
        <v>8.932158828292959E-2</v>
      </c>
      <c r="DJ243">
        <f t="shared" si="145"/>
        <v>1.1006361679335808E-3</v>
      </c>
      <c r="DK243">
        <f t="shared" si="146"/>
        <v>0.10242123577722409</v>
      </c>
      <c r="DL243">
        <f t="shared" si="147"/>
        <v>0.34573665884189853</v>
      </c>
      <c r="DM243">
        <f t="shared" si="148"/>
        <v>2.8545975302370088E-3</v>
      </c>
      <c r="DN243">
        <f t="shared" si="149"/>
        <v>1.5766181830426497E-3</v>
      </c>
      <c r="DO243">
        <f t="shared" si="150"/>
        <v>9.6360779573990384E-3</v>
      </c>
      <c r="DP243">
        <f t="shared" si="151"/>
        <v>5.322086760017066E-3</v>
      </c>
    </row>
    <row r="244" spans="1:120">
      <c r="A244" s="16" t="s">
        <v>1656</v>
      </c>
      <c r="B244" s="4" t="s">
        <v>24</v>
      </c>
      <c r="C244" s="124" t="s">
        <v>541</v>
      </c>
      <c r="D244" s="4" t="s">
        <v>1724</v>
      </c>
      <c r="E244" s="4" t="s">
        <v>237</v>
      </c>
      <c r="F244" s="4" t="s">
        <v>849</v>
      </c>
      <c r="G244" s="4" t="s">
        <v>595</v>
      </c>
      <c r="H244" s="49">
        <v>364</v>
      </c>
      <c r="I244" s="4" t="s">
        <v>1148</v>
      </c>
      <c r="J244" s="4" t="s">
        <v>635</v>
      </c>
      <c r="K244" s="4" t="s">
        <v>1667</v>
      </c>
      <c r="L244" s="4"/>
      <c r="M244" s="4" t="s">
        <v>1671</v>
      </c>
      <c r="N244" s="4">
        <v>22</v>
      </c>
      <c r="O244" s="95">
        <v>47.837885837650205</v>
      </c>
      <c r="P244" s="95">
        <v>2.17171992191843</v>
      </c>
      <c r="Q244" s="95">
        <v>10.708480720980276</v>
      </c>
      <c r="R244" s="95">
        <v>7.5759999119458596</v>
      </c>
      <c r="S244" s="95">
        <v>4.1032496220578629</v>
      </c>
      <c r="T244" s="95">
        <v>1.7513870338051856</v>
      </c>
      <c r="U244" s="95">
        <v>0</v>
      </c>
      <c r="V244" s="95">
        <v>2.9423302167927119</v>
      </c>
      <c r="W244" s="95">
        <v>20.816485887513061</v>
      </c>
      <c r="X244" s="95">
        <v>1.7513870338051856</v>
      </c>
      <c r="Y244" s="95">
        <v>0.44034873992816093</v>
      </c>
      <c r="Z244" s="95">
        <v>100.09927492639693</v>
      </c>
      <c r="AB244" s="26"/>
      <c r="AJ244" s="44">
        <v>15625.082028591492</v>
      </c>
      <c r="AX244" s="131">
        <v>103.65627468887676</v>
      </c>
      <c r="AY244" s="131">
        <v>1523.0218914768816</v>
      </c>
      <c r="AZ244" s="131">
        <v>36.186685363647513</v>
      </c>
      <c r="BA244" s="131">
        <v>219.17687397375903</v>
      </c>
      <c r="BC244" s="131">
        <v>56.791131231939048</v>
      </c>
      <c r="BH244" s="131">
        <v>42578.697351207287</v>
      </c>
      <c r="BI244" s="131">
        <v>4447.3497777125285</v>
      </c>
      <c r="BK244" s="131">
        <v>79.967242281942276</v>
      </c>
      <c r="BL244" s="131">
        <v>147.23329594004997</v>
      </c>
      <c r="BM244" s="131">
        <v>18.912178098574152</v>
      </c>
      <c r="BN244" s="131">
        <v>98.847727426503312</v>
      </c>
      <c r="BO244" s="44">
        <v>28.41005780924085</v>
      </c>
      <c r="BP244" s="44">
        <v>6.3609853183240928</v>
      </c>
      <c r="BQ244" s="44">
        <v>21.114975505833272</v>
      </c>
      <c r="BR244" s="44">
        <v>10.368977589821545</v>
      </c>
      <c r="BS244" s="44">
        <v>1.4389881477145765</v>
      </c>
      <c r="BT244" s="44">
        <v>3.7445044117904587</v>
      </c>
      <c r="BV244" s="44">
        <v>2.426603316776911</v>
      </c>
      <c r="BW244" s="44">
        <v>0.22875211933131881</v>
      </c>
      <c r="BX244" s="44">
        <v>5.9608232749867227</v>
      </c>
      <c r="BY244" s="131">
        <v>2.7226318419758733</v>
      </c>
      <c r="CA244" s="131">
        <v>48.147592909820688</v>
      </c>
      <c r="CB244" s="131">
        <v>5.7397431988096486</v>
      </c>
      <c r="CC244" s="131">
        <v>1.1867238273736489</v>
      </c>
      <c r="CE244">
        <f t="shared" si="114"/>
        <v>2.920082634793852</v>
      </c>
      <c r="CF244">
        <f t="shared" si="115"/>
        <v>55.614644832097738</v>
      </c>
      <c r="CG244">
        <f t="shared" si="116"/>
        <v>19.045572262041119</v>
      </c>
      <c r="CH244">
        <f t="shared" si="117"/>
        <v>0.54313286795198223</v>
      </c>
      <c r="CI244">
        <f t="shared" si="118"/>
        <v>0</v>
      </c>
      <c r="CJ244" t="e">
        <f t="shared" si="119"/>
        <v>#DIV/0!</v>
      </c>
      <c r="CK244">
        <f t="shared" si="120"/>
        <v>0</v>
      </c>
      <c r="CL244">
        <f t="shared" si="121"/>
        <v>10.344276284469114</v>
      </c>
      <c r="CM244">
        <f t="shared" si="122"/>
        <v>30.206141547788128</v>
      </c>
      <c r="CN244">
        <f t="shared" si="123"/>
        <v>30.206141547788128</v>
      </c>
      <c r="CO244">
        <f t="shared" si="124"/>
        <v>1.8491957437972908E-2</v>
      </c>
      <c r="CP244">
        <f t="shared" si="125"/>
        <v>40.571859938446366</v>
      </c>
      <c r="CQ244">
        <f t="shared" si="126"/>
        <v>0.60209145064757463</v>
      </c>
      <c r="CR244">
        <f t="shared" si="127"/>
        <v>0.7101799388268174</v>
      </c>
      <c r="CS244">
        <f t="shared" si="128"/>
        <v>2.7408332176943437</v>
      </c>
      <c r="CT244">
        <f t="shared" si="129"/>
        <v>6.8059609168428153E-2</v>
      </c>
      <c r="CU244">
        <f t="shared" si="130"/>
        <v>0.45251886061124025</v>
      </c>
      <c r="CV244" t="e">
        <f t="shared" si="131"/>
        <v>#DIV/0!</v>
      </c>
      <c r="CW244">
        <f t="shared" si="132"/>
        <v>0</v>
      </c>
      <c r="CX244">
        <f t="shared" si="133"/>
        <v>3.8593503812879688</v>
      </c>
      <c r="CY244">
        <f t="shared" si="134"/>
        <v>3.4046839234203298E-2</v>
      </c>
      <c r="CZ244">
        <f t="shared" si="135"/>
        <v>4.8366292699391868</v>
      </c>
      <c r="DA244">
        <f t="shared" si="136"/>
        <v>2.1144583348342021</v>
      </c>
      <c r="DB244">
        <f t="shared" si="137"/>
        <v>0.14390920787174122</v>
      </c>
      <c r="DC244">
        <f t="shared" si="138"/>
        <v>6.0568375293621157</v>
      </c>
      <c r="DD244">
        <f t="shared" si="139"/>
        <v>1.4886366061043885</v>
      </c>
      <c r="DE244">
        <f t="shared" si="140"/>
        <v>0</v>
      </c>
      <c r="DF244">
        <f t="shared" si="141"/>
        <v>0</v>
      </c>
      <c r="DG244">
        <f t="shared" si="142"/>
        <v>0</v>
      </c>
      <c r="DH244">
        <f t="shared" si="143"/>
        <v>2.920082634793852</v>
      </c>
      <c r="DI244">
        <f t="shared" si="144"/>
        <v>3.7288453665540171E-2</v>
      </c>
      <c r="DJ244">
        <f t="shared" si="145"/>
        <v>7.7919026247408514E-4</v>
      </c>
      <c r="DK244">
        <f t="shared" si="146"/>
        <v>5.1311630924959807E-2</v>
      </c>
      <c r="DL244">
        <f t="shared" si="147"/>
        <v>0.13391084168221218</v>
      </c>
      <c r="DM244">
        <f t="shared" si="148"/>
        <v>2.6941501268106672E-3</v>
      </c>
      <c r="DN244">
        <f t="shared" si="149"/>
        <v>9.22628043024839E-4</v>
      </c>
      <c r="DO244">
        <f t="shared" si="150"/>
        <v>7.0310747211888144E-3</v>
      </c>
      <c r="DP244">
        <f t="shared" si="151"/>
        <v>2.4078341610648236E-3</v>
      </c>
    </row>
    <row r="245" spans="1:120">
      <c r="A245" s="16" t="s">
        <v>1656</v>
      </c>
      <c r="B245" s="4" t="s">
        <v>24</v>
      </c>
      <c r="C245" s="124" t="s">
        <v>541</v>
      </c>
      <c r="D245" s="4" t="s">
        <v>1724</v>
      </c>
      <c r="E245" s="4" t="s">
        <v>237</v>
      </c>
      <c r="F245" s="4" t="s">
        <v>849</v>
      </c>
      <c r="G245" s="4" t="s">
        <v>595</v>
      </c>
      <c r="H245" s="49">
        <v>364</v>
      </c>
      <c r="I245" s="4" t="s">
        <v>1148</v>
      </c>
      <c r="J245" s="4" t="s">
        <v>635</v>
      </c>
      <c r="K245" s="4" t="s">
        <v>1667</v>
      </c>
      <c r="L245" s="4"/>
      <c r="M245" s="4" t="s">
        <v>1676</v>
      </c>
      <c r="N245" s="4">
        <v>30</v>
      </c>
      <c r="O245" s="95">
        <v>41.867877643460169</v>
      </c>
      <c r="P245" s="95">
        <v>1.3353543708825426</v>
      </c>
      <c r="Q245" s="95">
        <v>15.96401090002438</v>
      </c>
      <c r="R245" s="95">
        <v>3.6144930339677845</v>
      </c>
      <c r="S245" s="95">
        <v>1.1245089439010885</v>
      </c>
      <c r="T245" s="95">
        <v>5.4418200678070532</v>
      </c>
      <c r="U245" s="95">
        <v>0</v>
      </c>
      <c r="V245" s="95">
        <v>1.1144686854734003</v>
      </c>
      <c r="W245" s="95">
        <v>22.791386630852415</v>
      </c>
      <c r="X245" s="95">
        <v>6.2249602251667397</v>
      </c>
      <c r="Y245" s="95">
        <v>0.6726973146551154</v>
      </c>
      <c r="Z245" s="95">
        <v>100.15157781619068</v>
      </c>
      <c r="AB245" s="26"/>
      <c r="AJ245" s="44">
        <v>20051.16729017306</v>
      </c>
      <c r="AY245" s="131">
        <v>7178.3575595771617</v>
      </c>
      <c r="AZ245" s="131">
        <v>23.513219306349182</v>
      </c>
      <c r="BA245" s="131">
        <v>1128.2406518611217</v>
      </c>
      <c r="BC245" s="131">
        <v>111.71134885807757</v>
      </c>
      <c r="BI245" s="131">
        <v>3659.9501944999197</v>
      </c>
      <c r="BK245" s="131">
        <v>150.08847543658354</v>
      </c>
      <c r="BL245" s="131">
        <v>367.5125674006153</v>
      </c>
      <c r="BM245" s="131">
        <v>59.8586406243342</v>
      </c>
      <c r="BN245" s="131">
        <v>401.44950914306514</v>
      </c>
      <c r="BO245" s="44">
        <v>85.315845032288621</v>
      </c>
      <c r="BP245" s="44">
        <v>13.606258372898877</v>
      </c>
      <c r="BQ245" s="44">
        <v>37.367952028068117</v>
      </c>
      <c r="BR245" s="44">
        <v>10.015378905248918</v>
      </c>
      <c r="BS245" s="44">
        <v>2.3779568683598948</v>
      </c>
      <c r="BT245" s="44">
        <v>3.0676605182970129</v>
      </c>
      <c r="BV245" s="44">
        <v>2.5063417420308278</v>
      </c>
      <c r="BW245" s="44">
        <v>0.73883400862756865</v>
      </c>
      <c r="BX245" s="44">
        <v>36.414707531453381</v>
      </c>
      <c r="BY245" s="131">
        <v>2.733084744171236</v>
      </c>
      <c r="CA245" s="131">
        <v>73.22579544444703</v>
      </c>
      <c r="CB245" s="131">
        <v>5.0639428926652021</v>
      </c>
      <c r="CC245" s="131">
        <v>1.4705955575051401</v>
      </c>
      <c r="CE245">
        <f t="shared" si="114"/>
        <v>0.50985899826303827</v>
      </c>
      <c r="CF245">
        <f t="shared" si="115"/>
        <v>24.385284638635351</v>
      </c>
      <c r="CG245">
        <f t="shared" si="116"/>
        <v>47.827506666960666</v>
      </c>
      <c r="CH245">
        <f t="shared" si="117"/>
        <v>0.40839004907545445</v>
      </c>
      <c r="CI245">
        <f t="shared" si="118"/>
        <v>0</v>
      </c>
      <c r="CJ245" t="e">
        <f t="shared" si="119"/>
        <v>#DIV/0!</v>
      </c>
      <c r="CK245">
        <f t="shared" si="120"/>
        <v>0</v>
      </c>
      <c r="CL245">
        <f t="shared" si="121"/>
        <v>19.532277794876691</v>
      </c>
      <c r="CM245">
        <f t="shared" si="122"/>
        <v>9.9587075902912154</v>
      </c>
      <c r="CN245">
        <f t="shared" si="123"/>
        <v>9.9587075902912154</v>
      </c>
      <c r="CO245">
        <f t="shared" si="124"/>
        <v>7.4367109769935451E-3</v>
      </c>
      <c r="CP245">
        <f t="shared" si="125"/>
        <v>49.79329297626488</v>
      </c>
      <c r="CQ245">
        <f t="shared" si="126"/>
        <v>0.48788419784693543</v>
      </c>
      <c r="CR245">
        <f t="shared" si="127"/>
        <v>0.74430330865262639</v>
      </c>
      <c r="CS245">
        <f t="shared" si="128"/>
        <v>7.5171704461601658</v>
      </c>
      <c r="CT245">
        <f t="shared" si="129"/>
        <v>0</v>
      </c>
      <c r="CU245">
        <f t="shared" si="130"/>
        <v>0.15666239021985506</v>
      </c>
      <c r="CV245" t="e">
        <f t="shared" si="131"/>
        <v>#DIV/0!</v>
      </c>
      <c r="CW245">
        <f t="shared" si="132"/>
        <v>0</v>
      </c>
      <c r="CX245">
        <f t="shared" si="133"/>
        <v>10.099606381930652</v>
      </c>
      <c r="CY245">
        <f t="shared" si="134"/>
        <v>1.8209824146864884E-2</v>
      </c>
      <c r="CZ245">
        <f t="shared" si="135"/>
        <v>3.4434640216485914</v>
      </c>
      <c r="DA245" t="e">
        <f t="shared" si="136"/>
        <v>#DIV/0!</v>
      </c>
      <c r="DB245">
        <f t="shared" si="137"/>
        <v>0.15717253459405278</v>
      </c>
      <c r="DC245">
        <f t="shared" si="138"/>
        <v>47.983248791307254</v>
      </c>
      <c r="DD245">
        <f t="shared" si="139"/>
        <v>3.0699376074159055</v>
      </c>
      <c r="DE245">
        <f t="shared" si="140"/>
        <v>0</v>
      </c>
      <c r="DF245">
        <f t="shared" si="141"/>
        <v>0</v>
      </c>
      <c r="DG245">
        <f t="shared" si="142"/>
        <v>0</v>
      </c>
      <c r="DH245">
        <f t="shared" si="143"/>
        <v>0.50985899826303827</v>
      </c>
      <c r="DI245">
        <f t="shared" si="144"/>
        <v>1.5562243581616444E-2</v>
      </c>
      <c r="DJ245">
        <f t="shared" si="145"/>
        <v>2.0486518612368551E-4</v>
      </c>
      <c r="DK245">
        <f t="shared" si="146"/>
        <v>7.4923070584205116E-3</v>
      </c>
      <c r="DL245">
        <f t="shared" si="147"/>
        <v>0.10636400199007691</v>
      </c>
      <c r="DM245">
        <f t="shared" si="148"/>
        <v>1.5665267919132844E-4</v>
      </c>
      <c r="DN245">
        <f t="shared" si="149"/>
        <v>3.0724706188378517E-4</v>
      </c>
      <c r="DO245">
        <f t="shared" si="150"/>
        <v>2.2239085706626089E-3</v>
      </c>
      <c r="DP245">
        <f t="shared" si="151"/>
        <v>4.3618109678144499E-3</v>
      </c>
    </row>
    <row r="246" spans="1:120">
      <c r="A246" s="16" t="s">
        <v>905</v>
      </c>
      <c r="B246" s="16" t="s">
        <v>24</v>
      </c>
      <c r="C246" s="125" t="s">
        <v>1722</v>
      </c>
      <c r="D246" s="16" t="s">
        <v>71</v>
      </c>
      <c r="E246" s="16" t="s">
        <v>1627</v>
      </c>
      <c r="F246" s="16" t="s">
        <v>102</v>
      </c>
      <c r="G246" s="16"/>
      <c r="H246" s="27"/>
      <c r="I246" s="16" t="s">
        <v>712</v>
      </c>
      <c r="J246" s="16"/>
      <c r="K246" s="16" t="s">
        <v>48</v>
      </c>
      <c r="L246" s="16"/>
      <c r="M246" s="16" t="s">
        <v>906</v>
      </c>
      <c r="N246" s="16">
        <v>41</v>
      </c>
      <c r="O246" s="95">
        <v>25.643970137992188</v>
      </c>
      <c r="P246" s="95">
        <v>2.9673585839381649</v>
      </c>
      <c r="Q246" s="95">
        <v>2.8444698464310334</v>
      </c>
      <c r="R246" s="95">
        <v>13.183621296509207</v>
      </c>
      <c r="S246" s="95">
        <v>7.0760476028863835</v>
      </c>
      <c r="T246" s="95">
        <v>16.205420830515425</v>
      </c>
      <c r="U246" s="95">
        <v>4.1045237860082695</v>
      </c>
      <c r="V246" s="95">
        <v>3.9122240651379094</v>
      </c>
      <c r="W246" s="95">
        <v>15.226608070884447</v>
      </c>
      <c r="X246" s="95">
        <v>5.1213488128810241</v>
      </c>
      <c r="Y246" s="95">
        <v>4.7969299443943445</v>
      </c>
      <c r="Z246" s="95">
        <v>101.08252297757841</v>
      </c>
      <c r="AA246" s="18"/>
      <c r="AB246" s="18"/>
      <c r="AC246" s="18"/>
      <c r="AD246" s="18">
        <v>0</v>
      </c>
      <c r="AE246" s="127">
        <v>0</v>
      </c>
      <c r="AF246" s="127">
        <v>0</v>
      </c>
      <c r="AG246" s="18">
        <v>0</v>
      </c>
      <c r="AH246" s="18"/>
      <c r="AI246" s="18"/>
      <c r="AJ246" s="18"/>
      <c r="AK246" s="134"/>
      <c r="AL246" s="18"/>
      <c r="AM246" s="134"/>
      <c r="AN246" s="127"/>
      <c r="AO246" s="18"/>
      <c r="AP246" s="18"/>
      <c r="AQ246" s="18"/>
      <c r="AR246" s="18"/>
      <c r="AS246" s="18"/>
      <c r="AT246" s="18"/>
      <c r="AU246" s="18"/>
      <c r="AV246" s="18"/>
      <c r="AW246" s="18"/>
      <c r="AX246" s="127"/>
      <c r="AY246" s="127"/>
      <c r="AZ246" s="127"/>
      <c r="BA246" s="127"/>
      <c r="BB246" s="18"/>
      <c r="BC246" s="127"/>
      <c r="BD246" s="18"/>
      <c r="BE246" s="18"/>
      <c r="BF246" s="18"/>
      <c r="BG246" s="18"/>
      <c r="BH246" s="127"/>
      <c r="BI246" s="127"/>
      <c r="BJ246" s="18"/>
      <c r="BK246" s="127"/>
      <c r="BL246" s="127"/>
      <c r="BM246" s="127"/>
      <c r="BN246" s="127"/>
      <c r="BO246" s="18"/>
      <c r="BP246" s="18"/>
      <c r="BQ246" s="18"/>
      <c r="BR246" s="18"/>
      <c r="BS246" s="18"/>
      <c r="BT246" s="18"/>
      <c r="BU246" s="18"/>
      <c r="BV246" s="18"/>
      <c r="BW246" s="18"/>
      <c r="BX246" s="18"/>
      <c r="BY246" s="127"/>
      <c r="BZ246" s="18"/>
      <c r="CA246" s="127"/>
      <c r="CB246" s="127"/>
      <c r="CC246" s="127"/>
      <c r="CE246" t="e">
        <f t="shared" si="114"/>
        <v>#DIV/0!</v>
      </c>
      <c r="CF246" t="e">
        <f t="shared" si="115"/>
        <v>#DIV/0!</v>
      </c>
      <c r="CG246" t="e">
        <f t="shared" si="116"/>
        <v>#DIV/0!</v>
      </c>
      <c r="CH246" t="e">
        <f t="shared" si="117"/>
        <v>#DIV/0!</v>
      </c>
      <c r="CI246" t="e">
        <f t="shared" si="118"/>
        <v>#DIV/0!</v>
      </c>
      <c r="CJ246" t="e">
        <f t="shared" si="119"/>
        <v>#DIV/0!</v>
      </c>
      <c r="CK246" t="e">
        <f t="shared" si="120"/>
        <v>#DIV/0!</v>
      </c>
      <c r="CL246" t="e">
        <f t="shared" si="121"/>
        <v>#DIV/0!</v>
      </c>
      <c r="CM246" t="e">
        <f t="shared" si="122"/>
        <v>#DIV/0!</v>
      </c>
      <c r="CN246" t="e">
        <f t="shared" si="123"/>
        <v>#DIV/0!</v>
      </c>
      <c r="CO246" t="e">
        <f t="shared" si="124"/>
        <v>#DIV/0!</v>
      </c>
      <c r="CP246" t="e">
        <f t="shared" si="125"/>
        <v>#DIV/0!</v>
      </c>
      <c r="CQ246" t="e">
        <f t="shared" si="126"/>
        <v>#DIV/0!</v>
      </c>
      <c r="CR246" t="e">
        <f t="shared" si="127"/>
        <v>#DIV/0!</v>
      </c>
      <c r="CS246" t="e">
        <f t="shared" si="128"/>
        <v>#DIV/0!</v>
      </c>
      <c r="CT246" t="e">
        <f t="shared" si="129"/>
        <v>#DIV/0!</v>
      </c>
      <c r="CU246" t="e">
        <f t="shared" si="130"/>
        <v>#DIV/0!</v>
      </c>
      <c r="CV246" t="e">
        <f t="shared" si="131"/>
        <v>#DIV/0!</v>
      </c>
      <c r="CW246" t="e">
        <f t="shared" si="132"/>
        <v>#DIV/0!</v>
      </c>
      <c r="CX246" t="e">
        <f t="shared" si="133"/>
        <v>#DIV/0!</v>
      </c>
      <c r="CY246" t="e">
        <f t="shared" si="134"/>
        <v>#DIV/0!</v>
      </c>
      <c r="CZ246" t="e">
        <f t="shared" si="135"/>
        <v>#DIV/0!</v>
      </c>
      <c r="DA246" t="e">
        <f t="shared" si="136"/>
        <v>#DIV/0!</v>
      </c>
      <c r="DB246" t="e">
        <f t="shared" si="137"/>
        <v>#DIV/0!</v>
      </c>
      <c r="DC246" t="e">
        <f t="shared" si="138"/>
        <v>#DIV/0!</v>
      </c>
      <c r="DD246" t="e">
        <f t="shared" si="139"/>
        <v>#DIV/0!</v>
      </c>
      <c r="DE246" t="e">
        <f t="shared" si="140"/>
        <v>#DIV/0!</v>
      </c>
      <c r="DF246" t="e">
        <f t="shared" si="141"/>
        <v>#DIV/0!</v>
      </c>
      <c r="DG246" t="e">
        <f t="shared" si="142"/>
        <v>#DIV/0!</v>
      </c>
      <c r="DH246" t="e">
        <f t="shared" si="143"/>
        <v>#DIV/0!</v>
      </c>
      <c r="DI246" t="e">
        <f t="shared" si="144"/>
        <v>#DIV/0!</v>
      </c>
      <c r="DJ246" t="e">
        <f t="shared" si="145"/>
        <v>#DIV/0!</v>
      </c>
      <c r="DK246" t="e">
        <f t="shared" si="146"/>
        <v>#DIV/0!</v>
      </c>
      <c r="DL246" t="e">
        <f t="shared" si="147"/>
        <v>#DIV/0!</v>
      </c>
      <c r="DM246" t="e">
        <f t="shared" si="148"/>
        <v>#DIV/0!</v>
      </c>
      <c r="DN246" t="e">
        <f t="shared" si="149"/>
        <v>#DIV/0!</v>
      </c>
      <c r="DO246" t="e">
        <f t="shared" si="150"/>
        <v>#DIV/0!</v>
      </c>
      <c r="DP246" t="e">
        <f t="shared" si="151"/>
        <v>#DIV/0!</v>
      </c>
    </row>
    <row r="247" spans="1:120">
      <c r="A247" s="16" t="s">
        <v>905</v>
      </c>
      <c r="B247" s="16" t="s">
        <v>24</v>
      </c>
      <c r="C247" s="125" t="s">
        <v>1722</v>
      </c>
      <c r="D247" s="16" t="s">
        <v>71</v>
      </c>
      <c r="E247" s="16" t="s">
        <v>1627</v>
      </c>
      <c r="F247" s="16" t="s">
        <v>102</v>
      </c>
      <c r="G247" s="16"/>
      <c r="H247" s="27"/>
      <c r="I247" s="16" t="s">
        <v>712</v>
      </c>
      <c r="J247" s="16"/>
      <c r="K247" s="16" t="s">
        <v>48</v>
      </c>
      <c r="L247" s="16" t="s">
        <v>773</v>
      </c>
      <c r="M247" s="16" t="s">
        <v>907</v>
      </c>
      <c r="N247" s="16">
        <v>23</v>
      </c>
      <c r="O247" s="95">
        <v>25.406357304550927</v>
      </c>
      <c r="P247" s="95">
        <v>3.1185653909974222</v>
      </c>
      <c r="Q247" s="95">
        <v>2.5930785957868614</v>
      </c>
      <c r="R247" s="95">
        <v>13.483761596502545</v>
      </c>
      <c r="S247" s="95">
        <v>6.9912527359296011</v>
      </c>
      <c r="T247" s="95">
        <v>16.893372559075726</v>
      </c>
      <c r="U247" s="95">
        <v>2.1663605725008654</v>
      </c>
      <c r="V247" s="95">
        <v>4.5377372186040734</v>
      </c>
      <c r="W247" s="95">
        <v>15.700670279957105</v>
      </c>
      <c r="X247" s="95">
        <v>5.3722403173285285</v>
      </c>
      <c r="Y247" s="95">
        <v>4.8255953205743563</v>
      </c>
      <c r="Z247" s="95">
        <v>101.08899189180801</v>
      </c>
      <c r="AA247" s="18">
        <v>0</v>
      </c>
      <c r="AB247" s="18">
        <v>0</v>
      </c>
      <c r="AC247" s="18">
        <v>0</v>
      </c>
      <c r="AD247" s="18">
        <v>0</v>
      </c>
      <c r="AE247" s="127">
        <v>0</v>
      </c>
      <c r="AF247" s="127">
        <v>0</v>
      </c>
      <c r="AG247" s="18">
        <v>0</v>
      </c>
      <c r="AH247" s="18"/>
      <c r="AI247" s="18"/>
      <c r="AJ247" s="18"/>
      <c r="AK247" s="134"/>
      <c r="AL247" s="18"/>
      <c r="AM247" s="134"/>
      <c r="AN247" s="127"/>
      <c r="AO247" s="18"/>
      <c r="AP247" s="18"/>
      <c r="AQ247" s="18"/>
      <c r="AR247" s="18"/>
      <c r="AS247" s="18"/>
      <c r="AT247" s="18"/>
      <c r="AU247" s="18"/>
      <c r="AV247" s="18"/>
      <c r="AW247" s="18"/>
      <c r="AX247" s="127"/>
      <c r="AY247" s="127"/>
      <c r="AZ247" s="127"/>
      <c r="BA247" s="127"/>
      <c r="BB247" s="18"/>
      <c r="BC247" s="127"/>
      <c r="BD247" s="18"/>
      <c r="BE247" s="18"/>
      <c r="BF247" s="18"/>
      <c r="BG247" s="18"/>
      <c r="BH247" s="127"/>
      <c r="BI247" s="127"/>
      <c r="BJ247" s="18"/>
      <c r="BK247" s="127"/>
      <c r="BL247" s="127"/>
      <c r="BM247" s="127"/>
      <c r="BN247" s="127"/>
      <c r="BO247" s="18"/>
      <c r="BP247" s="18"/>
      <c r="BQ247" s="18"/>
      <c r="BR247" s="18"/>
      <c r="BS247" s="18"/>
      <c r="BT247" s="18"/>
      <c r="BU247" s="18"/>
      <c r="BV247" s="18"/>
      <c r="BW247" s="18"/>
      <c r="BX247" s="18"/>
      <c r="BY247" s="127"/>
      <c r="BZ247" s="18"/>
      <c r="CA247" s="127"/>
      <c r="CB247" s="127"/>
      <c r="CC247" s="127"/>
      <c r="CE247" t="e">
        <f t="shared" si="114"/>
        <v>#DIV/0!</v>
      </c>
      <c r="CF247" t="e">
        <f t="shared" si="115"/>
        <v>#DIV/0!</v>
      </c>
      <c r="CG247" t="e">
        <f t="shared" si="116"/>
        <v>#DIV/0!</v>
      </c>
      <c r="CH247" t="e">
        <f t="shared" si="117"/>
        <v>#DIV/0!</v>
      </c>
      <c r="CI247" t="e">
        <f t="shared" si="118"/>
        <v>#DIV/0!</v>
      </c>
      <c r="CJ247" t="e">
        <f t="shared" si="119"/>
        <v>#DIV/0!</v>
      </c>
      <c r="CK247" t="e">
        <f t="shared" si="120"/>
        <v>#DIV/0!</v>
      </c>
      <c r="CL247" t="e">
        <f t="shared" si="121"/>
        <v>#DIV/0!</v>
      </c>
      <c r="CM247" t="e">
        <f t="shared" si="122"/>
        <v>#DIV/0!</v>
      </c>
      <c r="CN247" t="e">
        <f t="shared" si="123"/>
        <v>#DIV/0!</v>
      </c>
      <c r="CO247" t="e">
        <f t="shared" si="124"/>
        <v>#DIV/0!</v>
      </c>
      <c r="CP247" t="e">
        <f t="shared" si="125"/>
        <v>#DIV/0!</v>
      </c>
      <c r="CQ247" t="e">
        <f t="shared" si="126"/>
        <v>#DIV/0!</v>
      </c>
      <c r="CR247" t="e">
        <f t="shared" si="127"/>
        <v>#DIV/0!</v>
      </c>
      <c r="CS247" t="e">
        <f t="shared" si="128"/>
        <v>#DIV/0!</v>
      </c>
      <c r="CT247" t="e">
        <f t="shared" si="129"/>
        <v>#DIV/0!</v>
      </c>
      <c r="CU247" t="e">
        <f t="shared" si="130"/>
        <v>#DIV/0!</v>
      </c>
      <c r="CV247" t="e">
        <f t="shared" si="131"/>
        <v>#DIV/0!</v>
      </c>
      <c r="CW247" t="e">
        <f t="shared" si="132"/>
        <v>#DIV/0!</v>
      </c>
      <c r="CX247" t="e">
        <f t="shared" si="133"/>
        <v>#DIV/0!</v>
      </c>
      <c r="CY247" t="e">
        <f t="shared" si="134"/>
        <v>#DIV/0!</v>
      </c>
      <c r="CZ247" t="e">
        <f t="shared" si="135"/>
        <v>#DIV/0!</v>
      </c>
      <c r="DA247" t="e">
        <f t="shared" si="136"/>
        <v>#DIV/0!</v>
      </c>
      <c r="DB247" t="e">
        <f t="shared" si="137"/>
        <v>#DIV/0!</v>
      </c>
      <c r="DC247" t="e">
        <f t="shared" si="138"/>
        <v>#DIV/0!</v>
      </c>
      <c r="DD247" t="e">
        <f t="shared" si="139"/>
        <v>#DIV/0!</v>
      </c>
      <c r="DE247" t="e">
        <f t="shared" si="140"/>
        <v>#DIV/0!</v>
      </c>
      <c r="DF247" t="e">
        <f t="shared" si="141"/>
        <v>#DIV/0!</v>
      </c>
      <c r="DG247" t="e">
        <f t="shared" si="142"/>
        <v>#DIV/0!</v>
      </c>
      <c r="DH247" t="e">
        <f t="shared" si="143"/>
        <v>#DIV/0!</v>
      </c>
      <c r="DI247" t="e">
        <f t="shared" si="144"/>
        <v>#DIV/0!</v>
      </c>
      <c r="DJ247" t="e">
        <f t="shared" si="145"/>
        <v>#DIV/0!</v>
      </c>
      <c r="DK247" t="e">
        <f t="shared" si="146"/>
        <v>#DIV/0!</v>
      </c>
      <c r="DL247" t="e">
        <f t="shared" si="147"/>
        <v>#DIV/0!</v>
      </c>
      <c r="DM247" t="e">
        <f t="shared" si="148"/>
        <v>#DIV/0!</v>
      </c>
      <c r="DN247" t="e">
        <f t="shared" si="149"/>
        <v>#DIV/0!</v>
      </c>
      <c r="DO247" t="e">
        <f t="shared" si="150"/>
        <v>#DIV/0!</v>
      </c>
      <c r="DP247" t="e">
        <f t="shared" si="151"/>
        <v>#DIV/0!</v>
      </c>
    </row>
    <row r="248" spans="1:120">
      <c r="A248" s="16" t="s">
        <v>905</v>
      </c>
      <c r="B248" s="16" t="s">
        <v>24</v>
      </c>
      <c r="C248" s="125" t="s">
        <v>1722</v>
      </c>
      <c r="D248" s="16" t="s">
        <v>71</v>
      </c>
      <c r="E248" s="16" t="s">
        <v>1627</v>
      </c>
      <c r="F248" s="16" t="s">
        <v>102</v>
      </c>
      <c r="G248" s="16"/>
      <c r="H248" s="27"/>
      <c r="I248" s="16" t="s">
        <v>712</v>
      </c>
      <c r="J248" s="16"/>
      <c r="K248" s="16" t="s">
        <v>48</v>
      </c>
      <c r="L248" s="16"/>
      <c r="M248" s="16" t="s">
        <v>103</v>
      </c>
      <c r="N248" s="16">
        <v>84</v>
      </c>
      <c r="O248" s="95">
        <v>38.66485331516769</v>
      </c>
      <c r="P248" s="95">
        <v>2.3927750604230393</v>
      </c>
      <c r="Q248" s="95">
        <v>7.4021697208321813</v>
      </c>
      <c r="R248" s="95">
        <v>6.4247970658666791</v>
      </c>
      <c r="S248" s="95">
        <v>3.0113029279030248</v>
      </c>
      <c r="T248" s="95">
        <v>11.708547325343268</v>
      </c>
      <c r="U248" s="95">
        <v>3.0746086660389866</v>
      </c>
      <c r="V248" s="95">
        <v>3.1071130477863136</v>
      </c>
      <c r="W248" s="95">
        <v>16.128010661657573</v>
      </c>
      <c r="X248" s="95">
        <v>4.3014742670748527</v>
      </c>
      <c r="Y248" s="95">
        <v>4.887254445922828</v>
      </c>
      <c r="Z248" s="95">
        <v>101.10290650401643</v>
      </c>
      <c r="AA248" s="18">
        <v>0</v>
      </c>
      <c r="AB248" s="18">
        <v>0</v>
      </c>
      <c r="AC248" s="18">
        <v>0</v>
      </c>
      <c r="AD248" s="18">
        <v>0</v>
      </c>
      <c r="AE248" s="127">
        <v>0</v>
      </c>
      <c r="AF248" s="127">
        <v>0</v>
      </c>
      <c r="AG248" s="18">
        <v>0</v>
      </c>
      <c r="AH248" s="18"/>
      <c r="AI248" s="18"/>
      <c r="AJ248" s="18"/>
      <c r="AK248" s="134"/>
      <c r="AL248" s="18"/>
      <c r="AM248" s="134"/>
      <c r="AN248" s="127"/>
      <c r="AO248" s="18"/>
      <c r="AP248" s="18"/>
      <c r="AQ248" s="18"/>
      <c r="AR248" s="18"/>
      <c r="AS248" s="18"/>
      <c r="AT248" s="18"/>
      <c r="AU248" s="18"/>
      <c r="AV248" s="18"/>
      <c r="AW248" s="18"/>
      <c r="AX248" s="127"/>
      <c r="AY248" s="127"/>
      <c r="AZ248" s="127"/>
      <c r="BA248" s="127"/>
      <c r="BB248" s="18"/>
      <c r="BC248" s="127"/>
      <c r="BD248" s="18"/>
      <c r="BE248" s="18"/>
      <c r="BF248" s="18"/>
      <c r="BG248" s="18"/>
      <c r="BH248" s="127"/>
      <c r="BI248" s="127"/>
      <c r="BJ248" s="18"/>
      <c r="BK248" s="127"/>
      <c r="BL248" s="127"/>
      <c r="BM248" s="127"/>
      <c r="BN248" s="127"/>
      <c r="BO248" s="18"/>
      <c r="BP248" s="18"/>
      <c r="BQ248" s="18"/>
      <c r="BR248" s="18"/>
      <c r="BS248" s="18"/>
      <c r="BT248" s="18"/>
      <c r="BU248" s="18"/>
      <c r="BV248" s="18"/>
      <c r="BW248" s="18"/>
      <c r="BX248" s="18"/>
      <c r="BY248" s="127"/>
      <c r="BZ248" s="18"/>
      <c r="CA248" s="127"/>
      <c r="CB248" s="127"/>
      <c r="CC248" s="127"/>
      <c r="CE248" t="e">
        <f t="shared" si="114"/>
        <v>#DIV/0!</v>
      </c>
      <c r="CF248" t="e">
        <f t="shared" si="115"/>
        <v>#DIV/0!</v>
      </c>
      <c r="CG248" t="e">
        <f t="shared" si="116"/>
        <v>#DIV/0!</v>
      </c>
      <c r="CH248" t="e">
        <f t="shared" si="117"/>
        <v>#DIV/0!</v>
      </c>
      <c r="CI248" t="e">
        <f t="shared" si="118"/>
        <v>#DIV/0!</v>
      </c>
      <c r="CJ248" t="e">
        <f t="shared" si="119"/>
        <v>#DIV/0!</v>
      </c>
      <c r="CK248" t="e">
        <f t="shared" si="120"/>
        <v>#DIV/0!</v>
      </c>
      <c r="CL248" t="e">
        <f t="shared" si="121"/>
        <v>#DIV/0!</v>
      </c>
      <c r="CM248" t="e">
        <f t="shared" si="122"/>
        <v>#DIV/0!</v>
      </c>
      <c r="CN248" t="e">
        <f t="shared" si="123"/>
        <v>#DIV/0!</v>
      </c>
      <c r="CO248" t="e">
        <f t="shared" si="124"/>
        <v>#DIV/0!</v>
      </c>
      <c r="CP248" t="e">
        <f t="shared" si="125"/>
        <v>#DIV/0!</v>
      </c>
      <c r="CQ248" t="e">
        <f t="shared" si="126"/>
        <v>#DIV/0!</v>
      </c>
      <c r="CR248" t="e">
        <f t="shared" si="127"/>
        <v>#DIV/0!</v>
      </c>
      <c r="CS248" t="e">
        <f t="shared" si="128"/>
        <v>#DIV/0!</v>
      </c>
      <c r="CT248" t="e">
        <f t="shared" si="129"/>
        <v>#DIV/0!</v>
      </c>
      <c r="CU248" t="e">
        <f t="shared" si="130"/>
        <v>#DIV/0!</v>
      </c>
      <c r="CV248" t="e">
        <f t="shared" si="131"/>
        <v>#DIV/0!</v>
      </c>
      <c r="CW248" t="e">
        <f t="shared" si="132"/>
        <v>#DIV/0!</v>
      </c>
      <c r="CX248" t="e">
        <f t="shared" si="133"/>
        <v>#DIV/0!</v>
      </c>
      <c r="CY248" t="e">
        <f t="shared" si="134"/>
        <v>#DIV/0!</v>
      </c>
      <c r="CZ248" t="e">
        <f t="shared" si="135"/>
        <v>#DIV/0!</v>
      </c>
      <c r="DA248" t="e">
        <f t="shared" si="136"/>
        <v>#DIV/0!</v>
      </c>
      <c r="DB248" t="e">
        <f t="shared" si="137"/>
        <v>#DIV/0!</v>
      </c>
      <c r="DC248" t="e">
        <f t="shared" si="138"/>
        <v>#DIV/0!</v>
      </c>
      <c r="DD248" t="e">
        <f t="shared" si="139"/>
        <v>#DIV/0!</v>
      </c>
      <c r="DE248" t="e">
        <f t="shared" si="140"/>
        <v>#DIV/0!</v>
      </c>
      <c r="DF248" t="e">
        <f t="shared" si="141"/>
        <v>#DIV/0!</v>
      </c>
      <c r="DG248" t="e">
        <f t="shared" si="142"/>
        <v>#DIV/0!</v>
      </c>
      <c r="DH248" t="e">
        <f t="shared" si="143"/>
        <v>#DIV/0!</v>
      </c>
      <c r="DI248" t="e">
        <f t="shared" si="144"/>
        <v>#DIV/0!</v>
      </c>
      <c r="DJ248" t="e">
        <f t="shared" si="145"/>
        <v>#DIV/0!</v>
      </c>
      <c r="DK248" t="e">
        <f t="shared" si="146"/>
        <v>#DIV/0!</v>
      </c>
      <c r="DL248" t="e">
        <f t="shared" si="147"/>
        <v>#DIV/0!</v>
      </c>
      <c r="DM248" t="e">
        <f t="shared" si="148"/>
        <v>#DIV/0!</v>
      </c>
      <c r="DN248" t="e">
        <f t="shared" si="149"/>
        <v>#DIV/0!</v>
      </c>
      <c r="DO248" t="e">
        <f t="shared" si="150"/>
        <v>#DIV/0!</v>
      </c>
      <c r="DP248" t="e">
        <f t="shared" si="151"/>
        <v>#DIV/0!</v>
      </c>
    </row>
    <row r="249" spans="1:120">
      <c r="A249" s="16" t="s">
        <v>838</v>
      </c>
      <c r="B249" s="16" t="s">
        <v>24</v>
      </c>
      <c r="C249" s="125" t="s">
        <v>1722</v>
      </c>
      <c r="D249" s="16" t="s">
        <v>1719</v>
      </c>
      <c r="E249" s="16" t="s">
        <v>388</v>
      </c>
      <c r="F249" s="16" t="s">
        <v>342</v>
      </c>
      <c r="G249" s="16" t="s">
        <v>829</v>
      </c>
      <c r="H249" s="27"/>
      <c r="I249" s="16" t="s">
        <v>735</v>
      </c>
      <c r="J249" s="16"/>
      <c r="K249" s="16" t="s">
        <v>903</v>
      </c>
      <c r="L249" s="16"/>
      <c r="M249" s="16">
        <v>8</v>
      </c>
      <c r="N249" s="16">
        <v>40</v>
      </c>
      <c r="O249" s="95">
        <v>37.249927831875048</v>
      </c>
      <c r="P249" s="95">
        <v>2.6651191459822199</v>
      </c>
      <c r="Q249" s="95">
        <v>5.9167703047867821</v>
      </c>
      <c r="R249" s="95">
        <v>9.055231075151946</v>
      </c>
      <c r="S249" s="95">
        <v>5.5977792100939299</v>
      </c>
      <c r="T249" s="95">
        <v>12.769933823026777</v>
      </c>
      <c r="U249" s="95">
        <v>2.0168469212838422</v>
      </c>
      <c r="V249" s="95">
        <v>3.7455728538128499</v>
      </c>
      <c r="W249" s="95">
        <v>12.667033469900051</v>
      </c>
      <c r="X249" s="95">
        <v>5.813869951660056</v>
      </c>
      <c r="Y249" s="95">
        <v>3.2310710881792168</v>
      </c>
      <c r="Z249" s="95">
        <v>100.72915567575271</v>
      </c>
      <c r="AA249" s="18"/>
      <c r="AB249" s="18"/>
      <c r="AC249" s="18"/>
      <c r="AD249" s="18"/>
      <c r="AE249" s="127"/>
      <c r="AF249" s="127"/>
      <c r="AG249" s="18"/>
      <c r="AH249" s="18"/>
      <c r="AI249" s="18"/>
      <c r="AJ249" s="18"/>
      <c r="AK249" s="134"/>
      <c r="AL249" s="18"/>
      <c r="AM249" s="134"/>
      <c r="AN249" s="127"/>
      <c r="AO249" s="18"/>
      <c r="AP249" s="18"/>
      <c r="AQ249" s="18"/>
      <c r="AR249" s="18"/>
      <c r="AS249" s="18"/>
      <c r="AT249" s="18"/>
      <c r="AU249" s="18"/>
      <c r="AV249" s="18"/>
      <c r="AW249" s="18"/>
      <c r="AX249" s="127"/>
      <c r="AY249" s="127"/>
      <c r="AZ249" s="127"/>
      <c r="BA249" s="127"/>
      <c r="BB249" s="18"/>
      <c r="BC249" s="127"/>
      <c r="BD249" s="18"/>
      <c r="BE249" s="18"/>
      <c r="BF249" s="18"/>
      <c r="BG249" s="18"/>
      <c r="BH249" s="127"/>
      <c r="BI249" s="127"/>
      <c r="BJ249" s="18"/>
      <c r="BK249" s="127"/>
      <c r="BL249" s="127"/>
      <c r="BM249" s="127"/>
      <c r="BN249" s="127"/>
      <c r="BO249" s="18"/>
      <c r="BP249" s="18"/>
      <c r="BQ249" s="18"/>
      <c r="BR249" s="18"/>
      <c r="BS249" s="18"/>
      <c r="BT249" s="18"/>
      <c r="BU249" s="18"/>
      <c r="BV249" s="18"/>
      <c r="BW249" s="18"/>
      <c r="BX249" s="18"/>
      <c r="BY249" s="127"/>
      <c r="BZ249" s="18"/>
      <c r="CA249" s="127"/>
      <c r="CB249" s="127"/>
      <c r="CC249" s="127"/>
      <c r="CE249" t="e">
        <f t="shared" si="114"/>
        <v>#DIV/0!</v>
      </c>
      <c r="CF249" t="e">
        <f t="shared" si="115"/>
        <v>#DIV/0!</v>
      </c>
      <c r="CG249" t="e">
        <f t="shared" si="116"/>
        <v>#DIV/0!</v>
      </c>
      <c r="CH249" t="e">
        <f t="shared" si="117"/>
        <v>#DIV/0!</v>
      </c>
      <c r="CI249" t="e">
        <f t="shared" si="118"/>
        <v>#DIV/0!</v>
      </c>
      <c r="CJ249" t="e">
        <f t="shared" si="119"/>
        <v>#DIV/0!</v>
      </c>
      <c r="CK249" t="e">
        <f t="shared" si="120"/>
        <v>#DIV/0!</v>
      </c>
      <c r="CL249" t="e">
        <f t="shared" si="121"/>
        <v>#DIV/0!</v>
      </c>
      <c r="CM249" t="e">
        <f t="shared" si="122"/>
        <v>#DIV/0!</v>
      </c>
      <c r="CN249" t="e">
        <f t="shared" si="123"/>
        <v>#DIV/0!</v>
      </c>
      <c r="CO249" t="e">
        <f t="shared" si="124"/>
        <v>#DIV/0!</v>
      </c>
      <c r="CP249" t="e">
        <f t="shared" si="125"/>
        <v>#DIV/0!</v>
      </c>
      <c r="CQ249" t="e">
        <f t="shared" si="126"/>
        <v>#DIV/0!</v>
      </c>
      <c r="CR249" t="e">
        <f t="shared" si="127"/>
        <v>#DIV/0!</v>
      </c>
      <c r="CS249" t="e">
        <f t="shared" si="128"/>
        <v>#DIV/0!</v>
      </c>
      <c r="CT249" t="e">
        <f t="shared" si="129"/>
        <v>#DIV/0!</v>
      </c>
      <c r="CU249" t="e">
        <f t="shared" si="130"/>
        <v>#DIV/0!</v>
      </c>
      <c r="CV249" t="e">
        <f t="shared" si="131"/>
        <v>#DIV/0!</v>
      </c>
      <c r="CW249" t="e">
        <f t="shared" si="132"/>
        <v>#DIV/0!</v>
      </c>
      <c r="CX249" t="e">
        <f t="shared" si="133"/>
        <v>#DIV/0!</v>
      </c>
      <c r="CY249" t="e">
        <f t="shared" si="134"/>
        <v>#DIV/0!</v>
      </c>
      <c r="CZ249" t="e">
        <f t="shared" si="135"/>
        <v>#DIV/0!</v>
      </c>
      <c r="DA249" t="e">
        <f t="shared" si="136"/>
        <v>#DIV/0!</v>
      </c>
      <c r="DB249" t="e">
        <f t="shared" si="137"/>
        <v>#DIV/0!</v>
      </c>
      <c r="DC249" t="e">
        <f t="shared" si="138"/>
        <v>#DIV/0!</v>
      </c>
      <c r="DD249" t="e">
        <f t="shared" si="139"/>
        <v>#DIV/0!</v>
      </c>
      <c r="DE249" t="e">
        <f t="shared" si="140"/>
        <v>#DIV/0!</v>
      </c>
      <c r="DF249" t="e">
        <f t="shared" si="141"/>
        <v>#DIV/0!</v>
      </c>
      <c r="DG249" t="e">
        <f t="shared" si="142"/>
        <v>#DIV/0!</v>
      </c>
      <c r="DH249" t="e">
        <f t="shared" si="143"/>
        <v>#DIV/0!</v>
      </c>
      <c r="DI249" t="e">
        <f t="shared" si="144"/>
        <v>#DIV/0!</v>
      </c>
      <c r="DJ249" t="e">
        <f t="shared" si="145"/>
        <v>#DIV/0!</v>
      </c>
      <c r="DK249" t="e">
        <f t="shared" si="146"/>
        <v>#DIV/0!</v>
      </c>
      <c r="DL249" t="e">
        <f t="shared" si="147"/>
        <v>#DIV/0!</v>
      </c>
      <c r="DM249" t="e">
        <f t="shared" si="148"/>
        <v>#DIV/0!</v>
      </c>
      <c r="DN249" t="e">
        <f t="shared" si="149"/>
        <v>#DIV/0!</v>
      </c>
      <c r="DO249" t="e">
        <f t="shared" si="150"/>
        <v>#DIV/0!</v>
      </c>
      <c r="DP249" t="e">
        <f t="shared" si="151"/>
        <v>#DIV/0!</v>
      </c>
    </row>
    <row r="250" spans="1:120">
      <c r="A250" s="16" t="s">
        <v>838</v>
      </c>
      <c r="B250" s="16" t="s">
        <v>24</v>
      </c>
      <c r="C250" s="125" t="s">
        <v>1722</v>
      </c>
      <c r="D250" s="16" t="s">
        <v>1719</v>
      </c>
      <c r="E250" s="16" t="s">
        <v>388</v>
      </c>
      <c r="F250" s="16" t="s">
        <v>342</v>
      </c>
      <c r="G250" s="16" t="s">
        <v>829</v>
      </c>
      <c r="H250" s="27"/>
      <c r="I250" s="16" t="s">
        <v>735</v>
      </c>
      <c r="J250" s="16"/>
      <c r="K250" s="16" t="s">
        <v>903</v>
      </c>
      <c r="L250" s="16"/>
      <c r="M250" s="16">
        <v>9</v>
      </c>
      <c r="N250" s="16">
        <v>39</v>
      </c>
      <c r="O250" s="95">
        <v>35.565457670659342</v>
      </c>
      <c r="P250" s="95">
        <v>2.164311057781493</v>
      </c>
      <c r="Q250" s="95">
        <v>6.1287462165062463</v>
      </c>
      <c r="R250" s="95">
        <v>7.471035285995729</v>
      </c>
      <c r="S250" s="95">
        <v>4.0788939165881981</v>
      </c>
      <c r="T250" s="95">
        <v>12.226276408140645</v>
      </c>
      <c r="U250" s="95">
        <v>2.7886315552184624</v>
      </c>
      <c r="V250" s="95">
        <v>3.8603817424852589</v>
      </c>
      <c r="W250" s="95">
        <v>16.513277157207831</v>
      </c>
      <c r="X250" s="95">
        <v>5.5772631104369248</v>
      </c>
      <c r="Y250" s="95">
        <v>4.6824037307772679</v>
      </c>
      <c r="Z250" s="95">
        <v>101.05667785179739</v>
      </c>
      <c r="AA250" s="18"/>
      <c r="AB250" s="18"/>
      <c r="AC250" s="18"/>
      <c r="AD250" s="18"/>
      <c r="AE250" s="127"/>
      <c r="AF250" s="127"/>
      <c r="AG250" s="18"/>
      <c r="AH250" s="18"/>
      <c r="AI250" s="18"/>
      <c r="AJ250" s="18"/>
      <c r="AK250" s="134"/>
      <c r="AL250" s="18"/>
      <c r="AM250" s="134"/>
      <c r="AN250" s="127"/>
      <c r="AO250" s="18"/>
      <c r="AP250" s="18"/>
      <c r="AQ250" s="18"/>
      <c r="AR250" s="18"/>
      <c r="AS250" s="18"/>
      <c r="AT250" s="18"/>
      <c r="AU250" s="18"/>
      <c r="AV250" s="18"/>
      <c r="AW250" s="18"/>
      <c r="AX250" s="127"/>
      <c r="AY250" s="127"/>
      <c r="AZ250" s="127"/>
      <c r="BA250" s="127"/>
      <c r="BB250" s="18"/>
      <c r="BC250" s="127"/>
      <c r="BD250" s="18"/>
      <c r="BE250" s="18"/>
      <c r="BF250" s="18"/>
      <c r="BG250" s="18"/>
      <c r="BH250" s="127"/>
      <c r="BI250" s="127"/>
      <c r="BJ250" s="18"/>
      <c r="BK250" s="127"/>
      <c r="BL250" s="127"/>
      <c r="BM250" s="127"/>
      <c r="BN250" s="127"/>
      <c r="BO250" s="18"/>
      <c r="BP250" s="18"/>
      <c r="BQ250" s="18"/>
      <c r="BR250" s="18"/>
      <c r="BS250" s="18"/>
      <c r="BT250" s="18"/>
      <c r="BU250" s="18"/>
      <c r="BV250" s="18"/>
      <c r="BW250" s="18"/>
      <c r="BX250" s="18"/>
      <c r="BY250" s="127"/>
      <c r="BZ250" s="18"/>
      <c r="CA250" s="127"/>
      <c r="CB250" s="127"/>
      <c r="CC250" s="127"/>
      <c r="CE250" t="e">
        <f t="shared" si="114"/>
        <v>#DIV/0!</v>
      </c>
      <c r="CF250" t="e">
        <f t="shared" si="115"/>
        <v>#DIV/0!</v>
      </c>
      <c r="CG250" t="e">
        <f t="shared" si="116"/>
        <v>#DIV/0!</v>
      </c>
      <c r="CH250" t="e">
        <f t="shared" si="117"/>
        <v>#DIV/0!</v>
      </c>
      <c r="CI250" t="e">
        <f t="shared" si="118"/>
        <v>#DIV/0!</v>
      </c>
      <c r="CJ250" t="e">
        <f t="shared" si="119"/>
        <v>#DIV/0!</v>
      </c>
      <c r="CK250" t="e">
        <f t="shared" si="120"/>
        <v>#DIV/0!</v>
      </c>
      <c r="CL250" t="e">
        <f t="shared" si="121"/>
        <v>#DIV/0!</v>
      </c>
      <c r="CM250" t="e">
        <f t="shared" si="122"/>
        <v>#DIV/0!</v>
      </c>
      <c r="CN250" t="e">
        <f t="shared" si="123"/>
        <v>#DIV/0!</v>
      </c>
      <c r="CO250" t="e">
        <f t="shared" si="124"/>
        <v>#DIV/0!</v>
      </c>
      <c r="CP250" t="e">
        <f t="shared" si="125"/>
        <v>#DIV/0!</v>
      </c>
      <c r="CQ250" t="e">
        <f t="shared" si="126"/>
        <v>#DIV/0!</v>
      </c>
      <c r="CR250" t="e">
        <f t="shared" si="127"/>
        <v>#DIV/0!</v>
      </c>
      <c r="CS250" t="e">
        <f t="shared" si="128"/>
        <v>#DIV/0!</v>
      </c>
      <c r="CT250" t="e">
        <f t="shared" si="129"/>
        <v>#DIV/0!</v>
      </c>
      <c r="CU250" t="e">
        <f t="shared" si="130"/>
        <v>#DIV/0!</v>
      </c>
      <c r="CV250" t="e">
        <f t="shared" si="131"/>
        <v>#DIV/0!</v>
      </c>
      <c r="CW250" t="e">
        <f t="shared" si="132"/>
        <v>#DIV/0!</v>
      </c>
      <c r="CX250" t="e">
        <f t="shared" si="133"/>
        <v>#DIV/0!</v>
      </c>
      <c r="CY250" t="e">
        <f t="shared" si="134"/>
        <v>#DIV/0!</v>
      </c>
      <c r="CZ250" t="e">
        <f t="shared" si="135"/>
        <v>#DIV/0!</v>
      </c>
      <c r="DA250" t="e">
        <f t="shared" si="136"/>
        <v>#DIV/0!</v>
      </c>
      <c r="DB250" t="e">
        <f t="shared" si="137"/>
        <v>#DIV/0!</v>
      </c>
      <c r="DC250" t="e">
        <f t="shared" si="138"/>
        <v>#DIV/0!</v>
      </c>
      <c r="DD250" t="e">
        <f t="shared" si="139"/>
        <v>#DIV/0!</v>
      </c>
      <c r="DE250" t="e">
        <f t="shared" si="140"/>
        <v>#DIV/0!</v>
      </c>
      <c r="DF250" t="e">
        <f t="shared" si="141"/>
        <v>#DIV/0!</v>
      </c>
      <c r="DG250" t="e">
        <f t="shared" si="142"/>
        <v>#DIV/0!</v>
      </c>
      <c r="DH250" t="e">
        <f t="shared" si="143"/>
        <v>#DIV/0!</v>
      </c>
      <c r="DI250" t="e">
        <f t="shared" si="144"/>
        <v>#DIV/0!</v>
      </c>
      <c r="DJ250" t="e">
        <f t="shared" si="145"/>
        <v>#DIV/0!</v>
      </c>
      <c r="DK250" t="e">
        <f t="shared" si="146"/>
        <v>#DIV/0!</v>
      </c>
      <c r="DL250" t="e">
        <f t="shared" si="147"/>
        <v>#DIV/0!</v>
      </c>
      <c r="DM250" t="e">
        <f t="shared" si="148"/>
        <v>#DIV/0!</v>
      </c>
      <c r="DN250" t="e">
        <f t="shared" si="149"/>
        <v>#DIV/0!</v>
      </c>
      <c r="DO250" t="e">
        <f t="shared" si="150"/>
        <v>#DIV/0!</v>
      </c>
      <c r="DP250" t="e">
        <f t="shared" si="151"/>
        <v>#DIV/0!</v>
      </c>
    </row>
    <row r="251" spans="1:120">
      <c r="A251" s="16" t="s">
        <v>838</v>
      </c>
      <c r="B251" s="16" t="s">
        <v>24</v>
      </c>
      <c r="C251" s="125" t="s">
        <v>1722</v>
      </c>
      <c r="D251" s="16" t="s">
        <v>1719</v>
      </c>
      <c r="E251" s="16" t="s">
        <v>388</v>
      </c>
      <c r="F251" s="16" t="s">
        <v>342</v>
      </c>
      <c r="G251" s="16" t="s">
        <v>829</v>
      </c>
      <c r="H251" s="27"/>
      <c r="I251" s="16" t="s">
        <v>735</v>
      </c>
      <c r="J251" s="16"/>
      <c r="K251" s="16" t="s">
        <v>903</v>
      </c>
      <c r="L251" s="16"/>
      <c r="M251" s="16">
        <v>10</v>
      </c>
      <c r="N251" s="16">
        <v>50</v>
      </c>
      <c r="O251" s="95">
        <v>32.160147729348189</v>
      </c>
      <c r="P251" s="95">
        <v>2.2845439136120764</v>
      </c>
      <c r="Q251" s="95">
        <v>4.5898564082569902</v>
      </c>
      <c r="R251" s="95">
        <v>9.7612330854334175</v>
      </c>
      <c r="S251" s="95">
        <v>4.9740751573644753</v>
      </c>
      <c r="T251" s="95">
        <v>13.582651995475437</v>
      </c>
      <c r="U251" s="95">
        <v>2.9802913782121179</v>
      </c>
      <c r="V251" s="95">
        <v>3.0633657023434666</v>
      </c>
      <c r="W251" s="95">
        <v>16.448716178006951</v>
      </c>
      <c r="X251" s="95">
        <v>6.6251773494750212</v>
      </c>
      <c r="Y251" s="95">
        <v>4.5587035367077346</v>
      </c>
      <c r="Z251" s="95">
        <v>101.02876243423587</v>
      </c>
      <c r="AA251" s="18"/>
      <c r="AB251" s="18"/>
      <c r="AC251" s="18"/>
      <c r="AD251" s="18"/>
      <c r="AE251" s="127"/>
      <c r="AF251" s="127"/>
      <c r="AG251" s="18"/>
      <c r="AH251" s="18"/>
      <c r="AI251" s="18"/>
      <c r="AJ251" s="18"/>
      <c r="AK251" s="134"/>
      <c r="AL251" s="18"/>
      <c r="AM251" s="134"/>
      <c r="AN251" s="127"/>
      <c r="AO251" s="18"/>
      <c r="AP251" s="18"/>
      <c r="AQ251" s="18"/>
      <c r="AR251" s="18"/>
      <c r="AS251" s="18"/>
      <c r="AT251" s="18"/>
      <c r="AU251" s="18"/>
      <c r="AV251" s="18"/>
      <c r="AW251" s="18"/>
      <c r="AX251" s="127"/>
      <c r="AY251" s="127"/>
      <c r="AZ251" s="127"/>
      <c r="BA251" s="127"/>
      <c r="BB251" s="18"/>
      <c r="BC251" s="127"/>
      <c r="BD251" s="18"/>
      <c r="BE251" s="18"/>
      <c r="BF251" s="18"/>
      <c r="BG251" s="18"/>
      <c r="BH251" s="127"/>
      <c r="BI251" s="127"/>
      <c r="BJ251" s="18"/>
      <c r="BK251" s="127"/>
      <c r="BL251" s="127"/>
      <c r="BM251" s="127"/>
      <c r="BN251" s="127"/>
      <c r="BO251" s="18"/>
      <c r="BP251" s="18"/>
      <c r="BQ251" s="18"/>
      <c r="BR251" s="18"/>
      <c r="BS251" s="18"/>
      <c r="BT251" s="18"/>
      <c r="BU251" s="18"/>
      <c r="BV251" s="18"/>
      <c r="BW251" s="18"/>
      <c r="BX251" s="18"/>
      <c r="BY251" s="127"/>
      <c r="BZ251" s="18"/>
      <c r="CA251" s="127"/>
      <c r="CB251" s="127"/>
      <c r="CC251" s="127"/>
      <c r="CE251" t="e">
        <f t="shared" si="114"/>
        <v>#DIV/0!</v>
      </c>
      <c r="CF251" t="e">
        <f t="shared" si="115"/>
        <v>#DIV/0!</v>
      </c>
      <c r="CG251" t="e">
        <f t="shared" si="116"/>
        <v>#DIV/0!</v>
      </c>
      <c r="CH251" t="e">
        <f t="shared" si="117"/>
        <v>#DIV/0!</v>
      </c>
      <c r="CI251" t="e">
        <f t="shared" si="118"/>
        <v>#DIV/0!</v>
      </c>
      <c r="CJ251" t="e">
        <f t="shared" si="119"/>
        <v>#DIV/0!</v>
      </c>
      <c r="CK251" t="e">
        <f t="shared" si="120"/>
        <v>#DIV/0!</v>
      </c>
      <c r="CL251" t="e">
        <f t="shared" si="121"/>
        <v>#DIV/0!</v>
      </c>
      <c r="CM251" t="e">
        <f t="shared" si="122"/>
        <v>#DIV/0!</v>
      </c>
      <c r="CN251" t="e">
        <f t="shared" si="123"/>
        <v>#DIV/0!</v>
      </c>
      <c r="CO251" t="e">
        <f t="shared" si="124"/>
        <v>#DIV/0!</v>
      </c>
      <c r="CP251" t="e">
        <f t="shared" si="125"/>
        <v>#DIV/0!</v>
      </c>
      <c r="CQ251" t="e">
        <f t="shared" si="126"/>
        <v>#DIV/0!</v>
      </c>
      <c r="CR251" t="e">
        <f t="shared" si="127"/>
        <v>#DIV/0!</v>
      </c>
      <c r="CS251" t="e">
        <f t="shared" si="128"/>
        <v>#DIV/0!</v>
      </c>
      <c r="CT251" t="e">
        <f t="shared" si="129"/>
        <v>#DIV/0!</v>
      </c>
      <c r="CU251" t="e">
        <f t="shared" si="130"/>
        <v>#DIV/0!</v>
      </c>
      <c r="CV251" t="e">
        <f t="shared" si="131"/>
        <v>#DIV/0!</v>
      </c>
      <c r="CW251" t="e">
        <f t="shared" si="132"/>
        <v>#DIV/0!</v>
      </c>
      <c r="CX251" t="e">
        <f t="shared" si="133"/>
        <v>#DIV/0!</v>
      </c>
      <c r="CY251" t="e">
        <f t="shared" si="134"/>
        <v>#DIV/0!</v>
      </c>
      <c r="CZ251" t="e">
        <f t="shared" si="135"/>
        <v>#DIV/0!</v>
      </c>
      <c r="DA251" t="e">
        <f t="shared" si="136"/>
        <v>#DIV/0!</v>
      </c>
      <c r="DB251" t="e">
        <f t="shared" si="137"/>
        <v>#DIV/0!</v>
      </c>
      <c r="DC251" t="e">
        <f t="shared" si="138"/>
        <v>#DIV/0!</v>
      </c>
      <c r="DD251" t="e">
        <f t="shared" si="139"/>
        <v>#DIV/0!</v>
      </c>
      <c r="DE251" t="e">
        <f t="shared" si="140"/>
        <v>#DIV/0!</v>
      </c>
      <c r="DF251" t="e">
        <f t="shared" si="141"/>
        <v>#DIV/0!</v>
      </c>
      <c r="DG251" t="e">
        <f t="shared" si="142"/>
        <v>#DIV/0!</v>
      </c>
      <c r="DH251" t="e">
        <f t="shared" si="143"/>
        <v>#DIV/0!</v>
      </c>
      <c r="DI251" t="e">
        <f t="shared" si="144"/>
        <v>#DIV/0!</v>
      </c>
      <c r="DJ251" t="e">
        <f t="shared" si="145"/>
        <v>#DIV/0!</v>
      </c>
      <c r="DK251" t="e">
        <f t="shared" si="146"/>
        <v>#DIV/0!</v>
      </c>
      <c r="DL251" t="e">
        <f t="shared" si="147"/>
        <v>#DIV/0!</v>
      </c>
      <c r="DM251" t="e">
        <f t="shared" si="148"/>
        <v>#DIV/0!</v>
      </c>
      <c r="DN251" t="e">
        <f t="shared" si="149"/>
        <v>#DIV/0!</v>
      </c>
      <c r="DO251" t="e">
        <f t="shared" si="150"/>
        <v>#DIV/0!</v>
      </c>
      <c r="DP251" t="e">
        <f t="shared" si="151"/>
        <v>#DIV/0!</v>
      </c>
    </row>
    <row r="252" spans="1:120">
      <c r="A252" s="16" t="s">
        <v>838</v>
      </c>
      <c r="B252" s="16" t="s">
        <v>24</v>
      </c>
      <c r="C252" s="125" t="s">
        <v>1722</v>
      </c>
      <c r="D252" s="16" t="s">
        <v>1719</v>
      </c>
      <c r="E252" s="16" t="s">
        <v>388</v>
      </c>
      <c r="F252" s="16" t="s">
        <v>342</v>
      </c>
      <c r="G252" s="16" t="s">
        <v>829</v>
      </c>
      <c r="H252" s="27"/>
      <c r="I252" s="16" t="s">
        <v>735</v>
      </c>
      <c r="J252" s="16"/>
      <c r="K252" s="16" t="s">
        <v>903</v>
      </c>
      <c r="L252" s="16"/>
      <c r="M252" s="16">
        <v>11</v>
      </c>
      <c r="N252" s="16">
        <v>39</v>
      </c>
      <c r="O252" s="95">
        <v>38.692664239361505</v>
      </c>
      <c r="P252" s="95">
        <v>1.549359219408496</v>
      </c>
      <c r="Q252" s="95">
        <v>5.5570350669451392</v>
      </c>
      <c r="R252" s="95">
        <v>7.2819883312199307</v>
      </c>
      <c r="S252" s="95">
        <v>3.3776030983105212</v>
      </c>
      <c r="T252" s="95">
        <v>10.422023015887817</v>
      </c>
      <c r="U252" s="95">
        <v>3.8940561714466866</v>
      </c>
      <c r="V252" s="95">
        <v>3.2329962378323946</v>
      </c>
      <c r="W252" s="95">
        <v>16.691763323760863</v>
      </c>
      <c r="X252" s="95">
        <v>5.3814410220788433</v>
      </c>
      <c r="Y252" s="95">
        <v>5.061240116734421</v>
      </c>
      <c r="Z252" s="95">
        <v>101.14216984298663</v>
      </c>
      <c r="AA252" s="18"/>
      <c r="AB252" s="18"/>
      <c r="AC252" s="18"/>
      <c r="AD252" s="18"/>
      <c r="AE252" s="127"/>
      <c r="AF252" s="127"/>
      <c r="AG252" s="18"/>
      <c r="AH252" s="18"/>
      <c r="AI252" s="18"/>
      <c r="AJ252" s="18"/>
      <c r="AK252" s="134"/>
      <c r="AL252" s="18"/>
      <c r="AM252" s="134"/>
      <c r="AN252" s="127"/>
      <c r="AO252" s="18"/>
      <c r="AP252" s="18"/>
      <c r="AQ252" s="18"/>
      <c r="AR252" s="18"/>
      <c r="AS252" s="18"/>
      <c r="AT252" s="18"/>
      <c r="AU252" s="18"/>
      <c r="AV252" s="18"/>
      <c r="AW252" s="18"/>
      <c r="AX252" s="127"/>
      <c r="AY252" s="127"/>
      <c r="AZ252" s="127"/>
      <c r="BA252" s="127"/>
      <c r="BB252" s="18"/>
      <c r="BC252" s="127"/>
      <c r="BD252" s="18"/>
      <c r="BE252" s="18"/>
      <c r="BF252" s="18"/>
      <c r="BG252" s="18"/>
      <c r="BH252" s="127"/>
      <c r="BI252" s="127"/>
      <c r="BJ252" s="18"/>
      <c r="BK252" s="127"/>
      <c r="BL252" s="127"/>
      <c r="BM252" s="127"/>
      <c r="BN252" s="127"/>
      <c r="BO252" s="18"/>
      <c r="BP252" s="18"/>
      <c r="BQ252" s="18"/>
      <c r="BR252" s="18"/>
      <c r="BS252" s="18"/>
      <c r="BT252" s="18"/>
      <c r="BU252" s="18"/>
      <c r="BV252" s="18"/>
      <c r="BW252" s="18"/>
      <c r="BX252" s="18"/>
      <c r="BY252" s="127"/>
      <c r="BZ252" s="18"/>
      <c r="CA252" s="127"/>
      <c r="CB252" s="127"/>
      <c r="CC252" s="127"/>
      <c r="CE252" t="e">
        <f t="shared" si="114"/>
        <v>#DIV/0!</v>
      </c>
      <c r="CF252" t="e">
        <f t="shared" si="115"/>
        <v>#DIV/0!</v>
      </c>
      <c r="CG252" t="e">
        <f t="shared" si="116"/>
        <v>#DIV/0!</v>
      </c>
      <c r="CH252" t="e">
        <f t="shared" si="117"/>
        <v>#DIV/0!</v>
      </c>
      <c r="CI252" t="e">
        <f t="shared" si="118"/>
        <v>#DIV/0!</v>
      </c>
      <c r="CJ252" t="e">
        <f t="shared" si="119"/>
        <v>#DIV/0!</v>
      </c>
      <c r="CK252" t="e">
        <f t="shared" si="120"/>
        <v>#DIV/0!</v>
      </c>
      <c r="CL252" t="e">
        <f t="shared" si="121"/>
        <v>#DIV/0!</v>
      </c>
      <c r="CM252" t="e">
        <f t="shared" si="122"/>
        <v>#DIV/0!</v>
      </c>
      <c r="CN252" t="e">
        <f t="shared" si="123"/>
        <v>#DIV/0!</v>
      </c>
      <c r="CO252" t="e">
        <f t="shared" si="124"/>
        <v>#DIV/0!</v>
      </c>
      <c r="CP252" t="e">
        <f t="shared" si="125"/>
        <v>#DIV/0!</v>
      </c>
      <c r="CQ252" t="e">
        <f t="shared" si="126"/>
        <v>#DIV/0!</v>
      </c>
      <c r="CR252" t="e">
        <f t="shared" si="127"/>
        <v>#DIV/0!</v>
      </c>
      <c r="CS252" t="e">
        <f t="shared" si="128"/>
        <v>#DIV/0!</v>
      </c>
      <c r="CT252" t="e">
        <f t="shared" si="129"/>
        <v>#DIV/0!</v>
      </c>
      <c r="CU252" t="e">
        <f t="shared" si="130"/>
        <v>#DIV/0!</v>
      </c>
      <c r="CV252" t="e">
        <f t="shared" si="131"/>
        <v>#DIV/0!</v>
      </c>
      <c r="CW252" t="e">
        <f t="shared" si="132"/>
        <v>#DIV/0!</v>
      </c>
      <c r="CX252" t="e">
        <f t="shared" si="133"/>
        <v>#DIV/0!</v>
      </c>
      <c r="CY252" t="e">
        <f t="shared" si="134"/>
        <v>#DIV/0!</v>
      </c>
      <c r="CZ252" t="e">
        <f t="shared" si="135"/>
        <v>#DIV/0!</v>
      </c>
      <c r="DA252" t="e">
        <f t="shared" si="136"/>
        <v>#DIV/0!</v>
      </c>
      <c r="DB252" t="e">
        <f t="shared" si="137"/>
        <v>#DIV/0!</v>
      </c>
      <c r="DC252" t="e">
        <f t="shared" si="138"/>
        <v>#DIV/0!</v>
      </c>
      <c r="DD252" t="e">
        <f t="shared" si="139"/>
        <v>#DIV/0!</v>
      </c>
      <c r="DE252" t="e">
        <f t="shared" si="140"/>
        <v>#DIV/0!</v>
      </c>
      <c r="DF252" t="e">
        <f t="shared" si="141"/>
        <v>#DIV/0!</v>
      </c>
      <c r="DG252" t="e">
        <f t="shared" si="142"/>
        <v>#DIV/0!</v>
      </c>
      <c r="DH252" t="e">
        <f t="shared" si="143"/>
        <v>#DIV/0!</v>
      </c>
      <c r="DI252" t="e">
        <f t="shared" si="144"/>
        <v>#DIV/0!</v>
      </c>
      <c r="DJ252" t="e">
        <f t="shared" si="145"/>
        <v>#DIV/0!</v>
      </c>
      <c r="DK252" t="e">
        <f t="shared" si="146"/>
        <v>#DIV/0!</v>
      </c>
      <c r="DL252" t="e">
        <f t="shared" si="147"/>
        <v>#DIV/0!</v>
      </c>
      <c r="DM252" t="e">
        <f t="shared" si="148"/>
        <v>#DIV/0!</v>
      </c>
      <c r="DN252" t="e">
        <f t="shared" si="149"/>
        <v>#DIV/0!</v>
      </c>
      <c r="DO252" t="e">
        <f t="shared" si="150"/>
        <v>#DIV/0!</v>
      </c>
      <c r="DP252" t="e">
        <f t="shared" si="151"/>
        <v>#DIV/0!</v>
      </c>
    </row>
    <row r="253" spans="1:120">
      <c r="A253" s="16" t="s">
        <v>838</v>
      </c>
      <c r="B253" s="16" t="s">
        <v>24</v>
      </c>
      <c r="C253" s="125" t="s">
        <v>1722</v>
      </c>
      <c r="D253" s="16" t="s">
        <v>1719</v>
      </c>
      <c r="E253" s="16" t="s">
        <v>388</v>
      </c>
      <c r="F253" s="16" t="s">
        <v>342</v>
      </c>
      <c r="G253" s="16" t="s">
        <v>829</v>
      </c>
      <c r="H253" s="27"/>
      <c r="I253" s="16" t="s">
        <v>735</v>
      </c>
      <c r="J253" s="16"/>
      <c r="K253" s="16" t="s">
        <v>903</v>
      </c>
      <c r="L253" s="16"/>
      <c r="M253" s="16">
        <v>15</v>
      </c>
      <c r="N253" s="16">
        <v>60</v>
      </c>
      <c r="O253" s="95">
        <v>36.704652154864966</v>
      </c>
      <c r="P253" s="95">
        <v>2.2857498144814437</v>
      </c>
      <c r="Q253" s="95">
        <v>4.7347674728544185</v>
      </c>
      <c r="R253" s="95">
        <v>10.245057204193612</v>
      </c>
      <c r="S253" s="95">
        <v>6.6531646385799155</v>
      </c>
      <c r="T253" s="95">
        <v>11.132826105353818</v>
      </c>
      <c r="U253" s="95">
        <v>2.0612565291305875</v>
      </c>
      <c r="V253" s="95">
        <v>3.836794331450994</v>
      </c>
      <c r="W253" s="95">
        <v>13.020610550349652</v>
      </c>
      <c r="X253" s="95">
        <v>6.9388833653900956</v>
      </c>
      <c r="Y253" s="95">
        <v>3.0816805534526606</v>
      </c>
      <c r="Z253" s="95">
        <v>100.69544272010216</v>
      </c>
      <c r="AA253" s="18"/>
      <c r="AB253" s="18"/>
      <c r="AC253" s="18"/>
      <c r="AD253" s="18"/>
      <c r="AE253" s="127"/>
      <c r="AF253" s="127"/>
      <c r="AG253" s="18"/>
      <c r="AH253" s="18"/>
      <c r="AI253" s="18"/>
      <c r="AJ253" s="18"/>
      <c r="AK253" s="134"/>
      <c r="AL253" s="18"/>
      <c r="AM253" s="134"/>
      <c r="AN253" s="127"/>
      <c r="AO253" s="18"/>
      <c r="AP253" s="18"/>
      <c r="AQ253" s="18"/>
      <c r="AR253" s="18"/>
      <c r="AS253" s="18"/>
      <c r="AT253" s="18"/>
      <c r="AU253" s="18"/>
      <c r="AV253" s="18"/>
      <c r="AW253" s="18"/>
      <c r="AX253" s="127"/>
      <c r="AY253" s="127"/>
      <c r="AZ253" s="127"/>
      <c r="BA253" s="127"/>
      <c r="BB253" s="18"/>
      <c r="BC253" s="127"/>
      <c r="BD253" s="18"/>
      <c r="BE253" s="18"/>
      <c r="BF253" s="18"/>
      <c r="BG253" s="18"/>
      <c r="BH253" s="127"/>
      <c r="BI253" s="127"/>
      <c r="BJ253" s="18"/>
      <c r="BK253" s="127"/>
      <c r="BL253" s="127"/>
      <c r="BM253" s="127"/>
      <c r="BN253" s="127"/>
      <c r="BO253" s="18"/>
      <c r="BP253" s="18"/>
      <c r="BQ253" s="18"/>
      <c r="BR253" s="18"/>
      <c r="BS253" s="18"/>
      <c r="BT253" s="18"/>
      <c r="BU253" s="18"/>
      <c r="BV253" s="18"/>
      <c r="BW253" s="18"/>
      <c r="BX253" s="18"/>
      <c r="BY253" s="127"/>
      <c r="BZ253" s="18"/>
      <c r="CA253" s="127"/>
      <c r="CB253" s="127"/>
      <c r="CC253" s="127"/>
      <c r="CE253" t="e">
        <f t="shared" si="114"/>
        <v>#DIV/0!</v>
      </c>
      <c r="CF253" t="e">
        <f t="shared" si="115"/>
        <v>#DIV/0!</v>
      </c>
      <c r="CG253" t="e">
        <f t="shared" si="116"/>
        <v>#DIV/0!</v>
      </c>
      <c r="CH253" t="e">
        <f t="shared" si="117"/>
        <v>#DIV/0!</v>
      </c>
      <c r="CI253" t="e">
        <f t="shared" si="118"/>
        <v>#DIV/0!</v>
      </c>
      <c r="CJ253" t="e">
        <f t="shared" si="119"/>
        <v>#DIV/0!</v>
      </c>
      <c r="CK253" t="e">
        <f t="shared" si="120"/>
        <v>#DIV/0!</v>
      </c>
      <c r="CL253" t="e">
        <f t="shared" si="121"/>
        <v>#DIV/0!</v>
      </c>
      <c r="CM253" t="e">
        <f t="shared" si="122"/>
        <v>#DIV/0!</v>
      </c>
      <c r="CN253" t="e">
        <f t="shared" si="123"/>
        <v>#DIV/0!</v>
      </c>
      <c r="CO253" t="e">
        <f t="shared" si="124"/>
        <v>#DIV/0!</v>
      </c>
      <c r="CP253" t="e">
        <f t="shared" si="125"/>
        <v>#DIV/0!</v>
      </c>
      <c r="CQ253" t="e">
        <f t="shared" si="126"/>
        <v>#DIV/0!</v>
      </c>
      <c r="CR253" t="e">
        <f t="shared" si="127"/>
        <v>#DIV/0!</v>
      </c>
      <c r="CS253" t="e">
        <f t="shared" si="128"/>
        <v>#DIV/0!</v>
      </c>
      <c r="CT253" t="e">
        <f t="shared" si="129"/>
        <v>#DIV/0!</v>
      </c>
      <c r="CU253" t="e">
        <f t="shared" si="130"/>
        <v>#DIV/0!</v>
      </c>
      <c r="CV253" t="e">
        <f t="shared" si="131"/>
        <v>#DIV/0!</v>
      </c>
      <c r="CW253" t="e">
        <f t="shared" si="132"/>
        <v>#DIV/0!</v>
      </c>
      <c r="CX253" t="e">
        <f t="shared" si="133"/>
        <v>#DIV/0!</v>
      </c>
      <c r="CY253" t="e">
        <f t="shared" si="134"/>
        <v>#DIV/0!</v>
      </c>
      <c r="CZ253" t="e">
        <f t="shared" si="135"/>
        <v>#DIV/0!</v>
      </c>
      <c r="DA253" t="e">
        <f t="shared" si="136"/>
        <v>#DIV/0!</v>
      </c>
      <c r="DB253" t="e">
        <f t="shared" si="137"/>
        <v>#DIV/0!</v>
      </c>
      <c r="DC253" t="e">
        <f t="shared" si="138"/>
        <v>#DIV/0!</v>
      </c>
      <c r="DD253" t="e">
        <f t="shared" si="139"/>
        <v>#DIV/0!</v>
      </c>
      <c r="DE253" t="e">
        <f t="shared" si="140"/>
        <v>#DIV/0!</v>
      </c>
      <c r="DF253" t="e">
        <f t="shared" si="141"/>
        <v>#DIV/0!</v>
      </c>
      <c r="DG253" t="e">
        <f t="shared" si="142"/>
        <v>#DIV/0!</v>
      </c>
      <c r="DH253" t="e">
        <f t="shared" si="143"/>
        <v>#DIV/0!</v>
      </c>
      <c r="DI253" t="e">
        <f t="shared" si="144"/>
        <v>#DIV/0!</v>
      </c>
      <c r="DJ253" t="e">
        <f t="shared" si="145"/>
        <v>#DIV/0!</v>
      </c>
      <c r="DK253" t="e">
        <f t="shared" si="146"/>
        <v>#DIV/0!</v>
      </c>
      <c r="DL253" t="e">
        <f t="shared" si="147"/>
        <v>#DIV/0!</v>
      </c>
      <c r="DM253" t="e">
        <f t="shared" si="148"/>
        <v>#DIV/0!</v>
      </c>
      <c r="DN253" t="e">
        <f t="shared" si="149"/>
        <v>#DIV/0!</v>
      </c>
      <c r="DO253" t="e">
        <f t="shared" si="150"/>
        <v>#DIV/0!</v>
      </c>
      <c r="DP253" t="e">
        <f t="shared" si="151"/>
        <v>#DIV/0!</v>
      </c>
    </row>
    <row r="254" spans="1:120">
      <c r="A254" s="16" t="s">
        <v>838</v>
      </c>
      <c r="B254" s="16" t="s">
        <v>24</v>
      </c>
      <c r="C254" s="125" t="s">
        <v>1722</v>
      </c>
      <c r="D254" s="16" t="s">
        <v>1719</v>
      </c>
      <c r="E254" s="16" t="s">
        <v>388</v>
      </c>
      <c r="F254" s="16" t="s">
        <v>342</v>
      </c>
      <c r="G254" s="16" t="s">
        <v>829</v>
      </c>
      <c r="H254" s="27"/>
      <c r="I254" s="16" t="s">
        <v>735</v>
      </c>
      <c r="J254" s="16"/>
      <c r="K254" s="16" t="s">
        <v>903</v>
      </c>
      <c r="L254" s="16"/>
      <c r="M254" s="16">
        <v>16</v>
      </c>
      <c r="N254" s="16">
        <v>50</v>
      </c>
      <c r="O254" s="95">
        <v>28.961233979309988</v>
      </c>
      <c r="P254" s="95">
        <v>2.1047708342640674</v>
      </c>
      <c r="Q254" s="95">
        <v>4.4365267584977888</v>
      </c>
      <c r="R254" s="95">
        <v>9.1825786396814717</v>
      </c>
      <c r="S254" s="95">
        <v>5.1071645243172226</v>
      </c>
      <c r="T254" s="95">
        <v>13.092912689613243</v>
      </c>
      <c r="U254" s="95">
        <v>3.7968415049469453</v>
      </c>
      <c r="V254" s="95">
        <v>3.3738238372762255</v>
      </c>
      <c r="W254" s="95">
        <v>18.602459873422124</v>
      </c>
      <c r="X254" s="95">
        <v>7.0674903013278723</v>
      </c>
      <c r="Y254" s="95">
        <v>5.5198646878984121</v>
      </c>
      <c r="Z254" s="95">
        <v>101.24566763055535</v>
      </c>
      <c r="AA254" s="18"/>
      <c r="AB254" s="18"/>
      <c r="AC254" s="18"/>
      <c r="AD254" s="18"/>
      <c r="AE254" s="127"/>
      <c r="AF254" s="127"/>
      <c r="AG254" s="18"/>
      <c r="AH254" s="18"/>
      <c r="AI254" s="18"/>
      <c r="AJ254" s="18"/>
      <c r="AK254" s="134"/>
      <c r="AL254" s="18"/>
      <c r="AM254" s="134"/>
      <c r="AN254" s="127"/>
      <c r="AO254" s="18"/>
      <c r="AP254" s="18"/>
      <c r="AQ254" s="18"/>
      <c r="AR254" s="18"/>
      <c r="AS254" s="18"/>
      <c r="AT254" s="18"/>
      <c r="AU254" s="18"/>
      <c r="AV254" s="18"/>
      <c r="AW254" s="18"/>
      <c r="AX254" s="127"/>
      <c r="AY254" s="127"/>
      <c r="AZ254" s="127"/>
      <c r="BA254" s="127"/>
      <c r="BB254" s="18"/>
      <c r="BC254" s="127"/>
      <c r="BD254" s="18"/>
      <c r="BE254" s="18"/>
      <c r="BF254" s="18"/>
      <c r="BG254" s="18"/>
      <c r="BH254" s="127"/>
      <c r="BI254" s="127"/>
      <c r="BJ254" s="18"/>
      <c r="BK254" s="127"/>
      <c r="BL254" s="127"/>
      <c r="BM254" s="127"/>
      <c r="BN254" s="127"/>
      <c r="BO254" s="18"/>
      <c r="BP254" s="18"/>
      <c r="BQ254" s="18"/>
      <c r="BR254" s="18"/>
      <c r="BS254" s="18"/>
      <c r="BT254" s="18"/>
      <c r="BU254" s="18"/>
      <c r="BV254" s="18"/>
      <c r="BW254" s="18"/>
      <c r="BX254" s="18"/>
      <c r="BY254" s="127"/>
      <c r="BZ254" s="18"/>
      <c r="CA254" s="127"/>
      <c r="CB254" s="127"/>
      <c r="CC254" s="127"/>
      <c r="CE254" t="e">
        <f t="shared" si="114"/>
        <v>#DIV/0!</v>
      </c>
      <c r="CF254" t="e">
        <f t="shared" si="115"/>
        <v>#DIV/0!</v>
      </c>
      <c r="CG254" t="e">
        <f t="shared" si="116"/>
        <v>#DIV/0!</v>
      </c>
      <c r="CH254" t="e">
        <f t="shared" si="117"/>
        <v>#DIV/0!</v>
      </c>
      <c r="CI254" t="e">
        <f t="shared" si="118"/>
        <v>#DIV/0!</v>
      </c>
      <c r="CJ254" t="e">
        <f t="shared" si="119"/>
        <v>#DIV/0!</v>
      </c>
      <c r="CK254" t="e">
        <f t="shared" si="120"/>
        <v>#DIV/0!</v>
      </c>
      <c r="CL254" t="e">
        <f t="shared" si="121"/>
        <v>#DIV/0!</v>
      </c>
      <c r="CM254" t="e">
        <f t="shared" si="122"/>
        <v>#DIV/0!</v>
      </c>
      <c r="CN254" t="e">
        <f t="shared" si="123"/>
        <v>#DIV/0!</v>
      </c>
      <c r="CO254" t="e">
        <f t="shared" si="124"/>
        <v>#DIV/0!</v>
      </c>
      <c r="CP254" t="e">
        <f t="shared" si="125"/>
        <v>#DIV/0!</v>
      </c>
      <c r="CQ254" t="e">
        <f t="shared" si="126"/>
        <v>#DIV/0!</v>
      </c>
      <c r="CR254" t="e">
        <f t="shared" si="127"/>
        <v>#DIV/0!</v>
      </c>
      <c r="CS254" t="e">
        <f t="shared" si="128"/>
        <v>#DIV/0!</v>
      </c>
      <c r="CT254" t="e">
        <f t="shared" si="129"/>
        <v>#DIV/0!</v>
      </c>
      <c r="CU254" t="e">
        <f t="shared" si="130"/>
        <v>#DIV/0!</v>
      </c>
      <c r="CV254" t="e">
        <f t="shared" si="131"/>
        <v>#DIV/0!</v>
      </c>
      <c r="CW254" t="e">
        <f t="shared" si="132"/>
        <v>#DIV/0!</v>
      </c>
      <c r="CX254" t="e">
        <f t="shared" si="133"/>
        <v>#DIV/0!</v>
      </c>
      <c r="CY254" t="e">
        <f t="shared" si="134"/>
        <v>#DIV/0!</v>
      </c>
      <c r="CZ254" t="e">
        <f t="shared" si="135"/>
        <v>#DIV/0!</v>
      </c>
      <c r="DA254" t="e">
        <f t="shared" si="136"/>
        <v>#DIV/0!</v>
      </c>
      <c r="DB254" t="e">
        <f t="shared" si="137"/>
        <v>#DIV/0!</v>
      </c>
      <c r="DC254" t="e">
        <f t="shared" si="138"/>
        <v>#DIV/0!</v>
      </c>
      <c r="DD254" t="e">
        <f t="shared" si="139"/>
        <v>#DIV/0!</v>
      </c>
      <c r="DE254" t="e">
        <f t="shared" si="140"/>
        <v>#DIV/0!</v>
      </c>
      <c r="DF254" t="e">
        <f t="shared" si="141"/>
        <v>#DIV/0!</v>
      </c>
      <c r="DG254" t="e">
        <f t="shared" si="142"/>
        <v>#DIV/0!</v>
      </c>
      <c r="DH254" t="e">
        <f t="shared" si="143"/>
        <v>#DIV/0!</v>
      </c>
      <c r="DI254" t="e">
        <f t="shared" si="144"/>
        <v>#DIV/0!</v>
      </c>
      <c r="DJ254" t="e">
        <f t="shared" si="145"/>
        <v>#DIV/0!</v>
      </c>
      <c r="DK254" t="e">
        <f t="shared" si="146"/>
        <v>#DIV/0!</v>
      </c>
      <c r="DL254" t="e">
        <f t="shared" si="147"/>
        <v>#DIV/0!</v>
      </c>
      <c r="DM254" t="e">
        <f t="shared" si="148"/>
        <v>#DIV/0!</v>
      </c>
      <c r="DN254" t="e">
        <f t="shared" si="149"/>
        <v>#DIV/0!</v>
      </c>
      <c r="DO254" t="e">
        <f t="shared" si="150"/>
        <v>#DIV/0!</v>
      </c>
      <c r="DP254" t="e">
        <f t="shared" si="151"/>
        <v>#DIV/0!</v>
      </c>
    </row>
    <row r="255" spans="1:120">
      <c r="A255" s="16" t="s">
        <v>838</v>
      </c>
      <c r="B255" s="16" t="s">
        <v>24</v>
      </c>
      <c r="C255" s="125" t="s">
        <v>1722</v>
      </c>
      <c r="D255" s="16" t="s">
        <v>1719</v>
      </c>
      <c r="E255" s="16" t="s">
        <v>388</v>
      </c>
      <c r="F255" s="16" t="s">
        <v>342</v>
      </c>
      <c r="G255" s="16" t="s">
        <v>829</v>
      </c>
      <c r="H255" s="27"/>
      <c r="I255" s="16" t="s">
        <v>735</v>
      </c>
      <c r="J255" s="16"/>
      <c r="K255" s="16" t="s">
        <v>903</v>
      </c>
      <c r="L255" s="16"/>
      <c r="M255" s="16">
        <v>19</v>
      </c>
      <c r="N255" s="16">
        <v>42</v>
      </c>
      <c r="O255" s="95">
        <v>39.599998901151487</v>
      </c>
      <c r="P255" s="95">
        <v>1.9579600802795583</v>
      </c>
      <c r="Q255" s="95">
        <v>6.2121665374314787</v>
      </c>
      <c r="R255" s="95">
        <v>7.4012941254546663</v>
      </c>
      <c r="S255" s="95">
        <v>4.4387262552934494</v>
      </c>
      <c r="T255" s="95">
        <v>9.6770383025335249</v>
      </c>
      <c r="U255" s="95">
        <v>2.8088013717099427</v>
      </c>
      <c r="V255" s="95">
        <v>3.4956250647923008</v>
      </c>
      <c r="W255" s="95">
        <v>15.868702640171501</v>
      </c>
      <c r="X255" s="95">
        <v>5.5868494437296308</v>
      </c>
      <c r="Y255" s="95">
        <v>3.8134091615916006</v>
      </c>
      <c r="Z255" s="95">
        <v>100.86057188413918</v>
      </c>
      <c r="AA255" s="18"/>
      <c r="AB255" s="18"/>
      <c r="AC255" s="18"/>
      <c r="AD255" s="18"/>
      <c r="AE255" s="127"/>
      <c r="AF255" s="127"/>
      <c r="AG255" s="18"/>
      <c r="AH255" s="18"/>
      <c r="AI255" s="18"/>
      <c r="AJ255" s="18"/>
      <c r="AK255" s="134"/>
      <c r="AL255" s="18"/>
      <c r="AM255" s="134"/>
      <c r="AN255" s="127"/>
      <c r="AO255" s="18"/>
      <c r="AP255" s="18"/>
      <c r="AQ255" s="18"/>
      <c r="AR255" s="18"/>
      <c r="AS255" s="18"/>
      <c r="AT255" s="18"/>
      <c r="AU255" s="18"/>
      <c r="AV255" s="18"/>
      <c r="AW255" s="18"/>
      <c r="AX255" s="127"/>
      <c r="AY255" s="127"/>
      <c r="AZ255" s="127"/>
      <c r="BA255" s="127"/>
      <c r="BB255" s="18"/>
      <c r="BC255" s="127"/>
      <c r="BD255" s="18"/>
      <c r="BE255" s="18"/>
      <c r="BF255" s="18"/>
      <c r="BG255" s="18"/>
      <c r="BH255" s="127"/>
      <c r="BI255" s="127"/>
      <c r="BJ255" s="18"/>
      <c r="BK255" s="127"/>
      <c r="BL255" s="127"/>
      <c r="BM255" s="127"/>
      <c r="BN255" s="127"/>
      <c r="BO255" s="18"/>
      <c r="BP255" s="18"/>
      <c r="BQ255" s="18"/>
      <c r="BR255" s="18"/>
      <c r="BS255" s="18"/>
      <c r="BT255" s="18"/>
      <c r="BU255" s="18"/>
      <c r="BV255" s="18"/>
      <c r="BW255" s="18"/>
      <c r="BX255" s="18"/>
      <c r="BY255" s="127"/>
      <c r="BZ255" s="18"/>
      <c r="CA255" s="127"/>
      <c r="CB255" s="127"/>
      <c r="CC255" s="127"/>
      <c r="CE255" t="e">
        <f t="shared" si="114"/>
        <v>#DIV/0!</v>
      </c>
      <c r="CF255" t="e">
        <f t="shared" si="115"/>
        <v>#DIV/0!</v>
      </c>
      <c r="CG255" t="e">
        <f t="shared" si="116"/>
        <v>#DIV/0!</v>
      </c>
      <c r="CH255" t="e">
        <f t="shared" si="117"/>
        <v>#DIV/0!</v>
      </c>
      <c r="CI255" t="e">
        <f t="shared" si="118"/>
        <v>#DIV/0!</v>
      </c>
      <c r="CJ255" t="e">
        <f t="shared" si="119"/>
        <v>#DIV/0!</v>
      </c>
      <c r="CK255" t="e">
        <f t="shared" si="120"/>
        <v>#DIV/0!</v>
      </c>
      <c r="CL255" t="e">
        <f t="shared" si="121"/>
        <v>#DIV/0!</v>
      </c>
      <c r="CM255" t="e">
        <f t="shared" si="122"/>
        <v>#DIV/0!</v>
      </c>
      <c r="CN255" t="e">
        <f t="shared" si="123"/>
        <v>#DIV/0!</v>
      </c>
      <c r="CO255" t="e">
        <f t="shared" si="124"/>
        <v>#DIV/0!</v>
      </c>
      <c r="CP255" t="e">
        <f t="shared" si="125"/>
        <v>#DIV/0!</v>
      </c>
      <c r="CQ255" t="e">
        <f t="shared" si="126"/>
        <v>#DIV/0!</v>
      </c>
      <c r="CR255" t="e">
        <f t="shared" si="127"/>
        <v>#DIV/0!</v>
      </c>
      <c r="CS255" t="e">
        <f t="shared" si="128"/>
        <v>#DIV/0!</v>
      </c>
      <c r="CT255" t="e">
        <f t="shared" si="129"/>
        <v>#DIV/0!</v>
      </c>
      <c r="CU255" t="e">
        <f t="shared" si="130"/>
        <v>#DIV/0!</v>
      </c>
      <c r="CV255" t="e">
        <f t="shared" si="131"/>
        <v>#DIV/0!</v>
      </c>
      <c r="CW255" t="e">
        <f t="shared" si="132"/>
        <v>#DIV/0!</v>
      </c>
      <c r="CX255" t="e">
        <f t="shared" si="133"/>
        <v>#DIV/0!</v>
      </c>
      <c r="CY255" t="e">
        <f t="shared" si="134"/>
        <v>#DIV/0!</v>
      </c>
      <c r="CZ255" t="e">
        <f t="shared" si="135"/>
        <v>#DIV/0!</v>
      </c>
      <c r="DA255" t="e">
        <f t="shared" si="136"/>
        <v>#DIV/0!</v>
      </c>
      <c r="DB255" t="e">
        <f t="shared" si="137"/>
        <v>#DIV/0!</v>
      </c>
      <c r="DC255" t="e">
        <f t="shared" si="138"/>
        <v>#DIV/0!</v>
      </c>
      <c r="DD255" t="e">
        <f t="shared" si="139"/>
        <v>#DIV/0!</v>
      </c>
      <c r="DE255" t="e">
        <f t="shared" si="140"/>
        <v>#DIV/0!</v>
      </c>
      <c r="DF255" t="e">
        <f t="shared" si="141"/>
        <v>#DIV/0!</v>
      </c>
      <c r="DG255" t="e">
        <f t="shared" si="142"/>
        <v>#DIV/0!</v>
      </c>
      <c r="DH255" t="e">
        <f t="shared" si="143"/>
        <v>#DIV/0!</v>
      </c>
      <c r="DI255" t="e">
        <f t="shared" si="144"/>
        <v>#DIV/0!</v>
      </c>
      <c r="DJ255" t="e">
        <f t="shared" si="145"/>
        <v>#DIV/0!</v>
      </c>
      <c r="DK255" t="e">
        <f t="shared" si="146"/>
        <v>#DIV/0!</v>
      </c>
      <c r="DL255" t="e">
        <f t="shared" si="147"/>
        <v>#DIV/0!</v>
      </c>
      <c r="DM255" t="e">
        <f t="shared" si="148"/>
        <v>#DIV/0!</v>
      </c>
      <c r="DN255" t="e">
        <f t="shared" si="149"/>
        <v>#DIV/0!</v>
      </c>
      <c r="DO255" t="e">
        <f t="shared" si="150"/>
        <v>#DIV/0!</v>
      </c>
      <c r="DP255" t="e">
        <f t="shared" si="151"/>
        <v>#DIV/0!</v>
      </c>
    </row>
    <row r="256" spans="1:120">
      <c r="A256" s="16" t="s">
        <v>838</v>
      </c>
      <c r="B256" s="16" t="s">
        <v>24</v>
      </c>
      <c r="C256" s="125" t="s">
        <v>1722</v>
      </c>
      <c r="D256" s="16" t="s">
        <v>1719</v>
      </c>
      <c r="E256" s="16" t="s">
        <v>388</v>
      </c>
      <c r="F256" s="16" t="s">
        <v>342</v>
      </c>
      <c r="G256" s="16" t="s">
        <v>829</v>
      </c>
      <c r="H256" s="27"/>
      <c r="I256" s="16" t="s">
        <v>735</v>
      </c>
      <c r="J256" s="16"/>
      <c r="K256" s="16" t="s">
        <v>903</v>
      </c>
      <c r="L256" s="16"/>
      <c r="M256" s="16">
        <v>22</v>
      </c>
      <c r="N256" s="16">
        <v>39</v>
      </c>
      <c r="O256" s="95">
        <v>37.458630213559104</v>
      </c>
      <c r="P256" s="95">
        <v>2.1731567157165164</v>
      </c>
      <c r="Q256" s="95">
        <v>6.0868986681917603</v>
      </c>
      <c r="R256" s="95">
        <v>8.1673614955601792</v>
      </c>
      <c r="S256" s="95">
        <v>4.7479869476081245</v>
      </c>
      <c r="T256" s="95">
        <v>11.30865437846794</v>
      </c>
      <c r="U256" s="95">
        <v>2.9456057852839987</v>
      </c>
      <c r="V256" s="95">
        <v>3.2133881294007258</v>
      </c>
      <c r="W256" s="95">
        <v>15.31509021929128</v>
      </c>
      <c r="X256" s="95">
        <v>5.3453475614069772</v>
      </c>
      <c r="Y256" s="95">
        <v>4.1815242965919701</v>
      </c>
      <c r="Z256" s="95">
        <v>100.94364441107858</v>
      </c>
      <c r="AA256" s="18"/>
      <c r="AB256" s="18"/>
      <c r="AC256" s="18"/>
      <c r="AD256" s="18"/>
      <c r="AE256" s="127"/>
      <c r="AF256" s="127"/>
      <c r="AG256" s="18"/>
      <c r="AH256" s="18"/>
      <c r="AI256" s="18"/>
      <c r="AJ256" s="18"/>
      <c r="AK256" s="134"/>
      <c r="AL256" s="18"/>
      <c r="AM256" s="134"/>
      <c r="AN256" s="127"/>
      <c r="AO256" s="18"/>
      <c r="AP256" s="18"/>
      <c r="AQ256" s="18"/>
      <c r="AR256" s="18"/>
      <c r="AS256" s="18"/>
      <c r="AT256" s="18"/>
      <c r="AU256" s="18"/>
      <c r="AV256" s="18"/>
      <c r="AW256" s="18"/>
      <c r="AX256" s="127"/>
      <c r="AY256" s="127"/>
      <c r="AZ256" s="127"/>
      <c r="BA256" s="127"/>
      <c r="BB256" s="18"/>
      <c r="BC256" s="127"/>
      <c r="BD256" s="18"/>
      <c r="BE256" s="18"/>
      <c r="BF256" s="18"/>
      <c r="BG256" s="18"/>
      <c r="BH256" s="127"/>
      <c r="BI256" s="127"/>
      <c r="BJ256" s="18"/>
      <c r="BK256" s="127"/>
      <c r="BL256" s="127"/>
      <c r="BM256" s="127"/>
      <c r="BN256" s="127"/>
      <c r="BO256" s="18"/>
      <c r="BP256" s="18"/>
      <c r="BQ256" s="18"/>
      <c r="BR256" s="18"/>
      <c r="BS256" s="18"/>
      <c r="BT256" s="18"/>
      <c r="BU256" s="18"/>
      <c r="BV256" s="18"/>
      <c r="BW256" s="18"/>
      <c r="BX256" s="18"/>
      <c r="BY256" s="127"/>
      <c r="BZ256" s="18"/>
      <c r="CA256" s="127"/>
      <c r="CB256" s="127"/>
      <c r="CC256" s="127"/>
      <c r="CE256" t="e">
        <f t="shared" si="114"/>
        <v>#DIV/0!</v>
      </c>
      <c r="CF256" t="e">
        <f t="shared" si="115"/>
        <v>#DIV/0!</v>
      </c>
      <c r="CG256" t="e">
        <f t="shared" si="116"/>
        <v>#DIV/0!</v>
      </c>
      <c r="CH256" t="e">
        <f t="shared" si="117"/>
        <v>#DIV/0!</v>
      </c>
      <c r="CI256" t="e">
        <f t="shared" si="118"/>
        <v>#DIV/0!</v>
      </c>
      <c r="CJ256" t="e">
        <f t="shared" si="119"/>
        <v>#DIV/0!</v>
      </c>
      <c r="CK256" t="e">
        <f t="shared" si="120"/>
        <v>#DIV/0!</v>
      </c>
      <c r="CL256" t="e">
        <f t="shared" si="121"/>
        <v>#DIV/0!</v>
      </c>
      <c r="CM256" t="e">
        <f t="shared" si="122"/>
        <v>#DIV/0!</v>
      </c>
      <c r="CN256" t="e">
        <f t="shared" si="123"/>
        <v>#DIV/0!</v>
      </c>
      <c r="CO256" t="e">
        <f t="shared" si="124"/>
        <v>#DIV/0!</v>
      </c>
      <c r="CP256" t="e">
        <f t="shared" si="125"/>
        <v>#DIV/0!</v>
      </c>
      <c r="CQ256" t="e">
        <f t="shared" si="126"/>
        <v>#DIV/0!</v>
      </c>
      <c r="CR256" t="e">
        <f t="shared" si="127"/>
        <v>#DIV/0!</v>
      </c>
      <c r="CS256" t="e">
        <f t="shared" si="128"/>
        <v>#DIV/0!</v>
      </c>
      <c r="CT256" t="e">
        <f t="shared" si="129"/>
        <v>#DIV/0!</v>
      </c>
      <c r="CU256" t="e">
        <f t="shared" si="130"/>
        <v>#DIV/0!</v>
      </c>
      <c r="CV256" t="e">
        <f t="shared" si="131"/>
        <v>#DIV/0!</v>
      </c>
      <c r="CW256" t="e">
        <f t="shared" si="132"/>
        <v>#DIV/0!</v>
      </c>
      <c r="CX256" t="e">
        <f t="shared" si="133"/>
        <v>#DIV/0!</v>
      </c>
      <c r="CY256" t="e">
        <f t="shared" si="134"/>
        <v>#DIV/0!</v>
      </c>
      <c r="CZ256" t="e">
        <f t="shared" si="135"/>
        <v>#DIV/0!</v>
      </c>
      <c r="DA256" t="e">
        <f t="shared" si="136"/>
        <v>#DIV/0!</v>
      </c>
      <c r="DB256" t="e">
        <f t="shared" si="137"/>
        <v>#DIV/0!</v>
      </c>
      <c r="DC256" t="e">
        <f t="shared" si="138"/>
        <v>#DIV/0!</v>
      </c>
      <c r="DD256" t="e">
        <f t="shared" si="139"/>
        <v>#DIV/0!</v>
      </c>
      <c r="DE256" t="e">
        <f t="shared" si="140"/>
        <v>#DIV/0!</v>
      </c>
      <c r="DF256" t="e">
        <f t="shared" si="141"/>
        <v>#DIV/0!</v>
      </c>
      <c r="DG256" t="e">
        <f t="shared" si="142"/>
        <v>#DIV/0!</v>
      </c>
      <c r="DH256" t="e">
        <f t="shared" si="143"/>
        <v>#DIV/0!</v>
      </c>
      <c r="DI256" t="e">
        <f t="shared" si="144"/>
        <v>#DIV/0!</v>
      </c>
      <c r="DJ256" t="e">
        <f t="shared" si="145"/>
        <v>#DIV/0!</v>
      </c>
      <c r="DK256" t="e">
        <f t="shared" si="146"/>
        <v>#DIV/0!</v>
      </c>
      <c r="DL256" t="e">
        <f t="shared" si="147"/>
        <v>#DIV/0!</v>
      </c>
      <c r="DM256" t="e">
        <f t="shared" si="148"/>
        <v>#DIV/0!</v>
      </c>
      <c r="DN256" t="e">
        <f t="shared" si="149"/>
        <v>#DIV/0!</v>
      </c>
      <c r="DO256" t="e">
        <f t="shared" si="150"/>
        <v>#DIV/0!</v>
      </c>
      <c r="DP256" t="e">
        <f t="shared" si="151"/>
        <v>#DIV/0!</v>
      </c>
    </row>
    <row r="257" spans="1:120">
      <c r="A257" s="16" t="s">
        <v>838</v>
      </c>
      <c r="B257" s="16" t="s">
        <v>24</v>
      </c>
      <c r="C257" s="125" t="s">
        <v>1722</v>
      </c>
      <c r="D257" s="16" t="s">
        <v>1719</v>
      </c>
      <c r="E257" s="16" t="s">
        <v>388</v>
      </c>
      <c r="F257" s="16" t="s">
        <v>342</v>
      </c>
      <c r="G257" s="16" t="s">
        <v>829</v>
      </c>
      <c r="H257" s="27"/>
      <c r="I257" s="16" t="s">
        <v>735</v>
      </c>
      <c r="J257" s="16"/>
      <c r="K257" s="16" t="s">
        <v>903</v>
      </c>
      <c r="L257" s="16"/>
      <c r="M257" s="16">
        <v>24</v>
      </c>
      <c r="N257" s="16">
        <v>42</v>
      </c>
      <c r="O257" s="95">
        <v>27.315694721595207</v>
      </c>
      <c r="P257" s="95">
        <v>2.2745281374901407</v>
      </c>
      <c r="Q257" s="95">
        <v>5.2218040339562384</v>
      </c>
      <c r="R257" s="95">
        <v>6.9944409861786019</v>
      </c>
      <c r="S257" s="95">
        <v>3.9830938745719364</v>
      </c>
      <c r="T257" s="95">
        <v>18.142832420637315</v>
      </c>
      <c r="U257" s="95">
        <v>6.2255864044917937</v>
      </c>
      <c r="V257" s="95">
        <v>3.3637387948797857</v>
      </c>
      <c r="W257" s="95">
        <v>15.676090637725476</v>
      </c>
      <c r="X257" s="95">
        <v>4.9975547809642524</v>
      </c>
      <c r="Y257" s="95">
        <v>7.4963321714463795</v>
      </c>
      <c r="Z257" s="95">
        <v>101.69169696393712</v>
      </c>
      <c r="AA257" s="18"/>
      <c r="AB257" s="18"/>
      <c r="AC257" s="18"/>
      <c r="AD257" s="18"/>
      <c r="AE257" s="127"/>
      <c r="AF257" s="127"/>
      <c r="AG257" s="18"/>
      <c r="AH257" s="18"/>
      <c r="AI257" s="18"/>
      <c r="AJ257" s="18"/>
      <c r="AK257" s="134"/>
      <c r="AL257" s="18"/>
      <c r="AM257" s="134"/>
      <c r="AN257" s="127"/>
      <c r="AO257" s="18"/>
      <c r="AP257" s="18"/>
      <c r="AQ257" s="18"/>
      <c r="AR257" s="18"/>
      <c r="AS257" s="18"/>
      <c r="AT257" s="18"/>
      <c r="AU257" s="18"/>
      <c r="AV257" s="18"/>
      <c r="AW257" s="18"/>
      <c r="AX257" s="127"/>
      <c r="AY257" s="127"/>
      <c r="AZ257" s="127"/>
      <c r="BA257" s="127"/>
      <c r="BB257" s="18"/>
      <c r="BC257" s="127"/>
      <c r="BD257" s="18"/>
      <c r="BE257" s="18"/>
      <c r="BF257" s="18"/>
      <c r="BG257" s="18"/>
      <c r="BH257" s="127"/>
      <c r="BI257" s="127"/>
      <c r="BJ257" s="18"/>
      <c r="BK257" s="127"/>
      <c r="BL257" s="127"/>
      <c r="BM257" s="127"/>
      <c r="BN257" s="127"/>
      <c r="BO257" s="18"/>
      <c r="BP257" s="18"/>
      <c r="BQ257" s="18"/>
      <c r="BR257" s="18"/>
      <c r="BS257" s="18"/>
      <c r="BT257" s="18"/>
      <c r="BU257" s="18"/>
      <c r="BV257" s="18"/>
      <c r="BW257" s="18"/>
      <c r="BX257" s="18"/>
      <c r="BY257" s="127"/>
      <c r="BZ257" s="18"/>
      <c r="CA257" s="127"/>
      <c r="CB257" s="127"/>
      <c r="CC257" s="127"/>
      <c r="CE257" t="e">
        <f t="shared" si="114"/>
        <v>#DIV/0!</v>
      </c>
      <c r="CF257" t="e">
        <f t="shared" si="115"/>
        <v>#DIV/0!</v>
      </c>
      <c r="CG257" t="e">
        <f t="shared" si="116"/>
        <v>#DIV/0!</v>
      </c>
      <c r="CH257" t="e">
        <f t="shared" si="117"/>
        <v>#DIV/0!</v>
      </c>
      <c r="CI257" t="e">
        <f t="shared" si="118"/>
        <v>#DIV/0!</v>
      </c>
      <c r="CJ257" t="e">
        <f t="shared" si="119"/>
        <v>#DIV/0!</v>
      </c>
      <c r="CK257" t="e">
        <f t="shared" si="120"/>
        <v>#DIV/0!</v>
      </c>
      <c r="CL257" t="e">
        <f t="shared" si="121"/>
        <v>#DIV/0!</v>
      </c>
      <c r="CM257" t="e">
        <f t="shared" si="122"/>
        <v>#DIV/0!</v>
      </c>
      <c r="CN257" t="e">
        <f t="shared" si="123"/>
        <v>#DIV/0!</v>
      </c>
      <c r="CO257" t="e">
        <f t="shared" si="124"/>
        <v>#DIV/0!</v>
      </c>
      <c r="CP257" t="e">
        <f t="shared" si="125"/>
        <v>#DIV/0!</v>
      </c>
      <c r="CQ257" t="e">
        <f t="shared" si="126"/>
        <v>#DIV/0!</v>
      </c>
      <c r="CR257" t="e">
        <f t="shared" si="127"/>
        <v>#DIV/0!</v>
      </c>
      <c r="CS257" t="e">
        <f t="shared" si="128"/>
        <v>#DIV/0!</v>
      </c>
      <c r="CT257" t="e">
        <f t="shared" si="129"/>
        <v>#DIV/0!</v>
      </c>
      <c r="CU257" t="e">
        <f t="shared" si="130"/>
        <v>#DIV/0!</v>
      </c>
      <c r="CV257" t="e">
        <f t="shared" si="131"/>
        <v>#DIV/0!</v>
      </c>
      <c r="CW257" t="e">
        <f t="shared" si="132"/>
        <v>#DIV/0!</v>
      </c>
      <c r="CX257" t="e">
        <f t="shared" si="133"/>
        <v>#DIV/0!</v>
      </c>
      <c r="CY257" t="e">
        <f t="shared" si="134"/>
        <v>#DIV/0!</v>
      </c>
      <c r="CZ257" t="e">
        <f t="shared" si="135"/>
        <v>#DIV/0!</v>
      </c>
      <c r="DA257" t="e">
        <f t="shared" si="136"/>
        <v>#DIV/0!</v>
      </c>
      <c r="DB257" t="e">
        <f t="shared" si="137"/>
        <v>#DIV/0!</v>
      </c>
      <c r="DC257" t="e">
        <f t="shared" si="138"/>
        <v>#DIV/0!</v>
      </c>
      <c r="DD257" t="e">
        <f t="shared" si="139"/>
        <v>#DIV/0!</v>
      </c>
      <c r="DE257" t="e">
        <f t="shared" si="140"/>
        <v>#DIV/0!</v>
      </c>
      <c r="DF257" t="e">
        <f t="shared" si="141"/>
        <v>#DIV/0!</v>
      </c>
      <c r="DG257" t="e">
        <f t="shared" si="142"/>
        <v>#DIV/0!</v>
      </c>
      <c r="DH257" t="e">
        <f t="shared" si="143"/>
        <v>#DIV/0!</v>
      </c>
      <c r="DI257" t="e">
        <f t="shared" si="144"/>
        <v>#DIV/0!</v>
      </c>
      <c r="DJ257" t="e">
        <f t="shared" si="145"/>
        <v>#DIV/0!</v>
      </c>
      <c r="DK257" t="e">
        <f t="shared" si="146"/>
        <v>#DIV/0!</v>
      </c>
      <c r="DL257" t="e">
        <f t="shared" si="147"/>
        <v>#DIV/0!</v>
      </c>
      <c r="DM257" t="e">
        <f t="shared" si="148"/>
        <v>#DIV/0!</v>
      </c>
      <c r="DN257" t="e">
        <f t="shared" si="149"/>
        <v>#DIV/0!</v>
      </c>
      <c r="DO257" t="e">
        <f t="shared" si="150"/>
        <v>#DIV/0!</v>
      </c>
      <c r="DP257" t="e">
        <f t="shared" si="151"/>
        <v>#DIV/0!</v>
      </c>
    </row>
    <row r="258" spans="1:120">
      <c r="A258" s="16" t="s">
        <v>838</v>
      </c>
      <c r="B258" s="16" t="s">
        <v>24</v>
      </c>
      <c r="C258" s="125" t="s">
        <v>1722</v>
      </c>
      <c r="D258" s="16" t="s">
        <v>1719</v>
      </c>
      <c r="E258" s="16" t="s">
        <v>388</v>
      </c>
      <c r="F258" s="16" t="s">
        <v>342</v>
      </c>
      <c r="G258" s="16" t="s">
        <v>829</v>
      </c>
      <c r="H258" s="27"/>
      <c r="I258" s="16" t="s">
        <v>735</v>
      </c>
      <c r="J258" s="16"/>
      <c r="K258" s="16" t="s">
        <v>903</v>
      </c>
      <c r="L258" s="16"/>
      <c r="M258" s="16" t="s">
        <v>101</v>
      </c>
      <c r="N258" s="16">
        <v>22</v>
      </c>
      <c r="O258" s="95">
        <v>21.458558800299794</v>
      </c>
      <c r="P258" s="95">
        <v>2.1023588013807233</v>
      </c>
      <c r="Q258" s="95">
        <v>3.3969147135609714</v>
      </c>
      <c r="R258" s="95">
        <v>17.036355804292068</v>
      </c>
      <c r="S258" s="95">
        <v>9.3725848041849993</v>
      </c>
      <c r="T258" s="95">
        <v>17.595603958353937</v>
      </c>
      <c r="U258" s="95">
        <v>2.2473490635449114</v>
      </c>
      <c r="V258" s="95">
        <v>6.8145423217168277</v>
      </c>
      <c r="W258" s="95">
        <v>12.39666741503806</v>
      </c>
      <c r="X258" s="95">
        <v>4.8364608879054085</v>
      </c>
      <c r="Y258" s="95">
        <v>3.5419049757251595</v>
      </c>
      <c r="Z258" s="95">
        <v>100.79930154600285</v>
      </c>
      <c r="AA258" s="18"/>
      <c r="AB258" s="18"/>
      <c r="AC258" s="18"/>
      <c r="AD258" s="18"/>
      <c r="AE258" s="127"/>
      <c r="AF258" s="127"/>
      <c r="AG258" s="18"/>
      <c r="AH258" s="18"/>
      <c r="AI258" s="18"/>
      <c r="AJ258" s="18"/>
      <c r="AK258" s="134"/>
      <c r="AL258" s="18"/>
      <c r="AM258" s="134"/>
      <c r="AN258" s="127"/>
      <c r="AO258" s="18"/>
      <c r="AP258" s="18"/>
      <c r="AQ258" s="18"/>
      <c r="AR258" s="18"/>
      <c r="AS258" s="18"/>
      <c r="AT258" s="18"/>
      <c r="AU258" s="18"/>
      <c r="AV258" s="18"/>
      <c r="AW258" s="18"/>
      <c r="AX258" s="127"/>
      <c r="AY258" s="127"/>
      <c r="AZ258" s="127"/>
      <c r="BA258" s="127"/>
      <c r="BB258" s="18"/>
      <c r="BC258" s="127"/>
      <c r="BD258" s="18"/>
      <c r="BE258" s="18"/>
      <c r="BF258" s="18"/>
      <c r="BG258" s="18"/>
      <c r="BH258" s="127"/>
      <c r="BI258" s="127"/>
      <c r="BJ258" s="18"/>
      <c r="BK258" s="127"/>
      <c r="BL258" s="127"/>
      <c r="BM258" s="127"/>
      <c r="BN258" s="127"/>
      <c r="BO258" s="18"/>
      <c r="BP258" s="18"/>
      <c r="BQ258" s="18"/>
      <c r="BR258" s="18"/>
      <c r="BS258" s="18"/>
      <c r="BT258" s="18"/>
      <c r="BU258" s="18"/>
      <c r="BV258" s="18"/>
      <c r="BW258" s="18"/>
      <c r="BX258" s="18"/>
      <c r="BY258" s="127"/>
      <c r="BZ258" s="18"/>
      <c r="CA258" s="127"/>
      <c r="CB258" s="127"/>
      <c r="CC258" s="127"/>
      <c r="CE258" t="e">
        <f t="shared" ref="CE258:CE321" si="152">BI258/AY258</f>
        <v>#DIV/0!</v>
      </c>
      <c r="CF258" t="e">
        <f t="shared" ref="CF258:CF321" si="153">BI258/BK258</f>
        <v>#DIV/0!</v>
      </c>
      <c r="CG258" t="e">
        <f t="shared" ref="CG258:CG321" si="154">AY258/BK258</f>
        <v>#DIV/0!</v>
      </c>
      <c r="CH258" t="e">
        <f t="shared" ref="CH258:CH321" si="155">BK258/BL258</f>
        <v>#DIV/0!</v>
      </c>
      <c r="CI258" t="e">
        <f t="shared" ref="CI258:CI321" si="156">AE258/BK258</f>
        <v>#DIV/0!</v>
      </c>
      <c r="CJ258" t="e">
        <f t="shared" ref="CJ258:CJ321" si="157">AE258/AF258</f>
        <v>#DIV/0!</v>
      </c>
      <c r="CK258" t="e">
        <f t="shared" ref="CK258:CK321" si="158">AE258/BL258</f>
        <v>#DIV/0!</v>
      </c>
      <c r="CL258" t="e">
        <f t="shared" ref="CL258:CL321" si="159">AY258/BL258</f>
        <v>#DIV/0!</v>
      </c>
      <c r="CM258" t="e">
        <f t="shared" ref="CM258:CM321" si="160">BI258/BL258</f>
        <v>#DIV/0!</v>
      </c>
      <c r="CN258" t="e">
        <f t="shared" ref="CN258:CN321" si="161">BI258/BL258</f>
        <v>#DIV/0!</v>
      </c>
      <c r="CO258" t="e">
        <f t="shared" ref="CO258:CO321" si="162">BY258/BL258</f>
        <v>#DIV/0!</v>
      </c>
      <c r="CP258" t="e">
        <f t="shared" ref="CP258:CP321" si="163">CA258/CC258</f>
        <v>#DIV/0!</v>
      </c>
      <c r="CQ258" t="e">
        <f t="shared" ref="CQ258:CQ321" si="164">CA258/BK258</f>
        <v>#DIV/0!</v>
      </c>
      <c r="CR258" t="e">
        <f t="shared" ref="CR258:CR321" si="165">BC258/BK258</f>
        <v>#DIV/0!</v>
      </c>
      <c r="CS258" t="e">
        <f t="shared" ref="CS258:CS321" si="166">BA258/BK258</f>
        <v>#DIV/0!</v>
      </c>
      <c r="CT258" t="e">
        <f t="shared" ref="CT258:CT321" si="167">AX258/AY258</f>
        <v>#DIV/0!</v>
      </c>
      <c r="CU258" t="e">
        <f t="shared" ref="CU258:CU321" si="168">AZ258/BK258</f>
        <v>#DIV/0!</v>
      </c>
      <c r="CV258" t="e">
        <f t="shared" ref="CV258:CV321" si="169">AE258/AM258</f>
        <v>#DIV/0!</v>
      </c>
      <c r="CW258" t="e">
        <f t="shared" ref="CW258:CW321" si="170">AN258/BK258</f>
        <v>#DIV/0!</v>
      </c>
      <c r="CX258" t="e">
        <f t="shared" ref="CX258:CX321" si="171">BA258/BC258</f>
        <v>#DIV/0!</v>
      </c>
      <c r="CY258" t="e">
        <f t="shared" ref="CY258:CY321" si="172">BY258/BK258</f>
        <v>#DIV/0!</v>
      </c>
      <c r="CZ258" t="e">
        <f t="shared" ref="CZ258:CZ321" si="173">CB258/CC258</f>
        <v>#DIV/0!</v>
      </c>
      <c r="DA258" t="e">
        <f t="shared" ref="DA258:DA321" si="174">BA258/AX258</f>
        <v>#DIV/0!</v>
      </c>
      <c r="DB258" t="e">
        <f t="shared" ref="DB258:DB321" si="175">BA258/AY258</f>
        <v>#DIV/0!</v>
      </c>
      <c r="DC258" t="e">
        <f t="shared" ref="DC258:DC321" si="176">BA258/AZ258</f>
        <v>#DIV/0!</v>
      </c>
      <c r="DD258" t="e">
        <f t="shared" ref="DD258:DD321" si="177">BA258/BL258</f>
        <v>#DIV/0!</v>
      </c>
      <c r="DE258" t="e">
        <f t="shared" ref="DE258:DE321" si="178">AF258/BK258</f>
        <v>#DIV/0!</v>
      </c>
      <c r="DF258" t="e">
        <f t="shared" si="141"/>
        <v>#DIV/0!</v>
      </c>
      <c r="DG258" t="e">
        <f t="shared" si="142"/>
        <v>#DIV/0!</v>
      </c>
      <c r="DH258" t="e">
        <f t="shared" si="143"/>
        <v>#DIV/0!</v>
      </c>
      <c r="DI258" t="e">
        <f t="shared" si="144"/>
        <v>#DIV/0!</v>
      </c>
      <c r="DJ258" t="e">
        <f t="shared" si="145"/>
        <v>#DIV/0!</v>
      </c>
      <c r="DK258" t="e">
        <f t="shared" si="146"/>
        <v>#DIV/0!</v>
      </c>
      <c r="DL258" t="e">
        <f t="shared" si="147"/>
        <v>#DIV/0!</v>
      </c>
      <c r="DM258" t="e">
        <f t="shared" si="148"/>
        <v>#DIV/0!</v>
      </c>
      <c r="DN258" t="e">
        <f t="shared" si="149"/>
        <v>#DIV/0!</v>
      </c>
      <c r="DO258" t="e">
        <f t="shared" si="150"/>
        <v>#DIV/0!</v>
      </c>
      <c r="DP258" t="e">
        <f t="shared" si="151"/>
        <v>#DIV/0!</v>
      </c>
    </row>
    <row r="259" spans="1:120">
      <c r="A259" s="16" t="s">
        <v>838</v>
      </c>
      <c r="B259" s="16" t="s">
        <v>24</v>
      </c>
      <c r="C259" s="125" t="s">
        <v>1722</v>
      </c>
      <c r="D259" s="16" t="s">
        <v>1719</v>
      </c>
      <c r="E259" s="16" t="s">
        <v>388</v>
      </c>
      <c r="F259" s="16" t="s">
        <v>342</v>
      </c>
      <c r="G259" s="16" t="s">
        <v>829</v>
      </c>
      <c r="H259" s="27"/>
      <c r="I259" s="16" t="s">
        <v>735</v>
      </c>
      <c r="J259" s="16"/>
      <c r="K259" s="16" t="s">
        <v>903</v>
      </c>
      <c r="L259" s="16"/>
      <c r="M259" s="16" t="s">
        <v>173</v>
      </c>
      <c r="N259" s="16">
        <v>32</v>
      </c>
      <c r="O259" s="95">
        <v>29.572977851799681</v>
      </c>
      <c r="P259" s="95">
        <v>1.6678450674261363</v>
      </c>
      <c r="Q259" s="95">
        <v>4.6908142521360077</v>
      </c>
      <c r="R259" s="95">
        <v>9.3399323775863632</v>
      </c>
      <c r="S259" s="95">
        <v>4.6908142521360077</v>
      </c>
      <c r="T259" s="95">
        <v>11.070321635040978</v>
      </c>
      <c r="U259" s="95">
        <v>4.9097189172356881</v>
      </c>
      <c r="V259" s="95">
        <v>3.6484110849946729</v>
      </c>
      <c r="W259" s="95">
        <v>19.22191440208622</v>
      </c>
      <c r="X259" s="95">
        <v>5.9729701477198507</v>
      </c>
      <c r="Y259" s="95">
        <v>6.733924459733025</v>
      </c>
      <c r="Z259" s="95">
        <v>101.51964444789465</v>
      </c>
      <c r="AA259" s="18"/>
      <c r="AB259" s="18"/>
      <c r="AC259" s="18"/>
      <c r="AD259" s="18"/>
      <c r="AE259" s="127"/>
      <c r="AF259" s="127"/>
      <c r="AG259" s="18"/>
      <c r="AH259" s="18"/>
      <c r="AI259" s="18"/>
      <c r="AJ259" s="18"/>
      <c r="AK259" s="134"/>
      <c r="AL259" s="18"/>
      <c r="AM259" s="134"/>
      <c r="AN259" s="127"/>
      <c r="AO259" s="18"/>
      <c r="AP259" s="18"/>
      <c r="AQ259" s="18"/>
      <c r="AR259" s="18"/>
      <c r="AS259" s="18"/>
      <c r="AT259" s="18"/>
      <c r="AU259" s="18"/>
      <c r="AV259" s="18"/>
      <c r="AW259" s="18"/>
      <c r="AX259" s="127"/>
      <c r="AY259" s="127"/>
      <c r="AZ259" s="127"/>
      <c r="BA259" s="127"/>
      <c r="BB259" s="18"/>
      <c r="BC259" s="127"/>
      <c r="BD259" s="18"/>
      <c r="BE259" s="18"/>
      <c r="BF259" s="18"/>
      <c r="BG259" s="18"/>
      <c r="BH259" s="127"/>
      <c r="BI259" s="127"/>
      <c r="BJ259" s="18"/>
      <c r="BK259" s="127"/>
      <c r="BL259" s="127"/>
      <c r="BM259" s="127"/>
      <c r="BN259" s="127"/>
      <c r="BO259" s="18"/>
      <c r="BP259" s="18"/>
      <c r="BQ259" s="18"/>
      <c r="BR259" s="18"/>
      <c r="BS259" s="18"/>
      <c r="BT259" s="18"/>
      <c r="BU259" s="18"/>
      <c r="BV259" s="18"/>
      <c r="BW259" s="18"/>
      <c r="BX259" s="18"/>
      <c r="BY259" s="127"/>
      <c r="BZ259" s="18"/>
      <c r="CA259" s="127"/>
      <c r="CB259" s="127"/>
      <c r="CC259" s="127"/>
      <c r="CE259" t="e">
        <f t="shared" si="152"/>
        <v>#DIV/0!</v>
      </c>
      <c r="CF259" t="e">
        <f t="shared" si="153"/>
        <v>#DIV/0!</v>
      </c>
      <c r="CG259" t="e">
        <f t="shared" si="154"/>
        <v>#DIV/0!</v>
      </c>
      <c r="CH259" t="e">
        <f t="shared" si="155"/>
        <v>#DIV/0!</v>
      </c>
      <c r="CI259" t="e">
        <f t="shared" si="156"/>
        <v>#DIV/0!</v>
      </c>
      <c r="CJ259" t="e">
        <f t="shared" si="157"/>
        <v>#DIV/0!</v>
      </c>
      <c r="CK259" t="e">
        <f t="shared" si="158"/>
        <v>#DIV/0!</v>
      </c>
      <c r="CL259" t="e">
        <f t="shared" si="159"/>
        <v>#DIV/0!</v>
      </c>
      <c r="CM259" t="e">
        <f t="shared" si="160"/>
        <v>#DIV/0!</v>
      </c>
      <c r="CN259" t="e">
        <f t="shared" si="161"/>
        <v>#DIV/0!</v>
      </c>
      <c r="CO259" t="e">
        <f t="shared" si="162"/>
        <v>#DIV/0!</v>
      </c>
      <c r="CP259" t="e">
        <f t="shared" si="163"/>
        <v>#DIV/0!</v>
      </c>
      <c r="CQ259" t="e">
        <f t="shared" si="164"/>
        <v>#DIV/0!</v>
      </c>
      <c r="CR259" t="e">
        <f t="shared" si="165"/>
        <v>#DIV/0!</v>
      </c>
      <c r="CS259" t="e">
        <f t="shared" si="166"/>
        <v>#DIV/0!</v>
      </c>
      <c r="CT259" t="e">
        <f t="shared" si="167"/>
        <v>#DIV/0!</v>
      </c>
      <c r="CU259" t="e">
        <f t="shared" si="168"/>
        <v>#DIV/0!</v>
      </c>
      <c r="CV259" t="e">
        <f t="shared" si="169"/>
        <v>#DIV/0!</v>
      </c>
      <c r="CW259" t="e">
        <f t="shared" si="170"/>
        <v>#DIV/0!</v>
      </c>
      <c r="CX259" t="e">
        <f t="shared" si="171"/>
        <v>#DIV/0!</v>
      </c>
      <c r="CY259" t="e">
        <f t="shared" si="172"/>
        <v>#DIV/0!</v>
      </c>
      <c r="CZ259" t="e">
        <f t="shared" si="173"/>
        <v>#DIV/0!</v>
      </c>
      <c r="DA259" t="e">
        <f t="shared" si="174"/>
        <v>#DIV/0!</v>
      </c>
      <c r="DB259" t="e">
        <f t="shared" si="175"/>
        <v>#DIV/0!</v>
      </c>
      <c r="DC259" t="e">
        <f t="shared" si="176"/>
        <v>#DIV/0!</v>
      </c>
      <c r="DD259" t="e">
        <f t="shared" si="177"/>
        <v>#DIV/0!</v>
      </c>
      <c r="DE259" t="e">
        <f t="shared" si="178"/>
        <v>#DIV/0!</v>
      </c>
      <c r="DF259" t="e">
        <f t="shared" ref="DF259:DF322" si="179">AF259/AY259</f>
        <v>#DIV/0!</v>
      </c>
      <c r="DG259" t="e">
        <f t="shared" ref="DG259:DG322" si="180">AE259/AY259</f>
        <v>#DIV/0!</v>
      </c>
      <c r="DH259" t="e">
        <f t="shared" ref="DH259:DH322" si="181">BI259/AY259</f>
        <v>#DIV/0!</v>
      </c>
      <c r="DI259" t="e">
        <f t="shared" ref="DI259:DI322" si="182">BC259/AY259</f>
        <v>#DIV/0!</v>
      </c>
      <c r="DJ259" t="e">
        <f t="shared" ref="DJ259:DJ322" si="183">CC259/AY259</f>
        <v>#DIV/0!</v>
      </c>
      <c r="DK259" t="e">
        <f t="shared" ref="DK259:DK322" si="184">S259/BK259</f>
        <v>#DIV/0!</v>
      </c>
      <c r="DL259" t="e">
        <f t="shared" ref="DL259:DL322" si="185">Q259/BK259</f>
        <v>#DIV/0!</v>
      </c>
      <c r="DM259" t="e">
        <f t="shared" ref="DM259:DM322" si="186">S259/AY259</f>
        <v>#DIV/0!</v>
      </c>
      <c r="DN259" t="e">
        <f t="shared" ref="DN259:DN322" si="187">S259/BI259</f>
        <v>#DIV/0!</v>
      </c>
      <c r="DO259" t="e">
        <f t="shared" ref="DO259:DO322" si="188">Q259/AY259</f>
        <v>#DIV/0!</v>
      </c>
      <c r="DP259" t="e">
        <f t="shared" ref="DP259:DP322" si="189">Q259/BI259</f>
        <v>#DIV/0!</v>
      </c>
    </row>
    <row r="260" spans="1:120">
      <c r="A260" s="16" t="s">
        <v>838</v>
      </c>
      <c r="B260" s="16" t="s">
        <v>24</v>
      </c>
      <c r="C260" s="125" t="s">
        <v>1722</v>
      </c>
      <c r="D260" s="16" t="s">
        <v>1719</v>
      </c>
      <c r="E260" s="16" t="s">
        <v>388</v>
      </c>
      <c r="F260" s="16" t="s">
        <v>342</v>
      </c>
      <c r="G260" s="16" t="s">
        <v>829</v>
      </c>
      <c r="H260" s="27"/>
      <c r="I260" s="16" t="s">
        <v>735</v>
      </c>
      <c r="J260" s="16"/>
      <c r="K260" s="16" t="s">
        <v>903</v>
      </c>
      <c r="L260" s="16"/>
      <c r="M260" s="16">
        <v>29</v>
      </c>
      <c r="N260" s="16">
        <v>37</v>
      </c>
      <c r="O260" s="95">
        <v>38.548518142487801</v>
      </c>
      <c r="P260" s="95">
        <v>1.863127748415486</v>
      </c>
      <c r="Q260" s="95">
        <v>5.2046068624215192</v>
      </c>
      <c r="R260" s="95">
        <v>12.839380353211064</v>
      </c>
      <c r="S260" s="95">
        <v>7.0171061394126708</v>
      </c>
      <c r="T260" s="95">
        <v>11.786308147584922</v>
      </c>
      <c r="U260" s="95">
        <v>1.2454603970386127</v>
      </c>
      <c r="V260" s="95">
        <v>5.6703887995253908</v>
      </c>
      <c r="W260" s="95">
        <v>6.9057235022791374</v>
      </c>
      <c r="X260" s="95">
        <v>7.3512540508132744</v>
      </c>
      <c r="Y260" s="95">
        <v>2.0251388569733542</v>
      </c>
      <c r="Z260" s="95">
        <v>100.45701300016323</v>
      </c>
      <c r="AA260" s="18"/>
      <c r="AB260" s="18"/>
      <c r="AC260" s="18"/>
      <c r="AD260" s="18"/>
      <c r="AE260" s="127"/>
      <c r="AF260" s="127"/>
      <c r="AG260" s="18"/>
      <c r="AH260" s="18"/>
      <c r="AI260" s="18"/>
      <c r="AJ260" s="18"/>
      <c r="AK260" s="134"/>
      <c r="AL260" s="18"/>
      <c r="AM260" s="134"/>
      <c r="AN260" s="127"/>
      <c r="AO260" s="18"/>
      <c r="AP260" s="18"/>
      <c r="AQ260" s="18"/>
      <c r="AR260" s="18"/>
      <c r="AS260" s="18"/>
      <c r="AT260" s="18"/>
      <c r="AU260" s="18"/>
      <c r="AV260" s="18"/>
      <c r="AW260" s="18"/>
      <c r="AX260" s="127"/>
      <c r="AY260" s="127"/>
      <c r="AZ260" s="127"/>
      <c r="BA260" s="127"/>
      <c r="BB260" s="18"/>
      <c r="BC260" s="127"/>
      <c r="BD260" s="18"/>
      <c r="BE260" s="18"/>
      <c r="BF260" s="18"/>
      <c r="BG260" s="18"/>
      <c r="BH260" s="127"/>
      <c r="BI260" s="127"/>
      <c r="BJ260" s="18"/>
      <c r="BK260" s="127"/>
      <c r="BL260" s="127"/>
      <c r="BM260" s="127"/>
      <c r="BN260" s="127"/>
      <c r="BO260" s="18"/>
      <c r="BP260" s="18"/>
      <c r="BQ260" s="18"/>
      <c r="BR260" s="18"/>
      <c r="BS260" s="18"/>
      <c r="BT260" s="18"/>
      <c r="BU260" s="18"/>
      <c r="BV260" s="18"/>
      <c r="BW260" s="18"/>
      <c r="BX260" s="18"/>
      <c r="BY260" s="127"/>
      <c r="BZ260" s="18"/>
      <c r="CA260" s="127"/>
      <c r="CB260" s="127"/>
      <c r="CC260" s="127"/>
      <c r="CE260" t="e">
        <f t="shared" si="152"/>
        <v>#DIV/0!</v>
      </c>
      <c r="CF260" t="e">
        <f t="shared" si="153"/>
        <v>#DIV/0!</v>
      </c>
      <c r="CG260" t="e">
        <f t="shared" si="154"/>
        <v>#DIV/0!</v>
      </c>
      <c r="CH260" t="e">
        <f t="shared" si="155"/>
        <v>#DIV/0!</v>
      </c>
      <c r="CI260" t="e">
        <f t="shared" si="156"/>
        <v>#DIV/0!</v>
      </c>
      <c r="CJ260" t="e">
        <f t="shared" si="157"/>
        <v>#DIV/0!</v>
      </c>
      <c r="CK260" t="e">
        <f t="shared" si="158"/>
        <v>#DIV/0!</v>
      </c>
      <c r="CL260" t="e">
        <f t="shared" si="159"/>
        <v>#DIV/0!</v>
      </c>
      <c r="CM260" t="e">
        <f t="shared" si="160"/>
        <v>#DIV/0!</v>
      </c>
      <c r="CN260" t="e">
        <f t="shared" si="161"/>
        <v>#DIV/0!</v>
      </c>
      <c r="CO260" t="e">
        <f t="shared" si="162"/>
        <v>#DIV/0!</v>
      </c>
      <c r="CP260" t="e">
        <f t="shared" si="163"/>
        <v>#DIV/0!</v>
      </c>
      <c r="CQ260" t="e">
        <f t="shared" si="164"/>
        <v>#DIV/0!</v>
      </c>
      <c r="CR260" t="e">
        <f t="shared" si="165"/>
        <v>#DIV/0!</v>
      </c>
      <c r="CS260" t="e">
        <f t="shared" si="166"/>
        <v>#DIV/0!</v>
      </c>
      <c r="CT260" t="e">
        <f t="shared" si="167"/>
        <v>#DIV/0!</v>
      </c>
      <c r="CU260" t="e">
        <f t="shared" si="168"/>
        <v>#DIV/0!</v>
      </c>
      <c r="CV260" t="e">
        <f t="shared" si="169"/>
        <v>#DIV/0!</v>
      </c>
      <c r="CW260" t="e">
        <f t="shared" si="170"/>
        <v>#DIV/0!</v>
      </c>
      <c r="CX260" t="e">
        <f t="shared" si="171"/>
        <v>#DIV/0!</v>
      </c>
      <c r="CY260" t="e">
        <f t="shared" si="172"/>
        <v>#DIV/0!</v>
      </c>
      <c r="CZ260" t="e">
        <f t="shared" si="173"/>
        <v>#DIV/0!</v>
      </c>
      <c r="DA260" t="e">
        <f t="shared" si="174"/>
        <v>#DIV/0!</v>
      </c>
      <c r="DB260" t="e">
        <f t="shared" si="175"/>
        <v>#DIV/0!</v>
      </c>
      <c r="DC260" t="e">
        <f t="shared" si="176"/>
        <v>#DIV/0!</v>
      </c>
      <c r="DD260" t="e">
        <f t="shared" si="177"/>
        <v>#DIV/0!</v>
      </c>
      <c r="DE260" t="e">
        <f t="shared" si="178"/>
        <v>#DIV/0!</v>
      </c>
      <c r="DF260" t="e">
        <f t="shared" si="179"/>
        <v>#DIV/0!</v>
      </c>
      <c r="DG260" t="e">
        <f t="shared" si="180"/>
        <v>#DIV/0!</v>
      </c>
      <c r="DH260" t="e">
        <f t="shared" si="181"/>
        <v>#DIV/0!</v>
      </c>
      <c r="DI260" t="e">
        <f t="shared" si="182"/>
        <v>#DIV/0!</v>
      </c>
      <c r="DJ260" t="e">
        <f t="shared" si="183"/>
        <v>#DIV/0!</v>
      </c>
      <c r="DK260" t="e">
        <f t="shared" si="184"/>
        <v>#DIV/0!</v>
      </c>
      <c r="DL260" t="e">
        <f t="shared" si="185"/>
        <v>#DIV/0!</v>
      </c>
      <c r="DM260" t="e">
        <f t="shared" si="186"/>
        <v>#DIV/0!</v>
      </c>
      <c r="DN260" t="e">
        <f t="shared" si="187"/>
        <v>#DIV/0!</v>
      </c>
      <c r="DO260" t="e">
        <f t="shared" si="188"/>
        <v>#DIV/0!</v>
      </c>
      <c r="DP260" t="e">
        <f t="shared" si="189"/>
        <v>#DIV/0!</v>
      </c>
    </row>
    <row r="261" spans="1:120">
      <c r="A261" s="16" t="s">
        <v>838</v>
      </c>
      <c r="B261" s="16" t="s">
        <v>24</v>
      </c>
      <c r="C261" s="125" t="s">
        <v>1722</v>
      </c>
      <c r="D261" s="16" t="s">
        <v>1719</v>
      </c>
      <c r="E261" s="16" t="s">
        <v>388</v>
      </c>
      <c r="F261" s="16" t="s">
        <v>342</v>
      </c>
      <c r="G261" s="16" t="s">
        <v>829</v>
      </c>
      <c r="H261" s="27"/>
      <c r="I261" s="16" t="s">
        <v>735</v>
      </c>
      <c r="J261" s="16"/>
      <c r="K261" s="16" t="s">
        <v>903</v>
      </c>
      <c r="L261" s="16"/>
      <c r="M261" s="16">
        <v>75</v>
      </c>
      <c r="N261" s="16">
        <v>47</v>
      </c>
      <c r="O261" s="95">
        <v>27.825599588373656</v>
      </c>
      <c r="P261" s="95">
        <v>3.2571772093413975</v>
      </c>
      <c r="Q261" s="95">
        <v>2.9986710816158899</v>
      </c>
      <c r="R261" s="95">
        <v>11.974003836245521</v>
      </c>
      <c r="S261" s="95">
        <v>10.836576874253286</v>
      </c>
      <c r="T261" s="95">
        <v>13.30789545530914</v>
      </c>
      <c r="U261" s="95">
        <v>1.5613770114620669</v>
      </c>
      <c r="V261" s="95">
        <v>3.4743223566308239</v>
      </c>
      <c r="W261" s="95">
        <v>21.331925659908901</v>
      </c>
      <c r="X261" s="95">
        <v>2.5437002968189968</v>
      </c>
      <c r="Y261" s="95">
        <v>1.1477672071012546</v>
      </c>
      <c r="Z261" s="95">
        <v>100.25901657706093</v>
      </c>
      <c r="AA261" s="18"/>
      <c r="AB261" s="18"/>
      <c r="AC261" s="18"/>
      <c r="AD261" s="18"/>
      <c r="AE261" s="127"/>
      <c r="AF261" s="127"/>
      <c r="AG261" s="18"/>
      <c r="AH261" s="18"/>
      <c r="AI261" s="18"/>
      <c r="AJ261" s="18"/>
      <c r="AK261" s="134"/>
      <c r="AL261" s="18"/>
      <c r="AM261" s="134"/>
      <c r="AN261" s="127"/>
      <c r="AO261" s="18"/>
      <c r="AP261" s="18"/>
      <c r="AQ261" s="18"/>
      <c r="AR261" s="18"/>
      <c r="AS261" s="18"/>
      <c r="AT261" s="18"/>
      <c r="AU261" s="18"/>
      <c r="AV261" s="18"/>
      <c r="AW261" s="18"/>
      <c r="AX261" s="127"/>
      <c r="AY261" s="127"/>
      <c r="AZ261" s="127"/>
      <c r="BA261" s="127"/>
      <c r="BB261" s="18"/>
      <c r="BC261" s="127"/>
      <c r="BD261" s="18"/>
      <c r="BE261" s="18"/>
      <c r="BF261" s="18"/>
      <c r="BG261" s="18"/>
      <c r="BH261" s="127"/>
      <c r="BI261" s="127"/>
      <c r="BJ261" s="18"/>
      <c r="BK261" s="127"/>
      <c r="BL261" s="127"/>
      <c r="BM261" s="127"/>
      <c r="BN261" s="127"/>
      <c r="BO261" s="18"/>
      <c r="BP261" s="18"/>
      <c r="BQ261" s="18"/>
      <c r="BR261" s="18"/>
      <c r="BS261" s="18"/>
      <c r="BT261" s="18"/>
      <c r="BU261" s="18"/>
      <c r="BV261" s="18"/>
      <c r="BW261" s="18"/>
      <c r="BX261" s="18"/>
      <c r="BY261" s="127"/>
      <c r="BZ261" s="18"/>
      <c r="CA261" s="127"/>
      <c r="CB261" s="127"/>
      <c r="CC261" s="127"/>
      <c r="CE261" t="e">
        <f t="shared" si="152"/>
        <v>#DIV/0!</v>
      </c>
      <c r="CF261" t="e">
        <f t="shared" si="153"/>
        <v>#DIV/0!</v>
      </c>
      <c r="CG261" t="e">
        <f t="shared" si="154"/>
        <v>#DIV/0!</v>
      </c>
      <c r="CH261" t="e">
        <f t="shared" si="155"/>
        <v>#DIV/0!</v>
      </c>
      <c r="CI261" t="e">
        <f t="shared" si="156"/>
        <v>#DIV/0!</v>
      </c>
      <c r="CJ261" t="e">
        <f t="shared" si="157"/>
        <v>#DIV/0!</v>
      </c>
      <c r="CK261" t="e">
        <f t="shared" si="158"/>
        <v>#DIV/0!</v>
      </c>
      <c r="CL261" t="e">
        <f t="shared" si="159"/>
        <v>#DIV/0!</v>
      </c>
      <c r="CM261" t="e">
        <f t="shared" si="160"/>
        <v>#DIV/0!</v>
      </c>
      <c r="CN261" t="e">
        <f t="shared" si="161"/>
        <v>#DIV/0!</v>
      </c>
      <c r="CO261" t="e">
        <f t="shared" si="162"/>
        <v>#DIV/0!</v>
      </c>
      <c r="CP261" t="e">
        <f t="shared" si="163"/>
        <v>#DIV/0!</v>
      </c>
      <c r="CQ261" t="e">
        <f t="shared" si="164"/>
        <v>#DIV/0!</v>
      </c>
      <c r="CR261" t="e">
        <f t="shared" si="165"/>
        <v>#DIV/0!</v>
      </c>
      <c r="CS261" t="e">
        <f t="shared" si="166"/>
        <v>#DIV/0!</v>
      </c>
      <c r="CT261" t="e">
        <f t="shared" si="167"/>
        <v>#DIV/0!</v>
      </c>
      <c r="CU261" t="e">
        <f t="shared" si="168"/>
        <v>#DIV/0!</v>
      </c>
      <c r="CV261" t="e">
        <f t="shared" si="169"/>
        <v>#DIV/0!</v>
      </c>
      <c r="CW261" t="e">
        <f t="shared" si="170"/>
        <v>#DIV/0!</v>
      </c>
      <c r="CX261" t="e">
        <f t="shared" si="171"/>
        <v>#DIV/0!</v>
      </c>
      <c r="CY261" t="e">
        <f t="shared" si="172"/>
        <v>#DIV/0!</v>
      </c>
      <c r="CZ261" t="e">
        <f t="shared" si="173"/>
        <v>#DIV/0!</v>
      </c>
      <c r="DA261" t="e">
        <f t="shared" si="174"/>
        <v>#DIV/0!</v>
      </c>
      <c r="DB261" t="e">
        <f t="shared" si="175"/>
        <v>#DIV/0!</v>
      </c>
      <c r="DC261" t="e">
        <f t="shared" si="176"/>
        <v>#DIV/0!</v>
      </c>
      <c r="DD261" t="e">
        <f t="shared" si="177"/>
        <v>#DIV/0!</v>
      </c>
      <c r="DE261" t="e">
        <f t="shared" si="178"/>
        <v>#DIV/0!</v>
      </c>
      <c r="DF261" t="e">
        <f t="shared" si="179"/>
        <v>#DIV/0!</v>
      </c>
      <c r="DG261" t="e">
        <f t="shared" si="180"/>
        <v>#DIV/0!</v>
      </c>
      <c r="DH261" t="e">
        <f t="shared" si="181"/>
        <v>#DIV/0!</v>
      </c>
      <c r="DI261" t="e">
        <f t="shared" si="182"/>
        <v>#DIV/0!</v>
      </c>
      <c r="DJ261" t="e">
        <f t="shared" si="183"/>
        <v>#DIV/0!</v>
      </c>
      <c r="DK261" t="e">
        <f t="shared" si="184"/>
        <v>#DIV/0!</v>
      </c>
      <c r="DL261" t="e">
        <f t="shared" si="185"/>
        <v>#DIV/0!</v>
      </c>
      <c r="DM261" t="e">
        <f t="shared" si="186"/>
        <v>#DIV/0!</v>
      </c>
      <c r="DN261" t="e">
        <f t="shared" si="187"/>
        <v>#DIV/0!</v>
      </c>
      <c r="DO261" t="e">
        <f t="shared" si="188"/>
        <v>#DIV/0!</v>
      </c>
      <c r="DP261" t="e">
        <f t="shared" si="189"/>
        <v>#DIV/0!</v>
      </c>
    </row>
    <row r="262" spans="1:120">
      <c r="A262" s="16" t="s">
        <v>838</v>
      </c>
      <c r="B262" s="16" t="s">
        <v>24</v>
      </c>
      <c r="C262" s="125" t="s">
        <v>1722</v>
      </c>
      <c r="D262" s="16" t="s">
        <v>1719</v>
      </c>
      <c r="E262" s="16" t="s">
        <v>388</v>
      </c>
      <c r="F262" s="16" t="s">
        <v>342</v>
      </c>
      <c r="G262" s="16" t="s">
        <v>829</v>
      </c>
      <c r="H262" s="27"/>
      <c r="I262" s="16" t="s">
        <v>735</v>
      </c>
      <c r="J262" s="16"/>
      <c r="K262" s="16" t="s">
        <v>903</v>
      </c>
      <c r="L262" s="16"/>
      <c r="M262" s="16">
        <v>76</v>
      </c>
      <c r="N262" s="16">
        <v>39</v>
      </c>
      <c r="O262" s="95">
        <v>31.535869535000433</v>
      </c>
      <c r="P262" s="95">
        <v>2.8008831494901703</v>
      </c>
      <c r="Q262" s="95">
        <v>4.6681385824836168</v>
      </c>
      <c r="R262" s="95">
        <v>13.496107324024859</v>
      </c>
      <c r="S262" s="95">
        <v>6.8673505368981216</v>
      </c>
      <c r="T262" s="95">
        <v>13.547975530496897</v>
      </c>
      <c r="U262" s="95">
        <v>2.676399453957274</v>
      </c>
      <c r="V262" s="95">
        <v>4.3673029849457841</v>
      </c>
      <c r="W262" s="95">
        <v>12.095665749279773</v>
      </c>
      <c r="X262" s="95">
        <v>5.44616167956422</v>
      </c>
      <c r="Y262" s="95">
        <v>3.2262024425609002</v>
      </c>
      <c r="Z262" s="95">
        <v>100.72805696870203</v>
      </c>
      <c r="AA262" s="18"/>
      <c r="AB262" s="18"/>
      <c r="AC262" s="18"/>
      <c r="AD262" s="18"/>
      <c r="AE262" s="127"/>
      <c r="AF262" s="127"/>
      <c r="AG262" s="18"/>
      <c r="AH262" s="18"/>
      <c r="AI262" s="18"/>
      <c r="AJ262" s="18"/>
      <c r="AK262" s="134"/>
      <c r="AL262" s="18"/>
      <c r="AM262" s="134"/>
      <c r="AN262" s="127"/>
      <c r="AO262" s="18"/>
      <c r="AP262" s="18"/>
      <c r="AQ262" s="18"/>
      <c r="AR262" s="18"/>
      <c r="AS262" s="18"/>
      <c r="AT262" s="18"/>
      <c r="AU262" s="18"/>
      <c r="AV262" s="18"/>
      <c r="AW262" s="18"/>
      <c r="AX262" s="127"/>
      <c r="AY262" s="127"/>
      <c r="AZ262" s="127"/>
      <c r="BA262" s="127"/>
      <c r="BB262" s="18"/>
      <c r="BC262" s="127"/>
      <c r="BD262" s="18"/>
      <c r="BE262" s="18"/>
      <c r="BF262" s="18"/>
      <c r="BG262" s="18"/>
      <c r="BH262" s="127"/>
      <c r="BI262" s="127"/>
      <c r="BJ262" s="18"/>
      <c r="BK262" s="127"/>
      <c r="BL262" s="127"/>
      <c r="BM262" s="127"/>
      <c r="BN262" s="127"/>
      <c r="BO262" s="18"/>
      <c r="BP262" s="18"/>
      <c r="BQ262" s="18"/>
      <c r="BR262" s="18"/>
      <c r="BS262" s="18"/>
      <c r="BT262" s="18"/>
      <c r="BU262" s="18"/>
      <c r="BV262" s="18"/>
      <c r="BW262" s="18"/>
      <c r="BX262" s="18"/>
      <c r="BY262" s="127"/>
      <c r="BZ262" s="18"/>
      <c r="CA262" s="127"/>
      <c r="CB262" s="127"/>
      <c r="CC262" s="127"/>
      <c r="CE262" t="e">
        <f t="shared" si="152"/>
        <v>#DIV/0!</v>
      </c>
      <c r="CF262" t="e">
        <f t="shared" si="153"/>
        <v>#DIV/0!</v>
      </c>
      <c r="CG262" t="e">
        <f t="shared" si="154"/>
        <v>#DIV/0!</v>
      </c>
      <c r="CH262" t="e">
        <f t="shared" si="155"/>
        <v>#DIV/0!</v>
      </c>
      <c r="CI262" t="e">
        <f t="shared" si="156"/>
        <v>#DIV/0!</v>
      </c>
      <c r="CJ262" t="e">
        <f t="shared" si="157"/>
        <v>#DIV/0!</v>
      </c>
      <c r="CK262" t="e">
        <f t="shared" si="158"/>
        <v>#DIV/0!</v>
      </c>
      <c r="CL262" t="e">
        <f t="shared" si="159"/>
        <v>#DIV/0!</v>
      </c>
      <c r="CM262" t="e">
        <f t="shared" si="160"/>
        <v>#DIV/0!</v>
      </c>
      <c r="CN262" t="e">
        <f t="shared" si="161"/>
        <v>#DIV/0!</v>
      </c>
      <c r="CO262" t="e">
        <f t="shared" si="162"/>
        <v>#DIV/0!</v>
      </c>
      <c r="CP262" t="e">
        <f t="shared" si="163"/>
        <v>#DIV/0!</v>
      </c>
      <c r="CQ262" t="e">
        <f t="shared" si="164"/>
        <v>#DIV/0!</v>
      </c>
      <c r="CR262" t="e">
        <f t="shared" si="165"/>
        <v>#DIV/0!</v>
      </c>
      <c r="CS262" t="e">
        <f t="shared" si="166"/>
        <v>#DIV/0!</v>
      </c>
      <c r="CT262" t="e">
        <f t="shared" si="167"/>
        <v>#DIV/0!</v>
      </c>
      <c r="CU262" t="e">
        <f t="shared" si="168"/>
        <v>#DIV/0!</v>
      </c>
      <c r="CV262" t="e">
        <f t="shared" si="169"/>
        <v>#DIV/0!</v>
      </c>
      <c r="CW262" t="e">
        <f t="shared" si="170"/>
        <v>#DIV/0!</v>
      </c>
      <c r="CX262" t="e">
        <f t="shared" si="171"/>
        <v>#DIV/0!</v>
      </c>
      <c r="CY262" t="e">
        <f t="shared" si="172"/>
        <v>#DIV/0!</v>
      </c>
      <c r="CZ262" t="e">
        <f t="shared" si="173"/>
        <v>#DIV/0!</v>
      </c>
      <c r="DA262" t="e">
        <f t="shared" si="174"/>
        <v>#DIV/0!</v>
      </c>
      <c r="DB262" t="e">
        <f t="shared" si="175"/>
        <v>#DIV/0!</v>
      </c>
      <c r="DC262" t="e">
        <f t="shared" si="176"/>
        <v>#DIV/0!</v>
      </c>
      <c r="DD262" t="e">
        <f t="shared" si="177"/>
        <v>#DIV/0!</v>
      </c>
      <c r="DE262" t="e">
        <f t="shared" si="178"/>
        <v>#DIV/0!</v>
      </c>
      <c r="DF262" t="e">
        <f t="shared" si="179"/>
        <v>#DIV/0!</v>
      </c>
      <c r="DG262" t="e">
        <f t="shared" si="180"/>
        <v>#DIV/0!</v>
      </c>
      <c r="DH262" t="e">
        <f t="shared" si="181"/>
        <v>#DIV/0!</v>
      </c>
      <c r="DI262" t="e">
        <f t="shared" si="182"/>
        <v>#DIV/0!</v>
      </c>
      <c r="DJ262" t="e">
        <f t="shared" si="183"/>
        <v>#DIV/0!</v>
      </c>
      <c r="DK262" t="e">
        <f t="shared" si="184"/>
        <v>#DIV/0!</v>
      </c>
      <c r="DL262" t="e">
        <f t="shared" si="185"/>
        <v>#DIV/0!</v>
      </c>
      <c r="DM262" t="e">
        <f t="shared" si="186"/>
        <v>#DIV/0!</v>
      </c>
      <c r="DN262" t="e">
        <f t="shared" si="187"/>
        <v>#DIV/0!</v>
      </c>
      <c r="DO262" t="e">
        <f t="shared" si="188"/>
        <v>#DIV/0!</v>
      </c>
      <c r="DP262" t="e">
        <f t="shared" si="189"/>
        <v>#DIV/0!</v>
      </c>
    </row>
    <row r="263" spans="1:120">
      <c r="A263" s="16" t="s">
        <v>838</v>
      </c>
      <c r="B263" s="16" t="s">
        <v>24</v>
      </c>
      <c r="C263" s="125" t="s">
        <v>1722</v>
      </c>
      <c r="D263" s="16" t="s">
        <v>1719</v>
      </c>
      <c r="E263" s="16" t="s">
        <v>388</v>
      </c>
      <c r="F263" s="16" t="s">
        <v>342</v>
      </c>
      <c r="G263" s="16" t="s">
        <v>829</v>
      </c>
      <c r="H263" s="27"/>
      <c r="I263" s="16" t="s">
        <v>735</v>
      </c>
      <c r="J263" s="16"/>
      <c r="K263" s="16" t="s">
        <v>903</v>
      </c>
      <c r="L263" s="16"/>
      <c r="M263" s="16">
        <v>79</v>
      </c>
      <c r="N263" s="16">
        <v>39</v>
      </c>
      <c r="O263" s="95">
        <v>28.089304393305444</v>
      </c>
      <c r="P263" s="95">
        <v>1.7201737563923756</v>
      </c>
      <c r="Q263" s="95">
        <v>4.2025801952580197</v>
      </c>
      <c r="R263" s="95">
        <v>31.509051022780106</v>
      </c>
      <c r="S263" s="95">
        <v>4.2952841701534172</v>
      </c>
      <c r="T263" s="95">
        <v>9.3218996978149704</v>
      </c>
      <c r="U263" s="95">
        <v>2.1115905392840539</v>
      </c>
      <c r="V263" s="95">
        <v>3.5639528126452809</v>
      </c>
      <c r="W263" s="95">
        <v>9.6000116225011638</v>
      </c>
      <c r="X263" s="95">
        <v>3.7596612040911208</v>
      </c>
      <c r="Y263" s="95">
        <v>2.3588011390051138</v>
      </c>
      <c r="Z263" s="95">
        <v>100.53231055323106</v>
      </c>
      <c r="AA263" s="18"/>
      <c r="AB263" s="18"/>
      <c r="AC263" s="18"/>
      <c r="AD263" s="18"/>
      <c r="AE263" s="127"/>
      <c r="AF263" s="127"/>
      <c r="AG263" s="18"/>
      <c r="AH263" s="18"/>
      <c r="AI263" s="18"/>
      <c r="AJ263" s="18"/>
      <c r="AK263" s="134"/>
      <c r="AL263" s="18"/>
      <c r="AM263" s="134"/>
      <c r="AN263" s="127"/>
      <c r="AO263" s="18"/>
      <c r="AP263" s="18"/>
      <c r="AQ263" s="18"/>
      <c r="AR263" s="18"/>
      <c r="AS263" s="18"/>
      <c r="AT263" s="18"/>
      <c r="AU263" s="18"/>
      <c r="AV263" s="18"/>
      <c r="AW263" s="18"/>
      <c r="AX263" s="127"/>
      <c r="AY263" s="127"/>
      <c r="AZ263" s="127"/>
      <c r="BA263" s="127"/>
      <c r="BB263" s="18"/>
      <c r="BC263" s="127"/>
      <c r="BD263" s="18"/>
      <c r="BE263" s="18"/>
      <c r="BF263" s="18"/>
      <c r="BG263" s="18"/>
      <c r="BH263" s="127"/>
      <c r="BI263" s="127"/>
      <c r="BJ263" s="18"/>
      <c r="BK263" s="127"/>
      <c r="BL263" s="127"/>
      <c r="BM263" s="127"/>
      <c r="BN263" s="127"/>
      <c r="BO263" s="18"/>
      <c r="BP263" s="18"/>
      <c r="BQ263" s="18"/>
      <c r="BR263" s="18"/>
      <c r="BS263" s="18"/>
      <c r="BT263" s="18"/>
      <c r="BU263" s="18"/>
      <c r="BV263" s="18"/>
      <c r="BW263" s="18"/>
      <c r="BX263" s="18"/>
      <c r="BY263" s="127"/>
      <c r="BZ263" s="18"/>
      <c r="CA263" s="127"/>
      <c r="CB263" s="127"/>
      <c r="CC263" s="127"/>
      <c r="CE263" t="e">
        <f t="shared" si="152"/>
        <v>#DIV/0!</v>
      </c>
      <c r="CF263" t="e">
        <f t="shared" si="153"/>
        <v>#DIV/0!</v>
      </c>
      <c r="CG263" t="e">
        <f t="shared" si="154"/>
        <v>#DIV/0!</v>
      </c>
      <c r="CH263" t="e">
        <f t="shared" si="155"/>
        <v>#DIV/0!</v>
      </c>
      <c r="CI263" t="e">
        <f t="shared" si="156"/>
        <v>#DIV/0!</v>
      </c>
      <c r="CJ263" t="e">
        <f t="shared" si="157"/>
        <v>#DIV/0!</v>
      </c>
      <c r="CK263" t="e">
        <f t="shared" si="158"/>
        <v>#DIV/0!</v>
      </c>
      <c r="CL263" t="e">
        <f t="shared" si="159"/>
        <v>#DIV/0!</v>
      </c>
      <c r="CM263" t="e">
        <f t="shared" si="160"/>
        <v>#DIV/0!</v>
      </c>
      <c r="CN263" t="e">
        <f t="shared" si="161"/>
        <v>#DIV/0!</v>
      </c>
      <c r="CO263" t="e">
        <f t="shared" si="162"/>
        <v>#DIV/0!</v>
      </c>
      <c r="CP263" t="e">
        <f t="shared" si="163"/>
        <v>#DIV/0!</v>
      </c>
      <c r="CQ263" t="e">
        <f t="shared" si="164"/>
        <v>#DIV/0!</v>
      </c>
      <c r="CR263" t="e">
        <f t="shared" si="165"/>
        <v>#DIV/0!</v>
      </c>
      <c r="CS263" t="e">
        <f t="shared" si="166"/>
        <v>#DIV/0!</v>
      </c>
      <c r="CT263" t="e">
        <f t="shared" si="167"/>
        <v>#DIV/0!</v>
      </c>
      <c r="CU263" t="e">
        <f t="shared" si="168"/>
        <v>#DIV/0!</v>
      </c>
      <c r="CV263" t="e">
        <f t="shared" si="169"/>
        <v>#DIV/0!</v>
      </c>
      <c r="CW263" t="e">
        <f t="shared" si="170"/>
        <v>#DIV/0!</v>
      </c>
      <c r="CX263" t="e">
        <f t="shared" si="171"/>
        <v>#DIV/0!</v>
      </c>
      <c r="CY263" t="e">
        <f t="shared" si="172"/>
        <v>#DIV/0!</v>
      </c>
      <c r="CZ263" t="e">
        <f t="shared" si="173"/>
        <v>#DIV/0!</v>
      </c>
      <c r="DA263" t="e">
        <f t="shared" si="174"/>
        <v>#DIV/0!</v>
      </c>
      <c r="DB263" t="e">
        <f t="shared" si="175"/>
        <v>#DIV/0!</v>
      </c>
      <c r="DC263" t="e">
        <f t="shared" si="176"/>
        <v>#DIV/0!</v>
      </c>
      <c r="DD263" t="e">
        <f t="shared" si="177"/>
        <v>#DIV/0!</v>
      </c>
      <c r="DE263" t="e">
        <f t="shared" si="178"/>
        <v>#DIV/0!</v>
      </c>
      <c r="DF263" t="e">
        <f t="shared" si="179"/>
        <v>#DIV/0!</v>
      </c>
      <c r="DG263" t="e">
        <f t="shared" si="180"/>
        <v>#DIV/0!</v>
      </c>
      <c r="DH263" t="e">
        <f t="shared" si="181"/>
        <v>#DIV/0!</v>
      </c>
      <c r="DI263" t="e">
        <f t="shared" si="182"/>
        <v>#DIV/0!</v>
      </c>
      <c r="DJ263" t="e">
        <f t="shared" si="183"/>
        <v>#DIV/0!</v>
      </c>
      <c r="DK263" t="e">
        <f t="shared" si="184"/>
        <v>#DIV/0!</v>
      </c>
      <c r="DL263" t="e">
        <f t="shared" si="185"/>
        <v>#DIV/0!</v>
      </c>
      <c r="DM263" t="e">
        <f t="shared" si="186"/>
        <v>#DIV/0!</v>
      </c>
      <c r="DN263" t="e">
        <f t="shared" si="187"/>
        <v>#DIV/0!</v>
      </c>
      <c r="DO263" t="e">
        <f t="shared" si="188"/>
        <v>#DIV/0!</v>
      </c>
      <c r="DP263" t="e">
        <f t="shared" si="189"/>
        <v>#DIV/0!</v>
      </c>
    </row>
    <row r="264" spans="1:120">
      <c r="A264" s="16" t="s">
        <v>838</v>
      </c>
      <c r="B264" s="16" t="s">
        <v>24</v>
      </c>
      <c r="C264" s="125" t="s">
        <v>1722</v>
      </c>
      <c r="D264" s="16" t="s">
        <v>1719</v>
      </c>
      <c r="E264" s="16" t="s">
        <v>388</v>
      </c>
      <c r="F264" s="16" t="s">
        <v>342</v>
      </c>
      <c r="G264" s="16" t="s">
        <v>829</v>
      </c>
      <c r="H264" s="27"/>
      <c r="I264" s="16" t="s">
        <v>735</v>
      </c>
      <c r="J264" s="16"/>
      <c r="K264" s="16" t="s">
        <v>903</v>
      </c>
      <c r="L264" s="16"/>
      <c r="M264" s="16">
        <v>81</v>
      </c>
      <c r="N264" s="16">
        <v>32</v>
      </c>
      <c r="O264" s="95">
        <v>33.932934424868108</v>
      </c>
      <c r="P264" s="95">
        <v>2.7786786484899606</v>
      </c>
      <c r="Q264" s="95">
        <v>4.4624132942292309</v>
      </c>
      <c r="R264" s="95">
        <v>9.3070240233808725</v>
      </c>
      <c r="S264" s="95">
        <v>4.9892259747979599</v>
      </c>
      <c r="T264" s="95">
        <v>10.660209536214275</v>
      </c>
      <c r="U264" s="95">
        <v>3.253843027042147</v>
      </c>
      <c r="V264" s="95">
        <v>3.2331837062355304</v>
      </c>
      <c r="W264" s="95">
        <v>18.221520951436027</v>
      </c>
      <c r="X264" s="95">
        <v>6.0015326943221821</v>
      </c>
      <c r="Y264" s="95">
        <v>4.0802158593068194</v>
      </c>
      <c r="Z264" s="95">
        <v>100.92078214032311</v>
      </c>
      <c r="AA264" s="18"/>
      <c r="AB264" s="18"/>
      <c r="AC264" s="18"/>
      <c r="AD264" s="18"/>
      <c r="AE264" s="127"/>
      <c r="AF264" s="127"/>
      <c r="AG264" s="18"/>
      <c r="AH264" s="18"/>
      <c r="AI264" s="18"/>
      <c r="AJ264" s="18"/>
      <c r="AK264" s="134"/>
      <c r="AL264" s="18"/>
      <c r="AM264" s="134"/>
      <c r="AN264" s="127"/>
      <c r="AO264" s="18"/>
      <c r="AP264" s="18"/>
      <c r="AQ264" s="18"/>
      <c r="AR264" s="18"/>
      <c r="AS264" s="18"/>
      <c r="AT264" s="18"/>
      <c r="AU264" s="18"/>
      <c r="AV264" s="18"/>
      <c r="AW264" s="18"/>
      <c r="AX264" s="127"/>
      <c r="AY264" s="127"/>
      <c r="AZ264" s="127"/>
      <c r="BA264" s="127"/>
      <c r="BB264" s="18"/>
      <c r="BC264" s="127"/>
      <c r="BD264" s="18"/>
      <c r="BE264" s="18"/>
      <c r="BF264" s="18"/>
      <c r="BG264" s="18"/>
      <c r="BH264" s="127"/>
      <c r="BI264" s="127"/>
      <c r="BJ264" s="18"/>
      <c r="BK264" s="127"/>
      <c r="BL264" s="127"/>
      <c r="BM264" s="127"/>
      <c r="BN264" s="127"/>
      <c r="BO264" s="18"/>
      <c r="BP264" s="18"/>
      <c r="BQ264" s="18"/>
      <c r="BR264" s="18"/>
      <c r="BS264" s="18"/>
      <c r="BT264" s="18"/>
      <c r="BU264" s="18"/>
      <c r="BV264" s="18"/>
      <c r="BW264" s="18"/>
      <c r="BX264" s="18"/>
      <c r="BY264" s="127"/>
      <c r="BZ264" s="18"/>
      <c r="CA264" s="127"/>
      <c r="CB264" s="127"/>
      <c r="CC264" s="127"/>
      <c r="CE264" t="e">
        <f t="shared" si="152"/>
        <v>#DIV/0!</v>
      </c>
      <c r="CF264" t="e">
        <f t="shared" si="153"/>
        <v>#DIV/0!</v>
      </c>
      <c r="CG264" t="e">
        <f t="shared" si="154"/>
        <v>#DIV/0!</v>
      </c>
      <c r="CH264" t="e">
        <f t="shared" si="155"/>
        <v>#DIV/0!</v>
      </c>
      <c r="CI264" t="e">
        <f t="shared" si="156"/>
        <v>#DIV/0!</v>
      </c>
      <c r="CJ264" t="e">
        <f t="shared" si="157"/>
        <v>#DIV/0!</v>
      </c>
      <c r="CK264" t="e">
        <f t="shared" si="158"/>
        <v>#DIV/0!</v>
      </c>
      <c r="CL264" t="e">
        <f t="shared" si="159"/>
        <v>#DIV/0!</v>
      </c>
      <c r="CM264" t="e">
        <f t="shared" si="160"/>
        <v>#DIV/0!</v>
      </c>
      <c r="CN264" t="e">
        <f t="shared" si="161"/>
        <v>#DIV/0!</v>
      </c>
      <c r="CO264" t="e">
        <f t="shared" si="162"/>
        <v>#DIV/0!</v>
      </c>
      <c r="CP264" t="e">
        <f t="shared" si="163"/>
        <v>#DIV/0!</v>
      </c>
      <c r="CQ264" t="e">
        <f t="shared" si="164"/>
        <v>#DIV/0!</v>
      </c>
      <c r="CR264" t="e">
        <f t="shared" si="165"/>
        <v>#DIV/0!</v>
      </c>
      <c r="CS264" t="e">
        <f t="shared" si="166"/>
        <v>#DIV/0!</v>
      </c>
      <c r="CT264" t="e">
        <f t="shared" si="167"/>
        <v>#DIV/0!</v>
      </c>
      <c r="CU264" t="e">
        <f t="shared" si="168"/>
        <v>#DIV/0!</v>
      </c>
      <c r="CV264" t="e">
        <f t="shared" si="169"/>
        <v>#DIV/0!</v>
      </c>
      <c r="CW264" t="e">
        <f t="shared" si="170"/>
        <v>#DIV/0!</v>
      </c>
      <c r="CX264" t="e">
        <f t="shared" si="171"/>
        <v>#DIV/0!</v>
      </c>
      <c r="CY264" t="e">
        <f t="shared" si="172"/>
        <v>#DIV/0!</v>
      </c>
      <c r="CZ264" t="e">
        <f t="shared" si="173"/>
        <v>#DIV/0!</v>
      </c>
      <c r="DA264" t="e">
        <f t="shared" si="174"/>
        <v>#DIV/0!</v>
      </c>
      <c r="DB264" t="e">
        <f t="shared" si="175"/>
        <v>#DIV/0!</v>
      </c>
      <c r="DC264" t="e">
        <f t="shared" si="176"/>
        <v>#DIV/0!</v>
      </c>
      <c r="DD264" t="e">
        <f t="shared" si="177"/>
        <v>#DIV/0!</v>
      </c>
      <c r="DE264" t="e">
        <f t="shared" si="178"/>
        <v>#DIV/0!</v>
      </c>
      <c r="DF264" t="e">
        <f t="shared" si="179"/>
        <v>#DIV/0!</v>
      </c>
      <c r="DG264" t="e">
        <f t="shared" si="180"/>
        <v>#DIV/0!</v>
      </c>
      <c r="DH264" t="e">
        <f t="shared" si="181"/>
        <v>#DIV/0!</v>
      </c>
      <c r="DI264" t="e">
        <f t="shared" si="182"/>
        <v>#DIV/0!</v>
      </c>
      <c r="DJ264" t="e">
        <f t="shared" si="183"/>
        <v>#DIV/0!</v>
      </c>
      <c r="DK264" t="e">
        <f t="shared" si="184"/>
        <v>#DIV/0!</v>
      </c>
      <c r="DL264" t="e">
        <f t="shared" si="185"/>
        <v>#DIV/0!</v>
      </c>
      <c r="DM264" t="e">
        <f t="shared" si="186"/>
        <v>#DIV/0!</v>
      </c>
      <c r="DN264" t="e">
        <f t="shared" si="187"/>
        <v>#DIV/0!</v>
      </c>
      <c r="DO264" t="e">
        <f t="shared" si="188"/>
        <v>#DIV/0!</v>
      </c>
      <c r="DP264" t="e">
        <f t="shared" si="189"/>
        <v>#DIV/0!</v>
      </c>
    </row>
    <row r="265" spans="1:120">
      <c r="A265" s="16" t="s">
        <v>838</v>
      </c>
      <c r="B265" s="16" t="s">
        <v>24</v>
      </c>
      <c r="C265" s="125" t="s">
        <v>1722</v>
      </c>
      <c r="D265" s="16" t="s">
        <v>1719</v>
      </c>
      <c r="E265" s="16" t="s">
        <v>388</v>
      </c>
      <c r="F265" s="16" t="s">
        <v>342</v>
      </c>
      <c r="G265" s="16" t="s">
        <v>829</v>
      </c>
      <c r="H265" s="27"/>
      <c r="I265" s="16" t="s">
        <v>735</v>
      </c>
      <c r="J265" s="16"/>
      <c r="K265" s="16" t="s">
        <v>903</v>
      </c>
      <c r="L265" s="16"/>
      <c r="M265" s="16">
        <v>85</v>
      </c>
      <c r="N265" s="16">
        <v>36</v>
      </c>
      <c r="O265" s="95">
        <v>39.410697225427462</v>
      </c>
      <c r="P265" s="95">
        <v>2.7920667773610717</v>
      </c>
      <c r="Q265" s="95">
        <v>6.0096902010857267</v>
      </c>
      <c r="R265" s="95">
        <v>7.9298848249214071</v>
      </c>
      <c r="S265" s="95">
        <v>4.0375984252544868</v>
      </c>
      <c r="T265" s="95">
        <v>9.4764199543890655</v>
      </c>
      <c r="U265" s="95">
        <v>1.8475386110418985</v>
      </c>
      <c r="V265" s="95">
        <v>3.1034496893344254</v>
      </c>
      <c r="W265" s="95">
        <v>16.617468068977978</v>
      </c>
      <c r="X265" s="95">
        <v>5.6567895675159265</v>
      </c>
      <c r="Y265" s="95">
        <v>4.0272189948553745</v>
      </c>
      <c r="Z265" s="95">
        <v>100.90882234016482</v>
      </c>
      <c r="AA265" s="18"/>
      <c r="AB265" s="18"/>
      <c r="AC265" s="18"/>
      <c r="AD265" s="18"/>
      <c r="AE265" s="127"/>
      <c r="AF265" s="127"/>
      <c r="AG265" s="18"/>
      <c r="AH265" s="18"/>
      <c r="AI265" s="18"/>
      <c r="AJ265" s="18"/>
      <c r="AK265" s="134"/>
      <c r="AL265" s="18"/>
      <c r="AM265" s="134"/>
      <c r="AN265" s="127"/>
      <c r="AO265" s="18"/>
      <c r="AP265" s="18"/>
      <c r="AQ265" s="18"/>
      <c r="AR265" s="18"/>
      <c r="AS265" s="18"/>
      <c r="AT265" s="18"/>
      <c r="AU265" s="18"/>
      <c r="AV265" s="18"/>
      <c r="AW265" s="18"/>
      <c r="AX265" s="127"/>
      <c r="AY265" s="127"/>
      <c r="AZ265" s="127"/>
      <c r="BA265" s="127"/>
      <c r="BB265" s="18"/>
      <c r="BC265" s="127"/>
      <c r="BD265" s="18"/>
      <c r="BE265" s="18"/>
      <c r="BF265" s="18"/>
      <c r="BG265" s="18"/>
      <c r="BH265" s="127"/>
      <c r="BI265" s="127"/>
      <c r="BJ265" s="18"/>
      <c r="BK265" s="127"/>
      <c r="BL265" s="127"/>
      <c r="BM265" s="127"/>
      <c r="BN265" s="127"/>
      <c r="BO265" s="18"/>
      <c r="BP265" s="18"/>
      <c r="BQ265" s="18"/>
      <c r="BR265" s="18"/>
      <c r="BS265" s="18"/>
      <c r="BT265" s="18"/>
      <c r="BU265" s="18"/>
      <c r="BV265" s="18"/>
      <c r="BW265" s="18"/>
      <c r="BX265" s="18"/>
      <c r="BY265" s="127"/>
      <c r="BZ265" s="18"/>
      <c r="CA265" s="127"/>
      <c r="CB265" s="127"/>
      <c r="CC265" s="127"/>
      <c r="CE265" t="e">
        <f t="shared" si="152"/>
        <v>#DIV/0!</v>
      </c>
      <c r="CF265" t="e">
        <f t="shared" si="153"/>
        <v>#DIV/0!</v>
      </c>
      <c r="CG265" t="e">
        <f t="shared" si="154"/>
        <v>#DIV/0!</v>
      </c>
      <c r="CH265" t="e">
        <f t="shared" si="155"/>
        <v>#DIV/0!</v>
      </c>
      <c r="CI265" t="e">
        <f t="shared" si="156"/>
        <v>#DIV/0!</v>
      </c>
      <c r="CJ265" t="e">
        <f t="shared" si="157"/>
        <v>#DIV/0!</v>
      </c>
      <c r="CK265" t="e">
        <f t="shared" si="158"/>
        <v>#DIV/0!</v>
      </c>
      <c r="CL265" t="e">
        <f t="shared" si="159"/>
        <v>#DIV/0!</v>
      </c>
      <c r="CM265" t="e">
        <f t="shared" si="160"/>
        <v>#DIV/0!</v>
      </c>
      <c r="CN265" t="e">
        <f t="shared" si="161"/>
        <v>#DIV/0!</v>
      </c>
      <c r="CO265" t="e">
        <f t="shared" si="162"/>
        <v>#DIV/0!</v>
      </c>
      <c r="CP265" t="e">
        <f t="shared" si="163"/>
        <v>#DIV/0!</v>
      </c>
      <c r="CQ265" t="e">
        <f t="shared" si="164"/>
        <v>#DIV/0!</v>
      </c>
      <c r="CR265" t="e">
        <f t="shared" si="165"/>
        <v>#DIV/0!</v>
      </c>
      <c r="CS265" t="e">
        <f t="shared" si="166"/>
        <v>#DIV/0!</v>
      </c>
      <c r="CT265" t="e">
        <f t="shared" si="167"/>
        <v>#DIV/0!</v>
      </c>
      <c r="CU265" t="e">
        <f t="shared" si="168"/>
        <v>#DIV/0!</v>
      </c>
      <c r="CV265" t="e">
        <f t="shared" si="169"/>
        <v>#DIV/0!</v>
      </c>
      <c r="CW265" t="e">
        <f t="shared" si="170"/>
        <v>#DIV/0!</v>
      </c>
      <c r="CX265" t="e">
        <f t="shared" si="171"/>
        <v>#DIV/0!</v>
      </c>
      <c r="CY265" t="e">
        <f t="shared" si="172"/>
        <v>#DIV/0!</v>
      </c>
      <c r="CZ265" t="e">
        <f t="shared" si="173"/>
        <v>#DIV/0!</v>
      </c>
      <c r="DA265" t="e">
        <f t="shared" si="174"/>
        <v>#DIV/0!</v>
      </c>
      <c r="DB265" t="e">
        <f t="shared" si="175"/>
        <v>#DIV/0!</v>
      </c>
      <c r="DC265" t="e">
        <f t="shared" si="176"/>
        <v>#DIV/0!</v>
      </c>
      <c r="DD265" t="e">
        <f t="shared" si="177"/>
        <v>#DIV/0!</v>
      </c>
      <c r="DE265" t="e">
        <f t="shared" si="178"/>
        <v>#DIV/0!</v>
      </c>
      <c r="DF265" t="e">
        <f t="shared" si="179"/>
        <v>#DIV/0!</v>
      </c>
      <c r="DG265" t="e">
        <f t="shared" si="180"/>
        <v>#DIV/0!</v>
      </c>
      <c r="DH265" t="e">
        <f t="shared" si="181"/>
        <v>#DIV/0!</v>
      </c>
      <c r="DI265" t="e">
        <f t="shared" si="182"/>
        <v>#DIV/0!</v>
      </c>
      <c r="DJ265" t="e">
        <f t="shared" si="183"/>
        <v>#DIV/0!</v>
      </c>
      <c r="DK265" t="e">
        <f t="shared" si="184"/>
        <v>#DIV/0!</v>
      </c>
      <c r="DL265" t="e">
        <f t="shared" si="185"/>
        <v>#DIV/0!</v>
      </c>
      <c r="DM265" t="e">
        <f t="shared" si="186"/>
        <v>#DIV/0!</v>
      </c>
      <c r="DN265" t="e">
        <f t="shared" si="187"/>
        <v>#DIV/0!</v>
      </c>
      <c r="DO265" t="e">
        <f t="shared" si="188"/>
        <v>#DIV/0!</v>
      </c>
      <c r="DP265" t="e">
        <f t="shared" si="189"/>
        <v>#DIV/0!</v>
      </c>
    </row>
    <row r="266" spans="1:120">
      <c r="A266" s="16" t="s">
        <v>846</v>
      </c>
      <c r="B266" s="16" t="s">
        <v>24</v>
      </c>
      <c r="C266" s="125" t="s">
        <v>1722</v>
      </c>
      <c r="D266" s="16" t="s">
        <v>1722</v>
      </c>
      <c r="E266" s="16" t="s">
        <v>388</v>
      </c>
      <c r="F266" s="16" t="s">
        <v>1789</v>
      </c>
      <c r="G266" s="16" t="s">
        <v>640</v>
      </c>
      <c r="H266" s="27"/>
      <c r="I266" s="16" t="s">
        <v>1148</v>
      </c>
      <c r="J266" s="16"/>
      <c r="K266" s="16"/>
      <c r="L266" s="16"/>
      <c r="M266" s="16" t="s">
        <v>514</v>
      </c>
      <c r="N266" s="16">
        <v>21</v>
      </c>
      <c r="O266" s="95">
        <v>31.259897231555104</v>
      </c>
      <c r="P266" s="95">
        <v>2.0016138050914081</v>
      </c>
      <c r="Q266" s="95">
        <v>6.8933128491668398</v>
      </c>
      <c r="R266" s="95">
        <v>6.7911896958458495</v>
      </c>
      <c r="S266" s="95">
        <v>5.0959453507174128</v>
      </c>
      <c r="T266" s="95">
        <v>19.127666617021468</v>
      </c>
      <c r="U266" s="95">
        <v>0</v>
      </c>
      <c r="V266" s="95">
        <v>3.2270916449432909</v>
      </c>
      <c r="W266" s="95">
        <v>14.756795654883087</v>
      </c>
      <c r="X266" s="95">
        <v>6.9954360024878302</v>
      </c>
      <c r="Y266" s="95">
        <v>4.9733975667322241</v>
      </c>
      <c r="Z266" s="95">
        <v>101.12234641844452</v>
      </c>
      <c r="AA266" s="18"/>
      <c r="AB266" s="18"/>
      <c r="AC266" s="18"/>
      <c r="AD266" s="18"/>
      <c r="AE266" s="127"/>
      <c r="AF266" s="127"/>
      <c r="AG266" s="18"/>
      <c r="AH266" s="18"/>
      <c r="AI266" s="18"/>
      <c r="AJ266" s="18"/>
      <c r="AK266" s="134"/>
      <c r="AL266" s="18"/>
      <c r="AM266" s="134"/>
      <c r="AN266" s="127"/>
      <c r="AO266" s="18"/>
      <c r="AP266" s="18"/>
      <c r="AQ266" s="18"/>
      <c r="AR266" s="18"/>
      <c r="AS266" s="18"/>
      <c r="AT266" s="18"/>
      <c r="AU266" s="18"/>
      <c r="AV266" s="18"/>
      <c r="AW266" s="18"/>
      <c r="AX266" s="127"/>
      <c r="AY266" s="127"/>
      <c r="AZ266" s="127"/>
      <c r="BA266" s="127"/>
      <c r="BB266" s="18"/>
      <c r="BC266" s="127"/>
      <c r="BD266" s="18"/>
      <c r="BE266" s="18"/>
      <c r="BF266" s="18"/>
      <c r="BG266" s="18"/>
      <c r="BH266" s="127"/>
      <c r="BI266" s="127"/>
      <c r="BJ266" s="18"/>
      <c r="BK266" s="127"/>
      <c r="BL266" s="127"/>
      <c r="BM266" s="127"/>
      <c r="BN266" s="127"/>
      <c r="BO266" s="18"/>
      <c r="BP266" s="18"/>
      <c r="BQ266" s="18"/>
      <c r="BR266" s="18"/>
      <c r="BS266" s="18"/>
      <c r="BT266" s="18"/>
      <c r="BU266" s="18"/>
      <c r="BV266" s="18"/>
      <c r="BW266" s="18"/>
      <c r="BX266" s="18"/>
      <c r="BY266" s="127"/>
      <c r="BZ266" s="18"/>
      <c r="CA266" s="127"/>
      <c r="CB266" s="127"/>
      <c r="CC266" s="127"/>
      <c r="CE266" t="e">
        <f t="shared" si="152"/>
        <v>#DIV/0!</v>
      </c>
      <c r="CF266" t="e">
        <f t="shared" si="153"/>
        <v>#DIV/0!</v>
      </c>
      <c r="CG266" t="e">
        <f t="shared" si="154"/>
        <v>#DIV/0!</v>
      </c>
      <c r="CH266" t="e">
        <f t="shared" si="155"/>
        <v>#DIV/0!</v>
      </c>
      <c r="CI266" t="e">
        <f t="shared" si="156"/>
        <v>#DIV/0!</v>
      </c>
      <c r="CJ266" t="e">
        <f t="shared" si="157"/>
        <v>#DIV/0!</v>
      </c>
      <c r="CK266" t="e">
        <f t="shared" si="158"/>
        <v>#DIV/0!</v>
      </c>
      <c r="CL266" t="e">
        <f t="shared" si="159"/>
        <v>#DIV/0!</v>
      </c>
      <c r="CM266" t="e">
        <f t="shared" si="160"/>
        <v>#DIV/0!</v>
      </c>
      <c r="CN266" t="e">
        <f t="shared" si="161"/>
        <v>#DIV/0!</v>
      </c>
      <c r="CO266" t="e">
        <f t="shared" si="162"/>
        <v>#DIV/0!</v>
      </c>
      <c r="CP266" t="e">
        <f t="shared" si="163"/>
        <v>#DIV/0!</v>
      </c>
      <c r="CQ266" t="e">
        <f t="shared" si="164"/>
        <v>#DIV/0!</v>
      </c>
      <c r="CR266" t="e">
        <f t="shared" si="165"/>
        <v>#DIV/0!</v>
      </c>
      <c r="CS266" t="e">
        <f t="shared" si="166"/>
        <v>#DIV/0!</v>
      </c>
      <c r="CT266" t="e">
        <f t="shared" si="167"/>
        <v>#DIV/0!</v>
      </c>
      <c r="CU266" t="e">
        <f t="shared" si="168"/>
        <v>#DIV/0!</v>
      </c>
      <c r="CV266" t="e">
        <f t="shared" si="169"/>
        <v>#DIV/0!</v>
      </c>
      <c r="CW266" t="e">
        <f t="shared" si="170"/>
        <v>#DIV/0!</v>
      </c>
      <c r="CX266" t="e">
        <f t="shared" si="171"/>
        <v>#DIV/0!</v>
      </c>
      <c r="CY266" t="e">
        <f t="shared" si="172"/>
        <v>#DIV/0!</v>
      </c>
      <c r="CZ266" t="e">
        <f t="shared" si="173"/>
        <v>#DIV/0!</v>
      </c>
      <c r="DA266" t="e">
        <f t="shared" si="174"/>
        <v>#DIV/0!</v>
      </c>
      <c r="DB266" t="e">
        <f t="shared" si="175"/>
        <v>#DIV/0!</v>
      </c>
      <c r="DC266" t="e">
        <f t="shared" si="176"/>
        <v>#DIV/0!</v>
      </c>
      <c r="DD266" t="e">
        <f t="shared" si="177"/>
        <v>#DIV/0!</v>
      </c>
      <c r="DE266" t="e">
        <f t="shared" si="178"/>
        <v>#DIV/0!</v>
      </c>
      <c r="DF266" t="e">
        <f t="shared" si="179"/>
        <v>#DIV/0!</v>
      </c>
      <c r="DG266" t="e">
        <f t="shared" si="180"/>
        <v>#DIV/0!</v>
      </c>
      <c r="DH266" t="e">
        <f t="shared" si="181"/>
        <v>#DIV/0!</v>
      </c>
      <c r="DI266" t="e">
        <f t="shared" si="182"/>
        <v>#DIV/0!</v>
      </c>
      <c r="DJ266" t="e">
        <f t="shared" si="183"/>
        <v>#DIV/0!</v>
      </c>
      <c r="DK266" t="e">
        <f t="shared" si="184"/>
        <v>#DIV/0!</v>
      </c>
      <c r="DL266" t="e">
        <f t="shared" si="185"/>
        <v>#DIV/0!</v>
      </c>
      <c r="DM266" t="e">
        <f t="shared" si="186"/>
        <v>#DIV/0!</v>
      </c>
      <c r="DN266" t="e">
        <f t="shared" si="187"/>
        <v>#DIV/0!</v>
      </c>
      <c r="DO266" t="e">
        <f t="shared" si="188"/>
        <v>#DIV/0!</v>
      </c>
      <c r="DP266" t="e">
        <f t="shared" si="189"/>
        <v>#DIV/0!</v>
      </c>
    </row>
    <row r="267" spans="1:120">
      <c r="A267" s="16" t="s">
        <v>846</v>
      </c>
      <c r="B267" s="16" t="s">
        <v>24</v>
      </c>
      <c r="C267" s="125" t="s">
        <v>1722</v>
      </c>
      <c r="D267" s="16" t="s">
        <v>1722</v>
      </c>
      <c r="E267" s="16" t="s">
        <v>388</v>
      </c>
      <c r="F267" s="16" t="s">
        <v>1789</v>
      </c>
      <c r="G267" s="16" t="s">
        <v>640</v>
      </c>
      <c r="H267" s="27"/>
      <c r="I267" s="16" t="s">
        <v>1148</v>
      </c>
      <c r="J267" s="16"/>
      <c r="K267" s="16"/>
      <c r="L267" s="16"/>
      <c r="M267" s="16" t="s">
        <v>520</v>
      </c>
      <c r="N267" s="16">
        <v>24</v>
      </c>
      <c r="O267" s="95">
        <v>28.031578410366293</v>
      </c>
      <c r="P267" s="95">
        <v>1.7381588046571212</v>
      </c>
      <c r="Q267" s="95">
        <v>5.3651838247797841</v>
      </c>
      <c r="R267" s="95">
        <v>10.961452346132482</v>
      </c>
      <c r="S267" s="95">
        <v>8.9922088449024482</v>
      </c>
      <c r="T267" s="95">
        <v>20.898094298767703</v>
      </c>
      <c r="U267" s="95">
        <v>0</v>
      </c>
      <c r="V267" s="95">
        <v>3.5366005736376112</v>
      </c>
      <c r="W267" s="95">
        <v>11.413574578557744</v>
      </c>
      <c r="X267" s="95">
        <v>7.444946093935993</v>
      </c>
      <c r="Y267" s="95">
        <v>2.0898094298767704</v>
      </c>
      <c r="Z267" s="95">
        <v>100.47160720561395</v>
      </c>
      <c r="AA267" s="18"/>
      <c r="AB267" s="18"/>
      <c r="AC267" s="18"/>
      <c r="AD267" s="18"/>
      <c r="AE267" s="127"/>
      <c r="AF267" s="127"/>
      <c r="AG267" s="18"/>
      <c r="AH267" s="18"/>
      <c r="AI267" s="18"/>
      <c r="AJ267" s="18"/>
      <c r="AK267" s="134"/>
      <c r="AL267" s="18"/>
      <c r="AM267" s="134"/>
      <c r="AN267" s="127"/>
      <c r="AO267" s="18"/>
      <c r="AP267" s="18"/>
      <c r="AQ267" s="18"/>
      <c r="AR267" s="18"/>
      <c r="AS267" s="18"/>
      <c r="AT267" s="18"/>
      <c r="AU267" s="18"/>
      <c r="AV267" s="18"/>
      <c r="AW267" s="18"/>
      <c r="AX267" s="127"/>
      <c r="AY267" s="127"/>
      <c r="AZ267" s="127"/>
      <c r="BA267" s="127"/>
      <c r="BB267" s="18"/>
      <c r="BC267" s="127"/>
      <c r="BD267" s="18"/>
      <c r="BE267" s="18"/>
      <c r="BF267" s="18"/>
      <c r="BG267" s="18"/>
      <c r="BH267" s="127"/>
      <c r="BI267" s="127"/>
      <c r="BJ267" s="18"/>
      <c r="BK267" s="127"/>
      <c r="BL267" s="127"/>
      <c r="BM267" s="127"/>
      <c r="BN267" s="127"/>
      <c r="BO267" s="18"/>
      <c r="BP267" s="18"/>
      <c r="BQ267" s="18"/>
      <c r="BR267" s="18"/>
      <c r="BS267" s="18"/>
      <c r="BT267" s="18"/>
      <c r="BU267" s="18"/>
      <c r="BV267" s="18"/>
      <c r="BW267" s="18"/>
      <c r="BX267" s="18"/>
      <c r="BY267" s="127"/>
      <c r="BZ267" s="18"/>
      <c r="CA267" s="127"/>
      <c r="CB267" s="127"/>
      <c r="CC267" s="127"/>
      <c r="CE267" t="e">
        <f t="shared" si="152"/>
        <v>#DIV/0!</v>
      </c>
      <c r="CF267" t="e">
        <f t="shared" si="153"/>
        <v>#DIV/0!</v>
      </c>
      <c r="CG267" t="e">
        <f t="shared" si="154"/>
        <v>#DIV/0!</v>
      </c>
      <c r="CH267" t="e">
        <f t="shared" si="155"/>
        <v>#DIV/0!</v>
      </c>
      <c r="CI267" t="e">
        <f t="shared" si="156"/>
        <v>#DIV/0!</v>
      </c>
      <c r="CJ267" t="e">
        <f t="shared" si="157"/>
        <v>#DIV/0!</v>
      </c>
      <c r="CK267" t="e">
        <f t="shared" si="158"/>
        <v>#DIV/0!</v>
      </c>
      <c r="CL267" t="e">
        <f t="shared" si="159"/>
        <v>#DIV/0!</v>
      </c>
      <c r="CM267" t="e">
        <f t="shared" si="160"/>
        <v>#DIV/0!</v>
      </c>
      <c r="CN267" t="e">
        <f t="shared" si="161"/>
        <v>#DIV/0!</v>
      </c>
      <c r="CO267" t="e">
        <f t="shared" si="162"/>
        <v>#DIV/0!</v>
      </c>
      <c r="CP267" t="e">
        <f t="shared" si="163"/>
        <v>#DIV/0!</v>
      </c>
      <c r="CQ267" t="e">
        <f t="shared" si="164"/>
        <v>#DIV/0!</v>
      </c>
      <c r="CR267" t="e">
        <f t="shared" si="165"/>
        <v>#DIV/0!</v>
      </c>
      <c r="CS267" t="e">
        <f t="shared" si="166"/>
        <v>#DIV/0!</v>
      </c>
      <c r="CT267" t="e">
        <f t="shared" si="167"/>
        <v>#DIV/0!</v>
      </c>
      <c r="CU267" t="e">
        <f t="shared" si="168"/>
        <v>#DIV/0!</v>
      </c>
      <c r="CV267" t="e">
        <f t="shared" si="169"/>
        <v>#DIV/0!</v>
      </c>
      <c r="CW267" t="e">
        <f t="shared" si="170"/>
        <v>#DIV/0!</v>
      </c>
      <c r="CX267" t="e">
        <f t="shared" si="171"/>
        <v>#DIV/0!</v>
      </c>
      <c r="CY267" t="e">
        <f t="shared" si="172"/>
        <v>#DIV/0!</v>
      </c>
      <c r="CZ267" t="e">
        <f t="shared" si="173"/>
        <v>#DIV/0!</v>
      </c>
      <c r="DA267" t="e">
        <f t="shared" si="174"/>
        <v>#DIV/0!</v>
      </c>
      <c r="DB267" t="e">
        <f t="shared" si="175"/>
        <v>#DIV/0!</v>
      </c>
      <c r="DC267" t="e">
        <f t="shared" si="176"/>
        <v>#DIV/0!</v>
      </c>
      <c r="DD267" t="e">
        <f t="shared" si="177"/>
        <v>#DIV/0!</v>
      </c>
      <c r="DE267" t="e">
        <f t="shared" si="178"/>
        <v>#DIV/0!</v>
      </c>
      <c r="DF267" t="e">
        <f t="shared" si="179"/>
        <v>#DIV/0!</v>
      </c>
      <c r="DG267" t="e">
        <f t="shared" si="180"/>
        <v>#DIV/0!</v>
      </c>
      <c r="DH267" t="e">
        <f t="shared" si="181"/>
        <v>#DIV/0!</v>
      </c>
      <c r="DI267" t="e">
        <f t="shared" si="182"/>
        <v>#DIV/0!</v>
      </c>
      <c r="DJ267" t="e">
        <f t="shared" si="183"/>
        <v>#DIV/0!</v>
      </c>
      <c r="DK267" t="e">
        <f t="shared" si="184"/>
        <v>#DIV/0!</v>
      </c>
      <c r="DL267" t="e">
        <f t="shared" si="185"/>
        <v>#DIV/0!</v>
      </c>
      <c r="DM267" t="e">
        <f t="shared" si="186"/>
        <v>#DIV/0!</v>
      </c>
      <c r="DN267" t="e">
        <f t="shared" si="187"/>
        <v>#DIV/0!</v>
      </c>
      <c r="DO267" t="e">
        <f t="shared" si="188"/>
        <v>#DIV/0!</v>
      </c>
      <c r="DP267" t="e">
        <f t="shared" si="189"/>
        <v>#DIV/0!</v>
      </c>
    </row>
    <row r="268" spans="1:120">
      <c r="A268" s="16" t="s">
        <v>1178</v>
      </c>
      <c r="B268" s="16" t="s">
        <v>24</v>
      </c>
      <c r="C268" s="125" t="s">
        <v>1722</v>
      </c>
      <c r="D268" s="16" t="s">
        <v>1720</v>
      </c>
      <c r="E268" s="16" t="s">
        <v>1394</v>
      </c>
      <c r="F268" s="16" t="s">
        <v>104</v>
      </c>
      <c r="G268" s="16" t="s">
        <v>595</v>
      </c>
      <c r="H268" s="27">
        <v>240</v>
      </c>
      <c r="I268" s="16" t="s">
        <v>736</v>
      </c>
      <c r="J268" s="16" t="s">
        <v>596</v>
      </c>
      <c r="K268" s="16" t="s">
        <v>48</v>
      </c>
      <c r="L268" s="16"/>
      <c r="M268" s="16" t="s">
        <v>740</v>
      </c>
      <c r="N268" s="16">
        <v>16</v>
      </c>
      <c r="O268" s="95">
        <v>28.711124926388493</v>
      </c>
      <c r="P268" s="95">
        <v>4.9536800049050571</v>
      </c>
      <c r="Q268" s="95">
        <v>2.2241012266920666</v>
      </c>
      <c r="R268" s="95">
        <v>15.06323103532354</v>
      </c>
      <c r="S268" s="95">
        <v>10.716124092243593</v>
      </c>
      <c r="T268" s="95">
        <v>12.738034298327289</v>
      </c>
      <c r="U268" s="95">
        <v>0</v>
      </c>
      <c r="V268" s="95">
        <v>3.0328653091255453</v>
      </c>
      <c r="W268" s="95">
        <v>18.601573895970009</v>
      </c>
      <c r="X268" s="95">
        <v>2.6284832679088059</v>
      </c>
      <c r="Y268" s="95">
        <v>1.7186236751711423</v>
      </c>
      <c r="Z268" s="95">
        <v>100.38784173205553</v>
      </c>
      <c r="AA268" s="18"/>
      <c r="AB268" s="18"/>
      <c r="AC268" s="18"/>
      <c r="AD268" s="18">
        <v>0.84499999999999997</v>
      </c>
      <c r="AE268" s="127"/>
      <c r="AF268" s="127"/>
      <c r="AG268" s="18"/>
      <c r="AH268" s="18">
        <v>4.46</v>
      </c>
      <c r="AI268" s="18"/>
      <c r="AJ268" s="18"/>
      <c r="AK268" s="134">
        <v>1.54E-2</v>
      </c>
      <c r="AL268" s="18"/>
      <c r="AM268" s="134">
        <v>7.73</v>
      </c>
      <c r="AN268" s="127">
        <v>0.48</v>
      </c>
      <c r="AO268" s="18"/>
      <c r="AP268" s="18">
        <v>6.8000000000000005E-2</v>
      </c>
      <c r="AQ268" s="18">
        <v>3.5700000000000003E-2</v>
      </c>
      <c r="AR268" s="18"/>
      <c r="AS268" s="18">
        <v>4.15E-3</v>
      </c>
      <c r="AT268" s="18"/>
      <c r="AU268" s="18">
        <v>7.7999999999999999E-4</v>
      </c>
      <c r="AV268" s="18"/>
      <c r="AW268" s="18">
        <v>1.4299999999999998E-3</v>
      </c>
      <c r="AX268" s="127">
        <v>9.0999999999999998E-2</v>
      </c>
      <c r="AY268" s="127">
        <v>1.72</v>
      </c>
      <c r="AZ268" s="127"/>
      <c r="BA268" s="127">
        <v>0.26600000000000001</v>
      </c>
      <c r="BB268" s="18">
        <v>1.1000000000000001E-3</v>
      </c>
      <c r="BC268" s="127"/>
      <c r="BD268" s="18"/>
      <c r="BE268" s="18"/>
      <c r="BF268" s="18"/>
      <c r="BG268" s="18"/>
      <c r="BH268" s="127">
        <v>1.6000000000000001E-3</v>
      </c>
      <c r="BI268" s="127">
        <v>0.96</v>
      </c>
      <c r="BJ268" s="18"/>
      <c r="BK268" s="127">
        <v>6.1100000000000002E-2</v>
      </c>
      <c r="BL268" s="127">
        <v>0.106</v>
      </c>
      <c r="BM268" s="127"/>
      <c r="BN268" s="127" t="s">
        <v>1324</v>
      </c>
      <c r="BO268" s="18">
        <v>8.8000000000000005E-3</v>
      </c>
      <c r="BP268" s="18">
        <v>3.3500000000000001E-3</v>
      </c>
      <c r="BQ268" s="18">
        <v>0.01</v>
      </c>
      <c r="BR268" s="18"/>
      <c r="BS268" s="18"/>
      <c r="BT268" s="18"/>
      <c r="BU268" s="18"/>
      <c r="BV268" s="18">
        <v>1.82E-3</v>
      </c>
      <c r="BW268" s="18">
        <v>2.5000000000000001E-4</v>
      </c>
      <c r="BX268" s="18">
        <v>3.7000000000000002E-3</v>
      </c>
      <c r="BY268" s="127">
        <v>2.9E-4</v>
      </c>
      <c r="BZ268" s="18"/>
      <c r="CA268" s="127"/>
      <c r="CB268" s="127">
        <v>1.1900000000000001E-2</v>
      </c>
      <c r="CC268" s="127">
        <v>1.5E-3</v>
      </c>
      <c r="CE268">
        <f t="shared" si="152"/>
        <v>0.55813953488372092</v>
      </c>
      <c r="CF268">
        <f t="shared" si="153"/>
        <v>15.711947626841242</v>
      </c>
      <c r="CG268">
        <f t="shared" si="154"/>
        <v>28.150572831423894</v>
      </c>
      <c r="CH268">
        <f t="shared" si="155"/>
        <v>0.57641509433962268</v>
      </c>
      <c r="CI268">
        <f t="shared" si="156"/>
        <v>0</v>
      </c>
      <c r="CJ268" t="e">
        <f t="shared" si="157"/>
        <v>#DIV/0!</v>
      </c>
      <c r="CK268">
        <f t="shared" si="158"/>
        <v>0</v>
      </c>
      <c r="CL268">
        <f t="shared" si="159"/>
        <v>16.226415094339622</v>
      </c>
      <c r="CM268">
        <f t="shared" si="160"/>
        <v>9.0566037735849054</v>
      </c>
      <c r="CN268">
        <f t="shared" si="161"/>
        <v>9.0566037735849054</v>
      </c>
      <c r="CO268">
        <f t="shared" si="162"/>
        <v>2.7358490566037736E-3</v>
      </c>
      <c r="CP268">
        <f t="shared" si="163"/>
        <v>0</v>
      </c>
      <c r="CQ268">
        <f t="shared" si="164"/>
        <v>0</v>
      </c>
      <c r="CR268">
        <f t="shared" si="165"/>
        <v>0</v>
      </c>
      <c r="CS268">
        <f t="shared" si="166"/>
        <v>4.3535188216039282</v>
      </c>
      <c r="CT268">
        <f t="shared" si="167"/>
        <v>5.2906976744186048E-2</v>
      </c>
      <c r="CU268">
        <f t="shared" si="168"/>
        <v>0</v>
      </c>
      <c r="CV268">
        <f t="shared" si="169"/>
        <v>0</v>
      </c>
      <c r="CW268">
        <f t="shared" si="170"/>
        <v>7.8559738134206212</v>
      </c>
      <c r="CX268" t="e">
        <f t="shared" si="171"/>
        <v>#DIV/0!</v>
      </c>
      <c r="CY268">
        <f t="shared" si="172"/>
        <v>4.7463175122749593E-3</v>
      </c>
      <c r="CZ268">
        <f t="shared" si="173"/>
        <v>7.9333333333333336</v>
      </c>
      <c r="DA268">
        <f t="shared" si="174"/>
        <v>2.9230769230769234</v>
      </c>
      <c r="DB268">
        <f t="shared" si="175"/>
        <v>0.15465116279069768</v>
      </c>
      <c r="DC268" t="e">
        <f t="shared" si="176"/>
        <v>#DIV/0!</v>
      </c>
      <c r="DD268">
        <f t="shared" si="177"/>
        <v>2.5094339622641511</v>
      </c>
      <c r="DE268">
        <f t="shared" si="178"/>
        <v>0</v>
      </c>
      <c r="DF268">
        <f t="shared" si="179"/>
        <v>0</v>
      </c>
      <c r="DG268">
        <f t="shared" si="180"/>
        <v>0</v>
      </c>
      <c r="DH268">
        <f t="shared" si="181"/>
        <v>0.55813953488372092</v>
      </c>
      <c r="DI268">
        <f t="shared" si="182"/>
        <v>0</v>
      </c>
      <c r="DJ268">
        <f t="shared" si="183"/>
        <v>8.7209302325581394E-4</v>
      </c>
      <c r="DK268">
        <f t="shared" si="184"/>
        <v>175.38664635423228</v>
      </c>
      <c r="DL268">
        <f t="shared" si="185"/>
        <v>36.401002073519912</v>
      </c>
      <c r="DM268">
        <f t="shared" si="186"/>
        <v>6.2303047047927871</v>
      </c>
      <c r="DN268">
        <f t="shared" si="187"/>
        <v>11.162629262753743</v>
      </c>
      <c r="DO268">
        <f t="shared" si="188"/>
        <v>1.2930821085418991</v>
      </c>
      <c r="DP268">
        <f t="shared" si="189"/>
        <v>2.3167721111375692</v>
      </c>
    </row>
    <row r="269" spans="1:120">
      <c r="A269" s="16" t="s">
        <v>1178</v>
      </c>
      <c r="B269" s="16" t="s">
        <v>24</v>
      </c>
      <c r="C269" s="125" t="s">
        <v>1722</v>
      </c>
      <c r="D269" s="16" t="s">
        <v>1720</v>
      </c>
      <c r="E269" s="16" t="s">
        <v>1394</v>
      </c>
      <c r="F269" s="16" t="s">
        <v>104</v>
      </c>
      <c r="G269" s="16" t="s">
        <v>595</v>
      </c>
      <c r="H269" s="27">
        <v>240</v>
      </c>
      <c r="I269" s="16" t="s">
        <v>736</v>
      </c>
      <c r="J269" s="16" t="s">
        <v>596</v>
      </c>
      <c r="K269" s="16" t="s">
        <v>48</v>
      </c>
      <c r="L269" s="16"/>
      <c r="M269" s="16" t="s">
        <v>737</v>
      </c>
      <c r="N269" s="16">
        <v>70</v>
      </c>
      <c r="O269" s="95">
        <v>24.273448198804743</v>
      </c>
      <c r="P269" s="95">
        <v>4.6718770591841761</v>
      </c>
      <c r="Q269" s="95">
        <v>2.5390636191218352</v>
      </c>
      <c r="R269" s="95">
        <v>15.437506804260757</v>
      </c>
      <c r="S269" s="95">
        <v>11.070317379371202</v>
      </c>
      <c r="T269" s="95">
        <v>13.710943543257908</v>
      </c>
      <c r="U269" s="95">
        <v>0</v>
      </c>
      <c r="V269" s="95">
        <v>2.2343759848272153</v>
      </c>
      <c r="W269" s="95">
        <v>22.546884937801895</v>
      </c>
      <c r="X269" s="95">
        <v>2.335938529592088</v>
      </c>
      <c r="Y269" s="95">
        <v>1.5234381714731011</v>
      </c>
      <c r="Z269" s="95">
        <v>100.34379422769491</v>
      </c>
      <c r="AA269" s="18"/>
      <c r="AB269" s="18"/>
      <c r="AC269" s="18"/>
      <c r="AD269" s="18">
        <v>3.25</v>
      </c>
      <c r="AE269" s="127"/>
      <c r="AF269" s="127"/>
      <c r="AG269" s="18"/>
      <c r="AH269" s="18">
        <v>22.8</v>
      </c>
      <c r="AI269" s="18"/>
      <c r="AJ269" s="18"/>
      <c r="AK269" s="134">
        <v>5.0999999999999997E-2</v>
      </c>
      <c r="AL269" s="18"/>
      <c r="AM269" s="134">
        <v>37.4</v>
      </c>
      <c r="AN269" s="127">
        <v>0.73599999999999999</v>
      </c>
      <c r="AO269" s="18"/>
      <c r="AP269" s="18">
        <v>0.123</v>
      </c>
      <c r="AQ269" s="18">
        <v>5.5299999999999995E-2</v>
      </c>
      <c r="AR269" s="18"/>
      <c r="AS269" s="18">
        <v>2.47E-2</v>
      </c>
      <c r="AT269" s="18"/>
      <c r="AU269" s="18">
        <v>1.5E-3</v>
      </c>
      <c r="AV269" s="18"/>
      <c r="AW269" s="18">
        <v>5.7300000000000007E-3</v>
      </c>
      <c r="AX269" s="127">
        <v>0.193</v>
      </c>
      <c r="AY269" s="127">
        <v>4</v>
      </c>
      <c r="AZ269" s="127"/>
      <c r="BA269" s="127">
        <v>1.6</v>
      </c>
      <c r="BB269" s="18">
        <v>6.9999999999999999E-4</v>
      </c>
      <c r="BC269" s="127"/>
      <c r="BD269" s="18"/>
      <c r="BE269" s="18"/>
      <c r="BF269" s="18"/>
      <c r="BG269" s="18"/>
      <c r="BH269" s="127">
        <v>3.3999999999999998E-3</v>
      </c>
      <c r="BI269" s="127">
        <v>1.5820000000000001</v>
      </c>
      <c r="BJ269" s="18"/>
      <c r="BK269" s="127">
        <v>0.36399999999999999</v>
      </c>
      <c r="BL269" s="127">
        <v>0.55500000000000005</v>
      </c>
      <c r="BM269" s="127"/>
      <c r="BN269" s="127" t="s">
        <v>1325</v>
      </c>
      <c r="BO269" s="18">
        <v>5.2499999999999998E-2</v>
      </c>
      <c r="BP269" s="18">
        <v>1.67E-2</v>
      </c>
      <c r="BQ269" s="18">
        <v>4.9000000000000002E-2</v>
      </c>
      <c r="BR269" s="18"/>
      <c r="BS269" s="18"/>
      <c r="BT269" s="18"/>
      <c r="BU269" s="18"/>
      <c r="BV269" s="18">
        <v>4.7999999999999996E-3</v>
      </c>
      <c r="BW269" s="18">
        <v>8.1000000000000006E-4</v>
      </c>
      <c r="BX269" s="18">
        <v>3.9799999999999995E-2</v>
      </c>
      <c r="BY269" s="127">
        <v>4.0000000000000002E-4</v>
      </c>
      <c r="BZ269" s="18"/>
      <c r="CA269" s="127"/>
      <c r="CB269" s="127">
        <v>6.59E-2</v>
      </c>
      <c r="CC269" s="127">
        <v>2.8999999999999998E-3</v>
      </c>
      <c r="CE269">
        <f t="shared" si="152"/>
        <v>0.39550000000000002</v>
      </c>
      <c r="CF269">
        <f t="shared" si="153"/>
        <v>4.3461538461538467</v>
      </c>
      <c r="CG269">
        <f t="shared" si="154"/>
        <v>10.989010989010989</v>
      </c>
      <c r="CH269">
        <f t="shared" si="155"/>
        <v>0.65585585585585582</v>
      </c>
      <c r="CI269">
        <f t="shared" si="156"/>
        <v>0</v>
      </c>
      <c r="CJ269" t="e">
        <f t="shared" si="157"/>
        <v>#DIV/0!</v>
      </c>
      <c r="CK269">
        <f t="shared" si="158"/>
        <v>0</v>
      </c>
      <c r="CL269">
        <f t="shared" si="159"/>
        <v>7.2072072072072064</v>
      </c>
      <c r="CM269">
        <f t="shared" si="160"/>
        <v>2.8504504504504502</v>
      </c>
      <c r="CN269">
        <f t="shared" si="161"/>
        <v>2.8504504504504502</v>
      </c>
      <c r="CO269">
        <f t="shared" si="162"/>
        <v>7.2072072072072073E-4</v>
      </c>
      <c r="CP269">
        <f t="shared" si="163"/>
        <v>0</v>
      </c>
      <c r="CQ269">
        <f t="shared" si="164"/>
        <v>0</v>
      </c>
      <c r="CR269">
        <f t="shared" si="165"/>
        <v>0</v>
      </c>
      <c r="CS269">
        <f t="shared" si="166"/>
        <v>4.395604395604396</v>
      </c>
      <c r="CT269">
        <f t="shared" si="167"/>
        <v>4.8250000000000001E-2</v>
      </c>
      <c r="CU269">
        <f t="shared" si="168"/>
        <v>0</v>
      </c>
      <c r="CV269">
        <f t="shared" si="169"/>
        <v>0</v>
      </c>
      <c r="CW269">
        <f t="shared" si="170"/>
        <v>2.0219780219780219</v>
      </c>
      <c r="CX269" t="e">
        <f t="shared" si="171"/>
        <v>#DIV/0!</v>
      </c>
      <c r="CY269">
        <f t="shared" si="172"/>
        <v>1.0989010989010989E-3</v>
      </c>
      <c r="CZ269">
        <f t="shared" si="173"/>
        <v>22.724137931034484</v>
      </c>
      <c r="DA269">
        <f t="shared" si="174"/>
        <v>8.2901554404145088</v>
      </c>
      <c r="DB269">
        <f t="shared" si="175"/>
        <v>0.4</v>
      </c>
      <c r="DC269" t="e">
        <f t="shared" si="176"/>
        <v>#DIV/0!</v>
      </c>
      <c r="DD269">
        <f t="shared" si="177"/>
        <v>2.8828828828828827</v>
      </c>
      <c r="DE269">
        <f t="shared" si="178"/>
        <v>0</v>
      </c>
      <c r="DF269">
        <f t="shared" si="179"/>
        <v>0</v>
      </c>
      <c r="DG269">
        <f t="shared" si="180"/>
        <v>0</v>
      </c>
      <c r="DH269">
        <f t="shared" si="181"/>
        <v>0.39550000000000002</v>
      </c>
      <c r="DI269">
        <f t="shared" si="182"/>
        <v>0</v>
      </c>
      <c r="DJ269">
        <f t="shared" si="183"/>
        <v>7.2499999999999995E-4</v>
      </c>
      <c r="DK269">
        <f t="shared" si="184"/>
        <v>30.41295983343737</v>
      </c>
      <c r="DL269">
        <f t="shared" si="185"/>
        <v>6.9754495030819648</v>
      </c>
      <c r="DM269">
        <f t="shared" si="186"/>
        <v>2.7675793448428005</v>
      </c>
      <c r="DN269">
        <f t="shared" si="187"/>
        <v>6.9976721740652348</v>
      </c>
      <c r="DO269">
        <f t="shared" si="188"/>
        <v>0.6347659047804588</v>
      </c>
      <c r="DP269">
        <f t="shared" si="189"/>
        <v>1.6049706821250538</v>
      </c>
    </row>
    <row r="270" spans="1:120">
      <c r="A270" s="16" t="s">
        <v>1178</v>
      </c>
      <c r="B270" s="16" t="s">
        <v>24</v>
      </c>
      <c r="C270" s="125" t="s">
        <v>1722</v>
      </c>
      <c r="D270" s="16" t="s">
        <v>1720</v>
      </c>
      <c r="E270" s="16" t="s">
        <v>1394</v>
      </c>
      <c r="F270" s="16" t="s">
        <v>104</v>
      </c>
      <c r="G270" s="16" t="s">
        <v>595</v>
      </c>
      <c r="H270" s="27">
        <v>240</v>
      </c>
      <c r="I270" s="16" t="s">
        <v>736</v>
      </c>
      <c r="J270" s="16" t="s">
        <v>596</v>
      </c>
      <c r="K270" s="16" t="s">
        <v>48</v>
      </c>
      <c r="L270" s="16"/>
      <c r="M270" s="16" t="s">
        <v>742</v>
      </c>
      <c r="N270" s="16">
        <v>70</v>
      </c>
      <c r="O270" s="95">
        <v>37.768245980688626</v>
      </c>
      <c r="P270" s="95">
        <v>4.6563590935095567</v>
      </c>
      <c r="Q270" s="95">
        <v>4.3459351539422535</v>
      </c>
      <c r="R270" s="95">
        <v>13.969077280528669</v>
      </c>
      <c r="S270" s="95">
        <v>8.0710224287498988</v>
      </c>
      <c r="T270" s="95">
        <v>9.4161928335415475</v>
      </c>
      <c r="U270" s="95">
        <v>0</v>
      </c>
      <c r="V270" s="95">
        <v>2.5868661630608649</v>
      </c>
      <c r="W270" s="95">
        <v>17.487215262291443</v>
      </c>
      <c r="X270" s="95">
        <v>1.1382211117467806</v>
      </c>
      <c r="Y270" s="95">
        <v>0.72432252565704214</v>
      </c>
      <c r="Z270" s="95">
        <v>100.16345783371668</v>
      </c>
      <c r="AA270" s="18"/>
      <c r="AB270" s="18"/>
      <c r="AC270" s="18"/>
      <c r="AD270" s="18">
        <v>4.9000000000000004</v>
      </c>
      <c r="AE270" s="127"/>
      <c r="AF270" s="127"/>
      <c r="AG270" s="18"/>
      <c r="AH270" s="18">
        <v>37.299999999999997</v>
      </c>
      <c r="AI270" s="18"/>
      <c r="AJ270" s="18"/>
      <c r="AK270" s="134">
        <v>5.1999999999999998E-2</v>
      </c>
      <c r="AL270" s="18"/>
      <c r="AM270" s="134">
        <v>21.8</v>
      </c>
      <c r="AN270" s="127">
        <v>0.46500000000000002</v>
      </c>
      <c r="AO270" s="18"/>
      <c r="AP270" s="18">
        <v>0.129</v>
      </c>
      <c r="AQ270" s="18">
        <v>1.9800000000000002E-2</v>
      </c>
      <c r="AR270" s="18"/>
      <c r="AS270" s="18">
        <v>1.1900000000000001E-2</v>
      </c>
      <c r="AT270" s="18"/>
      <c r="AU270" s="18">
        <v>6.0000000000000001E-3</v>
      </c>
      <c r="AV270" s="18"/>
      <c r="AW270" s="18">
        <v>6.0999999999999995E-3</v>
      </c>
      <c r="AX270" s="127">
        <v>0.152</v>
      </c>
      <c r="AY270" s="127">
        <v>0.69</v>
      </c>
      <c r="AZ270" s="127"/>
      <c r="BA270" s="127">
        <v>0.53600000000000003</v>
      </c>
      <c r="BB270" s="18">
        <v>6.9999999999999999E-4</v>
      </c>
      <c r="BC270" s="127"/>
      <c r="BD270" s="18"/>
      <c r="BE270" s="18"/>
      <c r="BF270" s="18"/>
      <c r="BG270" s="18"/>
      <c r="BH270" s="127">
        <v>4.7000000000000002E-3</v>
      </c>
      <c r="BI270" s="127">
        <v>1.0169999999999999</v>
      </c>
      <c r="BJ270" s="18"/>
      <c r="BK270" s="127">
        <v>7.4799999999999991E-2</v>
      </c>
      <c r="BL270" s="127">
        <v>0.13500000000000001</v>
      </c>
      <c r="BM270" s="127"/>
      <c r="BN270" s="127" t="s">
        <v>1328</v>
      </c>
      <c r="BO270" s="18">
        <v>1.2699999999999999E-2</v>
      </c>
      <c r="BP270" s="18">
        <v>4.7999999999999996E-3</v>
      </c>
      <c r="BQ270" s="18">
        <v>6.0000000000000001E-3</v>
      </c>
      <c r="BR270" s="18"/>
      <c r="BS270" s="18"/>
      <c r="BT270" s="18"/>
      <c r="BU270" s="18"/>
      <c r="BV270" s="18">
        <v>3.8999999999999998E-3</v>
      </c>
      <c r="BW270" s="18">
        <v>3.6999999999999999E-4</v>
      </c>
      <c r="BX270" s="18">
        <v>1.4999999999999999E-2</v>
      </c>
      <c r="BY270" s="127">
        <v>1.2999999999999999E-3</v>
      </c>
      <c r="BZ270" s="18"/>
      <c r="CA270" s="127"/>
      <c r="CB270" s="127">
        <v>1.3699999999999999E-2</v>
      </c>
      <c r="CC270" s="127">
        <v>3.9500000000000004E-3</v>
      </c>
      <c r="CE270">
        <f t="shared" si="152"/>
        <v>1.4739130434782608</v>
      </c>
      <c r="CF270">
        <f t="shared" si="153"/>
        <v>13.596256684491978</v>
      </c>
      <c r="CG270">
        <f t="shared" si="154"/>
        <v>9.2245989304812834</v>
      </c>
      <c r="CH270">
        <f t="shared" si="155"/>
        <v>0.55407407407407394</v>
      </c>
      <c r="CI270">
        <f t="shared" si="156"/>
        <v>0</v>
      </c>
      <c r="CJ270" t="e">
        <f t="shared" si="157"/>
        <v>#DIV/0!</v>
      </c>
      <c r="CK270">
        <f t="shared" si="158"/>
        <v>0</v>
      </c>
      <c r="CL270">
        <f t="shared" si="159"/>
        <v>5.1111111111111107</v>
      </c>
      <c r="CM270">
        <f t="shared" si="160"/>
        <v>7.5333333333333323</v>
      </c>
      <c r="CN270">
        <f t="shared" si="161"/>
        <v>7.5333333333333323</v>
      </c>
      <c r="CO270">
        <f t="shared" si="162"/>
        <v>9.6296296296296286E-3</v>
      </c>
      <c r="CP270">
        <f t="shared" si="163"/>
        <v>0</v>
      </c>
      <c r="CQ270">
        <f t="shared" si="164"/>
        <v>0</v>
      </c>
      <c r="CR270">
        <f t="shared" si="165"/>
        <v>0</v>
      </c>
      <c r="CS270">
        <f t="shared" si="166"/>
        <v>7.1657754010695198</v>
      </c>
      <c r="CT270">
        <f t="shared" si="167"/>
        <v>0.22028985507246379</v>
      </c>
      <c r="CU270">
        <f t="shared" si="168"/>
        <v>0</v>
      </c>
      <c r="CV270">
        <f t="shared" si="169"/>
        <v>0</v>
      </c>
      <c r="CW270">
        <f t="shared" si="170"/>
        <v>6.216577540106953</v>
      </c>
      <c r="CX270" t="e">
        <f t="shared" si="171"/>
        <v>#DIV/0!</v>
      </c>
      <c r="CY270">
        <f t="shared" si="172"/>
        <v>1.7379679144385027E-2</v>
      </c>
      <c r="CZ270">
        <f t="shared" si="173"/>
        <v>3.4683544303797462</v>
      </c>
      <c r="DA270">
        <f t="shared" si="174"/>
        <v>3.5263157894736845</v>
      </c>
      <c r="DB270">
        <f t="shared" si="175"/>
        <v>0.77681159420289869</v>
      </c>
      <c r="DC270" t="e">
        <f t="shared" si="176"/>
        <v>#DIV/0!</v>
      </c>
      <c r="DD270">
        <f t="shared" si="177"/>
        <v>3.9703703703703703</v>
      </c>
      <c r="DE270">
        <f t="shared" si="178"/>
        <v>0</v>
      </c>
      <c r="DF270">
        <f t="shared" si="179"/>
        <v>0</v>
      </c>
      <c r="DG270">
        <f t="shared" si="180"/>
        <v>0</v>
      </c>
      <c r="DH270">
        <f t="shared" si="181"/>
        <v>1.4739130434782608</v>
      </c>
      <c r="DI270">
        <f t="shared" si="182"/>
        <v>0</v>
      </c>
      <c r="DJ270">
        <f t="shared" si="183"/>
        <v>5.7246376811594217E-3</v>
      </c>
      <c r="DK270">
        <f t="shared" si="184"/>
        <v>107.90136936831416</v>
      </c>
      <c r="DL270">
        <f t="shared" si="185"/>
        <v>58.100737352169169</v>
      </c>
      <c r="DM270">
        <f t="shared" si="186"/>
        <v>11.697133954709999</v>
      </c>
      <c r="DN270">
        <f t="shared" si="187"/>
        <v>7.9361085828415927</v>
      </c>
      <c r="DO270">
        <f t="shared" si="188"/>
        <v>6.298456744843846</v>
      </c>
      <c r="DP270">
        <f t="shared" si="189"/>
        <v>4.273289236914704</v>
      </c>
    </row>
    <row r="271" spans="1:120">
      <c r="A271" s="16" t="s">
        <v>1178</v>
      </c>
      <c r="B271" s="16" t="s">
        <v>24</v>
      </c>
      <c r="C271" s="125" t="s">
        <v>1722</v>
      </c>
      <c r="D271" s="16" t="s">
        <v>1720</v>
      </c>
      <c r="E271" s="16" t="s">
        <v>1394</v>
      </c>
      <c r="F271" s="16" t="s">
        <v>104</v>
      </c>
      <c r="G271" s="16" t="s">
        <v>595</v>
      </c>
      <c r="H271" s="27">
        <v>240</v>
      </c>
      <c r="I271" s="16" t="s">
        <v>736</v>
      </c>
      <c r="J271" s="16" t="s">
        <v>596</v>
      </c>
      <c r="K271" s="16" t="s">
        <v>48</v>
      </c>
      <c r="L271" s="16"/>
      <c r="M271" s="16" t="s">
        <v>739</v>
      </c>
      <c r="N271" s="16">
        <v>92</v>
      </c>
      <c r="O271" s="95">
        <v>26.371544350438864</v>
      </c>
      <c r="P271" s="95">
        <v>5.2537061010639912</v>
      </c>
      <c r="Q271" s="95">
        <v>2.0602769023780358</v>
      </c>
      <c r="R271" s="95">
        <v>18.027422895807817</v>
      </c>
      <c r="S271" s="95">
        <v>11.125495272841396</v>
      </c>
      <c r="T271" s="95">
        <v>16.791256754380996</v>
      </c>
      <c r="U271" s="95">
        <v>0</v>
      </c>
      <c r="V271" s="95">
        <v>2.2663045926158398</v>
      </c>
      <c r="W271" s="95">
        <v>15.864132148310878</v>
      </c>
      <c r="X271" s="95">
        <v>1.4421938316646252</v>
      </c>
      <c r="Y271" s="95">
        <v>1.0301384511890179</v>
      </c>
      <c r="Z271" s="95">
        <v>100.23247130069146</v>
      </c>
      <c r="AA271" s="18"/>
      <c r="AB271" s="18"/>
      <c r="AC271" s="18"/>
      <c r="AD271" s="18">
        <v>20.55</v>
      </c>
      <c r="AE271" s="127"/>
      <c r="AF271" s="127"/>
      <c r="AG271" s="18"/>
      <c r="AH271" s="18">
        <v>135.80000000000001</v>
      </c>
      <c r="AI271" s="18"/>
      <c r="AJ271" s="18"/>
      <c r="AK271" s="134">
        <v>0.14300000000000002</v>
      </c>
      <c r="AL271" s="18"/>
      <c r="AM271" s="134">
        <v>130.19999999999999</v>
      </c>
      <c r="AN271" s="127">
        <v>0.87250000000000005</v>
      </c>
      <c r="AO271" s="18"/>
      <c r="AP271" s="18">
        <v>0.42399999999999999</v>
      </c>
      <c r="AQ271" s="18">
        <v>0.1895</v>
      </c>
      <c r="AR271" s="18"/>
      <c r="AS271" s="18">
        <v>3.9800000000000002E-2</v>
      </c>
      <c r="AT271" s="18"/>
      <c r="AU271" s="18">
        <v>5.4999999999999997E-3</v>
      </c>
      <c r="AV271" s="18"/>
      <c r="AW271" s="18">
        <v>6.4000000000000001E-2</v>
      </c>
      <c r="AX271" s="127">
        <v>0.85350000000000004</v>
      </c>
      <c r="AY271" s="127">
        <v>5.65</v>
      </c>
      <c r="AZ271" s="127"/>
      <c r="BA271" s="127">
        <v>3</v>
      </c>
      <c r="BB271" s="18">
        <v>2.2000000000000001E-3</v>
      </c>
      <c r="BC271" s="127"/>
      <c r="BD271" s="18"/>
      <c r="BE271" s="18"/>
      <c r="BF271" s="18"/>
      <c r="BG271" s="18"/>
      <c r="BH271" s="127">
        <v>2.9100000000000004E-2</v>
      </c>
      <c r="BI271" s="127">
        <v>6.2629999999999999</v>
      </c>
      <c r="BJ271" s="18"/>
      <c r="BK271" s="127">
        <v>0.49299999999999999</v>
      </c>
      <c r="BL271" s="127">
        <v>0.80149999999999999</v>
      </c>
      <c r="BM271" s="127"/>
      <c r="BN271" s="127"/>
      <c r="BO271" s="18">
        <v>7.5550000000000006E-2</v>
      </c>
      <c r="BP271" s="18">
        <v>2.47E-2</v>
      </c>
      <c r="BQ271" s="18">
        <v>5.4000000000000006E-2</v>
      </c>
      <c r="BR271" s="18"/>
      <c r="BS271" s="18"/>
      <c r="BT271" s="18"/>
      <c r="BU271" s="18"/>
      <c r="BV271" s="18">
        <v>7.2199999999999999E-3</v>
      </c>
      <c r="BW271" s="18">
        <v>9.4499999999999998E-4</v>
      </c>
      <c r="BX271" s="18">
        <v>2.6950000000000002E-2</v>
      </c>
      <c r="BY271" s="127">
        <v>6.6499999999999997E-3</v>
      </c>
      <c r="BZ271" s="18"/>
      <c r="CA271" s="127"/>
      <c r="CB271" s="127">
        <v>8.8000000000000009E-2</v>
      </c>
      <c r="CC271" s="127">
        <v>5.1200000000000002E-2</v>
      </c>
      <c r="CE271">
        <f t="shared" si="152"/>
        <v>1.1084955752212389</v>
      </c>
      <c r="CF271">
        <f t="shared" si="153"/>
        <v>12.703853955375253</v>
      </c>
      <c r="CG271">
        <f t="shared" si="154"/>
        <v>11.460446247464503</v>
      </c>
      <c r="CH271">
        <f t="shared" si="155"/>
        <v>0.61509669369931375</v>
      </c>
      <c r="CI271">
        <f t="shared" si="156"/>
        <v>0</v>
      </c>
      <c r="CJ271" t="e">
        <f t="shared" si="157"/>
        <v>#DIV/0!</v>
      </c>
      <c r="CK271">
        <f t="shared" si="158"/>
        <v>0</v>
      </c>
      <c r="CL271">
        <f t="shared" si="159"/>
        <v>7.049282595134124</v>
      </c>
      <c r="CM271">
        <f t="shared" si="160"/>
        <v>7.8140985651902684</v>
      </c>
      <c r="CN271">
        <f t="shared" si="161"/>
        <v>7.8140985651902684</v>
      </c>
      <c r="CO271">
        <f t="shared" si="162"/>
        <v>8.296943231441048E-3</v>
      </c>
      <c r="CP271">
        <f t="shared" si="163"/>
        <v>0</v>
      </c>
      <c r="CQ271">
        <f t="shared" si="164"/>
        <v>0</v>
      </c>
      <c r="CR271">
        <f t="shared" si="165"/>
        <v>0</v>
      </c>
      <c r="CS271">
        <f t="shared" si="166"/>
        <v>6.0851926977687629</v>
      </c>
      <c r="CT271">
        <f t="shared" si="167"/>
        <v>0.15106194690265487</v>
      </c>
      <c r="CU271">
        <f t="shared" si="168"/>
        <v>0</v>
      </c>
      <c r="CV271">
        <f t="shared" si="169"/>
        <v>0</v>
      </c>
      <c r="CW271">
        <f t="shared" si="170"/>
        <v>1.7697768762677486</v>
      </c>
      <c r="CX271" t="e">
        <f t="shared" si="171"/>
        <v>#DIV/0!</v>
      </c>
      <c r="CY271">
        <f t="shared" si="172"/>
        <v>1.3488843813387424E-2</v>
      </c>
      <c r="CZ271">
        <f t="shared" si="173"/>
        <v>1.71875</v>
      </c>
      <c r="DA271">
        <f t="shared" si="174"/>
        <v>3.5149384885764499</v>
      </c>
      <c r="DB271">
        <f t="shared" si="175"/>
        <v>0.53097345132743357</v>
      </c>
      <c r="DC271" t="e">
        <f t="shared" si="176"/>
        <v>#DIV/0!</v>
      </c>
      <c r="DD271">
        <f t="shared" si="177"/>
        <v>3.7429819089207736</v>
      </c>
      <c r="DE271">
        <f t="shared" si="178"/>
        <v>0</v>
      </c>
      <c r="DF271">
        <f t="shared" si="179"/>
        <v>0</v>
      </c>
      <c r="DG271">
        <f t="shared" si="180"/>
        <v>0</v>
      </c>
      <c r="DH271">
        <f t="shared" si="181"/>
        <v>1.1084955752212389</v>
      </c>
      <c r="DI271">
        <f t="shared" si="182"/>
        <v>0</v>
      </c>
      <c r="DJ271">
        <f t="shared" si="183"/>
        <v>9.0619469026548671E-3</v>
      </c>
      <c r="DK271">
        <f t="shared" si="184"/>
        <v>22.566927531118452</v>
      </c>
      <c r="DL271">
        <f t="shared" si="185"/>
        <v>4.179060653910823</v>
      </c>
      <c r="DM271">
        <f t="shared" si="186"/>
        <v>1.9691142075825478</v>
      </c>
      <c r="DN271">
        <f t="shared" si="187"/>
        <v>1.7763843641771351</v>
      </c>
      <c r="DO271">
        <f t="shared" si="188"/>
        <v>0.36465077918195321</v>
      </c>
      <c r="DP271">
        <f t="shared" si="189"/>
        <v>0.32896006744021011</v>
      </c>
    </row>
    <row r="272" spans="1:120">
      <c r="A272" s="16" t="s">
        <v>1178</v>
      </c>
      <c r="B272" s="16" t="s">
        <v>24</v>
      </c>
      <c r="C272" s="125" t="s">
        <v>1722</v>
      </c>
      <c r="D272" s="16" t="s">
        <v>1720</v>
      </c>
      <c r="E272" s="16" t="s">
        <v>1394</v>
      </c>
      <c r="F272" s="16" t="s">
        <v>104</v>
      </c>
      <c r="G272" s="16" t="s">
        <v>595</v>
      </c>
      <c r="H272" s="27">
        <v>240</v>
      </c>
      <c r="I272" s="16" t="s">
        <v>736</v>
      </c>
      <c r="J272" s="16" t="s">
        <v>596</v>
      </c>
      <c r="K272" s="16" t="s">
        <v>48</v>
      </c>
      <c r="L272" s="16"/>
      <c r="M272" s="16" t="s">
        <v>741</v>
      </c>
      <c r="N272" s="16">
        <v>27</v>
      </c>
      <c r="O272" s="95">
        <v>30.062303498802962</v>
      </c>
      <c r="P272" s="95">
        <v>4.9081311834780346</v>
      </c>
      <c r="Q272" s="95">
        <v>2.9653292566846461</v>
      </c>
      <c r="R272" s="95">
        <v>16.462690011249244</v>
      </c>
      <c r="S272" s="95">
        <v>8.3847241051083081</v>
      </c>
      <c r="T272" s="95">
        <v>13.701866220542847</v>
      </c>
      <c r="U272" s="95">
        <v>0</v>
      </c>
      <c r="V272" s="95">
        <v>2.3518128587498919</v>
      </c>
      <c r="W272" s="95">
        <v>18.507744671031759</v>
      </c>
      <c r="X272" s="95">
        <v>1.9428019267933889</v>
      </c>
      <c r="Y272" s="95">
        <v>0.92027459690213165</v>
      </c>
      <c r="Z272" s="95">
        <v>100.20767832934322</v>
      </c>
      <c r="AA272" s="18"/>
      <c r="AB272" s="18"/>
      <c r="AC272" s="18"/>
      <c r="AD272" s="18">
        <v>18.600000000000001</v>
      </c>
      <c r="AE272" s="127"/>
      <c r="AF272" s="127"/>
      <c r="AG272" s="18"/>
      <c r="AH272" s="18">
        <v>165</v>
      </c>
      <c r="AI272" s="18"/>
      <c r="AJ272" s="18"/>
      <c r="AK272" s="134">
        <v>8.5999999999999993E-2</v>
      </c>
      <c r="AL272" s="18"/>
      <c r="AM272" s="134">
        <v>97.4</v>
      </c>
      <c r="AN272" s="127">
        <v>1.18</v>
      </c>
      <c r="AO272" s="18"/>
      <c r="AP272" s="18">
        <v>0.34399999999999997</v>
      </c>
      <c r="AQ272" s="18">
        <v>8.9599999999999999E-2</v>
      </c>
      <c r="AR272" s="18"/>
      <c r="AS272" s="18">
        <v>2.92E-2</v>
      </c>
      <c r="AT272" s="18"/>
      <c r="AU272" s="18">
        <v>3.0999999999999999E-3</v>
      </c>
      <c r="AV272" s="18"/>
      <c r="AW272" s="18">
        <v>2.4300000000000002E-2</v>
      </c>
      <c r="AX272" s="127">
        <v>0.72799999999999998</v>
      </c>
      <c r="AY272" s="127">
        <v>3.75</v>
      </c>
      <c r="AZ272" s="127"/>
      <c r="BA272" s="127">
        <v>1.4</v>
      </c>
      <c r="BB272" s="18">
        <v>8.0000000000000004E-4</v>
      </c>
      <c r="BC272" s="127"/>
      <c r="BD272" s="18"/>
      <c r="BE272" s="18"/>
      <c r="BF272" s="18"/>
      <c r="BG272" s="18"/>
      <c r="BH272" s="127">
        <v>8.8999999999999999E-3</v>
      </c>
      <c r="BI272" s="127">
        <v>3.9489999999999998</v>
      </c>
      <c r="BJ272" s="18"/>
      <c r="BK272" s="127">
        <v>0.26500000000000001</v>
      </c>
      <c r="BL272" s="127">
        <v>0.47199999999999998</v>
      </c>
      <c r="BM272" s="127"/>
      <c r="BN272" s="127" t="s">
        <v>1333</v>
      </c>
      <c r="BO272" s="18">
        <v>4.4700000000000004E-2</v>
      </c>
      <c r="BP272" s="18">
        <v>1.5300000000000001E-2</v>
      </c>
      <c r="BQ272" s="18">
        <v>2.3E-2</v>
      </c>
      <c r="BR272" s="18"/>
      <c r="BS272" s="18"/>
      <c r="BT272" s="18"/>
      <c r="BU272" s="18"/>
      <c r="BV272" s="18">
        <v>5.4400000000000004E-3</v>
      </c>
      <c r="BW272" s="18">
        <v>5.9999999999999995E-4</v>
      </c>
      <c r="BX272" s="18">
        <v>2.29E-2</v>
      </c>
      <c r="BY272" s="127">
        <v>6.7000000000000002E-3</v>
      </c>
      <c r="BZ272" s="18"/>
      <c r="CA272" s="127"/>
      <c r="CB272" s="127">
        <v>4.6200000000000005E-2</v>
      </c>
      <c r="CC272" s="127">
        <v>1.2E-2</v>
      </c>
      <c r="CE272">
        <f t="shared" si="152"/>
        <v>1.0530666666666666</v>
      </c>
      <c r="CF272">
        <f t="shared" si="153"/>
        <v>14.901886792452828</v>
      </c>
      <c r="CG272">
        <f t="shared" si="154"/>
        <v>14.150943396226415</v>
      </c>
      <c r="CH272">
        <f t="shared" si="155"/>
        <v>0.56144067796610175</v>
      </c>
      <c r="CI272">
        <f t="shared" si="156"/>
        <v>0</v>
      </c>
      <c r="CJ272" t="e">
        <f t="shared" si="157"/>
        <v>#DIV/0!</v>
      </c>
      <c r="CK272">
        <f t="shared" si="158"/>
        <v>0</v>
      </c>
      <c r="CL272">
        <f t="shared" si="159"/>
        <v>7.9449152542372889</v>
      </c>
      <c r="CM272">
        <f t="shared" si="160"/>
        <v>8.3665254237288131</v>
      </c>
      <c r="CN272">
        <f t="shared" si="161"/>
        <v>8.3665254237288131</v>
      </c>
      <c r="CO272">
        <f t="shared" si="162"/>
        <v>1.419491525423729E-2</v>
      </c>
      <c r="CP272">
        <f t="shared" si="163"/>
        <v>0</v>
      </c>
      <c r="CQ272">
        <f t="shared" si="164"/>
        <v>0</v>
      </c>
      <c r="CR272">
        <f t="shared" si="165"/>
        <v>0</v>
      </c>
      <c r="CS272">
        <f t="shared" si="166"/>
        <v>5.283018867924528</v>
      </c>
      <c r="CT272">
        <f t="shared" si="167"/>
        <v>0.19413333333333332</v>
      </c>
      <c r="CU272">
        <f t="shared" si="168"/>
        <v>0</v>
      </c>
      <c r="CV272">
        <f t="shared" si="169"/>
        <v>0</v>
      </c>
      <c r="CW272">
        <f t="shared" si="170"/>
        <v>4.4528301886792452</v>
      </c>
      <c r="CX272" t="e">
        <f t="shared" si="171"/>
        <v>#DIV/0!</v>
      </c>
      <c r="CY272">
        <f t="shared" si="172"/>
        <v>2.5283018867924528E-2</v>
      </c>
      <c r="CZ272">
        <f t="shared" si="173"/>
        <v>3.8500000000000005</v>
      </c>
      <c r="DA272">
        <f t="shared" si="174"/>
        <v>1.9230769230769229</v>
      </c>
      <c r="DB272">
        <f t="shared" si="175"/>
        <v>0.37333333333333329</v>
      </c>
      <c r="DC272" t="e">
        <f t="shared" si="176"/>
        <v>#DIV/0!</v>
      </c>
      <c r="DD272">
        <f t="shared" si="177"/>
        <v>2.9661016949152543</v>
      </c>
      <c r="DE272">
        <f t="shared" si="178"/>
        <v>0</v>
      </c>
      <c r="DF272">
        <f t="shared" si="179"/>
        <v>0</v>
      </c>
      <c r="DG272">
        <f t="shared" si="180"/>
        <v>0</v>
      </c>
      <c r="DH272">
        <f t="shared" si="181"/>
        <v>1.0530666666666666</v>
      </c>
      <c r="DI272">
        <f t="shared" si="182"/>
        <v>0</v>
      </c>
      <c r="DJ272">
        <f t="shared" si="183"/>
        <v>3.2000000000000002E-3</v>
      </c>
      <c r="DK272">
        <f t="shared" si="184"/>
        <v>31.640468321163425</v>
      </c>
      <c r="DL272">
        <f t="shared" si="185"/>
        <v>11.189921723338287</v>
      </c>
      <c r="DM272">
        <f t="shared" si="186"/>
        <v>2.2359264280288822</v>
      </c>
      <c r="DN272">
        <f t="shared" si="187"/>
        <v>2.1232524955959251</v>
      </c>
      <c r="DO272">
        <f t="shared" si="188"/>
        <v>0.79075446844923891</v>
      </c>
      <c r="DP272">
        <f t="shared" si="189"/>
        <v>0.75090637039368102</v>
      </c>
    </row>
    <row r="273" spans="1:120">
      <c r="A273" s="16" t="s">
        <v>1178</v>
      </c>
      <c r="B273" s="16" t="s">
        <v>24</v>
      </c>
      <c r="C273" s="125" t="s">
        <v>1722</v>
      </c>
      <c r="D273" s="16" t="s">
        <v>1720</v>
      </c>
      <c r="E273" s="16" t="s">
        <v>1394</v>
      </c>
      <c r="F273" s="16" t="s">
        <v>104</v>
      </c>
      <c r="G273" s="16" t="s">
        <v>595</v>
      </c>
      <c r="H273" s="27">
        <v>240</v>
      </c>
      <c r="I273" s="16" t="s">
        <v>736</v>
      </c>
      <c r="J273" s="16" t="s">
        <v>596</v>
      </c>
      <c r="K273" s="16" t="s">
        <v>48</v>
      </c>
      <c r="L273" s="16"/>
      <c r="M273" s="16" t="s">
        <v>738</v>
      </c>
      <c r="N273" s="16">
        <v>50</v>
      </c>
      <c r="O273" s="95">
        <v>25.506411753998481</v>
      </c>
      <c r="P273" s="95">
        <v>4.7761010057287994</v>
      </c>
      <c r="Q273" s="95">
        <v>2.5404792583663824</v>
      </c>
      <c r="R273" s="95">
        <v>16.360686423879507</v>
      </c>
      <c r="S273" s="95">
        <v>10.263536203800184</v>
      </c>
      <c r="T273" s="95">
        <v>15.852590572206227</v>
      </c>
      <c r="U273" s="95">
        <v>0</v>
      </c>
      <c r="V273" s="95">
        <v>2.6420984287010381</v>
      </c>
      <c r="W273" s="95">
        <v>18.596308171241922</v>
      </c>
      <c r="X273" s="95">
        <v>2.4388600880317268</v>
      </c>
      <c r="Y273" s="95">
        <v>1.321049214350519</v>
      </c>
      <c r="Z273" s="95">
        <v>100.29812112030478</v>
      </c>
      <c r="AA273" s="18"/>
      <c r="AB273" s="18"/>
      <c r="AC273" s="18"/>
      <c r="AD273" s="18">
        <v>7.83</v>
      </c>
      <c r="AE273" s="127"/>
      <c r="AF273" s="127"/>
      <c r="AG273" s="18"/>
      <c r="AH273" s="18">
        <v>60</v>
      </c>
      <c r="AI273" s="18"/>
      <c r="AJ273" s="18"/>
      <c r="AK273" s="134">
        <v>4.9000000000000002E-2</v>
      </c>
      <c r="AL273" s="18"/>
      <c r="AM273" s="134">
        <v>38.799999999999997</v>
      </c>
      <c r="AN273" s="127">
        <v>0.627</v>
      </c>
      <c r="AO273" s="18"/>
      <c r="AP273" s="18">
        <v>0.17199999999999999</v>
      </c>
      <c r="AQ273" s="18">
        <v>4.4700000000000004E-2</v>
      </c>
      <c r="AR273" s="18"/>
      <c r="AS273" s="18">
        <v>1.15E-2</v>
      </c>
      <c r="AT273" s="18"/>
      <c r="AU273" s="18">
        <v>2.5999999999999999E-3</v>
      </c>
      <c r="AV273" s="18"/>
      <c r="AW273" s="18">
        <v>8.9999999999999993E-3</v>
      </c>
      <c r="AX273" s="127">
        <v>0.29699999999999999</v>
      </c>
      <c r="AY273" s="127">
        <v>1.65</v>
      </c>
      <c r="AZ273" s="127"/>
      <c r="BA273" s="127">
        <v>0.4</v>
      </c>
      <c r="BB273" s="18">
        <v>2.9999999999999997E-4</v>
      </c>
      <c r="BC273" s="127"/>
      <c r="BD273" s="18"/>
      <c r="BE273" s="18"/>
      <c r="BF273" s="18"/>
      <c r="BG273" s="18"/>
      <c r="BH273" s="127">
        <v>3.5000000000000001E-3</v>
      </c>
      <c r="BI273" s="127">
        <v>1.923</v>
      </c>
      <c r="BJ273" s="18"/>
      <c r="BK273" s="127">
        <v>0.129</v>
      </c>
      <c r="BL273" s="127">
        <v>0.219</v>
      </c>
      <c r="BM273" s="127"/>
      <c r="BN273" s="127" t="s">
        <v>1327</v>
      </c>
      <c r="BO273" s="18">
        <v>1.0199999999999999E-2</v>
      </c>
      <c r="BP273" s="18">
        <v>6.7999999999999996E-3</v>
      </c>
      <c r="BQ273" s="18">
        <v>1.0999999999999999E-2</v>
      </c>
      <c r="BR273" s="18"/>
      <c r="BS273" s="18"/>
      <c r="BT273" s="18"/>
      <c r="BU273" s="18"/>
      <c r="BV273" s="18">
        <v>3.0999999999999999E-3</v>
      </c>
      <c r="BW273" s="18">
        <v>2.5000000000000001E-4</v>
      </c>
      <c r="BX273" s="18">
        <v>9.300000000000001E-3</v>
      </c>
      <c r="BY273" s="127">
        <v>2.3999999999999998E-3</v>
      </c>
      <c r="BZ273" s="18"/>
      <c r="CA273" s="127"/>
      <c r="CB273" s="127">
        <v>2.4199999999999999E-2</v>
      </c>
      <c r="CC273" s="127">
        <v>7.0000000000000001E-3</v>
      </c>
      <c r="CE273">
        <f t="shared" si="152"/>
        <v>1.1654545454545455</v>
      </c>
      <c r="CF273">
        <f t="shared" si="153"/>
        <v>14.906976744186046</v>
      </c>
      <c r="CG273">
        <f t="shared" si="154"/>
        <v>12.790697674418604</v>
      </c>
      <c r="CH273">
        <f t="shared" si="155"/>
        <v>0.58904109589041098</v>
      </c>
      <c r="CI273">
        <f t="shared" si="156"/>
        <v>0</v>
      </c>
      <c r="CJ273" t="e">
        <f t="shared" si="157"/>
        <v>#DIV/0!</v>
      </c>
      <c r="CK273">
        <f t="shared" si="158"/>
        <v>0</v>
      </c>
      <c r="CL273">
        <f t="shared" si="159"/>
        <v>7.5342465753424657</v>
      </c>
      <c r="CM273">
        <f t="shared" si="160"/>
        <v>8.7808219178082201</v>
      </c>
      <c r="CN273">
        <f t="shared" si="161"/>
        <v>8.7808219178082201</v>
      </c>
      <c r="CO273">
        <f t="shared" si="162"/>
        <v>1.0958904109589039E-2</v>
      </c>
      <c r="CP273">
        <f t="shared" si="163"/>
        <v>0</v>
      </c>
      <c r="CQ273">
        <f t="shared" si="164"/>
        <v>0</v>
      </c>
      <c r="CR273">
        <f t="shared" si="165"/>
        <v>0</v>
      </c>
      <c r="CS273">
        <f t="shared" si="166"/>
        <v>3.1007751937984498</v>
      </c>
      <c r="CT273">
        <f t="shared" si="167"/>
        <v>0.18</v>
      </c>
      <c r="CU273">
        <f t="shared" si="168"/>
        <v>0</v>
      </c>
      <c r="CV273">
        <f t="shared" si="169"/>
        <v>0</v>
      </c>
      <c r="CW273">
        <f t="shared" si="170"/>
        <v>4.8604651162790695</v>
      </c>
      <c r="CX273" t="e">
        <f t="shared" si="171"/>
        <v>#DIV/0!</v>
      </c>
      <c r="CY273">
        <f t="shared" si="172"/>
        <v>1.8604651162790694E-2</v>
      </c>
      <c r="CZ273">
        <f t="shared" si="173"/>
        <v>3.4571428571428569</v>
      </c>
      <c r="DA273">
        <f t="shared" si="174"/>
        <v>1.3468013468013469</v>
      </c>
      <c r="DB273">
        <f t="shared" si="175"/>
        <v>0.24242424242424246</v>
      </c>
      <c r="DC273" t="e">
        <f t="shared" si="176"/>
        <v>#DIV/0!</v>
      </c>
      <c r="DD273">
        <f t="shared" si="177"/>
        <v>1.8264840182648403</v>
      </c>
      <c r="DE273">
        <f t="shared" si="178"/>
        <v>0</v>
      </c>
      <c r="DF273">
        <f t="shared" si="179"/>
        <v>0</v>
      </c>
      <c r="DG273">
        <f t="shared" si="180"/>
        <v>0</v>
      </c>
      <c r="DH273">
        <f t="shared" si="181"/>
        <v>1.1654545454545455</v>
      </c>
      <c r="DI273">
        <f t="shared" si="182"/>
        <v>0</v>
      </c>
      <c r="DJ273">
        <f t="shared" si="183"/>
        <v>4.2424242424242429E-3</v>
      </c>
      <c r="DK273">
        <f t="shared" si="184"/>
        <v>79.562296153489797</v>
      </c>
      <c r="DL273">
        <f t="shared" si="185"/>
        <v>19.693637661754902</v>
      </c>
      <c r="DM273">
        <f t="shared" si="186"/>
        <v>6.2203249720001121</v>
      </c>
      <c r="DN273">
        <f t="shared" si="187"/>
        <v>5.3372523160687386</v>
      </c>
      <c r="DO273">
        <f t="shared" si="188"/>
        <v>1.5396843990099289</v>
      </c>
      <c r="DP273">
        <f t="shared" si="189"/>
        <v>1.3211020584328561</v>
      </c>
    </row>
    <row r="274" spans="1:120">
      <c r="A274" s="16" t="s">
        <v>827</v>
      </c>
      <c r="B274" s="16" t="s">
        <v>24</v>
      </c>
      <c r="C274" s="125" t="s">
        <v>1722</v>
      </c>
      <c r="D274" s="16" t="s">
        <v>1718</v>
      </c>
      <c r="E274" s="16" t="s">
        <v>237</v>
      </c>
      <c r="F274" s="16" t="s">
        <v>817</v>
      </c>
      <c r="G274" s="16" t="s">
        <v>595</v>
      </c>
      <c r="H274" s="27" t="s">
        <v>1796</v>
      </c>
      <c r="I274" s="16" t="s">
        <v>735</v>
      </c>
      <c r="J274" s="16" t="s">
        <v>596</v>
      </c>
      <c r="K274" s="16" t="s">
        <v>115</v>
      </c>
      <c r="L274" s="16"/>
      <c r="M274" s="16" t="s">
        <v>590</v>
      </c>
      <c r="N274" s="16">
        <v>33</v>
      </c>
      <c r="O274" s="95">
        <v>37.638781371136346</v>
      </c>
      <c r="P274" s="95">
        <v>2.0290448178510156</v>
      </c>
      <c r="Q274" s="95">
        <v>6.695847898908351</v>
      </c>
      <c r="R274" s="95">
        <v>8.5219882349742662</v>
      </c>
      <c r="S274" s="95">
        <v>3.85518515391693</v>
      </c>
      <c r="T274" s="95">
        <v>16.94252422905598</v>
      </c>
      <c r="U274" s="95">
        <v>0</v>
      </c>
      <c r="V274" s="95">
        <v>0.60871344535530469</v>
      </c>
      <c r="W274" s="95">
        <v>17.551237674411286</v>
      </c>
      <c r="X274" s="95">
        <v>1.5217836133882616</v>
      </c>
      <c r="Y274" s="95">
        <v>5.9856822126604969</v>
      </c>
      <c r="Z274" s="95">
        <v>101.35078865165823</v>
      </c>
      <c r="AA274" s="18"/>
      <c r="AB274" s="18"/>
      <c r="AC274" s="18"/>
      <c r="AD274" s="18">
        <v>4</v>
      </c>
      <c r="AE274" s="127"/>
      <c r="AF274" s="127"/>
      <c r="AG274" s="18"/>
      <c r="AH274" s="18">
        <v>21.35</v>
      </c>
      <c r="AI274" s="18"/>
      <c r="AJ274" s="18"/>
      <c r="AK274" s="134">
        <v>6.6000000000000003E-2</v>
      </c>
      <c r="AL274" s="18"/>
      <c r="AM274" s="134">
        <v>11.7</v>
      </c>
      <c r="AN274" s="127"/>
      <c r="AO274" s="18"/>
      <c r="AP274" s="18">
        <v>5.6299999999999996E-2</v>
      </c>
      <c r="AQ274" s="18">
        <v>1.2199999999999999E-2</v>
      </c>
      <c r="AR274" s="18"/>
      <c r="AS274" s="18">
        <v>2.2000000000000001E-3</v>
      </c>
      <c r="AT274" s="18"/>
      <c r="AU274" s="18">
        <v>2.5999999999999999E-3</v>
      </c>
      <c r="AV274" s="18"/>
      <c r="AW274" s="18">
        <v>0.11799999999999999</v>
      </c>
      <c r="AX274" s="127">
        <v>4.3299999999999998E-2</v>
      </c>
      <c r="AY274" s="127">
        <v>1.75</v>
      </c>
      <c r="AZ274" s="127"/>
      <c r="BA274" s="127">
        <v>0.32</v>
      </c>
      <c r="BB274" s="18">
        <v>2.0000000000000001E-4</v>
      </c>
      <c r="BC274" s="127"/>
      <c r="BD274" s="18"/>
      <c r="BE274" s="18"/>
      <c r="BF274" s="18"/>
      <c r="BG274" s="18"/>
      <c r="BH274" s="127">
        <v>1.32E-3</v>
      </c>
      <c r="BI274" s="127">
        <v>6.9</v>
      </c>
      <c r="BJ274" s="18"/>
      <c r="BK274" s="127">
        <v>0.438</v>
      </c>
      <c r="BL274" s="127">
        <v>0.48199999999999998</v>
      </c>
      <c r="BM274" s="127"/>
      <c r="BN274" s="127">
        <v>0.109</v>
      </c>
      <c r="BO274" s="18">
        <v>1.9199999999999998E-2</v>
      </c>
      <c r="BP274" s="18">
        <v>3.8999999999999998E-3</v>
      </c>
      <c r="BQ274" s="18">
        <v>0.125</v>
      </c>
      <c r="BR274" s="18"/>
      <c r="BS274" s="18"/>
      <c r="BT274" s="18"/>
      <c r="BU274" s="18"/>
      <c r="BV274" s="18">
        <v>2.6000000000000003E-4</v>
      </c>
      <c r="BW274" s="18">
        <v>2.0000000000000002E-5</v>
      </c>
      <c r="BX274" s="18">
        <v>4.7300000000000007E-3</v>
      </c>
      <c r="BY274" s="127">
        <v>1.1000000000000001E-3</v>
      </c>
      <c r="BZ274" s="18"/>
      <c r="CA274" s="127"/>
      <c r="CB274" s="127">
        <v>9.7000000000000003E-2</v>
      </c>
      <c r="CC274" s="127">
        <v>1.8499999999999999E-2</v>
      </c>
      <c r="CE274">
        <f t="shared" si="152"/>
        <v>3.9428571428571431</v>
      </c>
      <c r="CF274">
        <f t="shared" si="153"/>
        <v>15.753424657534248</v>
      </c>
      <c r="CG274">
        <f t="shared" si="154"/>
        <v>3.9954337899543377</v>
      </c>
      <c r="CH274">
        <f t="shared" si="155"/>
        <v>0.90871369294605808</v>
      </c>
      <c r="CI274">
        <f t="shared" si="156"/>
        <v>0</v>
      </c>
      <c r="CJ274" t="e">
        <f t="shared" si="157"/>
        <v>#DIV/0!</v>
      </c>
      <c r="CK274">
        <f t="shared" si="158"/>
        <v>0</v>
      </c>
      <c r="CL274">
        <f t="shared" si="159"/>
        <v>3.6307053941908713</v>
      </c>
      <c r="CM274">
        <f t="shared" si="160"/>
        <v>14.315352697095436</v>
      </c>
      <c r="CN274">
        <f t="shared" si="161"/>
        <v>14.315352697095436</v>
      </c>
      <c r="CO274">
        <f t="shared" si="162"/>
        <v>2.2821576763485478E-3</v>
      </c>
      <c r="CP274">
        <f t="shared" si="163"/>
        <v>0</v>
      </c>
      <c r="CQ274">
        <f t="shared" si="164"/>
        <v>0</v>
      </c>
      <c r="CR274">
        <f t="shared" si="165"/>
        <v>0</v>
      </c>
      <c r="CS274">
        <f t="shared" si="166"/>
        <v>0.73059360730593603</v>
      </c>
      <c r="CT274">
        <f t="shared" si="167"/>
        <v>2.4742857142857143E-2</v>
      </c>
      <c r="CU274">
        <f t="shared" si="168"/>
        <v>0</v>
      </c>
      <c r="CV274">
        <f t="shared" si="169"/>
        <v>0</v>
      </c>
      <c r="CW274">
        <f t="shared" si="170"/>
        <v>0</v>
      </c>
      <c r="CX274" t="e">
        <f t="shared" si="171"/>
        <v>#DIV/0!</v>
      </c>
      <c r="CY274">
        <f t="shared" si="172"/>
        <v>2.5114155251141552E-3</v>
      </c>
      <c r="CZ274">
        <f t="shared" si="173"/>
        <v>5.2432432432432439</v>
      </c>
      <c r="DA274">
        <f t="shared" si="174"/>
        <v>7.3903002309468828</v>
      </c>
      <c r="DB274">
        <f t="shared" si="175"/>
        <v>0.18285714285714286</v>
      </c>
      <c r="DC274" t="e">
        <f t="shared" si="176"/>
        <v>#DIV/0!</v>
      </c>
      <c r="DD274">
        <f t="shared" si="177"/>
        <v>0.66390041493775942</v>
      </c>
      <c r="DE274">
        <f t="shared" si="178"/>
        <v>0</v>
      </c>
      <c r="DF274">
        <f t="shared" si="179"/>
        <v>0</v>
      </c>
      <c r="DG274">
        <f t="shared" si="180"/>
        <v>0</v>
      </c>
      <c r="DH274">
        <f t="shared" si="181"/>
        <v>3.9428571428571431</v>
      </c>
      <c r="DI274">
        <f t="shared" si="182"/>
        <v>0</v>
      </c>
      <c r="DJ274">
        <f t="shared" si="183"/>
        <v>1.057142857142857E-2</v>
      </c>
      <c r="DK274">
        <f t="shared" si="184"/>
        <v>8.8017925888514377</v>
      </c>
      <c r="DL274">
        <f t="shared" si="185"/>
        <v>15.287323970110391</v>
      </c>
      <c r="DM274">
        <f t="shared" si="186"/>
        <v>2.2029629450953885</v>
      </c>
      <c r="DN274">
        <f t="shared" si="187"/>
        <v>0.55872248607491737</v>
      </c>
      <c r="DO274">
        <f t="shared" si="188"/>
        <v>3.8261987993762006</v>
      </c>
      <c r="DP274">
        <f t="shared" si="189"/>
        <v>0.97041273897222469</v>
      </c>
    </row>
    <row r="275" spans="1:120">
      <c r="A275" s="16" t="s">
        <v>641</v>
      </c>
      <c r="B275" s="16" t="s">
        <v>24</v>
      </c>
      <c r="C275" s="125" t="s">
        <v>1722</v>
      </c>
      <c r="D275" s="16" t="s">
        <v>1707</v>
      </c>
      <c r="E275" s="16" t="s">
        <v>237</v>
      </c>
      <c r="F275" s="16" t="s">
        <v>639</v>
      </c>
      <c r="G275" s="16" t="s">
        <v>640</v>
      </c>
      <c r="H275" s="27"/>
      <c r="I275" s="16" t="s">
        <v>712</v>
      </c>
      <c r="J275" s="16" t="s">
        <v>635</v>
      </c>
      <c r="K275" s="16" t="s">
        <v>642</v>
      </c>
      <c r="L275" s="16"/>
      <c r="M275" s="16" t="s">
        <v>623</v>
      </c>
      <c r="N275" s="16" t="s">
        <v>1084</v>
      </c>
      <c r="O275" s="95">
        <v>23.088455772113946</v>
      </c>
      <c r="P275" s="95">
        <v>1.5992003998001003</v>
      </c>
      <c r="Q275" s="95">
        <v>3.8780609695152428</v>
      </c>
      <c r="R275" s="95">
        <v>13.793103448275865</v>
      </c>
      <c r="S275" s="95">
        <v>14.69265367316342</v>
      </c>
      <c r="T275" s="95">
        <v>37.381309345327338</v>
      </c>
      <c r="U275" s="95">
        <v>0</v>
      </c>
      <c r="V275" s="95">
        <v>0.7096451774112944</v>
      </c>
      <c r="W275" s="95">
        <v>2.7886056971514246</v>
      </c>
      <c r="X275" s="95">
        <v>2.0689655172413794</v>
      </c>
      <c r="Y275" s="95">
        <v>0</v>
      </c>
      <c r="Z275" s="95">
        <v>100</v>
      </c>
      <c r="AA275" s="18"/>
      <c r="AB275" s="18"/>
      <c r="AC275" s="18"/>
      <c r="AD275" s="18">
        <v>77.599999999999994</v>
      </c>
      <c r="AE275" s="127">
        <v>54.32</v>
      </c>
      <c r="AF275" s="127">
        <v>11.96</v>
      </c>
      <c r="AG275" s="18">
        <v>14.2</v>
      </c>
      <c r="AH275" s="18">
        <v>111.76</v>
      </c>
      <c r="AI275" s="18">
        <v>172.93</v>
      </c>
      <c r="AJ275" s="18">
        <v>14.01</v>
      </c>
      <c r="AK275" s="134">
        <v>2.09</v>
      </c>
      <c r="AL275" s="18">
        <v>2.79</v>
      </c>
      <c r="AM275" s="134">
        <v>64.069999999999993</v>
      </c>
      <c r="AN275" s="127">
        <v>5.1999999999999998E-2</v>
      </c>
      <c r="AO275" s="18">
        <v>0.24399999999999999</v>
      </c>
      <c r="AP275" s="18">
        <v>0.81</v>
      </c>
      <c r="AQ275" s="18">
        <v>3.5000000000000003E-2</v>
      </c>
      <c r="AR275" s="18">
        <v>0.03</v>
      </c>
      <c r="AS275" s="18"/>
      <c r="AT275" s="18"/>
      <c r="AU275" s="18">
        <v>0</v>
      </c>
      <c r="AV275" s="18"/>
      <c r="AW275" s="18"/>
      <c r="AX275" s="127">
        <v>0.312</v>
      </c>
      <c r="AY275" s="127">
        <v>2.93</v>
      </c>
      <c r="AZ275" s="127">
        <v>3.6999999999999998E-2</v>
      </c>
      <c r="BA275" s="127">
        <v>0.23799999999999999</v>
      </c>
      <c r="BB275" s="18"/>
      <c r="BC275" s="127">
        <v>0.90800000000000003</v>
      </c>
      <c r="BD275" s="18"/>
      <c r="BE275" s="18"/>
      <c r="BF275" s="18"/>
      <c r="BG275" s="18"/>
      <c r="BH275" s="127">
        <v>6.0000000000000001E-3</v>
      </c>
      <c r="BI275" s="127">
        <v>13.71</v>
      </c>
      <c r="BJ275" s="18">
        <v>0.127</v>
      </c>
      <c r="BK275" s="127">
        <v>0.67900000000000005</v>
      </c>
      <c r="BL275" s="127">
        <v>0.83899999999999997</v>
      </c>
      <c r="BM275" s="127">
        <v>9.0999999999999998E-2</v>
      </c>
      <c r="BN275" s="127">
        <v>0.28399999999999997</v>
      </c>
      <c r="BO275" s="18">
        <v>2.1000000000000001E-2</v>
      </c>
      <c r="BP275" s="18">
        <v>8.0000000000000002E-3</v>
      </c>
      <c r="BQ275" s="18">
        <v>2.1999999999999999E-2</v>
      </c>
      <c r="BR275" s="18">
        <v>1.0999999999999999E-2</v>
      </c>
      <c r="BS275" s="18">
        <v>4.0000000000000001E-3</v>
      </c>
      <c r="BT275" s="18">
        <v>1.4999999999999999E-2</v>
      </c>
      <c r="BU275" s="18"/>
      <c r="BV275" s="18">
        <v>1.7999999999999999E-2</v>
      </c>
      <c r="BW275" s="18">
        <v>3.0000000000000001E-3</v>
      </c>
      <c r="BX275" s="18">
        <v>0.01</v>
      </c>
      <c r="BY275" s="127">
        <v>3.7999999999999999E-2</v>
      </c>
      <c r="BZ275" s="18">
        <v>0.05</v>
      </c>
      <c r="CA275" s="127">
        <v>0.06</v>
      </c>
      <c r="CB275" s="127">
        <v>0.125</v>
      </c>
      <c r="CC275" s="127">
        <v>1.7000000000000001E-2</v>
      </c>
      <c r="CE275">
        <f t="shared" si="152"/>
        <v>4.6791808873720138</v>
      </c>
      <c r="CF275">
        <f t="shared" si="153"/>
        <v>20.191458026509572</v>
      </c>
      <c r="CG275">
        <f t="shared" si="154"/>
        <v>4.3151693667157582</v>
      </c>
      <c r="CH275">
        <f t="shared" si="155"/>
        <v>0.80929678188319432</v>
      </c>
      <c r="CI275">
        <f t="shared" si="156"/>
        <v>80</v>
      </c>
      <c r="CJ275">
        <f t="shared" si="157"/>
        <v>4.5418060200668897</v>
      </c>
      <c r="CK275">
        <f t="shared" si="158"/>
        <v>64.74374255065554</v>
      </c>
      <c r="CL275">
        <f t="shared" si="159"/>
        <v>3.4922526817640049</v>
      </c>
      <c r="CM275">
        <f t="shared" si="160"/>
        <v>16.340882002383793</v>
      </c>
      <c r="CN275">
        <f t="shared" si="161"/>
        <v>16.340882002383793</v>
      </c>
      <c r="CO275">
        <f t="shared" si="162"/>
        <v>4.5292014302741358E-2</v>
      </c>
      <c r="CP275">
        <f t="shared" si="163"/>
        <v>3.5294117647058818</v>
      </c>
      <c r="CQ275">
        <f t="shared" si="164"/>
        <v>8.8365243004418254E-2</v>
      </c>
      <c r="CR275">
        <f t="shared" si="165"/>
        <v>1.3372606774668629</v>
      </c>
      <c r="CS275">
        <f t="shared" si="166"/>
        <v>0.35051546391752575</v>
      </c>
      <c r="CT275">
        <f t="shared" si="167"/>
        <v>0.10648464163822526</v>
      </c>
      <c r="CU275">
        <f t="shared" si="168"/>
        <v>5.4491899852724589E-2</v>
      </c>
      <c r="CV275">
        <f t="shared" si="169"/>
        <v>0.84782269392851584</v>
      </c>
      <c r="CW275">
        <f t="shared" si="170"/>
        <v>7.6583210603829152E-2</v>
      </c>
      <c r="CX275">
        <f t="shared" si="171"/>
        <v>0.2621145374449339</v>
      </c>
      <c r="CY275">
        <f t="shared" si="172"/>
        <v>5.5964653902798228E-2</v>
      </c>
      <c r="CZ275">
        <f t="shared" si="173"/>
        <v>7.3529411764705879</v>
      </c>
      <c r="DA275">
        <f t="shared" si="174"/>
        <v>0.76282051282051277</v>
      </c>
      <c r="DB275">
        <f t="shared" si="175"/>
        <v>8.1228668941979512E-2</v>
      </c>
      <c r="DC275">
        <f t="shared" si="176"/>
        <v>6.4324324324324325</v>
      </c>
      <c r="DD275">
        <f t="shared" si="177"/>
        <v>0.28367103694874851</v>
      </c>
      <c r="DE275">
        <f t="shared" si="178"/>
        <v>17.614138438880708</v>
      </c>
      <c r="DF275">
        <f t="shared" si="179"/>
        <v>4.0819112627986351</v>
      </c>
      <c r="DG275">
        <f t="shared" si="180"/>
        <v>18.53924914675768</v>
      </c>
      <c r="DH275">
        <f t="shared" si="181"/>
        <v>4.6791808873720138</v>
      </c>
      <c r="DI275">
        <f t="shared" si="182"/>
        <v>0.3098976109215017</v>
      </c>
      <c r="DJ275">
        <f t="shared" si="183"/>
        <v>5.8020477815699661E-3</v>
      </c>
      <c r="DK275">
        <f t="shared" si="184"/>
        <v>21.638665203480734</v>
      </c>
      <c r="DL275">
        <f t="shared" si="185"/>
        <v>5.7114299992860715</v>
      </c>
      <c r="DM275">
        <f t="shared" si="186"/>
        <v>5.0145575676325667</v>
      </c>
      <c r="DN275">
        <f t="shared" si="187"/>
        <v>1.0716742285312486</v>
      </c>
      <c r="DO275">
        <f t="shared" si="188"/>
        <v>1.3235702967628815</v>
      </c>
      <c r="DP275">
        <f t="shared" si="189"/>
        <v>0.28286367392525474</v>
      </c>
    </row>
    <row r="276" spans="1:120">
      <c r="A276" s="16" t="s">
        <v>641</v>
      </c>
      <c r="B276" s="16" t="s">
        <v>24</v>
      </c>
      <c r="C276" s="125" t="s">
        <v>1722</v>
      </c>
      <c r="D276" s="16" t="s">
        <v>1707</v>
      </c>
      <c r="E276" s="16" t="s">
        <v>237</v>
      </c>
      <c r="F276" s="16" t="s">
        <v>639</v>
      </c>
      <c r="G276" s="16" t="s">
        <v>640</v>
      </c>
      <c r="H276" s="27"/>
      <c r="I276" s="16" t="s">
        <v>712</v>
      </c>
      <c r="J276" s="16" t="s">
        <v>635</v>
      </c>
      <c r="K276" s="16" t="s">
        <v>642</v>
      </c>
      <c r="L276" s="16"/>
      <c r="M276" s="16" t="s">
        <v>624</v>
      </c>
      <c r="N276" s="16" t="s">
        <v>1084</v>
      </c>
      <c r="O276" s="95">
        <v>27.559254340361704</v>
      </c>
      <c r="P276" s="95">
        <v>1.7437491837174315</v>
      </c>
      <c r="Q276" s="95">
        <v>4.5297392588521781</v>
      </c>
      <c r="R276" s="95">
        <v>5.0207950634622591</v>
      </c>
      <c r="S276" s="95">
        <v>14.631458667973849</v>
      </c>
      <c r="T276" s="95">
        <v>33.973044441391338</v>
      </c>
      <c r="U276" s="95">
        <v>0</v>
      </c>
      <c r="V276" s="95">
        <v>3.778123231387768</v>
      </c>
      <c r="W276" s="95">
        <v>2.7058176988718765</v>
      </c>
      <c r="X276" s="95">
        <v>5.1811398159879998</v>
      </c>
      <c r="Y276" s="95">
        <v>1.1324348147130445</v>
      </c>
      <c r="Z276" s="95">
        <v>100.25555651671947</v>
      </c>
      <c r="AA276" s="18"/>
      <c r="AB276" s="18"/>
      <c r="AC276" s="18"/>
      <c r="AD276" s="18">
        <v>19.48</v>
      </c>
      <c r="AE276" s="127">
        <v>26.17</v>
      </c>
      <c r="AF276" s="127">
        <v>2.2330000000000001</v>
      </c>
      <c r="AG276" s="18">
        <v>7.85</v>
      </c>
      <c r="AH276" s="18">
        <v>15.9</v>
      </c>
      <c r="AI276" s="18">
        <v>46.86</v>
      </c>
      <c r="AJ276" s="18">
        <v>3.43</v>
      </c>
      <c r="AK276" s="134">
        <v>1.97</v>
      </c>
      <c r="AL276" s="18">
        <v>0.35199999999999998</v>
      </c>
      <c r="AM276" s="134">
        <v>5.0599999999999996</v>
      </c>
      <c r="AN276" s="127">
        <v>8.1000000000000003E-2</v>
      </c>
      <c r="AO276" s="18">
        <v>0.214</v>
      </c>
      <c r="AP276" s="18">
        <v>0.46</v>
      </c>
      <c r="AQ276" s="18">
        <v>8.9999999999999993E-3</v>
      </c>
      <c r="AR276" s="18">
        <v>2.1999999999999999E-2</v>
      </c>
      <c r="AS276" s="18"/>
      <c r="AT276" s="18"/>
      <c r="AU276" s="18">
        <v>0</v>
      </c>
      <c r="AV276" s="18"/>
      <c r="AW276" s="18"/>
      <c r="AX276" s="127">
        <v>1.2999999999999999E-2</v>
      </c>
      <c r="AY276" s="127">
        <v>1.1379999999999999</v>
      </c>
      <c r="AZ276" s="127">
        <v>5.0000000000000001E-3</v>
      </c>
      <c r="BA276" s="127">
        <v>7.4999999999999997E-2</v>
      </c>
      <c r="BB276" s="18"/>
      <c r="BC276" s="127">
        <v>0.39800000000000002</v>
      </c>
      <c r="BD276" s="18"/>
      <c r="BE276" s="18"/>
      <c r="BF276" s="18"/>
      <c r="BG276" s="18"/>
      <c r="BH276" s="127">
        <v>4.0000000000000001E-3</v>
      </c>
      <c r="BI276" s="127">
        <v>3.26</v>
      </c>
      <c r="BJ276" s="18">
        <v>6.6000000000000003E-2</v>
      </c>
      <c r="BK276" s="127">
        <v>0.36099999999999999</v>
      </c>
      <c r="BL276" s="127">
        <v>0.378</v>
      </c>
      <c r="BM276" s="127">
        <v>3.5000000000000003E-2</v>
      </c>
      <c r="BN276" s="127">
        <v>0.128</v>
      </c>
      <c r="BO276" s="18">
        <v>2.5000000000000001E-2</v>
      </c>
      <c r="BP276" s="18">
        <v>7.0000000000000001E-3</v>
      </c>
      <c r="BQ276" s="18">
        <v>1.7000000000000001E-2</v>
      </c>
      <c r="BR276" s="18">
        <v>1.2E-2</v>
      </c>
      <c r="BS276" s="18">
        <v>4.0000000000000001E-3</v>
      </c>
      <c r="BT276" s="18">
        <v>1.6E-2</v>
      </c>
      <c r="BU276" s="18"/>
      <c r="BV276" s="18">
        <v>2.1999999999999999E-2</v>
      </c>
      <c r="BW276" s="18">
        <v>4.0000000000000001E-3</v>
      </c>
      <c r="BX276" s="18">
        <v>1.4E-2</v>
      </c>
      <c r="BY276" s="127">
        <v>1.4999999999999999E-2</v>
      </c>
      <c r="BZ276" s="18">
        <v>0.05</v>
      </c>
      <c r="CA276" s="127">
        <v>3.3000000000000002E-2</v>
      </c>
      <c r="CB276" s="127">
        <v>7.0000000000000007E-2</v>
      </c>
      <c r="CC276" s="127">
        <v>8.0000000000000002E-3</v>
      </c>
      <c r="CE276">
        <f t="shared" si="152"/>
        <v>2.8646748681898067</v>
      </c>
      <c r="CF276">
        <f t="shared" si="153"/>
        <v>9.0304709141274238</v>
      </c>
      <c r="CG276">
        <f t="shared" si="154"/>
        <v>3.1523545706371188</v>
      </c>
      <c r="CH276">
        <f t="shared" si="155"/>
        <v>0.955026455026455</v>
      </c>
      <c r="CI276">
        <f t="shared" si="156"/>
        <v>72.493074792243775</v>
      </c>
      <c r="CJ276">
        <f t="shared" si="157"/>
        <v>11.719659650694133</v>
      </c>
      <c r="CK276">
        <f t="shared" si="158"/>
        <v>69.232804232804241</v>
      </c>
      <c r="CL276">
        <f t="shared" si="159"/>
        <v>3.0105820105820102</v>
      </c>
      <c r="CM276">
        <f t="shared" si="160"/>
        <v>8.6243386243386233</v>
      </c>
      <c r="CN276">
        <f t="shared" si="161"/>
        <v>8.6243386243386233</v>
      </c>
      <c r="CO276">
        <f t="shared" si="162"/>
        <v>3.968253968253968E-2</v>
      </c>
      <c r="CP276">
        <f t="shared" si="163"/>
        <v>4.125</v>
      </c>
      <c r="CQ276">
        <f t="shared" si="164"/>
        <v>9.141274238227147E-2</v>
      </c>
      <c r="CR276">
        <f t="shared" si="165"/>
        <v>1.1024930747922439</v>
      </c>
      <c r="CS276">
        <f t="shared" si="166"/>
        <v>0.2077562326869806</v>
      </c>
      <c r="CT276">
        <f t="shared" si="167"/>
        <v>1.1423550087873463E-2</v>
      </c>
      <c r="CU276">
        <f t="shared" si="168"/>
        <v>1.3850415512465375E-2</v>
      </c>
      <c r="CV276">
        <f t="shared" si="169"/>
        <v>5.1719367588932812</v>
      </c>
      <c r="CW276">
        <f t="shared" si="170"/>
        <v>0.22437673130193908</v>
      </c>
      <c r="CX276">
        <f t="shared" si="171"/>
        <v>0.18844221105527637</v>
      </c>
      <c r="CY276">
        <f t="shared" si="172"/>
        <v>4.1551246537396121E-2</v>
      </c>
      <c r="CZ276">
        <f t="shared" si="173"/>
        <v>8.75</v>
      </c>
      <c r="DA276">
        <f t="shared" si="174"/>
        <v>5.7692307692307692</v>
      </c>
      <c r="DB276">
        <f t="shared" si="175"/>
        <v>6.5905096660808446E-2</v>
      </c>
      <c r="DC276">
        <f t="shared" si="176"/>
        <v>15</v>
      </c>
      <c r="DD276">
        <f t="shared" si="177"/>
        <v>0.1984126984126984</v>
      </c>
      <c r="DE276">
        <f t="shared" si="178"/>
        <v>6.1855955678670362</v>
      </c>
      <c r="DF276">
        <f t="shared" si="179"/>
        <v>1.9622144112478035</v>
      </c>
      <c r="DG276">
        <f t="shared" si="180"/>
        <v>22.996485061511429</v>
      </c>
      <c r="DH276">
        <f t="shared" si="181"/>
        <v>2.8646748681898067</v>
      </c>
      <c r="DI276">
        <f t="shared" si="182"/>
        <v>0.3497363796133568</v>
      </c>
      <c r="DJ276">
        <f t="shared" si="183"/>
        <v>7.0298769771529003E-3</v>
      </c>
      <c r="DK276">
        <f t="shared" si="184"/>
        <v>40.530356420980191</v>
      </c>
      <c r="DL276">
        <f t="shared" si="185"/>
        <v>12.547754179645922</v>
      </c>
      <c r="DM276">
        <f t="shared" si="186"/>
        <v>12.8571693040192</v>
      </c>
      <c r="DN276">
        <f t="shared" si="187"/>
        <v>4.488177505513451</v>
      </c>
      <c r="DO276">
        <f t="shared" si="188"/>
        <v>3.980438716038821</v>
      </c>
      <c r="DP276">
        <f t="shared" si="189"/>
        <v>1.3894905702000546</v>
      </c>
    </row>
    <row r="277" spans="1:120">
      <c r="A277" s="16" t="s">
        <v>672</v>
      </c>
      <c r="B277" s="16" t="s">
        <v>24</v>
      </c>
      <c r="C277" s="125" t="s">
        <v>1722</v>
      </c>
      <c r="D277" s="16" t="s">
        <v>1723</v>
      </c>
      <c r="E277" s="16" t="s">
        <v>237</v>
      </c>
      <c r="F277" s="16" t="s">
        <v>29</v>
      </c>
      <c r="G277" s="16" t="s">
        <v>595</v>
      </c>
      <c r="H277" s="27">
        <v>360</v>
      </c>
      <c r="I277" s="16" t="s">
        <v>735</v>
      </c>
      <c r="J277" s="16" t="s">
        <v>1496</v>
      </c>
      <c r="K277" s="16"/>
      <c r="L277" s="16"/>
      <c r="M277" s="16" t="s">
        <v>73</v>
      </c>
      <c r="N277" s="16">
        <v>24</v>
      </c>
      <c r="O277" s="95">
        <v>22.393563768833978</v>
      </c>
      <c r="P277" s="95">
        <v>5.5522925721445633</v>
      </c>
      <c r="Q277" s="95">
        <v>7.0889049076089252</v>
      </c>
      <c r="R277" s="95">
        <v>30.414680159957953</v>
      </c>
      <c r="S277" s="95">
        <v>7.7650143352132455</v>
      </c>
      <c r="T277" s="95">
        <v>7.0274404141903517</v>
      </c>
      <c r="U277" s="95">
        <v>0</v>
      </c>
      <c r="V277" s="95">
        <v>3.6981136873508991</v>
      </c>
      <c r="W277" s="95">
        <v>12.8563232067185</v>
      </c>
      <c r="X277" s="95">
        <v>1.823446638084377</v>
      </c>
      <c r="Y277" s="95">
        <v>1.7824703091386607</v>
      </c>
      <c r="Z277" s="95">
        <v>100.40224999924146</v>
      </c>
      <c r="AA277" s="18"/>
      <c r="AB277" s="18"/>
      <c r="AC277" s="18"/>
      <c r="AD277" s="18">
        <v>293</v>
      </c>
      <c r="AE277" s="127">
        <v>606</v>
      </c>
      <c r="AF277" s="127">
        <v>142</v>
      </c>
      <c r="AG277" s="18"/>
      <c r="AH277" s="18">
        <v>1381</v>
      </c>
      <c r="AI277" s="18">
        <v>708</v>
      </c>
      <c r="AJ277" s="18">
        <v>185.99</v>
      </c>
      <c r="AK277" s="134"/>
      <c r="AL277" s="18">
        <v>8.98</v>
      </c>
      <c r="AM277" s="134">
        <v>736</v>
      </c>
      <c r="AN277" s="127">
        <v>0.95199999999999996</v>
      </c>
      <c r="AO277" s="18">
        <v>4.0199999999999996</v>
      </c>
      <c r="AP277" s="18"/>
      <c r="AQ277" s="18">
        <v>0.45900000000000002</v>
      </c>
      <c r="AR277" s="18">
        <v>0.30299999999999999</v>
      </c>
      <c r="AS277" s="18"/>
      <c r="AT277" s="18"/>
      <c r="AU277" s="18"/>
      <c r="AV277" s="18"/>
      <c r="AW277" s="18"/>
      <c r="AX277" s="127">
        <v>4.66</v>
      </c>
      <c r="AY277" s="127">
        <v>26.43</v>
      </c>
      <c r="AZ277" s="127">
        <v>0.217</v>
      </c>
      <c r="BA277" s="127">
        <v>2.8889999999999998</v>
      </c>
      <c r="BB277" s="18"/>
      <c r="BC277" s="127">
        <v>9.7690000000000001</v>
      </c>
      <c r="BD277" s="18"/>
      <c r="BE277" s="18"/>
      <c r="BF277" s="18"/>
      <c r="BG277" s="18"/>
      <c r="BH277" s="127">
        <v>7.5999999999999998E-2</v>
      </c>
      <c r="BI277" s="127">
        <v>63.46</v>
      </c>
      <c r="BJ277" s="18">
        <v>1.02</v>
      </c>
      <c r="BK277" s="127">
        <v>3.82</v>
      </c>
      <c r="BL277" s="127">
        <v>5.27</v>
      </c>
      <c r="BM277" s="127">
        <v>0.57899999999999996</v>
      </c>
      <c r="BN277" s="127">
        <v>1.83</v>
      </c>
      <c r="BO277" s="18">
        <v>0.19600000000000001</v>
      </c>
      <c r="BP277" s="18">
        <v>6.9000000000000006E-2</v>
      </c>
      <c r="BQ277" s="18">
        <v>0.13</v>
      </c>
      <c r="BR277" s="18">
        <v>9.9000000000000005E-2</v>
      </c>
      <c r="BS277" s="18">
        <v>3.5999999999999997E-2</v>
      </c>
      <c r="BT277" s="18">
        <v>2.5000000000000001E-2</v>
      </c>
      <c r="BU277" s="18"/>
      <c r="BV277" s="18">
        <v>0.05</v>
      </c>
      <c r="BW277" s="18">
        <v>0.02</v>
      </c>
      <c r="BX277" s="18">
        <v>0.125</v>
      </c>
      <c r="BY277" s="127">
        <v>0.38500000000000001</v>
      </c>
      <c r="BZ277" s="18"/>
      <c r="CA277" s="127">
        <v>0.83499999999999996</v>
      </c>
      <c r="CB277" s="127">
        <v>0.59</v>
      </c>
      <c r="CC277" s="127">
        <v>0.14399999999999999</v>
      </c>
      <c r="CE277">
        <f t="shared" si="152"/>
        <v>2.401059402194476</v>
      </c>
      <c r="CF277">
        <f t="shared" si="153"/>
        <v>16.612565445026178</v>
      </c>
      <c r="CG277">
        <f t="shared" si="154"/>
        <v>6.9188481675392675</v>
      </c>
      <c r="CH277">
        <f t="shared" si="155"/>
        <v>0.72485768500948766</v>
      </c>
      <c r="CI277">
        <f t="shared" si="156"/>
        <v>158.63874345549738</v>
      </c>
      <c r="CJ277">
        <f t="shared" si="157"/>
        <v>4.267605633802817</v>
      </c>
      <c r="CK277">
        <f t="shared" si="158"/>
        <v>114.99051233396585</v>
      </c>
      <c r="CL277">
        <f t="shared" si="159"/>
        <v>5.0151802656546494</v>
      </c>
      <c r="CM277">
        <f t="shared" si="160"/>
        <v>12.041745730550286</v>
      </c>
      <c r="CN277">
        <f t="shared" si="161"/>
        <v>12.041745730550286</v>
      </c>
      <c r="CO277">
        <f t="shared" si="162"/>
        <v>7.3055028462998106E-2</v>
      </c>
      <c r="CP277">
        <f t="shared" si="163"/>
        <v>5.7986111111111116</v>
      </c>
      <c r="CQ277">
        <f t="shared" si="164"/>
        <v>0.21858638743455497</v>
      </c>
      <c r="CR277">
        <f t="shared" si="165"/>
        <v>2.5573298429319373</v>
      </c>
      <c r="CS277">
        <f t="shared" si="166"/>
        <v>0.75628272251308903</v>
      </c>
      <c r="CT277">
        <f t="shared" si="167"/>
        <v>0.17631479379493001</v>
      </c>
      <c r="CU277">
        <f t="shared" si="168"/>
        <v>5.6806282722513091E-2</v>
      </c>
      <c r="CV277">
        <f t="shared" si="169"/>
        <v>0.82336956521739135</v>
      </c>
      <c r="CW277">
        <f t="shared" si="170"/>
        <v>0.24921465968586387</v>
      </c>
      <c r="CX277">
        <f t="shared" si="171"/>
        <v>0.29573139522980857</v>
      </c>
      <c r="CY277">
        <f t="shared" si="172"/>
        <v>0.10078534031413613</v>
      </c>
      <c r="CZ277">
        <f t="shared" si="173"/>
        <v>4.0972222222222223</v>
      </c>
      <c r="DA277">
        <f t="shared" si="174"/>
        <v>0.61995708154506435</v>
      </c>
      <c r="DB277">
        <f t="shared" si="175"/>
        <v>0.10930760499432463</v>
      </c>
      <c r="DC277">
        <f t="shared" si="176"/>
        <v>13.313364055299539</v>
      </c>
      <c r="DD277">
        <f t="shared" si="177"/>
        <v>0.54819734345351046</v>
      </c>
      <c r="DE277">
        <f t="shared" si="178"/>
        <v>37.172774869109951</v>
      </c>
      <c r="DF277">
        <f t="shared" si="179"/>
        <v>5.3726825576995836</v>
      </c>
      <c r="DG277">
        <f t="shared" si="180"/>
        <v>22.92849035187287</v>
      </c>
      <c r="DH277">
        <f t="shared" si="181"/>
        <v>2.401059402194476</v>
      </c>
      <c r="DI277">
        <f t="shared" si="182"/>
        <v>0.36961785849413548</v>
      </c>
      <c r="DJ277">
        <f t="shared" si="183"/>
        <v>5.4483541430192959E-3</v>
      </c>
      <c r="DK277">
        <f t="shared" si="184"/>
        <v>2.0327262657626299</v>
      </c>
      <c r="DL277">
        <f t="shared" si="185"/>
        <v>1.8557342690075722</v>
      </c>
      <c r="DM277">
        <f t="shared" si="186"/>
        <v>0.29379547238793968</v>
      </c>
      <c r="DN277">
        <f t="shared" si="187"/>
        <v>0.12236076796743217</v>
      </c>
      <c r="DO277">
        <f t="shared" si="188"/>
        <v>0.26821433626972851</v>
      </c>
      <c r="DP277">
        <f t="shared" si="189"/>
        <v>0.1117066641602415</v>
      </c>
    </row>
    <row r="278" spans="1:120">
      <c r="A278" s="16" t="s">
        <v>672</v>
      </c>
      <c r="B278" s="16" t="s">
        <v>24</v>
      </c>
      <c r="C278" s="125" t="s">
        <v>1722</v>
      </c>
      <c r="D278" s="16" t="s">
        <v>1723</v>
      </c>
      <c r="E278" s="16" t="s">
        <v>237</v>
      </c>
      <c r="F278" s="16" t="s">
        <v>29</v>
      </c>
      <c r="G278" s="16" t="s">
        <v>595</v>
      </c>
      <c r="H278" s="27">
        <v>360</v>
      </c>
      <c r="I278" s="16" t="s">
        <v>735</v>
      </c>
      <c r="J278" s="16" t="s">
        <v>1496</v>
      </c>
      <c r="K278" s="16"/>
      <c r="L278" s="16"/>
      <c r="M278" s="16" t="s">
        <v>75</v>
      </c>
      <c r="N278" s="16">
        <v>24</v>
      </c>
      <c r="O278" s="95">
        <v>27.664493977779188</v>
      </c>
      <c r="P278" s="95">
        <v>2.7081976003367139</v>
      </c>
      <c r="Q278" s="95">
        <v>12.77451698272035</v>
      </c>
      <c r="R278" s="95">
        <v>28.696674949982992</v>
      </c>
      <c r="S278" s="95">
        <v>12.662101233272411</v>
      </c>
      <c r="T278" s="95">
        <v>5.8251797441204793</v>
      </c>
      <c r="U278" s="95">
        <v>0</v>
      </c>
      <c r="V278" s="95">
        <v>1.4307459020646789</v>
      </c>
      <c r="W278" s="95">
        <v>5.7536424490172458</v>
      </c>
      <c r="X278" s="95">
        <v>1.9621658085458455</v>
      </c>
      <c r="Y278" s="95">
        <v>0.6744944966876345</v>
      </c>
      <c r="Z278" s="95">
        <v>100.15221314452752</v>
      </c>
      <c r="AA278" s="18"/>
      <c r="AB278" s="18"/>
      <c r="AC278" s="18"/>
      <c r="AD278" s="18">
        <v>10</v>
      </c>
      <c r="AE278" s="127">
        <v>47</v>
      </c>
      <c r="AF278" s="127">
        <v>47</v>
      </c>
      <c r="AG278" s="18"/>
      <c r="AH278" s="18">
        <v>55</v>
      </c>
      <c r="AI278" s="18">
        <v>44</v>
      </c>
      <c r="AJ278" s="18">
        <v>6.29</v>
      </c>
      <c r="AK278" s="134"/>
      <c r="AL278" s="18">
        <v>1.26</v>
      </c>
      <c r="AM278" s="134">
        <v>65</v>
      </c>
      <c r="AN278" s="127">
        <v>0.312</v>
      </c>
      <c r="AO278" s="18">
        <v>0.17</v>
      </c>
      <c r="AP278" s="18"/>
      <c r="AQ278" s="18">
        <v>5.3999999999999999E-2</v>
      </c>
      <c r="AR278" s="18">
        <v>3.4000000000000002E-2</v>
      </c>
      <c r="AS278" s="18"/>
      <c r="AT278" s="18"/>
      <c r="AU278" s="18"/>
      <c r="AV278" s="18"/>
      <c r="AW278" s="18"/>
      <c r="AX278" s="127">
        <v>0.12</v>
      </c>
      <c r="AY278" s="127">
        <v>1.1599999999999999</v>
      </c>
      <c r="AZ278" s="127">
        <v>3.3000000000000002E-2</v>
      </c>
      <c r="BA278" s="127">
        <v>0.16600000000000001</v>
      </c>
      <c r="BB278" s="18"/>
      <c r="BC278" s="127">
        <v>0.17699999999999999</v>
      </c>
      <c r="BD278" s="18"/>
      <c r="BE278" s="18"/>
      <c r="BF278" s="18"/>
      <c r="BG278" s="18"/>
      <c r="BH278" s="127">
        <v>1.2999999999999999E-2</v>
      </c>
      <c r="BI278" s="127">
        <v>3.64</v>
      </c>
      <c r="BJ278" s="18">
        <v>0.107</v>
      </c>
      <c r="BK278" s="127">
        <v>0.21</v>
      </c>
      <c r="BL278" s="127">
        <v>0.28999999999999998</v>
      </c>
      <c r="BM278" s="127">
        <v>4.2000000000000003E-2</v>
      </c>
      <c r="BN278" s="127">
        <v>9.2999999999999999E-2</v>
      </c>
      <c r="BO278" s="18">
        <v>0.02</v>
      </c>
      <c r="BP278" s="18">
        <v>1.4999999999999999E-2</v>
      </c>
      <c r="BQ278" s="18">
        <v>1.6E-2</v>
      </c>
      <c r="BR278" s="18">
        <v>1.7999999999999999E-2</v>
      </c>
      <c r="BS278" s="18">
        <v>1.2999999999999999E-2</v>
      </c>
      <c r="BT278" s="18">
        <v>1.2E-2</v>
      </c>
      <c r="BU278" s="18"/>
      <c r="BV278" s="18">
        <v>8.0000000000000002E-3</v>
      </c>
      <c r="BW278" s="18">
        <v>0.01</v>
      </c>
      <c r="BX278" s="18">
        <v>1.2999999999999999E-2</v>
      </c>
      <c r="BY278" s="127">
        <v>1.2999999999999999E-2</v>
      </c>
      <c r="BZ278" s="18"/>
      <c r="CA278" s="127">
        <v>0.06</v>
      </c>
      <c r="CB278" s="127">
        <v>3.5000000000000003E-2</v>
      </c>
      <c r="CC278" s="127">
        <v>1.6E-2</v>
      </c>
      <c r="CE278">
        <f t="shared" si="152"/>
        <v>3.1379310344827589</v>
      </c>
      <c r="CF278">
        <f t="shared" si="153"/>
        <v>17.333333333333336</v>
      </c>
      <c r="CG278">
        <f t="shared" si="154"/>
        <v>5.5238095238095237</v>
      </c>
      <c r="CH278">
        <f t="shared" si="155"/>
        <v>0.72413793103448276</v>
      </c>
      <c r="CI278">
        <f t="shared" si="156"/>
        <v>223.80952380952382</v>
      </c>
      <c r="CJ278">
        <f t="shared" si="157"/>
        <v>1</v>
      </c>
      <c r="CK278">
        <f t="shared" si="158"/>
        <v>162.06896551724139</v>
      </c>
      <c r="CL278">
        <f t="shared" si="159"/>
        <v>4</v>
      </c>
      <c r="CM278">
        <f t="shared" si="160"/>
        <v>12.551724137931036</v>
      </c>
      <c r="CN278">
        <f t="shared" si="161"/>
        <v>12.551724137931036</v>
      </c>
      <c r="CO278">
        <f t="shared" si="162"/>
        <v>4.4827586206896551E-2</v>
      </c>
      <c r="CP278">
        <f t="shared" si="163"/>
        <v>3.75</v>
      </c>
      <c r="CQ278">
        <f t="shared" si="164"/>
        <v>0.2857142857142857</v>
      </c>
      <c r="CR278">
        <f t="shared" si="165"/>
        <v>0.84285714285714286</v>
      </c>
      <c r="CS278">
        <f t="shared" si="166"/>
        <v>0.79047619047619055</v>
      </c>
      <c r="CT278">
        <f t="shared" si="167"/>
        <v>0.10344827586206896</v>
      </c>
      <c r="CU278">
        <f t="shared" si="168"/>
        <v>0.15714285714285717</v>
      </c>
      <c r="CV278">
        <f t="shared" si="169"/>
        <v>0.72307692307692306</v>
      </c>
      <c r="CW278">
        <f t="shared" si="170"/>
        <v>1.4857142857142858</v>
      </c>
      <c r="CX278">
        <f t="shared" si="171"/>
        <v>0.9378531073446329</v>
      </c>
      <c r="CY278">
        <f t="shared" si="172"/>
        <v>6.1904761904761907E-2</v>
      </c>
      <c r="CZ278">
        <f t="shared" si="173"/>
        <v>2.1875</v>
      </c>
      <c r="DA278">
        <f t="shared" si="174"/>
        <v>1.3833333333333335</v>
      </c>
      <c r="DB278">
        <f t="shared" si="175"/>
        <v>0.14310344827586208</v>
      </c>
      <c r="DC278">
        <f t="shared" si="176"/>
        <v>5.0303030303030303</v>
      </c>
      <c r="DD278">
        <f t="shared" si="177"/>
        <v>0.57241379310344831</v>
      </c>
      <c r="DE278">
        <f t="shared" si="178"/>
        <v>223.80952380952382</v>
      </c>
      <c r="DF278">
        <f t="shared" si="179"/>
        <v>40.517241379310349</v>
      </c>
      <c r="DG278">
        <f t="shared" si="180"/>
        <v>40.517241379310349</v>
      </c>
      <c r="DH278">
        <f t="shared" si="181"/>
        <v>3.1379310344827589</v>
      </c>
      <c r="DI278">
        <f t="shared" si="182"/>
        <v>0.15258620689655172</v>
      </c>
      <c r="DJ278">
        <f t="shared" si="183"/>
        <v>1.3793103448275864E-2</v>
      </c>
      <c r="DK278">
        <f t="shared" si="184"/>
        <v>60.295720158440055</v>
      </c>
      <c r="DL278">
        <f t="shared" si="185"/>
        <v>60.831033251049284</v>
      </c>
      <c r="DM278">
        <f t="shared" si="186"/>
        <v>10.915604511441733</v>
      </c>
      <c r="DN278">
        <f t="shared" si="187"/>
        <v>3.478599239910003</v>
      </c>
      <c r="DO278">
        <f t="shared" si="188"/>
        <v>11.012514640276164</v>
      </c>
      <c r="DP278">
        <f t="shared" si="189"/>
        <v>3.5094826875605354</v>
      </c>
    </row>
    <row r="279" spans="1:120">
      <c r="A279" s="16" t="s">
        <v>672</v>
      </c>
      <c r="B279" s="16" t="s">
        <v>24</v>
      </c>
      <c r="C279" s="125" t="s">
        <v>1722</v>
      </c>
      <c r="D279" s="16" t="s">
        <v>1723</v>
      </c>
      <c r="E279" s="16" t="s">
        <v>237</v>
      </c>
      <c r="F279" s="16" t="s">
        <v>29</v>
      </c>
      <c r="G279" s="16" t="s">
        <v>595</v>
      </c>
      <c r="H279" s="27">
        <v>360</v>
      </c>
      <c r="I279" s="16" t="s">
        <v>735</v>
      </c>
      <c r="J279" s="16" t="s">
        <v>1496</v>
      </c>
      <c r="K279" s="16"/>
      <c r="L279" s="16"/>
      <c r="M279" s="16" t="s">
        <v>76</v>
      </c>
      <c r="N279" s="16">
        <v>24</v>
      </c>
      <c r="O279" s="95">
        <v>20.779375959363424</v>
      </c>
      <c r="P279" s="95">
        <v>2.4512689310404041</v>
      </c>
      <c r="Q279" s="95">
        <v>6.2666331249610323</v>
      </c>
      <c r="R279" s="95">
        <v>24.656278285444063</v>
      </c>
      <c r="S279" s="95">
        <v>12.635829803522084</v>
      </c>
      <c r="T279" s="95">
        <v>21.774242429283589</v>
      </c>
      <c r="U279" s="95">
        <v>0</v>
      </c>
      <c r="V279" s="95">
        <v>1.3333261968002199</v>
      </c>
      <c r="W279" s="95">
        <v>7.1281669752011751</v>
      </c>
      <c r="X279" s="95">
        <v>1.8153748987202991</v>
      </c>
      <c r="Y279" s="95">
        <v>1.4974278825602467</v>
      </c>
      <c r="Z279" s="95">
        <v>100.33792448689653</v>
      </c>
      <c r="AA279" s="18"/>
      <c r="AB279" s="18"/>
      <c r="AC279" s="18"/>
      <c r="AD279" s="18">
        <v>48</v>
      </c>
      <c r="AE279" s="127">
        <v>98</v>
      </c>
      <c r="AF279" s="127">
        <v>33</v>
      </c>
      <c r="AG279" s="18"/>
      <c r="AH279" s="18">
        <v>298</v>
      </c>
      <c r="AI279" s="18">
        <v>276</v>
      </c>
      <c r="AJ279" s="18">
        <v>37.659999999999997</v>
      </c>
      <c r="AK279" s="134"/>
      <c r="AL279" s="18">
        <v>2.74</v>
      </c>
      <c r="AM279" s="134">
        <v>213</v>
      </c>
      <c r="AN279" s="127">
        <v>0.64200000000000002</v>
      </c>
      <c r="AO279" s="18">
        <v>0.37</v>
      </c>
      <c r="AP279" s="18"/>
      <c r="AQ279" s="18">
        <v>0.125</v>
      </c>
      <c r="AR279" s="18">
        <v>6.4000000000000001E-2</v>
      </c>
      <c r="AS279" s="18"/>
      <c r="AT279" s="18"/>
      <c r="AU279" s="18"/>
      <c r="AV279" s="18"/>
      <c r="AW279" s="18"/>
      <c r="AX279" s="127">
        <v>0.95</v>
      </c>
      <c r="AY279" s="127">
        <v>10.47</v>
      </c>
      <c r="AZ279" s="127">
        <v>0.104</v>
      </c>
      <c r="BA279" s="127">
        <v>0.70899999999999996</v>
      </c>
      <c r="BB279" s="18"/>
      <c r="BC279" s="127">
        <v>1.349</v>
      </c>
      <c r="BD279" s="18"/>
      <c r="BE279" s="18"/>
      <c r="BF279" s="18"/>
      <c r="BG279" s="18"/>
      <c r="BH279" s="127">
        <v>2.1999999999999999E-2</v>
      </c>
      <c r="BI279" s="127">
        <v>22.95</v>
      </c>
      <c r="BJ279" s="18">
        <v>0.22600000000000001</v>
      </c>
      <c r="BK279" s="127">
        <v>1.47</v>
      </c>
      <c r="BL279" s="127">
        <v>2.14</v>
      </c>
      <c r="BM279" s="127">
        <v>0.24099999999999999</v>
      </c>
      <c r="BN279" s="127">
        <v>0.81</v>
      </c>
      <c r="BO279" s="18">
        <v>8.7999999999999995E-2</v>
      </c>
      <c r="BP279" s="18">
        <v>2.5000000000000001E-2</v>
      </c>
      <c r="BQ279" s="18">
        <v>4.9000000000000002E-2</v>
      </c>
      <c r="BR279" s="18">
        <v>3.2000000000000001E-2</v>
      </c>
      <c r="BS279" s="18">
        <v>0.01</v>
      </c>
      <c r="BT279" s="18">
        <v>1.6E-2</v>
      </c>
      <c r="BU279" s="18"/>
      <c r="BV279" s="18">
        <v>4.0000000000000001E-3</v>
      </c>
      <c r="BW279" s="18">
        <v>5.0000000000000001E-3</v>
      </c>
      <c r="BX279" s="18">
        <v>2.3E-2</v>
      </c>
      <c r="BY279" s="127">
        <v>4.2000000000000003E-2</v>
      </c>
      <c r="BZ279" s="18"/>
      <c r="CA279" s="127">
        <v>0.127</v>
      </c>
      <c r="CB279" s="127">
        <v>0.17399999999999999</v>
      </c>
      <c r="CC279" s="127">
        <v>3.9E-2</v>
      </c>
      <c r="CE279">
        <f t="shared" si="152"/>
        <v>2.1919770773638967</v>
      </c>
      <c r="CF279">
        <f t="shared" si="153"/>
        <v>15.612244897959183</v>
      </c>
      <c r="CG279">
        <f t="shared" si="154"/>
        <v>7.1224489795918373</v>
      </c>
      <c r="CH279">
        <f t="shared" si="155"/>
        <v>0.6869158878504672</v>
      </c>
      <c r="CI279">
        <f t="shared" si="156"/>
        <v>66.666666666666671</v>
      </c>
      <c r="CJ279">
        <f t="shared" si="157"/>
        <v>2.9696969696969697</v>
      </c>
      <c r="CK279">
        <f t="shared" si="158"/>
        <v>45.794392523364486</v>
      </c>
      <c r="CL279">
        <f t="shared" si="159"/>
        <v>4.8925233644859816</v>
      </c>
      <c r="CM279">
        <f t="shared" si="160"/>
        <v>10.72429906542056</v>
      </c>
      <c r="CN279">
        <f t="shared" si="161"/>
        <v>10.72429906542056</v>
      </c>
      <c r="CO279">
        <f t="shared" si="162"/>
        <v>1.9626168224299065E-2</v>
      </c>
      <c r="CP279">
        <f t="shared" si="163"/>
        <v>3.2564102564102564</v>
      </c>
      <c r="CQ279">
        <f t="shared" si="164"/>
        <v>8.6394557823129256E-2</v>
      </c>
      <c r="CR279">
        <f t="shared" si="165"/>
        <v>0.91768707482993195</v>
      </c>
      <c r="CS279">
        <f t="shared" si="166"/>
        <v>0.48231292517006802</v>
      </c>
      <c r="CT279">
        <f t="shared" si="167"/>
        <v>9.0735434574976112E-2</v>
      </c>
      <c r="CU279">
        <f t="shared" si="168"/>
        <v>7.0748299319727884E-2</v>
      </c>
      <c r="CV279">
        <f t="shared" si="169"/>
        <v>0.460093896713615</v>
      </c>
      <c r="CW279">
        <f t="shared" si="170"/>
        <v>0.43673469387755104</v>
      </c>
      <c r="CX279">
        <f t="shared" si="171"/>
        <v>0.5255744996293551</v>
      </c>
      <c r="CY279">
        <f t="shared" si="172"/>
        <v>2.8571428571428574E-2</v>
      </c>
      <c r="CZ279">
        <f t="shared" si="173"/>
        <v>4.4615384615384617</v>
      </c>
      <c r="DA279">
        <f t="shared" si="174"/>
        <v>0.74631578947368415</v>
      </c>
      <c r="DB279">
        <f t="shared" si="175"/>
        <v>6.771728748806112E-2</v>
      </c>
      <c r="DC279">
        <f t="shared" si="176"/>
        <v>6.8173076923076925</v>
      </c>
      <c r="DD279">
        <f t="shared" si="177"/>
        <v>0.33130841121495325</v>
      </c>
      <c r="DE279">
        <f t="shared" si="178"/>
        <v>22.448979591836736</v>
      </c>
      <c r="DF279">
        <f t="shared" si="179"/>
        <v>3.151862464183381</v>
      </c>
      <c r="DG279">
        <f t="shared" si="180"/>
        <v>9.3600764087870107</v>
      </c>
      <c r="DH279">
        <f t="shared" si="181"/>
        <v>2.1919770773638967</v>
      </c>
      <c r="DI279">
        <f t="shared" si="182"/>
        <v>0.12884431709646607</v>
      </c>
      <c r="DJ279">
        <f t="shared" si="183"/>
        <v>3.7249283667621772E-3</v>
      </c>
      <c r="DK279">
        <f t="shared" si="184"/>
        <v>8.5958025874299899</v>
      </c>
      <c r="DL279">
        <f t="shared" si="185"/>
        <v>4.2630157312660089</v>
      </c>
      <c r="DM279">
        <f t="shared" si="186"/>
        <v>1.2068605351979067</v>
      </c>
      <c r="DN279">
        <f t="shared" si="187"/>
        <v>0.55058081932558101</v>
      </c>
      <c r="DO279">
        <f t="shared" si="188"/>
        <v>0.598532294647663</v>
      </c>
      <c r="DP279">
        <f t="shared" si="189"/>
        <v>0.27305590958435871</v>
      </c>
    </row>
    <row r="280" spans="1:120">
      <c r="A280" s="16" t="s">
        <v>672</v>
      </c>
      <c r="B280" s="16" t="s">
        <v>24</v>
      </c>
      <c r="C280" s="125" t="s">
        <v>1722</v>
      </c>
      <c r="D280" s="16" t="s">
        <v>1723</v>
      </c>
      <c r="E280" s="16" t="s">
        <v>237</v>
      </c>
      <c r="F280" s="16" t="s">
        <v>29</v>
      </c>
      <c r="G280" s="16" t="s">
        <v>595</v>
      </c>
      <c r="H280" s="27">
        <v>360</v>
      </c>
      <c r="I280" s="16" t="s">
        <v>735</v>
      </c>
      <c r="J280" s="16" t="s">
        <v>1496</v>
      </c>
      <c r="K280" s="16"/>
      <c r="L280" s="16"/>
      <c r="M280" s="16" t="s">
        <v>80</v>
      </c>
      <c r="N280" s="16">
        <v>20</v>
      </c>
      <c r="O280" s="95">
        <v>33.749792752369849</v>
      </c>
      <c r="P280" s="95">
        <v>4.8023825245332104</v>
      </c>
      <c r="Q280" s="95">
        <v>8.5808028903173348</v>
      </c>
      <c r="R280" s="95">
        <v>21.349611009918426</v>
      </c>
      <c r="S280" s="95">
        <v>6.1028144661445474</v>
      </c>
      <c r="T280" s="95">
        <v>13.434383522787996</v>
      </c>
      <c r="U280" s="95">
        <v>0</v>
      </c>
      <c r="V280" s="95">
        <v>1.4540262654237008</v>
      </c>
      <c r="W280" s="95">
        <v>6.4714408432942179</v>
      </c>
      <c r="X280" s="95">
        <v>3.0002091251348197</v>
      </c>
      <c r="Y280" s="95">
        <v>1.3618696711362832</v>
      </c>
      <c r="Z280" s="95">
        <v>100.3073330710604</v>
      </c>
      <c r="AA280" s="18"/>
      <c r="AB280" s="18"/>
      <c r="AC280" s="18"/>
      <c r="AD280" s="18">
        <v>24</v>
      </c>
      <c r="AE280" s="127">
        <v>47</v>
      </c>
      <c r="AF280" s="127">
        <v>25</v>
      </c>
      <c r="AG280" s="18"/>
      <c r="AH280" s="18">
        <v>73</v>
      </c>
      <c r="AI280" s="18">
        <v>149</v>
      </c>
      <c r="AJ280" s="18">
        <v>26</v>
      </c>
      <c r="AK280" s="134"/>
      <c r="AL280" s="18">
        <v>1.2</v>
      </c>
      <c r="AM280" s="134">
        <v>84</v>
      </c>
      <c r="AN280" s="127">
        <v>0.33200000000000002</v>
      </c>
      <c r="AO280" s="18">
        <v>0.62</v>
      </c>
      <c r="AP280" s="18"/>
      <c r="AQ280" s="18">
        <v>4.3999999999999997E-2</v>
      </c>
      <c r="AR280" s="18">
        <v>3.5999999999999997E-2</v>
      </c>
      <c r="AS280" s="18"/>
      <c r="AT280" s="18"/>
      <c r="AU280" s="18"/>
      <c r="AV280" s="18"/>
      <c r="AW280" s="18"/>
      <c r="AX280" s="127">
        <v>0.31</v>
      </c>
      <c r="AY280" s="127">
        <v>2.25</v>
      </c>
      <c r="AZ280" s="127">
        <v>5.8999999999999997E-2</v>
      </c>
      <c r="BA280" s="127">
        <v>0.50900000000000001</v>
      </c>
      <c r="BB280" s="18"/>
      <c r="BC280" s="127">
        <v>0.28899999999999998</v>
      </c>
      <c r="BD280" s="18"/>
      <c r="BE280" s="18"/>
      <c r="BF280" s="18"/>
      <c r="BG280" s="18"/>
      <c r="BH280" s="127">
        <v>6.0000000000000001E-3</v>
      </c>
      <c r="BI280" s="127">
        <v>2.96</v>
      </c>
      <c r="BJ280" s="18">
        <v>0.17599999999999999</v>
      </c>
      <c r="BK280" s="127">
        <v>0.26</v>
      </c>
      <c r="BL280" s="127">
        <v>0.45</v>
      </c>
      <c r="BM280" s="127">
        <v>5.7000000000000002E-2</v>
      </c>
      <c r="BN280" s="127">
        <v>0.21199999999999999</v>
      </c>
      <c r="BO280" s="18">
        <v>3.6999999999999998E-2</v>
      </c>
      <c r="BP280" s="18">
        <v>1.0999999999999999E-2</v>
      </c>
      <c r="BQ280" s="18">
        <v>3.3000000000000002E-2</v>
      </c>
      <c r="BR280" s="18">
        <v>2.1000000000000001E-2</v>
      </c>
      <c r="BS280" s="18">
        <v>4.0000000000000001E-3</v>
      </c>
      <c r="BT280" s="18">
        <v>5.0000000000000001E-3</v>
      </c>
      <c r="BU280" s="18"/>
      <c r="BV280" s="18">
        <v>0.01</v>
      </c>
      <c r="BW280" s="18">
        <v>2E-3</v>
      </c>
      <c r="BX280" s="18">
        <v>1.9E-2</v>
      </c>
      <c r="BY280" s="127">
        <v>1.0999999999999999E-2</v>
      </c>
      <c r="BZ280" s="18"/>
      <c r="CA280" s="127">
        <v>0.17</v>
      </c>
      <c r="CB280" s="127">
        <v>2.9000000000000001E-2</v>
      </c>
      <c r="CC280" s="127">
        <v>8.9999999999999993E-3</v>
      </c>
      <c r="CE280">
        <f t="shared" si="152"/>
        <v>1.3155555555555556</v>
      </c>
      <c r="CF280">
        <f t="shared" si="153"/>
        <v>11.384615384615383</v>
      </c>
      <c r="CG280">
        <f t="shared" si="154"/>
        <v>8.6538461538461533</v>
      </c>
      <c r="CH280">
        <f t="shared" si="155"/>
        <v>0.57777777777777783</v>
      </c>
      <c r="CI280">
        <f t="shared" si="156"/>
        <v>180.76923076923077</v>
      </c>
      <c r="CJ280">
        <f t="shared" si="157"/>
        <v>1.88</v>
      </c>
      <c r="CK280">
        <f t="shared" si="158"/>
        <v>104.44444444444444</v>
      </c>
      <c r="CL280">
        <f t="shared" si="159"/>
        <v>5</v>
      </c>
      <c r="CM280">
        <f t="shared" si="160"/>
        <v>6.5777777777777775</v>
      </c>
      <c r="CN280">
        <f t="shared" si="161"/>
        <v>6.5777777777777775</v>
      </c>
      <c r="CO280">
        <f t="shared" si="162"/>
        <v>2.4444444444444442E-2</v>
      </c>
      <c r="CP280">
        <f t="shared" si="163"/>
        <v>18.888888888888893</v>
      </c>
      <c r="CQ280">
        <f t="shared" si="164"/>
        <v>0.65384615384615385</v>
      </c>
      <c r="CR280">
        <f t="shared" si="165"/>
        <v>1.1115384615384614</v>
      </c>
      <c r="CS280">
        <f t="shared" si="166"/>
        <v>1.9576923076923076</v>
      </c>
      <c r="CT280">
        <f t="shared" si="167"/>
        <v>0.13777777777777778</v>
      </c>
      <c r="CU280">
        <f t="shared" si="168"/>
        <v>0.22692307692307689</v>
      </c>
      <c r="CV280">
        <f t="shared" si="169"/>
        <v>0.55952380952380953</v>
      </c>
      <c r="CW280">
        <f t="shared" si="170"/>
        <v>1.276923076923077</v>
      </c>
      <c r="CX280">
        <f t="shared" si="171"/>
        <v>1.7612456747404845</v>
      </c>
      <c r="CY280">
        <f t="shared" si="172"/>
        <v>4.2307692307692303E-2</v>
      </c>
      <c r="CZ280">
        <f t="shared" si="173"/>
        <v>3.2222222222222228</v>
      </c>
      <c r="DA280">
        <f t="shared" si="174"/>
        <v>1.6419354838709679</v>
      </c>
      <c r="DB280">
        <f t="shared" si="175"/>
        <v>0.22622222222222221</v>
      </c>
      <c r="DC280">
        <f t="shared" si="176"/>
        <v>8.6271186440677976</v>
      </c>
      <c r="DD280">
        <f t="shared" si="177"/>
        <v>1.1311111111111112</v>
      </c>
      <c r="DE280">
        <f t="shared" si="178"/>
        <v>96.153846153846146</v>
      </c>
      <c r="DF280">
        <f t="shared" si="179"/>
        <v>11.111111111111111</v>
      </c>
      <c r="DG280">
        <f t="shared" si="180"/>
        <v>20.888888888888889</v>
      </c>
      <c r="DH280">
        <f t="shared" si="181"/>
        <v>1.3155555555555556</v>
      </c>
      <c r="DI280">
        <f t="shared" si="182"/>
        <v>0.12844444444444444</v>
      </c>
      <c r="DJ280">
        <f t="shared" si="183"/>
        <v>4.0000000000000001E-3</v>
      </c>
      <c r="DK280">
        <f t="shared" si="184"/>
        <v>23.47236333132518</v>
      </c>
      <c r="DL280">
        <f t="shared" si="185"/>
        <v>33.003088039682055</v>
      </c>
      <c r="DM280">
        <f t="shared" si="186"/>
        <v>2.712361984953132</v>
      </c>
      <c r="DN280">
        <f t="shared" si="187"/>
        <v>2.0617616439677526</v>
      </c>
      <c r="DO280">
        <f t="shared" si="188"/>
        <v>3.8136901734743711</v>
      </c>
      <c r="DP280">
        <f t="shared" si="189"/>
        <v>2.8989198953774782</v>
      </c>
    </row>
    <row r="281" spans="1:120">
      <c r="A281" s="16" t="s">
        <v>672</v>
      </c>
      <c r="B281" s="16" t="s">
        <v>24</v>
      </c>
      <c r="C281" s="125" t="s">
        <v>1722</v>
      </c>
      <c r="D281" s="16" t="s">
        <v>1723</v>
      </c>
      <c r="E281" s="16" t="s">
        <v>237</v>
      </c>
      <c r="F281" s="16" t="s">
        <v>29</v>
      </c>
      <c r="G281" s="16" t="s">
        <v>595</v>
      </c>
      <c r="H281" s="27">
        <v>360</v>
      </c>
      <c r="I281" s="16" t="s">
        <v>735</v>
      </c>
      <c r="J281" s="16" t="s">
        <v>1496</v>
      </c>
      <c r="K281" s="16"/>
      <c r="L281" s="16"/>
      <c r="M281" s="16" t="s">
        <v>82</v>
      </c>
      <c r="N281" s="16">
        <v>24</v>
      </c>
      <c r="O281" s="95">
        <v>29.455049443429086</v>
      </c>
      <c r="P281" s="95">
        <v>4.1888901393707689</v>
      </c>
      <c r="Q281" s="95">
        <v>7.7136879395730009</v>
      </c>
      <c r="R281" s="95">
        <v>22.293068985626874</v>
      </c>
      <c r="S281" s="95">
        <v>9.0725230335640088</v>
      </c>
      <c r="T281" s="95">
        <v>13.189895536408935</v>
      </c>
      <c r="U281" s="95">
        <v>0</v>
      </c>
      <c r="V281" s="95">
        <v>1.9003257705438124</v>
      </c>
      <c r="W281" s="95">
        <v>7.8158559917527768</v>
      </c>
      <c r="X281" s="95">
        <v>3.1365592019190882</v>
      </c>
      <c r="Y281" s="95">
        <v>1.5938216140044881</v>
      </c>
      <c r="Z281" s="95">
        <v>100.35967765619283</v>
      </c>
      <c r="AA281" s="18"/>
      <c r="AB281" s="18"/>
      <c r="AC281" s="18"/>
      <c r="AD281" s="18">
        <v>25</v>
      </c>
      <c r="AE281" s="127">
        <v>33</v>
      </c>
      <c r="AF281" s="127">
        <v>15</v>
      </c>
      <c r="AG281" s="18"/>
      <c r="AH281" s="18">
        <v>94</v>
      </c>
      <c r="AI281" s="18">
        <v>82</v>
      </c>
      <c r="AJ281" s="18">
        <v>12.79</v>
      </c>
      <c r="AK281" s="134"/>
      <c r="AL281" s="18">
        <v>0.68</v>
      </c>
      <c r="AM281" s="134">
        <v>51</v>
      </c>
      <c r="AN281" s="127">
        <v>0.35599999999999998</v>
      </c>
      <c r="AO281" s="18">
        <v>0.14599999999999999</v>
      </c>
      <c r="AP281" s="18"/>
      <c r="AQ281" s="18">
        <v>2.7E-2</v>
      </c>
      <c r="AR281" s="18">
        <v>4.2999999999999997E-2</v>
      </c>
      <c r="AS281" s="18"/>
      <c r="AT281" s="18"/>
      <c r="AU281" s="18"/>
      <c r="AV281" s="18"/>
      <c r="AW281" s="18"/>
      <c r="AX281" s="127">
        <v>0.24</v>
      </c>
      <c r="AY281" s="127">
        <v>2.16</v>
      </c>
      <c r="AZ281" s="127">
        <v>3.1E-2</v>
      </c>
      <c r="BA281" s="127">
        <v>0.29199999999999998</v>
      </c>
      <c r="BB281" s="18"/>
      <c r="BC281" s="127">
        <v>0.40899999999999997</v>
      </c>
      <c r="BD281" s="18"/>
      <c r="BE281" s="18"/>
      <c r="BF281" s="18"/>
      <c r="BG281" s="18"/>
      <c r="BH281" s="127">
        <v>6.0000000000000001E-3</v>
      </c>
      <c r="BI281" s="127">
        <v>13.23</v>
      </c>
      <c r="BJ281" s="18">
        <v>9.7000000000000003E-2</v>
      </c>
      <c r="BK281" s="127">
        <v>0.56999999999999995</v>
      </c>
      <c r="BL281" s="127">
        <v>0.75</v>
      </c>
      <c r="BM281" s="127">
        <v>7.6999999999999999E-2</v>
      </c>
      <c r="BN281" s="127">
        <v>0.215</v>
      </c>
      <c r="BO281" s="18">
        <v>2.1000000000000001E-2</v>
      </c>
      <c r="BP281" s="18">
        <v>6.0000000000000001E-3</v>
      </c>
      <c r="BQ281" s="18">
        <v>1.6E-2</v>
      </c>
      <c r="BR281" s="18">
        <v>8.0000000000000002E-3</v>
      </c>
      <c r="BS281" s="18">
        <v>3.0000000000000001E-3</v>
      </c>
      <c r="BT281" s="18">
        <v>8.0000000000000002E-3</v>
      </c>
      <c r="BU281" s="18"/>
      <c r="BV281" s="18">
        <v>4.0000000000000001E-3</v>
      </c>
      <c r="BW281" s="18">
        <v>3.0000000000000001E-3</v>
      </c>
      <c r="BX281" s="18">
        <v>8.9999999999999993E-3</v>
      </c>
      <c r="BY281" s="127">
        <v>7.0000000000000001E-3</v>
      </c>
      <c r="BZ281" s="18"/>
      <c r="CA281" s="127">
        <v>6.9000000000000006E-2</v>
      </c>
      <c r="CB281" s="127">
        <v>0.19900000000000001</v>
      </c>
      <c r="CC281" s="127">
        <v>2.5999999999999999E-2</v>
      </c>
      <c r="CE281">
        <f t="shared" si="152"/>
        <v>6.125</v>
      </c>
      <c r="CF281">
        <f t="shared" si="153"/>
        <v>23.210526315789476</v>
      </c>
      <c r="CG281">
        <f t="shared" si="154"/>
        <v>3.789473684210527</v>
      </c>
      <c r="CH281">
        <f t="shared" si="155"/>
        <v>0.7599999999999999</v>
      </c>
      <c r="CI281">
        <f t="shared" si="156"/>
        <v>57.894736842105267</v>
      </c>
      <c r="CJ281">
        <f t="shared" si="157"/>
        <v>2.2000000000000002</v>
      </c>
      <c r="CK281">
        <f t="shared" si="158"/>
        <v>44</v>
      </c>
      <c r="CL281">
        <f t="shared" si="159"/>
        <v>2.8800000000000003</v>
      </c>
      <c r="CM281">
        <f t="shared" si="160"/>
        <v>17.64</v>
      </c>
      <c r="CN281">
        <f t="shared" si="161"/>
        <v>17.64</v>
      </c>
      <c r="CO281">
        <f t="shared" si="162"/>
        <v>9.3333333333333341E-3</v>
      </c>
      <c r="CP281">
        <f t="shared" si="163"/>
        <v>2.6538461538461542</v>
      </c>
      <c r="CQ281">
        <f t="shared" si="164"/>
        <v>0.12105263157894738</v>
      </c>
      <c r="CR281">
        <f t="shared" si="165"/>
        <v>0.71754385964912282</v>
      </c>
      <c r="CS281">
        <f t="shared" si="166"/>
        <v>0.512280701754386</v>
      </c>
      <c r="CT281">
        <f t="shared" si="167"/>
        <v>0.1111111111111111</v>
      </c>
      <c r="CU281">
        <f t="shared" si="168"/>
        <v>5.4385964912280704E-2</v>
      </c>
      <c r="CV281">
        <f t="shared" si="169"/>
        <v>0.6470588235294118</v>
      </c>
      <c r="CW281">
        <f t="shared" si="170"/>
        <v>0.62456140350877198</v>
      </c>
      <c r="CX281">
        <f t="shared" si="171"/>
        <v>0.71393643031784837</v>
      </c>
      <c r="CY281">
        <f t="shared" si="172"/>
        <v>1.2280701754385967E-2</v>
      </c>
      <c r="CZ281">
        <f t="shared" si="173"/>
        <v>7.6538461538461542</v>
      </c>
      <c r="DA281">
        <f t="shared" si="174"/>
        <v>1.2166666666666666</v>
      </c>
      <c r="DB281">
        <f t="shared" si="175"/>
        <v>0.13518518518518516</v>
      </c>
      <c r="DC281">
        <f t="shared" si="176"/>
        <v>9.4193548387096762</v>
      </c>
      <c r="DD281">
        <f t="shared" si="177"/>
        <v>0.38933333333333331</v>
      </c>
      <c r="DE281">
        <f t="shared" si="178"/>
        <v>26.315789473684212</v>
      </c>
      <c r="DF281">
        <f t="shared" si="179"/>
        <v>6.9444444444444438</v>
      </c>
      <c r="DG281">
        <f t="shared" si="180"/>
        <v>15.277777777777777</v>
      </c>
      <c r="DH281">
        <f t="shared" si="181"/>
        <v>6.125</v>
      </c>
      <c r="DI281">
        <f t="shared" si="182"/>
        <v>0.18935185185185183</v>
      </c>
      <c r="DJ281">
        <f t="shared" si="183"/>
        <v>1.2037037037037035E-2</v>
      </c>
      <c r="DK281">
        <f t="shared" si="184"/>
        <v>15.916707076428088</v>
      </c>
      <c r="DL281">
        <f t="shared" si="185"/>
        <v>13.532785858900002</v>
      </c>
      <c r="DM281">
        <f t="shared" si="186"/>
        <v>4.2002421451685219</v>
      </c>
      <c r="DN281">
        <f t="shared" si="187"/>
        <v>0.68575381961935056</v>
      </c>
      <c r="DO281">
        <f t="shared" si="188"/>
        <v>3.5711518238763893</v>
      </c>
      <c r="DP281">
        <f t="shared" si="189"/>
        <v>0.58304519573492064</v>
      </c>
    </row>
    <row r="282" spans="1:120">
      <c r="A282" s="16" t="s">
        <v>672</v>
      </c>
      <c r="B282" s="16" t="s">
        <v>24</v>
      </c>
      <c r="C282" s="125" t="s">
        <v>1722</v>
      </c>
      <c r="D282" s="16" t="s">
        <v>1723</v>
      </c>
      <c r="E282" s="16" t="s">
        <v>237</v>
      </c>
      <c r="F282" s="16" t="s">
        <v>29</v>
      </c>
      <c r="G282" s="16" t="s">
        <v>595</v>
      </c>
      <c r="H282" s="27">
        <v>360</v>
      </c>
      <c r="I282" s="16" t="s">
        <v>735</v>
      </c>
      <c r="J282" s="16" t="s">
        <v>1496</v>
      </c>
      <c r="K282" s="16"/>
      <c r="L282" s="16"/>
      <c r="M282" s="16" t="s">
        <v>83</v>
      </c>
      <c r="N282" s="16">
        <v>19</v>
      </c>
      <c r="O282" s="95">
        <v>33.59158621000563</v>
      </c>
      <c r="P282" s="95">
        <v>5.9243342952191753</v>
      </c>
      <c r="Q282" s="95">
        <v>8.2044904500801632</v>
      </c>
      <c r="R282" s="95">
        <v>23.707516449425185</v>
      </c>
      <c r="S282" s="95">
        <v>8.2452075242741092</v>
      </c>
      <c r="T282" s="95">
        <v>5.3135781823099819</v>
      </c>
      <c r="U282" s="95">
        <v>0</v>
      </c>
      <c r="V282" s="95">
        <v>2.9418086105126147</v>
      </c>
      <c r="W282" s="95">
        <v>8.1535941073377298</v>
      </c>
      <c r="X282" s="95">
        <v>2.9010915363186682</v>
      </c>
      <c r="Y282" s="95">
        <v>1.3131256427547655</v>
      </c>
      <c r="Z282" s="95">
        <v>100.29633300823802</v>
      </c>
      <c r="AA282" s="18"/>
      <c r="AB282" s="18"/>
      <c r="AC282" s="18"/>
      <c r="AD282" s="18">
        <v>5</v>
      </c>
      <c r="AE282" s="127">
        <v>10</v>
      </c>
      <c r="AF282" s="127">
        <v>7</v>
      </c>
      <c r="AG282" s="18"/>
      <c r="AH282" s="18">
        <v>18</v>
      </c>
      <c r="AI282" s="18">
        <v>85</v>
      </c>
      <c r="AJ282" s="18">
        <v>1.22</v>
      </c>
      <c r="AK282" s="134"/>
      <c r="AL282" s="18">
        <v>0.17</v>
      </c>
      <c r="AM282" s="134">
        <v>10</v>
      </c>
      <c r="AN282" s="127">
        <v>0.26400000000000001</v>
      </c>
      <c r="AO282" s="18">
        <v>1.42</v>
      </c>
      <c r="AP282" s="18"/>
      <c r="AQ282" s="18">
        <v>5.8000000000000003E-2</v>
      </c>
      <c r="AR282" s="18">
        <v>8.0000000000000002E-3</v>
      </c>
      <c r="AS282" s="18"/>
      <c r="AT282" s="18"/>
      <c r="AU282" s="18"/>
      <c r="AV282" s="18"/>
      <c r="AW282" s="18"/>
      <c r="AX282" s="127">
        <v>0.06</v>
      </c>
      <c r="AY282" s="127">
        <v>0.28000000000000003</v>
      </c>
      <c r="AZ282" s="127">
        <v>7.0000000000000001E-3</v>
      </c>
      <c r="BA282" s="127">
        <v>0.28999999999999998</v>
      </c>
      <c r="BB282" s="18"/>
      <c r="BC282" s="127">
        <v>5.1999999999999998E-2</v>
      </c>
      <c r="BD282" s="18"/>
      <c r="BE282" s="18"/>
      <c r="BF282" s="18"/>
      <c r="BG282" s="18"/>
      <c r="BH282" s="127">
        <v>3.0000000000000001E-3</v>
      </c>
      <c r="BI282" s="127">
        <v>0.72</v>
      </c>
      <c r="BJ282" s="18">
        <v>6.7000000000000004E-2</v>
      </c>
      <c r="BK282" s="127">
        <v>6.6000000000000003E-2</v>
      </c>
      <c r="BL282" s="127">
        <v>0.10299999999999999</v>
      </c>
      <c r="BM282" s="127">
        <v>1.6E-2</v>
      </c>
      <c r="BN282" s="127">
        <v>5.5E-2</v>
      </c>
      <c r="BO282" s="18">
        <v>5.0000000000000001E-3</v>
      </c>
      <c r="BP282" s="18" t="s">
        <v>1366</v>
      </c>
      <c r="BQ282" s="18">
        <v>4.0000000000000001E-3</v>
      </c>
      <c r="BR282" s="18">
        <v>5.0000000000000001E-3</v>
      </c>
      <c r="BS282" s="18">
        <v>2E-3</v>
      </c>
      <c r="BT282" s="18" t="s">
        <v>1366</v>
      </c>
      <c r="BU282" s="18"/>
      <c r="BV282" s="18" t="s">
        <v>1366</v>
      </c>
      <c r="BW282" s="18" t="s">
        <v>1366</v>
      </c>
      <c r="BX282" s="18">
        <v>8.0000000000000002E-3</v>
      </c>
      <c r="BY282" s="127">
        <v>4.0000000000000001E-3</v>
      </c>
      <c r="BZ282" s="18"/>
      <c r="CA282" s="127">
        <v>0.20499999999999999</v>
      </c>
      <c r="CB282" s="127">
        <v>5.0000000000000001E-3</v>
      </c>
      <c r="CC282" s="127">
        <v>2E-3</v>
      </c>
      <c r="CE282">
        <f t="shared" si="152"/>
        <v>2.5714285714285712</v>
      </c>
      <c r="CF282">
        <f t="shared" si="153"/>
        <v>10.909090909090908</v>
      </c>
      <c r="CG282">
        <f t="shared" si="154"/>
        <v>4.2424242424242422</v>
      </c>
      <c r="CH282">
        <f t="shared" si="155"/>
        <v>0.64077669902912626</v>
      </c>
      <c r="CI282">
        <f t="shared" si="156"/>
        <v>151.5151515151515</v>
      </c>
      <c r="CJ282">
        <f t="shared" si="157"/>
        <v>1.4285714285714286</v>
      </c>
      <c r="CK282">
        <f t="shared" si="158"/>
        <v>97.087378640776706</v>
      </c>
      <c r="CL282">
        <f t="shared" si="159"/>
        <v>2.7184466019417481</v>
      </c>
      <c r="CM282">
        <f t="shared" si="160"/>
        <v>6.9902912621359228</v>
      </c>
      <c r="CN282">
        <f t="shared" si="161"/>
        <v>6.9902912621359228</v>
      </c>
      <c r="CO282">
        <f t="shared" si="162"/>
        <v>3.8834951456310683E-2</v>
      </c>
      <c r="CP282">
        <f t="shared" si="163"/>
        <v>102.49999999999999</v>
      </c>
      <c r="CQ282">
        <f t="shared" si="164"/>
        <v>3.1060606060606055</v>
      </c>
      <c r="CR282">
        <f t="shared" si="165"/>
        <v>0.78787878787878785</v>
      </c>
      <c r="CS282">
        <f t="shared" si="166"/>
        <v>4.3939393939393936</v>
      </c>
      <c r="CT282">
        <f t="shared" si="167"/>
        <v>0.21428571428571425</v>
      </c>
      <c r="CU282">
        <f t="shared" si="168"/>
        <v>0.10606060606060606</v>
      </c>
      <c r="CV282">
        <f t="shared" si="169"/>
        <v>1</v>
      </c>
      <c r="CW282">
        <f t="shared" si="170"/>
        <v>4</v>
      </c>
      <c r="CX282">
        <f t="shared" si="171"/>
        <v>5.5769230769230766</v>
      </c>
      <c r="CY282">
        <f t="shared" si="172"/>
        <v>6.0606060606060608E-2</v>
      </c>
      <c r="CZ282">
        <f t="shared" si="173"/>
        <v>2.5</v>
      </c>
      <c r="DA282">
        <f t="shared" si="174"/>
        <v>4.833333333333333</v>
      </c>
      <c r="DB282">
        <f t="shared" si="175"/>
        <v>1.0357142857142856</v>
      </c>
      <c r="DC282">
        <f t="shared" si="176"/>
        <v>41.428571428571423</v>
      </c>
      <c r="DD282">
        <f t="shared" si="177"/>
        <v>2.8155339805825244</v>
      </c>
      <c r="DE282">
        <f t="shared" si="178"/>
        <v>106.06060606060606</v>
      </c>
      <c r="DF282">
        <f t="shared" si="179"/>
        <v>24.999999999999996</v>
      </c>
      <c r="DG282">
        <f t="shared" si="180"/>
        <v>35.714285714285708</v>
      </c>
      <c r="DH282">
        <f t="shared" si="181"/>
        <v>2.5714285714285712</v>
      </c>
      <c r="DI282">
        <f t="shared" si="182"/>
        <v>0.18571428571428569</v>
      </c>
      <c r="DJ282">
        <f t="shared" si="183"/>
        <v>7.1428571428571426E-3</v>
      </c>
      <c r="DK282">
        <f t="shared" si="184"/>
        <v>124.9273867314259</v>
      </c>
      <c r="DL282">
        <f t="shared" si="185"/>
        <v>124.31046136485095</v>
      </c>
      <c r="DM282">
        <f t="shared" si="186"/>
        <v>29.447169729550389</v>
      </c>
      <c r="DN282">
        <f t="shared" si="187"/>
        <v>11.451677117047375</v>
      </c>
      <c r="DO282">
        <f t="shared" si="188"/>
        <v>29.30175160742915</v>
      </c>
      <c r="DP282">
        <f t="shared" si="189"/>
        <v>11.395125625111339</v>
      </c>
    </row>
    <row r="283" spans="1:120">
      <c r="A283" s="16" t="s">
        <v>672</v>
      </c>
      <c r="B283" s="16" t="s">
        <v>24</v>
      </c>
      <c r="C283" s="125" t="s">
        <v>1722</v>
      </c>
      <c r="D283" s="16" t="s">
        <v>1723</v>
      </c>
      <c r="E283" s="16" t="s">
        <v>237</v>
      </c>
      <c r="F283" s="16" t="s">
        <v>29</v>
      </c>
      <c r="G283" s="16" t="s">
        <v>595</v>
      </c>
      <c r="H283" s="27">
        <v>360</v>
      </c>
      <c r="I283" s="16" t="s">
        <v>735</v>
      </c>
      <c r="J283" s="16" t="s">
        <v>1496</v>
      </c>
      <c r="K283" s="16"/>
      <c r="L283" s="16"/>
      <c r="M283" s="16" t="s">
        <v>87</v>
      </c>
      <c r="N283" s="16">
        <v>24</v>
      </c>
      <c r="O283" s="95">
        <v>24.671469883533597</v>
      </c>
      <c r="P283" s="95">
        <v>4.5466436350348163</v>
      </c>
      <c r="Q283" s="95">
        <v>8.7221326876178118</v>
      </c>
      <c r="R283" s="95">
        <v>22.939415165425096</v>
      </c>
      <c r="S283" s="95">
        <v>9.402582755446149</v>
      </c>
      <c r="T283" s="95">
        <v>10.268610114500403</v>
      </c>
      <c r="U283" s="95">
        <v>0</v>
      </c>
      <c r="V283" s="95">
        <v>2.5052934315497972</v>
      </c>
      <c r="W283" s="95">
        <v>12.28934061896032</v>
      </c>
      <c r="X283" s="95">
        <v>2.1238289995854247</v>
      </c>
      <c r="Y283" s="95">
        <v>3.2682222954785414</v>
      </c>
      <c r="Z283" s="95">
        <v>100.73753958713196</v>
      </c>
      <c r="AA283" s="18"/>
      <c r="AB283" s="18"/>
      <c r="AC283" s="18"/>
      <c r="AD283" s="18">
        <v>188</v>
      </c>
      <c r="AE283" s="127">
        <v>224</v>
      </c>
      <c r="AF283" s="127">
        <v>104</v>
      </c>
      <c r="AG283" s="18"/>
      <c r="AH283" s="18">
        <v>886</v>
      </c>
      <c r="AI283" s="18">
        <v>457</v>
      </c>
      <c r="AJ283" s="18">
        <v>125.2</v>
      </c>
      <c r="AK283" s="134"/>
      <c r="AL283" s="18">
        <v>5.91</v>
      </c>
      <c r="AM283" s="134">
        <v>480</v>
      </c>
      <c r="AN283" s="127">
        <v>0.42199999999999999</v>
      </c>
      <c r="AO283" s="18">
        <v>6.6</v>
      </c>
      <c r="AP283" s="18"/>
      <c r="AQ283" s="18">
        <v>0.27</v>
      </c>
      <c r="AR283" s="18">
        <v>0.156</v>
      </c>
      <c r="AS283" s="18"/>
      <c r="AT283" s="18"/>
      <c r="AU283" s="18"/>
      <c r="AV283" s="18"/>
      <c r="AW283" s="18"/>
      <c r="AX283" s="127">
        <v>2.92</v>
      </c>
      <c r="AY283" s="127">
        <v>18.61</v>
      </c>
      <c r="AZ283" s="127">
        <v>0.16</v>
      </c>
      <c r="BA283" s="127">
        <v>1.7290000000000001</v>
      </c>
      <c r="BB283" s="18"/>
      <c r="BC283" s="127">
        <v>6.2389999999999999</v>
      </c>
      <c r="BD283" s="18"/>
      <c r="BE283" s="18"/>
      <c r="BF283" s="18"/>
      <c r="BG283" s="18"/>
      <c r="BH283" s="127">
        <v>0.04</v>
      </c>
      <c r="BI283" s="127">
        <v>45.01</v>
      </c>
      <c r="BJ283" s="18">
        <v>0.63</v>
      </c>
      <c r="BK283" s="127">
        <v>2.78</v>
      </c>
      <c r="BL283" s="127">
        <v>3.77</v>
      </c>
      <c r="BM283" s="127">
        <v>0.42</v>
      </c>
      <c r="BN283" s="127">
        <v>1.26</v>
      </c>
      <c r="BO283" s="18">
        <v>0.13500000000000001</v>
      </c>
      <c r="BP283" s="18">
        <v>3.6999999999999998E-2</v>
      </c>
      <c r="BQ283" s="18">
        <v>7.5999999999999998E-2</v>
      </c>
      <c r="BR283" s="18">
        <v>4.1000000000000002E-2</v>
      </c>
      <c r="BS283" s="18">
        <v>0.01</v>
      </c>
      <c r="BT283" s="18">
        <v>3.4000000000000002E-2</v>
      </c>
      <c r="BU283" s="18"/>
      <c r="BV283" s="18">
        <v>1.4999999999999999E-2</v>
      </c>
      <c r="BW283" s="18">
        <v>4.0000000000000001E-3</v>
      </c>
      <c r="BX283" s="18">
        <v>4.5999999999999999E-2</v>
      </c>
      <c r="BY283" s="127">
        <v>0.158</v>
      </c>
      <c r="BZ283" s="18"/>
      <c r="CA283" s="127">
        <v>0.48</v>
      </c>
      <c r="CB283" s="127">
        <v>0.41</v>
      </c>
      <c r="CC283" s="127">
        <v>8.6999999999999994E-2</v>
      </c>
      <c r="CE283">
        <f t="shared" si="152"/>
        <v>2.4185921547555078</v>
      </c>
      <c r="CF283">
        <f t="shared" si="153"/>
        <v>16.190647482014388</v>
      </c>
      <c r="CG283">
        <f t="shared" si="154"/>
        <v>6.6942446043165473</v>
      </c>
      <c r="CH283">
        <f t="shared" si="155"/>
        <v>0.73740053050397869</v>
      </c>
      <c r="CI283">
        <f t="shared" si="156"/>
        <v>80.575539568345334</v>
      </c>
      <c r="CJ283">
        <f t="shared" si="157"/>
        <v>2.1538461538461537</v>
      </c>
      <c r="CK283">
        <f t="shared" si="158"/>
        <v>59.416445623342177</v>
      </c>
      <c r="CL283">
        <f t="shared" si="159"/>
        <v>4.9363395225464188</v>
      </c>
      <c r="CM283">
        <f t="shared" si="160"/>
        <v>11.938992042440317</v>
      </c>
      <c r="CN283">
        <f t="shared" si="161"/>
        <v>11.938992042440317</v>
      </c>
      <c r="CO283">
        <f t="shared" si="162"/>
        <v>4.1909814323607429E-2</v>
      </c>
      <c r="CP283">
        <f t="shared" si="163"/>
        <v>5.5172413793103452</v>
      </c>
      <c r="CQ283">
        <f t="shared" si="164"/>
        <v>0.17266187050359713</v>
      </c>
      <c r="CR283">
        <f t="shared" si="165"/>
        <v>2.2442446043165467</v>
      </c>
      <c r="CS283">
        <f t="shared" si="166"/>
        <v>0.62194244604316551</v>
      </c>
      <c r="CT283">
        <f t="shared" si="167"/>
        <v>0.15690488984416981</v>
      </c>
      <c r="CU283">
        <f t="shared" si="168"/>
        <v>5.7553956834532377E-2</v>
      </c>
      <c r="CV283">
        <f t="shared" si="169"/>
        <v>0.46666666666666667</v>
      </c>
      <c r="CW283">
        <f t="shared" si="170"/>
        <v>0.15179856115107915</v>
      </c>
      <c r="CX283">
        <f t="shared" si="171"/>
        <v>0.27712774483090241</v>
      </c>
      <c r="CY283">
        <f t="shared" si="172"/>
        <v>5.6834532374100723E-2</v>
      </c>
      <c r="CZ283">
        <f t="shared" si="173"/>
        <v>4.7126436781609193</v>
      </c>
      <c r="DA283">
        <f t="shared" si="174"/>
        <v>0.5921232876712329</v>
      </c>
      <c r="DB283">
        <f t="shared" si="175"/>
        <v>9.2907039226222468E-2</v>
      </c>
      <c r="DC283">
        <f t="shared" si="176"/>
        <v>10.80625</v>
      </c>
      <c r="DD283">
        <f t="shared" si="177"/>
        <v>0.45862068965517244</v>
      </c>
      <c r="DE283">
        <f t="shared" si="178"/>
        <v>37.410071942446045</v>
      </c>
      <c r="DF283">
        <f t="shared" si="179"/>
        <v>5.5883933369156367</v>
      </c>
      <c r="DG283">
        <f t="shared" si="180"/>
        <v>12.036539494895218</v>
      </c>
      <c r="DH283">
        <f t="shared" si="181"/>
        <v>2.4185921547555078</v>
      </c>
      <c r="DI283">
        <f t="shared" si="182"/>
        <v>0.33524986566362169</v>
      </c>
      <c r="DJ283">
        <f t="shared" si="183"/>
        <v>4.6749059645351957E-3</v>
      </c>
      <c r="DK283">
        <f t="shared" si="184"/>
        <v>3.3822240127504135</v>
      </c>
      <c r="DL283">
        <f t="shared" si="185"/>
        <v>3.1374578013013714</v>
      </c>
      <c r="DM283">
        <f t="shared" si="186"/>
        <v>0.50524356558012629</v>
      </c>
      <c r="DN283">
        <f t="shared" si="187"/>
        <v>0.20889986126296711</v>
      </c>
      <c r="DO283">
        <f t="shared" si="188"/>
        <v>0.46867988649209091</v>
      </c>
      <c r="DP283">
        <f t="shared" si="189"/>
        <v>0.19378210814525243</v>
      </c>
    </row>
    <row r="284" spans="1:120">
      <c r="A284" s="16" t="s">
        <v>672</v>
      </c>
      <c r="B284" s="16" t="s">
        <v>24</v>
      </c>
      <c r="C284" s="125" t="s">
        <v>1722</v>
      </c>
      <c r="D284" s="16" t="s">
        <v>1723</v>
      </c>
      <c r="E284" s="16" t="s">
        <v>237</v>
      </c>
      <c r="F284" s="16" t="s">
        <v>29</v>
      </c>
      <c r="G284" s="16" t="s">
        <v>595</v>
      </c>
      <c r="H284" s="27">
        <v>360</v>
      </c>
      <c r="I284" s="16" t="s">
        <v>735</v>
      </c>
      <c r="J284" s="16" t="s">
        <v>1496</v>
      </c>
      <c r="K284" s="16"/>
      <c r="L284" s="16"/>
      <c r="M284" s="16" t="s">
        <v>89</v>
      </c>
      <c r="N284" s="16">
        <v>24</v>
      </c>
      <c r="O284" s="95">
        <v>24.871634934707959</v>
      </c>
      <c r="P284" s="95">
        <v>3.4814145235902454</v>
      </c>
      <c r="Q284" s="95">
        <v>6.1641515976509638</v>
      </c>
      <c r="R284" s="95">
        <v>26.151566744851429</v>
      </c>
      <c r="S284" s="95">
        <v>6.4610957776042488</v>
      </c>
      <c r="T284" s="95">
        <v>15.092955905211831</v>
      </c>
      <c r="U284" s="95">
        <v>0</v>
      </c>
      <c r="V284" s="95">
        <v>2.1195670775975906</v>
      </c>
      <c r="W284" s="95">
        <v>7.7410275877477215</v>
      </c>
      <c r="X284" s="95">
        <v>6.9730685016616389</v>
      </c>
      <c r="Y284" s="95">
        <v>1.2184950832565857</v>
      </c>
      <c r="Z284" s="95">
        <v>100.27497773388023</v>
      </c>
      <c r="AA284" s="18"/>
      <c r="AB284" s="18"/>
      <c r="AC284" s="18"/>
      <c r="AD284" s="18">
        <v>69</v>
      </c>
      <c r="AE284" s="127">
        <v>123</v>
      </c>
      <c r="AF284" s="127">
        <v>67</v>
      </c>
      <c r="AG284" s="18"/>
      <c r="AH284" s="18">
        <v>350</v>
      </c>
      <c r="AI284" s="18">
        <v>247</v>
      </c>
      <c r="AJ284" s="18">
        <v>52.02</v>
      </c>
      <c r="AK284" s="134"/>
      <c r="AL284" s="18">
        <v>2.68</v>
      </c>
      <c r="AM284" s="134">
        <v>191</v>
      </c>
      <c r="AN284" s="127">
        <v>0.94199999999999995</v>
      </c>
      <c r="AO284" s="18">
        <v>2.4500000000000002</v>
      </c>
      <c r="AP284" s="18"/>
      <c r="AQ284" s="18">
        <v>0.18</v>
      </c>
      <c r="AR284" s="18">
        <v>6.5000000000000002E-2</v>
      </c>
      <c r="AS284" s="18"/>
      <c r="AT284" s="18"/>
      <c r="AU284" s="18"/>
      <c r="AV284" s="18"/>
      <c r="AW284" s="18"/>
      <c r="AX284" s="127">
        <v>1.32</v>
      </c>
      <c r="AY284" s="127">
        <v>7.42</v>
      </c>
      <c r="AZ284" s="127">
        <v>8.3000000000000004E-2</v>
      </c>
      <c r="BA284" s="127">
        <v>1.7390000000000001</v>
      </c>
      <c r="BB284" s="18"/>
      <c r="BC284" s="127">
        <v>1.4990000000000001</v>
      </c>
      <c r="BD284" s="18"/>
      <c r="BE284" s="18"/>
      <c r="BF284" s="18"/>
      <c r="BG284" s="18"/>
      <c r="BH284" s="127">
        <v>2.3E-2</v>
      </c>
      <c r="BI284" s="127">
        <v>17.010000000000002</v>
      </c>
      <c r="BJ284" s="18">
        <v>0.28299999999999997</v>
      </c>
      <c r="BK284" s="127">
        <v>1.1000000000000001</v>
      </c>
      <c r="BL284" s="127">
        <v>1.61</v>
      </c>
      <c r="BM284" s="127">
        <v>0.193</v>
      </c>
      <c r="BN284" s="127">
        <v>0.63</v>
      </c>
      <c r="BO284" s="18">
        <v>7.8E-2</v>
      </c>
      <c r="BP284" s="18">
        <v>2.1999999999999999E-2</v>
      </c>
      <c r="BQ284" s="18">
        <v>0.05</v>
      </c>
      <c r="BR284" s="18">
        <v>2.1999999999999999E-2</v>
      </c>
      <c r="BS284" s="18">
        <v>6.0000000000000001E-3</v>
      </c>
      <c r="BT284" s="18">
        <v>1.9E-2</v>
      </c>
      <c r="BU284" s="18"/>
      <c r="BV284" s="18">
        <v>5.0000000000000001E-3</v>
      </c>
      <c r="BW284" s="18">
        <v>5.0000000000000001E-3</v>
      </c>
      <c r="BX284" s="18">
        <v>4.9000000000000002E-2</v>
      </c>
      <c r="BY284" s="127">
        <v>6.3E-2</v>
      </c>
      <c r="BZ284" s="18"/>
      <c r="CA284" s="127">
        <v>0.39900000000000002</v>
      </c>
      <c r="CB284" s="127">
        <v>0.14299999999999999</v>
      </c>
      <c r="CC284" s="127">
        <v>3.1E-2</v>
      </c>
      <c r="CE284">
        <f t="shared" si="152"/>
        <v>2.2924528301886795</v>
      </c>
      <c r="CF284">
        <f t="shared" si="153"/>
        <v>15.463636363636363</v>
      </c>
      <c r="CG284">
        <f t="shared" si="154"/>
        <v>6.7454545454545451</v>
      </c>
      <c r="CH284">
        <f t="shared" si="155"/>
        <v>0.68322981366459634</v>
      </c>
      <c r="CI284">
        <f t="shared" si="156"/>
        <v>111.81818181818181</v>
      </c>
      <c r="CJ284">
        <f t="shared" si="157"/>
        <v>1.835820895522388</v>
      </c>
      <c r="CK284">
        <f t="shared" si="158"/>
        <v>76.397515527950304</v>
      </c>
      <c r="CL284">
        <f t="shared" si="159"/>
        <v>4.6086956521739131</v>
      </c>
      <c r="CM284">
        <f t="shared" si="160"/>
        <v>10.565217391304348</v>
      </c>
      <c r="CN284">
        <f t="shared" si="161"/>
        <v>10.565217391304348</v>
      </c>
      <c r="CO284">
        <f t="shared" si="162"/>
        <v>3.9130434782608692E-2</v>
      </c>
      <c r="CP284">
        <f t="shared" si="163"/>
        <v>12.870967741935484</v>
      </c>
      <c r="CQ284">
        <f t="shared" si="164"/>
        <v>0.36272727272727273</v>
      </c>
      <c r="CR284">
        <f t="shared" si="165"/>
        <v>1.3627272727272728</v>
      </c>
      <c r="CS284">
        <f t="shared" si="166"/>
        <v>1.5809090909090908</v>
      </c>
      <c r="CT284">
        <f t="shared" si="167"/>
        <v>0.17789757412398924</v>
      </c>
      <c r="CU284">
        <f t="shared" si="168"/>
        <v>7.5454545454545455E-2</v>
      </c>
      <c r="CV284">
        <f t="shared" si="169"/>
        <v>0.64397905759162299</v>
      </c>
      <c r="CW284">
        <f t="shared" si="170"/>
        <v>0.85636363636363622</v>
      </c>
      <c r="CX284">
        <f t="shared" si="171"/>
        <v>1.1601067378252168</v>
      </c>
      <c r="CY284">
        <f t="shared" si="172"/>
        <v>5.7272727272727267E-2</v>
      </c>
      <c r="CZ284">
        <f t="shared" si="173"/>
        <v>4.6129032258064511</v>
      </c>
      <c r="DA284">
        <f t="shared" si="174"/>
        <v>1.3174242424242424</v>
      </c>
      <c r="DB284">
        <f t="shared" si="175"/>
        <v>0.23436657681940704</v>
      </c>
      <c r="DC284">
        <f t="shared" si="176"/>
        <v>20.951807228915662</v>
      </c>
      <c r="DD284">
        <f t="shared" si="177"/>
        <v>1.0801242236024844</v>
      </c>
      <c r="DE284">
        <f t="shared" si="178"/>
        <v>60.909090909090907</v>
      </c>
      <c r="DF284">
        <f t="shared" si="179"/>
        <v>9.0296495956873315</v>
      </c>
      <c r="DG284">
        <f t="shared" si="180"/>
        <v>16.576819407008088</v>
      </c>
      <c r="DH284">
        <f t="shared" si="181"/>
        <v>2.2924528301886795</v>
      </c>
      <c r="DI284">
        <f t="shared" si="182"/>
        <v>0.20202156334231808</v>
      </c>
      <c r="DJ284">
        <f t="shared" si="183"/>
        <v>4.1778975741239895E-3</v>
      </c>
      <c r="DK284">
        <f t="shared" si="184"/>
        <v>5.8737234341856803</v>
      </c>
      <c r="DL284">
        <f t="shared" si="185"/>
        <v>5.6037741796826941</v>
      </c>
      <c r="DM284">
        <f t="shared" si="186"/>
        <v>0.8707676250140497</v>
      </c>
      <c r="DN284">
        <f t="shared" si="187"/>
        <v>0.37984102161106692</v>
      </c>
      <c r="DO284">
        <f t="shared" si="188"/>
        <v>0.83074819375349918</v>
      </c>
      <c r="DP284">
        <f t="shared" si="189"/>
        <v>0.36238398575255515</v>
      </c>
    </row>
    <row r="285" spans="1:120">
      <c r="A285" s="16" t="s">
        <v>672</v>
      </c>
      <c r="B285" s="16" t="s">
        <v>24</v>
      </c>
      <c r="C285" s="125" t="s">
        <v>1722</v>
      </c>
      <c r="D285" s="16" t="s">
        <v>1723</v>
      </c>
      <c r="E285" s="16" t="s">
        <v>237</v>
      </c>
      <c r="F285" s="16" t="s">
        <v>29</v>
      </c>
      <c r="G285" s="16" t="s">
        <v>595</v>
      </c>
      <c r="H285" s="27">
        <v>360</v>
      </c>
      <c r="I285" s="16" t="s">
        <v>735</v>
      </c>
      <c r="J285" s="16" t="s">
        <v>1496</v>
      </c>
      <c r="K285" s="16"/>
      <c r="L285" s="16"/>
      <c r="M285" s="16" t="s">
        <v>91</v>
      </c>
      <c r="N285" s="16">
        <v>22</v>
      </c>
      <c r="O285" s="95">
        <v>27.603701317245307</v>
      </c>
      <c r="P285" s="95">
        <v>4.5175242848716985</v>
      </c>
      <c r="Q285" s="95">
        <v>8.1803818131460471</v>
      </c>
      <c r="R285" s="95">
        <v>18.863716270612898</v>
      </c>
      <c r="S285" s="95">
        <v>8.6178897956899281</v>
      </c>
      <c r="T285" s="95">
        <v>9.83884230511471</v>
      </c>
      <c r="U285" s="95">
        <v>0</v>
      </c>
      <c r="V285" s="95">
        <v>2.2282383297002291</v>
      </c>
      <c r="W285" s="95">
        <v>14.93631903196318</v>
      </c>
      <c r="X285" s="95">
        <v>3.0625558778071644</v>
      </c>
      <c r="Y285" s="95">
        <v>2.7776669589413818</v>
      </c>
      <c r="Z285" s="95">
        <v>100.62683598509255</v>
      </c>
      <c r="AA285" s="18"/>
      <c r="AB285" s="18"/>
      <c r="AC285" s="18"/>
      <c r="AD285" s="18">
        <v>42</v>
      </c>
      <c r="AE285" s="127">
        <v>134</v>
      </c>
      <c r="AF285" s="127">
        <v>42</v>
      </c>
      <c r="AG285" s="18"/>
      <c r="AH285" s="18">
        <v>397</v>
      </c>
      <c r="AI285" s="18">
        <v>223</v>
      </c>
      <c r="AJ285" s="18">
        <v>50.85</v>
      </c>
      <c r="AK285" s="134"/>
      <c r="AL285" s="18">
        <v>2.58</v>
      </c>
      <c r="AM285" s="134">
        <v>322</v>
      </c>
      <c r="AN285" s="127">
        <v>2.0219999999999998</v>
      </c>
      <c r="AO285" s="18">
        <v>0.64</v>
      </c>
      <c r="AP285" s="18"/>
      <c r="AQ285" s="18">
        <v>0.14499999999999999</v>
      </c>
      <c r="AR285" s="18">
        <v>0.13600000000000001</v>
      </c>
      <c r="AS285" s="18"/>
      <c r="AT285" s="18"/>
      <c r="AU285" s="18"/>
      <c r="AV285" s="18"/>
      <c r="AW285" s="18"/>
      <c r="AX285" s="127">
        <v>0.87</v>
      </c>
      <c r="AY285" s="127">
        <v>10.84</v>
      </c>
      <c r="AZ285" s="127">
        <v>0.16800000000000001</v>
      </c>
      <c r="BA285" s="127">
        <v>1.659</v>
      </c>
      <c r="BB285" s="18"/>
      <c r="BC285" s="127">
        <v>0.44900000000000001</v>
      </c>
      <c r="BD285" s="18"/>
      <c r="BE285" s="18"/>
      <c r="BF285" s="18"/>
      <c r="BG285" s="18"/>
      <c r="BH285" s="127">
        <v>1.7999999999999999E-2</v>
      </c>
      <c r="BI285" s="127">
        <v>64.73</v>
      </c>
      <c r="BJ285" s="18">
        <v>0.34</v>
      </c>
      <c r="BK285" s="127">
        <v>3.83</v>
      </c>
      <c r="BL285" s="127">
        <v>4.84</v>
      </c>
      <c r="BM285" s="127">
        <v>0.45</v>
      </c>
      <c r="BN285" s="127">
        <v>1.44</v>
      </c>
      <c r="BO285" s="18">
        <v>0.157</v>
      </c>
      <c r="BP285" s="18">
        <v>0.04</v>
      </c>
      <c r="BQ285" s="18">
        <v>9.9000000000000005E-2</v>
      </c>
      <c r="BR285" s="18">
        <v>4.9000000000000002E-2</v>
      </c>
      <c r="BS285" s="18">
        <v>8.0000000000000002E-3</v>
      </c>
      <c r="BT285" s="18">
        <v>1.4999999999999999E-2</v>
      </c>
      <c r="BU285" s="18"/>
      <c r="BV285" s="18">
        <v>0.01</v>
      </c>
      <c r="BW285" s="18">
        <v>1E-3</v>
      </c>
      <c r="BX285" s="18">
        <v>3.6999999999999998E-2</v>
      </c>
      <c r="BY285" s="127">
        <v>8.0000000000000002E-3</v>
      </c>
      <c r="BZ285" s="18"/>
      <c r="CA285" s="127">
        <v>0.3</v>
      </c>
      <c r="CB285" s="127">
        <v>0.22800000000000001</v>
      </c>
      <c r="CC285" s="127">
        <v>7.5999999999999998E-2</v>
      </c>
      <c r="CE285">
        <f t="shared" si="152"/>
        <v>5.9714022140221408</v>
      </c>
      <c r="CF285">
        <f t="shared" si="153"/>
        <v>16.900783289817234</v>
      </c>
      <c r="CG285">
        <f t="shared" si="154"/>
        <v>2.8302872062663185</v>
      </c>
      <c r="CH285">
        <f t="shared" si="155"/>
        <v>0.79132231404958686</v>
      </c>
      <c r="CI285">
        <f t="shared" si="156"/>
        <v>34.98694516971279</v>
      </c>
      <c r="CJ285">
        <f t="shared" si="157"/>
        <v>3.1904761904761907</v>
      </c>
      <c r="CK285">
        <f t="shared" si="158"/>
        <v>27.685950413223143</v>
      </c>
      <c r="CL285">
        <f t="shared" si="159"/>
        <v>2.2396694214876032</v>
      </c>
      <c r="CM285">
        <f t="shared" si="160"/>
        <v>13.373966942148762</v>
      </c>
      <c r="CN285">
        <f t="shared" si="161"/>
        <v>13.373966942148762</v>
      </c>
      <c r="CO285">
        <f t="shared" si="162"/>
        <v>1.6528925619834713E-3</v>
      </c>
      <c r="CP285">
        <f t="shared" si="163"/>
        <v>3.9473684210526314</v>
      </c>
      <c r="CQ285">
        <f t="shared" si="164"/>
        <v>7.8328981723237587E-2</v>
      </c>
      <c r="CR285">
        <f t="shared" si="165"/>
        <v>0.11723237597911228</v>
      </c>
      <c r="CS285">
        <f t="shared" si="166"/>
        <v>0.4331592689295039</v>
      </c>
      <c r="CT285">
        <f t="shared" si="167"/>
        <v>8.0258302583025826E-2</v>
      </c>
      <c r="CU285">
        <f t="shared" si="168"/>
        <v>4.3864229765013057E-2</v>
      </c>
      <c r="CV285">
        <f t="shared" si="169"/>
        <v>0.41614906832298137</v>
      </c>
      <c r="CW285">
        <f t="shared" si="170"/>
        <v>0.52793733681462129</v>
      </c>
      <c r="CX285">
        <f t="shared" si="171"/>
        <v>3.6948775055679288</v>
      </c>
      <c r="CY285">
        <f t="shared" si="172"/>
        <v>2.0887728459530026E-3</v>
      </c>
      <c r="CZ285">
        <f t="shared" si="173"/>
        <v>3</v>
      </c>
      <c r="DA285">
        <f t="shared" si="174"/>
        <v>1.9068965517241381</v>
      </c>
      <c r="DB285">
        <f t="shared" si="175"/>
        <v>0.15304428044280444</v>
      </c>
      <c r="DC285">
        <f t="shared" si="176"/>
        <v>9.875</v>
      </c>
      <c r="DD285">
        <f t="shared" si="177"/>
        <v>0.34276859504132234</v>
      </c>
      <c r="DE285">
        <f t="shared" si="178"/>
        <v>10.966057441253264</v>
      </c>
      <c r="DF285">
        <f t="shared" si="179"/>
        <v>3.8745387453874538</v>
      </c>
      <c r="DG285">
        <f t="shared" si="180"/>
        <v>12.361623616236162</v>
      </c>
      <c r="DH285">
        <f t="shared" si="181"/>
        <v>5.9714022140221408</v>
      </c>
      <c r="DI285">
        <f t="shared" si="182"/>
        <v>4.1420664206642067E-2</v>
      </c>
      <c r="DJ285">
        <f t="shared" si="183"/>
        <v>7.0110701107011066E-3</v>
      </c>
      <c r="DK285">
        <f t="shared" si="184"/>
        <v>2.2501017743315739</v>
      </c>
      <c r="DL285">
        <f t="shared" si="185"/>
        <v>2.1358699251034063</v>
      </c>
      <c r="DM285">
        <f t="shared" si="186"/>
        <v>0.79500828373523325</v>
      </c>
      <c r="DN285">
        <f t="shared" si="187"/>
        <v>0.13313594617163491</v>
      </c>
      <c r="DO285">
        <f t="shared" si="188"/>
        <v>0.75464776874041029</v>
      </c>
      <c r="DP285">
        <f t="shared" si="189"/>
        <v>0.12637697842030043</v>
      </c>
    </row>
    <row r="286" spans="1:120">
      <c r="A286" s="16" t="s">
        <v>672</v>
      </c>
      <c r="B286" s="16" t="s">
        <v>24</v>
      </c>
      <c r="C286" s="125" t="s">
        <v>1722</v>
      </c>
      <c r="D286" s="16" t="s">
        <v>1723</v>
      </c>
      <c r="E286" s="16" t="s">
        <v>237</v>
      </c>
      <c r="F286" s="16" t="s">
        <v>29</v>
      </c>
      <c r="G286" s="16" t="s">
        <v>595</v>
      </c>
      <c r="H286" s="27">
        <v>360</v>
      </c>
      <c r="I286" s="16" t="s">
        <v>735</v>
      </c>
      <c r="J286" s="16" t="s">
        <v>1496</v>
      </c>
      <c r="K286" s="16"/>
      <c r="L286" s="16"/>
      <c r="M286" s="16" t="s">
        <v>93</v>
      </c>
      <c r="N286" s="16">
        <v>24</v>
      </c>
      <c r="O286" s="95">
        <v>29.30748084129683</v>
      </c>
      <c r="P286" s="95">
        <v>3.6672765261042519</v>
      </c>
      <c r="Q286" s="95">
        <v>8.3999071268309677</v>
      </c>
      <c r="R286" s="95">
        <v>37.912263751709034</v>
      </c>
      <c r="S286" s="95">
        <v>4.6097051305779697</v>
      </c>
      <c r="T286" s="95">
        <v>4.7428743899057784</v>
      </c>
      <c r="U286" s="95">
        <v>0</v>
      </c>
      <c r="V286" s="95">
        <v>1.0653540746224643</v>
      </c>
      <c r="W286" s="95">
        <v>7.7647921977291148</v>
      </c>
      <c r="X286" s="95">
        <v>1.7926631063358776</v>
      </c>
      <c r="Y286" s="95">
        <v>0.95267239365278056</v>
      </c>
      <c r="Z286" s="95">
        <v>100.21498953876507</v>
      </c>
      <c r="AA286" s="18"/>
      <c r="AB286" s="18"/>
      <c r="AC286" s="18"/>
      <c r="AD286" s="18">
        <v>98</v>
      </c>
      <c r="AE286" s="127">
        <v>116</v>
      </c>
      <c r="AF286" s="127">
        <v>109</v>
      </c>
      <c r="AG286" s="18"/>
      <c r="AH286" s="18">
        <v>552</v>
      </c>
      <c r="AI286" s="18">
        <v>200</v>
      </c>
      <c r="AJ286" s="18">
        <v>79.59</v>
      </c>
      <c r="AK286" s="134"/>
      <c r="AL286" s="18">
        <v>3.21</v>
      </c>
      <c r="AM286" s="134">
        <v>310</v>
      </c>
      <c r="AN286" s="127">
        <v>0.72199999999999998</v>
      </c>
      <c r="AO286" s="18">
        <v>0.57999999999999996</v>
      </c>
      <c r="AP286" s="18"/>
      <c r="AQ286" s="18">
        <v>0.19</v>
      </c>
      <c r="AR286" s="18">
        <v>0.13400000000000001</v>
      </c>
      <c r="AS286" s="18"/>
      <c r="AT286" s="18"/>
      <c r="AU286" s="18"/>
      <c r="AV286" s="18"/>
      <c r="AW286" s="18"/>
      <c r="AX286" s="127">
        <v>2.39</v>
      </c>
      <c r="AY286" s="127">
        <v>10.01</v>
      </c>
      <c r="AZ286" s="127">
        <v>0.13900000000000001</v>
      </c>
      <c r="BA286" s="127">
        <v>1.579</v>
      </c>
      <c r="BB286" s="18"/>
      <c r="BC286" s="127">
        <v>3.4990000000000001</v>
      </c>
      <c r="BD286" s="18"/>
      <c r="BE286" s="18"/>
      <c r="BF286" s="18"/>
      <c r="BG286" s="18"/>
      <c r="BH286" s="127">
        <v>4.2000000000000003E-2</v>
      </c>
      <c r="BI286" s="127">
        <v>25.55</v>
      </c>
      <c r="BJ286" s="18">
        <v>0.35</v>
      </c>
      <c r="BK286" s="127">
        <v>1.74</v>
      </c>
      <c r="BL286" s="127">
        <v>2.4900000000000002</v>
      </c>
      <c r="BM286" s="127">
        <v>0.3</v>
      </c>
      <c r="BN286" s="127">
        <v>0.94</v>
      </c>
      <c r="BO286" s="18">
        <v>0.14699999999999999</v>
      </c>
      <c r="BP286" s="18">
        <v>0.04</v>
      </c>
      <c r="BQ286" s="18">
        <v>6.2E-2</v>
      </c>
      <c r="BR286" s="18">
        <v>3.6999999999999998E-2</v>
      </c>
      <c r="BS286" s="18">
        <v>1.7999999999999999E-2</v>
      </c>
      <c r="BT286" s="18">
        <v>2.1000000000000001E-2</v>
      </c>
      <c r="BU286" s="18"/>
      <c r="BV286" s="18">
        <v>1.9E-2</v>
      </c>
      <c r="BW286" s="18">
        <v>1.9E-2</v>
      </c>
      <c r="BX286" s="18">
        <v>8.5999999999999993E-2</v>
      </c>
      <c r="BY286" s="127">
        <v>0.19600000000000001</v>
      </c>
      <c r="BZ286" s="18"/>
      <c r="CA286" s="127">
        <v>0.25</v>
      </c>
      <c r="CB286" s="127">
        <v>0.28000000000000003</v>
      </c>
      <c r="CC286" s="127">
        <v>6.8000000000000005E-2</v>
      </c>
      <c r="CE286">
        <f t="shared" si="152"/>
        <v>2.5524475524475525</v>
      </c>
      <c r="CF286">
        <f t="shared" si="153"/>
        <v>14.683908045977011</v>
      </c>
      <c r="CG286">
        <f t="shared" si="154"/>
        <v>5.7528735632183903</v>
      </c>
      <c r="CH286">
        <f t="shared" si="155"/>
        <v>0.69879518072289148</v>
      </c>
      <c r="CI286">
        <f t="shared" si="156"/>
        <v>66.666666666666671</v>
      </c>
      <c r="CJ286">
        <f t="shared" si="157"/>
        <v>1.0642201834862386</v>
      </c>
      <c r="CK286">
        <f t="shared" si="158"/>
        <v>46.586345381526101</v>
      </c>
      <c r="CL286">
        <f t="shared" si="159"/>
        <v>4.0200803212851399</v>
      </c>
      <c r="CM286">
        <f t="shared" si="160"/>
        <v>10.261044176706827</v>
      </c>
      <c r="CN286">
        <f t="shared" si="161"/>
        <v>10.261044176706827</v>
      </c>
      <c r="CO286">
        <f t="shared" si="162"/>
        <v>7.8714859437751E-2</v>
      </c>
      <c r="CP286">
        <f t="shared" si="163"/>
        <v>3.6764705882352939</v>
      </c>
      <c r="CQ286">
        <f t="shared" si="164"/>
        <v>0.14367816091954022</v>
      </c>
      <c r="CR286">
        <f t="shared" si="165"/>
        <v>2.0109195402298852</v>
      </c>
      <c r="CS286">
        <f t="shared" si="166"/>
        <v>0.90747126436781611</v>
      </c>
      <c r="CT286">
        <f t="shared" si="167"/>
        <v>0.23876123876123878</v>
      </c>
      <c r="CU286">
        <f t="shared" si="168"/>
        <v>7.988505747126437E-2</v>
      </c>
      <c r="CV286">
        <f t="shared" si="169"/>
        <v>0.37419354838709679</v>
      </c>
      <c r="CW286">
        <f t="shared" si="170"/>
        <v>0.4149425287356322</v>
      </c>
      <c r="CX286">
        <f t="shared" si="171"/>
        <v>0.45127179194055445</v>
      </c>
      <c r="CY286">
        <f t="shared" si="172"/>
        <v>0.11264367816091954</v>
      </c>
      <c r="CZ286">
        <f t="shared" si="173"/>
        <v>4.1176470588235299</v>
      </c>
      <c r="DA286">
        <f t="shared" si="174"/>
        <v>0.6606694560669456</v>
      </c>
      <c r="DB286">
        <f t="shared" si="175"/>
        <v>0.15774225774225775</v>
      </c>
      <c r="DC286">
        <f t="shared" si="176"/>
        <v>11.359712230215827</v>
      </c>
      <c r="DD286">
        <f t="shared" si="177"/>
        <v>0.63413654618473891</v>
      </c>
      <c r="DE286">
        <f t="shared" si="178"/>
        <v>62.643678160919542</v>
      </c>
      <c r="DF286">
        <f t="shared" si="179"/>
        <v>10.889110889110889</v>
      </c>
      <c r="DG286">
        <f t="shared" si="180"/>
        <v>11.588411588411589</v>
      </c>
      <c r="DH286">
        <f t="shared" si="181"/>
        <v>2.5524475524475525</v>
      </c>
      <c r="DI286">
        <f t="shared" si="182"/>
        <v>0.34955044955044956</v>
      </c>
      <c r="DJ286">
        <f t="shared" si="183"/>
        <v>6.7932067932067941E-3</v>
      </c>
      <c r="DK286">
        <f t="shared" si="184"/>
        <v>2.6492558221712468</v>
      </c>
      <c r="DL286">
        <f t="shared" si="185"/>
        <v>4.82753283151205</v>
      </c>
      <c r="DM286">
        <f t="shared" si="186"/>
        <v>0.46051000305474221</v>
      </c>
      <c r="DN286">
        <f t="shared" si="187"/>
        <v>0.18041898749815927</v>
      </c>
      <c r="DO286">
        <f t="shared" si="188"/>
        <v>0.83915156112197486</v>
      </c>
      <c r="DP286">
        <f t="shared" si="189"/>
        <v>0.32876348832997915</v>
      </c>
    </row>
    <row r="287" spans="1:120">
      <c r="A287" s="16" t="s">
        <v>672</v>
      </c>
      <c r="B287" s="16" t="s">
        <v>24</v>
      </c>
      <c r="C287" s="125" t="s">
        <v>1722</v>
      </c>
      <c r="D287" s="16" t="s">
        <v>1723</v>
      </c>
      <c r="E287" s="16" t="s">
        <v>237</v>
      </c>
      <c r="F287" s="16" t="s">
        <v>29</v>
      </c>
      <c r="G287" s="16" t="s">
        <v>595</v>
      </c>
      <c r="H287" s="27">
        <v>360</v>
      </c>
      <c r="I287" s="16" t="s">
        <v>735</v>
      </c>
      <c r="J287" s="16" t="s">
        <v>1496</v>
      </c>
      <c r="K287" s="16"/>
      <c r="L287" s="16"/>
      <c r="M287" s="16" t="s">
        <v>96</v>
      </c>
      <c r="N287" s="16">
        <v>24</v>
      </c>
      <c r="O287" s="95">
        <v>22.024963044808242</v>
      </c>
      <c r="P287" s="95">
        <v>0.81687391913985141</v>
      </c>
      <c r="Q287" s="95">
        <v>5.9529686857316673</v>
      </c>
      <c r="R287" s="95">
        <v>59.825803653004868</v>
      </c>
      <c r="S287" s="95">
        <v>2.0115520258818842</v>
      </c>
      <c r="T287" s="95">
        <v>0.92919408302158091</v>
      </c>
      <c r="U287" s="95">
        <v>0</v>
      </c>
      <c r="V287" s="95">
        <v>0.97003777897857346</v>
      </c>
      <c r="W287" s="95">
        <v>5.3301023223875301</v>
      </c>
      <c r="X287" s="95">
        <v>1.3478419665807551</v>
      </c>
      <c r="Y287" s="95">
        <v>1.0210923989248144</v>
      </c>
      <c r="Z287" s="95">
        <v>100.23042987845977</v>
      </c>
      <c r="AA287" s="18"/>
      <c r="AB287" s="18"/>
      <c r="AC287" s="18"/>
      <c r="AD287" s="18">
        <v>20</v>
      </c>
      <c r="AE287" s="127">
        <v>58</v>
      </c>
      <c r="AF287" s="127">
        <v>106</v>
      </c>
      <c r="AG287" s="18"/>
      <c r="AH287" s="18">
        <v>335</v>
      </c>
      <c r="AI287" s="18">
        <v>77</v>
      </c>
      <c r="AJ287" s="18">
        <v>16.399999999999999</v>
      </c>
      <c r="AK287" s="134"/>
      <c r="AL287" s="18">
        <v>0.98</v>
      </c>
      <c r="AM287" s="134">
        <v>82</v>
      </c>
      <c r="AN287" s="127">
        <v>0.53200000000000003</v>
      </c>
      <c r="AO287" s="18">
        <v>0.78</v>
      </c>
      <c r="AP287" s="18"/>
      <c r="AQ287" s="18">
        <v>0.20399999999999999</v>
      </c>
      <c r="AR287" s="18">
        <v>5.1999999999999998E-2</v>
      </c>
      <c r="AS287" s="18"/>
      <c r="AT287" s="18"/>
      <c r="AU287" s="18"/>
      <c r="AV287" s="18"/>
      <c r="AW287" s="18"/>
      <c r="AX287" s="127">
        <v>1.1000000000000001</v>
      </c>
      <c r="AY287" s="127">
        <v>3.33</v>
      </c>
      <c r="AZ287" s="127">
        <v>0.02</v>
      </c>
      <c r="BA287" s="127">
        <v>0.20300000000000001</v>
      </c>
      <c r="BB287" s="18"/>
      <c r="BC287" s="127">
        <v>0.64900000000000002</v>
      </c>
      <c r="BD287" s="18"/>
      <c r="BE287" s="18"/>
      <c r="BF287" s="18"/>
      <c r="BG287" s="18"/>
      <c r="BH287" s="127">
        <v>1.4E-2</v>
      </c>
      <c r="BI287" s="127">
        <v>13.5</v>
      </c>
      <c r="BJ287" s="18">
        <v>0.156</v>
      </c>
      <c r="BK287" s="127">
        <v>0.82</v>
      </c>
      <c r="BL287" s="127">
        <v>1.05</v>
      </c>
      <c r="BM287" s="127">
        <v>9.1999999999999998E-2</v>
      </c>
      <c r="BN287" s="127">
        <v>0.22</v>
      </c>
      <c r="BO287" s="18">
        <v>2.1000000000000001E-2</v>
      </c>
      <c r="BP287" s="18">
        <v>7.0000000000000001E-3</v>
      </c>
      <c r="BQ287" s="18">
        <v>0.01</v>
      </c>
      <c r="BR287" s="18">
        <v>6.0000000000000001E-3</v>
      </c>
      <c r="BS287" s="18">
        <v>5.0000000000000001E-3</v>
      </c>
      <c r="BT287" s="18">
        <v>6.0000000000000001E-3</v>
      </c>
      <c r="BU287" s="18"/>
      <c r="BV287" s="18">
        <v>3.0000000000000001E-3</v>
      </c>
      <c r="BW287" s="18">
        <v>4.0000000000000001E-3</v>
      </c>
      <c r="BX287" s="18">
        <v>0.01</v>
      </c>
      <c r="BY287" s="127">
        <v>3.4000000000000002E-2</v>
      </c>
      <c r="BZ287" s="18"/>
      <c r="CA287" s="127">
        <v>0.18</v>
      </c>
      <c r="CB287" s="127">
        <v>0.08</v>
      </c>
      <c r="CC287" s="127">
        <v>1.7000000000000001E-2</v>
      </c>
      <c r="CE287">
        <f t="shared" si="152"/>
        <v>4.0540540540540544</v>
      </c>
      <c r="CF287">
        <f t="shared" si="153"/>
        <v>16.463414634146343</v>
      </c>
      <c r="CG287">
        <f t="shared" si="154"/>
        <v>4.0609756097560981</v>
      </c>
      <c r="CH287">
        <f t="shared" si="155"/>
        <v>0.78095238095238084</v>
      </c>
      <c r="CI287">
        <f t="shared" si="156"/>
        <v>70.731707317073173</v>
      </c>
      <c r="CJ287">
        <f t="shared" si="157"/>
        <v>0.54716981132075471</v>
      </c>
      <c r="CK287">
        <f t="shared" si="158"/>
        <v>55.238095238095234</v>
      </c>
      <c r="CL287">
        <f t="shared" si="159"/>
        <v>3.1714285714285713</v>
      </c>
      <c r="CM287">
        <f t="shared" si="160"/>
        <v>12.857142857142856</v>
      </c>
      <c r="CN287">
        <f t="shared" si="161"/>
        <v>12.857142857142856</v>
      </c>
      <c r="CO287">
        <f t="shared" si="162"/>
        <v>3.2380952380952385E-2</v>
      </c>
      <c r="CP287">
        <f t="shared" si="163"/>
        <v>10.588235294117647</v>
      </c>
      <c r="CQ287">
        <f t="shared" si="164"/>
        <v>0.21951219512195122</v>
      </c>
      <c r="CR287">
        <f t="shared" si="165"/>
        <v>0.79146341463414638</v>
      </c>
      <c r="CS287">
        <f t="shared" si="166"/>
        <v>0.24756097560975612</v>
      </c>
      <c r="CT287">
        <f t="shared" si="167"/>
        <v>0.33033033033033032</v>
      </c>
      <c r="CU287">
        <f t="shared" si="168"/>
        <v>2.4390243902439025E-2</v>
      </c>
      <c r="CV287">
        <f t="shared" si="169"/>
        <v>0.70731707317073167</v>
      </c>
      <c r="CW287">
        <f t="shared" si="170"/>
        <v>0.64878048780487807</v>
      </c>
      <c r="CX287">
        <f t="shared" si="171"/>
        <v>0.31278890600924503</v>
      </c>
      <c r="CY287">
        <f t="shared" si="172"/>
        <v>4.1463414634146344E-2</v>
      </c>
      <c r="CZ287">
        <f t="shared" si="173"/>
        <v>4.7058823529411766</v>
      </c>
      <c r="DA287">
        <f t="shared" si="174"/>
        <v>0.18454545454545454</v>
      </c>
      <c r="DB287">
        <f t="shared" si="175"/>
        <v>6.0960960960960965E-2</v>
      </c>
      <c r="DC287">
        <f t="shared" si="176"/>
        <v>10.15</v>
      </c>
      <c r="DD287">
        <f t="shared" si="177"/>
        <v>0.19333333333333333</v>
      </c>
      <c r="DE287">
        <f t="shared" si="178"/>
        <v>129.26829268292684</v>
      </c>
      <c r="DF287">
        <f t="shared" si="179"/>
        <v>31.831831831831831</v>
      </c>
      <c r="DG287">
        <f t="shared" si="180"/>
        <v>17.417417417417418</v>
      </c>
      <c r="DH287">
        <f t="shared" si="181"/>
        <v>4.0540540540540544</v>
      </c>
      <c r="DI287">
        <f t="shared" si="182"/>
        <v>0.19489489489489489</v>
      </c>
      <c r="DJ287">
        <f t="shared" si="183"/>
        <v>5.1051051051051056E-3</v>
      </c>
      <c r="DK287">
        <f t="shared" si="184"/>
        <v>2.4531122266852248</v>
      </c>
      <c r="DL287">
        <f t="shared" si="185"/>
        <v>7.2597179094288631</v>
      </c>
      <c r="DM287">
        <f t="shared" si="186"/>
        <v>0.60406967744200724</v>
      </c>
      <c r="DN287">
        <f t="shared" si="187"/>
        <v>0.14900385376902847</v>
      </c>
      <c r="DO287">
        <f t="shared" si="188"/>
        <v>1.7876782840035037</v>
      </c>
      <c r="DP287">
        <f t="shared" si="189"/>
        <v>0.44096064338753088</v>
      </c>
    </row>
    <row r="288" spans="1:120">
      <c r="A288" s="16" t="s">
        <v>827</v>
      </c>
      <c r="B288" s="16" t="s">
        <v>24</v>
      </c>
      <c r="C288" s="125" t="s">
        <v>1722</v>
      </c>
      <c r="D288" s="16" t="s">
        <v>1718</v>
      </c>
      <c r="E288" s="16" t="s">
        <v>237</v>
      </c>
      <c r="F288" s="16" t="s">
        <v>825</v>
      </c>
      <c r="G288" s="16" t="s">
        <v>595</v>
      </c>
      <c r="H288" s="27">
        <v>359</v>
      </c>
      <c r="I288" s="16" t="s">
        <v>735</v>
      </c>
      <c r="J288" s="16"/>
      <c r="K288" s="16" t="s">
        <v>115</v>
      </c>
      <c r="L288" s="16"/>
      <c r="M288" s="16" t="s">
        <v>822</v>
      </c>
      <c r="N288" s="16">
        <v>20</v>
      </c>
      <c r="O288" s="95">
        <v>26.298331278164188</v>
      </c>
      <c r="P288" s="95">
        <v>2.5093827555500181</v>
      </c>
      <c r="Q288" s="95">
        <v>5.5206420622100394</v>
      </c>
      <c r="R288" s="95">
        <v>9.0337779199800661</v>
      </c>
      <c r="S288" s="95">
        <v>6.7251457848740497</v>
      </c>
      <c r="T288" s="95">
        <v>17.565679288850127</v>
      </c>
      <c r="U288" s="95">
        <v>0.90337779199800661</v>
      </c>
      <c r="V288" s="95">
        <v>4.7176395804340343</v>
      </c>
      <c r="W288" s="95">
        <v>20.777689215954151</v>
      </c>
      <c r="X288" s="95">
        <v>4.3161383395460309</v>
      </c>
      <c r="Y288" s="95">
        <v>2.1078815146620156</v>
      </c>
      <c r="Z288" s="95">
        <v>100.47568553222274</v>
      </c>
      <c r="AA288" s="18"/>
      <c r="AB288" s="18"/>
      <c r="AC288" s="18"/>
      <c r="AD288" s="18"/>
      <c r="AE288" s="127"/>
      <c r="AF288" s="127"/>
      <c r="AG288" s="18"/>
      <c r="AH288" s="18"/>
      <c r="AI288" s="18"/>
      <c r="AJ288" s="18"/>
      <c r="AK288" s="134"/>
      <c r="AL288" s="18"/>
      <c r="AM288" s="134"/>
      <c r="AN288" s="127"/>
      <c r="AO288" s="18"/>
      <c r="AP288" s="18"/>
      <c r="AQ288" s="18"/>
      <c r="AR288" s="18"/>
      <c r="AS288" s="18"/>
      <c r="AT288" s="18"/>
      <c r="AU288" s="18"/>
      <c r="AV288" s="18"/>
      <c r="AW288" s="18"/>
      <c r="AX288" s="127"/>
      <c r="AY288" s="127"/>
      <c r="AZ288" s="127"/>
      <c r="BA288" s="127"/>
      <c r="BB288" s="18"/>
      <c r="BC288" s="127"/>
      <c r="BD288" s="18"/>
      <c r="BE288" s="18"/>
      <c r="BF288" s="18"/>
      <c r="BG288" s="18"/>
      <c r="BH288" s="127"/>
      <c r="BI288" s="127"/>
      <c r="BJ288" s="18"/>
      <c r="BK288" s="127"/>
      <c r="BL288" s="127"/>
      <c r="BM288" s="127"/>
      <c r="BN288" s="127"/>
      <c r="BO288" s="18"/>
      <c r="BP288" s="18"/>
      <c r="BQ288" s="18"/>
      <c r="BR288" s="18"/>
      <c r="BS288" s="18"/>
      <c r="BT288" s="18"/>
      <c r="BU288" s="18"/>
      <c r="BV288" s="18"/>
      <c r="BW288" s="18"/>
      <c r="BX288" s="18"/>
      <c r="BY288" s="127"/>
      <c r="BZ288" s="18"/>
      <c r="CA288" s="127"/>
      <c r="CB288" s="127"/>
      <c r="CC288" s="127"/>
      <c r="CE288" t="e">
        <f t="shared" si="152"/>
        <v>#DIV/0!</v>
      </c>
      <c r="CF288" t="e">
        <f t="shared" si="153"/>
        <v>#DIV/0!</v>
      </c>
      <c r="CG288" t="e">
        <f t="shared" si="154"/>
        <v>#DIV/0!</v>
      </c>
      <c r="CH288" t="e">
        <f t="shared" si="155"/>
        <v>#DIV/0!</v>
      </c>
      <c r="CI288" t="e">
        <f t="shared" si="156"/>
        <v>#DIV/0!</v>
      </c>
      <c r="CJ288" t="e">
        <f t="shared" si="157"/>
        <v>#DIV/0!</v>
      </c>
      <c r="CK288" t="e">
        <f t="shared" si="158"/>
        <v>#DIV/0!</v>
      </c>
      <c r="CL288" t="e">
        <f t="shared" si="159"/>
        <v>#DIV/0!</v>
      </c>
      <c r="CM288" t="e">
        <f t="shared" si="160"/>
        <v>#DIV/0!</v>
      </c>
      <c r="CN288" t="e">
        <f t="shared" si="161"/>
        <v>#DIV/0!</v>
      </c>
      <c r="CO288" t="e">
        <f t="shared" si="162"/>
        <v>#DIV/0!</v>
      </c>
      <c r="CP288" t="e">
        <f t="shared" si="163"/>
        <v>#DIV/0!</v>
      </c>
      <c r="CQ288" t="e">
        <f t="shared" si="164"/>
        <v>#DIV/0!</v>
      </c>
      <c r="CR288" t="e">
        <f t="shared" si="165"/>
        <v>#DIV/0!</v>
      </c>
      <c r="CS288" t="e">
        <f t="shared" si="166"/>
        <v>#DIV/0!</v>
      </c>
      <c r="CT288" t="e">
        <f t="shared" si="167"/>
        <v>#DIV/0!</v>
      </c>
      <c r="CU288" t="e">
        <f t="shared" si="168"/>
        <v>#DIV/0!</v>
      </c>
      <c r="CV288" t="e">
        <f t="shared" si="169"/>
        <v>#DIV/0!</v>
      </c>
      <c r="CW288" t="e">
        <f t="shared" si="170"/>
        <v>#DIV/0!</v>
      </c>
      <c r="CX288" t="e">
        <f t="shared" si="171"/>
        <v>#DIV/0!</v>
      </c>
      <c r="CY288" t="e">
        <f t="shared" si="172"/>
        <v>#DIV/0!</v>
      </c>
      <c r="CZ288" t="e">
        <f t="shared" si="173"/>
        <v>#DIV/0!</v>
      </c>
      <c r="DA288" t="e">
        <f t="shared" si="174"/>
        <v>#DIV/0!</v>
      </c>
      <c r="DB288" t="e">
        <f t="shared" si="175"/>
        <v>#DIV/0!</v>
      </c>
      <c r="DC288" t="e">
        <f t="shared" si="176"/>
        <v>#DIV/0!</v>
      </c>
      <c r="DD288" t="e">
        <f t="shared" si="177"/>
        <v>#DIV/0!</v>
      </c>
      <c r="DE288" t="e">
        <f t="shared" si="178"/>
        <v>#DIV/0!</v>
      </c>
      <c r="DF288" t="e">
        <f t="shared" si="179"/>
        <v>#DIV/0!</v>
      </c>
      <c r="DG288" t="e">
        <f t="shared" si="180"/>
        <v>#DIV/0!</v>
      </c>
      <c r="DH288" t="e">
        <f t="shared" si="181"/>
        <v>#DIV/0!</v>
      </c>
      <c r="DI288" t="e">
        <f t="shared" si="182"/>
        <v>#DIV/0!</v>
      </c>
      <c r="DJ288" t="e">
        <f t="shared" si="183"/>
        <v>#DIV/0!</v>
      </c>
      <c r="DK288" t="e">
        <f t="shared" si="184"/>
        <v>#DIV/0!</v>
      </c>
      <c r="DL288" t="e">
        <f t="shared" si="185"/>
        <v>#DIV/0!</v>
      </c>
      <c r="DM288" t="e">
        <f t="shared" si="186"/>
        <v>#DIV/0!</v>
      </c>
      <c r="DN288" t="e">
        <f t="shared" si="187"/>
        <v>#DIV/0!</v>
      </c>
      <c r="DO288" t="e">
        <f t="shared" si="188"/>
        <v>#DIV/0!</v>
      </c>
      <c r="DP288" t="e">
        <f t="shared" si="189"/>
        <v>#DIV/0!</v>
      </c>
    </row>
    <row r="289" spans="1:120">
      <c r="A289" s="16" t="s">
        <v>844</v>
      </c>
      <c r="B289" s="16" t="s">
        <v>24</v>
      </c>
      <c r="C289" s="125" t="s">
        <v>1722</v>
      </c>
      <c r="D289" s="16" t="s">
        <v>1721</v>
      </c>
      <c r="E289" s="16" t="s">
        <v>237</v>
      </c>
      <c r="F289" s="16" t="s">
        <v>238</v>
      </c>
      <c r="G289" s="16" t="s">
        <v>595</v>
      </c>
      <c r="H289" s="27">
        <v>355</v>
      </c>
      <c r="I289" s="16" t="s">
        <v>712</v>
      </c>
      <c r="J289" s="16"/>
      <c r="K289" s="16" t="s">
        <v>488</v>
      </c>
      <c r="L289" s="16"/>
      <c r="M289" s="16" t="s">
        <v>487</v>
      </c>
      <c r="N289" s="16">
        <v>40</v>
      </c>
      <c r="O289" s="95">
        <v>33.979368027235175</v>
      </c>
      <c r="P289" s="95">
        <v>4.9343951830854555</v>
      </c>
      <c r="Q289" s="95">
        <v>5.3874534234485916</v>
      </c>
      <c r="R289" s="95">
        <v>15.069111038165167</v>
      </c>
      <c r="S289" s="95">
        <v>8.3717283545362022</v>
      </c>
      <c r="T289" s="95">
        <v>13.394765367257925</v>
      </c>
      <c r="U289" s="95">
        <v>0</v>
      </c>
      <c r="V289" s="95">
        <v>1.5463074725437458</v>
      </c>
      <c r="W289" s="95">
        <v>12.311365227259122</v>
      </c>
      <c r="X289" s="95">
        <v>3.5259750010870126</v>
      </c>
      <c r="Y289" s="95">
        <v>1.9107238832706157</v>
      </c>
      <c r="Z289" s="95">
        <v>100.43119297788903</v>
      </c>
      <c r="AA289" s="18"/>
      <c r="AB289" s="18"/>
      <c r="AC289" s="18"/>
      <c r="AD289" s="18"/>
      <c r="AE289" s="127"/>
      <c r="AF289" s="127"/>
      <c r="AG289" s="18"/>
      <c r="AH289" s="18"/>
      <c r="AI289" s="18"/>
      <c r="AJ289" s="18"/>
      <c r="AK289" s="134"/>
      <c r="AL289" s="18"/>
      <c r="AM289" s="134"/>
      <c r="AN289" s="127"/>
      <c r="AO289" s="18"/>
      <c r="AP289" s="18"/>
      <c r="AQ289" s="18"/>
      <c r="AR289" s="18"/>
      <c r="AS289" s="18"/>
      <c r="AT289" s="18"/>
      <c r="AU289" s="18"/>
      <c r="AV289" s="18"/>
      <c r="AW289" s="18"/>
      <c r="AX289" s="127"/>
      <c r="AY289" s="127"/>
      <c r="AZ289" s="127"/>
      <c r="BA289" s="127"/>
      <c r="BB289" s="18"/>
      <c r="BC289" s="127"/>
      <c r="BD289" s="18"/>
      <c r="BE289" s="18"/>
      <c r="BF289" s="18"/>
      <c r="BG289" s="18"/>
      <c r="BH289" s="127"/>
      <c r="BI289" s="127"/>
      <c r="BJ289" s="18"/>
      <c r="BK289" s="127"/>
      <c r="BL289" s="127"/>
      <c r="BM289" s="127"/>
      <c r="BN289" s="127"/>
      <c r="BO289" s="18"/>
      <c r="BP289" s="18"/>
      <c r="BQ289" s="18"/>
      <c r="BR289" s="18"/>
      <c r="BS289" s="18"/>
      <c r="BT289" s="18"/>
      <c r="BU289" s="18"/>
      <c r="BV289" s="18"/>
      <c r="BW289" s="18"/>
      <c r="BX289" s="18"/>
      <c r="BY289" s="127"/>
      <c r="BZ289" s="18"/>
      <c r="CA289" s="127"/>
      <c r="CB289" s="127"/>
      <c r="CC289" s="127"/>
      <c r="CE289" t="e">
        <f t="shared" si="152"/>
        <v>#DIV/0!</v>
      </c>
      <c r="CF289" t="e">
        <f t="shared" si="153"/>
        <v>#DIV/0!</v>
      </c>
      <c r="CG289" t="e">
        <f t="shared" si="154"/>
        <v>#DIV/0!</v>
      </c>
      <c r="CH289" t="e">
        <f t="shared" si="155"/>
        <v>#DIV/0!</v>
      </c>
      <c r="CI289" t="e">
        <f t="shared" si="156"/>
        <v>#DIV/0!</v>
      </c>
      <c r="CJ289" t="e">
        <f t="shared" si="157"/>
        <v>#DIV/0!</v>
      </c>
      <c r="CK289" t="e">
        <f t="shared" si="158"/>
        <v>#DIV/0!</v>
      </c>
      <c r="CL289" t="e">
        <f t="shared" si="159"/>
        <v>#DIV/0!</v>
      </c>
      <c r="CM289" t="e">
        <f t="shared" si="160"/>
        <v>#DIV/0!</v>
      </c>
      <c r="CN289" t="e">
        <f t="shared" si="161"/>
        <v>#DIV/0!</v>
      </c>
      <c r="CO289" t="e">
        <f t="shared" si="162"/>
        <v>#DIV/0!</v>
      </c>
      <c r="CP289" t="e">
        <f t="shared" si="163"/>
        <v>#DIV/0!</v>
      </c>
      <c r="CQ289" t="e">
        <f t="shared" si="164"/>
        <v>#DIV/0!</v>
      </c>
      <c r="CR289" t="e">
        <f t="shared" si="165"/>
        <v>#DIV/0!</v>
      </c>
      <c r="CS289" t="e">
        <f t="shared" si="166"/>
        <v>#DIV/0!</v>
      </c>
      <c r="CT289" t="e">
        <f t="shared" si="167"/>
        <v>#DIV/0!</v>
      </c>
      <c r="CU289" t="e">
        <f t="shared" si="168"/>
        <v>#DIV/0!</v>
      </c>
      <c r="CV289" t="e">
        <f t="shared" si="169"/>
        <v>#DIV/0!</v>
      </c>
      <c r="CW289" t="e">
        <f t="shared" si="170"/>
        <v>#DIV/0!</v>
      </c>
      <c r="CX289" t="e">
        <f t="shared" si="171"/>
        <v>#DIV/0!</v>
      </c>
      <c r="CY289" t="e">
        <f t="shared" si="172"/>
        <v>#DIV/0!</v>
      </c>
      <c r="CZ289" t="e">
        <f t="shared" si="173"/>
        <v>#DIV/0!</v>
      </c>
      <c r="DA289" t="e">
        <f t="shared" si="174"/>
        <v>#DIV/0!</v>
      </c>
      <c r="DB289" t="e">
        <f t="shared" si="175"/>
        <v>#DIV/0!</v>
      </c>
      <c r="DC289" t="e">
        <f t="shared" si="176"/>
        <v>#DIV/0!</v>
      </c>
      <c r="DD289" t="e">
        <f t="shared" si="177"/>
        <v>#DIV/0!</v>
      </c>
      <c r="DE289" t="e">
        <f t="shared" si="178"/>
        <v>#DIV/0!</v>
      </c>
      <c r="DF289" t="e">
        <f t="shared" si="179"/>
        <v>#DIV/0!</v>
      </c>
      <c r="DG289" t="e">
        <f t="shared" si="180"/>
        <v>#DIV/0!</v>
      </c>
      <c r="DH289" t="e">
        <f t="shared" si="181"/>
        <v>#DIV/0!</v>
      </c>
      <c r="DI289" t="e">
        <f t="shared" si="182"/>
        <v>#DIV/0!</v>
      </c>
      <c r="DJ289" t="e">
        <f t="shared" si="183"/>
        <v>#DIV/0!</v>
      </c>
      <c r="DK289" t="e">
        <f t="shared" si="184"/>
        <v>#DIV/0!</v>
      </c>
      <c r="DL289" t="e">
        <f t="shared" si="185"/>
        <v>#DIV/0!</v>
      </c>
      <c r="DM289" t="e">
        <f t="shared" si="186"/>
        <v>#DIV/0!</v>
      </c>
      <c r="DN289" t="e">
        <f t="shared" si="187"/>
        <v>#DIV/0!</v>
      </c>
      <c r="DO289" t="e">
        <f t="shared" si="188"/>
        <v>#DIV/0!</v>
      </c>
      <c r="DP289" t="e">
        <f t="shared" si="189"/>
        <v>#DIV/0!</v>
      </c>
    </row>
    <row r="290" spans="1:120">
      <c r="A290" s="16" t="s">
        <v>836</v>
      </c>
      <c r="B290" s="16" t="s">
        <v>24</v>
      </c>
      <c r="C290" s="125" t="s">
        <v>1722</v>
      </c>
      <c r="D290" s="16" t="s">
        <v>1705</v>
      </c>
      <c r="E290" s="16" t="s">
        <v>237</v>
      </c>
      <c r="F290" s="16" t="s">
        <v>163</v>
      </c>
      <c r="G290" s="16" t="s">
        <v>595</v>
      </c>
      <c r="H290" s="27">
        <v>355</v>
      </c>
      <c r="I290" s="16" t="s">
        <v>1148</v>
      </c>
      <c r="J290" s="3" t="s">
        <v>635</v>
      </c>
      <c r="K290" s="16" t="s">
        <v>128</v>
      </c>
      <c r="L290" s="16" t="s">
        <v>1509</v>
      </c>
      <c r="M290" s="16" t="s">
        <v>380</v>
      </c>
      <c r="N290" s="16">
        <v>17</v>
      </c>
      <c r="O290" s="95">
        <v>31.698952281746891</v>
      </c>
      <c r="P290" s="95">
        <v>2.3547793123583403</v>
      </c>
      <c r="Q290" s="95">
        <v>5.5548640188965974</v>
      </c>
      <c r="R290" s="95">
        <v>11.170106994520332</v>
      </c>
      <c r="S290" s="95">
        <v>10.365054238158507</v>
      </c>
      <c r="T290" s="95">
        <v>9.1675382630702913</v>
      </c>
      <c r="U290" s="95">
        <v>1.1170106994520332</v>
      </c>
      <c r="V290" s="95">
        <v>3.9145690278093781</v>
      </c>
      <c r="W290" s="95">
        <v>18.415581801776764</v>
      </c>
      <c r="X290" s="95">
        <v>3.7636216359915355</v>
      </c>
      <c r="Y290" s="95">
        <v>3.2000847065382572</v>
      </c>
      <c r="Z290" s="95">
        <v>100.72216298031894</v>
      </c>
      <c r="AA290" s="18"/>
      <c r="AB290" s="18"/>
      <c r="AC290" s="18"/>
      <c r="AD290" s="18"/>
      <c r="AE290" s="127"/>
      <c r="AF290" s="127"/>
      <c r="AG290" s="18"/>
      <c r="AH290" s="18">
        <v>209423</v>
      </c>
      <c r="AI290" s="18"/>
      <c r="AJ290" s="18">
        <v>33563</v>
      </c>
      <c r="AK290" s="134"/>
      <c r="AL290" s="18"/>
      <c r="AM290" s="134"/>
      <c r="AN290" s="127"/>
      <c r="AO290" s="18"/>
      <c r="AP290" s="18"/>
      <c r="AQ290" s="18"/>
      <c r="AR290" s="18"/>
      <c r="AS290" s="18"/>
      <c r="AT290" s="18"/>
      <c r="AU290" s="18"/>
      <c r="AV290" s="18"/>
      <c r="AW290" s="18"/>
      <c r="AX290" s="127" t="s">
        <v>1366</v>
      </c>
      <c r="AY290" s="127">
        <v>5000</v>
      </c>
      <c r="AZ290" s="127">
        <v>36.799999999999997</v>
      </c>
      <c r="BA290" s="127">
        <v>569</v>
      </c>
      <c r="BB290" s="18"/>
      <c r="BC290" s="127">
        <v>83.4</v>
      </c>
      <c r="BD290" s="18"/>
      <c r="BE290" s="18"/>
      <c r="BF290" s="18"/>
      <c r="BG290" s="18"/>
      <c r="BH290" s="127"/>
      <c r="BI290" s="127">
        <v>20623</v>
      </c>
      <c r="BJ290" s="18"/>
      <c r="BK290" s="127">
        <v>4487</v>
      </c>
      <c r="BL290" s="127">
        <v>1737</v>
      </c>
      <c r="BM290" s="127">
        <v>163</v>
      </c>
      <c r="BN290" s="127">
        <v>294</v>
      </c>
      <c r="BO290" s="18">
        <v>38.4</v>
      </c>
      <c r="BP290" s="18">
        <v>17</v>
      </c>
      <c r="BQ290" s="18">
        <v>19.3</v>
      </c>
      <c r="BR290" s="18">
        <v>12.8</v>
      </c>
      <c r="BS290" s="18">
        <v>1.52</v>
      </c>
      <c r="BT290" s="18">
        <v>15.8</v>
      </c>
      <c r="BU290" s="18"/>
      <c r="BV290" s="18" t="s">
        <v>1366</v>
      </c>
      <c r="BW290" s="18">
        <v>0.41899999999999998</v>
      </c>
      <c r="BX290" s="18">
        <v>27.1</v>
      </c>
      <c r="BY290" s="127">
        <v>0.745</v>
      </c>
      <c r="BZ290" s="18"/>
      <c r="CA290" s="127"/>
      <c r="CB290" s="127">
        <v>115</v>
      </c>
      <c r="CC290" s="127">
        <v>29.6</v>
      </c>
      <c r="CE290">
        <f t="shared" si="152"/>
        <v>4.1246</v>
      </c>
      <c r="CF290">
        <f t="shared" si="153"/>
        <v>4.5961667038110097</v>
      </c>
      <c r="CG290">
        <f t="shared" si="154"/>
        <v>1.1143302874972141</v>
      </c>
      <c r="CH290">
        <f t="shared" si="155"/>
        <v>2.5831894070236041</v>
      </c>
      <c r="CI290">
        <f t="shared" si="156"/>
        <v>0</v>
      </c>
      <c r="CJ290" t="e">
        <f t="shared" si="157"/>
        <v>#DIV/0!</v>
      </c>
      <c r="CK290">
        <f t="shared" si="158"/>
        <v>0</v>
      </c>
      <c r="CL290">
        <f t="shared" si="159"/>
        <v>2.8785261945883707</v>
      </c>
      <c r="CM290">
        <f t="shared" si="160"/>
        <v>11.872769142199195</v>
      </c>
      <c r="CN290">
        <f t="shared" si="161"/>
        <v>11.872769142199195</v>
      </c>
      <c r="CO290">
        <f t="shared" si="162"/>
        <v>4.2890040299366726E-4</v>
      </c>
      <c r="CP290">
        <f t="shared" si="163"/>
        <v>0</v>
      </c>
      <c r="CQ290">
        <f t="shared" si="164"/>
        <v>0</v>
      </c>
      <c r="CR290">
        <f t="shared" si="165"/>
        <v>1.8587029195453533E-2</v>
      </c>
      <c r="CS290">
        <f t="shared" si="166"/>
        <v>0.12681078671718296</v>
      </c>
      <c r="CT290" t="e">
        <f t="shared" si="167"/>
        <v>#VALUE!</v>
      </c>
      <c r="CU290">
        <f t="shared" si="168"/>
        <v>8.201470915979496E-3</v>
      </c>
      <c r="CV290" t="e">
        <f t="shared" si="169"/>
        <v>#DIV/0!</v>
      </c>
      <c r="CW290">
        <f t="shared" si="170"/>
        <v>0</v>
      </c>
      <c r="CX290">
        <f t="shared" si="171"/>
        <v>6.8225419664268578</v>
      </c>
      <c r="CY290">
        <f t="shared" si="172"/>
        <v>1.660352128370849E-4</v>
      </c>
      <c r="CZ290">
        <f t="shared" si="173"/>
        <v>3.8851351351351351</v>
      </c>
      <c r="DA290" t="e">
        <f t="shared" si="174"/>
        <v>#VALUE!</v>
      </c>
      <c r="DB290">
        <f t="shared" si="175"/>
        <v>0.1138</v>
      </c>
      <c r="DC290">
        <f t="shared" si="176"/>
        <v>15.461956521739131</v>
      </c>
      <c r="DD290">
        <f t="shared" si="177"/>
        <v>0.32757628094415658</v>
      </c>
      <c r="DE290">
        <f t="shared" si="178"/>
        <v>0</v>
      </c>
      <c r="DF290">
        <f t="shared" si="179"/>
        <v>0</v>
      </c>
      <c r="DG290">
        <f t="shared" si="180"/>
        <v>0</v>
      </c>
      <c r="DH290">
        <f t="shared" si="181"/>
        <v>4.1246</v>
      </c>
      <c r="DI290">
        <f t="shared" si="182"/>
        <v>1.668E-2</v>
      </c>
      <c r="DJ290">
        <f t="shared" si="183"/>
        <v>5.9199999999999999E-3</v>
      </c>
      <c r="DK290">
        <f t="shared" si="184"/>
        <v>2.3100187738262774E-3</v>
      </c>
      <c r="DL290">
        <f t="shared" si="185"/>
        <v>1.2379906438369952E-3</v>
      </c>
      <c r="DM290">
        <f t="shared" si="186"/>
        <v>2.0730108476317015E-3</v>
      </c>
      <c r="DN290">
        <f t="shared" si="187"/>
        <v>5.0259682093577597E-4</v>
      </c>
      <c r="DO290">
        <f t="shared" si="188"/>
        <v>1.1109728037793196E-3</v>
      </c>
      <c r="DP290">
        <f t="shared" si="189"/>
        <v>2.6935285937528962E-4</v>
      </c>
    </row>
    <row r="291" spans="1:120">
      <c r="A291" s="16" t="s">
        <v>1176</v>
      </c>
      <c r="B291" s="16" t="s">
        <v>24</v>
      </c>
      <c r="C291" s="125" t="s">
        <v>1722</v>
      </c>
      <c r="D291" s="16" t="s">
        <v>1707</v>
      </c>
      <c r="E291" s="16" t="s">
        <v>171</v>
      </c>
      <c r="F291" s="16" t="s">
        <v>45</v>
      </c>
      <c r="G291" s="16" t="s">
        <v>595</v>
      </c>
      <c r="H291" s="27">
        <v>55</v>
      </c>
      <c r="I291" s="16" t="s">
        <v>712</v>
      </c>
      <c r="J291" s="16" t="s">
        <v>635</v>
      </c>
      <c r="K291" s="16" t="s">
        <v>115</v>
      </c>
      <c r="L291" s="16" t="s">
        <v>1725</v>
      </c>
      <c r="M291" s="16" t="s">
        <v>109</v>
      </c>
      <c r="N291" s="16">
        <v>48</v>
      </c>
      <c r="O291" s="95">
        <v>27.738851464301213</v>
      </c>
      <c r="P291" s="95">
        <v>2.319976667923374</v>
      </c>
      <c r="Q291" s="95">
        <v>3.6312678280539767</v>
      </c>
      <c r="R291" s="95">
        <v>12.709437398188919</v>
      </c>
      <c r="S291" s="95">
        <v>6.2538501483151823</v>
      </c>
      <c r="T291" s="95">
        <v>14.42420276143663</v>
      </c>
      <c r="U291" s="95">
        <v>2.521713769481928</v>
      </c>
      <c r="V291" s="95">
        <v>3.2277936249368686</v>
      </c>
      <c r="W291" s="95">
        <v>22.695423925337355</v>
      </c>
      <c r="X291" s="95">
        <v>3.2277936249368686</v>
      </c>
      <c r="Y291" s="95">
        <v>1.6138968124684343</v>
      </c>
      <c r="Z291" s="95">
        <v>100.36420802538075</v>
      </c>
      <c r="AA291" s="18"/>
      <c r="AB291" s="18"/>
      <c r="AC291" s="18"/>
      <c r="AD291" s="18">
        <v>0</v>
      </c>
      <c r="AE291" s="127">
        <v>0</v>
      </c>
      <c r="AF291" s="127">
        <v>0</v>
      </c>
      <c r="AG291" s="18">
        <v>0</v>
      </c>
      <c r="AH291" s="18">
        <v>289</v>
      </c>
      <c r="AI291" s="18"/>
      <c r="AJ291" s="18">
        <v>29</v>
      </c>
      <c r="AK291" s="134"/>
      <c r="AL291" s="18"/>
      <c r="AM291" s="134"/>
      <c r="AN291" s="127"/>
      <c r="AO291" s="18"/>
      <c r="AP291" s="18"/>
      <c r="AQ291" s="18"/>
      <c r="AR291" s="18"/>
      <c r="AS291" s="18"/>
      <c r="AT291" s="18"/>
      <c r="AU291" s="18"/>
      <c r="AV291" s="18"/>
      <c r="AW291" s="18"/>
      <c r="AX291" s="127">
        <v>1.6</v>
      </c>
      <c r="AY291" s="127">
        <v>6.8</v>
      </c>
      <c r="AZ291" s="127">
        <v>0.18</v>
      </c>
      <c r="BA291" s="127">
        <v>1.2</v>
      </c>
      <c r="BB291" s="18"/>
      <c r="BC291" s="127">
        <v>0.95</v>
      </c>
      <c r="BD291" s="18"/>
      <c r="BE291" s="18"/>
      <c r="BF291" s="18"/>
      <c r="BG291" s="18"/>
      <c r="BH291" s="127">
        <v>1.4E-2</v>
      </c>
      <c r="BI291" s="127">
        <v>35</v>
      </c>
      <c r="BJ291" s="18"/>
      <c r="BK291" s="127">
        <v>2</v>
      </c>
      <c r="BL291" s="127">
        <v>2.7</v>
      </c>
      <c r="BM291" s="127">
        <v>0.28000000000000003</v>
      </c>
      <c r="BN291" s="127">
        <v>0.95</v>
      </c>
      <c r="BO291" s="18">
        <v>0.09</v>
      </c>
      <c r="BP291" s="18">
        <v>2.5999999999999999E-2</v>
      </c>
      <c r="BQ291" s="18">
        <v>0.08</v>
      </c>
      <c r="BR291" s="18">
        <v>5.0999999999999997E-2</v>
      </c>
      <c r="BS291" s="18">
        <v>8.0000000000000002E-3</v>
      </c>
      <c r="BT291" s="18">
        <v>0.02</v>
      </c>
      <c r="BU291" s="18"/>
      <c r="BV291" s="18">
        <v>2.5000000000000001E-2</v>
      </c>
      <c r="BW291" s="18">
        <v>0</v>
      </c>
      <c r="BX291" s="18">
        <v>3.2000000000000001E-2</v>
      </c>
      <c r="BY291" s="127">
        <v>0.02</v>
      </c>
      <c r="BZ291" s="18"/>
      <c r="CA291" s="127">
        <v>0</v>
      </c>
      <c r="CB291" s="127">
        <v>0.22</v>
      </c>
      <c r="CC291" s="127">
        <v>4.1000000000000002E-2</v>
      </c>
      <c r="CE291">
        <f t="shared" si="152"/>
        <v>5.1470588235294121</v>
      </c>
      <c r="CF291">
        <f t="shared" si="153"/>
        <v>17.5</v>
      </c>
      <c r="CG291">
        <f t="shared" si="154"/>
        <v>3.4</v>
      </c>
      <c r="CH291">
        <f t="shared" si="155"/>
        <v>0.7407407407407407</v>
      </c>
      <c r="CI291">
        <f t="shared" si="156"/>
        <v>0</v>
      </c>
      <c r="CJ291" t="e">
        <f t="shared" si="157"/>
        <v>#DIV/0!</v>
      </c>
      <c r="CK291">
        <f t="shared" si="158"/>
        <v>0</v>
      </c>
      <c r="CL291">
        <f t="shared" si="159"/>
        <v>2.5185185185185182</v>
      </c>
      <c r="CM291">
        <f t="shared" si="160"/>
        <v>12.962962962962962</v>
      </c>
      <c r="CN291">
        <f t="shared" si="161"/>
        <v>12.962962962962962</v>
      </c>
      <c r="CO291">
        <f t="shared" si="162"/>
        <v>7.4074074074074068E-3</v>
      </c>
      <c r="CP291">
        <f t="shared" si="163"/>
        <v>0</v>
      </c>
      <c r="CQ291">
        <f t="shared" si="164"/>
        <v>0</v>
      </c>
      <c r="CR291">
        <f t="shared" si="165"/>
        <v>0.47499999999999998</v>
      </c>
      <c r="CS291">
        <f t="shared" si="166"/>
        <v>0.6</v>
      </c>
      <c r="CT291">
        <f t="shared" si="167"/>
        <v>0.23529411764705885</v>
      </c>
      <c r="CU291">
        <f t="shared" si="168"/>
        <v>0.09</v>
      </c>
      <c r="CV291" t="e">
        <f t="shared" si="169"/>
        <v>#DIV/0!</v>
      </c>
      <c r="CW291">
        <f t="shared" si="170"/>
        <v>0</v>
      </c>
      <c r="CX291">
        <f t="shared" si="171"/>
        <v>1.263157894736842</v>
      </c>
      <c r="CY291">
        <f t="shared" si="172"/>
        <v>0.01</v>
      </c>
      <c r="CZ291">
        <f t="shared" si="173"/>
        <v>5.3658536585365848</v>
      </c>
      <c r="DA291">
        <f t="shared" si="174"/>
        <v>0.74999999999999989</v>
      </c>
      <c r="DB291">
        <f t="shared" si="175"/>
        <v>0.17647058823529413</v>
      </c>
      <c r="DC291">
        <f t="shared" si="176"/>
        <v>6.666666666666667</v>
      </c>
      <c r="DD291">
        <f t="shared" si="177"/>
        <v>0.44444444444444442</v>
      </c>
      <c r="DE291">
        <f t="shared" si="178"/>
        <v>0</v>
      </c>
      <c r="DF291">
        <f t="shared" si="179"/>
        <v>0</v>
      </c>
      <c r="DG291">
        <f t="shared" si="180"/>
        <v>0</v>
      </c>
      <c r="DH291">
        <f t="shared" si="181"/>
        <v>5.1470588235294121</v>
      </c>
      <c r="DI291">
        <f t="shared" si="182"/>
        <v>0.13970588235294118</v>
      </c>
      <c r="DJ291">
        <f t="shared" si="183"/>
        <v>6.029411764705883E-3</v>
      </c>
      <c r="DK291">
        <f t="shared" si="184"/>
        <v>3.1269250741575911</v>
      </c>
      <c r="DL291">
        <f t="shared" si="185"/>
        <v>1.8156339140269884</v>
      </c>
      <c r="DM291">
        <f t="shared" si="186"/>
        <v>0.91968384534046799</v>
      </c>
      <c r="DN291">
        <f t="shared" si="187"/>
        <v>0.1786814328090052</v>
      </c>
      <c r="DO291">
        <f t="shared" si="188"/>
        <v>0.53400997471382017</v>
      </c>
      <c r="DP291">
        <f t="shared" si="189"/>
        <v>0.10375050937297077</v>
      </c>
    </row>
    <row r="292" spans="1:120">
      <c r="A292" s="16" t="s">
        <v>1362</v>
      </c>
      <c r="B292" s="16" t="s">
        <v>24</v>
      </c>
      <c r="C292" s="125" t="s">
        <v>1722</v>
      </c>
      <c r="D292" s="16" t="s">
        <v>1265</v>
      </c>
      <c r="E292" s="16" t="s">
        <v>171</v>
      </c>
      <c r="F292" s="16" t="s">
        <v>1266</v>
      </c>
      <c r="G292" s="16" t="s">
        <v>595</v>
      </c>
      <c r="H292" s="27">
        <v>540</v>
      </c>
      <c r="I292" s="16" t="s">
        <v>735</v>
      </c>
      <c r="J292" s="16" t="s">
        <v>1311</v>
      </c>
      <c r="K292" s="16" t="s">
        <v>115</v>
      </c>
      <c r="L292" s="16"/>
      <c r="M292" s="16" t="s">
        <v>1263</v>
      </c>
      <c r="N292" s="16">
        <v>15</v>
      </c>
      <c r="O292" s="95">
        <v>30.545261565696048</v>
      </c>
      <c r="P292" s="95">
        <v>3.7408257730514012</v>
      </c>
      <c r="Q292" s="95">
        <v>1.9003258094875297</v>
      </c>
      <c r="R292" s="95">
        <v>10.574569855294261</v>
      </c>
      <c r="S292" s="95">
        <v>8.8622095403139109</v>
      </c>
      <c r="T292" s="95">
        <v>6.523442048091975</v>
      </c>
      <c r="U292" s="95">
        <v>0</v>
      </c>
      <c r="V292" s="95">
        <v>4.1041391402627445</v>
      </c>
      <c r="W292" s="95">
        <v>25.768704804066772</v>
      </c>
      <c r="X292" s="95">
        <v>4.3002610020490053</v>
      </c>
      <c r="Y292" s="95">
        <v>4.7528318166404651</v>
      </c>
      <c r="Z292" s="95">
        <v>101.07257135495409</v>
      </c>
      <c r="AA292" s="18"/>
      <c r="AB292" s="18"/>
      <c r="AC292" s="18"/>
      <c r="AD292" s="18"/>
      <c r="AE292" s="127"/>
      <c r="AF292" s="127"/>
      <c r="AG292" s="18"/>
      <c r="AH292" s="18"/>
      <c r="AI292" s="18"/>
      <c r="AJ292" s="18">
        <v>18.04</v>
      </c>
      <c r="AK292" s="134"/>
      <c r="AL292" s="18"/>
      <c r="AM292" s="134"/>
      <c r="AN292" s="127"/>
      <c r="AO292" s="18"/>
      <c r="AP292" s="18"/>
      <c r="AQ292" s="18"/>
      <c r="AR292" s="18"/>
      <c r="AS292" s="18"/>
      <c r="AT292" s="18"/>
      <c r="AU292" s="18"/>
      <c r="AV292" s="18"/>
      <c r="AW292" s="18"/>
      <c r="AX292" s="127">
        <v>5.8730000000000002</v>
      </c>
      <c r="AY292" s="127">
        <v>395.2</v>
      </c>
      <c r="AZ292" s="127">
        <v>5.7320000000000002</v>
      </c>
      <c r="BA292" s="127">
        <v>5.8390000000000004</v>
      </c>
      <c r="BB292" s="18"/>
      <c r="BC292" s="127">
        <v>1.633</v>
      </c>
      <c r="BD292" s="18"/>
      <c r="BE292" s="18"/>
      <c r="BF292" s="18"/>
      <c r="BG292" s="18"/>
      <c r="BH292" s="127">
        <v>0</v>
      </c>
      <c r="BI292" s="127">
        <v>213.3</v>
      </c>
      <c r="BJ292" s="18"/>
      <c r="BK292" s="127">
        <v>8.27</v>
      </c>
      <c r="BL292" s="127">
        <v>15.15</v>
      </c>
      <c r="BM292" s="127">
        <v>1.7010000000000001</v>
      </c>
      <c r="BN292" s="127">
        <v>6.2709999999999999</v>
      </c>
      <c r="BO292" s="18">
        <v>1.0169999999999999</v>
      </c>
      <c r="BP292" s="18">
        <v>0.255</v>
      </c>
      <c r="BQ292" s="18">
        <v>1.357</v>
      </c>
      <c r="BR292" s="18">
        <v>1.0229999999999999</v>
      </c>
      <c r="BS292" s="18"/>
      <c r="BT292" s="18">
        <v>0.51200000000000001</v>
      </c>
      <c r="BU292" s="18"/>
      <c r="BV292" s="18">
        <v>0.45500000000000002</v>
      </c>
      <c r="BW292" s="18">
        <v>0.09</v>
      </c>
      <c r="BX292" s="18">
        <v>6.0999999999999999E-2</v>
      </c>
      <c r="BY292" s="127"/>
      <c r="BZ292" s="18"/>
      <c r="CA292" s="127">
        <v>10.79</v>
      </c>
      <c r="CB292" s="127" t="s">
        <v>1191</v>
      </c>
      <c r="CC292" s="127">
        <v>0.60699999999999998</v>
      </c>
      <c r="CE292">
        <f t="shared" si="152"/>
        <v>0.53972672064777327</v>
      </c>
      <c r="CF292">
        <f t="shared" si="153"/>
        <v>25.792019347037488</v>
      </c>
      <c r="CG292">
        <f t="shared" si="154"/>
        <v>47.787182587666265</v>
      </c>
      <c r="CH292">
        <f t="shared" si="155"/>
        <v>0.54587458745874584</v>
      </c>
      <c r="CI292">
        <f t="shared" si="156"/>
        <v>0</v>
      </c>
      <c r="CJ292" t="e">
        <f t="shared" si="157"/>
        <v>#DIV/0!</v>
      </c>
      <c r="CK292">
        <f t="shared" si="158"/>
        <v>0</v>
      </c>
      <c r="CL292">
        <f t="shared" si="159"/>
        <v>26.085808580858085</v>
      </c>
      <c r="CM292">
        <f t="shared" si="160"/>
        <v>14.079207920792079</v>
      </c>
      <c r="CN292">
        <f t="shared" si="161"/>
        <v>14.079207920792079</v>
      </c>
      <c r="CO292">
        <f t="shared" si="162"/>
        <v>0</v>
      </c>
      <c r="CP292">
        <f t="shared" si="163"/>
        <v>17.775947281713343</v>
      </c>
      <c r="CQ292">
        <f t="shared" si="164"/>
        <v>1.3047158403869408</v>
      </c>
      <c r="CR292">
        <f t="shared" si="165"/>
        <v>0.19746070133010885</v>
      </c>
      <c r="CS292">
        <f t="shared" si="166"/>
        <v>0.70604594921402664</v>
      </c>
      <c r="CT292">
        <f t="shared" si="167"/>
        <v>1.486082995951417E-2</v>
      </c>
      <c r="CU292">
        <f t="shared" si="168"/>
        <v>0.69310761789600972</v>
      </c>
      <c r="CV292" t="e">
        <f t="shared" si="169"/>
        <v>#DIV/0!</v>
      </c>
      <c r="CW292">
        <f t="shared" si="170"/>
        <v>0</v>
      </c>
      <c r="CX292">
        <f t="shared" si="171"/>
        <v>3.5756276791181878</v>
      </c>
      <c r="CY292">
        <f t="shared" si="172"/>
        <v>0</v>
      </c>
      <c r="CZ292" t="e">
        <f t="shared" si="173"/>
        <v>#VALUE!</v>
      </c>
      <c r="DA292">
        <f t="shared" si="174"/>
        <v>0.99421079516431132</v>
      </c>
      <c r="DB292">
        <f t="shared" si="175"/>
        <v>1.4774797570850203E-2</v>
      </c>
      <c r="DC292">
        <f t="shared" si="176"/>
        <v>1.0186671318911376</v>
      </c>
      <c r="DD292">
        <f t="shared" si="177"/>
        <v>0.38541254125412544</v>
      </c>
      <c r="DE292">
        <f t="shared" si="178"/>
        <v>0</v>
      </c>
      <c r="DF292">
        <f t="shared" si="179"/>
        <v>0</v>
      </c>
      <c r="DG292">
        <f t="shared" si="180"/>
        <v>0</v>
      </c>
      <c r="DH292">
        <f t="shared" si="181"/>
        <v>0.53972672064777327</v>
      </c>
      <c r="DI292">
        <f t="shared" si="182"/>
        <v>4.1320850202429147E-3</v>
      </c>
      <c r="DJ292">
        <f t="shared" si="183"/>
        <v>1.5359311740890688E-3</v>
      </c>
      <c r="DK292">
        <f t="shared" si="184"/>
        <v>1.071609376095999</v>
      </c>
      <c r="DL292">
        <f t="shared" si="185"/>
        <v>0.22978546668531194</v>
      </c>
      <c r="DM292">
        <f t="shared" si="186"/>
        <v>2.2424619282170828E-2</v>
      </c>
      <c r="DN292">
        <f t="shared" si="187"/>
        <v>4.1548099110707504E-2</v>
      </c>
      <c r="DO292">
        <f t="shared" si="188"/>
        <v>4.8085167244117655E-3</v>
      </c>
      <c r="DP292">
        <f t="shared" si="189"/>
        <v>8.9091692896743069E-3</v>
      </c>
    </row>
    <row r="293" spans="1:120">
      <c r="A293" s="4" t="s">
        <v>1362</v>
      </c>
      <c r="B293" s="16" t="s">
        <v>24</v>
      </c>
      <c r="C293" s="125" t="s">
        <v>1722</v>
      </c>
      <c r="D293" s="4" t="s">
        <v>1265</v>
      </c>
      <c r="E293" s="4" t="s">
        <v>171</v>
      </c>
      <c r="F293" s="4" t="s">
        <v>1266</v>
      </c>
      <c r="G293" s="4" t="s">
        <v>595</v>
      </c>
      <c r="H293" s="49">
        <v>540</v>
      </c>
      <c r="I293" s="4" t="s">
        <v>735</v>
      </c>
      <c r="J293" s="4" t="s">
        <v>1311</v>
      </c>
      <c r="K293" s="4" t="s">
        <v>115</v>
      </c>
      <c r="L293" s="4"/>
      <c r="M293" s="4" t="s">
        <v>1262</v>
      </c>
      <c r="N293" s="4">
        <v>30</v>
      </c>
      <c r="O293" s="95">
        <v>22.195938485509593</v>
      </c>
      <c r="P293" s="95">
        <v>1.4764448139533002</v>
      </c>
      <c r="Q293" s="95">
        <v>2.6677801875475815</v>
      </c>
      <c r="R293" s="95">
        <v>10.057459076595352</v>
      </c>
      <c r="S293" s="95">
        <v>9.0098394332265048</v>
      </c>
      <c r="T293" s="95">
        <v>15.036087625267294</v>
      </c>
      <c r="U293" s="95">
        <v>1.9301345422257341</v>
      </c>
      <c r="V293" s="95">
        <v>5.7954218005242177</v>
      </c>
      <c r="W293" s="95">
        <v>23.027110623387788</v>
      </c>
      <c r="X293" s="95">
        <v>5.1091919298252293</v>
      </c>
      <c r="Y293" s="95">
        <v>4.7713394548153207</v>
      </c>
      <c r="Z293" s="95">
        <v>101.07674797287791</v>
      </c>
      <c r="AJ293" s="44" t="s">
        <v>1192</v>
      </c>
      <c r="AX293" s="131">
        <v>0.32</v>
      </c>
      <c r="AY293" s="131">
        <v>4.0119999999999996</v>
      </c>
      <c r="AZ293" s="131">
        <v>5.0000000000000001E-3</v>
      </c>
      <c r="BA293" s="131">
        <v>3.6999999999999998E-2</v>
      </c>
      <c r="BC293" s="131">
        <v>0.13</v>
      </c>
      <c r="BI293" s="131">
        <v>128.9</v>
      </c>
      <c r="BJ293" s="44">
        <v>0</v>
      </c>
      <c r="BK293" s="131">
        <v>0.85799999999999998</v>
      </c>
      <c r="BL293" s="131">
        <v>0.70399999999999996</v>
      </c>
      <c r="BN293" s="131">
        <v>0.24399999999999999</v>
      </c>
      <c r="BO293" s="44">
        <v>1.2E-2</v>
      </c>
      <c r="BP293" s="44">
        <v>4.0000000000000001E-3</v>
      </c>
      <c r="BQ293" s="44">
        <v>4.0000000000000001E-3</v>
      </c>
      <c r="BR293" s="44">
        <v>2E-3</v>
      </c>
      <c r="BT293" s="44">
        <v>0</v>
      </c>
      <c r="BV293" s="44">
        <v>1.0999999999999999E-2</v>
      </c>
      <c r="CA293" s="131">
        <v>0.96899999999999997</v>
      </c>
      <c r="CB293" s="131">
        <v>0.65100000000000002</v>
      </c>
      <c r="CC293" s="131">
        <v>2.5999999999999999E-2</v>
      </c>
      <c r="CE293">
        <f t="shared" si="152"/>
        <v>32.128614157527423</v>
      </c>
      <c r="CF293">
        <f t="shared" si="153"/>
        <v>150.23310023310023</v>
      </c>
      <c r="CG293">
        <f t="shared" si="154"/>
        <v>4.6759906759906755</v>
      </c>
      <c r="CH293">
        <f t="shared" si="155"/>
        <v>1.21875</v>
      </c>
      <c r="CI293">
        <f t="shared" si="156"/>
        <v>0</v>
      </c>
      <c r="CJ293" t="e">
        <f t="shared" si="157"/>
        <v>#DIV/0!</v>
      </c>
      <c r="CK293">
        <f t="shared" si="158"/>
        <v>0</v>
      </c>
      <c r="CL293">
        <f t="shared" si="159"/>
        <v>5.6988636363636358</v>
      </c>
      <c r="CM293">
        <f t="shared" si="160"/>
        <v>183.09659090909093</v>
      </c>
      <c r="CN293">
        <f t="shared" si="161"/>
        <v>183.09659090909093</v>
      </c>
      <c r="CO293">
        <f t="shared" si="162"/>
        <v>0</v>
      </c>
      <c r="CP293">
        <f t="shared" si="163"/>
        <v>37.269230769230766</v>
      </c>
      <c r="CQ293">
        <f t="shared" si="164"/>
        <v>1.1293706293706294</v>
      </c>
      <c r="CR293">
        <f t="shared" si="165"/>
        <v>0.15151515151515152</v>
      </c>
      <c r="CS293">
        <f t="shared" si="166"/>
        <v>4.312354312354312E-2</v>
      </c>
      <c r="CT293">
        <f t="shared" si="167"/>
        <v>7.9760717846460633E-2</v>
      </c>
      <c r="CU293">
        <f t="shared" si="168"/>
        <v>5.8275058275058279E-3</v>
      </c>
      <c r="CV293" t="e">
        <f t="shared" si="169"/>
        <v>#DIV/0!</v>
      </c>
      <c r="CW293">
        <f t="shared" si="170"/>
        <v>0</v>
      </c>
      <c r="CX293">
        <f t="shared" si="171"/>
        <v>0.2846153846153846</v>
      </c>
      <c r="CY293">
        <f t="shared" si="172"/>
        <v>0</v>
      </c>
      <c r="CZ293">
        <f t="shared" si="173"/>
        <v>25.03846153846154</v>
      </c>
      <c r="DA293">
        <f t="shared" si="174"/>
        <v>0.11562499999999999</v>
      </c>
      <c r="DB293">
        <f t="shared" si="175"/>
        <v>9.222333000997009E-3</v>
      </c>
      <c r="DC293">
        <f t="shared" si="176"/>
        <v>7.3999999999999995</v>
      </c>
      <c r="DD293">
        <f t="shared" si="177"/>
        <v>5.2556818181818184E-2</v>
      </c>
      <c r="DE293">
        <f t="shared" si="178"/>
        <v>0</v>
      </c>
      <c r="DF293">
        <f t="shared" si="179"/>
        <v>0</v>
      </c>
      <c r="DG293">
        <f t="shared" si="180"/>
        <v>0</v>
      </c>
      <c r="DH293">
        <f t="shared" si="181"/>
        <v>32.128614157527423</v>
      </c>
      <c r="DI293">
        <f t="shared" si="182"/>
        <v>3.2402791625124633E-2</v>
      </c>
      <c r="DJ293">
        <f t="shared" si="183"/>
        <v>6.4805583250249254E-3</v>
      </c>
      <c r="DK293">
        <f t="shared" si="184"/>
        <v>10.500978360403852</v>
      </c>
      <c r="DL293">
        <f t="shared" si="185"/>
        <v>3.1093009178876243</v>
      </c>
      <c r="DM293">
        <f t="shared" si="186"/>
        <v>2.2457226902359189</v>
      </c>
      <c r="DN293">
        <f t="shared" si="187"/>
        <v>6.989790095598529E-2</v>
      </c>
      <c r="DO293">
        <f t="shared" si="188"/>
        <v>0.66495019629800145</v>
      </c>
      <c r="DP293">
        <f t="shared" si="189"/>
        <v>2.0696510376629802E-2</v>
      </c>
    </row>
    <row r="294" spans="1:120">
      <c r="A294" s="4" t="s">
        <v>1362</v>
      </c>
      <c r="B294" s="16" t="s">
        <v>24</v>
      </c>
      <c r="C294" s="125" t="s">
        <v>1722</v>
      </c>
      <c r="D294" s="4" t="s">
        <v>1265</v>
      </c>
      <c r="E294" s="4" t="s">
        <v>171</v>
      </c>
      <c r="F294" s="4" t="s">
        <v>1266</v>
      </c>
      <c r="G294" s="4" t="s">
        <v>595</v>
      </c>
      <c r="H294" s="49">
        <v>540</v>
      </c>
      <c r="I294" s="4" t="s">
        <v>735</v>
      </c>
      <c r="J294" s="4" t="s">
        <v>1311</v>
      </c>
      <c r="K294" s="4" t="s">
        <v>115</v>
      </c>
      <c r="L294" s="4"/>
      <c r="M294" s="4" t="s">
        <v>1262</v>
      </c>
      <c r="N294" s="4">
        <v>30</v>
      </c>
      <c r="O294" s="95">
        <v>22.195938485509593</v>
      </c>
      <c r="P294" s="95">
        <v>1.4764448139533002</v>
      </c>
      <c r="Q294" s="95">
        <v>2.6677801875475815</v>
      </c>
      <c r="R294" s="95">
        <v>10.057459076595352</v>
      </c>
      <c r="S294" s="95">
        <v>9.0098394332265048</v>
      </c>
      <c r="T294" s="95">
        <v>15.036087625267294</v>
      </c>
      <c r="U294" s="95">
        <v>1.9301345422257341</v>
      </c>
      <c r="V294" s="95">
        <v>5.7954218005242177</v>
      </c>
      <c r="W294" s="95">
        <v>23.027110623387788</v>
      </c>
      <c r="X294" s="95">
        <v>5.1091919298252293</v>
      </c>
      <c r="Y294" s="95">
        <v>4.7713394548153207</v>
      </c>
      <c r="Z294" s="95">
        <v>101.07674797287791</v>
      </c>
      <c r="AJ294" s="44" t="s">
        <v>1192</v>
      </c>
      <c r="AX294" s="131">
        <v>0.32</v>
      </c>
      <c r="AY294" s="131">
        <v>4.0119999999999996</v>
      </c>
      <c r="AZ294" s="131">
        <v>5.0000000000000001E-3</v>
      </c>
      <c r="BA294" s="131">
        <v>3.6999999999999998E-2</v>
      </c>
      <c r="BC294" s="131">
        <v>0.13</v>
      </c>
      <c r="BI294" s="131">
        <v>128.9</v>
      </c>
      <c r="BJ294" s="44">
        <v>0</v>
      </c>
      <c r="BK294" s="131">
        <v>0.85799999999999998</v>
      </c>
      <c r="BL294" s="131">
        <v>0.70399999999999996</v>
      </c>
      <c r="BN294" s="131">
        <v>0.24399999999999999</v>
      </c>
      <c r="BO294" s="44">
        <v>1.2E-2</v>
      </c>
      <c r="BP294" s="44">
        <v>4.0000000000000001E-3</v>
      </c>
      <c r="BQ294" s="44">
        <v>4.0000000000000001E-3</v>
      </c>
      <c r="BR294" s="44">
        <v>2E-3</v>
      </c>
      <c r="BT294" s="44">
        <v>0</v>
      </c>
      <c r="BV294" s="44">
        <v>1.0999999999999999E-2</v>
      </c>
      <c r="CA294" s="131">
        <v>0.96899999999999997</v>
      </c>
      <c r="CB294" s="131">
        <v>0.65100000000000002</v>
      </c>
      <c r="CC294" s="131">
        <v>2.5999999999999999E-2</v>
      </c>
      <c r="CE294">
        <f t="shared" si="152"/>
        <v>32.128614157527423</v>
      </c>
      <c r="CF294">
        <f t="shared" si="153"/>
        <v>150.23310023310023</v>
      </c>
      <c r="CG294">
        <f t="shared" si="154"/>
        <v>4.6759906759906755</v>
      </c>
      <c r="CH294">
        <f t="shared" si="155"/>
        <v>1.21875</v>
      </c>
      <c r="CI294">
        <f t="shared" si="156"/>
        <v>0</v>
      </c>
      <c r="CJ294" t="e">
        <f t="shared" si="157"/>
        <v>#DIV/0!</v>
      </c>
      <c r="CK294">
        <f t="shared" si="158"/>
        <v>0</v>
      </c>
      <c r="CL294">
        <f t="shared" si="159"/>
        <v>5.6988636363636358</v>
      </c>
      <c r="CM294">
        <f t="shared" si="160"/>
        <v>183.09659090909093</v>
      </c>
      <c r="CN294">
        <f t="shared" si="161"/>
        <v>183.09659090909093</v>
      </c>
      <c r="CO294">
        <f t="shared" si="162"/>
        <v>0</v>
      </c>
      <c r="CP294">
        <f t="shared" si="163"/>
        <v>37.269230769230766</v>
      </c>
      <c r="CQ294">
        <f t="shared" si="164"/>
        <v>1.1293706293706294</v>
      </c>
      <c r="CR294">
        <f t="shared" si="165"/>
        <v>0.15151515151515152</v>
      </c>
      <c r="CS294">
        <f t="shared" si="166"/>
        <v>4.312354312354312E-2</v>
      </c>
      <c r="CT294">
        <f t="shared" si="167"/>
        <v>7.9760717846460633E-2</v>
      </c>
      <c r="CU294">
        <f t="shared" si="168"/>
        <v>5.8275058275058279E-3</v>
      </c>
      <c r="CV294" t="e">
        <f t="shared" si="169"/>
        <v>#DIV/0!</v>
      </c>
      <c r="CW294">
        <f t="shared" si="170"/>
        <v>0</v>
      </c>
      <c r="CX294">
        <f t="shared" si="171"/>
        <v>0.2846153846153846</v>
      </c>
      <c r="CY294">
        <f t="shared" si="172"/>
        <v>0</v>
      </c>
      <c r="CZ294">
        <f t="shared" si="173"/>
        <v>25.03846153846154</v>
      </c>
      <c r="DA294">
        <f t="shared" si="174"/>
        <v>0.11562499999999999</v>
      </c>
      <c r="DB294">
        <f t="shared" si="175"/>
        <v>9.222333000997009E-3</v>
      </c>
      <c r="DC294">
        <f t="shared" si="176"/>
        <v>7.3999999999999995</v>
      </c>
      <c r="DD294">
        <f t="shared" si="177"/>
        <v>5.2556818181818184E-2</v>
      </c>
      <c r="DE294">
        <f t="shared" si="178"/>
        <v>0</v>
      </c>
      <c r="DF294">
        <f t="shared" si="179"/>
        <v>0</v>
      </c>
      <c r="DG294">
        <f t="shared" si="180"/>
        <v>0</v>
      </c>
      <c r="DH294">
        <f t="shared" si="181"/>
        <v>32.128614157527423</v>
      </c>
      <c r="DI294">
        <f t="shared" si="182"/>
        <v>3.2402791625124633E-2</v>
      </c>
      <c r="DJ294">
        <f t="shared" si="183"/>
        <v>6.4805583250249254E-3</v>
      </c>
      <c r="DK294">
        <f t="shared" si="184"/>
        <v>10.500978360403852</v>
      </c>
      <c r="DL294">
        <f t="shared" si="185"/>
        <v>3.1093009178876243</v>
      </c>
      <c r="DM294">
        <f t="shared" si="186"/>
        <v>2.2457226902359189</v>
      </c>
      <c r="DN294">
        <f t="shared" si="187"/>
        <v>6.989790095598529E-2</v>
      </c>
      <c r="DO294">
        <f t="shared" si="188"/>
        <v>0.66495019629800145</v>
      </c>
      <c r="DP294">
        <f t="shared" si="189"/>
        <v>2.0696510376629802E-2</v>
      </c>
    </row>
    <row r="295" spans="1:120">
      <c r="A295" s="16" t="s">
        <v>1181</v>
      </c>
      <c r="B295" s="16" t="s">
        <v>24</v>
      </c>
      <c r="C295" s="125" t="s">
        <v>1722</v>
      </c>
      <c r="D295" s="16" t="s">
        <v>819</v>
      </c>
      <c r="E295" s="16" t="s">
        <v>801</v>
      </c>
      <c r="F295" s="16" t="s">
        <v>800</v>
      </c>
      <c r="G295" s="16" t="s">
        <v>829</v>
      </c>
      <c r="H295" s="27"/>
      <c r="I295" s="16" t="s">
        <v>712</v>
      </c>
      <c r="J295" s="16" t="s">
        <v>635</v>
      </c>
      <c r="K295" s="16" t="s">
        <v>1169</v>
      </c>
      <c r="L295" s="16" t="s">
        <v>789</v>
      </c>
      <c r="M295" s="16" t="s">
        <v>787</v>
      </c>
      <c r="N295" s="16">
        <v>25</v>
      </c>
      <c r="O295" s="95">
        <v>28.578582356557941</v>
      </c>
      <c r="P295" s="95">
        <v>1.4544036240962366</v>
      </c>
      <c r="Q295" s="95">
        <v>3.5835626894058135</v>
      </c>
      <c r="R295" s="95">
        <v>12.625352667988615</v>
      </c>
      <c r="S295" s="95">
        <v>6.6360275479617039</v>
      </c>
      <c r="T295" s="95">
        <v>18.856051591833761</v>
      </c>
      <c r="U295" s="95">
        <v>4.2786184518425605</v>
      </c>
      <c r="V295" s="95">
        <v>4.3017739123349701</v>
      </c>
      <c r="W295" s="95">
        <v>11.913398946084511</v>
      </c>
      <c r="X295" s="95">
        <v>5.5493510937714579</v>
      </c>
      <c r="Y295" s="95">
        <v>2.8707101580124017</v>
      </c>
      <c r="Z295" s="95">
        <v>100.64783303988997</v>
      </c>
      <c r="AA295" s="18"/>
      <c r="AB295" s="18"/>
      <c r="AC295" s="18"/>
      <c r="AD295" s="18"/>
      <c r="AE295" s="127"/>
      <c r="AF295" s="127"/>
      <c r="AG295" s="18"/>
      <c r="AH295" s="18">
        <v>159</v>
      </c>
      <c r="AI295" s="18"/>
      <c r="AJ295" s="18">
        <v>21</v>
      </c>
      <c r="AK295" s="134"/>
      <c r="AL295" s="18"/>
      <c r="AM295" s="134"/>
      <c r="AN295" s="127"/>
      <c r="AO295" s="18"/>
      <c r="AP295" s="18"/>
      <c r="AQ295" s="18"/>
      <c r="AR295" s="18"/>
      <c r="AS295" s="18"/>
      <c r="AT295" s="18"/>
      <c r="AU295" s="18"/>
      <c r="AV295" s="18"/>
      <c r="AW295" s="18"/>
      <c r="AX295" s="127">
        <v>0.54</v>
      </c>
      <c r="AY295" s="127">
        <v>6</v>
      </c>
      <c r="AZ295" s="127">
        <v>0.22</v>
      </c>
      <c r="BA295" s="127">
        <v>1.6</v>
      </c>
      <c r="BB295" s="18"/>
      <c r="BC295" s="127">
        <v>0.15</v>
      </c>
      <c r="BD295" s="18"/>
      <c r="BE295" s="18"/>
      <c r="BF295" s="18"/>
      <c r="BG295" s="18"/>
      <c r="BH295" s="127">
        <v>1.2E-2</v>
      </c>
      <c r="BI295" s="127">
        <v>29</v>
      </c>
      <c r="BJ295" s="18"/>
      <c r="BK295" s="127">
        <v>2.2999999999999998</v>
      </c>
      <c r="BL295" s="127">
        <v>3.2</v>
      </c>
      <c r="BM295" s="127">
        <v>0.38</v>
      </c>
      <c r="BN295" s="127">
        <v>2.7</v>
      </c>
      <c r="BO295" s="18">
        <v>0.24</v>
      </c>
      <c r="BP295" s="18">
        <v>5.8999999999999997E-2</v>
      </c>
      <c r="BQ295" s="18">
        <v>0.16</v>
      </c>
      <c r="BR295" s="18">
        <v>6.9000000000000006E-2</v>
      </c>
      <c r="BS295" s="18">
        <v>0.01</v>
      </c>
      <c r="BT295" s="18">
        <v>1.9E-2</v>
      </c>
      <c r="BU295" s="18"/>
      <c r="BV295" s="18">
        <v>1.0999999999999999E-2</v>
      </c>
      <c r="BW295" s="18">
        <v>2E-3</v>
      </c>
      <c r="BX295" s="18">
        <v>4.1000000000000002E-2</v>
      </c>
      <c r="BY295" s="127">
        <v>0.01</v>
      </c>
      <c r="BZ295" s="18"/>
      <c r="CA295" s="127"/>
      <c r="CB295" s="127">
        <v>0.33</v>
      </c>
      <c r="CC295" s="127">
        <v>5.6000000000000001E-2</v>
      </c>
      <c r="CE295">
        <f t="shared" si="152"/>
        <v>4.833333333333333</v>
      </c>
      <c r="CF295">
        <f t="shared" si="153"/>
        <v>12.608695652173914</v>
      </c>
      <c r="CG295">
        <f t="shared" si="154"/>
        <v>2.6086956521739131</v>
      </c>
      <c r="CH295">
        <f t="shared" si="155"/>
        <v>0.71874999999999989</v>
      </c>
      <c r="CI295">
        <f t="shared" si="156"/>
        <v>0</v>
      </c>
      <c r="CJ295" t="e">
        <f t="shared" si="157"/>
        <v>#DIV/0!</v>
      </c>
      <c r="CK295">
        <f t="shared" si="158"/>
        <v>0</v>
      </c>
      <c r="CL295">
        <f t="shared" si="159"/>
        <v>1.875</v>
      </c>
      <c r="CM295">
        <f t="shared" si="160"/>
        <v>9.0625</v>
      </c>
      <c r="CN295">
        <f t="shared" si="161"/>
        <v>9.0625</v>
      </c>
      <c r="CO295">
        <f t="shared" si="162"/>
        <v>3.1249999999999997E-3</v>
      </c>
      <c r="CP295">
        <f t="shared" si="163"/>
        <v>0</v>
      </c>
      <c r="CQ295">
        <f t="shared" si="164"/>
        <v>0</v>
      </c>
      <c r="CR295">
        <f t="shared" si="165"/>
        <v>6.5217391304347824E-2</v>
      </c>
      <c r="CS295">
        <f t="shared" si="166"/>
        <v>0.69565217391304357</v>
      </c>
      <c r="CT295">
        <f t="shared" si="167"/>
        <v>9.0000000000000011E-2</v>
      </c>
      <c r="CU295">
        <f t="shared" si="168"/>
        <v>9.5652173913043481E-2</v>
      </c>
      <c r="CV295" t="e">
        <f t="shared" si="169"/>
        <v>#DIV/0!</v>
      </c>
      <c r="CW295">
        <f t="shared" si="170"/>
        <v>0</v>
      </c>
      <c r="CX295">
        <f t="shared" si="171"/>
        <v>10.666666666666668</v>
      </c>
      <c r="CY295">
        <f t="shared" si="172"/>
        <v>4.3478260869565218E-3</v>
      </c>
      <c r="CZ295">
        <f t="shared" si="173"/>
        <v>5.8928571428571432</v>
      </c>
      <c r="DA295">
        <f t="shared" si="174"/>
        <v>2.9629629629629628</v>
      </c>
      <c r="DB295">
        <f t="shared" si="175"/>
        <v>0.26666666666666666</v>
      </c>
      <c r="DC295">
        <f t="shared" si="176"/>
        <v>7.2727272727272734</v>
      </c>
      <c r="DD295">
        <f t="shared" si="177"/>
        <v>0.5</v>
      </c>
      <c r="DE295">
        <f t="shared" si="178"/>
        <v>0</v>
      </c>
      <c r="DF295">
        <f t="shared" si="179"/>
        <v>0</v>
      </c>
      <c r="DG295">
        <f t="shared" si="180"/>
        <v>0</v>
      </c>
      <c r="DH295">
        <f t="shared" si="181"/>
        <v>4.833333333333333</v>
      </c>
      <c r="DI295">
        <f t="shared" si="182"/>
        <v>2.4999999999999998E-2</v>
      </c>
      <c r="DJ295">
        <f t="shared" si="183"/>
        <v>9.3333333333333341E-3</v>
      </c>
      <c r="DK295">
        <f t="shared" si="184"/>
        <v>2.8852293686790018</v>
      </c>
      <c r="DL295">
        <f t="shared" si="185"/>
        <v>1.5580707345242668</v>
      </c>
      <c r="DM295">
        <f t="shared" si="186"/>
        <v>1.1060045913269507</v>
      </c>
      <c r="DN295">
        <f t="shared" si="187"/>
        <v>0.22882853613661047</v>
      </c>
      <c r="DO295">
        <f t="shared" si="188"/>
        <v>0.59726044823430224</v>
      </c>
      <c r="DP295">
        <f t="shared" si="189"/>
        <v>0.12357112722089011</v>
      </c>
    </row>
    <row r="296" spans="1:120">
      <c r="A296" s="16" t="s">
        <v>1181</v>
      </c>
      <c r="B296" s="16" t="s">
        <v>24</v>
      </c>
      <c r="C296" s="125" t="s">
        <v>1722</v>
      </c>
      <c r="D296" s="16" t="s">
        <v>110</v>
      </c>
      <c r="E296" s="16" t="s">
        <v>801</v>
      </c>
      <c r="F296" s="16" t="s">
        <v>800</v>
      </c>
      <c r="G296" s="16" t="s">
        <v>829</v>
      </c>
      <c r="H296" s="27"/>
      <c r="I296" s="16" t="s">
        <v>712</v>
      </c>
      <c r="J296" s="16" t="s">
        <v>635</v>
      </c>
      <c r="K296" s="16" t="s">
        <v>1169</v>
      </c>
      <c r="L296" s="16" t="s">
        <v>99</v>
      </c>
      <c r="M296" s="16" t="s">
        <v>787</v>
      </c>
      <c r="N296" s="16">
        <v>26</v>
      </c>
      <c r="O296" s="95">
        <v>37.087395885932573</v>
      </c>
      <c r="P296" s="95">
        <v>1.9610251898352953</v>
      </c>
      <c r="Q296" s="95">
        <v>4.1034879403375317</v>
      </c>
      <c r="R296" s="95">
        <v>11.448429492592521</v>
      </c>
      <c r="S296" s="95">
        <v>5.3305682085064809</v>
      </c>
      <c r="T296" s="95">
        <v>9.5736824617656016</v>
      </c>
      <c r="U296" s="95">
        <v>3.5793965307960618</v>
      </c>
      <c r="V296" s="95">
        <v>3.8674325858817089</v>
      </c>
      <c r="W296" s="95">
        <v>14.301393877310023</v>
      </c>
      <c r="X296" s="95">
        <v>5.5386232669511353</v>
      </c>
      <c r="Y296" s="95">
        <v>4.1436653426312651</v>
      </c>
      <c r="Z296" s="95">
        <v>100.93510078254019</v>
      </c>
      <c r="AA296" s="18"/>
      <c r="AB296" s="18"/>
      <c r="AC296" s="18"/>
      <c r="AD296" s="18"/>
      <c r="AE296" s="127"/>
      <c r="AF296" s="127"/>
      <c r="AG296" s="18"/>
      <c r="AH296" s="18">
        <v>137</v>
      </c>
      <c r="AI296" s="18"/>
      <c r="AJ296" s="18">
        <v>24</v>
      </c>
      <c r="AK296" s="134"/>
      <c r="AL296" s="18"/>
      <c r="AM296" s="134"/>
      <c r="AN296" s="127"/>
      <c r="AO296" s="18"/>
      <c r="AP296" s="18"/>
      <c r="AQ296" s="18"/>
      <c r="AR296" s="18"/>
      <c r="AS296" s="18"/>
      <c r="AT296" s="18"/>
      <c r="AU296" s="18"/>
      <c r="AV296" s="18"/>
      <c r="AW296" s="18"/>
      <c r="AX296" s="127">
        <v>0.37</v>
      </c>
      <c r="AY296" s="127">
        <v>4.3</v>
      </c>
      <c r="AZ296" s="127">
        <v>0.18</v>
      </c>
      <c r="BA296" s="127">
        <v>1.8</v>
      </c>
      <c r="BB296" s="18"/>
      <c r="BC296" s="127">
        <v>0.08</v>
      </c>
      <c r="BD296" s="18"/>
      <c r="BE296" s="18"/>
      <c r="BF296" s="18"/>
      <c r="BG296" s="18"/>
      <c r="BH296" s="127">
        <v>0.01</v>
      </c>
      <c r="BI296" s="127">
        <v>34</v>
      </c>
      <c r="BJ296" s="18"/>
      <c r="BK296" s="127">
        <v>2.5</v>
      </c>
      <c r="BL296" s="127">
        <v>3.1</v>
      </c>
      <c r="BM296" s="127">
        <v>0.33</v>
      </c>
      <c r="BN296" s="127">
        <v>1.4</v>
      </c>
      <c r="BO296" s="18">
        <v>0.19</v>
      </c>
      <c r="BP296" s="18">
        <v>4.2000000000000003E-2</v>
      </c>
      <c r="BQ296" s="18">
        <v>0.12</v>
      </c>
      <c r="BR296" s="18">
        <v>4.9000000000000002E-2</v>
      </c>
      <c r="BS296" s="18">
        <v>8.0000000000000002E-3</v>
      </c>
      <c r="BT296" s="18">
        <v>1.4E-2</v>
      </c>
      <c r="BU296" s="18"/>
      <c r="BV296" s="18">
        <v>8.0000000000000002E-3</v>
      </c>
      <c r="BW296" s="18">
        <v>2E-3</v>
      </c>
      <c r="BX296" s="18">
        <v>4.4999999999999998E-2</v>
      </c>
      <c r="BY296" s="127">
        <v>6.0000000000000001E-3</v>
      </c>
      <c r="BZ296" s="18"/>
      <c r="CA296" s="127"/>
      <c r="CB296" s="127">
        <v>0.41</v>
      </c>
      <c r="CC296" s="127">
        <v>0.06</v>
      </c>
      <c r="CE296">
        <f t="shared" si="152"/>
        <v>7.9069767441860472</v>
      </c>
      <c r="CF296">
        <f t="shared" si="153"/>
        <v>13.6</v>
      </c>
      <c r="CG296">
        <f t="shared" si="154"/>
        <v>1.72</v>
      </c>
      <c r="CH296">
        <f t="shared" si="155"/>
        <v>0.80645161290322576</v>
      </c>
      <c r="CI296">
        <f t="shared" si="156"/>
        <v>0</v>
      </c>
      <c r="CJ296" t="e">
        <f t="shared" si="157"/>
        <v>#DIV/0!</v>
      </c>
      <c r="CK296">
        <f t="shared" si="158"/>
        <v>0</v>
      </c>
      <c r="CL296">
        <f t="shared" si="159"/>
        <v>1.3870967741935483</v>
      </c>
      <c r="CM296">
        <f t="shared" si="160"/>
        <v>10.96774193548387</v>
      </c>
      <c r="CN296">
        <f t="shared" si="161"/>
        <v>10.96774193548387</v>
      </c>
      <c r="CO296">
        <f t="shared" si="162"/>
        <v>1.9354838709677419E-3</v>
      </c>
      <c r="CP296">
        <f t="shared" si="163"/>
        <v>0</v>
      </c>
      <c r="CQ296">
        <f t="shared" si="164"/>
        <v>0</v>
      </c>
      <c r="CR296">
        <f t="shared" si="165"/>
        <v>3.2000000000000001E-2</v>
      </c>
      <c r="CS296">
        <f t="shared" si="166"/>
        <v>0.72</v>
      </c>
      <c r="CT296">
        <f t="shared" si="167"/>
        <v>8.6046511627906982E-2</v>
      </c>
      <c r="CU296">
        <f t="shared" si="168"/>
        <v>7.1999999999999995E-2</v>
      </c>
      <c r="CV296" t="e">
        <f t="shared" si="169"/>
        <v>#DIV/0!</v>
      </c>
      <c r="CW296">
        <f t="shared" si="170"/>
        <v>0</v>
      </c>
      <c r="CX296">
        <f t="shared" si="171"/>
        <v>22.5</v>
      </c>
      <c r="CY296">
        <f t="shared" si="172"/>
        <v>2.4000000000000002E-3</v>
      </c>
      <c r="CZ296">
        <f t="shared" si="173"/>
        <v>6.833333333333333</v>
      </c>
      <c r="DA296">
        <f t="shared" si="174"/>
        <v>4.8648648648648649</v>
      </c>
      <c r="DB296">
        <f t="shared" si="175"/>
        <v>0.41860465116279072</v>
      </c>
      <c r="DC296">
        <f t="shared" si="176"/>
        <v>10</v>
      </c>
      <c r="DD296">
        <f t="shared" si="177"/>
        <v>0.58064516129032262</v>
      </c>
      <c r="DE296">
        <f t="shared" si="178"/>
        <v>0</v>
      </c>
      <c r="DF296">
        <f t="shared" si="179"/>
        <v>0</v>
      </c>
      <c r="DG296">
        <f t="shared" si="180"/>
        <v>0</v>
      </c>
      <c r="DH296">
        <f t="shared" si="181"/>
        <v>7.9069767441860472</v>
      </c>
      <c r="DI296">
        <f t="shared" si="182"/>
        <v>1.8604651162790697E-2</v>
      </c>
      <c r="DJ296">
        <f t="shared" si="183"/>
        <v>1.3953488372093023E-2</v>
      </c>
      <c r="DK296">
        <f t="shared" si="184"/>
        <v>2.1322272834025924</v>
      </c>
      <c r="DL296">
        <f t="shared" si="185"/>
        <v>1.6413951761350127</v>
      </c>
      <c r="DM296">
        <f t="shared" si="186"/>
        <v>1.2396670252340654</v>
      </c>
      <c r="DN296">
        <f t="shared" si="187"/>
        <v>0.15678141789724945</v>
      </c>
      <c r="DO296">
        <f t="shared" si="188"/>
        <v>0.95429952100872839</v>
      </c>
      <c r="DP296">
        <f t="shared" si="189"/>
        <v>0.12069082177463329</v>
      </c>
    </row>
    <row r="297" spans="1:120">
      <c r="A297" s="16" t="s">
        <v>1181</v>
      </c>
      <c r="B297" s="16" t="s">
        <v>24</v>
      </c>
      <c r="C297" s="125" t="s">
        <v>1722</v>
      </c>
      <c r="D297" s="16" t="s">
        <v>110</v>
      </c>
      <c r="E297" s="16" t="s">
        <v>801</v>
      </c>
      <c r="F297" s="16" t="s">
        <v>800</v>
      </c>
      <c r="G297" s="16" t="s">
        <v>829</v>
      </c>
      <c r="H297" s="27"/>
      <c r="I297" s="16" t="s">
        <v>712</v>
      </c>
      <c r="J297" s="16" t="s">
        <v>635</v>
      </c>
      <c r="K297" s="16" t="s">
        <v>1169</v>
      </c>
      <c r="L297" s="16"/>
      <c r="M297" s="16" t="s">
        <v>788</v>
      </c>
      <c r="N297" s="16">
        <v>58</v>
      </c>
      <c r="O297" s="95">
        <v>35.710003846849247</v>
      </c>
      <c r="P297" s="95">
        <v>1.771126168914346</v>
      </c>
      <c r="Q297" s="95">
        <v>5.6798459576466769</v>
      </c>
      <c r="R297" s="95">
        <v>5.4395098118886605</v>
      </c>
      <c r="S297" s="95">
        <v>2.7995384679075261</v>
      </c>
      <c r="T297" s="95">
        <v>13.73415639719617</v>
      </c>
      <c r="U297" s="95">
        <v>10.761105055246361</v>
      </c>
      <c r="V297" s="95">
        <v>3.4011503030221468</v>
      </c>
      <c r="W297" s="95">
        <v>17.004916691503137</v>
      </c>
      <c r="X297" s="95">
        <v>2.6096691902014308</v>
      </c>
      <c r="Y297" s="95">
        <v>1.4063487790958731</v>
      </c>
      <c r="Z297" s="95">
        <v>100.31737066947159</v>
      </c>
      <c r="AA297" s="18"/>
      <c r="AB297" s="18"/>
      <c r="AC297" s="18"/>
      <c r="AD297" s="18"/>
      <c r="AE297" s="127"/>
      <c r="AF297" s="127"/>
      <c r="AG297" s="18"/>
      <c r="AH297" s="18">
        <v>165</v>
      </c>
      <c r="AI297" s="18"/>
      <c r="AJ297" s="18">
        <v>13.3</v>
      </c>
      <c r="AK297" s="134"/>
      <c r="AL297" s="18"/>
      <c r="AM297" s="134"/>
      <c r="AN297" s="127"/>
      <c r="AO297" s="18"/>
      <c r="AP297" s="18"/>
      <c r="AQ297" s="18"/>
      <c r="AR297" s="18"/>
      <c r="AS297" s="18"/>
      <c r="AT297" s="18"/>
      <c r="AU297" s="18"/>
      <c r="AV297" s="18"/>
      <c r="AW297" s="18"/>
      <c r="AX297" s="127">
        <v>0.48</v>
      </c>
      <c r="AY297" s="127">
        <v>3.8</v>
      </c>
      <c r="AZ297" s="127">
        <v>4.2999999999999997E-2</v>
      </c>
      <c r="BA297" s="127">
        <v>0.99</v>
      </c>
      <c r="BB297" s="18"/>
      <c r="BC297" s="127">
        <v>0.16</v>
      </c>
      <c r="BD297" s="18"/>
      <c r="BE297" s="18"/>
      <c r="BF297" s="18"/>
      <c r="BG297" s="18"/>
      <c r="BH297" s="127">
        <v>1.0999999999999999E-2</v>
      </c>
      <c r="BI297" s="127">
        <v>29</v>
      </c>
      <c r="BJ297" s="18"/>
      <c r="BK297" s="127">
        <v>1.29</v>
      </c>
      <c r="BL297" s="127">
        <v>1.5</v>
      </c>
      <c r="BM297" s="127">
        <v>0.14199999999999999</v>
      </c>
      <c r="BN297" s="127">
        <v>0.48</v>
      </c>
      <c r="BO297" s="18">
        <v>6.5000000000000002E-2</v>
      </c>
      <c r="BP297" s="18">
        <v>1.4E-2</v>
      </c>
      <c r="BQ297" s="18">
        <v>6.3E-2</v>
      </c>
      <c r="BR297" s="18">
        <v>1.6E-2</v>
      </c>
      <c r="BS297" s="18">
        <v>4.0000000000000001E-3</v>
      </c>
      <c r="BT297" s="18">
        <v>8.0000000000000002E-3</v>
      </c>
      <c r="BU297" s="18"/>
      <c r="BV297" s="18">
        <v>8.0000000000000002E-3</v>
      </c>
      <c r="BW297" s="18">
        <v>1E-3</v>
      </c>
      <c r="BX297" s="18">
        <v>2.1999999999999999E-2</v>
      </c>
      <c r="BY297" s="127">
        <v>6.0000000000000001E-3</v>
      </c>
      <c r="BZ297" s="18"/>
      <c r="CA297" s="127"/>
      <c r="CB297" s="127">
        <v>0.157</v>
      </c>
      <c r="CC297" s="127">
        <v>0.03</v>
      </c>
      <c r="CE297">
        <f t="shared" si="152"/>
        <v>7.6315789473684212</v>
      </c>
      <c r="CF297">
        <f t="shared" si="153"/>
        <v>22.480620155038761</v>
      </c>
      <c r="CG297">
        <f t="shared" si="154"/>
        <v>2.945736434108527</v>
      </c>
      <c r="CH297">
        <f t="shared" si="155"/>
        <v>0.86</v>
      </c>
      <c r="CI297">
        <f t="shared" si="156"/>
        <v>0</v>
      </c>
      <c r="CJ297" t="e">
        <f t="shared" si="157"/>
        <v>#DIV/0!</v>
      </c>
      <c r="CK297">
        <f t="shared" si="158"/>
        <v>0</v>
      </c>
      <c r="CL297">
        <f t="shared" si="159"/>
        <v>2.5333333333333332</v>
      </c>
      <c r="CM297">
        <f t="shared" si="160"/>
        <v>19.333333333333332</v>
      </c>
      <c r="CN297">
        <f t="shared" si="161"/>
        <v>19.333333333333332</v>
      </c>
      <c r="CO297">
        <f t="shared" si="162"/>
        <v>4.0000000000000001E-3</v>
      </c>
      <c r="CP297">
        <f t="shared" si="163"/>
        <v>0</v>
      </c>
      <c r="CQ297">
        <f t="shared" si="164"/>
        <v>0</v>
      </c>
      <c r="CR297">
        <f t="shared" si="165"/>
        <v>0.12403100775193798</v>
      </c>
      <c r="CS297">
        <f t="shared" si="166"/>
        <v>0.7674418604651162</v>
      </c>
      <c r="CT297">
        <f t="shared" si="167"/>
        <v>0.12631578947368421</v>
      </c>
      <c r="CU297">
        <f t="shared" si="168"/>
        <v>3.3333333333333333E-2</v>
      </c>
      <c r="CV297" t="e">
        <f t="shared" si="169"/>
        <v>#DIV/0!</v>
      </c>
      <c r="CW297">
        <f t="shared" si="170"/>
        <v>0</v>
      </c>
      <c r="CX297">
        <f t="shared" si="171"/>
        <v>6.1875</v>
      </c>
      <c r="CY297">
        <f t="shared" si="172"/>
        <v>4.6511627906976744E-3</v>
      </c>
      <c r="CZ297">
        <f t="shared" si="173"/>
        <v>5.2333333333333334</v>
      </c>
      <c r="DA297">
        <f t="shared" si="174"/>
        <v>2.0625</v>
      </c>
      <c r="DB297">
        <f t="shared" si="175"/>
        <v>0.26052631578947372</v>
      </c>
      <c r="DC297">
        <f t="shared" si="176"/>
        <v>23.02325581395349</v>
      </c>
      <c r="DD297">
        <f t="shared" si="177"/>
        <v>0.66</v>
      </c>
      <c r="DE297">
        <f t="shared" si="178"/>
        <v>0</v>
      </c>
      <c r="DF297">
        <f t="shared" si="179"/>
        <v>0</v>
      </c>
      <c r="DG297">
        <f t="shared" si="180"/>
        <v>0</v>
      </c>
      <c r="DH297">
        <f t="shared" si="181"/>
        <v>7.6315789473684212</v>
      </c>
      <c r="DI297">
        <f t="shared" si="182"/>
        <v>4.2105263157894743E-2</v>
      </c>
      <c r="DJ297">
        <f t="shared" si="183"/>
        <v>7.8947368421052634E-3</v>
      </c>
      <c r="DK297">
        <f t="shared" si="184"/>
        <v>2.1701848588430432</v>
      </c>
      <c r="DL297">
        <f t="shared" si="185"/>
        <v>4.4029813625168037</v>
      </c>
      <c r="DM297">
        <f t="shared" si="186"/>
        <v>0.73672064944934901</v>
      </c>
      <c r="DN297">
        <f t="shared" si="187"/>
        <v>9.6535809238190551E-2</v>
      </c>
      <c r="DO297">
        <f t="shared" si="188"/>
        <v>1.4946963046438624</v>
      </c>
      <c r="DP297">
        <f t="shared" si="189"/>
        <v>0.19585675716023024</v>
      </c>
    </row>
    <row r="298" spans="1:120">
      <c r="A298" s="16" t="s">
        <v>1181</v>
      </c>
      <c r="B298" s="16" t="s">
        <v>24</v>
      </c>
      <c r="C298" s="125" t="s">
        <v>1722</v>
      </c>
      <c r="D298" s="16" t="s">
        <v>831</v>
      </c>
      <c r="E298" s="16" t="s">
        <v>801</v>
      </c>
      <c r="F298" s="16" t="s">
        <v>800</v>
      </c>
      <c r="G298" s="16" t="s">
        <v>829</v>
      </c>
      <c r="H298" s="27"/>
      <c r="I298" s="16" t="s">
        <v>712</v>
      </c>
      <c r="J298" s="16" t="s">
        <v>635</v>
      </c>
      <c r="K298" s="16" t="s">
        <v>1169</v>
      </c>
      <c r="L298" s="16" t="s">
        <v>773</v>
      </c>
      <c r="M298" s="16" t="s">
        <v>786</v>
      </c>
      <c r="N298" s="16">
        <v>25</v>
      </c>
      <c r="O298" s="95">
        <v>20.983554002956446</v>
      </c>
      <c r="P298" s="95">
        <v>1.6759018235542897</v>
      </c>
      <c r="Q298" s="95">
        <v>3.6493344560273275</v>
      </c>
      <c r="R298" s="95">
        <v>10.0155652411239</v>
      </c>
      <c r="S298" s="95">
        <v>5.8633245851668105</v>
      </c>
      <c r="T298" s="95">
        <v>21.114701700999213</v>
      </c>
      <c r="U298" s="95">
        <v>8.9031749658230055</v>
      </c>
      <c r="V298" s="95">
        <v>4.4128852054684087</v>
      </c>
      <c r="W298" s="95">
        <v>17.245208893779314</v>
      </c>
      <c r="X298" s="95">
        <v>4.927822628892252</v>
      </c>
      <c r="Y298" s="95">
        <v>1.5607382255231148</v>
      </c>
      <c r="Z298" s="95">
        <v>100.35221172931409</v>
      </c>
      <c r="AA298" s="18"/>
      <c r="AB298" s="18"/>
      <c r="AC298" s="18"/>
      <c r="AD298" s="18"/>
      <c r="AE298" s="127"/>
      <c r="AF298" s="127"/>
      <c r="AG298" s="18"/>
      <c r="AH298" s="18">
        <v>44</v>
      </c>
      <c r="AI298" s="18"/>
      <c r="AJ298" s="18">
        <v>5.2</v>
      </c>
      <c r="AK298" s="134"/>
      <c r="AL298" s="18"/>
      <c r="AM298" s="134"/>
      <c r="AN298" s="127"/>
      <c r="AO298" s="18"/>
      <c r="AP298" s="18"/>
      <c r="AQ298" s="18"/>
      <c r="AR298" s="18"/>
      <c r="AS298" s="18"/>
      <c r="AT298" s="18"/>
      <c r="AU298" s="18"/>
      <c r="AV298" s="18"/>
      <c r="AW298" s="18"/>
      <c r="AX298" s="127">
        <v>0.14799999999999999</v>
      </c>
      <c r="AY298" s="127">
        <v>1.92</v>
      </c>
      <c r="AZ298" s="127">
        <v>2.1000000000000001E-2</v>
      </c>
      <c r="BA298" s="127">
        <v>0.22</v>
      </c>
      <c r="BB298" s="18"/>
      <c r="BC298" s="127">
        <v>0.17</v>
      </c>
      <c r="BD298" s="18"/>
      <c r="BE298" s="18"/>
      <c r="BF298" s="18"/>
      <c r="BG298" s="18"/>
      <c r="BH298" s="127">
        <v>5.0000000000000001E-3</v>
      </c>
      <c r="BI298" s="127">
        <v>4.4000000000000004</v>
      </c>
      <c r="BJ298" s="18"/>
      <c r="BK298" s="127">
        <v>0.46</v>
      </c>
      <c r="BL298" s="127">
        <v>0.6</v>
      </c>
      <c r="BM298" s="127">
        <v>7.4999999999999997E-2</v>
      </c>
      <c r="BN298" s="127">
        <v>0.38</v>
      </c>
      <c r="BO298" s="18">
        <v>2.4E-2</v>
      </c>
      <c r="BP298" s="18">
        <v>6.0000000000000001E-3</v>
      </c>
      <c r="BQ298" s="18">
        <v>1.9E-2</v>
      </c>
      <c r="BR298" s="18">
        <v>6.0000000000000001E-3</v>
      </c>
      <c r="BS298" s="18">
        <v>2E-3</v>
      </c>
      <c r="BT298" s="18">
        <v>0</v>
      </c>
      <c r="BU298" s="18"/>
      <c r="BV298" s="18">
        <v>1.0999999999999999E-2</v>
      </c>
      <c r="BW298" s="18">
        <v>2E-3</v>
      </c>
      <c r="BX298" s="18">
        <v>7.0000000000000001E-3</v>
      </c>
      <c r="BY298" s="127">
        <v>6.0000000000000001E-3</v>
      </c>
      <c r="BZ298" s="18"/>
      <c r="CA298" s="127"/>
      <c r="CB298" s="127">
        <v>4.7E-2</v>
      </c>
      <c r="CC298" s="127">
        <v>1.2E-2</v>
      </c>
      <c r="CE298">
        <f t="shared" si="152"/>
        <v>2.291666666666667</v>
      </c>
      <c r="CF298">
        <f t="shared" si="153"/>
        <v>9.5652173913043477</v>
      </c>
      <c r="CG298">
        <f t="shared" si="154"/>
        <v>4.1739130434782608</v>
      </c>
      <c r="CH298">
        <f t="shared" si="155"/>
        <v>0.76666666666666672</v>
      </c>
      <c r="CI298">
        <f t="shared" si="156"/>
        <v>0</v>
      </c>
      <c r="CJ298" t="e">
        <f t="shared" si="157"/>
        <v>#DIV/0!</v>
      </c>
      <c r="CK298">
        <f t="shared" si="158"/>
        <v>0</v>
      </c>
      <c r="CL298">
        <f t="shared" si="159"/>
        <v>3.2</v>
      </c>
      <c r="CM298">
        <f t="shared" si="160"/>
        <v>7.3333333333333339</v>
      </c>
      <c r="CN298">
        <f t="shared" si="161"/>
        <v>7.3333333333333339</v>
      </c>
      <c r="CO298">
        <f t="shared" si="162"/>
        <v>0.01</v>
      </c>
      <c r="CP298">
        <f t="shared" si="163"/>
        <v>0</v>
      </c>
      <c r="CQ298">
        <f t="shared" si="164"/>
        <v>0</v>
      </c>
      <c r="CR298">
        <f t="shared" si="165"/>
        <v>0.36956521739130438</v>
      </c>
      <c r="CS298">
        <f t="shared" si="166"/>
        <v>0.47826086956521735</v>
      </c>
      <c r="CT298">
        <f t="shared" si="167"/>
        <v>7.7083333333333337E-2</v>
      </c>
      <c r="CU298">
        <f t="shared" si="168"/>
        <v>4.5652173913043478E-2</v>
      </c>
      <c r="CV298" t="e">
        <f t="shared" si="169"/>
        <v>#DIV/0!</v>
      </c>
      <c r="CW298">
        <f t="shared" si="170"/>
        <v>0</v>
      </c>
      <c r="CX298">
        <f t="shared" si="171"/>
        <v>1.2941176470588234</v>
      </c>
      <c r="CY298">
        <f t="shared" si="172"/>
        <v>1.3043478260869565E-2</v>
      </c>
      <c r="CZ298">
        <f t="shared" si="173"/>
        <v>3.9166666666666665</v>
      </c>
      <c r="DA298">
        <f t="shared" si="174"/>
        <v>1.4864864864864866</v>
      </c>
      <c r="DB298">
        <f t="shared" si="175"/>
        <v>0.11458333333333334</v>
      </c>
      <c r="DC298">
        <f t="shared" si="176"/>
        <v>10.476190476190476</v>
      </c>
      <c r="DD298">
        <f t="shared" si="177"/>
        <v>0.3666666666666667</v>
      </c>
      <c r="DE298">
        <f t="shared" si="178"/>
        <v>0</v>
      </c>
      <c r="DF298">
        <f t="shared" si="179"/>
        <v>0</v>
      </c>
      <c r="DG298">
        <f t="shared" si="180"/>
        <v>0</v>
      </c>
      <c r="DH298">
        <f t="shared" si="181"/>
        <v>2.291666666666667</v>
      </c>
      <c r="DI298">
        <f t="shared" si="182"/>
        <v>8.8541666666666671E-2</v>
      </c>
      <c r="DJ298">
        <f t="shared" si="183"/>
        <v>6.2500000000000003E-3</v>
      </c>
      <c r="DK298">
        <f t="shared" si="184"/>
        <v>12.746357793840891</v>
      </c>
      <c r="DL298">
        <f t="shared" si="185"/>
        <v>7.933335773972451</v>
      </c>
      <c r="DM298">
        <f t="shared" si="186"/>
        <v>3.0538148881077141</v>
      </c>
      <c r="DN298">
        <f t="shared" si="187"/>
        <v>1.3325737693560933</v>
      </c>
      <c r="DO298">
        <f t="shared" si="188"/>
        <v>1.9006950291808997</v>
      </c>
      <c r="DP298">
        <f t="shared" si="189"/>
        <v>0.8293941945516653</v>
      </c>
    </row>
    <row r="299" spans="1:120">
      <c r="A299" s="16" t="s">
        <v>1229</v>
      </c>
      <c r="B299" s="16" t="s">
        <v>24</v>
      </c>
      <c r="C299" s="125" t="s">
        <v>1722</v>
      </c>
      <c r="D299" s="16"/>
      <c r="E299" s="16" t="s">
        <v>1394</v>
      </c>
      <c r="F299" s="16" t="s">
        <v>1432</v>
      </c>
      <c r="G299" s="16" t="s">
        <v>595</v>
      </c>
      <c r="H299" s="27">
        <v>93</v>
      </c>
      <c r="I299" s="16"/>
      <c r="J299" s="16" t="s">
        <v>1311</v>
      </c>
      <c r="K299" s="16" t="s">
        <v>1274</v>
      </c>
      <c r="L299" s="16"/>
      <c r="M299" s="16" t="s">
        <v>1487</v>
      </c>
      <c r="N299" s="16">
        <v>32</v>
      </c>
      <c r="O299" s="95">
        <v>30.931125082189688</v>
      </c>
      <c r="P299" s="95">
        <v>2.1994745796908099</v>
      </c>
      <c r="Q299" s="95">
        <v>4.5025243252314588</v>
      </c>
      <c r="R299" s="95">
        <v>11.889387115566832</v>
      </c>
      <c r="S299" s="95">
        <v>6.2784600906795038</v>
      </c>
      <c r="T299" s="95">
        <v>14.162778338375073</v>
      </c>
      <c r="U299" s="95">
        <v>2.5384963595361159</v>
      </c>
      <c r="V299" s="95">
        <v>5.0391032508375773</v>
      </c>
      <c r="W299" s="95">
        <v>14.127400697575929</v>
      </c>
      <c r="X299" s="95">
        <v>4.9174313494728716</v>
      </c>
      <c r="Y299" s="95">
        <v>4.408738682857023</v>
      </c>
      <c r="Z299" s="95">
        <v>100.99491987201289</v>
      </c>
      <c r="AA299" s="16"/>
      <c r="AB299" s="16"/>
      <c r="AC299" s="16"/>
      <c r="AD299" s="16"/>
      <c r="AE299" s="128"/>
      <c r="AF299" s="128"/>
      <c r="AG299" s="16"/>
      <c r="AH299" s="16"/>
      <c r="AI299" s="16"/>
      <c r="AJ299" s="16"/>
      <c r="AK299" s="135"/>
      <c r="AL299" s="16"/>
      <c r="AM299" s="135"/>
      <c r="AN299" s="128"/>
      <c r="AO299" s="16"/>
      <c r="AP299" s="16"/>
      <c r="AQ299" s="16"/>
      <c r="AR299" s="16"/>
      <c r="AS299" s="16"/>
      <c r="AT299" s="16"/>
      <c r="AU299" s="16"/>
      <c r="AV299" s="16"/>
      <c r="AW299" s="16"/>
      <c r="AX299" s="128">
        <v>0.09</v>
      </c>
      <c r="AY299" s="128">
        <v>4.833333333333333</v>
      </c>
      <c r="AZ299" s="128">
        <v>2.3666666666666667</v>
      </c>
      <c r="BA299" s="128">
        <v>1.615</v>
      </c>
      <c r="BB299" s="16"/>
      <c r="BC299" s="128">
        <v>1.25</v>
      </c>
      <c r="BD299" s="16"/>
      <c r="BE299" s="16"/>
      <c r="BF299" s="16"/>
      <c r="BG299" s="16"/>
      <c r="BH299" s="128"/>
      <c r="BI299" s="128">
        <v>7</v>
      </c>
      <c r="BJ299" s="16"/>
      <c r="BK299" s="128">
        <v>16.566666666666666</v>
      </c>
      <c r="BL299" s="128">
        <v>13.833333333333334</v>
      </c>
      <c r="BM299" s="128">
        <v>4.0333333333333341</v>
      </c>
      <c r="BN299" s="128">
        <v>14.700000000000001</v>
      </c>
      <c r="BO299" s="16">
        <v>1.92</v>
      </c>
      <c r="BP299" s="16">
        <v>0.4466666666666666</v>
      </c>
      <c r="BQ299" s="16">
        <v>1.1500000000000001</v>
      </c>
      <c r="BR299" s="16">
        <v>0.62666666666666659</v>
      </c>
      <c r="BS299" s="16"/>
      <c r="BT299" s="16">
        <v>0.25666666666666665</v>
      </c>
      <c r="BU299" s="16"/>
      <c r="BV299" s="16">
        <v>0.16333333333333336</v>
      </c>
      <c r="BW299" s="16">
        <v>2.6666666666666668E-2</v>
      </c>
      <c r="BX299" s="16">
        <v>3.5000000000000003E-2</v>
      </c>
      <c r="BY299" s="128"/>
      <c r="BZ299" s="16"/>
      <c r="CA299" s="128">
        <v>1.51</v>
      </c>
      <c r="CB299" s="128">
        <v>1.1133333333333333</v>
      </c>
      <c r="CC299" s="128">
        <v>6.3333333333333339E-2</v>
      </c>
      <c r="CE299">
        <f t="shared" si="152"/>
        <v>1.4482758620689655</v>
      </c>
      <c r="CF299">
        <f t="shared" si="153"/>
        <v>0.42253521126760563</v>
      </c>
      <c r="CG299">
        <f t="shared" si="154"/>
        <v>0.29175050301810862</v>
      </c>
      <c r="CH299">
        <f t="shared" si="155"/>
        <v>1.197590361445783</v>
      </c>
      <c r="CI299">
        <f t="shared" si="156"/>
        <v>0</v>
      </c>
      <c r="CJ299" t="e">
        <f t="shared" si="157"/>
        <v>#DIV/0!</v>
      </c>
      <c r="CK299">
        <f t="shared" si="158"/>
        <v>0</v>
      </c>
      <c r="CL299">
        <f t="shared" si="159"/>
        <v>0.34939759036144574</v>
      </c>
      <c r="CM299">
        <f t="shared" si="160"/>
        <v>0.50602409638554213</v>
      </c>
      <c r="CN299">
        <f t="shared" si="161"/>
        <v>0.50602409638554213</v>
      </c>
      <c r="CO299">
        <f t="shared" si="162"/>
        <v>0</v>
      </c>
      <c r="CP299">
        <f t="shared" si="163"/>
        <v>23.842105263157894</v>
      </c>
      <c r="CQ299">
        <f t="shared" si="164"/>
        <v>9.1146881287726356E-2</v>
      </c>
      <c r="CR299">
        <f t="shared" si="165"/>
        <v>7.5452716297786715E-2</v>
      </c>
      <c r="CS299">
        <f t="shared" si="166"/>
        <v>9.7484909456740446E-2</v>
      </c>
      <c r="CT299">
        <f t="shared" si="167"/>
        <v>1.8620689655172416E-2</v>
      </c>
      <c r="CU299">
        <f t="shared" si="168"/>
        <v>0.14285714285714285</v>
      </c>
      <c r="CV299" t="e">
        <f t="shared" si="169"/>
        <v>#DIV/0!</v>
      </c>
      <c r="CW299">
        <f t="shared" si="170"/>
        <v>0</v>
      </c>
      <c r="CX299">
        <f t="shared" si="171"/>
        <v>1.292</v>
      </c>
      <c r="CY299">
        <f t="shared" si="172"/>
        <v>0</v>
      </c>
      <c r="CZ299">
        <f t="shared" si="173"/>
        <v>17.578947368421051</v>
      </c>
      <c r="DA299">
        <f t="shared" si="174"/>
        <v>17.944444444444446</v>
      </c>
      <c r="DB299">
        <f t="shared" si="175"/>
        <v>0.3341379310344828</v>
      </c>
      <c r="DC299">
        <f t="shared" si="176"/>
        <v>0.68239436619718308</v>
      </c>
      <c r="DD299">
        <f t="shared" si="177"/>
        <v>0.11674698795180723</v>
      </c>
      <c r="DE299">
        <f t="shared" si="178"/>
        <v>0</v>
      </c>
      <c r="DF299">
        <f t="shared" si="179"/>
        <v>0</v>
      </c>
      <c r="DG299">
        <f t="shared" si="180"/>
        <v>0</v>
      </c>
      <c r="DH299">
        <f t="shared" si="181"/>
        <v>1.4482758620689655</v>
      </c>
      <c r="DI299">
        <f t="shared" si="182"/>
        <v>0.25862068965517243</v>
      </c>
      <c r="DJ299">
        <f t="shared" si="183"/>
        <v>1.3103448275862071E-2</v>
      </c>
      <c r="DK299">
        <f t="shared" si="184"/>
        <v>0.37898149440721351</v>
      </c>
      <c r="DL299">
        <f t="shared" si="185"/>
        <v>0.27178215242845827</v>
      </c>
      <c r="DM299">
        <f t="shared" si="186"/>
        <v>1.2989917428992077</v>
      </c>
      <c r="DN299">
        <f t="shared" si="187"/>
        <v>0.89692287009707194</v>
      </c>
      <c r="DO299">
        <f t="shared" si="188"/>
        <v>0.93155675694443985</v>
      </c>
      <c r="DP299">
        <f t="shared" si="189"/>
        <v>0.64321776074735126</v>
      </c>
    </row>
    <row r="300" spans="1:120">
      <c r="A300" s="16" t="s">
        <v>1229</v>
      </c>
      <c r="B300" s="16" t="s">
        <v>24</v>
      </c>
      <c r="C300" s="125" t="s">
        <v>1722</v>
      </c>
      <c r="D300" s="16"/>
      <c r="E300" s="16" t="s">
        <v>1394</v>
      </c>
      <c r="F300" s="16" t="s">
        <v>1432</v>
      </c>
      <c r="G300" s="16" t="s">
        <v>595</v>
      </c>
      <c r="H300" s="27">
        <v>93</v>
      </c>
      <c r="I300" s="16"/>
      <c r="J300" s="16" t="s">
        <v>1311</v>
      </c>
      <c r="K300" s="16" t="s">
        <v>1274</v>
      </c>
      <c r="L300" s="16"/>
      <c r="M300" s="16" t="s">
        <v>1488</v>
      </c>
      <c r="N300" s="16">
        <v>29</v>
      </c>
      <c r="O300" s="95">
        <v>33.287685818528132</v>
      </c>
      <c r="P300" s="95">
        <v>1.2804999035112876</v>
      </c>
      <c r="Q300" s="95">
        <v>4.2053131744796257</v>
      </c>
      <c r="R300" s="95">
        <v>9.8973168750946812</v>
      </c>
      <c r="S300" s="95">
        <v>6.4043217362513145</v>
      </c>
      <c r="T300" s="95">
        <v>18.294704622158601</v>
      </c>
      <c r="U300" s="95">
        <v>1.0257131337137135</v>
      </c>
      <c r="V300" s="95">
        <v>5.1832018982163577</v>
      </c>
      <c r="W300" s="95">
        <v>12.908224042295146</v>
      </c>
      <c r="X300" s="95">
        <v>5.356640377971857</v>
      </c>
      <c r="Y300" s="95">
        <v>2.7848311442723221</v>
      </c>
      <c r="Z300" s="95">
        <v>100.62845272649302</v>
      </c>
      <c r="AA300" s="16"/>
      <c r="AB300" s="16"/>
      <c r="AC300" s="16"/>
      <c r="AD300" s="16"/>
      <c r="AE300" s="128"/>
      <c r="AF300" s="128"/>
      <c r="AG300" s="16"/>
      <c r="AH300" s="16"/>
      <c r="AI300" s="16"/>
      <c r="AJ300" s="16"/>
      <c r="AK300" s="135"/>
      <c r="AL300" s="16"/>
      <c r="AM300" s="135"/>
      <c r="AN300" s="128"/>
      <c r="AO300" s="16"/>
      <c r="AP300" s="16"/>
      <c r="AQ300" s="16"/>
      <c r="AR300" s="16"/>
      <c r="AS300" s="16"/>
      <c r="AT300" s="16"/>
      <c r="AU300" s="16"/>
      <c r="AV300" s="16"/>
      <c r="AW300" s="16"/>
      <c r="AX300" s="128">
        <v>0.04</v>
      </c>
      <c r="AY300" s="128">
        <v>5</v>
      </c>
      <c r="AZ300" s="128">
        <v>1.5666666666666667</v>
      </c>
      <c r="BA300" s="128">
        <v>0.51</v>
      </c>
      <c r="BB300" s="16"/>
      <c r="BC300" s="128">
        <v>0.49666666666666665</v>
      </c>
      <c r="BD300" s="16"/>
      <c r="BE300" s="16"/>
      <c r="BF300" s="16"/>
      <c r="BG300" s="16"/>
      <c r="BH300" s="128"/>
      <c r="BI300" s="128">
        <v>7.5666666666666673</v>
      </c>
      <c r="BJ300" s="16"/>
      <c r="BK300" s="128">
        <v>11.766666666666666</v>
      </c>
      <c r="BL300" s="128">
        <v>11.299999999999999</v>
      </c>
      <c r="BM300" s="128">
        <v>2</v>
      </c>
      <c r="BN300" s="128">
        <v>7.1333333333333329</v>
      </c>
      <c r="BO300" s="16">
        <v>0.75666666666666671</v>
      </c>
      <c r="BP300" s="16">
        <v>0.25</v>
      </c>
      <c r="BQ300" s="16">
        <v>0.71</v>
      </c>
      <c r="BR300" s="16">
        <v>0.37666666666666671</v>
      </c>
      <c r="BS300" s="16"/>
      <c r="BT300" s="16">
        <v>0.19</v>
      </c>
      <c r="BU300" s="16"/>
      <c r="BV300" s="16">
        <v>0.17666666666666667</v>
      </c>
      <c r="BW300" s="16">
        <v>0.06</v>
      </c>
      <c r="BX300" s="16"/>
      <c r="BY300" s="128"/>
      <c r="BZ300" s="16"/>
      <c r="CA300" s="128">
        <v>0.93</v>
      </c>
      <c r="CB300" s="128">
        <v>1.1166666666666667</v>
      </c>
      <c r="CC300" s="128">
        <v>3.4333333333333334E-2</v>
      </c>
      <c r="CE300">
        <f t="shared" si="152"/>
        <v>1.5133333333333334</v>
      </c>
      <c r="CF300">
        <f t="shared" si="153"/>
        <v>0.64305949008498597</v>
      </c>
      <c r="CG300">
        <f t="shared" si="154"/>
        <v>0.42492917847025496</v>
      </c>
      <c r="CH300">
        <f t="shared" si="155"/>
        <v>1.0412979351032448</v>
      </c>
      <c r="CI300">
        <f t="shared" si="156"/>
        <v>0</v>
      </c>
      <c r="CJ300" t="e">
        <f t="shared" si="157"/>
        <v>#DIV/0!</v>
      </c>
      <c r="CK300">
        <f t="shared" si="158"/>
        <v>0</v>
      </c>
      <c r="CL300">
        <f t="shared" si="159"/>
        <v>0.44247787610619471</v>
      </c>
      <c r="CM300">
        <f t="shared" si="160"/>
        <v>0.66961651917404141</v>
      </c>
      <c r="CN300">
        <f t="shared" si="161"/>
        <v>0.66961651917404141</v>
      </c>
      <c r="CO300">
        <f t="shared" si="162"/>
        <v>0</v>
      </c>
      <c r="CP300">
        <f t="shared" si="163"/>
        <v>27.087378640776699</v>
      </c>
      <c r="CQ300">
        <f t="shared" si="164"/>
        <v>7.9036827195467438E-2</v>
      </c>
      <c r="CR300">
        <f t="shared" si="165"/>
        <v>4.220963172804533E-2</v>
      </c>
      <c r="CS300">
        <f t="shared" si="166"/>
        <v>4.334277620396601E-2</v>
      </c>
      <c r="CT300">
        <f t="shared" si="167"/>
        <v>8.0000000000000002E-3</v>
      </c>
      <c r="CU300">
        <f t="shared" si="168"/>
        <v>0.13314447592067991</v>
      </c>
      <c r="CV300" t="e">
        <f t="shared" si="169"/>
        <v>#DIV/0!</v>
      </c>
      <c r="CW300">
        <f t="shared" si="170"/>
        <v>0</v>
      </c>
      <c r="CX300">
        <f t="shared" si="171"/>
        <v>1.0268456375838926</v>
      </c>
      <c r="CY300">
        <f t="shared" si="172"/>
        <v>0</v>
      </c>
      <c r="CZ300">
        <f t="shared" si="173"/>
        <v>32.524271844660191</v>
      </c>
      <c r="DA300">
        <f t="shared" si="174"/>
        <v>12.75</v>
      </c>
      <c r="DB300">
        <f t="shared" si="175"/>
        <v>0.10200000000000001</v>
      </c>
      <c r="DC300">
        <f t="shared" si="176"/>
        <v>0.32553191489361705</v>
      </c>
      <c r="DD300">
        <f t="shared" si="177"/>
        <v>4.5132743362831865E-2</v>
      </c>
      <c r="DE300">
        <f t="shared" si="178"/>
        <v>0</v>
      </c>
      <c r="DF300">
        <f t="shared" si="179"/>
        <v>0</v>
      </c>
      <c r="DG300">
        <f t="shared" si="180"/>
        <v>0</v>
      </c>
      <c r="DH300">
        <f t="shared" si="181"/>
        <v>1.5133333333333334</v>
      </c>
      <c r="DI300">
        <f t="shared" si="182"/>
        <v>9.9333333333333329E-2</v>
      </c>
      <c r="DJ300">
        <f t="shared" si="183"/>
        <v>6.8666666666666668E-3</v>
      </c>
      <c r="DK300">
        <f t="shared" si="184"/>
        <v>0.54427663480889366</v>
      </c>
      <c r="DL300">
        <f t="shared" si="185"/>
        <v>0.35739205448835348</v>
      </c>
      <c r="DM300">
        <f t="shared" si="186"/>
        <v>1.280864347250263</v>
      </c>
      <c r="DN300">
        <f t="shared" si="187"/>
        <v>0.84638613254422657</v>
      </c>
      <c r="DO300">
        <f t="shared" si="188"/>
        <v>0.84106263489592514</v>
      </c>
      <c r="DP300">
        <f t="shared" si="189"/>
        <v>0.55576826094444387</v>
      </c>
    </row>
    <row r="301" spans="1:120">
      <c r="A301" s="16" t="s">
        <v>1229</v>
      </c>
      <c r="B301" s="16" t="s">
        <v>24</v>
      </c>
      <c r="C301" s="125" t="s">
        <v>1722</v>
      </c>
      <c r="D301" s="16"/>
      <c r="E301" s="16" t="s">
        <v>1394</v>
      </c>
      <c r="F301" s="16" t="s">
        <v>1432</v>
      </c>
      <c r="G301" s="16" t="s">
        <v>595</v>
      </c>
      <c r="H301" s="27">
        <v>93</v>
      </c>
      <c r="I301" s="16"/>
      <c r="J301" s="16" t="s">
        <v>1311</v>
      </c>
      <c r="K301" s="16" t="s">
        <v>1274</v>
      </c>
      <c r="L301" s="16"/>
      <c r="M301" s="16" t="s">
        <v>1489</v>
      </c>
      <c r="N301" s="16">
        <v>35</v>
      </c>
      <c r="O301" s="95">
        <v>26.30115552970776</v>
      </c>
      <c r="P301" s="95">
        <v>1.6102316320725878</v>
      </c>
      <c r="Q301" s="95">
        <v>3.5823974843283266</v>
      </c>
      <c r="R301" s="95">
        <v>14.227893576379621</v>
      </c>
      <c r="S301" s="95">
        <v>9.57263504790523</v>
      </c>
      <c r="T301" s="95">
        <v>8.2309698302162264</v>
      </c>
      <c r="U301" s="95">
        <v>2.4041089138841536</v>
      </c>
      <c r="V301" s="95">
        <v>12.019668109926481</v>
      </c>
      <c r="W301" s="95">
        <v>13.012957787279229</v>
      </c>
      <c r="X301" s="95">
        <v>5.9240211570112109</v>
      </c>
      <c r="Y301" s="95">
        <v>4.0214905287504958</v>
      </c>
      <c r="Z301" s="95">
        <v>100.90752959746132</v>
      </c>
      <c r="AA301" s="16"/>
      <c r="AB301" s="16"/>
      <c r="AC301" s="16"/>
      <c r="AD301" s="16"/>
      <c r="AE301" s="128"/>
      <c r="AF301" s="128"/>
      <c r="AG301" s="16"/>
      <c r="AH301" s="16"/>
      <c r="AI301" s="16"/>
      <c r="AJ301" s="16">
        <v>616.33333333333337</v>
      </c>
      <c r="AK301" s="135"/>
      <c r="AL301" s="16"/>
      <c r="AM301" s="135"/>
      <c r="AN301" s="128"/>
      <c r="AO301" s="16"/>
      <c r="AP301" s="16"/>
      <c r="AQ301" s="16"/>
      <c r="AR301" s="16"/>
      <c r="AS301" s="16"/>
      <c r="AT301" s="16"/>
      <c r="AU301" s="16"/>
      <c r="AV301" s="16"/>
      <c r="AW301" s="16"/>
      <c r="AX301" s="128">
        <v>0.49666666666666676</v>
      </c>
      <c r="AY301" s="128">
        <v>760.66666666666663</v>
      </c>
      <c r="AZ301" s="128">
        <v>698.33333333333337</v>
      </c>
      <c r="BA301" s="128">
        <v>15.233333333333334</v>
      </c>
      <c r="BB301" s="16"/>
      <c r="BC301" s="128">
        <v>66.399999999999991</v>
      </c>
      <c r="BD301" s="16"/>
      <c r="BE301" s="16"/>
      <c r="BF301" s="16"/>
      <c r="BG301" s="16"/>
      <c r="BH301" s="128"/>
      <c r="BI301" s="128">
        <v>3906.3333333333335</v>
      </c>
      <c r="BJ301" s="16"/>
      <c r="BK301" s="128">
        <v>4895.666666666667</v>
      </c>
      <c r="BL301" s="128">
        <v>8976.3333333333339</v>
      </c>
      <c r="BM301" s="128">
        <v>1036.3333333333333</v>
      </c>
      <c r="BN301" s="128">
        <v>3576.3333333333335</v>
      </c>
      <c r="BO301" s="16">
        <v>551</v>
      </c>
      <c r="BP301" s="16">
        <v>120.89999999999999</v>
      </c>
      <c r="BQ301" s="16">
        <v>312.66666666666669</v>
      </c>
      <c r="BR301" s="16">
        <v>197.9</v>
      </c>
      <c r="BS301" s="16"/>
      <c r="BT301" s="16">
        <v>67.399999999999991</v>
      </c>
      <c r="BU301" s="16"/>
      <c r="BV301" s="16">
        <v>46.566666666666663</v>
      </c>
      <c r="BW301" s="16">
        <v>5.413333333333334</v>
      </c>
      <c r="BX301" s="16">
        <v>1.95</v>
      </c>
      <c r="BY301" s="128"/>
      <c r="BZ301" s="16"/>
      <c r="CA301" s="128">
        <v>1358</v>
      </c>
      <c r="CB301" s="128">
        <v>91</v>
      </c>
      <c r="CC301" s="128">
        <v>7.830000000000001</v>
      </c>
      <c r="CE301">
        <f t="shared" si="152"/>
        <v>5.1354075372480281</v>
      </c>
      <c r="CF301">
        <f t="shared" si="153"/>
        <v>0.79791652481786612</v>
      </c>
      <c r="CG301">
        <f t="shared" si="154"/>
        <v>0.15537550214475385</v>
      </c>
      <c r="CH301">
        <f t="shared" si="155"/>
        <v>0.54539715548293666</v>
      </c>
      <c r="CI301">
        <f t="shared" si="156"/>
        <v>0</v>
      </c>
      <c r="CJ301" t="e">
        <f t="shared" si="157"/>
        <v>#DIV/0!</v>
      </c>
      <c r="CK301">
        <f t="shared" si="158"/>
        <v>0</v>
      </c>
      <c r="CL301">
        <f t="shared" si="159"/>
        <v>8.4741356901481671E-2</v>
      </c>
      <c r="CM301">
        <f t="shared" si="160"/>
        <v>0.43518140294849417</v>
      </c>
      <c r="CN301">
        <f t="shared" si="161"/>
        <v>0.43518140294849417</v>
      </c>
      <c r="CO301">
        <f t="shared" si="162"/>
        <v>0</v>
      </c>
      <c r="CP301">
        <f t="shared" si="163"/>
        <v>173.43550446998719</v>
      </c>
      <c r="CQ301">
        <f t="shared" si="164"/>
        <v>0.27738816640566488</v>
      </c>
      <c r="CR301">
        <f t="shared" si="165"/>
        <v>1.3563014911145909E-2</v>
      </c>
      <c r="CS301">
        <f t="shared" si="166"/>
        <v>3.1115952883502417E-3</v>
      </c>
      <c r="CT301">
        <f t="shared" si="167"/>
        <v>6.529360210341807E-4</v>
      </c>
      <c r="CU301">
        <f t="shared" si="168"/>
        <v>0.14264315380949139</v>
      </c>
      <c r="CV301" t="e">
        <f t="shared" si="169"/>
        <v>#DIV/0!</v>
      </c>
      <c r="CW301">
        <f t="shared" si="170"/>
        <v>0</v>
      </c>
      <c r="CX301">
        <f t="shared" si="171"/>
        <v>0.22941767068273097</v>
      </c>
      <c r="CY301">
        <f t="shared" si="172"/>
        <v>0</v>
      </c>
      <c r="CZ301">
        <f t="shared" si="173"/>
        <v>11.621966794380587</v>
      </c>
      <c r="DA301">
        <f t="shared" si="174"/>
        <v>30.671140939597311</v>
      </c>
      <c r="DB301">
        <f t="shared" si="175"/>
        <v>2.002629272567923E-2</v>
      </c>
      <c r="DC301">
        <f t="shared" si="176"/>
        <v>2.1813842482100238E-2</v>
      </c>
      <c r="DD301">
        <f t="shared" si="177"/>
        <v>1.6970552192803298E-3</v>
      </c>
      <c r="DE301">
        <f t="shared" si="178"/>
        <v>0</v>
      </c>
      <c r="DF301">
        <f t="shared" si="179"/>
        <v>0</v>
      </c>
      <c r="DG301">
        <f t="shared" si="180"/>
        <v>0</v>
      </c>
      <c r="DH301">
        <f t="shared" si="181"/>
        <v>5.1354075372480281</v>
      </c>
      <c r="DI301">
        <f t="shared" si="182"/>
        <v>8.7291849255039439E-2</v>
      </c>
      <c r="DJ301">
        <f t="shared" si="183"/>
        <v>1.0293602103418056E-2</v>
      </c>
      <c r="DK301">
        <f t="shared" si="184"/>
        <v>1.9553281911701293E-3</v>
      </c>
      <c r="DL301">
        <f t="shared" si="185"/>
        <v>7.3174865207223936E-4</v>
      </c>
      <c r="DM301">
        <f t="shared" si="186"/>
        <v>1.2584533367097148E-2</v>
      </c>
      <c r="DN301">
        <f t="shared" si="187"/>
        <v>2.450542294028133E-3</v>
      </c>
      <c r="DO301">
        <f t="shared" si="188"/>
        <v>4.7095497164701926E-3</v>
      </c>
      <c r="DP301">
        <f t="shared" si="189"/>
        <v>9.1707419173862783E-4</v>
      </c>
    </row>
    <row r="302" spans="1:120">
      <c r="A302" s="16" t="s">
        <v>1229</v>
      </c>
      <c r="B302" s="16" t="s">
        <v>24</v>
      </c>
      <c r="C302" s="125" t="s">
        <v>1722</v>
      </c>
      <c r="D302" s="16"/>
      <c r="E302" s="16" t="s">
        <v>1394</v>
      </c>
      <c r="F302" s="16" t="s">
        <v>1432</v>
      </c>
      <c r="G302" s="16" t="s">
        <v>595</v>
      </c>
      <c r="H302" s="27">
        <v>93</v>
      </c>
      <c r="I302" s="16"/>
      <c r="J302" s="16" t="s">
        <v>1311</v>
      </c>
      <c r="K302" s="16" t="s">
        <v>1274</v>
      </c>
      <c r="L302" s="16"/>
      <c r="M302" s="16" t="s">
        <v>1490</v>
      </c>
      <c r="N302" s="16">
        <v>25</v>
      </c>
      <c r="O302" s="95">
        <v>27.64572960848891</v>
      </c>
      <c r="P302" s="95">
        <v>2.8425865582450709</v>
      </c>
      <c r="Q302" s="95">
        <v>4.3412816993339476</v>
      </c>
      <c r="R302" s="95">
        <v>10.402388112317047</v>
      </c>
      <c r="S302" s="95">
        <v>6.9521188107960681</v>
      </c>
      <c r="T302" s="95">
        <v>20.697415561780542</v>
      </c>
      <c r="U302" s="95">
        <v>1.5976667869397394</v>
      </c>
      <c r="V302" s="95">
        <v>4.811071393358322</v>
      </c>
      <c r="W302" s="95">
        <v>12.346132995309235</v>
      </c>
      <c r="X302" s="95">
        <v>6.0024982650840313</v>
      </c>
      <c r="Y302" s="95">
        <v>3.0492297590493327</v>
      </c>
      <c r="Z302" s="95">
        <v>100.68811955070224</v>
      </c>
      <c r="AA302" s="16"/>
      <c r="AB302" s="16"/>
      <c r="AC302" s="16"/>
      <c r="AD302" s="16"/>
      <c r="AE302" s="128"/>
      <c r="AF302" s="128"/>
      <c r="AG302" s="16"/>
      <c r="AH302" s="16"/>
      <c r="AI302" s="16"/>
      <c r="AJ302" s="16"/>
      <c r="AK302" s="135"/>
      <c r="AL302" s="16"/>
      <c r="AM302" s="135"/>
      <c r="AN302" s="128"/>
      <c r="AO302" s="16"/>
      <c r="AP302" s="16"/>
      <c r="AQ302" s="16"/>
      <c r="AR302" s="16"/>
      <c r="AS302" s="16"/>
      <c r="AT302" s="16"/>
      <c r="AU302" s="16"/>
      <c r="AV302" s="16"/>
      <c r="AW302" s="16"/>
      <c r="AX302" s="128">
        <v>0.05</v>
      </c>
      <c r="AY302" s="128">
        <v>43.5</v>
      </c>
      <c r="AZ302" s="128">
        <v>16</v>
      </c>
      <c r="BA302" s="128">
        <v>3.95</v>
      </c>
      <c r="BB302" s="16"/>
      <c r="BC302" s="128">
        <v>2.2999999999999998</v>
      </c>
      <c r="BD302" s="16"/>
      <c r="BE302" s="16"/>
      <c r="BF302" s="16"/>
      <c r="BG302" s="16"/>
      <c r="BH302" s="128"/>
      <c r="BI302" s="128">
        <v>255</v>
      </c>
      <c r="BJ302" s="16"/>
      <c r="BK302" s="128">
        <v>390.5</v>
      </c>
      <c r="BL302" s="128">
        <v>457</v>
      </c>
      <c r="BM302" s="128">
        <v>41.5</v>
      </c>
      <c r="BN302" s="128">
        <v>130</v>
      </c>
      <c r="BO302" s="16">
        <v>16.5</v>
      </c>
      <c r="BP302" s="16">
        <v>3.7</v>
      </c>
      <c r="BQ302" s="16">
        <v>9.1499999999999986</v>
      </c>
      <c r="BR302" s="16">
        <v>4.8</v>
      </c>
      <c r="BS302" s="16"/>
      <c r="BT302" s="16">
        <v>1.5</v>
      </c>
      <c r="BU302" s="16"/>
      <c r="BV302" s="16">
        <v>0.94</v>
      </c>
      <c r="BW302" s="16">
        <v>0.125</v>
      </c>
      <c r="BX302" s="16">
        <v>0.1</v>
      </c>
      <c r="BY302" s="128"/>
      <c r="BZ302" s="16"/>
      <c r="CA302" s="128">
        <v>18.149999999999999</v>
      </c>
      <c r="CB302" s="128">
        <v>6.15</v>
      </c>
      <c r="CC302" s="128">
        <v>0.05</v>
      </c>
      <c r="CE302">
        <f t="shared" si="152"/>
        <v>5.8620689655172411</v>
      </c>
      <c r="CF302">
        <f t="shared" si="153"/>
        <v>0.65300896286811783</v>
      </c>
      <c r="CG302">
        <f t="shared" si="154"/>
        <v>0.11139564660691421</v>
      </c>
      <c r="CH302">
        <f t="shared" si="155"/>
        <v>0.85448577680525162</v>
      </c>
      <c r="CI302">
        <f t="shared" si="156"/>
        <v>0</v>
      </c>
      <c r="CJ302" t="e">
        <f t="shared" si="157"/>
        <v>#DIV/0!</v>
      </c>
      <c r="CK302">
        <f t="shared" si="158"/>
        <v>0</v>
      </c>
      <c r="CL302">
        <f t="shared" si="159"/>
        <v>9.5185995623632391E-2</v>
      </c>
      <c r="CM302">
        <f t="shared" si="160"/>
        <v>0.55798687089715537</v>
      </c>
      <c r="CN302">
        <f t="shared" si="161"/>
        <v>0.55798687089715537</v>
      </c>
      <c r="CO302">
        <f t="shared" si="162"/>
        <v>0</v>
      </c>
      <c r="CP302">
        <f t="shared" si="163"/>
        <v>362.99999999999994</v>
      </c>
      <c r="CQ302">
        <f t="shared" si="164"/>
        <v>4.6478873239436613E-2</v>
      </c>
      <c r="CR302">
        <f t="shared" si="165"/>
        <v>5.889884763124199E-3</v>
      </c>
      <c r="CS302">
        <f t="shared" si="166"/>
        <v>1.0115236875800257E-2</v>
      </c>
      <c r="CT302">
        <f t="shared" si="167"/>
        <v>1.1494252873563218E-3</v>
      </c>
      <c r="CU302">
        <f t="shared" si="168"/>
        <v>4.0973111395646605E-2</v>
      </c>
      <c r="CV302" t="e">
        <f t="shared" si="169"/>
        <v>#DIV/0!</v>
      </c>
      <c r="CW302">
        <f t="shared" si="170"/>
        <v>0</v>
      </c>
      <c r="CX302">
        <f t="shared" si="171"/>
        <v>1.7173913043478264</v>
      </c>
      <c r="CY302">
        <f t="shared" si="172"/>
        <v>0</v>
      </c>
      <c r="CZ302">
        <f t="shared" si="173"/>
        <v>123</v>
      </c>
      <c r="DA302">
        <f t="shared" si="174"/>
        <v>79</v>
      </c>
      <c r="DB302">
        <f t="shared" si="175"/>
        <v>9.0804597701149431E-2</v>
      </c>
      <c r="DC302">
        <f t="shared" si="176"/>
        <v>0.24687500000000001</v>
      </c>
      <c r="DD302">
        <f t="shared" si="177"/>
        <v>8.6433260393873092E-3</v>
      </c>
      <c r="DE302">
        <f t="shared" si="178"/>
        <v>0</v>
      </c>
      <c r="DF302">
        <f t="shared" si="179"/>
        <v>0</v>
      </c>
      <c r="DG302">
        <f t="shared" si="180"/>
        <v>0</v>
      </c>
      <c r="DH302">
        <f t="shared" si="181"/>
        <v>5.8620689655172411</v>
      </c>
      <c r="DI302">
        <f t="shared" si="182"/>
        <v>5.2873563218390804E-2</v>
      </c>
      <c r="DJ302">
        <f t="shared" si="183"/>
        <v>1.1494252873563218E-3</v>
      </c>
      <c r="DK302">
        <f t="shared" si="184"/>
        <v>1.7803121154407346E-2</v>
      </c>
      <c r="DL302">
        <f t="shared" si="185"/>
        <v>1.1117238666668239E-2</v>
      </c>
      <c r="DM302">
        <f t="shared" si="186"/>
        <v>0.15981882323669122</v>
      </c>
      <c r="DN302">
        <f t="shared" si="187"/>
        <v>2.7263211022729678E-2</v>
      </c>
      <c r="DO302">
        <f t="shared" si="188"/>
        <v>9.9799579295033275E-2</v>
      </c>
      <c r="DP302">
        <f t="shared" si="189"/>
        <v>1.7024634115035089E-2</v>
      </c>
    </row>
    <row r="303" spans="1:120">
      <c r="A303" s="16" t="s">
        <v>1229</v>
      </c>
      <c r="B303" s="16" t="s">
        <v>24</v>
      </c>
      <c r="C303" s="125" t="s">
        <v>1722</v>
      </c>
      <c r="D303" s="16"/>
      <c r="E303" s="16" t="s">
        <v>1394</v>
      </c>
      <c r="F303" s="16" t="s">
        <v>1432</v>
      </c>
      <c r="G303" s="16" t="s">
        <v>595</v>
      </c>
      <c r="H303" s="27">
        <v>93</v>
      </c>
      <c r="I303" s="16"/>
      <c r="J303" s="16" t="s">
        <v>1311</v>
      </c>
      <c r="K303" s="16" t="s">
        <v>1274</v>
      </c>
      <c r="L303" s="16"/>
      <c r="M303" s="16" t="s">
        <v>1491</v>
      </c>
      <c r="N303" s="16">
        <v>35</v>
      </c>
      <c r="O303" s="95">
        <v>39.403455005878591</v>
      </c>
      <c r="P303" s="95">
        <v>1.3050963198813972</v>
      </c>
      <c r="Q303" s="95">
        <v>5.1189041556624728</v>
      </c>
      <c r="R303" s="95">
        <v>11.933566981849713</v>
      </c>
      <c r="S303" s="95">
        <v>6.0816725802344065</v>
      </c>
      <c r="T303" s="95">
        <v>11.495980771191455</v>
      </c>
      <c r="U303" s="95">
        <v>1.8637275270523768</v>
      </c>
      <c r="V303" s="95">
        <v>5.9252788301414334</v>
      </c>
      <c r="W303" s="95">
        <v>8.2943730090115917</v>
      </c>
      <c r="X303" s="95">
        <v>6.8948298626760831</v>
      </c>
      <c r="Y303" s="95">
        <v>2.1736402624810807</v>
      </c>
      <c r="Z303" s="95">
        <v>100.49052530606062</v>
      </c>
      <c r="AA303" s="16"/>
      <c r="AB303" s="16"/>
      <c r="AC303" s="16"/>
      <c r="AD303" s="16"/>
      <c r="AE303" s="128"/>
      <c r="AF303" s="128"/>
      <c r="AG303" s="16"/>
      <c r="AH303" s="16"/>
      <c r="AI303" s="16"/>
      <c r="AJ303" s="16">
        <v>216</v>
      </c>
      <c r="AK303" s="135"/>
      <c r="AL303" s="16"/>
      <c r="AM303" s="135"/>
      <c r="AN303" s="128"/>
      <c r="AO303" s="16"/>
      <c r="AP303" s="16"/>
      <c r="AQ303" s="16"/>
      <c r="AR303" s="16"/>
      <c r="AS303" s="16"/>
      <c r="AT303" s="16"/>
      <c r="AU303" s="16"/>
      <c r="AV303" s="16"/>
      <c r="AW303" s="16"/>
      <c r="AX303" s="128">
        <v>0.13</v>
      </c>
      <c r="AY303" s="128">
        <v>5.2666666666666666</v>
      </c>
      <c r="AZ303" s="128">
        <v>0.65333333333333332</v>
      </c>
      <c r="BA303" s="128">
        <v>0.57999999999999996</v>
      </c>
      <c r="BB303" s="16"/>
      <c r="BC303" s="128">
        <v>0.93000000000000016</v>
      </c>
      <c r="BD303" s="16"/>
      <c r="BE303" s="16"/>
      <c r="BF303" s="16"/>
      <c r="BG303" s="16"/>
      <c r="BH303" s="128"/>
      <c r="BI303" s="128">
        <v>7.333333333333333</v>
      </c>
      <c r="BJ303" s="16"/>
      <c r="BK303" s="128">
        <v>3.6999999999999997</v>
      </c>
      <c r="BL303" s="128">
        <v>4.7</v>
      </c>
      <c r="BM303" s="128">
        <v>0.80999999999999994</v>
      </c>
      <c r="BN303" s="128">
        <v>3.2999999999999994</v>
      </c>
      <c r="BO303" s="16">
        <v>0.71</v>
      </c>
      <c r="BP303" s="16">
        <v>0.12666666666666668</v>
      </c>
      <c r="BQ303" s="16">
        <v>0.42333333333333334</v>
      </c>
      <c r="BR303" s="16">
        <v>0.20333333333333334</v>
      </c>
      <c r="BS303" s="16"/>
      <c r="BT303" s="16">
        <v>5.6666666666666671E-2</v>
      </c>
      <c r="BU303" s="16"/>
      <c r="BV303" s="16">
        <v>6.9999999999999993E-2</v>
      </c>
      <c r="BW303" s="16">
        <v>1.4666666666666666E-2</v>
      </c>
      <c r="BX303" s="16">
        <v>0.02</v>
      </c>
      <c r="BY303" s="128"/>
      <c r="BZ303" s="16"/>
      <c r="CA303" s="128">
        <v>4.04</v>
      </c>
      <c r="CB303" s="128">
        <v>0.35333333333333328</v>
      </c>
      <c r="CC303" s="128">
        <v>0.02</v>
      </c>
      <c r="CE303">
        <f t="shared" si="152"/>
        <v>1.3924050632911391</v>
      </c>
      <c r="CF303">
        <f t="shared" si="153"/>
        <v>1.9819819819819819</v>
      </c>
      <c r="CG303">
        <f t="shared" si="154"/>
        <v>1.4234234234234235</v>
      </c>
      <c r="CH303">
        <f t="shared" si="155"/>
        <v>0.7872340425531914</v>
      </c>
      <c r="CI303">
        <f t="shared" si="156"/>
        <v>0</v>
      </c>
      <c r="CJ303" t="e">
        <f t="shared" si="157"/>
        <v>#DIV/0!</v>
      </c>
      <c r="CK303">
        <f t="shared" si="158"/>
        <v>0</v>
      </c>
      <c r="CL303">
        <f t="shared" si="159"/>
        <v>1.1205673758865247</v>
      </c>
      <c r="CM303">
        <f t="shared" si="160"/>
        <v>1.5602836879432622</v>
      </c>
      <c r="CN303">
        <f t="shared" si="161"/>
        <v>1.5602836879432622</v>
      </c>
      <c r="CO303">
        <f t="shared" si="162"/>
        <v>0</v>
      </c>
      <c r="CP303">
        <f t="shared" si="163"/>
        <v>202</v>
      </c>
      <c r="CQ303">
        <f t="shared" si="164"/>
        <v>1.0918918918918921</v>
      </c>
      <c r="CR303">
        <f t="shared" si="165"/>
        <v>0.25135135135135139</v>
      </c>
      <c r="CS303">
        <f t="shared" si="166"/>
        <v>0.15675675675675677</v>
      </c>
      <c r="CT303">
        <f t="shared" si="167"/>
        <v>2.4683544303797468E-2</v>
      </c>
      <c r="CU303">
        <f t="shared" si="168"/>
        <v>0.17657657657657658</v>
      </c>
      <c r="CV303" t="e">
        <f t="shared" si="169"/>
        <v>#DIV/0!</v>
      </c>
      <c r="CW303">
        <f t="shared" si="170"/>
        <v>0</v>
      </c>
      <c r="CX303">
        <f t="shared" si="171"/>
        <v>0.62365591397849451</v>
      </c>
      <c r="CY303">
        <f t="shared" si="172"/>
        <v>0</v>
      </c>
      <c r="CZ303">
        <f t="shared" si="173"/>
        <v>17.666666666666664</v>
      </c>
      <c r="DA303">
        <f t="shared" si="174"/>
        <v>4.4615384615384608</v>
      </c>
      <c r="DB303">
        <f t="shared" si="175"/>
        <v>0.110126582278481</v>
      </c>
      <c r="DC303">
        <f t="shared" si="176"/>
        <v>0.88775510204081631</v>
      </c>
      <c r="DD303">
        <f t="shared" si="177"/>
        <v>0.12340425531914892</v>
      </c>
      <c r="DE303">
        <f t="shared" si="178"/>
        <v>0</v>
      </c>
      <c r="DF303">
        <f t="shared" si="179"/>
        <v>0</v>
      </c>
      <c r="DG303">
        <f t="shared" si="180"/>
        <v>0</v>
      </c>
      <c r="DH303">
        <f t="shared" si="181"/>
        <v>1.3924050632911391</v>
      </c>
      <c r="DI303">
        <f t="shared" si="182"/>
        <v>0.17658227848101268</v>
      </c>
      <c r="DJ303">
        <f t="shared" si="183"/>
        <v>3.79746835443038E-3</v>
      </c>
      <c r="DK303">
        <f t="shared" si="184"/>
        <v>1.6436952919552452</v>
      </c>
      <c r="DL303">
        <f t="shared" si="185"/>
        <v>1.3834876096385063</v>
      </c>
      <c r="DM303">
        <f t="shared" si="186"/>
        <v>1.1547479582723557</v>
      </c>
      <c r="DN303">
        <f t="shared" si="187"/>
        <v>0.82931898821378269</v>
      </c>
      <c r="DO303">
        <f t="shared" si="188"/>
        <v>0.9719438270245202</v>
      </c>
      <c r="DP303">
        <f t="shared" si="189"/>
        <v>0.69803238486306451</v>
      </c>
    </row>
    <row r="304" spans="1:120">
      <c r="A304" s="4" t="s">
        <v>1431</v>
      </c>
      <c r="B304" s="16" t="s">
        <v>24</v>
      </c>
      <c r="C304" s="125" t="s">
        <v>1722</v>
      </c>
      <c r="D304" s="16" t="s">
        <v>1722</v>
      </c>
      <c r="E304" s="4" t="s">
        <v>388</v>
      </c>
      <c r="F304" s="4" t="s">
        <v>342</v>
      </c>
      <c r="G304" s="4" t="s">
        <v>640</v>
      </c>
      <c r="H304" s="49">
        <v>71.3</v>
      </c>
      <c r="I304" s="4"/>
      <c r="J304" s="4" t="s">
        <v>1311</v>
      </c>
      <c r="K304" s="4" t="s">
        <v>115</v>
      </c>
      <c r="L304" s="4"/>
      <c r="M304" s="4" t="s">
        <v>1255</v>
      </c>
      <c r="N304" s="4">
        <v>18</v>
      </c>
      <c r="O304" s="95">
        <v>23.027546817425879</v>
      </c>
      <c r="P304" s="95">
        <v>2.5153627212792897</v>
      </c>
      <c r="Q304" s="95">
        <v>3.0244242243953363</v>
      </c>
      <c r="R304" s="95">
        <v>14.153906106246161</v>
      </c>
      <c r="S304" s="95">
        <v>5.3700997779692772</v>
      </c>
      <c r="T304" s="95">
        <v>22.358779744704798</v>
      </c>
      <c r="U304" s="95">
        <v>0</v>
      </c>
      <c r="V304" s="95">
        <v>3.5933753161132711</v>
      </c>
      <c r="W304" s="95">
        <v>15.83081458709902</v>
      </c>
      <c r="X304" s="95">
        <v>7.366419398032205</v>
      </c>
      <c r="Y304" s="95">
        <v>3.5634305218123266</v>
      </c>
      <c r="Z304" s="95">
        <v>100.80415921507755</v>
      </c>
      <c r="AJ304" s="44">
        <v>61.17</v>
      </c>
      <c r="AX304" s="131">
        <v>0.74</v>
      </c>
      <c r="AY304" s="131">
        <v>6.3019999999999996</v>
      </c>
      <c r="AZ304" s="131">
        <v>0.48499999999999999</v>
      </c>
      <c r="BA304" s="131">
        <v>0.86299999999999999</v>
      </c>
      <c r="BC304" s="131">
        <v>7.3999999999999996E-2</v>
      </c>
      <c r="BH304" s="131">
        <v>0</v>
      </c>
      <c r="BI304" s="131">
        <v>74.709999999999994</v>
      </c>
      <c r="BJ304" s="44">
        <v>0</v>
      </c>
      <c r="BK304" s="131" t="s">
        <v>1191</v>
      </c>
      <c r="BL304" s="131" t="s">
        <v>1191</v>
      </c>
      <c r="BM304" s="131">
        <v>0.52400000000000002</v>
      </c>
      <c r="BN304" s="131">
        <v>1.9950000000000001</v>
      </c>
      <c r="BO304" s="44">
        <v>0.17</v>
      </c>
      <c r="BP304" s="44">
        <v>6.8000000000000005E-2</v>
      </c>
      <c r="BQ304" s="44" t="s">
        <v>1192</v>
      </c>
      <c r="BR304" s="44">
        <v>4.4999999999999998E-2</v>
      </c>
      <c r="BT304" s="44">
        <v>1.2999999999999999E-2</v>
      </c>
      <c r="BV304" s="44">
        <v>3.6999999999999998E-2</v>
      </c>
      <c r="BW304" s="44">
        <v>7.0000000000000001E-3</v>
      </c>
      <c r="BX304" s="44">
        <v>0.21</v>
      </c>
      <c r="CA304" s="131">
        <v>15.22</v>
      </c>
      <c r="CB304" s="131">
        <v>0.44900000000000001</v>
      </c>
      <c r="CC304" s="131">
        <v>0.13</v>
      </c>
      <c r="CE304">
        <f t="shared" si="152"/>
        <v>11.854966677245319</v>
      </c>
      <c r="CF304" t="e">
        <f t="shared" si="153"/>
        <v>#VALUE!</v>
      </c>
      <c r="CG304" t="e">
        <f t="shared" si="154"/>
        <v>#VALUE!</v>
      </c>
      <c r="CH304" t="e">
        <f t="shared" si="155"/>
        <v>#VALUE!</v>
      </c>
      <c r="CI304" t="e">
        <f t="shared" si="156"/>
        <v>#VALUE!</v>
      </c>
      <c r="CJ304" t="e">
        <f t="shared" si="157"/>
        <v>#DIV/0!</v>
      </c>
      <c r="CK304" t="e">
        <f t="shared" si="158"/>
        <v>#VALUE!</v>
      </c>
      <c r="CL304" t="e">
        <f t="shared" si="159"/>
        <v>#VALUE!</v>
      </c>
      <c r="CM304" t="e">
        <f t="shared" si="160"/>
        <v>#VALUE!</v>
      </c>
      <c r="CN304" t="e">
        <f t="shared" si="161"/>
        <v>#VALUE!</v>
      </c>
      <c r="CO304" t="e">
        <f t="shared" si="162"/>
        <v>#VALUE!</v>
      </c>
      <c r="CP304">
        <f t="shared" si="163"/>
        <v>117.07692307692308</v>
      </c>
      <c r="CQ304" t="e">
        <f t="shared" si="164"/>
        <v>#VALUE!</v>
      </c>
      <c r="CR304" t="e">
        <f t="shared" si="165"/>
        <v>#VALUE!</v>
      </c>
      <c r="CS304" t="e">
        <f t="shared" si="166"/>
        <v>#VALUE!</v>
      </c>
      <c r="CT304">
        <f t="shared" si="167"/>
        <v>0.11742304030466519</v>
      </c>
      <c r="CU304" t="e">
        <f t="shared" si="168"/>
        <v>#VALUE!</v>
      </c>
      <c r="CV304" t="e">
        <f t="shared" si="169"/>
        <v>#DIV/0!</v>
      </c>
      <c r="CW304" t="e">
        <f t="shared" si="170"/>
        <v>#VALUE!</v>
      </c>
      <c r="CX304">
        <f t="shared" si="171"/>
        <v>11.662162162162163</v>
      </c>
      <c r="CY304" t="e">
        <f t="shared" si="172"/>
        <v>#VALUE!</v>
      </c>
      <c r="CZ304">
        <f t="shared" si="173"/>
        <v>3.453846153846154</v>
      </c>
      <c r="DA304">
        <f t="shared" si="174"/>
        <v>1.1662162162162162</v>
      </c>
      <c r="DB304">
        <f t="shared" si="175"/>
        <v>0.13694065376071088</v>
      </c>
      <c r="DC304">
        <f t="shared" si="176"/>
        <v>1.7793814432989692</v>
      </c>
      <c r="DD304" t="e">
        <f t="shared" si="177"/>
        <v>#VALUE!</v>
      </c>
      <c r="DE304" t="e">
        <f t="shared" si="178"/>
        <v>#VALUE!</v>
      </c>
      <c r="DF304">
        <f t="shared" si="179"/>
        <v>0</v>
      </c>
      <c r="DG304">
        <f t="shared" si="180"/>
        <v>0</v>
      </c>
      <c r="DH304">
        <f t="shared" si="181"/>
        <v>11.854966677245319</v>
      </c>
      <c r="DI304">
        <f t="shared" si="182"/>
        <v>1.1742304030466518E-2</v>
      </c>
      <c r="DJ304">
        <f t="shared" si="183"/>
        <v>2.0628371945414156E-2</v>
      </c>
      <c r="DK304" t="e">
        <f t="shared" si="184"/>
        <v>#VALUE!</v>
      </c>
      <c r="DL304" t="e">
        <f t="shared" si="185"/>
        <v>#VALUE!</v>
      </c>
      <c r="DM304">
        <f t="shared" si="186"/>
        <v>0.85212627387643247</v>
      </c>
      <c r="DN304">
        <f t="shared" si="187"/>
        <v>7.1879263525221226E-2</v>
      </c>
      <c r="DO304">
        <f t="shared" si="188"/>
        <v>0.47991498324267479</v>
      </c>
      <c r="DP304">
        <f t="shared" si="189"/>
        <v>4.0482187450078123E-2</v>
      </c>
    </row>
    <row r="305" spans="1:120">
      <c r="A305" s="4" t="s">
        <v>1651</v>
      </c>
      <c r="B305" s="4" t="s">
        <v>24</v>
      </c>
      <c r="C305" s="125" t="s">
        <v>1722</v>
      </c>
      <c r="D305" s="4" t="s">
        <v>1717</v>
      </c>
      <c r="E305" s="4" t="s">
        <v>1394</v>
      </c>
      <c r="F305" s="4" t="s">
        <v>1628</v>
      </c>
      <c r="G305" s="4" t="s">
        <v>595</v>
      </c>
      <c r="H305" s="49">
        <v>132</v>
      </c>
      <c r="I305" s="4" t="s">
        <v>735</v>
      </c>
      <c r="J305" s="4"/>
      <c r="K305" s="4" t="s">
        <v>1276</v>
      </c>
      <c r="L305" s="4"/>
      <c r="M305" s="4" t="s">
        <v>1642</v>
      </c>
      <c r="N305" s="4">
        <v>29</v>
      </c>
      <c r="O305" s="95">
        <v>21.806757766158444</v>
      </c>
      <c r="P305" s="95">
        <v>12.149479326859703</v>
      </c>
      <c r="Q305" s="95">
        <v>2.699884294857712</v>
      </c>
      <c r="R305" s="95">
        <v>11.42258740132109</v>
      </c>
      <c r="S305" s="95">
        <v>8.5150196991666309</v>
      </c>
      <c r="T305" s="95">
        <v>5.9189771079572919</v>
      </c>
      <c r="U305" s="95">
        <v>9.5534367356503651</v>
      </c>
      <c r="V305" s="95">
        <v>0.7268919255386147</v>
      </c>
      <c r="W305" s="95">
        <v>15.576255547256032</v>
      </c>
      <c r="X305" s="95">
        <v>9.1380699210568732</v>
      </c>
      <c r="Y305" s="95">
        <v>3.21909281309958</v>
      </c>
      <c r="Z305" s="95">
        <v>100.72645253892233</v>
      </c>
      <c r="BR305" s="45"/>
      <c r="BS305" s="45"/>
      <c r="BT305" s="45"/>
      <c r="BU305" s="45"/>
      <c r="BV305" s="45"/>
      <c r="BW305" s="45"/>
      <c r="BX305" s="45"/>
      <c r="BY305" s="141"/>
      <c r="BZ305" s="45"/>
      <c r="CA305" s="141"/>
      <c r="CB305" s="141"/>
      <c r="CC305" s="141"/>
      <c r="CE305" t="e">
        <f t="shared" si="152"/>
        <v>#DIV/0!</v>
      </c>
      <c r="CF305" t="e">
        <f t="shared" si="153"/>
        <v>#DIV/0!</v>
      </c>
      <c r="CG305" t="e">
        <f t="shared" si="154"/>
        <v>#DIV/0!</v>
      </c>
      <c r="CH305" t="e">
        <f t="shared" si="155"/>
        <v>#DIV/0!</v>
      </c>
      <c r="CI305" t="e">
        <f t="shared" si="156"/>
        <v>#DIV/0!</v>
      </c>
      <c r="CJ305" t="e">
        <f t="shared" si="157"/>
        <v>#DIV/0!</v>
      </c>
      <c r="CK305" t="e">
        <f t="shared" si="158"/>
        <v>#DIV/0!</v>
      </c>
      <c r="CL305" t="e">
        <f t="shared" si="159"/>
        <v>#DIV/0!</v>
      </c>
      <c r="CM305" t="e">
        <f t="shared" si="160"/>
        <v>#DIV/0!</v>
      </c>
      <c r="CN305" t="e">
        <f t="shared" si="161"/>
        <v>#DIV/0!</v>
      </c>
      <c r="CO305" t="e">
        <f t="shared" si="162"/>
        <v>#DIV/0!</v>
      </c>
      <c r="CP305" t="e">
        <f t="shared" si="163"/>
        <v>#DIV/0!</v>
      </c>
      <c r="CQ305" t="e">
        <f t="shared" si="164"/>
        <v>#DIV/0!</v>
      </c>
      <c r="CR305" t="e">
        <f t="shared" si="165"/>
        <v>#DIV/0!</v>
      </c>
      <c r="CS305" t="e">
        <f t="shared" si="166"/>
        <v>#DIV/0!</v>
      </c>
      <c r="CT305" t="e">
        <f t="shared" si="167"/>
        <v>#DIV/0!</v>
      </c>
      <c r="CU305" t="e">
        <f t="shared" si="168"/>
        <v>#DIV/0!</v>
      </c>
      <c r="CV305" t="e">
        <f t="shared" si="169"/>
        <v>#DIV/0!</v>
      </c>
      <c r="CW305" t="e">
        <f t="shared" si="170"/>
        <v>#DIV/0!</v>
      </c>
      <c r="CX305" t="e">
        <f t="shared" si="171"/>
        <v>#DIV/0!</v>
      </c>
      <c r="CY305" t="e">
        <f t="shared" si="172"/>
        <v>#DIV/0!</v>
      </c>
      <c r="CZ305" t="e">
        <f t="shared" si="173"/>
        <v>#DIV/0!</v>
      </c>
      <c r="DA305" t="e">
        <f t="shared" si="174"/>
        <v>#DIV/0!</v>
      </c>
      <c r="DB305" t="e">
        <f t="shared" si="175"/>
        <v>#DIV/0!</v>
      </c>
      <c r="DC305" t="e">
        <f t="shared" si="176"/>
        <v>#DIV/0!</v>
      </c>
      <c r="DD305" t="e">
        <f t="shared" si="177"/>
        <v>#DIV/0!</v>
      </c>
      <c r="DE305" t="e">
        <f t="shared" si="178"/>
        <v>#DIV/0!</v>
      </c>
      <c r="DF305" t="e">
        <f t="shared" si="179"/>
        <v>#DIV/0!</v>
      </c>
      <c r="DG305" t="e">
        <f t="shared" si="180"/>
        <v>#DIV/0!</v>
      </c>
      <c r="DH305" t="e">
        <f t="shared" si="181"/>
        <v>#DIV/0!</v>
      </c>
      <c r="DI305" t="e">
        <f t="shared" si="182"/>
        <v>#DIV/0!</v>
      </c>
      <c r="DJ305" t="e">
        <f t="shared" si="183"/>
        <v>#DIV/0!</v>
      </c>
      <c r="DK305" t="e">
        <f t="shared" si="184"/>
        <v>#DIV/0!</v>
      </c>
      <c r="DL305" t="e">
        <f t="shared" si="185"/>
        <v>#DIV/0!</v>
      </c>
      <c r="DM305" t="e">
        <f t="shared" si="186"/>
        <v>#DIV/0!</v>
      </c>
      <c r="DN305" t="e">
        <f t="shared" si="187"/>
        <v>#DIV/0!</v>
      </c>
      <c r="DO305" t="e">
        <f t="shared" si="188"/>
        <v>#DIV/0!</v>
      </c>
      <c r="DP305" t="e">
        <f t="shared" si="189"/>
        <v>#DIV/0!</v>
      </c>
    </row>
    <row r="306" spans="1:120" ht="16">
      <c r="A306" s="4" t="s">
        <v>1651</v>
      </c>
      <c r="B306" s="4" t="s">
        <v>24</v>
      </c>
      <c r="C306" s="125" t="s">
        <v>1722</v>
      </c>
      <c r="D306" s="4" t="s">
        <v>1717</v>
      </c>
      <c r="E306" s="4" t="s">
        <v>1394</v>
      </c>
      <c r="F306" s="4" t="s">
        <v>1628</v>
      </c>
      <c r="G306" s="4" t="s">
        <v>595</v>
      </c>
      <c r="H306" s="49">
        <v>132</v>
      </c>
      <c r="I306" s="4" t="s">
        <v>735</v>
      </c>
      <c r="J306" s="4"/>
      <c r="K306" s="4" t="s">
        <v>1276</v>
      </c>
      <c r="L306" s="4" t="s">
        <v>1645</v>
      </c>
      <c r="M306" s="4" t="s">
        <v>1644</v>
      </c>
      <c r="N306" s="4">
        <v>41</v>
      </c>
      <c r="O306" s="95">
        <v>33.682292071553817</v>
      </c>
      <c r="P306" s="95">
        <v>3.9806345175472697</v>
      </c>
      <c r="Q306" s="95">
        <v>3.7764994140833079</v>
      </c>
      <c r="R306" s="95">
        <v>14.493592345941341</v>
      </c>
      <c r="S306" s="95">
        <v>7.2467961729706705</v>
      </c>
      <c r="T306" s="95">
        <v>12.350173759569735</v>
      </c>
      <c r="U306" s="95">
        <v>1.3268781725157566</v>
      </c>
      <c r="V306" s="95">
        <v>3.5723643106193448</v>
      </c>
      <c r="W306" s="95">
        <v>15.922538070189079</v>
      </c>
      <c r="X306" s="95">
        <v>2.8578914484954758</v>
      </c>
      <c r="Y306" s="95">
        <v>1.0206755173198128</v>
      </c>
      <c r="Z306" s="95">
        <v>100.23033580080563</v>
      </c>
      <c r="AA306" s="46"/>
      <c r="AB306" s="26"/>
      <c r="AC306" s="47"/>
      <c r="AD306" s="47"/>
      <c r="AE306" s="132"/>
      <c r="AF306" s="132"/>
      <c r="AG306" s="47"/>
      <c r="AH306" s="47"/>
      <c r="AI306" s="47"/>
      <c r="AJ306" s="47"/>
      <c r="AK306" s="139"/>
      <c r="AL306" s="47"/>
      <c r="AM306" s="139"/>
      <c r="AN306" s="132"/>
      <c r="AO306" s="47"/>
      <c r="AP306" s="47"/>
      <c r="AQ306" s="47"/>
      <c r="AR306" s="47"/>
      <c r="AS306" s="47"/>
      <c r="AT306" s="47"/>
      <c r="AU306" s="47"/>
      <c r="AV306" s="47"/>
      <c r="AW306" s="47"/>
      <c r="AX306" s="132"/>
      <c r="AY306" s="132"/>
      <c r="AZ306" s="132"/>
      <c r="BA306" s="132"/>
      <c r="BB306" s="47"/>
      <c r="BC306" s="132"/>
      <c r="BD306" s="47"/>
      <c r="BE306" s="47"/>
      <c r="BF306" s="47"/>
      <c r="BG306" s="47"/>
      <c r="BH306" s="132"/>
      <c r="BI306" s="132"/>
      <c r="BJ306" s="47"/>
      <c r="BK306" s="132"/>
      <c r="BL306" s="132"/>
      <c r="BM306" s="132"/>
      <c r="BR306" s="45"/>
      <c r="BS306" s="45"/>
      <c r="BT306" s="45"/>
      <c r="BU306" s="45"/>
      <c r="BV306" s="45"/>
      <c r="BW306" s="45"/>
      <c r="BX306" s="45"/>
      <c r="BY306" s="141"/>
      <c r="BZ306" s="45"/>
      <c r="CA306" s="141"/>
      <c r="CB306" s="141"/>
      <c r="CC306" s="141"/>
      <c r="CE306" t="e">
        <f t="shared" si="152"/>
        <v>#DIV/0!</v>
      </c>
      <c r="CF306" t="e">
        <f t="shared" si="153"/>
        <v>#DIV/0!</v>
      </c>
      <c r="CG306" t="e">
        <f t="shared" si="154"/>
        <v>#DIV/0!</v>
      </c>
      <c r="CH306" t="e">
        <f t="shared" si="155"/>
        <v>#DIV/0!</v>
      </c>
      <c r="CI306" t="e">
        <f t="shared" si="156"/>
        <v>#DIV/0!</v>
      </c>
      <c r="CJ306" t="e">
        <f t="shared" si="157"/>
        <v>#DIV/0!</v>
      </c>
      <c r="CK306" t="e">
        <f t="shared" si="158"/>
        <v>#DIV/0!</v>
      </c>
      <c r="CL306" t="e">
        <f t="shared" si="159"/>
        <v>#DIV/0!</v>
      </c>
      <c r="CM306" t="e">
        <f t="shared" si="160"/>
        <v>#DIV/0!</v>
      </c>
      <c r="CN306" t="e">
        <f t="shared" si="161"/>
        <v>#DIV/0!</v>
      </c>
      <c r="CO306" t="e">
        <f t="shared" si="162"/>
        <v>#DIV/0!</v>
      </c>
      <c r="CP306" t="e">
        <f t="shared" si="163"/>
        <v>#DIV/0!</v>
      </c>
      <c r="CQ306" t="e">
        <f t="shared" si="164"/>
        <v>#DIV/0!</v>
      </c>
      <c r="CR306" t="e">
        <f t="shared" si="165"/>
        <v>#DIV/0!</v>
      </c>
      <c r="CS306" t="e">
        <f t="shared" si="166"/>
        <v>#DIV/0!</v>
      </c>
      <c r="CT306" t="e">
        <f t="shared" si="167"/>
        <v>#DIV/0!</v>
      </c>
      <c r="CU306" t="e">
        <f t="shared" si="168"/>
        <v>#DIV/0!</v>
      </c>
      <c r="CV306" t="e">
        <f t="shared" si="169"/>
        <v>#DIV/0!</v>
      </c>
      <c r="CW306" t="e">
        <f t="shared" si="170"/>
        <v>#DIV/0!</v>
      </c>
      <c r="CX306" t="e">
        <f t="shared" si="171"/>
        <v>#DIV/0!</v>
      </c>
      <c r="CY306" t="e">
        <f t="shared" si="172"/>
        <v>#DIV/0!</v>
      </c>
      <c r="CZ306" t="e">
        <f t="shared" si="173"/>
        <v>#DIV/0!</v>
      </c>
      <c r="DA306" t="e">
        <f t="shared" si="174"/>
        <v>#DIV/0!</v>
      </c>
      <c r="DB306" t="e">
        <f t="shared" si="175"/>
        <v>#DIV/0!</v>
      </c>
      <c r="DC306" t="e">
        <f t="shared" si="176"/>
        <v>#DIV/0!</v>
      </c>
      <c r="DD306" t="e">
        <f t="shared" si="177"/>
        <v>#DIV/0!</v>
      </c>
      <c r="DE306" t="e">
        <f t="shared" si="178"/>
        <v>#DIV/0!</v>
      </c>
      <c r="DF306" t="e">
        <f t="shared" si="179"/>
        <v>#DIV/0!</v>
      </c>
      <c r="DG306" t="e">
        <f t="shared" si="180"/>
        <v>#DIV/0!</v>
      </c>
      <c r="DH306" t="e">
        <f t="shared" si="181"/>
        <v>#DIV/0!</v>
      </c>
      <c r="DI306" t="e">
        <f t="shared" si="182"/>
        <v>#DIV/0!</v>
      </c>
      <c r="DJ306" t="e">
        <f t="shared" si="183"/>
        <v>#DIV/0!</v>
      </c>
      <c r="DK306" t="e">
        <f t="shared" si="184"/>
        <v>#DIV/0!</v>
      </c>
      <c r="DL306" t="e">
        <f t="shared" si="185"/>
        <v>#DIV/0!</v>
      </c>
      <c r="DM306" t="e">
        <f t="shared" si="186"/>
        <v>#DIV/0!</v>
      </c>
      <c r="DN306" t="e">
        <f t="shared" si="187"/>
        <v>#DIV/0!</v>
      </c>
      <c r="DO306" t="e">
        <f t="shared" si="188"/>
        <v>#DIV/0!</v>
      </c>
      <c r="DP306" t="e">
        <f t="shared" si="189"/>
        <v>#DIV/0!</v>
      </c>
    </row>
    <row r="307" spans="1:120" ht="16">
      <c r="A307" s="4" t="s">
        <v>1651</v>
      </c>
      <c r="B307" s="4" t="s">
        <v>24</v>
      </c>
      <c r="C307" s="125" t="s">
        <v>1722</v>
      </c>
      <c r="D307" s="4" t="s">
        <v>1717</v>
      </c>
      <c r="E307" s="4" t="s">
        <v>1394</v>
      </c>
      <c r="F307" s="4" t="s">
        <v>1628</v>
      </c>
      <c r="G307" s="4" t="s">
        <v>595</v>
      </c>
      <c r="H307" s="49">
        <v>132</v>
      </c>
      <c r="I307" s="4" t="s">
        <v>735</v>
      </c>
      <c r="J307" s="46"/>
      <c r="K307" s="4" t="s">
        <v>1276</v>
      </c>
      <c r="L307" s="4" t="s">
        <v>1646</v>
      </c>
      <c r="M307" s="4" t="s">
        <v>1644</v>
      </c>
      <c r="N307" s="4">
        <v>10</v>
      </c>
      <c r="O307" s="95">
        <v>33.798859348446015</v>
      </c>
      <c r="P307" s="95">
        <v>3.8802315868306598</v>
      </c>
      <c r="Q307" s="95">
        <v>4.0844543019270105</v>
      </c>
      <c r="R307" s="95">
        <v>18.073710286027019</v>
      </c>
      <c r="S307" s="95">
        <v>8.271019961402196</v>
      </c>
      <c r="T307" s="95">
        <v>15.214592274678115</v>
      </c>
      <c r="U307" s="95">
        <v>0.30633407264452578</v>
      </c>
      <c r="V307" s="95">
        <v>4.6971224472160618</v>
      </c>
      <c r="W307" s="95">
        <v>8.3731313189503709</v>
      </c>
      <c r="X307" s="95">
        <v>3.0633407264452579</v>
      </c>
      <c r="Y307" s="95">
        <v>0.30633407264452578</v>
      </c>
      <c r="Z307" s="95">
        <v>100.06913039721178</v>
      </c>
      <c r="AB307" s="26"/>
      <c r="BN307" s="132"/>
      <c r="BO307" s="47"/>
      <c r="BP307" s="47"/>
      <c r="BQ307" s="47"/>
      <c r="BR307" s="48"/>
      <c r="BS307" s="48"/>
      <c r="BT307" s="48"/>
      <c r="BU307" s="48"/>
      <c r="BV307" s="48"/>
      <c r="BW307" s="48"/>
      <c r="BX307" s="48"/>
      <c r="BY307" s="142"/>
      <c r="BZ307" s="48"/>
      <c r="CA307" s="142"/>
      <c r="CB307" s="142"/>
      <c r="CC307" s="142"/>
      <c r="CE307" t="e">
        <f t="shared" si="152"/>
        <v>#DIV/0!</v>
      </c>
      <c r="CF307" t="e">
        <f t="shared" si="153"/>
        <v>#DIV/0!</v>
      </c>
      <c r="CG307" t="e">
        <f t="shared" si="154"/>
        <v>#DIV/0!</v>
      </c>
      <c r="CH307" t="e">
        <f t="shared" si="155"/>
        <v>#DIV/0!</v>
      </c>
      <c r="CI307" t="e">
        <f t="shared" si="156"/>
        <v>#DIV/0!</v>
      </c>
      <c r="CJ307" t="e">
        <f t="shared" si="157"/>
        <v>#DIV/0!</v>
      </c>
      <c r="CK307" t="e">
        <f t="shared" si="158"/>
        <v>#DIV/0!</v>
      </c>
      <c r="CL307" t="e">
        <f t="shared" si="159"/>
        <v>#DIV/0!</v>
      </c>
      <c r="CM307" t="e">
        <f t="shared" si="160"/>
        <v>#DIV/0!</v>
      </c>
      <c r="CN307" t="e">
        <f t="shared" si="161"/>
        <v>#DIV/0!</v>
      </c>
      <c r="CO307" t="e">
        <f t="shared" si="162"/>
        <v>#DIV/0!</v>
      </c>
      <c r="CP307" t="e">
        <f t="shared" si="163"/>
        <v>#DIV/0!</v>
      </c>
      <c r="CQ307" t="e">
        <f t="shared" si="164"/>
        <v>#DIV/0!</v>
      </c>
      <c r="CR307" t="e">
        <f t="shared" si="165"/>
        <v>#DIV/0!</v>
      </c>
      <c r="CS307" t="e">
        <f t="shared" si="166"/>
        <v>#DIV/0!</v>
      </c>
      <c r="CT307" t="e">
        <f t="shared" si="167"/>
        <v>#DIV/0!</v>
      </c>
      <c r="CU307" t="e">
        <f t="shared" si="168"/>
        <v>#DIV/0!</v>
      </c>
      <c r="CV307" t="e">
        <f t="shared" si="169"/>
        <v>#DIV/0!</v>
      </c>
      <c r="CW307" t="e">
        <f t="shared" si="170"/>
        <v>#DIV/0!</v>
      </c>
      <c r="CX307" t="e">
        <f t="shared" si="171"/>
        <v>#DIV/0!</v>
      </c>
      <c r="CY307" t="e">
        <f t="shared" si="172"/>
        <v>#DIV/0!</v>
      </c>
      <c r="CZ307" t="e">
        <f t="shared" si="173"/>
        <v>#DIV/0!</v>
      </c>
      <c r="DA307" t="e">
        <f t="shared" si="174"/>
        <v>#DIV/0!</v>
      </c>
      <c r="DB307" t="e">
        <f t="shared" si="175"/>
        <v>#DIV/0!</v>
      </c>
      <c r="DC307" t="e">
        <f t="shared" si="176"/>
        <v>#DIV/0!</v>
      </c>
      <c r="DD307" t="e">
        <f t="shared" si="177"/>
        <v>#DIV/0!</v>
      </c>
      <c r="DE307" t="e">
        <f t="shared" si="178"/>
        <v>#DIV/0!</v>
      </c>
      <c r="DF307" t="e">
        <f t="shared" si="179"/>
        <v>#DIV/0!</v>
      </c>
      <c r="DG307" t="e">
        <f t="shared" si="180"/>
        <v>#DIV/0!</v>
      </c>
      <c r="DH307" t="e">
        <f t="shared" si="181"/>
        <v>#DIV/0!</v>
      </c>
      <c r="DI307" t="e">
        <f t="shared" si="182"/>
        <v>#DIV/0!</v>
      </c>
      <c r="DJ307" t="e">
        <f t="shared" si="183"/>
        <v>#DIV/0!</v>
      </c>
      <c r="DK307" t="e">
        <f t="shared" si="184"/>
        <v>#DIV/0!</v>
      </c>
      <c r="DL307" t="e">
        <f t="shared" si="185"/>
        <v>#DIV/0!</v>
      </c>
      <c r="DM307" t="e">
        <f t="shared" si="186"/>
        <v>#DIV/0!</v>
      </c>
      <c r="DN307" t="e">
        <f t="shared" si="187"/>
        <v>#DIV/0!</v>
      </c>
      <c r="DO307" t="e">
        <f t="shared" si="188"/>
        <v>#DIV/0!</v>
      </c>
      <c r="DP307" t="e">
        <f t="shared" si="189"/>
        <v>#DIV/0!</v>
      </c>
    </row>
    <row r="308" spans="1:120">
      <c r="A308" s="16" t="s">
        <v>1656</v>
      </c>
      <c r="B308" s="4" t="s">
        <v>24</v>
      </c>
      <c r="C308" s="125" t="s">
        <v>1722</v>
      </c>
      <c r="D308" s="4" t="s">
        <v>1724</v>
      </c>
      <c r="E308" s="4" t="s">
        <v>237</v>
      </c>
      <c r="F308" s="4" t="s">
        <v>849</v>
      </c>
      <c r="G308" s="4" t="s">
        <v>595</v>
      </c>
      <c r="H308" s="49">
        <v>364</v>
      </c>
      <c r="I308" s="4" t="s">
        <v>1148</v>
      </c>
      <c r="J308" s="4" t="s">
        <v>635</v>
      </c>
      <c r="K308" s="4" t="s">
        <v>128</v>
      </c>
      <c r="L308" s="4"/>
      <c r="M308" s="4" t="s">
        <v>1662</v>
      </c>
      <c r="N308" s="4">
        <v>26</v>
      </c>
      <c r="O308" s="95">
        <v>21.629530072376664</v>
      </c>
      <c r="P308" s="95">
        <v>0.93560292871210693</v>
      </c>
      <c r="Q308" s="95">
        <v>2.8470497723174861</v>
      </c>
      <c r="R308" s="95">
        <v>14.285550094313887</v>
      </c>
      <c r="S308" s="95">
        <v>9.9998850660197238</v>
      </c>
      <c r="T308" s="95">
        <v>4.8389785882851974</v>
      </c>
      <c r="U308" s="95">
        <v>0</v>
      </c>
      <c r="V308" s="95">
        <v>6.2172323649901289</v>
      </c>
      <c r="W308" s="95">
        <v>32.595198806744364</v>
      </c>
      <c r="X308" s="95">
        <v>4.637773657379368</v>
      </c>
      <c r="Y308" s="95">
        <v>2.5955436086852002</v>
      </c>
      <c r="Z308" s="95">
        <v>100.58234495982413</v>
      </c>
      <c r="AB308" s="26"/>
      <c r="AJ308" s="44">
        <v>13869.271059692153</v>
      </c>
      <c r="AX308" s="131">
        <v>107.75201640367656</v>
      </c>
      <c r="AY308" s="131">
        <v>3557.6692566839379</v>
      </c>
      <c r="AZ308" s="131">
        <v>37.068655005267011</v>
      </c>
      <c r="BA308" s="131">
        <v>228.33888988813032</v>
      </c>
      <c r="BC308" s="131">
        <v>383.72054594088769</v>
      </c>
      <c r="BH308" s="131">
        <v>35225.859984402618</v>
      </c>
      <c r="BI308" s="131">
        <v>11544.188910852368</v>
      </c>
      <c r="BK308" s="131">
        <v>242.69160684233876</v>
      </c>
      <c r="BL308" s="131">
        <v>417.46615019838413</v>
      </c>
      <c r="BM308" s="131">
        <v>50.515938391367541</v>
      </c>
      <c r="BN308" s="131">
        <v>232.78853124407127</v>
      </c>
      <c r="BO308" s="44">
        <v>43.321792773207321</v>
      </c>
      <c r="BP308" s="44">
        <v>8.6624711958246206</v>
      </c>
      <c r="BQ308" s="44">
        <v>25.332438292470997</v>
      </c>
      <c r="BR308" s="45">
        <v>11.426880721979119</v>
      </c>
      <c r="BS308" s="45">
        <v>1.6983144367250842</v>
      </c>
      <c r="BT308" s="45">
        <v>3.0319856147934692</v>
      </c>
      <c r="BU308" s="45"/>
      <c r="BV308" s="45">
        <v>1.9779815074647897</v>
      </c>
      <c r="BW308" s="45">
        <v>0.46338501241582036</v>
      </c>
      <c r="BX308" s="45">
        <v>3.6880222707312251</v>
      </c>
      <c r="BY308" s="141">
        <v>17.105443336481443</v>
      </c>
      <c r="BZ308" s="45"/>
      <c r="CA308" s="141">
        <v>96.665781195951567</v>
      </c>
      <c r="CB308" s="141">
        <v>12.081015857475599</v>
      </c>
      <c r="CC308" s="141">
        <v>3.3171728550840509</v>
      </c>
      <c r="CE308">
        <f t="shared" si="152"/>
        <v>3.2448741234626661</v>
      </c>
      <c r="CF308">
        <f t="shared" si="153"/>
        <v>47.567318297710607</v>
      </c>
      <c r="CG308">
        <f t="shared" si="154"/>
        <v>14.659218351111452</v>
      </c>
      <c r="CH308">
        <f t="shared" si="155"/>
        <v>0.58134439577199071</v>
      </c>
      <c r="CI308">
        <f t="shared" si="156"/>
        <v>0</v>
      </c>
      <c r="CJ308" t="e">
        <f t="shared" si="157"/>
        <v>#DIV/0!</v>
      </c>
      <c r="CK308">
        <f t="shared" si="158"/>
        <v>0</v>
      </c>
      <c r="CL308">
        <f t="shared" si="159"/>
        <v>8.5220544348165657</v>
      </c>
      <c r="CM308">
        <f t="shared" si="160"/>
        <v>27.652993914276532</v>
      </c>
      <c r="CN308">
        <f t="shared" si="161"/>
        <v>27.652993914276532</v>
      </c>
      <c r="CO308">
        <f t="shared" si="162"/>
        <v>4.0974443864137879E-2</v>
      </c>
      <c r="CP308">
        <f t="shared" si="163"/>
        <v>29.141014176513945</v>
      </c>
      <c r="CQ308">
        <f t="shared" si="164"/>
        <v>0.39830706324652237</v>
      </c>
      <c r="CR308">
        <f t="shared" si="165"/>
        <v>1.5811034873989953</v>
      </c>
      <c r="CS308">
        <f t="shared" si="166"/>
        <v>0.94086026648819188</v>
      </c>
      <c r="CT308">
        <f t="shared" si="167"/>
        <v>3.0287249496629982E-2</v>
      </c>
      <c r="CU308">
        <f t="shared" si="168"/>
        <v>0.1527397485540081</v>
      </c>
      <c r="CV308" t="e">
        <f t="shared" si="169"/>
        <v>#DIV/0!</v>
      </c>
      <c r="CW308">
        <f t="shared" si="170"/>
        <v>0</v>
      </c>
      <c r="CX308">
        <f t="shared" si="171"/>
        <v>0.59506558171973944</v>
      </c>
      <c r="CY308">
        <f t="shared" si="172"/>
        <v>7.0482220456819331E-2</v>
      </c>
      <c r="CZ308">
        <f t="shared" si="173"/>
        <v>3.6419615091687731</v>
      </c>
      <c r="DA308">
        <f t="shared" si="174"/>
        <v>2.1191147739889464</v>
      </c>
      <c r="DB308">
        <f t="shared" si="175"/>
        <v>6.4182157871797887E-2</v>
      </c>
      <c r="DC308">
        <f t="shared" si="176"/>
        <v>6.1598914191973275</v>
      </c>
      <c r="DD308">
        <f t="shared" si="177"/>
        <v>0.54696384312745205</v>
      </c>
      <c r="DE308">
        <f t="shared" si="178"/>
        <v>0</v>
      </c>
      <c r="DF308">
        <f t="shared" si="179"/>
        <v>0</v>
      </c>
      <c r="DG308">
        <f t="shared" si="180"/>
        <v>0</v>
      </c>
      <c r="DH308">
        <f t="shared" si="181"/>
        <v>3.2448741234626661</v>
      </c>
      <c r="DI308">
        <f t="shared" si="182"/>
        <v>0.10785728471526022</v>
      </c>
      <c r="DJ308">
        <f t="shared" si="183"/>
        <v>9.324005734518304E-4</v>
      </c>
      <c r="DK308">
        <f t="shared" si="184"/>
        <v>4.1204082811631848E-2</v>
      </c>
      <c r="DL308">
        <f t="shared" si="185"/>
        <v>1.1731142289428381E-2</v>
      </c>
      <c r="DM308">
        <f t="shared" si="186"/>
        <v>2.8107967167640816E-3</v>
      </c>
      <c r="DN308">
        <f t="shared" si="187"/>
        <v>8.6622673478767417E-4</v>
      </c>
      <c r="DO308">
        <f t="shared" si="188"/>
        <v>8.0025701292176551E-4</v>
      </c>
      <c r="DP308">
        <f t="shared" si="189"/>
        <v>2.4662189732888506E-4</v>
      </c>
    </row>
    <row r="309" spans="1:120">
      <c r="A309" s="16" t="s">
        <v>1656</v>
      </c>
      <c r="B309" s="4" t="s">
        <v>24</v>
      </c>
      <c r="C309" s="125" t="s">
        <v>1722</v>
      </c>
      <c r="D309" s="4" t="s">
        <v>1724</v>
      </c>
      <c r="E309" s="4" t="s">
        <v>237</v>
      </c>
      <c r="F309" s="4" t="s">
        <v>849</v>
      </c>
      <c r="G309" s="4" t="s">
        <v>595</v>
      </c>
      <c r="H309" s="49">
        <v>364</v>
      </c>
      <c r="I309" s="4" t="s">
        <v>1148</v>
      </c>
      <c r="J309" s="4" t="s">
        <v>635</v>
      </c>
      <c r="K309" s="4" t="s">
        <v>128</v>
      </c>
      <c r="L309" s="4"/>
      <c r="M309" s="4" t="s">
        <v>1658</v>
      </c>
      <c r="N309" s="4">
        <v>31</v>
      </c>
      <c r="O309" s="95">
        <v>23.824706357483731</v>
      </c>
      <c r="P309" s="95">
        <v>2.2723564467011794</v>
      </c>
      <c r="Q309" s="95">
        <v>14.314844576135183</v>
      </c>
      <c r="R309" s="95">
        <v>11.612041754067699</v>
      </c>
      <c r="S309" s="95">
        <v>7.0272873373754523</v>
      </c>
      <c r="T309" s="95">
        <v>15.916505507730726</v>
      </c>
      <c r="U309" s="95">
        <v>0</v>
      </c>
      <c r="V309" s="95">
        <v>3.9741211865214456</v>
      </c>
      <c r="W309" s="95">
        <v>16.617232165303779</v>
      </c>
      <c r="X309" s="95">
        <v>3.7739135700720023</v>
      </c>
      <c r="Y309" s="95">
        <v>0.86089275073260529</v>
      </c>
      <c r="Z309" s="95">
        <v>100.19390165212378</v>
      </c>
      <c r="AB309" s="26"/>
      <c r="AJ309" s="44">
        <v>20020.051606298959</v>
      </c>
      <c r="AY309" s="131">
        <v>1660.5561409487298</v>
      </c>
      <c r="AZ309" s="131">
        <v>92.484677246752611</v>
      </c>
      <c r="BA309" s="131">
        <v>514.83091498623185</v>
      </c>
      <c r="BC309" s="131">
        <v>75.591211597111467</v>
      </c>
      <c r="BH309" s="131">
        <v>164889.37223696348</v>
      </c>
      <c r="BI309" s="131">
        <v>6570.9339697773694</v>
      </c>
      <c r="BK309" s="131">
        <v>75.657142852153754</v>
      </c>
      <c r="BL309" s="131">
        <v>150.89581380600893</v>
      </c>
      <c r="BM309" s="131">
        <v>22.363068530832763</v>
      </c>
      <c r="BN309" s="131">
        <v>202.09723687286856</v>
      </c>
      <c r="BO309" s="44">
        <v>83.218072163874538</v>
      </c>
      <c r="BP309" s="44">
        <v>8.5313337658512598</v>
      </c>
      <c r="BQ309" s="44">
        <v>31.0695171657865</v>
      </c>
      <c r="BR309" s="45">
        <v>29.479491729314635</v>
      </c>
      <c r="BS309" s="45">
        <v>4.492647531463132</v>
      </c>
      <c r="BT309" s="45">
        <v>8.0332061036416356</v>
      </c>
      <c r="BU309" s="45"/>
      <c r="BV309" s="45">
        <v>4.3127339959399311</v>
      </c>
      <c r="BW309" s="45">
        <v>1.6390666920570303</v>
      </c>
      <c r="BX309" s="45">
        <v>8.9996289617744925</v>
      </c>
      <c r="BY309" s="141">
        <v>2.6379061905752255</v>
      </c>
      <c r="BZ309" s="45"/>
      <c r="CA309" s="141">
        <v>118.38498955208574</v>
      </c>
      <c r="CB309" s="141">
        <v>8.1544708123517839</v>
      </c>
      <c r="CC309" s="141">
        <v>0.95083238005398019</v>
      </c>
      <c r="CE309">
        <f t="shared" si="152"/>
        <v>3.9570682422234644</v>
      </c>
      <c r="CF309">
        <f t="shared" si="153"/>
        <v>86.851468639491614</v>
      </c>
      <c r="CG309">
        <f t="shared" si="154"/>
        <v>21.948438420331627</v>
      </c>
      <c r="CH309">
        <f t="shared" si="155"/>
        <v>0.5013866252739011</v>
      </c>
      <c r="CI309">
        <f t="shared" si="156"/>
        <v>0</v>
      </c>
      <c r="CJ309" t="e">
        <f t="shared" si="157"/>
        <v>#DIV/0!</v>
      </c>
      <c r="CK309">
        <f t="shared" si="158"/>
        <v>0</v>
      </c>
      <c r="CL309">
        <f t="shared" si="159"/>
        <v>11.004653469602108</v>
      </c>
      <c r="CM309">
        <f t="shared" si="160"/>
        <v>43.54616476123676</v>
      </c>
      <c r="CN309">
        <f t="shared" si="161"/>
        <v>43.54616476123676</v>
      </c>
      <c r="CO309">
        <f t="shared" si="162"/>
        <v>1.7481639311521972E-2</v>
      </c>
      <c r="CP309">
        <f t="shared" si="163"/>
        <v>124.50668702023468</v>
      </c>
      <c r="CQ309">
        <f t="shared" si="164"/>
        <v>1.5647562819472192</v>
      </c>
      <c r="CR309">
        <f t="shared" si="165"/>
        <v>0.99912855214251051</v>
      </c>
      <c r="CS309">
        <f t="shared" si="166"/>
        <v>6.8047892846323101</v>
      </c>
      <c r="CT309">
        <f t="shared" si="167"/>
        <v>0</v>
      </c>
      <c r="CU309">
        <f t="shared" si="168"/>
        <v>1.2224183171638212</v>
      </c>
      <c r="CV309" t="e">
        <f t="shared" si="169"/>
        <v>#DIV/0!</v>
      </c>
      <c r="CW309">
        <f t="shared" si="170"/>
        <v>0</v>
      </c>
      <c r="CX309">
        <f t="shared" si="171"/>
        <v>6.8107244758847711</v>
      </c>
      <c r="CY309">
        <f t="shared" si="172"/>
        <v>3.4866584847515578E-2</v>
      </c>
      <c r="CZ309">
        <f t="shared" si="173"/>
        <v>8.5761391633390129</v>
      </c>
      <c r="DA309" t="e">
        <f t="shared" si="174"/>
        <v>#DIV/0!</v>
      </c>
      <c r="DB309">
        <f t="shared" si="175"/>
        <v>0.31003523596142446</v>
      </c>
      <c r="DC309">
        <f t="shared" si="176"/>
        <v>5.5666617467090633</v>
      </c>
      <c r="DD309">
        <f t="shared" si="177"/>
        <v>3.4118303351217976</v>
      </c>
      <c r="DE309">
        <f t="shared" si="178"/>
        <v>0</v>
      </c>
      <c r="DF309">
        <f t="shared" si="179"/>
        <v>0</v>
      </c>
      <c r="DG309">
        <f t="shared" si="180"/>
        <v>0</v>
      </c>
      <c r="DH309">
        <f t="shared" si="181"/>
        <v>3.9570682422234644</v>
      </c>
      <c r="DI309">
        <f t="shared" si="182"/>
        <v>4.552162358926555E-2</v>
      </c>
      <c r="DJ309">
        <f t="shared" si="183"/>
        <v>5.7259875568599491E-4</v>
      </c>
      <c r="DK309">
        <f t="shared" si="184"/>
        <v>9.2883329616450142E-2</v>
      </c>
      <c r="DL309">
        <f t="shared" si="185"/>
        <v>0.18920678255202811</v>
      </c>
      <c r="DM309">
        <f t="shared" si="186"/>
        <v>4.2318878381073788E-3</v>
      </c>
      <c r="DN309">
        <f t="shared" si="187"/>
        <v>1.0694503048877151E-3</v>
      </c>
      <c r="DO309">
        <f t="shared" si="188"/>
        <v>8.6205122628113286E-3</v>
      </c>
      <c r="DP309">
        <f t="shared" si="189"/>
        <v>2.1785098803268274E-3</v>
      </c>
    </row>
    <row r="310" spans="1:120">
      <c r="A310" s="16" t="s">
        <v>1656</v>
      </c>
      <c r="B310" s="4" t="s">
        <v>24</v>
      </c>
      <c r="C310" s="125" t="s">
        <v>1722</v>
      </c>
      <c r="D310" s="4" t="s">
        <v>1724</v>
      </c>
      <c r="E310" s="4" t="s">
        <v>237</v>
      </c>
      <c r="F310" s="4" t="s">
        <v>849</v>
      </c>
      <c r="G310" s="4" t="s">
        <v>595</v>
      </c>
      <c r="H310" s="49">
        <v>364</v>
      </c>
      <c r="I310" s="4" t="s">
        <v>1148</v>
      </c>
      <c r="J310" s="4" t="s">
        <v>635</v>
      </c>
      <c r="K310" s="4" t="s">
        <v>128</v>
      </c>
      <c r="L310" s="4"/>
      <c r="M310" s="4" t="s">
        <v>1666</v>
      </c>
      <c r="N310" s="4">
        <v>27</v>
      </c>
      <c r="O310" s="95">
        <v>36.365986904403542</v>
      </c>
      <c r="P310" s="95">
        <v>1.4626540187446053</v>
      </c>
      <c r="Q310" s="95">
        <v>10.519087121108463</v>
      </c>
      <c r="R310" s="95">
        <v>7.954433499200114</v>
      </c>
      <c r="S310" s="95">
        <v>5.0090891052897444</v>
      </c>
      <c r="T310" s="95">
        <v>7.2130883116172315</v>
      </c>
      <c r="U310" s="95">
        <v>0</v>
      </c>
      <c r="V310" s="95">
        <v>5.6702888671879901</v>
      </c>
      <c r="W310" s="95">
        <v>20.637447113793748</v>
      </c>
      <c r="X310" s="95">
        <v>4.5081801947607696</v>
      </c>
      <c r="Y310" s="95">
        <v>0.85154514789925662</v>
      </c>
      <c r="Z310" s="95">
        <v>100.19180028400547</v>
      </c>
      <c r="AB310" s="26"/>
      <c r="BT310" s="45"/>
      <c r="BU310" s="45"/>
      <c r="BV310" s="45"/>
      <c r="BW310" s="45"/>
      <c r="BX310" s="45"/>
      <c r="BY310" s="141"/>
      <c r="BZ310" s="45"/>
      <c r="CA310" s="141"/>
      <c r="CB310" s="141"/>
      <c r="CC310" s="141"/>
      <c r="CE310" t="e">
        <f t="shared" si="152"/>
        <v>#DIV/0!</v>
      </c>
      <c r="CF310" t="e">
        <f t="shared" si="153"/>
        <v>#DIV/0!</v>
      </c>
      <c r="CG310" t="e">
        <f t="shared" si="154"/>
        <v>#DIV/0!</v>
      </c>
      <c r="CH310" t="e">
        <f t="shared" si="155"/>
        <v>#DIV/0!</v>
      </c>
      <c r="CI310" t="e">
        <f t="shared" si="156"/>
        <v>#DIV/0!</v>
      </c>
      <c r="CJ310" t="e">
        <f t="shared" si="157"/>
        <v>#DIV/0!</v>
      </c>
      <c r="CK310" t="e">
        <f t="shared" si="158"/>
        <v>#DIV/0!</v>
      </c>
      <c r="CL310" t="e">
        <f t="shared" si="159"/>
        <v>#DIV/0!</v>
      </c>
      <c r="CM310" t="e">
        <f t="shared" si="160"/>
        <v>#DIV/0!</v>
      </c>
      <c r="CN310" t="e">
        <f t="shared" si="161"/>
        <v>#DIV/0!</v>
      </c>
      <c r="CO310" t="e">
        <f t="shared" si="162"/>
        <v>#DIV/0!</v>
      </c>
      <c r="CP310" t="e">
        <f t="shared" si="163"/>
        <v>#DIV/0!</v>
      </c>
      <c r="CQ310" t="e">
        <f t="shared" si="164"/>
        <v>#DIV/0!</v>
      </c>
      <c r="CR310" t="e">
        <f t="shared" si="165"/>
        <v>#DIV/0!</v>
      </c>
      <c r="CS310" t="e">
        <f t="shared" si="166"/>
        <v>#DIV/0!</v>
      </c>
      <c r="CT310" t="e">
        <f t="shared" si="167"/>
        <v>#DIV/0!</v>
      </c>
      <c r="CU310" t="e">
        <f t="shared" si="168"/>
        <v>#DIV/0!</v>
      </c>
      <c r="CV310" t="e">
        <f t="shared" si="169"/>
        <v>#DIV/0!</v>
      </c>
      <c r="CW310" t="e">
        <f t="shared" si="170"/>
        <v>#DIV/0!</v>
      </c>
      <c r="CX310" t="e">
        <f t="shared" si="171"/>
        <v>#DIV/0!</v>
      </c>
      <c r="CY310" t="e">
        <f t="shared" si="172"/>
        <v>#DIV/0!</v>
      </c>
      <c r="CZ310" t="e">
        <f t="shared" si="173"/>
        <v>#DIV/0!</v>
      </c>
      <c r="DA310" t="e">
        <f t="shared" si="174"/>
        <v>#DIV/0!</v>
      </c>
      <c r="DB310" t="e">
        <f t="shared" si="175"/>
        <v>#DIV/0!</v>
      </c>
      <c r="DC310" t="e">
        <f t="shared" si="176"/>
        <v>#DIV/0!</v>
      </c>
      <c r="DD310" t="e">
        <f t="shared" si="177"/>
        <v>#DIV/0!</v>
      </c>
      <c r="DE310" t="e">
        <f t="shared" si="178"/>
        <v>#DIV/0!</v>
      </c>
      <c r="DF310" t="e">
        <f t="shared" si="179"/>
        <v>#DIV/0!</v>
      </c>
      <c r="DG310" t="e">
        <f t="shared" si="180"/>
        <v>#DIV/0!</v>
      </c>
      <c r="DH310" t="e">
        <f t="shared" si="181"/>
        <v>#DIV/0!</v>
      </c>
      <c r="DI310" t="e">
        <f t="shared" si="182"/>
        <v>#DIV/0!</v>
      </c>
      <c r="DJ310" t="e">
        <f t="shared" si="183"/>
        <v>#DIV/0!</v>
      </c>
      <c r="DK310" t="e">
        <f t="shared" si="184"/>
        <v>#DIV/0!</v>
      </c>
      <c r="DL310" t="e">
        <f t="shared" si="185"/>
        <v>#DIV/0!</v>
      </c>
      <c r="DM310" t="e">
        <f t="shared" si="186"/>
        <v>#DIV/0!</v>
      </c>
      <c r="DN310" t="e">
        <f t="shared" si="187"/>
        <v>#DIV/0!</v>
      </c>
      <c r="DO310" t="e">
        <f t="shared" si="188"/>
        <v>#DIV/0!</v>
      </c>
      <c r="DP310" t="e">
        <f t="shared" si="189"/>
        <v>#DIV/0!</v>
      </c>
    </row>
    <row r="311" spans="1:120">
      <c r="A311" s="16" t="s">
        <v>1656</v>
      </c>
      <c r="B311" s="4" t="s">
        <v>24</v>
      </c>
      <c r="C311" s="125" t="s">
        <v>1722</v>
      </c>
      <c r="D311" s="4" t="s">
        <v>1724</v>
      </c>
      <c r="E311" s="4" t="s">
        <v>237</v>
      </c>
      <c r="F311" s="4" t="s">
        <v>849</v>
      </c>
      <c r="G311" s="4" t="s">
        <v>595</v>
      </c>
      <c r="H311" s="49">
        <v>364</v>
      </c>
      <c r="I311" s="4" t="s">
        <v>1148</v>
      </c>
      <c r="J311" s="4" t="s">
        <v>635</v>
      </c>
      <c r="K311" s="4" t="s">
        <v>1667</v>
      </c>
      <c r="L311" s="4"/>
      <c r="M311" s="4" t="s">
        <v>1673</v>
      </c>
      <c r="N311" s="4">
        <v>28</v>
      </c>
      <c r="O311" s="95">
        <v>32.474257435278737</v>
      </c>
      <c r="P311" s="95">
        <v>0.42226588615532723</v>
      </c>
      <c r="Q311" s="95">
        <v>6.2736645943077178</v>
      </c>
      <c r="R311" s="95">
        <v>8.7972059615693183</v>
      </c>
      <c r="S311" s="95">
        <v>10.958805140697779</v>
      </c>
      <c r="T311" s="95">
        <v>6.5250133360668423</v>
      </c>
      <c r="U311" s="95">
        <v>0</v>
      </c>
      <c r="V311" s="95">
        <v>5.2582156776008615</v>
      </c>
      <c r="W311" s="95">
        <v>19.504662360507972</v>
      </c>
      <c r="X311" s="95">
        <v>8.8977454582729667</v>
      </c>
      <c r="Y311" s="95">
        <v>1.1461502624216022</v>
      </c>
      <c r="Z311" s="95">
        <v>100.25798611287911</v>
      </c>
      <c r="AB311" s="26"/>
      <c r="AJ311" s="44">
        <v>10817.899642139357</v>
      </c>
      <c r="AX311" s="131">
        <v>217.0091342217419</v>
      </c>
      <c r="AY311" s="131">
        <v>2106.0186919666498</v>
      </c>
      <c r="AZ311" s="131">
        <v>48.017395189018572</v>
      </c>
      <c r="BA311" s="131">
        <v>163.34124235856981</v>
      </c>
      <c r="BC311" s="131">
        <v>138.72670878496214</v>
      </c>
      <c r="BI311" s="131">
        <v>2740.4595372619151</v>
      </c>
      <c r="BK311" s="131">
        <v>63.528475514519613</v>
      </c>
      <c r="BL311" s="131">
        <v>123.17720531503804</v>
      </c>
      <c r="BM311" s="131">
        <v>16.585307423462488</v>
      </c>
      <c r="BN311" s="131">
        <v>109.98314617404399</v>
      </c>
      <c r="BO311" s="44">
        <v>25.154537972090576</v>
      </c>
      <c r="BP311" s="44">
        <v>7.5988785302525841</v>
      </c>
      <c r="BQ311" s="44">
        <v>22.225235926963361</v>
      </c>
      <c r="BR311" s="44">
        <v>11.540208825112927</v>
      </c>
      <c r="BS311" s="44">
        <v>2.0289205281528369</v>
      </c>
      <c r="BT311" s="44">
        <v>6.7179402336917615</v>
      </c>
      <c r="BV311" s="44">
        <v>1.8569625773946443</v>
      </c>
      <c r="BW311" s="44">
        <v>0.35792838109185615</v>
      </c>
      <c r="BX311" s="44">
        <v>3.0692305180391988</v>
      </c>
      <c r="BY311" s="131">
        <v>6.7474178312511963</v>
      </c>
      <c r="CA311" s="131">
        <v>30.897268065728706</v>
      </c>
      <c r="CB311" s="131">
        <v>4.3976377876888826</v>
      </c>
      <c r="CC311" s="131">
        <v>1.404297815812986</v>
      </c>
      <c r="CE311">
        <f t="shared" si="152"/>
        <v>1.3012512888491077</v>
      </c>
      <c r="CF311">
        <f t="shared" si="153"/>
        <v>43.137498815559887</v>
      </c>
      <c r="CG311">
        <f t="shared" si="154"/>
        <v>33.15078277748556</v>
      </c>
      <c r="CH311">
        <f t="shared" si="155"/>
        <v>0.5157486350825965</v>
      </c>
      <c r="CI311">
        <f t="shared" si="156"/>
        <v>0</v>
      </c>
      <c r="CJ311" t="e">
        <f t="shared" si="157"/>
        <v>#DIV/0!</v>
      </c>
      <c r="CK311">
        <f t="shared" si="158"/>
        <v>0</v>
      </c>
      <c r="CL311">
        <f t="shared" si="159"/>
        <v>17.097470969407823</v>
      </c>
      <c r="CM311">
        <f t="shared" si="160"/>
        <v>22.248106135002132</v>
      </c>
      <c r="CN311">
        <f t="shared" si="161"/>
        <v>22.248106135002132</v>
      </c>
      <c r="CO311">
        <f t="shared" si="162"/>
        <v>5.4778137026197334E-2</v>
      </c>
      <c r="CP311">
        <f t="shared" si="163"/>
        <v>22.001934146597986</v>
      </c>
      <c r="CQ311">
        <f t="shared" si="164"/>
        <v>0.48635305373677745</v>
      </c>
      <c r="CR311">
        <f t="shared" si="165"/>
        <v>2.1836933384818238</v>
      </c>
      <c r="CS311">
        <f t="shared" si="166"/>
        <v>2.5711500399728262</v>
      </c>
      <c r="CT311">
        <f t="shared" si="167"/>
        <v>0.10304235904909925</v>
      </c>
      <c r="CU311">
        <f t="shared" si="168"/>
        <v>0.75584050774276901</v>
      </c>
      <c r="CV311" t="e">
        <f t="shared" si="169"/>
        <v>#DIV/0!</v>
      </c>
      <c r="CW311">
        <f t="shared" si="170"/>
        <v>0</v>
      </c>
      <c r="CX311">
        <f t="shared" si="171"/>
        <v>1.17743182829892</v>
      </c>
      <c r="CY311">
        <f t="shared" si="172"/>
        <v>0.10621092001033544</v>
      </c>
      <c r="CZ311">
        <f t="shared" si="173"/>
        <v>3.1315563822499941</v>
      </c>
      <c r="DA311">
        <f t="shared" si="174"/>
        <v>0.7526929359188459</v>
      </c>
      <c r="DB311">
        <f t="shared" si="175"/>
        <v>7.7559255756670387E-2</v>
      </c>
      <c r="DC311">
        <f t="shared" si="176"/>
        <v>3.4017097702943588</v>
      </c>
      <c r="DD311">
        <f t="shared" si="177"/>
        <v>1.3260671237085484</v>
      </c>
      <c r="DE311">
        <f t="shared" si="178"/>
        <v>0</v>
      </c>
      <c r="DF311">
        <f t="shared" si="179"/>
        <v>0</v>
      </c>
      <c r="DG311">
        <f t="shared" si="180"/>
        <v>0</v>
      </c>
      <c r="DH311">
        <f t="shared" si="181"/>
        <v>1.3012512888491077</v>
      </c>
      <c r="DI311">
        <f t="shared" si="182"/>
        <v>6.5871546778825535E-2</v>
      </c>
      <c r="DJ311">
        <f t="shared" si="183"/>
        <v>6.6680216142888055E-4</v>
      </c>
      <c r="DK311">
        <f t="shared" si="184"/>
        <v>0.17250225276054534</v>
      </c>
      <c r="DL311">
        <f t="shared" si="185"/>
        <v>9.875358323172502E-2</v>
      </c>
      <c r="DM311">
        <f t="shared" si="186"/>
        <v>5.2035649932737245E-3</v>
      </c>
      <c r="DN311">
        <f t="shared" si="187"/>
        <v>3.9988932482641539E-3</v>
      </c>
      <c r="DO311">
        <f t="shared" si="188"/>
        <v>2.9789216108282602E-3</v>
      </c>
      <c r="DP311">
        <f t="shared" si="189"/>
        <v>2.2892746668961754E-3</v>
      </c>
    </row>
    <row r="312" spans="1:120">
      <c r="A312" s="16" t="s">
        <v>1656</v>
      </c>
      <c r="B312" s="4" t="s">
        <v>24</v>
      </c>
      <c r="C312" s="125" t="s">
        <v>1722</v>
      </c>
      <c r="D312" s="4" t="s">
        <v>1724</v>
      </c>
      <c r="E312" s="4" t="s">
        <v>237</v>
      </c>
      <c r="F312" s="4" t="s">
        <v>849</v>
      </c>
      <c r="G312" s="4" t="s">
        <v>595</v>
      </c>
      <c r="H312" s="49">
        <v>364</v>
      </c>
      <c r="I312" s="4" t="s">
        <v>1148</v>
      </c>
      <c r="J312" s="4" t="s">
        <v>635</v>
      </c>
      <c r="K312" s="4" t="s">
        <v>1667</v>
      </c>
      <c r="L312" s="4"/>
      <c r="M312" s="4" t="s">
        <v>1674</v>
      </c>
      <c r="N312" s="4">
        <v>28</v>
      </c>
      <c r="O312" s="95">
        <v>23.546792316055217</v>
      </c>
      <c r="P312" s="95">
        <v>1.7735243574220312</v>
      </c>
      <c r="Q312" s="95">
        <v>4.8696770491926964</v>
      </c>
      <c r="R312" s="95">
        <v>15.430663900734059</v>
      </c>
      <c r="S312" s="95">
        <v>7.4047146900275758</v>
      </c>
      <c r="T312" s="95">
        <v>17.033849760550581</v>
      </c>
      <c r="U312" s="95">
        <v>0</v>
      </c>
      <c r="V312" s="95">
        <v>8.2864669129266648</v>
      </c>
      <c r="W312" s="95">
        <v>18.837433852844175</v>
      </c>
      <c r="X312" s="95">
        <v>2.3045796734862551</v>
      </c>
      <c r="Y312" s="95">
        <v>0.66131416717431679</v>
      </c>
      <c r="Z312" s="95">
        <v>100.14901668041357</v>
      </c>
      <c r="AB312" s="26"/>
      <c r="AJ312" s="44">
        <v>27167.403025549902</v>
      </c>
      <c r="AX312" s="131">
        <v>243.26776568421943</v>
      </c>
      <c r="AY312" s="131">
        <v>2489.5281272073062</v>
      </c>
      <c r="AZ312" s="131">
        <v>94.022123567347194</v>
      </c>
      <c r="BA312" s="131">
        <v>342.68838021238025</v>
      </c>
      <c r="BC312" s="131">
        <v>328.36796806899071</v>
      </c>
      <c r="BI312" s="131">
        <v>3299.707955797478</v>
      </c>
      <c r="BK312" s="131">
        <v>49.044681789957508</v>
      </c>
      <c r="BL312" s="131">
        <v>98.164275095268479</v>
      </c>
      <c r="BM312" s="131">
        <v>12.292338334072449</v>
      </c>
      <c r="BN312" s="131">
        <v>88.529575463266767</v>
      </c>
      <c r="BO312" s="44">
        <v>28.759652616080569</v>
      </c>
      <c r="BP312" s="44">
        <v>9.0398911989647814</v>
      </c>
      <c r="BQ312" s="44">
        <v>32.779902781923269</v>
      </c>
      <c r="BR312" s="44">
        <v>24.918209086946394</v>
      </c>
      <c r="BS312" s="44">
        <v>3.7643647094768333</v>
      </c>
      <c r="BT312" s="44">
        <v>9.3712029963791856</v>
      </c>
      <c r="BV312" s="44">
        <v>4.2776121886195275</v>
      </c>
      <c r="BW312" s="44">
        <v>0.67113344992871526</v>
      </c>
      <c r="BX312" s="44">
        <v>7.1862972426381351</v>
      </c>
      <c r="BY312" s="131">
        <v>18.121220901107041</v>
      </c>
      <c r="CA312" s="131">
        <v>109.88749829542714</v>
      </c>
      <c r="CB312" s="131">
        <v>6.3238229413175135</v>
      </c>
      <c r="CC312" s="131">
        <v>2.4468018089731376</v>
      </c>
      <c r="CE312">
        <f t="shared" si="152"/>
        <v>1.3254350974130236</v>
      </c>
      <c r="CF312">
        <f t="shared" si="153"/>
        <v>67.279628195551538</v>
      </c>
      <c r="CG312">
        <f t="shared" si="154"/>
        <v>50.760409413382455</v>
      </c>
      <c r="CH312">
        <f t="shared" si="155"/>
        <v>0.4996184379944702</v>
      </c>
      <c r="CI312">
        <f t="shared" si="156"/>
        <v>0</v>
      </c>
      <c r="CJ312" t="e">
        <f t="shared" si="157"/>
        <v>#DIV/0!</v>
      </c>
      <c r="CK312">
        <f t="shared" si="158"/>
        <v>0</v>
      </c>
      <c r="CL312">
        <f t="shared" si="159"/>
        <v>25.360836463073941</v>
      </c>
      <c r="CM312">
        <f t="shared" si="160"/>
        <v>33.614142747910172</v>
      </c>
      <c r="CN312">
        <f t="shared" si="161"/>
        <v>33.614142747910172</v>
      </c>
      <c r="CO312">
        <f t="shared" si="162"/>
        <v>0.18460097508508452</v>
      </c>
      <c r="CP312">
        <f t="shared" si="163"/>
        <v>44.910665789291784</v>
      </c>
      <c r="CQ312">
        <f t="shared" si="164"/>
        <v>2.2405589002705679</v>
      </c>
      <c r="CR312">
        <f t="shared" si="165"/>
        <v>6.6952818549273987</v>
      </c>
      <c r="CS312">
        <f t="shared" si="166"/>
        <v>6.9872689087881872</v>
      </c>
      <c r="CT312">
        <f t="shared" si="167"/>
        <v>9.7716415824195352E-2</v>
      </c>
      <c r="CU312">
        <f t="shared" si="168"/>
        <v>1.9170707227750707</v>
      </c>
      <c r="CV312" t="e">
        <f t="shared" si="169"/>
        <v>#DIV/0!</v>
      </c>
      <c r="CW312">
        <f t="shared" si="170"/>
        <v>0</v>
      </c>
      <c r="CX312">
        <f t="shared" si="171"/>
        <v>1.0436108680989882</v>
      </c>
      <c r="CY312">
        <f t="shared" si="172"/>
        <v>0.36948391221528082</v>
      </c>
      <c r="CZ312">
        <f t="shared" si="173"/>
        <v>2.5845260200994646</v>
      </c>
      <c r="DA312">
        <f t="shared" si="174"/>
        <v>1.4086879913930583</v>
      </c>
      <c r="DB312">
        <f t="shared" si="175"/>
        <v>0.13765194153351462</v>
      </c>
      <c r="DC312">
        <f t="shared" si="176"/>
        <v>3.644763245183626</v>
      </c>
      <c r="DD312">
        <f t="shared" si="177"/>
        <v>3.4909683780560798</v>
      </c>
      <c r="DE312">
        <f t="shared" si="178"/>
        <v>0</v>
      </c>
      <c r="DF312">
        <f t="shared" si="179"/>
        <v>0</v>
      </c>
      <c r="DG312">
        <f t="shared" si="180"/>
        <v>0</v>
      </c>
      <c r="DH312">
        <f t="shared" si="181"/>
        <v>1.3254350974130236</v>
      </c>
      <c r="DI312">
        <f t="shared" si="182"/>
        <v>0.13189968190371326</v>
      </c>
      <c r="DJ312">
        <f t="shared" si="183"/>
        <v>9.828375836499995E-4</v>
      </c>
      <c r="DK312">
        <f t="shared" si="184"/>
        <v>0.15097895265667277</v>
      </c>
      <c r="DL312">
        <f t="shared" si="185"/>
        <v>9.9290623803982389E-2</v>
      </c>
      <c r="DM312">
        <f t="shared" si="186"/>
        <v>2.9743446595777209E-3</v>
      </c>
      <c r="DN312">
        <f t="shared" si="187"/>
        <v>2.2440515309901099E-3</v>
      </c>
      <c r="DO312">
        <f t="shared" si="188"/>
        <v>1.9560642822121417E-3</v>
      </c>
      <c r="DP312">
        <f t="shared" si="189"/>
        <v>1.4757903167269195E-3</v>
      </c>
    </row>
    <row r="313" spans="1:120">
      <c r="A313" s="16" t="s">
        <v>1656</v>
      </c>
      <c r="B313" s="4" t="s">
        <v>24</v>
      </c>
      <c r="C313" s="125" t="s">
        <v>1722</v>
      </c>
      <c r="D313" s="4" t="s">
        <v>1724</v>
      </c>
      <c r="E313" s="4" t="s">
        <v>237</v>
      </c>
      <c r="F313" s="4" t="s">
        <v>849</v>
      </c>
      <c r="G313" s="4" t="s">
        <v>595</v>
      </c>
      <c r="H313" s="49">
        <v>364</v>
      </c>
      <c r="I313" s="4" t="s">
        <v>1148</v>
      </c>
      <c r="J313" s="4" t="s">
        <v>635</v>
      </c>
      <c r="K313" s="4" t="s">
        <v>1667</v>
      </c>
      <c r="L313" s="4"/>
      <c r="M313" s="4" t="s">
        <v>1675</v>
      </c>
      <c r="N313" s="4">
        <v>28</v>
      </c>
      <c r="O313" s="95">
        <v>27.557929668278412</v>
      </c>
      <c r="P313" s="95">
        <v>2.0442973281195624</v>
      </c>
      <c r="Q313" s="95">
        <v>9.2694854338754649</v>
      </c>
      <c r="R313" s="95">
        <v>11.424014480668143</v>
      </c>
      <c r="S313" s="95">
        <v>5.4915438029878443</v>
      </c>
      <c r="T313" s="95">
        <v>12.225699707381695</v>
      </c>
      <c r="U313" s="95">
        <v>0</v>
      </c>
      <c r="V313" s="95">
        <v>7.4957568697717285</v>
      </c>
      <c r="W313" s="95">
        <v>20.44297328119562</v>
      </c>
      <c r="X313" s="95">
        <v>3.427204344200443</v>
      </c>
      <c r="Y313" s="95">
        <v>0.80168522671355391</v>
      </c>
      <c r="Z313" s="95">
        <v>100.18059014319248</v>
      </c>
      <c r="AB313" s="26"/>
      <c r="CE313" t="e">
        <f t="shared" si="152"/>
        <v>#DIV/0!</v>
      </c>
      <c r="CF313" t="e">
        <f t="shared" si="153"/>
        <v>#DIV/0!</v>
      </c>
      <c r="CG313" t="e">
        <f t="shared" si="154"/>
        <v>#DIV/0!</v>
      </c>
      <c r="CH313" t="e">
        <f t="shared" si="155"/>
        <v>#DIV/0!</v>
      </c>
      <c r="CI313" t="e">
        <f t="shared" si="156"/>
        <v>#DIV/0!</v>
      </c>
      <c r="CJ313" t="e">
        <f t="shared" si="157"/>
        <v>#DIV/0!</v>
      </c>
      <c r="CK313" t="e">
        <f t="shared" si="158"/>
        <v>#DIV/0!</v>
      </c>
      <c r="CL313" t="e">
        <f t="shared" si="159"/>
        <v>#DIV/0!</v>
      </c>
      <c r="CM313" t="e">
        <f t="shared" si="160"/>
        <v>#DIV/0!</v>
      </c>
      <c r="CN313" t="e">
        <f t="shared" si="161"/>
        <v>#DIV/0!</v>
      </c>
      <c r="CO313" t="e">
        <f t="shared" si="162"/>
        <v>#DIV/0!</v>
      </c>
      <c r="CP313" t="e">
        <f t="shared" si="163"/>
        <v>#DIV/0!</v>
      </c>
      <c r="CQ313" t="e">
        <f t="shared" si="164"/>
        <v>#DIV/0!</v>
      </c>
      <c r="CR313" t="e">
        <f t="shared" si="165"/>
        <v>#DIV/0!</v>
      </c>
      <c r="CS313" t="e">
        <f t="shared" si="166"/>
        <v>#DIV/0!</v>
      </c>
      <c r="CT313" t="e">
        <f t="shared" si="167"/>
        <v>#DIV/0!</v>
      </c>
      <c r="CU313" t="e">
        <f t="shared" si="168"/>
        <v>#DIV/0!</v>
      </c>
      <c r="CV313" t="e">
        <f t="shared" si="169"/>
        <v>#DIV/0!</v>
      </c>
      <c r="CW313" t="e">
        <f t="shared" si="170"/>
        <v>#DIV/0!</v>
      </c>
      <c r="CX313" t="e">
        <f t="shared" si="171"/>
        <v>#DIV/0!</v>
      </c>
      <c r="CY313" t="e">
        <f t="shared" si="172"/>
        <v>#DIV/0!</v>
      </c>
      <c r="CZ313" t="e">
        <f t="shared" si="173"/>
        <v>#DIV/0!</v>
      </c>
      <c r="DA313" t="e">
        <f t="shared" si="174"/>
        <v>#DIV/0!</v>
      </c>
      <c r="DB313" t="e">
        <f t="shared" si="175"/>
        <v>#DIV/0!</v>
      </c>
      <c r="DC313" t="e">
        <f t="shared" si="176"/>
        <v>#DIV/0!</v>
      </c>
      <c r="DD313" t="e">
        <f t="shared" si="177"/>
        <v>#DIV/0!</v>
      </c>
      <c r="DE313" t="e">
        <f t="shared" si="178"/>
        <v>#DIV/0!</v>
      </c>
      <c r="DF313" t="e">
        <f t="shared" si="179"/>
        <v>#DIV/0!</v>
      </c>
      <c r="DG313" t="e">
        <f t="shared" si="180"/>
        <v>#DIV/0!</v>
      </c>
      <c r="DH313" t="e">
        <f t="shared" si="181"/>
        <v>#DIV/0!</v>
      </c>
      <c r="DI313" t="e">
        <f t="shared" si="182"/>
        <v>#DIV/0!</v>
      </c>
      <c r="DJ313" t="e">
        <f t="shared" si="183"/>
        <v>#DIV/0!</v>
      </c>
      <c r="DK313" t="e">
        <f t="shared" si="184"/>
        <v>#DIV/0!</v>
      </c>
      <c r="DL313" t="e">
        <f t="shared" si="185"/>
        <v>#DIV/0!</v>
      </c>
      <c r="DM313" t="e">
        <f t="shared" si="186"/>
        <v>#DIV/0!</v>
      </c>
      <c r="DN313" t="e">
        <f t="shared" si="187"/>
        <v>#DIV/0!</v>
      </c>
      <c r="DO313" t="e">
        <f t="shared" si="188"/>
        <v>#DIV/0!</v>
      </c>
      <c r="DP313" t="e">
        <f t="shared" si="189"/>
        <v>#DIV/0!</v>
      </c>
    </row>
    <row r="314" spans="1:120">
      <c r="A314" s="16" t="s">
        <v>1656</v>
      </c>
      <c r="B314" s="4" t="s">
        <v>24</v>
      </c>
      <c r="C314" s="125" t="s">
        <v>1722</v>
      </c>
      <c r="D314" s="4" t="s">
        <v>1724</v>
      </c>
      <c r="E314" s="4" t="s">
        <v>237</v>
      </c>
      <c r="F314" s="4" t="s">
        <v>849</v>
      </c>
      <c r="G314" s="4" t="s">
        <v>595</v>
      </c>
      <c r="H314" s="49">
        <v>364</v>
      </c>
      <c r="I314" s="4" t="s">
        <v>1148</v>
      </c>
      <c r="J314" s="4" t="s">
        <v>635</v>
      </c>
      <c r="K314" s="4" t="s">
        <v>1667</v>
      </c>
      <c r="L314" s="4"/>
      <c r="M314" s="4" t="s">
        <v>1677</v>
      </c>
      <c r="N314" s="4">
        <v>36</v>
      </c>
      <c r="O314" s="95">
        <v>26.917882457117148</v>
      </c>
      <c r="P314" s="95">
        <v>2.4708205538995589</v>
      </c>
      <c r="Q314" s="95">
        <v>7.6936932694596036</v>
      </c>
      <c r="R314" s="95">
        <v>13.659820948387807</v>
      </c>
      <c r="S314" s="95">
        <v>7.3421537597584452</v>
      </c>
      <c r="T314" s="95">
        <v>15.467738426850898</v>
      </c>
      <c r="U314" s="95">
        <v>0</v>
      </c>
      <c r="V314" s="95">
        <v>5.3434005474575832</v>
      </c>
      <c r="W314" s="95">
        <v>18.480934224289385</v>
      </c>
      <c r="X314" s="95">
        <v>2.3201607640276349</v>
      </c>
      <c r="Y314" s="95">
        <v>0.39171545366700333</v>
      </c>
      <c r="Z314" s="95">
        <v>100.08832040491507</v>
      </c>
      <c r="AB314" s="26"/>
      <c r="AJ314" s="44">
        <v>21990.056370271646</v>
      </c>
      <c r="AX314" s="131">
        <v>415.53564769510905</v>
      </c>
      <c r="AY314" s="131">
        <v>2919.7566654847565</v>
      </c>
      <c r="AZ314" s="131">
        <v>85.600378059688239</v>
      </c>
      <c r="BA314" s="131">
        <v>359.74277088844349</v>
      </c>
      <c r="BC314" s="131">
        <v>253.89899657185731</v>
      </c>
      <c r="BI314" s="131">
        <v>3666.7927422131711</v>
      </c>
      <c r="BK314" s="131">
        <v>49.823969209038985</v>
      </c>
      <c r="BL314" s="131">
        <v>104.4055573432596</v>
      </c>
      <c r="BM314" s="131">
        <v>18.683144439809311</v>
      </c>
      <c r="BN314" s="131">
        <v>95.884780541627322</v>
      </c>
      <c r="BO314" s="44">
        <v>30.720168171798644</v>
      </c>
      <c r="BP314" s="44">
        <v>9.6943989526006877</v>
      </c>
      <c r="BQ314" s="44">
        <v>32.081312226957287</v>
      </c>
      <c r="BR314" s="44">
        <v>24.614273299711765</v>
      </c>
      <c r="BS314" s="44">
        <v>6.1355568019370201</v>
      </c>
      <c r="BT314" s="44">
        <v>8.4099018290884455</v>
      </c>
      <c r="BV314" s="44">
        <v>5.0055478986931181</v>
      </c>
      <c r="BW314" s="44">
        <v>0.59271439872309895</v>
      </c>
      <c r="BX314" s="44">
        <v>6.9787344311707917</v>
      </c>
      <c r="BY314" s="131">
        <v>15.697927636113249</v>
      </c>
      <c r="CA314" s="131">
        <v>72.341345855323098</v>
      </c>
      <c r="CB314" s="131">
        <v>3.1848506577875053</v>
      </c>
      <c r="CC314" s="131">
        <v>1.3461315033381749</v>
      </c>
      <c r="CE314">
        <f t="shared" si="152"/>
        <v>1.2558555942552792</v>
      </c>
      <c r="CF314">
        <f t="shared" si="153"/>
        <v>73.594954404956312</v>
      </c>
      <c r="CG314">
        <f t="shared" si="154"/>
        <v>58.60144648923432</v>
      </c>
      <c r="CH314">
        <f t="shared" si="155"/>
        <v>0.47721568158704541</v>
      </c>
      <c r="CI314">
        <f t="shared" si="156"/>
        <v>0</v>
      </c>
      <c r="CJ314" t="e">
        <f t="shared" si="157"/>
        <v>#DIV/0!</v>
      </c>
      <c r="CK314">
        <f t="shared" si="158"/>
        <v>0</v>
      </c>
      <c r="CL314">
        <f t="shared" si="159"/>
        <v>27.965529228346725</v>
      </c>
      <c r="CM314">
        <f t="shared" si="160"/>
        <v>35.120666327728756</v>
      </c>
      <c r="CN314">
        <f t="shared" si="161"/>
        <v>35.120666327728756</v>
      </c>
      <c r="CO314">
        <f t="shared" si="162"/>
        <v>0.15035528793263708</v>
      </c>
      <c r="CP314">
        <f t="shared" si="163"/>
        <v>53.740177446207142</v>
      </c>
      <c r="CQ314">
        <f t="shared" si="164"/>
        <v>1.4519386352342045</v>
      </c>
      <c r="CR314">
        <f t="shared" si="165"/>
        <v>5.0959207105040392</v>
      </c>
      <c r="CS314">
        <f t="shared" si="166"/>
        <v>7.2202752329731998</v>
      </c>
      <c r="CT314">
        <f t="shared" si="167"/>
        <v>0.14231858860269755</v>
      </c>
      <c r="CU314">
        <f t="shared" si="168"/>
        <v>1.7180561769486393</v>
      </c>
      <c r="CV314" t="e">
        <f t="shared" si="169"/>
        <v>#DIV/0!</v>
      </c>
      <c r="CW314">
        <f t="shared" si="170"/>
        <v>0</v>
      </c>
      <c r="CX314">
        <f t="shared" si="171"/>
        <v>1.4168735432029593</v>
      </c>
      <c r="CY314">
        <f t="shared" si="172"/>
        <v>0.31506778535150021</v>
      </c>
      <c r="CZ314">
        <f t="shared" si="173"/>
        <v>2.365928328613975</v>
      </c>
      <c r="DA314">
        <f t="shared" si="174"/>
        <v>0.8657326342128836</v>
      </c>
      <c r="DB314">
        <f t="shared" si="175"/>
        <v>0.12320984660847301</v>
      </c>
      <c r="DC314">
        <f t="shared" si="176"/>
        <v>4.2025839025804146</v>
      </c>
      <c r="DD314">
        <f t="shared" si="177"/>
        <v>3.4456285665493684</v>
      </c>
      <c r="DE314">
        <f t="shared" si="178"/>
        <v>0</v>
      </c>
      <c r="DF314">
        <f t="shared" si="179"/>
        <v>0</v>
      </c>
      <c r="DG314">
        <f t="shared" si="180"/>
        <v>0</v>
      </c>
      <c r="DH314">
        <f t="shared" si="181"/>
        <v>1.2558555942552792</v>
      </c>
      <c r="DI314">
        <f t="shared" si="182"/>
        <v>8.6958957769757636E-2</v>
      </c>
      <c r="DJ314">
        <f t="shared" si="183"/>
        <v>4.6104235988264511E-4</v>
      </c>
      <c r="DK314">
        <f t="shared" si="184"/>
        <v>0.14736187976020271</v>
      </c>
      <c r="DL314">
        <f t="shared" si="185"/>
        <v>0.15441751011807839</v>
      </c>
      <c r="DM314">
        <f t="shared" si="186"/>
        <v>2.5146457739276895E-3</v>
      </c>
      <c r="DN314">
        <f t="shared" si="187"/>
        <v>2.0023367220168902E-3</v>
      </c>
      <c r="DO314">
        <f t="shared" si="188"/>
        <v>2.6350460503811362E-3</v>
      </c>
      <c r="DP314">
        <f t="shared" si="189"/>
        <v>2.098207837298137E-3</v>
      </c>
    </row>
    <row r="315" spans="1:120">
      <c r="A315" s="16"/>
      <c r="B315" s="16"/>
      <c r="C315" s="16"/>
      <c r="D315" s="16"/>
      <c r="E315" s="16"/>
      <c r="F315" s="16"/>
      <c r="G315" s="16"/>
      <c r="H315" s="27"/>
      <c r="I315" s="16"/>
      <c r="J315" s="16"/>
      <c r="K315" s="16"/>
      <c r="L315" s="16"/>
      <c r="M315" s="16"/>
      <c r="N315" s="16"/>
      <c r="AA315" s="18"/>
      <c r="AB315" s="18"/>
      <c r="AC315" s="18"/>
      <c r="AD315" s="18"/>
      <c r="AE315" s="127"/>
      <c r="AF315" s="127"/>
      <c r="AG315" s="18"/>
      <c r="AH315" s="18"/>
      <c r="AI315" s="18"/>
      <c r="AJ315" s="18"/>
      <c r="AK315" s="134"/>
      <c r="AL315" s="18"/>
      <c r="AM315" s="134"/>
      <c r="AN315" s="127"/>
      <c r="AO315" s="18"/>
      <c r="AP315" s="18"/>
      <c r="AQ315" s="18"/>
      <c r="AR315" s="18"/>
      <c r="AS315" s="18"/>
      <c r="AT315" s="18"/>
      <c r="AU315" s="18"/>
      <c r="AV315" s="18"/>
      <c r="AW315" s="18"/>
      <c r="AX315" s="127"/>
      <c r="AY315" s="127"/>
      <c r="AZ315" s="127"/>
      <c r="BA315" s="127"/>
      <c r="BB315" s="18"/>
      <c r="BC315" s="127"/>
      <c r="BD315" s="18"/>
      <c r="BE315" s="18"/>
      <c r="BF315" s="18"/>
      <c r="BG315" s="18"/>
      <c r="BH315" s="127"/>
      <c r="BI315" s="127"/>
      <c r="BJ315" s="18"/>
      <c r="BK315" s="127"/>
      <c r="BL315" s="127"/>
      <c r="BM315" s="127"/>
      <c r="BN315" s="127"/>
      <c r="BO315" s="18"/>
      <c r="BP315" s="18"/>
      <c r="BQ315" s="18"/>
      <c r="BR315" s="18"/>
      <c r="BS315" s="18"/>
      <c r="BT315" s="18"/>
      <c r="BU315" s="18"/>
      <c r="BV315" s="18"/>
      <c r="BW315" s="18"/>
      <c r="BX315" s="18"/>
      <c r="BY315" s="127"/>
      <c r="BZ315" s="18"/>
      <c r="CA315" s="127"/>
      <c r="CB315" s="127"/>
      <c r="CC315" s="127"/>
      <c r="DK315" t="e">
        <f t="shared" si="184"/>
        <v>#DIV/0!</v>
      </c>
      <c r="DL315" t="e">
        <f t="shared" si="185"/>
        <v>#DIV/0!</v>
      </c>
      <c r="DM315" t="e">
        <f t="shared" si="186"/>
        <v>#DIV/0!</v>
      </c>
      <c r="DN315" t="e">
        <f t="shared" si="187"/>
        <v>#DIV/0!</v>
      </c>
      <c r="DO315" t="e">
        <f t="shared" si="188"/>
        <v>#DIV/0!</v>
      </c>
      <c r="DP315" t="e">
        <f t="shared" si="189"/>
        <v>#DIV/0!</v>
      </c>
    </row>
    <row r="316" spans="1:120">
      <c r="A316" s="16"/>
      <c r="B316" s="16"/>
      <c r="C316" s="16"/>
      <c r="D316" s="16"/>
      <c r="E316" s="16"/>
      <c r="F316" s="16"/>
      <c r="G316" s="16"/>
      <c r="H316" s="27"/>
      <c r="I316" s="16"/>
      <c r="J316" s="16"/>
      <c r="K316" s="16"/>
      <c r="L316" s="16"/>
      <c r="M316" s="16"/>
      <c r="N316" s="16"/>
      <c r="AA316" s="18"/>
      <c r="AB316" s="18"/>
      <c r="AC316" s="18"/>
      <c r="AD316" s="18"/>
      <c r="AE316" s="127"/>
      <c r="AF316" s="127"/>
      <c r="AG316" s="18"/>
      <c r="AH316" s="18"/>
      <c r="AI316" s="18"/>
      <c r="AJ316" s="18"/>
      <c r="AK316" s="134"/>
      <c r="AL316" s="18"/>
      <c r="AM316" s="134"/>
      <c r="AN316" s="127"/>
      <c r="AO316" s="18"/>
      <c r="AP316" s="18"/>
      <c r="AQ316" s="18"/>
      <c r="AR316" s="18"/>
      <c r="AS316" s="18"/>
      <c r="AT316" s="18"/>
      <c r="AU316" s="18"/>
      <c r="AV316" s="18"/>
      <c r="AW316" s="18"/>
      <c r="AX316" s="127"/>
      <c r="AY316" s="127"/>
      <c r="AZ316" s="127"/>
      <c r="BA316" s="127"/>
      <c r="BB316" s="18"/>
      <c r="BC316" s="127"/>
      <c r="BD316" s="18"/>
      <c r="BE316" s="18"/>
      <c r="BF316" s="18"/>
      <c r="BG316" s="18"/>
      <c r="BH316" s="127"/>
      <c r="BI316" s="127"/>
      <c r="BJ316" s="18"/>
      <c r="BK316" s="127"/>
      <c r="BL316" s="127"/>
      <c r="BM316" s="127"/>
      <c r="BN316" s="127"/>
      <c r="BO316" s="18"/>
      <c r="BP316" s="18"/>
      <c r="BQ316" s="18"/>
      <c r="BR316" s="18"/>
      <c r="BS316" s="18"/>
      <c r="BT316" s="18"/>
      <c r="BU316" s="18"/>
      <c r="BV316" s="18"/>
      <c r="BW316" s="18"/>
      <c r="BX316" s="18"/>
      <c r="BY316" s="127"/>
      <c r="BZ316" s="18"/>
      <c r="CA316" s="127"/>
      <c r="CB316" s="127"/>
      <c r="CC316" s="127"/>
      <c r="DK316" t="e">
        <f t="shared" si="184"/>
        <v>#DIV/0!</v>
      </c>
      <c r="DL316" t="e">
        <f t="shared" si="185"/>
        <v>#DIV/0!</v>
      </c>
      <c r="DM316" t="e">
        <f t="shared" si="186"/>
        <v>#DIV/0!</v>
      </c>
      <c r="DN316" t="e">
        <f t="shared" si="187"/>
        <v>#DIV/0!</v>
      </c>
      <c r="DO316" t="e">
        <f t="shared" si="188"/>
        <v>#DIV/0!</v>
      </c>
      <c r="DP316" t="e">
        <f t="shared" si="189"/>
        <v>#DIV/0!</v>
      </c>
    </row>
    <row r="317" spans="1:120">
      <c r="A317" s="16"/>
      <c r="B317" s="16"/>
      <c r="C317" s="16"/>
      <c r="D317" s="16"/>
      <c r="E317" s="16"/>
      <c r="F317" s="16"/>
      <c r="G317" s="16"/>
      <c r="H317" s="27"/>
      <c r="I317" s="16"/>
      <c r="J317" s="16"/>
      <c r="K317" s="16"/>
      <c r="L317" s="16"/>
      <c r="M317" s="16"/>
      <c r="N317" s="16"/>
      <c r="AA317" s="18"/>
      <c r="AB317" s="18"/>
      <c r="AC317" s="18"/>
      <c r="AD317" s="18"/>
      <c r="AE317" s="127"/>
      <c r="AF317" s="127"/>
      <c r="AG317" s="18"/>
      <c r="AH317" s="18"/>
      <c r="AI317" s="18"/>
      <c r="AJ317" s="18"/>
      <c r="AK317" s="134"/>
      <c r="AL317" s="18"/>
      <c r="AM317" s="134"/>
      <c r="AN317" s="127"/>
      <c r="AO317" s="18"/>
      <c r="AP317" s="18"/>
      <c r="AQ317" s="18"/>
      <c r="AR317" s="18"/>
      <c r="AS317" s="18"/>
      <c r="AT317" s="18"/>
      <c r="AU317" s="18"/>
      <c r="AV317" s="18"/>
      <c r="AW317" s="18"/>
      <c r="AX317" s="127"/>
      <c r="AY317" s="127"/>
      <c r="AZ317" s="127"/>
      <c r="BA317" s="127"/>
      <c r="BB317" s="18"/>
      <c r="BC317" s="127"/>
      <c r="BD317" s="18"/>
      <c r="BE317" s="18"/>
      <c r="BF317" s="18"/>
      <c r="BG317" s="18"/>
      <c r="BH317" s="127"/>
      <c r="BI317" s="127"/>
      <c r="BJ317" s="18"/>
      <c r="BK317" s="127"/>
      <c r="BL317" s="127"/>
      <c r="BM317" s="127"/>
      <c r="BN317" s="127"/>
      <c r="BO317" s="18"/>
      <c r="BP317" s="18"/>
      <c r="BQ317" s="18"/>
      <c r="BR317" s="18"/>
      <c r="BS317" s="18"/>
      <c r="BT317" s="18"/>
      <c r="BU317" s="18"/>
      <c r="BV317" s="18"/>
      <c r="BW317" s="18"/>
      <c r="BX317" s="18"/>
      <c r="BY317" s="127"/>
      <c r="BZ317" s="18"/>
      <c r="CA317" s="127"/>
      <c r="CB317" s="127"/>
      <c r="CC317" s="127"/>
      <c r="DK317" t="e">
        <f t="shared" si="184"/>
        <v>#DIV/0!</v>
      </c>
      <c r="DL317" t="e">
        <f t="shared" si="185"/>
        <v>#DIV/0!</v>
      </c>
      <c r="DM317" t="e">
        <f t="shared" si="186"/>
        <v>#DIV/0!</v>
      </c>
      <c r="DN317" t="e">
        <f t="shared" si="187"/>
        <v>#DIV/0!</v>
      </c>
      <c r="DO317" t="e">
        <f t="shared" si="188"/>
        <v>#DIV/0!</v>
      </c>
      <c r="DP317" t="e">
        <f t="shared" si="189"/>
        <v>#DIV/0!</v>
      </c>
    </row>
    <row r="318" spans="1:120">
      <c r="A318" s="16"/>
      <c r="B318" s="16"/>
      <c r="C318" s="16"/>
      <c r="D318" s="16"/>
      <c r="E318" s="16"/>
      <c r="F318" s="16"/>
      <c r="G318" s="16"/>
      <c r="H318" s="27"/>
      <c r="I318" s="16"/>
      <c r="J318" s="16"/>
      <c r="K318" s="16"/>
      <c r="L318" s="16"/>
      <c r="M318" s="16"/>
      <c r="N318" s="16"/>
      <c r="AA318" s="18"/>
      <c r="AB318" s="18"/>
      <c r="AC318" s="18"/>
      <c r="AD318" s="18"/>
      <c r="AE318" s="127"/>
      <c r="AF318" s="127"/>
      <c r="AG318" s="18"/>
      <c r="AH318" s="18"/>
      <c r="AI318" s="18"/>
      <c r="AJ318" s="18"/>
      <c r="AK318" s="134"/>
      <c r="AL318" s="18"/>
      <c r="AM318" s="134"/>
      <c r="AN318" s="127"/>
      <c r="AO318" s="18"/>
      <c r="AP318" s="18"/>
      <c r="AQ318" s="18"/>
      <c r="AR318" s="18"/>
      <c r="AS318" s="18"/>
      <c r="AT318" s="18"/>
      <c r="AU318" s="18"/>
      <c r="AV318" s="18"/>
      <c r="AW318" s="18"/>
      <c r="AX318" s="127"/>
      <c r="AY318" s="127"/>
      <c r="AZ318" s="127"/>
      <c r="BA318" s="127"/>
      <c r="BB318" s="18"/>
      <c r="BC318" s="127"/>
      <c r="BD318" s="18"/>
      <c r="BE318" s="18"/>
      <c r="BF318" s="18"/>
      <c r="BG318" s="18"/>
      <c r="BH318" s="127"/>
      <c r="BI318" s="127"/>
      <c r="BJ318" s="18"/>
      <c r="BK318" s="127"/>
      <c r="BL318" s="127"/>
      <c r="BM318" s="127"/>
      <c r="BN318" s="127"/>
      <c r="BO318" s="18"/>
      <c r="BP318" s="18"/>
      <c r="BQ318" s="18"/>
      <c r="BR318" s="18"/>
      <c r="BS318" s="18"/>
      <c r="BT318" s="18"/>
      <c r="BU318" s="18"/>
      <c r="BV318" s="18"/>
      <c r="BW318" s="18"/>
      <c r="BX318" s="18"/>
      <c r="BY318" s="127"/>
      <c r="BZ318" s="18"/>
      <c r="CA318" s="127"/>
      <c r="CB318" s="127"/>
      <c r="CC318" s="127"/>
      <c r="DK318" t="e">
        <f t="shared" si="184"/>
        <v>#DIV/0!</v>
      </c>
      <c r="DL318" t="e">
        <f t="shared" si="185"/>
        <v>#DIV/0!</v>
      </c>
      <c r="DM318" t="e">
        <f t="shared" si="186"/>
        <v>#DIV/0!</v>
      </c>
      <c r="DN318" t="e">
        <f t="shared" si="187"/>
        <v>#DIV/0!</v>
      </c>
      <c r="DO318" t="e">
        <f t="shared" si="188"/>
        <v>#DIV/0!</v>
      </c>
      <c r="DP318" t="e">
        <f t="shared" si="189"/>
        <v>#DIV/0!</v>
      </c>
    </row>
    <row r="319" spans="1:120">
      <c r="A319" s="16"/>
      <c r="B319" s="16"/>
      <c r="C319" s="16"/>
      <c r="D319" s="16"/>
      <c r="E319" s="16"/>
      <c r="F319" s="16"/>
      <c r="G319" s="16"/>
      <c r="H319" s="27"/>
      <c r="I319" s="16"/>
      <c r="J319" s="16"/>
      <c r="K319" s="16"/>
      <c r="L319" s="16"/>
      <c r="M319" s="16"/>
      <c r="N319" s="16"/>
      <c r="AA319" s="18"/>
      <c r="AB319" s="18"/>
      <c r="AC319" s="18"/>
      <c r="AD319" s="18"/>
      <c r="AE319" s="127"/>
      <c r="AF319" s="127"/>
      <c r="AG319" s="18"/>
      <c r="AH319" s="18"/>
      <c r="AI319" s="18"/>
      <c r="AJ319" s="18"/>
      <c r="AK319" s="134"/>
      <c r="AL319" s="18"/>
      <c r="AM319" s="134"/>
      <c r="AN319" s="127"/>
      <c r="AO319" s="18"/>
      <c r="AP319" s="18"/>
      <c r="AQ319" s="18"/>
      <c r="AR319" s="18"/>
      <c r="AS319" s="18"/>
      <c r="AT319" s="18"/>
      <c r="AU319" s="18"/>
      <c r="AV319" s="18"/>
      <c r="AW319" s="18"/>
      <c r="AX319" s="127"/>
      <c r="AY319" s="127"/>
      <c r="AZ319" s="127"/>
      <c r="BA319" s="127"/>
      <c r="BB319" s="18"/>
      <c r="BC319" s="127"/>
      <c r="BD319" s="18"/>
      <c r="BE319" s="18"/>
      <c r="BF319" s="18"/>
      <c r="BG319" s="18"/>
      <c r="BH319" s="127"/>
      <c r="BI319" s="127"/>
      <c r="BJ319" s="18"/>
      <c r="BK319" s="127"/>
      <c r="BL319" s="127"/>
      <c r="BM319" s="127"/>
      <c r="BN319" s="127"/>
      <c r="BO319" s="18"/>
      <c r="BP319" s="18"/>
      <c r="BQ319" s="18"/>
      <c r="BR319" s="18"/>
      <c r="BS319" s="18"/>
      <c r="BT319" s="18"/>
      <c r="BU319" s="18"/>
      <c r="BV319" s="18"/>
      <c r="BW319" s="18"/>
      <c r="BX319" s="18"/>
      <c r="BY319" s="127"/>
      <c r="BZ319" s="18"/>
      <c r="CA319" s="127"/>
      <c r="CB319" s="127"/>
      <c r="CC319" s="127"/>
      <c r="DK319" t="e">
        <f t="shared" si="184"/>
        <v>#DIV/0!</v>
      </c>
      <c r="DL319" t="e">
        <f t="shared" si="185"/>
        <v>#DIV/0!</v>
      </c>
      <c r="DM319" t="e">
        <f t="shared" si="186"/>
        <v>#DIV/0!</v>
      </c>
      <c r="DN319" t="e">
        <f t="shared" si="187"/>
        <v>#DIV/0!</v>
      </c>
      <c r="DO319" t="e">
        <f t="shared" si="188"/>
        <v>#DIV/0!</v>
      </c>
      <c r="DP319" t="e">
        <f t="shared" si="189"/>
        <v>#DIV/0!</v>
      </c>
    </row>
    <row r="320" spans="1:120">
      <c r="A320" s="16"/>
      <c r="B320" s="16"/>
      <c r="C320" s="16"/>
      <c r="D320" s="16"/>
      <c r="E320" s="16"/>
      <c r="F320" s="16"/>
      <c r="G320" s="16"/>
      <c r="H320" s="27"/>
      <c r="I320" s="16"/>
      <c r="J320" s="16"/>
      <c r="K320" s="16"/>
      <c r="L320" s="16"/>
      <c r="M320" s="16"/>
      <c r="N320" s="16"/>
      <c r="AA320" s="18"/>
      <c r="AB320" s="18"/>
      <c r="AC320" s="18"/>
      <c r="AD320" s="18"/>
      <c r="AE320" s="127"/>
      <c r="AF320" s="127"/>
      <c r="AG320" s="18"/>
      <c r="AH320" s="18"/>
      <c r="AI320" s="18"/>
      <c r="AJ320" s="18"/>
      <c r="AK320" s="134"/>
      <c r="AL320" s="18"/>
      <c r="AM320" s="134"/>
      <c r="AN320" s="127"/>
      <c r="AO320" s="18"/>
      <c r="AP320" s="18"/>
      <c r="AQ320" s="18"/>
      <c r="AR320" s="18"/>
      <c r="AS320" s="18"/>
      <c r="AT320" s="18"/>
      <c r="AU320" s="18"/>
      <c r="AV320" s="18"/>
      <c r="AW320" s="18"/>
      <c r="AX320" s="127"/>
      <c r="AY320" s="127"/>
      <c r="AZ320" s="127"/>
      <c r="BA320" s="127"/>
      <c r="BB320" s="18"/>
      <c r="BC320" s="127"/>
      <c r="BD320" s="18"/>
      <c r="BE320" s="18"/>
      <c r="BF320" s="18"/>
      <c r="BG320" s="18"/>
      <c r="BH320" s="127"/>
      <c r="BI320" s="127"/>
      <c r="BJ320" s="18"/>
      <c r="BK320" s="127"/>
      <c r="BL320" s="127"/>
      <c r="BM320" s="127"/>
      <c r="BN320" s="127"/>
      <c r="BO320" s="18"/>
      <c r="BP320" s="18"/>
      <c r="BQ320" s="18"/>
      <c r="BR320" s="18"/>
      <c r="BS320" s="18"/>
      <c r="BT320" s="18"/>
      <c r="BU320" s="18"/>
      <c r="BV320" s="18"/>
      <c r="BW320" s="18"/>
      <c r="BX320" s="18"/>
      <c r="BY320" s="127"/>
      <c r="BZ320" s="18"/>
      <c r="CA320" s="127"/>
      <c r="CB320" s="127"/>
      <c r="CC320" s="127"/>
      <c r="DK320" t="e">
        <f t="shared" si="184"/>
        <v>#DIV/0!</v>
      </c>
      <c r="DL320" t="e">
        <f t="shared" si="185"/>
        <v>#DIV/0!</v>
      </c>
      <c r="DM320" t="e">
        <f t="shared" si="186"/>
        <v>#DIV/0!</v>
      </c>
      <c r="DN320" t="e">
        <f t="shared" si="187"/>
        <v>#DIV/0!</v>
      </c>
      <c r="DO320" t="e">
        <f t="shared" si="188"/>
        <v>#DIV/0!</v>
      </c>
      <c r="DP320" t="e">
        <f t="shared" si="189"/>
        <v>#DIV/0!</v>
      </c>
    </row>
    <row r="321" spans="1:120">
      <c r="A321" s="16"/>
      <c r="B321" s="16"/>
      <c r="C321" s="16"/>
      <c r="D321" s="16"/>
      <c r="E321" s="16"/>
      <c r="F321" s="16"/>
      <c r="G321" s="16"/>
      <c r="H321" s="27"/>
      <c r="I321" s="16"/>
      <c r="J321" s="16"/>
      <c r="K321" s="16"/>
      <c r="L321" s="16"/>
      <c r="M321" s="16"/>
      <c r="N321" s="16"/>
      <c r="AA321" s="18"/>
      <c r="AB321" s="18"/>
      <c r="AC321" s="18"/>
      <c r="AD321" s="18"/>
      <c r="AE321" s="127"/>
      <c r="AF321" s="127"/>
      <c r="AG321" s="18"/>
      <c r="AH321" s="18"/>
      <c r="AI321" s="18"/>
      <c r="AJ321" s="18"/>
      <c r="AK321" s="134"/>
      <c r="AL321" s="18"/>
      <c r="AM321" s="134"/>
      <c r="AN321" s="127"/>
      <c r="AO321" s="18"/>
      <c r="AP321" s="18"/>
      <c r="AQ321" s="18"/>
      <c r="AR321" s="18"/>
      <c r="AS321" s="18"/>
      <c r="AT321" s="18"/>
      <c r="AU321" s="18"/>
      <c r="AV321" s="18"/>
      <c r="AW321" s="18"/>
      <c r="AX321" s="127"/>
      <c r="AY321" s="127"/>
      <c r="AZ321" s="127"/>
      <c r="BA321" s="127"/>
      <c r="BB321" s="18"/>
      <c r="BC321" s="127"/>
      <c r="BD321" s="18"/>
      <c r="BE321" s="18"/>
      <c r="BF321" s="18"/>
      <c r="BG321" s="18"/>
      <c r="BH321" s="127"/>
      <c r="BI321" s="127"/>
      <c r="BJ321" s="18"/>
      <c r="BK321" s="127"/>
      <c r="BL321" s="127"/>
      <c r="BM321" s="127"/>
      <c r="BN321" s="127"/>
      <c r="BO321" s="18"/>
      <c r="BP321" s="18"/>
      <c r="BQ321" s="18"/>
      <c r="BR321" s="18"/>
      <c r="BS321" s="18"/>
      <c r="BT321" s="18"/>
      <c r="BU321" s="18"/>
      <c r="BV321" s="18"/>
      <c r="BW321" s="18"/>
      <c r="BX321" s="18"/>
      <c r="BY321" s="127"/>
      <c r="BZ321" s="18"/>
      <c r="CA321" s="127"/>
      <c r="CB321" s="127"/>
      <c r="CC321" s="127"/>
      <c r="DK321" t="e">
        <f t="shared" si="184"/>
        <v>#DIV/0!</v>
      </c>
      <c r="DL321" t="e">
        <f t="shared" si="185"/>
        <v>#DIV/0!</v>
      </c>
      <c r="DM321" t="e">
        <f t="shared" si="186"/>
        <v>#DIV/0!</v>
      </c>
      <c r="DN321" t="e">
        <f t="shared" si="187"/>
        <v>#DIV/0!</v>
      </c>
      <c r="DO321" t="e">
        <f t="shared" si="188"/>
        <v>#DIV/0!</v>
      </c>
      <c r="DP321" t="e">
        <f t="shared" si="189"/>
        <v>#DIV/0!</v>
      </c>
    </row>
    <row r="322" spans="1:120">
      <c r="A322" s="16"/>
      <c r="B322" s="16"/>
      <c r="C322" s="16"/>
      <c r="D322" s="16"/>
      <c r="E322" s="16"/>
      <c r="F322" s="16"/>
      <c r="G322" s="16"/>
      <c r="H322" s="27"/>
      <c r="I322" s="16"/>
      <c r="J322" s="16"/>
      <c r="K322" s="16"/>
      <c r="L322" s="16"/>
      <c r="M322" s="16"/>
      <c r="N322" s="16"/>
      <c r="AA322" s="18"/>
      <c r="AB322" s="18"/>
      <c r="AC322" s="18"/>
      <c r="AD322" s="18"/>
      <c r="AE322" s="127"/>
      <c r="AF322" s="127"/>
      <c r="AG322" s="18"/>
      <c r="AH322" s="18"/>
      <c r="AI322" s="18"/>
      <c r="AJ322" s="18"/>
      <c r="AK322" s="134"/>
      <c r="AL322" s="18"/>
      <c r="AM322" s="134"/>
      <c r="AN322" s="127"/>
      <c r="AO322" s="18"/>
      <c r="AP322" s="18"/>
      <c r="AQ322" s="18"/>
      <c r="AR322" s="18"/>
      <c r="AS322" s="18"/>
      <c r="AT322" s="18"/>
      <c r="AU322" s="18"/>
      <c r="AV322" s="18"/>
      <c r="AW322" s="18"/>
      <c r="AX322" s="127"/>
      <c r="AY322" s="127"/>
      <c r="AZ322" s="127"/>
      <c r="BA322" s="127"/>
      <c r="BB322" s="18"/>
      <c r="BC322" s="127"/>
      <c r="BD322" s="18"/>
      <c r="BE322" s="18"/>
      <c r="BF322" s="18"/>
      <c r="BG322" s="18"/>
      <c r="BH322" s="127"/>
      <c r="BI322" s="127"/>
      <c r="BJ322" s="18"/>
      <c r="BK322" s="127"/>
      <c r="BL322" s="127"/>
      <c r="BM322" s="127"/>
      <c r="BN322" s="127"/>
      <c r="BO322" s="18"/>
      <c r="BP322" s="18"/>
      <c r="BQ322" s="18"/>
      <c r="BR322" s="18"/>
      <c r="BS322" s="18"/>
      <c r="BT322" s="18"/>
      <c r="BU322" s="18"/>
      <c r="BV322" s="18"/>
      <c r="BW322" s="18"/>
      <c r="BX322" s="18"/>
      <c r="BY322" s="127"/>
      <c r="BZ322" s="18"/>
      <c r="CA322" s="127"/>
      <c r="CB322" s="127"/>
      <c r="CC322" s="127"/>
      <c r="DK322" t="e">
        <f t="shared" si="184"/>
        <v>#DIV/0!</v>
      </c>
      <c r="DL322" t="e">
        <f t="shared" si="185"/>
        <v>#DIV/0!</v>
      </c>
      <c r="DM322" t="e">
        <f t="shared" si="186"/>
        <v>#DIV/0!</v>
      </c>
      <c r="DN322" t="e">
        <f t="shared" si="187"/>
        <v>#DIV/0!</v>
      </c>
      <c r="DO322" t="e">
        <f t="shared" si="188"/>
        <v>#DIV/0!</v>
      </c>
      <c r="DP322" t="e">
        <f t="shared" si="189"/>
        <v>#DIV/0!</v>
      </c>
    </row>
    <row r="323" spans="1:120">
      <c r="A323" s="16"/>
      <c r="B323" s="16"/>
      <c r="C323" s="16"/>
      <c r="D323" s="16"/>
      <c r="E323" s="16"/>
      <c r="F323" s="16"/>
      <c r="G323" s="16"/>
      <c r="H323" s="27"/>
      <c r="I323" s="16"/>
      <c r="J323" s="16"/>
      <c r="K323" s="16"/>
      <c r="L323" s="16"/>
      <c r="M323" s="16"/>
      <c r="N323" s="16"/>
      <c r="AA323" s="18"/>
      <c r="AB323" s="18"/>
      <c r="AC323" s="18"/>
      <c r="AD323" s="18"/>
      <c r="AE323" s="127"/>
      <c r="AF323" s="127"/>
      <c r="AG323" s="18"/>
      <c r="AH323" s="18"/>
      <c r="AI323" s="18"/>
      <c r="AJ323" s="18"/>
      <c r="AK323" s="134"/>
      <c r="AL323" s="18"/>
      <c r="AM323" s="134"/>
      <c r="AN323" s="127"/>
      <c r="AO323" s="18"/>
      <c r="AP323" s="18"/>
      <c r="AQ323" s="18"/>
      <c r="AR323" s="18"/>
      <c r="AS323" s="18"/>
      <c r="AT323" s="18"/>
      <c r="AU323" s="18"/>
      <c r="AV323" s="18"/>
      <c r="AW323" s="18"/>
      <c r="AX323" s="127"/>
      <c r="AY323" s="127"/>
      <c r="AZ323" s="127"/>
      <c r="BA323" s="127"/>
      <c r="BB323" s="18"/>
      <c r="BC323" s="127"/>
      <c r="BD323" s="18"/>
      <c r="BE323" s="18"/>
      <c r="BF323" s="18"/>
      <c r="BG323" s="18"/>
      <c r="BH323" s="127"/>
      <c r="BI323" s="127"/>
      <c r="BJ323" s="18"/>
      <c r="BK323" s="127"/>
      <c r="BL323" s="127"/>
      <c r="BM323" s="127"/>
      <c r="BN323" s="127"/>
      <c r="BO323" s="18"/>
      <c r="BP323" s="18"/>
      <c r="BQ323" s="18"/>
      <c r="BR323" s="18"/>
      <c r="BS323" s="18"/>
      <c r="BT323" s="18"/>
      <c r="BU323" s="18"/>
      <c r="BV323" s="18"/>
      <c r="BW323" s="18"/>
      <c r="BX323" s="18"/>
      <c r="BY323" s="127"/>
      <c r="BZ323" s="18"/>
      <c r="CA323" s="127"/>
      <c r="CB323" s="127"/>
      <c r="CC323" s="127"/>
      <c r="DK323" t="e">
        <f t="shared" ref="DK323:DK341" si="190">S323/BK323</f>
        <v>#DIV/0!</v>
      </c>
      <c r="DL323" t="e">
        <f t="shared" ref="DL323:DL341" si="191">Q323/BK323</f>
        <v>#DIV/0!</v>
      </c>
      <c r="DM323" t="e">
        <f t="shared" ref="DM323:DM341" si="192">S323/AY323</f>
        <v>#DIV/0!</v>
      </c>
      <c r="DN323" t="e">
        <f t="shared" ref="DN323:DN341" si="193">S323/BI323</f>
        <v>#DIV/0!</v>
      </c>
      <c r="DO323" t="e">
        <f t="shared" ref="DO323:DO341" si="194">Q323/AY323</f>
        <v>#DIV/0!</v>
      </c>
      <c r="DP323" t="e">
        <f t="shared" ref="DP323:DP341" si="195">Q323/BI323</f>
        <v>#DIV/0!</v>
      </c>
    </row>
    <row r="324" spans="1:120">
      <c r="A324" s="16"/>
      <c r="B324" s="16"/>
      <c r="C324" s="16"/>
      <c r="D324" s="16"/>
      <c r="E324" s="16"/>
      <c r="F324" s="16"/>
      <c r="G324" s="16"/>
      <c r="H324" s="27"/>
      <c r="I324" s="16"/>
      <c r="J324" s="16"/>
      <c r="K324" s="16"/>
      <c r="L324" s="16"/>
      <c r="M324" s="16"/>
      <c r="N324" s="16"/>
      <c r="AA324" s="18"/>
      <c r="AB324" s="18"/>
      <c r="AC324" s="18"/>
      <c r="AD324" s="18"/>
      <c r="AE324" s="127"/>
      <c r="AF324" s="127"/>
      <c r="AG324" s="18"/>
      <c r="AH324" s="18"/>
      <c r="AI324" s="18"/>
      <c r="AJ324" s="18"/>
      <c r="AK324" s="134"/>
      <c r="AL324" s="18"/>
      <c r="AM324" s="134"/>
      <c r="AN324" s="127"/>
      <c r="AO324" s="18"/>
      <c r="AP324" s="18"/>
      <c r="AQ324" s="18"/>
      <c r="AR324" s="18"/>
      <c r="AS324" s="18"/>
      <c r="AT324" s="18"/>
      <c r="AU324" s="18"/>
      <c r="AV324" s="18"/>
      <c r="AW324" s="18"/>
      <c r="AX324" s="127"/>
      <c r="AY324" s="127"/>
      <c r="AZ324" s="127"/>
      <c r="BA324" s="127"/>
      <c r="BB324" s="18"/>
      <c r="BC324" s="127"/>
      <c r="BD324" s="18"/>
      <c r="BE324" s="18"/>
      <c r="BF324" s="18"/>
      <c r="BG324" s="18"/>
      <c r="BH324" s="127"/>
      <c r="BI324" s="127"/>
      <c r="BJ324" s="18"/>
      <c r="BK324" s="127"/>
      <c r="BL324" s="127"/>
      <c r="BM324" s="127"/>
      <c r="BN324" s="127"/>
      <c r="BO324" s="18"/>
      <c r="BP324" s="18"/>
      <c r="BQ324" s="18"/>
      <c r="BR324" s="18"/>
      <c r="BS324" s="18"/>
      <c r="BT324" s="18"/>
      <c r="BU324" s="18"/>
      <c r="BV324" s="18"/>
      <c r="BW324" s="18"/>
      <c r="BX324" s="18"/>
      <c r="BY324" s="127"/>
      <c r="BZ324" s="18"/>
      <c r="CA324" s="127"/>
      <c r="CB324" s="127"/>
      <c r="CC324" s="127"/>
      <c r="DK324" t="e">
        <f t="shared" si="190"/>
        <v>#DIV/0!</v>
      </c>
      <c r="DL324" t="e">
        <f t="shared" si="191"/>
        <v>#DIV/0!</v>
      </c>
      <c r="DM324" t="e">
        <f t="shared" si="192"/>
        <v>#DIV/0!</v>
      </c>
      <c r="DN324" t="e">
        <f t="shared" si="193"/>
        <v>#DIV/0!</v>
      </c>
      <c r="DO324" t="e">
        <f t="shared" si="194"/>
        <v>#DIV/0!</v>
      </c>
      <c r="DP324" t="e">
        <f t="shared" si="195"/>
        <v>#DIV/0!</v>
      </c>
    </row>
    <row r="325" spans="1:120">
      <c r="A325" s="16"/>
      <c r="B325" s="16"/>
      <c r="C325" s="16"/>
      <c r="D325" s="16"/>
      <c r="E325" s="16"/>
      <c r="F325" s="16"/>
      <c r="G325" s="16"/>
      <c r="H325" s="27"/>
      <c r="I325" s="16"/>
      <c r="J325" s="16"/>
      <c r="K325" s="16"/>
      <c r="L325" s="16"/>
      <c r="M325" s="16"/>
      <c r="N325" s="16"/>
      <c r="AA325" s="18"/>
      <c r="AB325" s="18"/>
      <c r="AC325" s="18"/>
      <c r="AD325" s="18"/>
      <c r="AE325" s="127"/>
      <c r="AF325" s="127"/>
      <c r="AG325" s="18"/>
      <c r="AH325" s="18"/>
      <c r="AI325" s="18"/>
      <c r="AJ325" s="18"/>
      <c r="AK325" s="134"/>
      <c r="AL325" s="18"/>
      <c r="AM325" s="134"/>
      <c r="AN325" s="127"/>
      <c r="AO325" s="18"/>
      <c r="AP325" s="18"/>
      <c r="AQ325" s="18"/>
      <c r="AR325" s="18"/>
      <c r="AS325" s="18"/>
      <c r="AT325" s="18"/>
      <c r="AU325" s="18"/>
      <c r="AV325" s="18"/>
      <c r="AW325" s="18"/>
      <c r="AX325" s="127"/>
      <c r="AY325" s="127"/>
      <c r="AZ325" s="127"/>
      <c r="BA325" s="127"/>
      <c r="BB325" s="18"/>
      <c r="BC325" s="127"/>
      <c r="BD325" s="18"/>
      <c r="BE325" s="18"/>
      <c r="BF325" s="18"/>
      <c r="BG325" s="18"/>
      <c r="BH325" s="127"/>
      <c r="BI325" s="127"/>
      <c r="BJ325" s="18"/>
      <c r="BK325" s="127"/>
      <c r="BL325" s="127"/>
      <c r="BM325" s="127"/>
      <c r="BN325" s="127"/>
      <c r="BO325" s="18"/>
      <c r="BP325" s="18"/>
      <c r="BQ325" s="18"/>
      <c r="BR325" s="18"/>
      <c r="BS325" s="18"/>
      <c r="BT325" s="18"/>
      <c r="BU325" s="18"/>
      <c r="BV325" s="18"/>
      <c r="BW325" s="18"/>
      <c r="BX325" s="18"/>
      <c r="BY325" s="127"/>
      <c r="BZ325" s="18"/>
      <c r="CA325" s="127"/>
      <c r="CB325" s="127"/>
      <c r="CC325" s="127"/>
      <c r="DK325" t="e">
        <f t="shared" si="190"/>
        <v>#DIV/0!</v>
      </c>
      <c r="DL325" t="e">
        <f t="shared" si="191"/>
        <v>#DIV/0!</v>
      </c>
      <c r="DM325" t="e">
        <f t="shared" si="192"/>
        <v>#DIV/0!</v>
      </c>
      <c r="DN325" t="e">
        <f t="shared" si="193"/>
        <v>#DIV/0!</v>
      </c>
      <c r="DO325" t="e">
        <f t="shared" si="194"/>
        <v>#DIV/0!</v>
      </c>
      <c r="DP325" t="e">
        <f t="shared" si="195"/>
        <v>#DIV/0!</v>
      </c>
    </row>
    <row r="326" spans="1:120">
      <c r="A326" s="16"/>
      <c r="B326" s="16"/>
      <c r="C326" s="16"/>
      <c r="D326" s="16"/>
      <c r="E326" s="16"/>
      <c r="F326" s="16"/>
      <c r="G326" s="16"/>
      <c r="H326" s="27"/>
      <c r="I326" s="16"/>
      <c r="J326" s="16"/>
      <c r="K326" s="16"/>
      <c r="L326" s="16"/>
      <c r="M326" s="16"/>
      <c r="N326" s="16"/>
      <c r="AA326" s="18"/>
      <c r="AB326" s="18"/>
      <c r="AC326" s="18"/>
      <c r="AD326" s="18"/>
      <c r="AE326" s="127"/>
      <c r="AF326" s="127"/>
      <c r="AG326" s="18"/>
      <c r="AH326" s="18"/>
      <c r="AI326" s="18"/>
      <c r="AJ326" s="18"/>
      <c r="AK326" s="134"/>
      <c r="AL326" s="18"/>
      <c r="AM326" s="134"/>
      <c r="AN326" s="127"/>
      <c r="AO326" s="18"/>
      <c r="AP326" s="18"/>
      <c r="AQ326" s="18"/>
      <c r="AR326" s="18"/>
      <c r="AS326" s="18"/>
      <c r="AT326" s="18"/>
      <c r="AU326" s="18"/>
      <c r="AV326" s="18"/>
      <c r="AW326" s="18"/>
      <c r="AX326" s="127"/>
      <c r="AY326" s="127"/>
      <c r="AZ326" s="127"/>
      <c r="BA326" s="127"/>
      <c r="BB326" s="18"/>
      <c r="BC326" s="127"/>
      <c r="BD326" s="18"/>
      <c r="BE326" s="18"/>
      <c r="BF326" s="18"/>
      <c r="BG326" s="18"/>
      <c r="BH326" s="127"/>
      <c r="BI326" s="127"/>
      <c r="BJ326" s="18"/>
      <c r="BK326" s="127"/>
      <c r="BL326" s="127"/>
      <c r="BM326" s="127"/>
      <c r="BN326" s="127"/>
      <c r="BO326" s="18"/>
      <c r="BP326" s="18"/>
      <c r="BQ326" s="18"/>
      <c r="BR326" s="18"/>
      <c r="BS326" s="18"/>
      <c r="BT326" s="18"/>
      <c r="BU326" s="18"/>
      <c r="BV326" s="18"/>
      <c r="BW326" s="18"/>
      <c r="BX326" s="18"/>
      <c r="BY326" s="127"/>
      <c r="BZ326" s="18"/>
      <c r="CA326" s="127"/>
      <c r="CB326" s="127"/>
      <c r="CC326" s="127"/>
      <c r="DK326" t="e">
        <f t="shared" si="190"/>
        <v>#DIV/0!</v>
      </c>
      <c r="DL326" t="e">
        <f t="shared" si="191"/>
        <v>#DIV/0!</v>
      </c>
      <c r="DM326" t="e">
        <f t="shared" si="192"/>
        <v>#DIV/0!</v>
      </c>
      <c r="DN326" t="e">
        <f t="shared" si="193"/>
        <v>#DIV/0!</v>
      </c>
      <c r="DO326" t="e">
        <f t="shared" si="194"/>
        <v>#DIV/0!</v>
      </c>
      <c r="DP326" t="e">
        <f t="shared" si="195"/>
        <v>#DIV/0!</v>
      </c>
    </row>
    <row r="327" spans="1:120">
      <c r="A327" s="16"/>
      <c r="B327" s="16"/>
      <c r="C327" s="16"/>
      <c r="D327" s="16"/>
      <c r="E327" s="16"/>
      <c r="F327" s="16"/>
      <c r="G327" s="16"/>
      <c r="H327" s="27"/>
      <c r="I327" s="16"/>
      <c r="J327" s="16"/>
      <c r="K327" s="16"/>
      <c r="L327" s="16"/>
      <c r="M327" s="16"/>
      <c r="N327" s="16"/>
      <c r="AA327" s="18"/>
      <c r="AB327" s="18"/>
      <c r="AC327" s="18"/>
      <c r="AD327" s="18"/>
      <c r="AE327" s="127"/>
      <c r="AF327" s="127"/>
      <c r="AG327" s="18"/>
      <c r="AH327" s="18"/>
      <c r="AI327" s="18"/>
      <c r="AJ327" s="18"/>
      <c r="AK327" s="134"/>
      <c r="AL327" s="18"/>
      <c r="AM327" s="134"/>
      <c r="AN327" s="127"/>
      <c r="AO327" s="18"/>
      <c r="AP327" s="18"/>
      <c r="AQ327" s="18"/>
      <c r="AR327" s="18"/>
      <c r="AS327" s="18"/>
      <c r="AT327" s="18"/>
      <c r="AU327" s="18"/>
      <c r="AV327" s="18"/>
      <c r="AW327" s="18"/>
      <c r="AX327" s="127"/>
      <c r="AY327" s="127"/>
      <c r="AZ327" s="127"/>
      <c r="BA327" s="127"/>
      <c r="BB327" s="18"/>
      <c r="BC327" s="127"/>
      <c r="BD327" s="18"/>
      <c r="BE327" s="18"/>
      <c r="BF327" s="18"/>
      <c r="BG327" s="18"/>
      <c r="BH327" s="127"/>
      <c r="BI327" s="127"/>
      <c r="BJ327" s="18"/>
      <c r="BK327" s="127"/>
      <c r="BL327" s="127"/>
      <c r="BM327" s="127"/>
      <c r="BN327" s="127"/>
      <c r="BO327" s="18"/>
      <c r="BP327" s="18"/>
      <c r="BQ327" s="18"/>
      <c r="BR327" s="18"/>
      <c r="BS327" s="18"/>
      <c r="BT327" s="18"/>
      <c r="BU327" s="18"/>
      <c r="BV327" s="18"/>
      <c r="BW327" s="18"/>
      <c r="BX327" s="18"/>
      <c r="BY327" s="127"/>
      <c r="BZ327" s="18"/>
      <c r="CA327" s="127"/>
      <c r="CB327" s="127"/>
      <c r="CC327" s="127"/>
      <c r="DK327" t="e">
        <f t="shared" si="190"/>
        <v>#DIV/0!</v>
      </c>
      <c r="DL327" t="e">
        <f t="shared" si="191"/>
        <v>#DIV/0!</v>
      </c>
      <c r="DM327" t="e">
        <f t="shared" si="192"/>
        <v>#DIV/0!</v>
      </c>
      <c r="DN327" t="e">
        <f t="shared" si="193"/>
        <v>#DIV/0!</v>
      </c>
      <c r="DO327" t="e">
        <f t="shared" si="194"/>
        <v>#DIV/0!</v>
      </c>
      <c r="DP327" t="e">
        <f t="shared" si="195"/>
        <v>#DIV/0!</v>
      </c>
    </row>
    <row r="328" spans="1:120">
      <c r="A328" s="16"/>
      <c r="B328" s="16"/>
      <c r="C328" s="16"/>
      <c r="D328" s="16"/>
      <c r="E328" s="16"/>
      <c r="F328" s="16"/>
      <c r="G328" s="16"/>
      <c r="H328" s="27"/>
      <c r="I328" s="16"/>
      <c r="J328" s="16"/>
      <c r="K328" s="16"/>
      <c r="L328" s="16"/>
      <c r="M328" s="16"/>
      <c r="N328" s="16"/>
      <c r="AA328" s="18"/>
      <c r="AB328" s="18"/>
      <c r="AC328" s="18"/>
      <c r="AD328" s="18"/>
      <c r="AE328" s="127"/>
      <c r="AF328" s="127"/>
      <c r="AG328" s="18"/>
      <c r="AH328" s="18"/>
      <c r="AI328" s="18"/>
      <c r="AJ328" s="18"/>
      <c r="AK328" s="134"/>
      <c r="AL328" s="18"/>
      <c r="AM328" s="134"/>
      <c r="AN328" s="127"/>
      <c r="AO328" s="18"/>
      <c r="AP328" s="18"/>
      <c r="AQ328" s="18"/>
      <c r="AR328" s="18"/>
      <c r="AS328" s="18"/>
      <c r="AT328" s="18"/>
      <c r="AU328" s="18"/>
      <c r="AV328" s="18"/>
      <c r="AW328" s="18"/>
      <c r="AX328" s="127"/>
      <c r="AY328" s="127"/>
      <c r="AZ328" s="127"/>
      <c r="BA328" s="127"/>
      <c r="BB328" s="18"/>
      <c r="BC328" s="127"/>
      <c r="BD328" s="18"/>
      <c r="BE328" s="18"/>
      <c r="BF328" s="18"/>
      <c r="BG328" s="18"/>
      <c r="BH328" s="127"/>
      <c r="BI328" s="127"/>
      <c r="BJ328" s="18"/>
      <c r="BK328" s="127"/>
      <c r="BL328" s="127"/>
      <c r="BM328" s="127"/>
      <c r="BN328" s="127"/>
      <c r="BO328" s="18"/>
      <c r="BP328" s="18"/>
      <c r="BQ328" s="18"/>
      <c r="BR328" s="18"/>
      <c r="BS328" s="18"/>
      <c r="BT328" s="18"/>
      <c r="BU328" s="18"/>
      <c r="BV328" s="18"/>
      <c r="BW328" s="18"/>
      <c r="BX328" s="18"/>
      <c r="BY328" s="127"/>
      <c r="BZ328" s="18"/>
      <c r="CA328" s="127"/>
      <c r="CB328" s="127"/>
      <c r="CC328" s="127"/>
      <c r="DK328" t="e">
        <f t="shared" si="190"/>
        <v>#DIV/0!</v>
      </c>
      <c r="DL328" t="e">
        <f t="shared" si="191"/>
        <v>#DIV/0!</v>
      </c>
      <c r="DM328" t="e">
        <f t="shared" si="192"/>
        <v>#DIV/0!</v>
      </c>
      <c r="DN328" t="e">
        <f t="shared" si="193"/>
        <v>#DIV/0!</v>
      </c>
      <c r="DO328" t="e">
        <f t="shared" si="194"/>
        <v>#DIV/0!</v>
      </c>
      <c r="DP328" t="e">
        <f t="shared" si="195"/>
        <v>#DIV/0!</v>
      </c>
    </row>
    <row r="329" spans="1:120">
      <c r="A329" s="16"/>
      <c r="B329" s="16"/>
      <c r="C329" s="16"/>
      <c r="D329" s="16"/>
      <c r="E329" s="16"/>
      <c r="F329" s="16"/>
      <c r="G329" s="16"/>
      <c r="H329" s="27"/>
      <c r="I329" s="16"/>
      <c r="J329" s="16"/>
      <c r="K329" s="16"/>
      <c r="L329" s="16"/>
      <c r="M329" s="16"/>
      <c r="N329" s="16"/>
      <c r="AA329" s="16"/>
      <c r="AB329" s="16"/>
      <c r="AC329" s="16"/>
      <c r="AD329" s="16"/>
      <c r="AE329" s="128"/>
      <c r="AF329" s="128"/>
      <c r="AG329" s="16"/>
      <c r="AH329" s="16"/>
      <c r="AI329" s="16"/>
      <c r="AJ329" s="16"/>
      <c r="AK329" s="135"/>
      <c r="AL329" s="16"/>
      <c r="AM329" s="135"/>
      <c r="AN329" s="128"/>
      <c r="AO329" s="16"/>
      <c r="AP329" s="16"/>
      <c r="AQ329" s="16"/>
      <c r="AR329" s="16"/>
      <c r="AS329" s="16"/>
      <c r="AT329" s="16"/>
      <c r="AU329" s="16"/>
      <c r="AV329" s="16"/>
      <c r="AW329" s="16"/>
      <c r="AX329" s="128"/>
      <c r="AY329" s="128"/>
      <c r="AZ329" s="128"/>
      <c r="BA329" s="128"/>
      <c r="BB329" s="16"/>
      <c r="BC329" s="128"/>
      <c r="BD329" s="16"/>
      <c r="BE329" s="16"/>
      <c r="BF329" s="16"/>
      <c r="BG329" s="16"/>
      <c r="BH329" s="128"/>
      <c r="BI329" s="128"/>
      <c r="BJ329" s="16"/>
      <c r="BK329" s="128"/>
      <c r="BL329" s="128"/>
      <c r="BM329" s="128"/>
      <c r="BN329" s="128"/>
      <c r="BO329" s="16"/>
      <c r="BP329" s="16"/>
      <c r="BQ329" s="16"/>
      <c r="BR329" s="16"/>
      <c r="BS329" s="16"/>
      <c r="BT329" s="16"/>
      <c r="BU329" s="16"/>
      <c r="BV329" s="16"/>
      <c r="BW329" s="16"/>
      <c r="BX329" s="16"/>
      <c r="BY329" s="128"/>
      <c r="BZ329" s="16"/>
      <c r="CA329" s="128"/>
      <c r="CB329" s="128"/>
      <c r="CC329" s="128"/>
      <c r="DK329" t="e">
        <f t="shared" si="190"/>
        <v>#DIV/0!</v>
      </c>
      <c r="DL329" t="e">
        <f t="shared" si="191"/>
        <v>#DIV/0!</v>
      </c>
      <c r="DM329" t="e">
        <f t="shared" si="192"/>
        <v>#DIV/0!</v>
      </c>
      <c r="DN329" t="e">
        <f t="shared" si="193"/>
        <v>#DIV/0!</v>
      </c>
      <c r="DO329" t="e">
        <f t="shared" si="194"/>
        <v>#DIV/0!</v>
      </c>
      <c r="DP329" t="e">
        <f t="shared" si="195"/>
        <v>#DIV/0!</v>
      </c>
    </row>
    <row r="330" spans="1:120">
      <c r="A330" s="16"/>
      <c r="B330" s="16"/>
      <c r="C330" s="16"/>
      <c r="D330" s="16"/>
      <c r="E330" s="16"/>
      <c r="F330" s="16"/>
      <c r="G330" s="16"/>
      <c r="H330" s="27"/>
      <c r="I330" s="16"/>
      <c r="J330" s="16"/>
      <c r="K330" s="16"/>
      <c r="L330" s="16"/>
      <c r="M330" s="16"/>
      <c r="N330" s="16"/>
      <c r="AA330" s="16"/>
      <c r="AB330" s="16"/>
      <c r="AC330" s="16"/>
      <c r="AD330" s="16"/>
      <c r="AE330" s="128"/>
      <c r="AF330" s="128"/>
      <c r="AG330" s="16"/>
      <c r="AH330" s="16"/>
      <c r="AI330" s="16"/>
      <c r="AJ330" s="16"/>
      <c r="AK330" s="135"/>
      <c r="AL330" s="16"/>
      <c r="AM330" s="135"/>
      <c r="AN330" s="128"/>
      <c r="AO330" s="16"/>
      <c r="AP330" s="16"/>
      <c r="AQ330" s="16"/>
      <c r="AR330" s="16"/>
      <c r="AS330" s="16"/>
      <c r="AT330" s="16"/>
      <c r="AU330" s="16"/>
      <c r="AV330" s="16"/>
      <c r="AW330" s="16"/>
      <c r="AX330" s="128"/>
      <c r="AY330" s="128"/>
      <c r="AZ330" s="128"/>
      <c r="BA330" s="128"/>
      <c r="BB330" s="16"/>
      <c r="BC330" s="128"/>
      <c r="BD330" s="16"/>
      <c r="BE330" s="16"/>
      <c r="BF330" s="16"/>
      <c r="BG330" s="16"/>
      <c r="BH330" s="128"/>
      <c r="BI330" s="128"/>
      <c r="BJ330" s="16"/>
      <c r="BK330" s="128"/>
      <c r="BL330" s="128"/>
      <c r="BM330" s="128"/>
      <c r="BN330" s="128"/>
      <c r="BO330" s="16"/>
      <c r="BP330" s="16"/>
      <c r="BQ330" s="16"/>
      <c r="BR330" s="16"/>
      <c r="BS330" s="16"/>
      <c r="BT330" s="16"/>
      <c r="BU330" s="16"/>
      <c r="BV330" s="16"/>
      <c r="BW330" s="16"/>
      <c r="BX330" s="16"/>
      <c r="BY330" s="128"/>
      <c r="BZ330" s="16"/>
      <c r="CA330" s="128"/>
      <c r="CB330" s="128"/>
      <c r="CC330" s="128"/>
      <c r="DK330" t="e">
        <f t="shared" si="190"/>
        <v>#DIV/0!</v>
      </c>
      <c r="DL330" t="e">
        <f t="shared" si="191"/>
        <v>#DIV/0!</v>
      </c>
      <c r="DM330" t="e">
        <f t="shared" si="192"/>
        <v>#DIV/0!</v>
      </c>
      <c r="DN330" t="e">
        <f t="shared" si="193"/>
        <v>#DIV/0!</v>
      </c>
      <c r="DO330" t="e">
        <f t="shared" si="194"/>
        <v>#DIV/0!</v>
      </c>
      <c r="DP330" t="e">
        <f t="shared" si="195"/>
        <v>#DIV/0!</v>
      </c>
    </row>
    <row r="331" spans="1:120">
      <c r="A331" s="4"/>
      <c r="B331" s="16"/>
      <c r="C331" s="16"/>
      <c r="D331" s="4"/>
      <c r="E331" s="4"/>
      <c r="F331" s="4"/>
      <c r="G331" s="4"/>
      <c r="H331" s="49"/>
      <c r="I331" s="4"/>
      <c r="J331" s="4"/>
      <c r="K331" s="4"/>
      <c r="L331" s="4"/>
      <c r="M331" s="4"/>
      <c r="N331" s="4"/>
      <c r="DK331" t="e">
        <f t="shared" si="190"/>
        <v>#DIV/0!</v>
      </c>
      <c r="DL331" t="e">
        <f t="shared" si="191"/>
        <v>#DIV/0!</v>
      </c>
      <c r="DM331" t="e">
        <f t="shared" si="192"/>
        <v>#DIV/0!</v>
      </c>
      <c r="DN331" t="e">
        <f t="shared" si="193"/>
        <v>#DIV/0!</v>
      </c>
      <c r="DO331" t="e">
        <f t="shared" si="194"/>
        <v>#DIV/0!</v>
      </c>
      <c r="DP331" t="e">
        <f t="shared" si="195"/>
        <v>#DIV/0!</v>
      </c>
    </row>
    <row r="332" spans="1:120">
      <c r="A332" s="4"/>
      <c r="B332" s="16"/>
      <c r="C332" s="16"/>
      <c r="D332" s="4"/>
      <c r="E332" s="4"/>
      <c r="F332" s="4"/>
      <c r="G332" s="4"/>
      <c r="H332" s="49"/>
      <c r="I332" s="4"/>
      <c r="J332" s="4"/>
      <c r="K332" s="4"/>
      <c r="L332" s="4"/>
      <c r="M332" s="4"/>
      <c r="N332" s="4"/>
      <c r="DK332" t="e">
        <f t="shared" si="190"/>
        <v>#DIV/0!</v>
      </c>
      <c r="DL332" t="e">
        <f t="shared" si="191"/>
        <v>#DIV/0!</v>
      </c>
      <c r="DM332" t="e">
        <f t="shared" si="192"/>
        <v>#DIV/0!</v>
      </c>
      <c r="DN332" t="e">
        <f t="shared" si="193"/>
        <v>#DIV/0!</v>
      </c>
      <c r="DO332" t="e">
        <f t="shared" si="194"/>
        <v>#DIV/0!</v>
      </c>
      <c r="DP332" t="e">
        <f t="shared" si="195"/>
        <v>#DIV/0!</v>
      </c>
    </row>
    <row r="333" spans="1:120">
      <c r="A333" s="4"/>
      <c r="B333" s="16"/>
      <c r="C333" s="16"/>
      <c r="D333" s="4"/>
      <c r="E333" s="4"/>
      <c r="F333" s="4"/>
      <c r="G333" s="4"/>
      <c r="H333" s="49"/>
      <c r="I333" s="4"/>
      <c r="J333" s="4"/>
      <c r="K333" s="4"/>
      <c r="L333" s="4"/>
      <c r="M333" s="4"/>
      <c r="N333" s="4"/>
      <c r="DK333" t="e">
        <f t="shared" si="190"/>
        <v>#DIV/0!</v>
      </c>
      <c r="DL333" t="e">
        <f t="shared" si="191"/>
        <v>#DIV/0!</v>
      </c>
      <c r="DM333" t="e">
        <f t="shared" si="192"/>
        <v>#DIV/0!</v>
      </c>
      <c r="DN333" t="e">
        <f t="shared" si="193"/>
        <v>#DIV/0!</v>
      </c>
      <c r="DO333" t="e">
        <f t="shared" si="194"/>
        <v>#DIV/0!</v>
      </c>
      <c r="DP333" t="e">
        <f t="shared" si="195"/>
        <v>#DIV/0!</v>
      </c>
    </row>
    <row r="334" spans="1:120">
      <c r="A334" s="16"/>
      <c r="B334" s="4"/>
      <c r="C334" s="16"/>
      <c r="D334" s="4"/>
      <c r="E334" s="4"/>
      <c r="F334" s="4"/>
      <c r="G334" s="4"/>
      <c r="H334" s="49"/>
      <c r="I334" s="4"/>
      <c r="J334" s="4"/>
      <c r="K334" s="4"/>
      <c r="L334" s="4"/>
      <c r="M334" s="4"/>
      <c r="N334" s="4"/>
      <c r="AB334" s="26"/>
      <c r="DK334" t="e">
        <f t="shared" si="190"/>
        <v>#DIV/0!</v>
      </c>
      <c r="DL334" t="e">
        <f t="shared" si="191"/>
        <v>#DIV/0!</v>
      </c>
      <c r="DM334" t="e">
        <f t="shared" si="192"/>
        <v>#DIV/0!</v>
      </c>
      <c r="DN334" t="e">
        <f t="shared" si="193"/>
        <v>#DIV/0!</v>
      </c>
      <c r="DO334" t="e">
        <f t="shared" si="194"/>
        <v>#DIV/0!</v>
      </c>
      <c r="DP334" t="e">
        <f t="shared" si="195"/>
        <v>#DIV/0!</v>
      </c>
    </row>
    <row r="335" spans="1:120">
      <c r="A335" s="16"/>
      <c r="B335" s="4"/>
      <c r="C335" s="16"/>
      <c r="D335" s="4"/>
      <c r="E335" s="4"/>
      <c r="F335" s="4"/>
      <c r="G335" s="4"/>
      <c r="H335" s="49"/>
      <c r="I335" s="4"/>
      <c r="J335" s="4"/>
      <c r="K335" s="4"/>
      <c r="L335" s="4"/>
      <c r="M335" s="4"/>
      <c r="N335" s="4"/>
      <c r="AB335" s="26"/>
      <c r="DK335" t="e">
        <f t="shared" si="190"/>
        <v>#DIV/0!</v>
      </c>
      <c r="DL335" t="e">
        <f t="shared" si="191"/>
        <v>#DIV/0!</v>
      </c>
      <c r="DM335" t="e">
        <f t="shared" si="192"/>
        <v>#DIV/0!</v>
      </c>
      <c r="DN335" t="e">
        <f t="shared" si="193"/>
        <v>#DIV/0!</v>
      </c>
      <c r="DO335" t="e">
        <f t="shared" si="194"/>
        <v>#DIV/0!</v>
      </c>
      <c r="DP335" t="e">
        <f t="shared" si="195"/>
        <v>#DIV/0!</v>
      </c>
    </row>
    <row r="336" spans="1:120">
      <c r="A336" s="16"/>
      <c r="B336" s="4"/>
      <c r="C336" s="16"/>
      <c r="D336" s="4"/>
      <c r="E336" s="4"/>
      <c r="F336" s="4"/>
      <c r="G336" s="4"/>
      <c r="H336" s="49"/>
      <c r="I336" s="4"/>
      <c r="J336" s="4"/>
      <c r="K336" s="4"/>
      <c r="L336" s="4"/>
      <c r="M336" s="4"/>
      <c r="N336" s="4"/>
      <c r="DK336" t="e">
        <f t="shared" si="190"/>
        <v>#DIV/0!</v>
      </c>
      <c r="DL336" t="e">
        <f t="shared" si="191"/>
        <v>#DIV/0!</v>
      </c>
      <c r="DM336" t="e">
        <f t="shared" si="192"/>
        <v>#DIV/0!</v>
      </c>
      <c r="DN336" t="e">
        <f t="shared" si="193"/>
        <v>#DIV/0!</v>
      </c>
      <c r="DO336" t="e">
        <f t="shared" si="194"/>
        <v>#DIV/0!</v>
      </c>
      <c r="DP336" t="e">
        <f t="shared" si="195"/>
        <v>#DIV/0!</v>
      </c>
    </row>
    <row r="337" spans="1:120">
      <c r="A337" s="16"/>
      <c r="B337" s="4"/>
      <c r="C337" s="16"/>
      <c r="D337" s="4"/>
      <c r="E337" s="4"/>
      <c r="F337" s="4"/>
      <c r="G337" s="4"/>
      <c r="H337" s="49"/>
      <c r="I337" s="4"/>
      <c r="J337" s="4"/>
      <c r="K337" s="4"/>
      <c r="L337" s="4"/>
      <c r="M337" s="4"/>
      <c r="N337" s="4"/>
      <c r="DK337" t="e">
        <f t="shared" si="190"/>
        <v>#DIV/0!</v>
      </c>
      <c r="DL337" t="e">
        <f t="shared" si="191"/>
        <v>#DIV/0!</v>
      </c>
      <c r="DM337" t="e">
        <f t="shared" si="192"/>
        <v>#DIV/0!</v>
      </c>
      <c r="DN337" t="e">
        <f t="shared" si="193"/>
        <v>#DIV/0!</v>
      </c>
      <c r="DO337" t="e">
        <f t="shared" si="194"/>
        <v>#DIV/0!</v>
      </c>
      <c r="DP337" t="e">
        <f t="shared" si="195"/>
        <v>#DIV/0!</v>
      </c>
    </row>
    <row r="338" spans="1:120">
      <c r="A338" s="4"/>
      <c r="B338" s="4"/>
      <c r="C338" s="4"/>
      <c r="D338" s="4"/>
      <c r="E338" s="4"/>
      <c r="F338" s="4"/>
      <c r="G338" s="4"/>
      <c r="H338" s="49"/>
      <c r="I338" s="4"/>
      <c r="J338" s="4"/>
      <c r="K338" s="4"/>
      <c r="L338" s="4"/>
      <c r="M338" s="4"/>
      <c r="N338" s="4"/>
      <c r="DF338" t="e">
        <f t="shared" ref="DF323:DF341" si="196">AF338/AY338</f>
        <v>#DIV/0!</v>
      </c>
      <c r="DG338" t="e">
        <f t="shared" ref="DG323:DG341" si="197">AE338/AY338</f>
        <v>#DIV/0!</v>
      </c>
      <c r="DH338" t="e">
        <f t="shared" ref="DH323:DH341" si="198">BI338/AY338</f>
        <v>#DIV/0!</v>
      </c>
      <c r="DI338" t="e">
        <f t="shared" ref="DI323:DI341" si="199">BC338/AY338</f>
        <v>#DIV/0!</v>
      </c>
      <c r="DJ338" t="e">
        <f t="shared" ref="DJ323:DJ341" si="200">CC338/AY338</f>
        <v>#DIV/0!</v>
      </c>
      <c r="DK338" t="e">
        <f t="shared" si="190"/>
        <v>#DIV/0!</v>
      </c>
      <c r="DL338" t="e">
        <f t="shared" si="191"/>
        <v>#DIV/0!</v>
      </c>
      <c r="DM338" t="e">
        <f t="shared" si="192"/>
        <v>#DIV/0!</v>
      </c>
      <c r="DN338" t="e">
        <f t="shared" si="193"/>
        <v>#DIV/0!</v>
      </c>
      <c r="DO338" t="e">
        <f t="shared" si="194"/>
        <v>#DIV/0!</v>
      </c>
      <c r="DP338" t="e">
        <f t="shared" si="195"/>
        <v>#DIV/0!</v>
      </c>
    </row>
    <row r="339" spans="1:120">
      <c r="A339" s="16"/>
      <c r="B339" s="4"/>
      <c r="C339" s="16"/>
      <c r="D339" s="4"/>
      <c r="E339" s="4"/>
      <c r="F339" s="4"/>
      <c r="G339" s="4"/>
      <c r="H339" s="49"/>
      <c r="I339" s="4"/>
      <c r="J339" s="4"/>
      <c r="K339" s="4"/>
      <c r="L339" s="4"/>
      <c r="M339" s="4"/>
      <c r="N339" s="4"/>
      <c r="DF339" t="e">
        <f t="shared" si="196"/>
        <v>#DIV/0!</v>
      </c>
      <c r="DG339" t="e">
        <f t="shared" si="197"/>
        <v>#DIV/0!</v>
      </c>
      <c r="DH339" t="e">
        <f t="shared" si="198"/>
        <v>#DIV/0!</v>
      </c>
      <c r="DI339" t="e">
        <f t="shared" si="199"/>
        <v>#DIV/0!</v>
      </c>
      <c r="DJ339" t="e">
        <f t="shared" si="200"/>
        <v>#DIV/0!</v>
      </c>
      <c r="DK339" t="e">
        <f t="shared" si="190"/>
        <v>#DIV/0!</v>
      </c>
      <c r="DL339" t="e">
        <f t="shared" si="191"/>
        <v>#DIV/0!</v>
      </c>
      <c r="DM339" t="e">
        <f t="shared" si="192"/>
        <v>#DIV/0!</v>
      </c>
      <c r="DN339" t="e">
        <f t="shared" si="193"/>
        <v>#DIV/0!</v>
      </c>
      <c r="DO339" t="e">
        <f t="shared" si="194"/>
        <v>#DIV/0!</v>
      </c>
      <c r="DP339" t="e">
        <f t="shared" si="195"/>
        <v>#DIV/0!</v>
      </c>
    </row>
    <row r="340" spans="1:120">
      <c r="A340" s="16"/>
      <c r="B340" s="4"/>
      <c r="C340" s="16"/>
      <c r="D340" s="4"/>
      <c r="E340" s="4"/>
      <c r="F340" s="4"/>
      <c r="G340" s="4"/>
      <c r="H340" s="49"/>
      <c r="I340" s="4"/>
      <c r="J340" s="4"/>
      <c r="K340" s="4"/>
      <c r="L340" s="4"/>
      <c r="M340" s="4"/>
      <c r="N340" s="4"/>
      <c r="DF340" t="e">
        <f t="shared" si="196"/>
        <v>#DIV/0!</v>
      </c>
      <c r="DG340" t="e">
        <f t="shared" si="197"/>
        <v>#DIV/0!</v>
      </c>
      <c r="DH340" t="e">
        <f t="shared" si="198"/>
        <v>#DIV/0!</v>
      </c>
      <c r="DI340" t="e">
        <f t="shared" si="199"/>
        <v>#DIV/0!</v>
      </c>
      <c r="DJ340" t="e">
        <f t="shared" si="200"/>
        <v>#DIV/0!</v>
      </c>
      <c r="DK340" t="e">
        <f t="shared" si="190"/>
        <v>#DIV/0!</v>
      </c>
      <c r="DL340" t="e">
        <f t="shared" si="191"/>
        <v>#DIV/0!</v>
      </c>
      <c r="DM340" t="e">
        <f t="shared" si="192"/>
        <v>#DIV/0!</v>
      </c>
      <c r="DN340" t="e">
        <f t="shared" si="193"/>
        <v>#DIV/0!</v>
      </c>
      <c r="DO340" t="e">
        <f t="shared" si="194"/>
        <v>#DIV/0!</v>
      </c>
      <c r="DP340" t="e">
        <f t="shared" si="195"/>
        <v>#DIV/0!</v>
      </c>
    </row>
    <row r="341" spans="1:120">
      <c r="A341" s="4"/>
      <c r="B341" s="4"/>
      <c r="C341" s="4"/>
      <c r="D341" s="4"/>
      <c r="E341" s="4"/>
      <c r="F341" s="4"/>
      <c r="G341" s="4"/>
      <c r="H341" s="49"/>
      <c r="I341" s="4"/>
      <c r="J341" s="4"/>
      <c r="K341" s="4"/>
      <c r="L341" s="4"/>
      <c r="M341" s="4"/>
      <c r="N341" s="4"/>
      <c r="DF341" t="e">
        <f t="shared" si="196"/>
        <v>#DIV/0!</v>
      </c>
      <c r="DG341" t="e">
        <f t="shared" si="197"/>
        <v>#DIV/0!</v>
      </c>
      <c r="DH341" t="e">
        <f t="shared" si="198"/>
        <v>#DIV/0!</v>
      </c>
      <c r="DI341" t="e">
        <f t="shared" si="199"/>
        <v>#DIV/0!</v>
      </c>
      <c r="DJ341" t="e">
        <f t="shared" si="200"/>
        <v>#DIV/0!</v>
      </c>
      <c r="DK341" t="e">
        <f t="shared" si="190"/>
        <v>#DIV/0!</v>
      </c>
      <c r="DL341" t="e">
        <f t="shared" si="191"/>
        <v>#DIV/0!</v>
      </c>
      <c r="DM341" t="e">
        <f t="shared" si="192"/>
        <v>#DIV/0!</v>
      </c>
      <c r="DN341" t="e">
        <f t="shared" si="193"/>
        <v>#DIV/0!</v>
      </c>
      <c r="DO341" t="e">
        <f t="shared" si="194"/>
        <v>#DIV/0!</v>
      </c>
      <c r="DP341" t="e">
        <f t="shared" si="195"/>
        <v>#DIV/0!</v>
      </c>
    </row>
  </sheetData>
  <autoFilter ref="A1:DE341" xr:uid="{4A2DDF96-528B-064C-9CCC-66677029766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4844-E0C0-1742-91F7-C566FD77ECAD}">
  <dimension ref="A1:M341"/>
  <sheetViews>
    <sheetView workbookViewId="0">
      <selection activeCell="L8" sqref="L8"/>
    </sheetView>
  </sheetViews>
  <sheetFormatPr baseColWidth="10" defaultRowHeight="15"/>
  <cols>
    <col min="1" max="2" width="46"/>
    <col min="4" max="4" width="22.33203125" bestFit="1" customWidth="1"/>
    <col min="5" max="5" width="15.1640625" bestFit="1" customWidth="1"/>
    <col min="6" max="6" width="11.5" bestFit="1" customWidth="1"/>
    <col min="7" max="7" width="12.83203125" bestFit="1" customWidth="1"/>
    <col min="8" max="8" width="13" bestFit="1" customWidth="1"/>
    <col min="9" max="9" width="10.6640625" bestFit="1" customWidth="1"/>
    <col min="10" max="10" width="13.33203125" bestFit="1" customWidth="1"/>
    <col min="11" max="11" width="16.6640625" bestFit="1" customWidth="1"/>
    <col min="12" max="12" width="6.33203125" bestFit="1" customWidth="1"/>
    <col min="13" max="13" width="10" bestFit="1" customWidth="1"/>
  </cols>
  <sheetData>
    <row r="1" spans="1:13" ht="16">
      <c r="A1" s="119" t="s">
        <v>1521</v>
      </c>
      <c r="B1" s="119" t="s">
        <v>1</v>
      </c>
    </row>
    <row r="2" spans="1:13">
      <c r="A2" s="121" t="s">
        <v>1800</v>
      </c>
      <c r="B2" s="16" t="s">
        <v>1394</v>
      </c>
    </row>
    <row r="3" spans="1:13">
      <c r="A3" s="121" t="s">
        <v>1800</v>
      </c>
      <c r="B3" s="16" t="s">
        <v>1394</v>
      </c>
    </row>
    <row r="4" spans="1:13">
      <c r="A4" s="121" t="s">
        <v>1800</v>
      </c>
      <c r="B4" s="16" t="s">
        <v>1394</v>
      </c>
    </row>
    <row r="5" spans="1:13">
      <c r="A5" s="121" t="s">
        <v>1800</v>
      </c>
      <c r="B5" s="16" t="s">
        <v>1394</v>
      </c>
    </row>
    <row r="6" spans="1:13">
      <c r="A6" s="121" t="s">
        <v>1800</v>
      </c>
      <c r="B6" s="16" t="s">
        <v>1394</v>
      </c>
    </row>
    <row r="7" spans="1:13">
      <c r="A7" s="121" t="s">
        <v>1800</v>
      </c>
      <c r="B7" s="16" t="s">
        <v>237</v>
      </c>
    </row>
    <row r="8" spans="1:13">
      <c r="A8" s="121" t="s">
        <v>1800</v>
      </c>
      <c r="B8" s="16" t="s">
        <v>237</v>
      </c>
    </row>
    <row r="9" spans="1:13">
      <c r="A9" s="121" t="s">
        <v>1800</v>
      </c>
      <c r="B9" s="16" t="s">
        <v>237</v>
      </c>
    </row>
    <row r="10" spans="1:13">
      <c r="A10" s="121" t="s">
        <v>1800</v>
      </c>
      <c r="B10" s="16" t="s">
        <v>237</v>
      </c>
      <c r="D10" s="143" t="s">
        <v>1830</v>
      </c>
      <c r="E10" s="143" t="s">
        <v>1829</v>
      </c>
    </row>
    <row r="11" spans="1:13">
      <c r="A11" s="121" t="s">
        <v>1800</v>
      </c>
      <c r="B11" s="16" t="s">
        <v>237</v>
      </c>
      <c r="D11" s="143" t="s">
        <v>1826</v>
      </c>
      <c r="E11" t="s">
        <v>1627</v>
      </c>
      <c r="F11" t="s">
        <v>388</v>
      </c>
      <c r="G11" t="s">
        <v>1394</v>
      </c>
      <c r="H11" t="s">
        <v>237</v>
      </c>
      <c r="I11" t="s">
        <v>171</v>
      </c>
      <c r="J11" t="s">
        <v>806</v>
      </c>
      <c r="K11" t="s">
        <v>801</v>
      </c>
      <c r="L11" t="s">
        <v>1827</v>
      </c>
      <c r="M11" t="s">
        <v>1828</v>
      </c>
    </row>
    <row r="12" spans="1:13">
      <c r="A12" s="121" t="s">
        <v>1800</v>
      </c>
      <c r="B12" s="16" t="s">
        <v>237</v>
      </c>
      <c r="D12" s="10" t="s">
        <v>1800</v>
      </c>
      <c r="G12">
        <v>6</v>
      </c>
      <c r="H12">
        <v>77</v>
      </c>
      <c r="I12">
        <v>2</v>
      </c>
      <c r="K12">
        <v>4</v>
      </c>
      <c r="M12">
        <v>89</v>
      </c>
    </row>
    <row r="13" spans="1:13">
      <c r="A13" s="121" t="s">
        <v>1800</v>
      </c>
      <c r="B13" s="16" t="s">
        <v>237</v>
      </c>
      <c r="D13" s="10" t="s">
        <v>1801</v>
      </c>
      <c r="H13">
        <v>15</v>
      </c>
      <c r="K13">
        <v>1</v>
      </c>
      <c r="M13">
        <v>16</v>
      </c>
    </row>
    <row r="14" spans="1:13">
      <c r="A14" s="121" t="s">
        <v>1800</v>
      </c>
      <c r="B14" s="16" t="s">
        <v>237</v>
      </c>
      <c r="D14" s="10" t="s">
        <v>1369</v>
      </c>
      <c r="H14">
        <v>18</v>
      </c>
      <c r="I14">
        <v>2</v>
      </c>
      <c r="J14">
        <v>3</v>
      </c>
      <c r="M14">
        <v>23</v>
      </c>
    </row>
    <row r="15" spans="1:13">
      <c r="A15" s="121" t="s">
        <v>1800</v>
      </c>
      <c r="B15" s="16" t="s">
        <v>237</v>
      </c>
      <c r="D15" s="10" t="s">
        <v>546</v>
      </c>
      <c r="G15">
        <v>33</v>
      </c>
      <c r="H15">
        <v>8</v>
      </c>
      <c r="I15">
        <v>27</v>
      </c>
      <c r="J15">
        <v>3</v>
      </c>
      <c r="K15">
        <v>1</v>
      </c>
      <c r="M15">
        <v>72</v>
      </c>
    </row>
    <row r="16" spans="1:13">
      <c r="A16" s="121" t="s">
        <v>1800</v>
      </c>
      <c r="B16" s="16" t="s">
        <v>237</v>
      </c>
      <c r="D16" s="10" t="s">
        <v>541</v>
      </c>
      <c r="E16">
        <v>1</v>
      </c>
      <c r="F16">
        <v>11</v>
      </c>
      <c r="G16">
        <v>14</v>
      </c>
      <c r="H16">
        <v>35</v>
      </c>
      <c r="I16">
        <v>4</v>
      </c>
      <c r="K16">
        <v>2</v>
      </c>
      <c r="M16">
        <v>67</v>
      </c>
    </row>
    <row r="17" spans="1:13">
      <c r="A17" s="121" t="s">
        <v>1800</v>
      </c>
      <c r="B17" s="16" t="s">
        <v>237</v>
      </c>
      <c r="D17" s="10" t="s">
        <v>1722</v>
      </c>
      <c r="E17">
        <v>3</v>
      </c>
      <c r="F17">
        <v>20</v>
      </c>
      <c r="G17">
        <v>14</v>
      </c>
      <c r="H17">
        <v>24</v>
      </c>
      <c r="I17">
        <v>4</v>
      </c>
      <c r="K17">
        <v>4</v>
      </c>
      <c r="M17">
        <v>69</v>
      </c>
    </row>
    <row r="18" spans="1:13">
      <c r="A18" s="121" t="s">
        <v>1800</v>
      </c>
      <c r="B18" s="16" t="s">
        <v>237</v>
      </c>
      <c r="D18" s="10" t="s">
        <v>1827</v>
      </c>
    </row>
    <row r="19" spans="1:13">
      <c r="A19" s="121" t="s">
        <v>1800</v>
      </c>
      <c r="B19" s="16" t="s">
        <v>237</v>
      </c>
      <c r="D19" s="10" t="s">
        <v>1828</v>
      </c>
      <c r="E19">
        <v>4</v>
      </c>
      <c r="F19">
        <v>31</v>
      </c>
      <c r="G19">
        <v>67</v>
      </c>
      <c r="H19">
        <v>177</v>
      </c>
      <c r="I19">
        <v>39</v>
      </c>
      <c r="J19">
        <v>6</v>
      </c>
      <c r="K19">
        <v>12</v>
      </c>
      <c r="M19">
        <v>336</v>
      </c>
    </row>
    <row r="20" spans="1:13">
      <c r="A20" s="121" t="s">
        <v>1800</v>
      </c>
      <c r="B20" s="16" t="s">
        <v>237</v>
      </c>
      <c r="D20" s="10" t="s">
        <v>1800</v>
      </c>
      <c r="G20">
        <v>6</v>
      </c>
      <c r="H20">
        <v>77</v>
      </c>
      <c r="I20">
        <v>2</v>
      </c>
      <c r="K20">
        <v>4</v>
      </c>
      <c r="M20">
        <v>89</v>
      </c>
    </row>
    <row r="21" spans="1:13">
      <c r="A21" s="121" t="s">
        <v>1800</v>
      </c>
      <c r="B21" s="16" t="s">
        <v>237</v>
      </c>
      <c r="D21" s="10" t="s">
        <v>1801</v>
      </c>
      <c r="H21">
        <v>15</v>
      </c>
      <c r="K21">
        <v>1</v>
      </c>
      <c r="M21">
        <v>16</v>
      </c>
    </row>
    <row r="22" spans="1:13">
      <c r="A22" s="121" t="s">
        <v>1800</v>
      </c>
      <c r="B22" s="16" t="s">
        <v>237</v>
      </c>
      <c r="D22" s="10" t="s">
        <v>1369</v>
      </c>
      <c r="H22">
        <v>18</v>
      </c>
      <c r="I22">
        <v>2</v>
      </c>
      <c r="J22">
        <v>3</v>
      </c>
      <c r="M22">
        <v>23</v>
      </c>
    </row>
    <row r="23" spans="1:13">
      <c r="A23" s="121" t="s">
        <v>1800</v>
      </c>
      <c r="B23" s="16" t="s">
        <v>237</v>
      </c>
      <c r="D23" s="10" t="s">
        <v>546</v>
      </c>
      <c r="G23">
        <v>33</v>
      </c>
      <c r="H23">
        <v>8</v>
      </c>
      <c r="I23">
        <v>27</v>
      </c>
      <c r="J23">
        <v>3</v>
      </c>
      <c r="K23">
        <v>1</v>
      </c>
      <c r="M23">
        <v>72</v>
      </c>
    </row>
    <row r="24" spans="1:13">
      <c r="A24" s="121" t="s">
        <v>1800</v>
      </c>
      <c r="B24" s="16" t="s">
        <v>237</v>
      </c>
      <c r="D24" s="10" t="s">
        <v>541</v>
      </c>
      <c r="E24">
        <v>1</v>
      </c>
      <c r="F24">
        <v>11</v>
      </c>
      <c r="G24">
        <v>14</v>
      </c>
      <c r="H24">
        <v>35</v>
      </c>
      <c r="I24">
        <v>4</v>
      </c>
      <c r="K24">
        <v>2</v>
      </c>
      <c r="M24">
        <v>67</v>
      </c>
    </row>
    <row r="25" spans="1:13">
      <c r="A25" s="121" t="s">
        <v>1800</v>
      </c>
      <c r="B25" s="16" t="s">
        <v>237</v>
      </c>
      <c r="D25" s="10" t="s">
        <v>1722</v>
      </c>
      <c r="E25">
        <v>3</v>
      </c>
      <c r="F25">
        <v>20</v>
      </c>
      <c r="G25">
        <v>14</v>
      </c>
      <c r="H25">
        <v>24</v>
      </c>
      <c r="I25">
        <v>4</v>
      </c>
      <c r="K25">
        <v>4</v>
      </c>
      <c r="M25">
        <v>69</v>
      </c>
    </row>
    <row r="26" spans="1:13">
      <c r="A26" s="121" t="s">
        <v>1800</v>
      </c>
      <c r="B26" s="16" t="s">
        <v>237</v>
      </c>
      <c r="D26" s="10" t="s">
        <v>1827</v>
      </c>
    </row>
    <row r="27" spans="1:13">
      <c r="A27" s="121" t="s">
        <v>1800</v>
      </c>
      <c r="B27" s="16" t="s">
        <v>237</v>
      </c>
      <c r="D27" s="144" t="s">
        <v>1828</v>
      </c>
      <c r="E27" s="145">
        <v>4</v>
      </c>
      <c r="F27" s="145">
        <v>31</v>
      </c>
      <c r="G27" s="145">
        <v>67</v>
      </c>
      <c r="H27" s="145">
        <v>177</v>
      </c>
      <c r="I27" s="145">
        <v>39</v>
      </c>
      <c r="J27" s="145">
        <v>6</v>
      </c>
      <c r="K27" s="145">
        <v>12</v>
      </c>
      <c r="L27" s="145"/>
      <c r="M27" s="145">
        <v>336</v>
      </c>
    </row>
    <row r="28" spans="1:13">
      <c r="A28" s="121" t="s">
        <v>1800</v>
      </c>
      <c r="B28" s="16" t="s">
        <v>237</v>
      </c>
    </row>
    <row r="29" spans="1:13">
      <c r="A29" s="121" t="s">
        <v>1800</v>
      </c>
      <c r="B29" s="16" t="s">
        <v>237</v>
      </c>
      <c r="D29" s="10" t="s">
        <v>1831</v>
      </c>
    </row>
    <row r="30" spans="1:13">
      <c r="A30" s="121" t="s">
        <v>1800</v>
      </c>
      <c r="B30" s="16" t="s">
        <v>237</v>
      </c>
      <c r="D30" t="s">
        <v>1830</v>
      </c>
      <c r="E30" t="s">
        <v>1829</v>
      </c>
    </row>
    <row r="31" spans="1:13">
      <c r="A31" s="121" t="s">
        <v>1800</v>
      </c>
      <c r="B31" s="16" t="s">
        <v>237</v>
      </c>
      <c r="D31" t="s">
        <v>1826</v>
      </c>
      <c r="E31" t="s">
        <v>1627</v>
      </c>
      <c r="F31" t="s">
        <v>388</v>
      </c>
      <c r="G31" t="s">
        <v>1394</v>
      </c>
      <c r="H31" t="s">
        <v>237</v>
      </c>
      <c r="I31" t="s">
        <v>171</v>
      </c>
      <c r="J31" t="s">
        <v>806</v>
      </c>
      <c r="K31" t="s">
        <v>801</v>
      </c>
      <c r="L31" t="s">
        <v>1827</v>
      </c>
      <c r="M31" t="s">
        <v>1828</v>
      </c>
    </row>
    <row r="32" spans="1:13">
      <c r="A32" s="121" t="s">
        <v>1800</v>
      </c>
      <c r="B32" s="16" t="s">
        <v>237</v>
      </c>
      <c r="D32" s="10" t="s">
        <v>1800</v>
      </c>
      <c r="F32" s="146">
        <f t="shared" ref="F32:K35" si="0">F20/F$27</f>
        <v>0</v>
      </c>
      <c r="G32" s="146">
        <f t="shared" si="0"/>
        <v>8.9552238805970144E-2</v>
      </c>
      <c r="H32" s="146">
        <f t="shared" si="0"/>
        <v>0.43502824858757061</v>
      </c>
      <c r="I32" s="146">
        <f t="shared" si="0"/>
        <v>5.128205128205128E-2</v>
      </c>
      <c r="J32" s="146">
        <f t="shared" si="0"/>
        <v>0</v>
      </c>
      <c r="K32" s="146">
        <f t="shared" si="0"/>
        <v>0.33333333333333331</v>
      </c>
    </row>
    <row r="33" spans="1:11">
      <c r="A33" s="121" t="s">
        <v>1800</v>
      </c>
      <c r="B33" s="16" t="s">
        <v>237</v>
      </c>
      <c r="D33" s="10" t="s">
        <v>1801</v>
      </c>
      <c r="F33" s="146">
        <f t="shared" si="0"/>
        <v>0</v>
      </c>
      <c r="G33" s="146">
        <f t="shared" si="0"/>
        <v>0</v>
      </c>
      <c r="H33" s="146">
        <f t="shared" si="0"/>
        <v>8.4745762711864403E-2</v>
      </c>
      <c r="I33" s="146">
        <f t="shared" si="0"/>
        <v>0</v>
      </c>
      <c r="J33" s="146">
        <f t="shared" si="0"/>
        <v>0</v>
      </c>
      <c r="K33" s="146">
        <f t="shared" si="0"/>
        <v>8.3333333333333329E-2</v>
      </c>
    </row>
    <row r="34" spans="1:11">
      <c r="A34" s="121" t="s">
        <v>1800</v>
      </c>
      <c r="B34" s="16" t="s">
        <v>237</v>
      </c>
      <c r="D34" s="10" t="s">
        <v>1369</v>
      </c>
      <c r="F34" s="146">
        <f t="shared" si="0"/>
        <v>0</v>
      </c>
      <c r="G34" s="146">
        <f t="shared" si="0"/>
        <v>0</v>
      </c>
      <c r="H34" s="146">
        <f t="shared" si="0"/>
        <v>0.10169491525423729</v>
      </c>
      <c r="I34" s="146">
        <f t="shared" si="0"/>
        <v>5.128205128205128E-2</v>
      </c>
      <c r="J34" s="146">
        <f t="shared" si="0"/>
        <v>0.5</v>
      </c>
      <c r="K34" s="146">
        <f t="shared" si="0"/>
        <v>0</v>
      </c>
    </row>
    <row r="35" spans="1:11">
      <c r="A35" s="121" t="s">
        <v>1800</v>
      </c>
      <c r="B35" s="16" t="s">
        <v>237</v>
      </c>
      <c r="D35" s="10" t="s">
        <v>546</v>
      </c>
      <c r="F35" s="146">
        <f t="shared" si="0"/>
        <v>0</v>
      </c>
      <c r="G35" s="146">
        <f t="shared" si="0"/>
        <v>0.4925373134328358</v>
      </c>
      <c r="H35" s="146">
        <f t="shared" si="0"/>
        <v>4.519774011299435E-2</v>
      </c>
      <c r="I35" s="146">
        <f t="shared" si="0"/>
        <v>0.69230769230769229</v>
      </c>
      <c r="J35" s="146">
        <f t="shared" si="0"/>
        <v>0.5</v>
      </c>
      <c r="K35" s="146">
        <f t="shared" si="0"/>
        <v>8.3333333333333329E-2</v>
      </c>
    </row>
    <row r="36" spans="1:11">
      <c r="A36" s="121" t="s">
        <v>1800</v>
      </c>
      <c r="B36" s="16" t="s">
        <v>237</v>
      </c>
      <c r="D36" s="10" t="s">
        <v>541</v>
      </c>
      <c r="E36" s="146">
        <f>E24/E$27</f>
        <v>0.25</v>
      </c>
      <c r="F36" s="146">
        <f>F24/F$27</f>
        <v>0.35483870967741937</v>
      </c>
      <c r="G36" s="146">
        <f t="shared" ref="G36:K36" si="1">G24/G$27</f>
        <v>0.20895522388059701</v>
      </c>
      <c r="H36" s="146">
        <f t="shared" si="1"/>
        <v>0.19774011299435029</v>
      </c>
      <c r="I36" s="146">
        <f t="shared" si="1"/>
        <v>0.10256410256410256</v>
      </c>
      <c r="J36" s="146">
        <f t="shared" si="1"/>
        <v>0</v>
      </c>
      <c r="K36" s="146">
        <f t="shared" si="1"/>
        <v>0.16666666666666666</v>
      </c>
    </row>
    <row r="37" spans="1:11">
      <c r="A37" s="121" t="s">
        <v>1800</v>
      </c>
      <c r="B37" s="16" t="s">
        <v>237</v>
      </c>
      <c r="D37" s="10" t="s">
        <v>1722</v>
      </c>
      <c r="E37" s="146">
        <f>E25/E$27</f>
        <v>0.75</v>
      </c>
      <c r="F37" s="146">
        <f>F25/F$27</f>
        <v>0.64516129032258063</v>
      </c>
      <c r="G37" s="146">
        <f t="shared" ref="G37:K37" si="2">G25/G$27</f>
        <v>0.20895522388059701</v>
      </c>
      <c r="H37" s="146">
        <f t="shared" si="2"/>
        <v>0.13559322033898305</v>
      </c>
      <c r="I37" s="146">
        <f t="shared" si="2"/>
        <v>0.10256410256410256</v>
      </c>
      <c r="J37" s="146">
        <f t="shared" si="2"/>
        <v>0</v>
      </c>
      <c r="K37" s="146">
        <f t="shared" si="2"/>
        <v>0.33333333333333331</v>
      </c>
    </row>
    <row r="38" spans="1:11">
      <c r="A38" s="121" t="s">
        <v>1800</v>
      </c>
      <c r="B38" s="16" t="s">
        <v>237</v>
      </c>
      <c r="D38" s="10" t="s">
        <v>1827</v>
      </c>
      <c r="E38" s="146"/>
      <c r="F38" s="146"/>
      <c r="G38" s="146"/>
      <c r="H38" s="146"/>
      <c r="I38" s="146"/>
      <c r="J38" s="146"/>
      <c r="K38" s="146"/>
    </row>
    <row r="39" spans="1:11">
      <c r="A39" s="121" t="s">
        <v>1800</v>
      </c>
      <c r="B39" s="16" t="s">
        <v>237</v>
      </c>
      <c r="D39" s="10" t="s">
        <v>1828</v>
      </c>
      <c r="E39" s="146">
        <f>E27/E$27</f>
        <v>1</v>
      </c>
      <c r="F39" s="146">
        <f>F27/F$27</f>
        <v>1</v>
      </c>
      <c r="G39" s="146">
        <f t="shared" ref="G39:K39" si="3">G27/G$27</f>
        <v>1</v>
      </c>
      <c r="H39" s="146">
        <f t="shared" si="3"/>
        <v>1</v>
      </c>
      <c r="I39" s="146">
        <f t="shared" si="3"/>
        <v>1</v>
      </c>
      <c r="J39" s="146">
        <f t="shared" si="3"/>
        <v>1</v>
      </c>
      <c r="K39" s="146">
        <f t="shared" si="3"/>
        <v>1</v>
      </c>
    </row>
    <row r="40" spans="1:11">
      <c r="A40" s="121" t="s">
        <v>1800</v>
      </c>
      <c r="B40" s="16" t="s">
        <v>237</v>
      </c>
    </row>
    <row r="41" spans="1:11">
      <c r="A41" s="121" t="s">
        <v>1800</v>
      </c>
      <c r="B41" s="16" t="s">
        <v>237</v>
      </c>
    </row>
    <row r="42" spans="1:11">
      <c r="A42" s="121" t="s">
        <v>1800</v>
      </c>
      <c r="B42" s="16" t="s">
        <v>237</v>
      </c>
    </row>
    <row r="43" spans="1:11">
      <c r="A43" s="121" t="s">
        <v>1800</v>
      </c>
      <c r="B43" s="16" t="s">
        <v>237</v>
      </c>
    </row>
    <row r="44" spans="1:11">
      <c r="A44" s="121" t="s">
        <v>1800</v>
      </c>
      <c r="B44" s="16" t="s">
        <v>237</v>
      </c>
    </row>
    <row r="45" spans="1:11">
      <c r="A45" s="121" t="s">
        <v>1800</v>
      </c>
      <c r="B45" s="16" t="s">
        <v>237</v>
      </c>
    </row>
    <row r="46" spans="1:11">
      <c r="A46" s="121" t="s">
        <v>1800</v>
      </c>
      <c r="B46" s="16" t="s">
        <v>237</v>
      </c>
    </row>
    <row r="47" spans="1:11">
      <c r="A47" s="121" t="s">
        <v>1800</v>
      </c>
      <c r="B47" s="16" t="s">
        <v>237</v>
      </c>
    </row>
    <row r="48" spans="1:11">
      <c r="A48" s="121" t="s">
        <v>1800</v>
      </c>
      <c r="B48" s="16" t="s">
        <v>237</v>
      </c>
    </row>
    <row r="49" spans="1:2">
      <c r="A49" s="121" t="s">
        <v>1800</v>
      </c>
      <c r="B49" s="16" t="s">
        <v>237</v>
      </c>
    </row>
    <row r="50" spans="1:2">
      <c r="A50" s="121" t="s">
        <v>1800</v>
      </c>
      <c r="B50" s="16" t="s">
        <v>237</v>
      </c>
    </row>
    <row r="51" spans="1:2">
      <c r="A51" s="121" t="s">
        <v>1800</v>
      </c>
      <c r="B51" s="16" t="s">
        <v>237</v>
      </c>
    </row>
    <row r="52" spans="1:2">
      <c r="A52" s="121" t="s">
        <v>1800</v>
      </c>
      <c r="B52" s="16" t="s">
        <v>237</v>
      </c>
    </row>
    <row r="53" spans="1:2">
      <c r="A53" s="121" t="s">
        <v>1800</v>
      </c>
      <c r="B53" s="16" t="s">
        <v>237</v>
      </c>
    </row>
    <row r="54" spans="1:2">
      <c r="A54" s="121" t="s">
        <v>1800</v>
      </c>
      <c r="B54" s="16" t="s">
        <v>237</v>
      </c>
    </row>
    <row r="55" spans="1:2">
      <c r="A55" s="121" t="s">
        <v>1800</v>
      </c>
      <c r="B55" s="16" t="s">
        <v>237</v>
      </c>
    </row>
    <row r="56" spans="1:2">
      <c r="A56" s="121" t="s">
        <v>1800</v>
      </c>
      <c r="B56" s="16" t="s">
        <v>237</v>
      </c>
    </row>
    <row r="57" spans="1:2">
      <c r="A57" s="121" t="s">
        <v>1800</v>
      </c>
      <c r="B57" s="16" t="s">
        <v>237</v>
      </c>
    </row>
    <row r="58" spans="1:2">
      <c r="A58" s="121" t="s">
        <v>1800</v>
      </c>
      <c r="B58" s="16" t="s">
        <v>237</v>
      </c>
    </row>
    <row r="59" spans="1:2">
      <c r="A59" s="121" t="s">
        <v>1800</v>
      </c>
      <c r="B59" s="16" t="s">
        <v>237</v>
      </c>
    </row>
    <row r="60" spans="1:2">
      <c r="A60" s="121" t="s">
        <v>1800</v>
      </c>
      <c r="B60" s="16" t="s">
        <v>237</v>
      </c>
    </row>
    <row r="61" spans="1:2">
      <c r="A61" s="121" t="s">
        <v>1800</v>
      </c>
      <c r="B61" s="16" t="s">
        <v>237</v>
      </c>
    </row>
    <row r="62" spans="1:2">
      <c r="A62" s="121" t="s">
        <v>1800</v>
      </c>
      <c r="B62" s="16" t="s">
        <v>171</v>
      </c>
    </row>
    <row r="63" spans="1:2">
      <c r="A63" s="121" t="s">
        <v>1800</v>
      </c>
      <c r="B63" s="16" t="s">
        <v>171</v>
      </c>
    </row>
    <row r="64" spans="1:2">
      <c r="A64" s="121" t="s">
        <v>1800</v>
      </c>
      <c r="B64" s="16" t="s">
        <v>801</v>
      </c>
    </row>
    <row r="65" spans="1:2">
      <c r="A65" s="121" t="s">
        <v>1800</v>
      </c>
      <c r="B65" s="16" t="s">
        <v>801</v>
      </c>
    </row>
    <row r="66" spans="1:2">
      <c r="A66" s="121" t="s">
        <v>1800</v>
      </c>
      <c r="B66" s="16" t="s">
        <v>801</v>
      </c>
    </row>
    <row r="67" spans="1:2">
      <c r="A67" s="121" t="s">
        <v>1800</v>
      </c>
      <c r="B67" s="16" t="s">
        <v>801</v>
      </c>
    </row>
    <row r="68" spans="1:2">
      <c r="A68" s="121" t="s">
        <v>1800</v>
      </c>
      <c r="B68" s="4" t="s">
        <v>1394</v>
      </c>
    </row>
    <row r="69" spans="1:2">
      <c r="A69" s="121" t="s">
        <v>1800</v>
      </c>
      <c r="B69" s="4" t="s">
        <v>237</v>
      </c>
    </row>
    <row r="70" spans="1:2">
      <c r="A70" s="121" t="s">
        <v>1800</v>
      </c>
      <c r="B70" s="4" t="s">
        <v>237</v>
      </c>
    </row>
    <row r="71" spans="1:2">
      <c r="A71" s="121" t="s">
        <v>1800</v>
      </c>
      <c r="B71" s="4" t="s">
        <v>237</v>
      </c>
    </row>
    <row r="72" spans="1:2">
      <c r="A72" s="121" t="s">
        <v>1800</v>
      </c>
      <c r="B72" s="4" t="s">
        <v>237</v>
      </c>
    </row>
    <row r="73" spans="1:2">
      <c r="A73" s="121" t="s">
        <v>1800</v>
      </c>
      <c r="B73" s="4" t="s">
        <v>237</v>
      </c>
    </row>
    <row r="74" spans="1:2">
      <c r="A74" s="121" t="s">
        <v>1800</v>
      </c>
      <c r="B74" s="4" t="s">
        <v>237</v>
      </c>
    </row>
    <row r="75" spans="1:2">
      <c r="A75" s="121" t="s">
        <v>1800</v>
      </c>
      <c r="B75" s="4" t="s">
        <v>237</v>
      </c>
    </row>
    <row r="76" spans="1:2">
      <c r="A76" s="121" t="s">
        <v>1800</v>
      </c>
      <c r="B76" s="4" t="s">
        <v>237</v>
      </c>
    </row>
    <row r="77" spans="1:2">
      <c r="A77" s="121" t="s">
        <v>1800</v>
      </c>
      <c r="B77" s="4" t="s">
        <v>237</v>
      </c>
    </row>
    <row r="78" spans="1:2">
      <c r="A78" s="121" t="s">
        <v>1800</v>
      </c>
      <c r="B78" s="4" t="s">
        <v>237</v>
      </c>
    </row>
    <row r="79" spans="1:2">
      <c r="A79" s="121" t="s">
        <v>1800</v>
      </c>
      <c r="B79" s="4" t="s">
        <v>237</v>
      </c>
    </row>
    <row r="80" spans="1:2">
      <c r="A80" s="121" t="s">
        <v>1800</v>
      </c>
      <c r="B80" s="4" t="s">
        <v>237</v>
      </c>
    </row>
    <row r="81" spans="1:2">
      <c r="A81" s="121" t="s">
        <v>1800</v>
      </c>
      <c r="B81" s="4" t="s">
        <v>237</v>
      </c>
    </row>
    <row r="82" spans="1:2">
      <c r="A82" s="121" t="s">
        <v>1800</v>
      </c>
      <c r="B82" s="4" t="s">
        <v>237</v>
      </c>
    </row>
    <row r="83" spans="1:2">
      <c r="A83" s="121" t="s">
        <v>1800</v>
      </c>
      <c r="B83" s="4" t="s">
        <v>237</v>
      </c>
    </row>
    <row r="84" spans="1:2">
      <c r="A84" s="121" t="s">
        <v>1800</v>
      </c>
      <c r="B84" s="4" t="s">
        <v>237</v>
      </c>
    </row>
    <row r="85" spans="1:2">
      <c r="A85" s="121" t="s">
        <v>1800</v>
      </c>
      <c r="B85" s="4" t="s">
        <v>237</v>
      </c>
    </row>
    <row r="86" spans="1:2">
      <c r="A86" s="121" t="s">
        <v>1800</v>
      </c>
      <c r="B86" s="4" t="s">
        <v>237</v>
      </c>
    </row>
    <row r="87" spans="1:2">
      <c r="A87" s="121" t="s">
        <v>1800</v>
      </c>
      <c r="B87" s="4" t="s">
        <v>237</v>
      </c>
    </row>
    <row r="88" spans="1:2">
      <c r="A88" s="121" t="s">
        <v>1800</v>
      </c>
      <c r="B88" s="4" t="s">
        <v>237</v>
      </c>
    </row>
    <row r="89" spans="1:2">
      <c r="A89" s="121" t="s">
        <v>1800</v>
      </c>
      <c r="B89" s="4" t="s">
        <v>237</v>
      </c>
    </row>
    <row r="90" spans="1:2">
      <c r="A90" s="121" t="s">
        <v>1800</v>
      </c>
      <c r="B90" s="4" t="s">
        <v>237</v>
      </c>
    </row>
    <row r="91" spans="1:2">
      <c r="A91" s="122" t="s">
        <v>1801</v>
      </c>
      <c r="B91" s="16" t="s">
        <v>237</v>
      </c>
    </row>
    <row r="92" spans="1:2">
      <c r="A92" s="122" t="s">
        <v>1801</v>
      </c>
      <c r="B92" s="16" t="s">
        <v>237</v>
      </c>
    </row>
    <row r="93" spans="1:2">
      <c r="A93" s="122" t="s">
        <v>1801</v>
      </c>
      <c r="B93" s="16" t="s">
        <v>237</v>
      </c>
    </row>
    <row r="94" spans="1:2">
      <c r="A94" s="122" t="s">
        <v>1801</v>
      </c>
      <c r="B94" s="16" t="s">
        <v>237</v>
      </c>
    </row>
    <row r="95" spans="1:2">
      <c r="A95" s="122" t="s">
        <v>1801</v>
      </c>
      <c r="B95" s="16" t="s">
        <v>237</v>
      </c>
    </row>
    <row r="96" spans="1:2">
      <c r="A96" s="122" t="s">
        <v>1801</v>
      </c>
      <c r="B96" s="16" t="s">
        <v>237</v>
      </c>
    </row>
    <row r="97" spans="1:2">
      <c r="A97" s="122" t="s">
        <v>1801</v>
      </c>
      <c r="B97" s="16" t="s">
        <v>237</v>
      </c>
    </row>
    <row r="98" spans="1:2">
      <c r="A98" s="122" t="s">
        <v>1801</v>
      </c>
      <c r="B98" s="16" t="s">
        <v>237</v>
      </c>
    </row>
    <row r="99" spans="1:2">
      <c r="A99" s="122" t="s">
        <v>1801</v>
      </c>
      <c r="B99" s="16" t="s">
        <v>237</v>
      </c>
    </row>
    <row r="100" spans="1:2">
      <c r="A100" s="122" t="s">
        <v>1801</v>
      </c>
      <c r="B100" s="16" t="s">
        <v>237</v>
      </c>
    </row>
    <row r="101" spans="1:2">
      <c r="A101" s="122" t="s">
        <v>1801</v>
      </c>
      <c r="B101" s="16" t="s">
        <v>237</v>
      </c>
    </row>
    <row r="102" spans="1:2">
      <c r="A102" s="122" t="s">
        <v>1801</v>
      </c>
      <c r="B102" s="16" t="s">
        <v>237</v>
      </c>
    </row>
    <row r="103" spans="1:2">
      <c r="A103" s="122" t="s">
        <v>1801</v>
      </c>
      <c r="B103" s="16" t="s">
        <v>237</v>
      </c>
    </row>
    <row r="104" spans="1:2">
      <c r="A104" s="122" t="s">
        <v>1801</v>
      </c>
      <c r="B104" s="16" t="s">
        <v>801</v>
      </c>
    </row>
    <row r="105" spans="1:2">
      <c r="A105" s="122" t="s">
        <v>1801</v>
      </c>
      <c r="B105" s="4" t="s">
        <v>237</v>
      </c>
    </row>
    <row r="106" spans="1:2">
      <c r="A106" s="122" t="s">
        <v>1801</v>
      </c>
      <c r="B106" s="4" t="s">
        <v>237</v>
      </c>
    </row>
    <row r="107" spans="1:2">
      <c r="A107" s="123" t="s">
        <v>546</v>
      </c>
      <c r="B107" s="16" t="s">
        <v>1394</v>
      </c>
    </row>
    <row r="108" spans="1:2">
      <c r="A108" s="123" t="s">
        <v>546</v>
      </c>
      <c r="B108" s="16" t="s">
        <v>1394</v>
      </c>
    </row>
    <row r="109" spans="1:2">
      <c r="A109" s="123" t="s">
        <v>546</v>
      </c>
      <c r="B109" s="16" t="s">
        <v>1394</v>
      </c>
    </row>
    <row r="110" spans="1:2">
      <c r="A110" s="123" t="s">
        <v>546</v>
      </c>
      <c r="B110" s="16" t="s">
        <v>1394</v>
      </c>
    </row>
    <row r="111" spans="1:2">
      <c r="A111" s="123" t="s">
        <v>546</v>
      </c>
      <c r="B111" s="16" t="s">
        <v>1394</v>
      </c>
    </row>
    <row r="112" spans="1:2">
      <c r="A112" s="123" t="s">
        <v>546</v>
      </c>
      <c r="B112" s="16" t="s">
        <v>1394</v>
      </c>
    </row>
    <row r="113" spans="1:2">
      <c r="A113" s="123" t="s">
        <v>546</v>
      </c>
      <c r="B113" s="16" t="s">
        <v>1394</v>
      </c>
    </row>
    <row r="114" spans="1:2">
      <c r="A114" s="123" t="s">
        <v>546</v>
      </c>
      <c r="B114" s="16" t="s">
        <v>1394</v>
      </c>
    </row>
    <row r="115" spans="1:2">
      <c r="A115" s="123" t="s">
        <v>546</v>
      </c>
      <c r="B115" s="16" t="s">
        <v>1394</v>
      </c>
    </row>
    <row r="116" spans="1:2">
      <c r="A116" s="123" t="s">
        <v>546</v>
      </c>
      <c r="B116" s="16" t="s">
        <v>1394</v>
      </c>
    </row>
    <row r="117" spans="1:2">
      <c r="A117" s="123" t="s">
        <v>546</v>
      </c>
      <c r="B117" s="16" t="s">
        <v>1394</v>
      </c>
    </row>
    <row r="118" spans="1:2">
      <c r="A118" s="123" t="s">
        <v>546</v>
      </c>
      <c r="B118" s="16" t="s">
        <v>1394</v>
      </c>
    </row>
    <row r="119" spans="1:2">
      <c r="A119" s="123" t="s">
        <v>546</v>
      </c>
      <c r="B119" s="16" t="s">
        <v>1394</v>
      </c>
    </row>
    <row r="120" spans="1:2">
      <c r="A120" s="123" t="s">
        <v>546</v>
      </c>
      <c r="B120" s="16" t="s">
        <v>1394</v>
      </c>
    </row>
    <row r="121" spans="1:2">
      <c r="A121" s="123" t="s">
        <v>546</v>
      </c>
      <c r="B121" s="16" t="s">
        <v>1394</v>
      </c>
    </row>
    <row r="122" spans="1:2">
      <c r="A122" s="123" t="s">
        <v>546</v>
      </c>
      <c r="B122" s="16" t="s">
        <v>1394</v>
      </c>
    </row>
    <row r="123" spans="1:2">
      <c r="A123" s="123" t="s">
        <v>546</v>
      </c>
      <c r="B123" s="16" t="s">
        <v>1394</v>
      </c>
    </row>
    <row r="124" spans="1:2">
      <c r="A124" s="123" t="s">
        <v>546</v>
      </c>
      <c r="B124" s="16" t="s">
        <v>1394</v>
      </c>
    </row>
    <row r="125" spans="1:2">
      <c r="A125" s="123" t="s">
        <v>546</v>
      </c>
      <c r="B125" s="16" t="s">
        <v>1394</v>
      </c>
    </row>
    <row r="126" spans="1:2">
      <c r="A126" s="123" t="s">
        <v>546</v>
      </c>
      <c r="B126" s="16" t="s">
        <v>1394</v>
      </c>
    </row>
    <row r="127" spans="1:2">
      <c r="A127" s="123" t="s">
        <v>546</v>
      </c>
      <c r="B127" s="16" t="s">
        <v>1394</v>
      </c>
    </row>
    <row r="128" spans="1:2">
      <c r="A128" s="123" t="s">
        <v>546</v>
      </c>
      <c r="B128" s="16" t="s">
        <v>1394</v>
      </c>
    </row>
    <row r="129" spans="1:2">
      <c r="A129" s="123" t="s">
        <v>546</v>
      </c>
      <c r="B129" s="16" t="s">
        <v>1394</v>
      </c>
    </row>
    <row r="130" spans="1:2">
      <c r="A130" s="123" t="s">
        <v>546</v>
      </c>
      <c r="B130" s="16" t="s">
        <v>1394</v>
      </c>
    </row>
    <row r="131" spans="1:2">
      <c r="A131" s="123" t="s">
        <v>546</v>
      </c>
      <c r="B131" s="16" t="s">
        <v>1394</v>
      </c>
    </row>
    <row r="132" spans="1:2">
      <c r="A132" s="123" t="s">
        <v>546</v>
      </c>
      <c r="B132" s="16" t="s">
        <v>237</v>
      </c>
    </row>
    <row r="133" spans="1:2">
      <c r="A133" s="123" t="s">
        <v>546</v>
      </c>
      <c r="B133" s="16" t="s">
        <v>237</v>
      </c>
    </row>
    <row r="134" spans="1:2">
      <c r="A134" s="123" t="s">
        <v>546</v>
      </c>
      <c r="B134" s="16" t="s">
        <v>237</v>
      </c>
    </row>
    <row r="135" spans="1:2">
      <c r="A135" s="123" t="s">
        <v>546</v>
      </c>
      <c r="B135" s="16" t="s">
        <v>237</v>
      </c>
    </row>
    <row r="136" spans="1:2">
      <c r="A136" s="123" t="s">
        <v>546</v>
      </c>
      <c r="B136" s="16" t="s">
        <v>237</v>
      </c>
    </row>
    <row r="137" spans="1:2">
      <c r="A137" s="123" t="s">
        <v>546</v>
      </c>
      <c r="B137" s="16" t="s">
        <v>237</v>
      </c>
    </row>
    <row r="138" spans="1:2">
      <c r="A138" s="123" t="s">
        <v>546</v>
      </c>
      <c r="B138" s="16" t="s">
        <v>237</v>
      </c>
    </row>
    <row r="139" spans="1:2">
      <c r="A139" s="123" t="s">
        <v>546</v>
      </c>
      <c r="B139" s="16" t="s">
        <v>171</v>
      </c>
    </row>
    <row r="140" spans="1:2">
      <c r="A140" s="123" t="s">
        <v>546</v>
      </c>
      <c r="B140" s="16" t="s">
        <v>171</v>
      </c>
    </row>
    <row r="141" spans="1:2">
      <c r="A141" s="123" t="s">
        <v>546</v>
      </c>
      <c r="B141" s="16" t="s">
        <v>171</v>
      </c>
    </row>
    <row r="142" spans="1:2">
      <c r="A142" s="123" t="s">
        <v>546</v>
      </c>
      <c r="B142" s="16" t="s">
        <v>171</v>
      </c>
    </row>
    <row r="143" spans="1:2">
      <c r="A143" s="123" t="s">
        <v>546</v>
      </c>
      <c r="B143" s="16" t="s">
        <v>171</v>
      </c>
    </row>
    <row r="144" spans="1:2">
      <c r="A144" s="123" t="s">
        <v>546</v>
      </c>
      <c r="B144" s="16" t="s">
        <v>171</v>
      </c>
    </row>
    <row r="145" spans="1:2">
      <c r="A145" s="123" t="s">
        <v>546</v>
      </c>
      <c r="B145" s="16" t="s">
        <v>171</v>
      </c>
    </row>
    <row r="146" spans="1:2">
      <c r="A146" s="123" t="s">
        <v>546</v>
      </c>
      <c r="B146" s="16" t="s">
        <v>171</v>
      </c>
    </row>
    <row r="147" spans="1:2">
      <c r="A147" s="123" t="s">
        <v>546</v>
      </c>
      <c r="B147" s="16" t="s">
        <v>171</v>
      </c>
    </row>
    <row r="148" spans="1:2">
      <c r="A148" s="123" t="s">
        <v>546</v>
      </c>
      <c r="B148" s="16" t="s">
        <v>171</v>
      </c>
    </row>
    <row r="149" spans="1:2">
      <c r="A149" s="123" t="s">
        <v>546</v>
      </c>
      <c r="B149" s="16" t="s">
        <v>171</v>
      </c>
    </row>
    <row r="150" spans="1:2">
      <c r="A150" s="123" t="s">
        <v>546</v>
      </c>
      <c r="B150" s="16" t="s">
        <v>171</v>
      </c>
    </row>
    <row r="151" spans="1:2">
      <c r="A151" s="123" t="s">
        <v>546</v>
      </c>
      <c r="B151" s="16" t="s">
        <v>171</v>
      </c>
    </row>
    <row r="152" spans="1:2">
      <c r="A152" s="123" t="s">
        <v>546</v>
      </c>
      <c r="B152" s="16" t="s">
        <v>171</v>
      </c>
    </row>
    <row r="153" spans="1:2">
      <c r="A153" s="123" t="s">
        <v>546</v>
      </c>
      <c r="B153" s="16" t="s">
        <v>171</v>
      </c>
    </row>
    <row r="154" spans="1:2">
      <c r="A154" s="123" t="s">
        <v>546</v>
      </c>
      <c r="B154" s="16" t="s">
        <v>171</v>
      </c>
    </row>
    <row r="155" spans="1:2">
      <c r="A155" s="123" t="s">
        <v>546</v>
      </c>
      <c r="B155" s="16" t="s">
        <v>171</v>
      </c>
    </row>
    <row r="156" spans="1:2">
      <c r="A156" s="123" t="s">
        <v>546</v>
      </c>
      <c r="B156" s="16" t="s">
        <v>171</v>
      </c>
    </row>
    <row r="157" spans="1:2">
      <c r="A157" s="123" t="s">
        <v>546</v>
      </c>
      <c r="B157" s="16" t="s">
        <v>171</v>
      </c>
    </row>
    <row r="158" spans="1:2">
      <c r="A158" s="123" t="s">
        <v>546</v>
      </c>
      <c r="B158" s="16" t="s">
        <v>171</v>
      </c>
    </row>
    <row r="159" spans="1:2">
      <c r="A159" s="123" t="s">
        <v>546</v>
      </c>
      <c r="B159" s="16" t="s">
        <v>171</v>
      </c>
    </row>
    <row r="160" spans="1:2">
      <c r="A160" s="123" t="s">
        <v>546</v>
      </c>
      <c r="B160" s="16" t="s">
        <v>171</v>
      </c>
    </row>
    <row r="161" spans="1:2">
      <c r="A161" s="123" t="s">
        <v>546</v>
      </c>
      <c r="B161" s="16" t="s">
        <v>171</v>
      </c>
    </row>
    <row r="162" spans="1:2">
      <c r="A162" s="123" t="s">
        <v>546</v>
      </c>
      <c r="B162" s="16" t="s">
        <v>171</v>
      </c>
    </row>
    <row r="163" spans="1:2">
      <c r="A163" s="123" t="s">
        <v>546</v>
      </c>
      <c r="B163" s="16" t="s">
        <v>171</v>
      </c>
    </row>
    <row r="164" spans="1:2">
      <c r="A164" s="123" t="s">
        <v>546</v>
      </c>
      <c r="B164" s="16" t="s">
        <v>171</v>
      </c>
    </row>
    <row r="165" spans="1:2">
      <c r="A165" s="123" t="s">
        <v>546</v>
      </c>
      <c r="B165" s="16" t="s">
        <v>171</v>
      </c>
    </row>
    <row r="166" spans="1:2">
      <c r="A166" s="123" t="s">
        <v>546</v>
      </c>
      <c r="B166" s="16" t="s">
        <v>806</v>
      </c>
    </row>
    <row r="167" spans="1:2">
      <c r="A167" s="123" t="s">
        <v>546</v>
      </c>
      <c r="B167" s="16" t="s">
        <v>806</v>
      </c>
    </row>
    <row r="168" spans="1:2">
      <c r="A168" s="123" t="s">
        <v>546</v>
      </c>
      <c r="B168" s="16" t="s">
        <v>806</v>
      </c>
    </row>
    <row r="169" spans="1:2">
      <c r="A169" s="123" t="s">
        <v>546</v>
      </c>
      <c r="B169" s="16" t="s">
        <v>801</v>
      </c>
    </row>
    <row r="170" spans="1:2">
      <c r="A170" s="123" t="s">
        <v>546</v>
      </c>
      <c r="B170" s="4" t="s">
        <v>1394</v>
      </c>
    </row>
    <row r="171" spans="1:2">
      <c r="A171" s="123" t="s">
        <v>546</v>
      </c>
      <c r="B171" s="4" t="s">
        <v>1394</v>
      </c>
    </row>
    <row r="172" spans="1:2">
      <c r="A172" s="123" t="s">
        <v>546</v>
      </c>
      <c r="B172" s="4" t="s">
        <v>1394</v>
      </c>
    </row>
    <row r="173" spans="1:2">
      <c r="A173" s="123" t="s">
        <v>546</v>
      </c>
      <c r="B173" s="4" t="s">
        <v>1394</v>
      </c>
    </row>
    <row r="174" spans="1:2">
      <c r="A174" s="123" t="s">
        <v>546</v>
      </c>
      <c r="B174" s="4" t="s">
        <v>1394</v>
      </c>
    </row>
    <row r="175" spans="1:2">
      <c r="A175" s="123" t="s">
        <v>546</v>
      </c>
      <c r="B175" s="4" t="s">
        <v>1394</v>
      </c>
    </row>
    <row r="176" spans="1:2">
      <c r="A176" s="123" t="s">
        <v>546</v>
      </c>
      <c r="B176" s="4" t="s">
        <v>1394</v>
      </c>
    </row>
    <row r="177" spans="1:2">
      <c r="A177" s="123" t="s">
        <v>546</v>
      </c>
      <c r="B177" s="4" t="s">
        <v>1394</v>
      </c>
    </row>
    <row r="178" spans="1:2">
      <c r="A178" s="123" t="s">
        <v>546</v>
      </c>
      <c r="B178" s="4" t="s">
        <v>237</v>
      </c>
    </row>
    <row r="179" spans="1:2">
      <c r="A179" s="124" t="s">
        <v>541</v>
      </c>
      <c r="B179" s="16" t="s">
        <v>1394</v>
      </c>
    </row>
    <row r="180" spans="1:2">
      <c r="A180" s="124" t="s">
        <v>541</v>
      </c>
      <c r="B180" s="16" t="s">
        <v>1627</v>
      </c>
    </row>
    <row r="181" spans="1:2">
      <c r="A181" s="124" t="s">
        <v>541</v>
      </c>
      <c r="B181" s="16" t="s">
        <v>388</v>
      </c>
    </row>
    <row r="182" spans="1:2">
      <c r="A182" s="124" t="s">
        <v>541</v>
      </c>
      <c r="B182" s="16" t="s">
        <v>388</v>
      </c>
    </row>
    <row r="183" spans="1:2">
      <c r="A183" s="124" t="s">
        <v>541</v>
      </c>
      <c r="B183" s="16" t="s">
        <v>388</v>
      </c>
    </row>
    <row r="184" spans="1:2">
      <c r="A184" s="124" t="s">
        <v>541</v>
      </c>
      <c r="B184" s="16" t="s">
        <v>388</v>
      </c>
    </row>
    <row r="185" spans="1:2">
      <c r="A185" s="124" t="s">
        <v>541</v>
      </c>
      <c r="B185" s="16" t="s">
        <v>388</v>
      </c>
    </row>
    <row r="186" spans="1:2">
      <c r="A186" s="124" t="s">
        <v>541</v>
      </c>
      <c r="B186" s="16" t="s">
        <v>388</v>
      </c>
    </row>
    <row r="187" spans="1:2">
      <c r="A187" s="124" t="s">
        <v>541</v>
      </c>
      <c r="B187" s="16" t="s">
        <v>388</v>
      </c>
    </row>
    <row r="188" spans="1:2">
      <c r="A188" s="124" t="s">
        <v>541</v>
      </c>
      <c r="B188" s="16" t="s">
        <v>388</v>
      </c>
    </row>
    <row r="189" spans="1:2">
      <c r="A189" s="124" t="s">
        <v>541</v>
      </c>
      <c r="B189" s="16" t="s">
        <v>388</v>
      </c>
    </row>
    <row r="190" spans="1:2">
      <c r="A190" s="124" t="s">
        <v>541</v>
      </c>
      <c r="B190" s="16" t="s">
        <v>388</v>
      </c>
    </row>
    <row r="191" spans="1:2">
      <c r="A191" s="124" t="s">
        <v>541</v>
      </c>
      <c r="B191" s="16" t="s">
        <v>388</v>
      </c>
    </row>
    <row r="192" spans="1:2">
      <c r="A192" s="124" t="s">
        <v>541</v>
      </c>
      <c r="B192" s="16" t="s">
        <v>1394</v>
      </c>
    </row>
    <row r="193" spans="1:2">
      <c r="A193" s="124" t="s">
        <v>541</v>
      </c>
      <c r="B193" s="16" t="s">
        <v>1394</v>
      </c>
    </row>
    <row r="194" spans="1:2">
      <c r="A194" s="124" t="s">
        <v>541</v>
      </c>
      <c r="B194" s="16" t="s">
        <v>1394</v>
      </c>
    </row>
    <row r="195" spans="1:2">
      <c r="A195" s="124" t="s">
        <v>541</v>
      </c>
      <c r="B195" s="16" t="s">
        <v>1394</v>
      </c>
    </row>
    <row r="196" spans="1:2">
      <c r="A196" s="124" t="s">
        <v>541</v>
      </c>
      <c r="B196" s="16" t="s">
        <v>1394</v>
      </c>
    </row>
    <row r="197" spans="1:2">
      <c r="A197" s="124" t="s">
        <v>541</v>
      </c>
      <c r="B197" s="16" t="s">
        <v>1394</v>
      </c>
    </row>
    <row r="198" spans="1:2">
      <c r="A198" s="124" t="s">
        <v>541</v>
      </c>
      <c r="B198" s="16" t="s">
        <v>1394</v>
      </c>
    </row>
    <row r="199" spans="1:2">
      <c r="A199" s="124" t="s">
        <v>541</v>
      </c>
      <c r="B199" s="16" t="s">
        <v>1394</v>
      </c>
    </row>
    <row r="200" spans="1:2">
      <c r="A200" s="124" t="s">
        <v>541</v>
      </c>
      <c r="B200" s="16" t="s">
        <v>1394</v>
      </c>
    </row>
    <row r="201" spans="1:2">
      <c r="A201" s="124" t="s">
        <v>541</v>
      </c>
      <c r="B201" s="16" t="s">
        <v>1394</v>
      </c>
    </row>
    <row r="202" spans="1:2">
      <c r="A202" s="124" t="s">
        <v>541</v>
      </c>
      <c r="B202" s="16" t="s">
        <v>237</v>
      </c>
    </row>
    <row r="203" spans="1:2">
      <c r="A203" s="124" t="s">
        <v>541</v>
      </c>
      <c r="B203" s="16" t="s">
        <v>237</v>
      </c>
    </row>
    <row r="204" spans="1:2">
      <c r="A204" s="124" t="s">
        <v>541</v>
      </c>
      <c r="B204" s="16" t="s">
        <v>237</v>
      </c>
    </row>
    <row r="205" spans="1:2">
      <c r="A205" s="124" t="s">
        <v>541</v>
      </c>
      <c r="B205" s="16" t="s">
        <v>237</v>
      </c>
    </row>
    <row r="206" spans="1:2">
      <c r="A206" s="124" t="s">
        <v>541</v>
      </c>
      <c r="B206" s="16" t="s">
        <v>237</v>
      </c>
    </row>
    <row r="207" spans="1:2">
      <c r="A207" s="124" t="s">
        <v>541</v>
      </c>
      <c r="B207" s="16" t="s">
        <v>237</v>
      </c>
    </row>
    <row r="208" spans="1:2">
      <c r="A208" s="124" t="s">
        <v>541</v>
      </c>
      <c r="B208" s="16" t="s">
        <v>237</v>
      </c>
    </row>
    <row r="209" spans="1:2">
      <c r="A209" s="124" t="s">
        <v>541</v>
      </c>
      <c r="B209" s="16" t="s">
        <v>237</v>
      </c>
    </row>
    <row r="210" spans="1:2">
      <c r="A210" s="124" t="s">
        <v>541</v>
      </c>
      <c r="B210" s="16" t="s">
        <v>237</v>
      </c>
    </row>
    <row r="211" spans="1:2">
      <c r="A211" s="124" t="s">
        <v>541</v>
      </c>
      <c r="B211" s="16" t="s">
        <v>237</v>
      </c>
    </row>
    <row r="212" spans="1:2">
      <c r="A212" s="124" t="s">
        <v>541</v>
      </c>
      <c r="B212" s="16" t="s">
        <v>237</v>
      </c>
    </row>
    <row r="213" spans="1:2">
      <c r="A213" s="124" t="s">
        <v>541</v>
      </c>
      <c r="B213" s="16" t="s">
        <v>237</v>
      </c>
    </row>
    <row r="214" spans="1:2">
      <c r="A214" s="124" t="s">
        <v>541</v>
      </c>
      <c r="B214" s="16" t="s">
        <v>237</v>
      </c>
    </row>
    <row r="215" spans="1:2">
      <c r="A215" s="124" t="s">
        <v>541</v>
      </c>
      <c r="B215" s="16" t="s">
        <v>237</v>
      </c>
    </row>
    <row r="216" spans="1:2">
      <c r="A216" s="124" t="s">
        <v>541</v>
      </c>
      <c r="B216" s="16" t="s">
        <v>237</v>
      </c>
    </row>
    <row r="217" spans="1:2">
      <c r="A217" s="124" t="s">
        <v>541</v>
      </c>
      <c r="B217" s="16" t="s">
        <v>237</v>
      </c>
    </row>
    <row r="218" spans="1:2">
      <c r="A218" s="124" t="s">
        <v>541</v>
      </c>
      <c r="B218" s="16" t="s">
        <v>237</v>
      </c>
    </row>
    <row r="219" spans="1:2">
      <c r="A219" s="124" t="s">
        <v>541</v>
      </c>
      <c r="B219" s="16" t="s">
        <v>237</v>
      </c>
    </row>
    <row r="220" spans="1:2">
      <c r="A220" s="124" t="s">
        <v>541</v>
      </c>
      <c r="B220" s="16" t="s">
        <v>237</v>
      </c>
    </row>
    <row r="221" spans="1:2">
      <c r="A221" s="124" t="s">
        <v>541</v>
      </c>
      <c r="B221" s="16" t="s">
        <v>237</v>
      </c>
    </row>
    <row r="222" spans="1:2">
      <c r="A222" s="124" t="s">
        <v>541</v>
      </c>
      <c r="B222" s="16" t="s">
        <v>237</v>
      </c>
    </row>
    <row r="223" spans="1:2">
      <c r="A223" s="124" t="s">
        <v>541</v>
      </c>
      <c r="B223" s="16" t="s">
        <v>237</v>
      </c>
    </row>
    <row r="224" spans="1:2">
      <c r="A224" s="124" t="s">
        <v>541</v>
      </c>
      <c r="B224" s="16" t="s">
        <v>237</v>
      </c>
    </row>
    <row r="225" spans="1:2">
      <c r="A225" s="124" t="s">
        <v>541</v>
      </c>
      <c r="B225" s="16" t="s">
        <v>237</v>
      </c>
    </row>
    <row r="226" spans="1:2">
      <c r="A226" s="124" t="s">
        <v>541</v>
      </c>
      <c r="B226" s="16" t="s">
        <v>237</v>
      </c>
    </row>
    <row r="227" spans="1:2">
      <c r="A227" s="124" t="s">
        <v>541</v>
      </c>
      <c r="B227" s="16" t="s">
        <v>237</v>
      </c>
    </row>
    <row r="228" spans="1:2">
      <c r="A228" s="124" t="s">
        <v>541</v>
      </c>
      <c r="B228" s="16" t="s">
        <v>171</v>
      </c>
    </row>
    <row r="229" spans="1:2">
      <c r="A229" s="124" t="s">
        <v>541</v>
      </c>
      <c r="B229" s="16" t="s">
        <v>171</v>
      </c>
    </row>
    <row r="230" spans="1:2">
      <c r="A230" s="124" t="s">
        <v>541</v>
      </c>
      <c r="B230" s="16" t="s">
        <v>171</v>
      </c>
    </row>
    <row r="231" spans="1:2">
      <c r="A231" s="124" t="s">
        <v>541</v>
      </c>
      <c r="B231" s="16" t="s">
        <v>171</v>
      </c>
    </row>
    <row r="232" spans="1:2">
      <c r="A232" s="124" t="s">
        <v>541</v>
      </c>
      <c r="B232" s="16" t="s">
        <v>801</v>
      </c>
    </row>
    <row r="233" spans="1:2">
      <c r="A233" s="124" t="s">
        <v>541</v>
      </c>
      <c r="B233" s="16" t="s">
        <v>801</v>
      </c>
    </row>
    <row r="234" spans="1:2">
      <c r="A234" s="124" t="s">
        <v>541</v>
      </c>
      <c r="B234" s="4" t="s">
        <v>1394</v>
      </c>
    </row>
    <row r="235" spans="1:2">
      <c r="A235" s="124" t="s">
        <v>541</v>
      </c>
      <c r="B235" s="4" t="s">
        <v>1394</v>
      </c>
    </row>
    <row r="236" spans="1:2">
      <c r="A236" s="124" t="s">
        <v>541</v>
      </c>
      <c r="B236" s="4" t="s">
        <v>1394</v>
      </c>
    </row>
    <row r="237" spans="1:2">
      <c r="A237" s="124" t="s">
        <v>541</v>
      </c>
      <c r="B237" s="4" t="s">
        <v>237</v>
      </c>
    </row>
    <row r="238" spans="1:2">
      <c r="A238" s="124" t="s">
        <v>541</v>
      </c>
      <c r="B238" s="4" t="s">
        <v>237</v>
      </c>
    </row>
    <row r="239" spans="1:2">
      <c r="A239" s="124" t="s">
        <v>541</v>
      </c>
      <c r="B239" s="4" t="s">
        <v>237</v>
      </c>
    </row>
    <row r="240" spans="1:2">
      <c r="A240" s="124" t="s">
        <v>541</v>
      </c>
      <c r="B240" s="4" t="s">
        <v>237</v>
      </c>
    </row>
    <row r="241" spans="1:2">
      <c r="A241" s="124" t="s">
        <v>541</v>
      </c>
      <c r="B241" s="4" t="s">
        <v>237</v>
      </c>
    </row>
    <row r="242" spans="1:2">
      <c r="A242" s="124" t="s">
        <v>541</v>
      </c>
      <c r="B242" s="4" t="s">
        <v>237</v>
      </c>
    </row>
    <row r="243" spans="1:2">
      <c r="A243" s="124" t="s">
        <v>541</v>
      </c>
      <c r="B243" s="4" t="s">
        <v>237</v>
      </c>
    </row>
    <row r="244" spans="1:2">
      <c r="A244" s="124" t="s">
        <v>541</v>
      </c>
      <c r="B244" s="4" t="s">
        <v>237</v>
      </c>
    </row>
    <row r="245" spans="1:2">
      <c r="A245" s="124" t="s">
        <v>541</v>
      </c>
      <c r="B245" s="4" t="s">
        <v>237</v>
      </c>
    </row>
    <row r="246" spans="1:2">
      <c r="A246" s="125" t="s">
        <v>1722</v>
      </c>
      <c r="B246" s="16" t="s">
        <v>1627</v>
      </c>
    </row>
    <row r="247" spans="1:2">
      <c r="A247" s="125" t="s">
        <v>1722</v>
      </c>
      <c r="B247" s="16" t="s">
        <v>1627</v>
      </c>
    </row>
    <row r="248" spans="1:2">
      <c r="A248" s="125" t="s">
        <v>1722</v>
      </c>
      <c r="B248" s="16" t="s">
        <v>1627</v>
      </c>
    </row>
    <row r="249" spans="1:2">
      <c r="A249" s="125" t="s">
        <v>1722</v>
      </c>
      <c r="B249" s="16" t="s">
        <v>388</v>
      </c>
    </row>
    <row r="250" spans="1:2">
      <c r="A250" s="125" t="s">
        <v>1722</v>
      </c>
      <c r="B250" s="16" t="s">
        <v>388</v>
      </c>
    </row>
    <row r="251" spans="1:2">
      <c r="A251" s="125" t="s">
        <v>1722</v>
      </c>
      <c r="B251" s="16" t="s">
        <v>388</v>
      </c>
    </row>
    <row r="252" spans="1:2">
      <c r="A252" s="125" t="s">
        <v>1722</v>
      </c>
      <c r="B252" s="16" t="s">
        <v>388</v>
      </c>
    </row>
    <row r="253" spans="1:2">
      <c r="A253" s="125" t="s">
        <v>1722</v>
      </c>
      <c r="B253" s="16" t="s">
        <v>388</v>
      </c>
    </row>
    <row r="254" spans="1:2">
      <c r="A254" s="125" t="s">
        <v>1722</v>
      </c>
      <c r="B254" s="16" t="s">
        <v>388</v>
      </c>
    </row>
    <row r="255" spans="1:2">
      <c r="A255" s="125" t="s">
        <v>1722</v>
      </c>
      <c r="B255" s="16" t="s">
        <v>388</v>
      </c>
    </row>
    <row r="256" spans="1:2">
      <c r="A256" s="125" t="s">
        <v>1722</v>
      </c>
      <c r="B256" s="16" t="s">
        <v>388</v>
      </c>
    </row>
    <row r="257" spans="1:2">
      <c r="A257" s="125" t="s">
        <v>1722</v>
      </c>
      <c r="B257" s="16" t="s">
        <v>388</v>
      </c>
    </row>
    <row r="258" spans="1:2">
      <c r="A258" s="125" t="s">
        <v>1722</v>
      </c>
      <c r="B258" s="16" t="s">
        <v>388</v>
      </c>
    </row>
    <row r="259" spans="1:2">
      <c r="A259" s="125" t="s">
        <v>1722</v>
      </c>
      <c r="B259" s="16" t="s">
        <v>388</v>
      </c>
    </row>
    <row r="260" spans="1:2">
      <c r="A260" s="125" t="s">
        <v>1722</v>
      </c>
      <c r="B260" s="16" t="s">
        <v>388</v>
      </c>
    </row>
    <row r="261" spans="1:2">
      <c r="A261" s="125" t="s">
        <v>1722</v>
      </c>
      <c r="B261" s="16" t="s">
        <v>388</v>
      </c>
    </row>
    <row r="262" spans="1:2">
      <c r="A262" s="125" t="s">
        <v>1722</v>
      </c>
      <c r="B262" s="16" t="s">
        <v>388</v>
      </c>
    </row>
    <row r="263" spans="1:2">
      <c r="A263" s="125" t="s">
        <v>1722</v>
      </c>
      <c r="B263" s="16" t="s">
        <v>388</v>
      </c>
    </row>
    <row r="264" spans="1:2">
      <c r="A264" s="125" t="s">
        <v>1722</v>
      </c>
      <c r="B264" s="16" t="s">
        <v>388</v>
      </c>
    </row>
    <row r="265" spans="1:2">
      <c r="A265" s="125" t="s">
        <v>1722</v>
      </c>
      <c r="B265" s="16" t="s">
        <v>388</v>
      </c>
    </row>
    <row r="266" spans="1:2">
      <c r="A266" s="125" t="s">
        <v>1722</v>
      </c>
      <c r="B266" s="16" t="s">
        <v>388</v>
      </c>
    </row>
    <row r="267" spans="1:2">
      <c r="A267" s="125" t="s">
        <v>1722</v>
      </c>
      <c r="B267" s="16" t="s">
        <v>388</v>
      </c>
    </row>
    <row r="268" spans="1:2">
      <c r="A268" s="125" t="s">
        <v>1722</v>
      </c>
      <c r="B268" s="16" t="s">
        <v>1394</v>
      </c>
    </row>
    <row r="269" spans="1:2">
      <c r="A269" s="125" t="s">
        <v>1722</v>
      </c>
      <c r="B269" s="16" t="s">
        <v>1394</v>
      </c>
    </row>
    <row r="270" spans="1:2">
      <c r="A270" s="125" t="s">
        <v>1722</v>
      </c>
      <c r="B270" s="16" t="s">
        <v>1394</v>
      </c>
    </row>
    <row r="271" spans="1:2">
      <c r="A271" s="125" t="s">
        <v>1722</v>
      </c>
      <c r="B271" s="16" t="s">
        <v>1394</v>
      </c>
    </row>
    <row r="272" spans="1:2">
      <c r="A272" s="125" t="s">
        <v>1722</v>
      </c>
      <c r="B272" s="16" t="s">
        <v>1394</v>
      </c>
    </row>
    <row r="273" spans="1:2">
      <c r="A273" s="125" t="s">
        <v>1722</v>
      </c>
      <c r="B273" s="16" t="s">
        <v>1394</v>
      </c>
    </row>
    <row r="274" spans="1:2">
      <c r="A274" s="125" t="s">
        <v>1722</v>
      </c>
      <c r="B274" s="16" t="s">
        <v>237</v>
      </c>
    </row>
    <row r="275" spans="1:2">
      <c r="A275" s="125" t="s">
        <v>1722</v>
      </c>
      <c r="B275" s="16" t="s">
        <v>237</v>
      </c>
    </row>
    <row r="276" spans="1:2">
      <c r="A276" s="125" t="s">
        <v>1722</v>
      </c>
      <c r="B276" s="16" t="s">
        <v>237</v>
      </c>
    </row>
    <row r="277" spans="1:2">
      <c r="A277" s="125" t="s">
        <v>1722</v>
      </c>
      <c r="B277" s="16" t="s">
        <v>237</v>
      </c>
    </row>
    <row r="278" spans="1:2">
      <c r="A278" s="125" t="s">
        <v>1722</v>
      </c>
      <c r="B278" s="16" t="s">
        <v>237</v>
      </c>
    </row>
    <row r="279" spans="1:2">
      <c r="A279" s="125" t="s">
        <v>1722</v>
      </c>
      <c r="B279" s="16" t="s">
        <v>237</v>
      </c>
    </row>
    <row r="280" spans="1:2">
      <c r="A280" s="125" t="s">
        <v>1722</v>
      </c>
      <c r="B280" s="16" t="s">
        <v>237</v>
      </c>
    </row>
    <row r="281" spans="1:2">
      <c r="A281" s="125" t="s">
        <v>1722</v>
      </c>
      <c r="B281" s="16" t="s">
        <v>237</v>
      </c>
    </row>
    <row r="282" spans="1:2">
      <c r="A282" s="125" t="s">
        <v>1722</v>
      </c>
      <c r="B282" s="16" t="s">
        <v>237</v>
      </c>
    </row>
    <row r="283" spans="1:2">
      <c r="A283" s="125" t="s">
        <v>1722</v>
      </c>
      <c r="B283" s="16" t="s">
        <v>237</v>
      </c>
    </row>
    <row r="284" spans="1:2">
      <c r="A284" s="125" t="s">
        <v>1722</v>
      </c>
      <c r="B284" s="16" t="s">
        <v>237</v>
      </c>
    </row>
    <row r="285" spans="1:2">
      <c r="A285" s="125" t="s">
        <v>1722</v>
      </c>
      <c r="B285" s="16" t="s">
        <v>237</v>
      </c>
    </row>
    <row r="286" spans="1:2">
      <c r="A286" s="125" t="s">
        <v>1722</v>
      </c>
      <c r="B286" s="16" t="s">
        <v>237</v>
      </c>
    </row>
    <row r="287" spans="1:2">
      <c r="A287" s="125" t="s">
        <v>1722</v>
      </c>
      <c r="B287" s="16" t="s">
        <v>237</v>
      </c>
    </row>
    <row r="288" spans="1:2">
      <c r="A288" s="125" t="s">
        <v>1722</v>
      </c>
      <c r="B288" s="16" t="s">
        <v>237</v>
      </c>
    </row>
    <row r="289" spans="1:2">
      <c r="A289" s="125" t="s">
        <v>1722</v>
      </c>
      <c r="B289" s="16" t="s">
        <v>237</v>
      </c>
    </row>
    <row r="290" spans="1:2">
      <c r="A290" s="125" t="s">
        <v>1722</v>
      </c>
      <c r="B290" s="16" t="s">
        <v>237</v>
      </c>
    </row>
    <row r="291" spans="1:2">
      <c r="A291" s="125" t="s">
        <v>1722</v>
      </c>
      <c r="B291" s="16" t="s">
        <v>171</v>
      </c>
    </row>
    <row r="292" spans="1:2">
      <c r="A292" s="125" t="s">
        <v>1722</v>
      </c>
      <c r="B292" s="16" t="s">
        <v>171</v>
      </c>
    </row>
    <row r="293" spans="1:2">
      <c r="A293" s="125" t="s">
        <v>1722</v>
      </c>
      <c r="B293" s="4" t="s">
        <v>171</v>
      </c>
    </row>
    <row r="294" spans="1:2">
      <c r="A294" s="125" t="s">
        <v>1722</v>
      </c>
      <c r="B294" s="4" t="s">
        <v>171</v>
      </c>
    </row>
    <row r="295" spans="1:2">
      <c r="A295" s="125" t="s">
        <v>1722</v>
      </c>
      <c r="B295" s="16" t="s">
        <v>801</v>
      </c>
    </row>
    <row r="296" spans="1:2">
      <c r="A296" s="125" t="s">
        <v>1722</v>
      </c>
      <c r="B296" s="16" t="s">
        <v>801</v>
      </c>
    </row>
    <row r="297" spans="1:2">
      <c r="A297" s="125" t="s">
        <v>1722</v>
      </c>
      <c r="B297" s="16" t="s">
        <v>801</v>
      </c>
    </row>
    <row r="298" spans="1:2">
      <c r="A298" s="125" t="s">
        <v>1722</v>
      </c>
      <c r="B298" s="16" t="s">
        <v>801</v>
      </c>
    </row>
    <row r="299" spans="1:2">
      <c r="A299" s="125" t="s">
        <v>1722</v>
      </c>
      <c r="B299" s="16" t="s">
        <v>1394</v>
      </c>
    </row>
    <row r="300" spans="1:2">
      <c r="A300" s="125" t="s">
        <v>1722</v>
      </c>
      <c r="B300" s="16" t="s">
        <v>1394</v>
      </c>
    </row>
    <row r="301" spans="1:2">
      <c r="A301" s="125" t="s">
        <v>1722</v>
      </c>
      <c r="B301" s="16" t="s">
        <v>1394</v>
      </c>
    </row>
    <row r="302" spans="1:2">
      <c r="A302" s="125" t="s">
        <v>1722</v>
      </c>
      <c r="B302" s="16" t="s">
        <v>1394</v>
      </c>
    </row>
    <row r="303" spans="1:2">
      <c r="A303" s="125" t="s">
        <v>1722</v>
      </c>
      <c r="B303" s="16" t="s">
        <v>1394</v>
      </c>
    </row>
    <row r="304" spans="1:2">
      <c r="A304" s="125" t="s">
        <v>1722</v>
      </c>
      <c r="B304" s="4" t="s">
        <v>388</v>
      </c>
    </row>
    <row r="305" spans="1:2">
      <c r="A305" s="125" t="s">
        <v>1722</v>
      </c>
      <c r="B305" s="4" t="s">
        <v>1394</v>
      </c>
    </row>
    <row r="306" spans="1:2">
      <c r="A306" s="125" t="s">
        <v>1722</v>
      </c>
      <c r="B306" s="4" t="s">
        <v>1394</v>
      </c>
    </row>
    <row r="307" spans="1:2">
      <c r="A307" s="125" t="s">
        <v>1722</v>
      </c>
      <c r="B307" s="4" t="s">
        <v>1394</v>
      </c>
    </row>
    <row r="308" spans="1:2">
      <c r="A308" s="125" t="s">
        <v>1722</v>
      </c>
      <c r="B308" s="4" t="s">
        <v>237</v>
      </c>
    </row>
    <row r="309" spans="1:2">
      <c r="A309" s="125" t="s">
        <v>1722</v>
      </c>
      <c r="B309" s="4" t="s">
        <v>237</v>
      </c>
    </row>
    <row r="310" spans="1:2">
      <c r="A310" s="125" t="s">
        <v>1722</v>
      </c>
      <c r="B310" s="4" t="s">
        <v>237</v>
      </c>
    </row>
    <row r="311" spans="1:2">
      <c r="A311" s="125" t="s">
        <v>1722</v>
      </c>
      <c r="B311" s="4" t="s">
        <v>237</v>
      </c>
    </row>
    <row r="312" spans="1:2">
      <c r="A312" s="125" t="s">
        <v>1722</v>
      </c>
      <c r="B312" s="4" t="s">
        <v>237</v>
      </c>
    </row>
    <row r="313" spans="1:2">
      <c r="A313" s="125" t="s">
        <v>1722</v>
      </c>
      <c r="B313" s="4" t="s">
        <v>237</v>
      </c>
    </row>
    <row r="314" spans="1:2">
      <c r="A314" s="125" t="s">
        <v>1722</v>
      </c>
      <c r="B314" s="4" t="s">
        <v>237</v>
      </c>
    </row>
    <row r="315" spans="1:2">
      <c r="A315" s="16" t="s">
        <v>1369</v>
      </c>
      <c r="B315" s="16" t="s">
        <v>237</v>
      </c>
    </row>
    <row r="316" spans="1:2">
      <c r="A316" s="16" t="s">
        <v>1369</v>
      </c>
      <c r="B316" s="16" t="s">
        <v>237</v>
      </c>
    </row>
    <row r="317" spans="1:2">
      <c r="A317" s="16" t="s">
        <v>1369</v>
      </c>
      <c r="B317" s="16" t="s">
        <v>237</v>
      </c>
    </row>
    <row r="318" spans="1:2">
      <c r="A318" s="16" t="s">
        <v>1369</v>
      </c>
      <c r="B318" s="16" t="s">
        <v>237</v>
      </c>
    </row>
    <row r="319" spans="1:2">
      <c r="A319" s="16" t="s">
        <v>1369</v>
      </c>
      <c r="B319" s="16" t="s">
        <v>237</v>
      </c>
    </row>
    <row r="320" spans="1:2">
      <c r="A320" s="16" t="s">
        <v>1369</v>
      </c>
      <c r="B320" s="16" t="s">
        <v>237</v>
      </c>
    </row>
    <row r="321" spans="1:2">
      <c r="A321" s="16" t="s">
        <v>1369</v>
      </c>
      <c r="B321" s="16" t="s">
        <v>237</v>
      </c>
    </row>
    <row r="322" spans="1:2">
      <c r="A322" s="16" t="s">
        <v>1369</v>
      </c>
      <c r="B322" s="16" t="s">
        <v>237</v>
      </c>
    </row>
    <row r="323" spans="1:2">
      <c r="A323" s="16" t="s">
        <v>1369</v>
      </c>
      <c r="B323" s="16" t="s">
        <v>237</v>
      </c>
    </row>
    <row r="324" spans="1:2">
      <c r="A324" s="16" t="s">
        <v>1369</v>
      </c>
      <c r="B324" s="16" t="s">
        <v>237</v>
      </c>
    </row>
    <row r="325" spans="1:2">
      <c r="A325" s="16" t="s">
        <v>1369</v>
      </c>
      <c r="B325" s="16" t="s">
        <v>237</v>
      </c>
    </row>
    <row r="326" spans="1:2">
      <c r="A326" s="16" t="s">
        <v>1369</v>
      </c>
      <c r="B326" s="16" t="s">
        <v>237</v>
      </c>
    </row>
    <row r="327" spans="1:2">
      <c r="A327" s="16" t="s">
        <v>1369</v>
      </c>
      <c r="B327" s="16" t="s">
        <v>237</v>
      </c>
    </row>
    <row r="328" spans="1:2">
      <c r="A328" s="16" t="s">
        <v>1369</v>
      </c>
      <c r="B328" s="16" t="s">
        <v>237</v>
      </c>
    </row>
    <row r="329" spans="1:2">
      <c r="A329" s="16" t="s">
        <v>1369</v>
      </c>
      <c r="B329" s="16" t="s">
        <v>171</v>
      </c>
    </row>
    <row r="330" spans="1:2">
      <c r="A330" s="16" t="s">
        <v>1369</v>
      </c>
      <c r="B330" s="16" t="s">
        <v>171</v>
      </c>
    </row>
    <row r="331" spans="1:2">
      <c r="A331" s="16" t="s">
        <v>1369</v>
      </c>
      <c r="B331" s="4" t="s">
        <v>806</v>
      </c>
    </row>
    <row r="332" spans="1:2">
      <c r="A332" s="16" t="s">
        <v>1369</v>
      </c>
      <c r="B332" s="4" t="s">
        <v>806</v>
      </c>
    </row>
    <row r="333" spans="1:2">
      <c r="A333" s="16" t="s">
        <v>1369</v>
      </c>
      <c r="B333" s="4" t="s">
        <v>806</v>
      </c>
    </row>
    <row r="334" spans="1:2">
      <c r="A334" s="16" t="s">
        <v>1369</v>
      </c>
      <c r="B334" s="4" t="s">
        <v>237</v>
      </c>
    </row>
    <row r="335" spans="1:2">
      <c r="A335" s="16" t="s">
        <v>1369</v>
      </c>
      <c r="B335" s="4" t="s">
        <v>237</v>
      </c>
    </row>
    <row r="336" spans="1:2">
      <c r="A336" s="16" t="s">
        <v>1369</v>
      </c>
      <c r="B336" s="4" t="s">
        <v>237</v>
      </c>
    </row>
    <row r="337" spans="1:2">
      <c r="A337" s="16" t="s">
        <v>1369</v>
      </c>
      <c r="B337" s="4" t="s">
        <v>237</v>
      </c>
    </row>
    <row r="338" spans="1:2">
      <c r="A338" s="4"/>
      <c r="B338" s="4"/>
    </row>
    <row r="339" spans="1:2">
      <c r="A339" s="16"/>
      <c r="B339" s="4"/>
    </row>
    <row r="340" spans="1:2">
      <c r="A340" s="16"/>
      <c r="B340" s="4"/>
    </row>
    <row r="341" spans="1:2">
      <c r="A341" s="4"/>
      <c r="B341"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1A8B-EB98-4317-9A4E-78B18D809F91}">
  <sheetPr>
    <tabColor theme="4" tint="0.79998168889431442"/>
  </sheetPr>
  <dimension ref="A1:IX261"/>
  <sheetViews>
    <sheetView showZeros="0" zoomScaleNormal="100" workbookViewId="0"/>
  </sheetViews>
  <sheetFormatPr baseColWidth="10" defaultColWidth="8.83203125" defaultRowHeight="15"/>
  <cols>
    <col min="1" max="2" width="61" customWidth="1"/>
    <col min="4" max="4" width="24.83203125" bestFit="1" customWidth="1"/>
    <col min="5" max="5" width="26.5" bestFit="1" customWidth="1"/>
    <col min="6" max="6" width="18.33203125" bestFit="1" customWidth="1"/>
    <col min="7" max="7" width="28.5" customWidth="1"/>
    <col min="8" max="8" width="14.33203125" bestFit="1" customWidth="1"/>
    <col min="9" max="9" width="18.5" bestFit="1" customWidth="1"/>
    <col min="10" max="10" width="16.1640625" bestFit="1" customWidth="1"/>
    <col min="11" max="11" width="16.1640625" customWidth="1"/>
    <col min="12" max="12" width="26" bestFit="1" customWidth="1"/>
    <col min="14" max="14" width="21.5" bestFit="1" customWidth="1"/>
  </cols>
  <sheetData>
    <row r="1" spans="1:141" s="75" customFormat="1" ht="18">
      <c r="A1" s="75" t="s">
        <v>1174</v>
      </c>
      <c r="B1" s="75" t="s">
        <v>1786</v>
      </c>
      <c r="C1" s="75" t="s">
        <v>0</v>
      </c>
      <c r="D1" s="75" t="s">
        <v>1521</v>
      </c>
      <c r="E1" s="75" t="s">
        <v>1522</v>
      </c>
      <c r="F1" s="75" t="s">
        <v>1</v>
      </c>
      <c r="G1" s="75" t="s">
        <v>2</v>
      </c>
      <c r="H1" s="75" t="s">
        <v>588</v>
      </c>
      <c r="I1" s="75" t="s">
        <v>1715</v>
      </c>
      <c r="J1" s="75" t="s">
        <v>1268</v>
      </c>
      <c r="K1" s="75" t="s">
        <v>1269</v>
      </c>
      <c r="L1" s="75" t="s">
        <v>586</v>
      </c>
      <c r="M1" s="75" t="s">
        <v>3</v>
      </c>
      <c r="N1" s="75" t="s">
        <v>4</v>
      </c>
      <c r="O1" s="75" t="s">
        <v>156</v>
      </c>
      <c r="P1" s="75" t="s">
        <v>5</v>
      </c>
      <c r="Q1" s="75" t="s">
        <v>6</v>
      </c>
      <c r="R1" s="75" t="s">
        <v>7</v>
      </c>
      <c r="S1" s="75" t="s">
        <v>8</v>
      </c>
      <c r="T1" s="75" t="s">
        <v>9</v>
      </c>
      <c r="U1" s="75" t="s">
        <v>10</v>
      </c>
      <c r="V1" s="75" t="s">
        <v>11</v>
      </c>
      <c r="W1" s="75" t="s">
        <v>12</v>
      </c>
      <c r="X1" s="75" t="s">
        <v>13</v>
      </c>
      <c r="Y1" s="75" t="s">
        <v>14</v>
      </c>
      <c r="Z1" s="75" t="s">
        <v>15</v>
      </c>
      <c r="AA1" s="75" t="s">
        <v>16</v>
      </c>
      <c r="AB1" s="75" t="s">
        <v>17</v>
      </c>
      <c r="AC1" s="75" t="s">
        <v>18</v>
      </c>
      <c r="AD1" s="75" t="s">
        <v>19</v>
      </c>
      <c r="AE1" s="75" t="s">
        <v>20</v>
      </c>
      <c r="AF1" s="75" t="s">
        <v>164</v>
      </c>
      <c r="AG1" s="75" t="s">
        <v>157</v>
      </c>
      <c r="AH1" s="75" t="s">
        <v>651</v>
      </c>
      <c r="AI1" s="75" t="s">
        <v>652</v>
      </c>
      <c r="AJ1" s="75" t="s">
        <v>1523</v>
      </c>
      <c r="AK1" s="75" t="s">
        <v>22</v>
      </c>
      <c r="AL1" s="75" t="s">
        <v>1535</v>
      </c>
      <c r="AM1" s="75" t="s">
        <v>1536</v>
      </c>
      <c r="AN1" s="75" t="s">
        <v>1537</v>
      </c>
      <c r="AO1" s="75" t="s">
        <v>1527</v>
      </c>
      <c r="AP1" s="75" t="s">
        <v>1459</v>
      </c>
      <c r="AQ1" s="75" t="s">
        <v>1528</v>
      </c>
      <c r="AR1" s="75" t="s">
        <v>1529</v>
      </c>
      <c r="AS1" s="75" t="s">
        <v>1538</v>
      </c>
      <c r="AT1" s="75" t="s">
        <v>1539</v>
      </c>
      <c r="AU1" s="75" t="s">
        <v>1540</v>
      </c>
      <c r="AV1" s="75" t="s">
        <v>1533</v>
      </c>
      <c r="AW1" s="75" t="s">
        <v>1534</v>
      </c>
      <c r="AX1" s="92" t="s">
        <v>1711</v>
      </c>
      <c r="AY1" s="92" t="s">
        <v>1712</v>
      </c>
      <c r="AZ1" s="75" t="s">
        <v>159</v>
      </c>
      <c r="BA1" s="75" t="s">
        <v>158</v>
      </c>
      <c r="BB1" s="75" t="s">
        <v>767</v>
      </c>
      <c r="BC1" s="75" t="s">
        <v>21</v>
      </c>
      <c r="BD1" s="89" t="s">
        <v>1653</v>
      </c>
      <c r="BE1" s="89" t="s">
        <v>1654</v>
      </c>
      <c r="BF1" s="75" t="s">
        <v>323</v>
      </c>
      <c r="BG1" s="75" t="s">
        <v>324</v>
      </c>
      <c r="BH1" s="75" t="s">
        <v>509</v>
      </c>
      <c r="BI1" s="75" t="s">
        <v>510</v>
      </c>
      <c r="BJ1" s="75" t="s">
        <v>611</v>
      </c>
      <c r="BK1" s="75" t="s">
        <v>364</v>
      </c>
      <c r="BL1" s="75" t="s">
        <v>253</v>
      </c>
      <c r="BM1" s="75" t="s">
        <v>164</v>
      </c>
      <c r="BN1" s="75" t="s">
        <v>20</v>
      </c>
      <c r="BO1" s="75" t="s">
        <v>597</v>
      </c>
      <c r="BP1" s="75" t="s">
        <v>636</v>
      </c>
      <c r="BQ1" s="75" t="s">
        <v>637</v>
      </c>
      <c r="BR1" s="75" t="s">
        <v>638</v>
      </c>
      <c r="BS1" s="75" t="s">
        <v>179</v>
      </c>
      <c r="BT1" s="75" t="s">
        <v>254</v>
      </c>
      <c r="BU1" s="75" t="s">
        <v>255</v>
      </c>
      <c r="BV1" s="75" t="s">
        <v>256</v>
      </c>
      <c r="BW1" s="75" t="s">
        <v>257</v>
      </c>
      <c r="BX1" s="75" t="s">
        <v>258</v>
      </c>
      <c r="BY1" s="75" t="s">
        <v>270</v>
      </c>
      <c r="BZ1" s="75" t="s">
        <v>271</v>
      </c>
      <c r="CA1" s="75" t="s">
        <v>275</v>
      </c>
      <c r="CB1" s="75" t="s">
        <v>494</v>
      </c>
      <c r="CC1" s="75" t="s">
        <v>181</v>
      </c>
      <c r="CD1" s="75" t="s">
        <v>601</v>
      </c>
      <c r="CE1" s="75" t="s">
        <v>1019</v>
      </c>
      <c r="CF1" s="75" t="s">
        <v>602</v>
      </c>
      <c r="CG1" s="75" t="s">
        <v>981</v>
      </c>
      <c r="CH1" s="75" t="s">
        <v>603</v>
      </c>
      <c r="CI1" s="75" t="s">
        <v>182</v>
      </c>
      <c r="CJ1" s="75" t="s">
        <v>184</v>
      </c>
      <c r="CK1" s="75" t="s">
        <v>23</v>
      </c>
      <c r="CL1" s="75" t="s">
        <v>185</v>
      </c>
      <c r="CM1" s="75" t="s">
        <v>604</v>
      </c>
      <c r="CN1" s="75" t="s">
        <v>186</v>
      </c>
      <c r="CO1" s="75" t="s">
        <v>989</v>
      </c>
      <c r="CP1" s="75" t="s">
        <v>990</v>
      </c>
      <c r="CQ1" s="75" t="s">
        <v>991</v>
      </c>
      <c r="CR1" s="75" t="s">
        <v>992</v>
      </c>
      <c r="CS1" s="75" t="s">
        <v>187</v>
      </c>
      <c r="CT1" s="75" t="s">
        <v>188</v>
      </c>
      <c r="CU1" s="75" t="s">
        <v>493</v>
      </c>
      <c r="CV1" s="75" t="s">
        <v>189</v>
      </c>
      <c r="CW1" s="75" t="s">
        <v>190</v>
      </c>
      <c r="CX1" s="75" t="s">
        <v>191</v>
      </c>
      <c r="CY1" s="75" t="s">
        <v>192</v>
      </c>
      <c r="CZ1" s="75" t="s">
        <v>193</v>
      </c>
      <c r="DA1" s="75" t="s">
        <v>194</v>
      </c>
      <c r="DB1" s="75" t="s">
        <v>195</v>
      </c>
      <c r="DC1" s="75" t="s">
        <v>196</v>
      </c>
      <c r="DD1" s="75" t="s">
        <v>197</v>
      </c>
      <c r="DE1" s="75" t="s">
        <v>198</v>
      </c>
      <c r="DF1" s="75" t="s">
        <v>492</v>
      </c>
      <c r="DG1" s="75" t="s">
        <v>199</v>
      </c>
      <c r="DH1" s="75" t="s">
        <v>200</v>
      </c>
      <c r="DI1" s="75" t="s">
        <v>201</v>
      </c>
      <c r="DJ1" s="75" t="s">
        <v>202</v>
      </c>
      <c r="DK1" s="75" t="s">
        <v>203</v>
      </c>
      <c r="DL1" s="75" t="s">
        <v>204</v>
      </c>
      <c r="DM1" s="75" t="s">
        <v>205</v>
      </c>
      <c r="DN1" s="75" t="s">
        <v>206</v>
      </c>
      <c r="DO1" s="75" t="s">
        <v>424</v>
      </c>
      <c r="DP1" s="75" t="s">
        <v>1010</v>
      </c>
      <c r="DQ1" s="75" t="s">
        <v>599</v>
      </c>
      <c r="DR1" s="75" t="s">
        <v>985</v>
      </c>
      <c r="DS1" s="75" t="s">
        <v>600</v>
      </c>
      <c r="DT1" s="75" t="s">
        <v>1062</v>
      </c>
      <c r="DU1" s="75" t="s">
        <v>1185</v>
      </c>
      <c r="DV1" s="75" t="s">
        <v>1195</v>
      </c>
      <c r="DW1" s="75" t="s">
        <v>1186</v>
      </c>
      <c r="DX1" s="75" t="s">
        <v>1195</v>
      </c>
      <c r="DY1" s="75" t="s">
        <v>1190</v>
      </c>
      <c r="DZ1" s="75" t="s">
        <v>1195</v>
      </c>
      <c r="EA1" s="75" t="s">
        <v>1196</v>
      </c>
      <c r="EB1" s="75" t="s">
        <v>1197</v>
      </c>
      <c r="EC1" s="75" t="s">
        <v>1195</v>
      </c>
      <c r="ED1" s="75" t="s">
        <v>1198</v>
      </c>
      <c r="EE1" s="75" t="s">
        <v>1199</v>
      </c>
      <c r="EF1" s="75" t="s">
        <v>1200</v>
      </c>
      <c r="EG1" s="75" t="s">
        <v>1201</v>
      </c>
      <c r="EH1" s="75" t="s">
        <v>1202</v>
      </c>
      <c r="EI1" s="75" t="s">
        <v>1201</v>
      </c>
      <c r="EJ1" s="75" t="s">
        <v>1203</v>
      </c>
      <c r="EK1" s="75" t="s">
        <v>1201</v>
      </c>
    </row>
    <row r="2" spans="1:141" s="32" customFormat="1" ht="16">
      <c r="A2" s="43" t="s">
        <v>1493</v>
      </c>
      <c r="B2" s="43"/>
    </row>
    <row r="3" spans="1:141">
      <c r="A3" t="s">
        <v>847</v>
      </c>
      <c r="B3" t="s">
        <v>1787</v>
      </c>
      <c r="C3" t="s">
        <v>24</v>
      </c>
      <c r="D3" t="str">
        <f>_xlfn.IFS(AND(AV3&gt;=15),"saline",AND(AL3&gt;=40,AV3&lt;=15),"silicic",AND(AL3&lt;=40,AL3&gt;=20,AP3&lt;=15,AV3&lt;=15),"silicic - low-Mg carbonatitic",AND(AP3&lt;15,AQ3&gt;=15,AL3&lt;=20,AV3&lt;=15),"low-Mg carbonatitic",AND(AP3&gt;=15,AL3&lt;=20),"high-Mg carbonatitic")</f>
        <v>high-Mg carbonatitic</v>
      </c>
      <c r="E3" t="s">
        <v>544</v>
      </c>
      <c r="F3" t="s">
        <v>1394</v>
      </c>
      <c r="G3" t="s">
        <v>97</v>
      </c>
      <c r="H3" t="s">
        <v>595</v>
      </c>
      <c r="I3">
        <v>118</v>
      </c>
      <c r="J3" t="s">
        <v>1148</v>
      </c>
      <c r="K3">
        <v>0</v>
      </c>
      <c r="L3">
        <v>0</v>
      </c>
      <c r="M3" t="s">
        <v>571</v>
      </c>
      <c r="N3" t="s">
        <v>542</v>
      </c>
      <c r="O3">
        <v>1</v>
      </c>
      <c r="P3">
        <v>10.94</v>
      </c>
      <c r="Q3">
        <v>0</v>
      </c>
      <c r="R3">
        <v>3.97</v>
      </c>
      <c r="S3">
        <v>0</v>
      </c>
      <c r="T3">
        <v>17.96</v>
      </c>
      <c r="U3">
        <v>17.760000000000002</v>
      </c>
      <c r="V3">
        <v>0</v>
      </c>
      <c r="W3">
        <v>16.87</v>
      </c>
      <c r="X3">
        <v>13.95</v>
      </c>
      <c r="Y3">
        <v>8.7100000000000009</v>
      </c>
      <c r="Z3">
        <v>0</v>
      </c>
      <c r="AA3">
        <v>0</v>
      </c>
      <c r="AB3">
        <v>0</v>
      </c>
      <c r="AC3">
        <v>0</v>
      </c>
      <c r="AD3">
        <v>0</v>
      </c>
      <c r="AE3">
        <v>9.84</v>
      </c>
      <c r="AF3">
        <v>0</v>
      </c>
      <c r="AG3">
        <v>0</v>
      </c>
      <c r="AH3">
        <v>0</v>
      </c>
      <c r="AI3">
        <v>0</v>
      </c>
      <c r="AJ3">
        <v>6.95</v>
      </c>
      <c r="AK3">
        <f t="shared" ref="AK3" si="0">SUM(P3:Q3,S3:U3,W3:Y3,AA3,AC3,AE3)</f>
        <v>96.03</v>
      </c>
      <c r="AL3" s="26">
        <f t="shared" ref="AL3:AM3" si="1">100*(P3/($AK3-$AE3*8/35.45))</f>
        <v>11.661943378578568</v>
      </c>
      <c r="AM3" s="26">
        <f t="shared" si="1"/>
        <v>0</v>
      </c>
      <c r="AN3" s="26">
        <f t="shared" ref="AN3:AP3" si="2">100*(S3/($AK3-$AE3*8/35.45))</f>
        <v>0</v>
      </c>
      <c r="AO3" s="26">
        <f t="shared" si="2"/>
        <v>19.145201378361161</v>
      </c>
      <c r="AP3" s="26">
        <f t="shared" si="2"/>
        <v>18.932003144749125</v>
      </c>
      <c r="AQ3" s="26">
        <f t="shared" ref="AQ3" si="3">100*(W3/($AK3-$AE3*8/35.45))</f>
        <v>17.983271005175546</v>
      </c>
      <c r="AR3" s="26">
        <f t="shared" ref="AR3" si="4">100*(AC3/($AK3-$AE3*8/35.45))</f>
        <v>0</v>
      </c>
      <c r="AS3" s="26">
        <f t="shared" ref="AS3:AT3" si="5">100*(X3/($AK3-$AE3*8/35.45))</f>
        <v>14.870576794439765</v>
      </c>
      <c r="AT3" s="26">
        <f t="shared" si="5"/>
        <v>9.2847830738043289</v>
      </c>
      <c r="AU3" s="26">
        <f t="shared" ref="AU3" si="6">100*(AA3/($AK3-$AE3*8/35.45))</f>
        <v>0</v>
      </c>
      <c r="AV3" s="26">
        <f t="shared" ref="AV3" si="7">100*(AE3/($AK3-$AE3*8/35.45))</f>
        <v>10.489353093712351</v>
      </c>
      <c r="AW3" s="26">
        <f t="shared" ref="AW3" si="8">SUM(AL3:AV3)</f>
        <v>102.36713186882085</v>
      </c>
      <c r="AX3" s="26"/>
      <c r="AY3" s="26"/>
      <c r="AZ3">
        <v>0</v>
      </c>
      <c r="BA3">
        <v>0</v>
      </c>
      <c r="BB3">
        <v>0</v>
      </c>
      <c r="BC3">
        <v>0</v>
      </c>
      <c r="BF3" t="s">
        <v>1466</v>
      </c>
      <c r="BG3">
        <v>0</v>
      </c>
      <c r="BH3" t="s">
        <v>283</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row>
    <row r="4" spans="1:141">
      <c r="A4" t="s">
        <v>827</v>
      </c>
      <c r="B4" t="s">
        <v>1787</v>
      </c>
      <c r="C4" t="s">
        <v>24</v>
      </c>
      <c r="D4" t="str">
        <f t="shared" ref="D4:D44" si="9">_xlfn.IFS(AND(AV4&gt;=15),"saline",AND(AL4&gt;=40,AV4&lt;=15),"silicic",AND(AL4&lt;=40,AL4&gt;=20,AP4&lt;=15,AV4&lt;=15),"silicic - low-Mg carbonatitic",AND(AP4&lt;15,AQ4&gt;=15,AL4&lt;=20,AV4&lt;=15),"low-Mg carbonatitic",AND(AP4&gt;=15,AL4&lt;=20),"high-Mg carbonatitic")</f>
        <v>high-Mg carbonatitic</v>
      </c>
      <c r="E4" t="s">
        <v>818</v>
      </c>
      <c r="F4" t="s">
        <v>237</v>
      </c>
      <c r="G4" t="s">
        <v>163</v>
      </c>
      <c r="H4" t="s">
        <v>595</v>
      </c>
      <c r="I4">
        <v>355</v>
      </c>
      <c r="J4" t="s">
        <v>735</v>
      </c>
      <c r="K4">
        <v>0</v>
      </c>
      <c r="L4" t="s">
        <v>115</v>
      </c>
      <c r="M4">
        <v>0</v>
      </c>
      <c r="N4" t="s">
        <v>811</v>
      </c>
      <c r="O4">
        <v>4</v>
      </c>
      <c r="P4">
        <v>7.6</v>
      </c>
      <c r="Q4">
        <v>0.5</v>
      </c>
      <c r="R4">
        <v>0.7</v>
      </c>
      <c r="S4">
        <v>1.4</v>
      </c>
      <c r="T4">
        <v>6.4</v>
      </c>
      <c r="U4">
        <v>17.5</v>
      </c>
      <c r="V4">
        <v>0</v>
      </c>
      <c r="W4">
        <v>12.5</v>
      </c>
      <c r="X4">
        <v>14.2</v>
      </c>
      <c r="Y4">
        <v>23.4</v>
      </c>
      <c r="Z4">
        <v>0</v>
      </c>
      <c r="AA4">
        <v>3.9</v>
      </c>
      <c r="AB4">
        <v>0</v>
      </c>
      <c r="AC4">
        <v>3.6</v>
      </c>
      <c r="AD4">
        <v>0</v>
      </c>
      <c r="AE4">
        <v>7.2</v>
      </c>
      <c r="AF4">
        <v>0</v>
      </c>
      <c r="AG4">
        <v>0</v>
      </c>
      <c r="AH4">
        <v>0</v>
      </c>
      <c r="AI4">
        <v>0</v>
      </c>
      <c r="AJ4">
        <v>2.9</v>
      </c>
      <c r="AK4">
        <f t="shared" ref="AK4:AK47" si="10">SUM(P4:Q4,S4:U4,W4:Y4,AA4,AC4,AE4)</f>
        <v>98.2</v>
      </c>
      <c r="AL4" s="26">
        <f t="shared" ref="AL4:AL47" si="11">100*(P4/($AK4-$AE4*8/35.45))</f>
        <v>7.8695170858660051</v>
      </c>
      <c r="AM4" s="26">
        <f t="shared" ref="AM4:AM47" si="12">100*(Q4/($AK4-$AE4*8/35.45))</f>
        <v>0.5177313872280267</v>
      </c>
      <c r="AN4" s="26">
        <f t="shared" ref="AN4:AN47" si="13">100*(S4/($AK4-$AE4*8/35.45))</f>
        <v>1.4496478842384748</v>
      </c>
      <c r="AO4" s="26">
        <f t="shared" ref="AO4:AO47" si="14">100*(T4/($AK4-$AE4*8/35.45))</f>
        <v>6.6269617565187415</v>
      </c>
      <c r="AP4" s="26">
        <f t="shared" ref="AP4:AP47" si="15">100*(U4/($AK4-$AE4*8/35.45))</f>
        <v>18.120598552980933</v>
      </c>
      <c r="AQ4" s="26">
        <f t="shared" ref="AQ4:AQ47" si="16">100*(W4/($AK4-$AE4*8/35.45))</f>
        <v>12.943284680700668</v>
      </c>
      <c r="AR4" s="26">
        <f t="shared" ref="AR4:AR47" si="17">100*(AC4/($AK4-$AE4*8/35.45))</f>
        <v>3.7276659880417924</v>
      </c>
      <c r="AS4" s="26">
        <f t="shared" ref="AS4:AS47" si="18">100*(X4/($AK4-$AE4*8/35.45))</f>
        <v>14.703571397275958</v>
      </c>
      <c r="AT4" s="26">
        <f t="shared" ref="AT4:AT47" si="19">100*(Y4/($AK4-$AE4*8/35.45))</f>
        <v>24.229828922271647</v>
      </c>
      <c r="AU4" s="26">
        <f t="shared" ref="AU4:AU47" si="20">100*(AA4/($AK4-$AE4*8/35.45))</f>
        <v>4.0383048203786087</v>
      </c>
      <c r="AV4" s="26">
        <f t="shared" ref="AV4:AV47" si="21">100*(AE4/($AK4-$AE4*8/35.45))</f>
        <v>7.4553319760835848</v>
      </c>
      <c r="AW4" s="26">
        <f t="shared" ref="AW4:AW47" si="22">SUM(AL4:AV4)</f>
        <v>101.68244445158444</v>
      </c>
      <c r="AX4" s="26"/>
      <c r="AY4" s="26"/>
      <c r="AZ4">
        <v>0</v>
      </c>
      <c r="BA4">
        <v>0</v>
      </c>
      <c r="BB4">
        <v>0</v>
      </c>
      <c r="BC4">
        <v>0.56000000000000005</v>
      </c>
      <c r="BD4">
        <f>1-BE4</f>
        <v>0.56000000000000005</v>
      </c>
      <c r="BE4">
        <f>1-BC4</f>
        <v>0.43999999999999995</v>
      </c>
      <c r="BF4" t="s">
        <v>814</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row>
    <row r="5" spans="1:141">
      <c r="A5" t="s">
        <v>1323</v>
      </c>
      <c r="B5" t="s">
        <v>1787</v>
      </c>
      <c r="C5" t="s">
        <v>24</v>
      </c>
      <c r="D5" t="str">
        <f t="shared" si="9"/>
        <v>high-Mg carbonatitic</v>
      </c>
      <c r="E5" t="s">
        <v>818</v>
      </c>
      <c r="F5" t="s">
        <v>237</v>
      </c>
      <c r="G5" t="s">
        <v>163</v>
      </c>
      <c r="H5" t="s">
        <v>595</v>
      </c>
      <c r="I5">
        <v>355</v>
      </c>
      <c r="J5" t="s">
        <v>735</v>
      </c>
      <c r="K5" t="s">
        <v>635</v>
      </c>
      <c r="L5" t="s">
        <v>115</v>
      </c>
      <c r="M5">
        <v>0</v>
      </c>
      <c r="N5" t="s">
        <v>809</v>
      </c>
      <c r="O5">
        <v>7</v>
      </c>
      <c r="P5">
        <v>8.5</v>
      </c>
      <c r="Q5">
        <v>2.1</v>
      </c>
      <c r="R5">
        <v>6.1</v>
      </c>
      <c r="S5">
        <v>1.5</v>
      </c>
      <c r="T5">
        <v>11.2</v>
      </c>
      <c r="U5">
        <v>17.7</v>
      </c>
      <c r="V5">
        <v>0</v>
      </c>
      <c r="W5">
        <v>15.4</v>
      </c>
      <c r="X5">
        <v>8.8000000000000007</v>
      </c>
      <c r="Y5">
        <v>22</v>
      </c>
      <c r="Z5">
        <v>0</v>
      </c>
      <c r="AA5">
        <v>1.4</v>
      </c>
      <c r="AB5">
        <v>0</v>
      </c>
      <c r="AC5">
        <v>1.5</v>
      </c>
      <c r="AD5">
        <v>0</v>
      </c>
      <c r="AE5">
        <v>4.7</v>
      </c>
      <c r="AF5">
        <v>0</v>
      </c>
      <c r="AG5">
        <v>0</v>
      </c>
      <c r="AH5">
        <v>0</v>
      </c>
      <c r="AI5">
        <v>0</v>
      </c>
      <c r="AJ5">
        <v>2.2000000000000002</v>
      </c>
      <c r="AK5">
        <f t="shared" si="10"/>
        <v>94.800000000000011</v>
      </c>
      <c r="AL5" s="26">
        <f t="shared" si="11"/>
        <v>9.0676966410477089</v>
      </c>
      <c r="AM5" s="26">
        <f t="shared" si="12"/>
        <v>2.2402544642588453</v>
      </c>
      <c r="AN5" s="26">
        <f t="shared" si="13"/>
        <v>1.6001817601848896</v>
      </c>
      <c r="AO5" s="26">
        <f t="shared" si="14"/>
        <v>11.948023809380508</v>
      </c>
      <c r="AP5" s="26">
        <f t="shared" si="15"/>
        <v>18.882144770181696</v>
      </c>
      <c r="AQ5" s="26">
        <f t="shared" si="16"/>
        <v>16.428532737898202</v>
      </c>
      <c r="AR5" s="26">
        <f t="shared" si="17"/>
        <v>1.6001817601848896</v>
      </c>
      <c r="AS5" s="26">
        <f t="shared" si="18"/>
        <v>9.3877329930846862</v>
      </c>
      <c r="AT5" s="26">
        <f t="shared" si="19"/>
        <v>23.469332482711717</v>
      </c>
      <c r="AU5" s="26">
        <f t="shared" si="20"/>
        <v>1.4935029761725636</v>
      </c>
      <c r="AV5" s="26">
        <f t="shared" si="21"/>
        <v>5.0139028485793213</v>
      </c>
      <c r="AW5" s="26">
        <f t="shared" si="22"/>
        <v>101.13148724368503</v>
      </c>
      <c r="AX5" s="26"/>
      <c r="AY5" s="26"/>
      <c r="AZ5">
        <v>0</v>
      </c>
      <c r="BA5">
        <v>0</v>
      </c>
      <c r="BB5">
        <v>0</v>
      </c>
      <c r="BC5">
        <v>0.62</v>
      </c>
      <c r="BD5">
        <f>1-BE5</f>
        <v>0.62</v>
      </c>
      <c r="BE5">
        <f>1-BC5</f>
        <v>0.38</v>
      </c>
      <c r="BF5">
        <v>0</v>
      </c>
      <c r="BG5">
        <v>0</v>
      </c>
      <c r="BH5">
        <v>0</v>
      </c>
      <c r="BI5">
        <v>0</v>
      </c>
      <c r="BJ5">
        <v>0</v>
      </c>
      <c r="BK5">
        <v>0</v>
      </c>
      <c r="BL5">
        <v>0</v>
      </c>
      <c r="BM5">
        <v>0</v>
      </c>
      <c r="BN5">
        <v>0</v>
      </c>
      <c r="BO5">
        <v>0</v>
      </c>
      <c r="BP5">
        <v>0</v>
      </c>
      <c r="BQ5">
        <v>0</v>
      </c>
      <c r="BR5">
        <v>0</v>
      </c>
      <c r="BS5">
        <v>126</v>
      </c>
      <c r="BT5">
        <v>0</v>
      </c>
      <c r="BU5">
        <v>6.16</v>
      </c>
      <c r="BV5">
        <v>0</v>
      </c>
      <c r="BW5">
        <v>0</v>
      </c>
      <c r="BX5">
        <v>0</v>
      </c>
      <c r="BY5">
        <v>0</v>
      </c>
      <c r="BZ5">
        <v>0</v>
      </c>
      <c r="CA5">
        <v>0</v>
      </c>
      <c r="CB5">
        <v>0</v>
      </c>
      <c r="CC5">
        <v>0</v>
      </c>
      <c r="CD5">
        <v>0</v>
      </c>
      <c r="CE5">
        <v>0</v>
      </c>
      <c r="CF5">
        <v>0</v>
      </c>
      <c r="CG5">
        <v>0</v>
      </c>
      <c r="CH5">
        <v>0</v>
      </c>
      <c r="CI5">
        <v>0.53300000000000003</v>
      </c>
      <c r="CJ5">
        <v>3.45</v>
      </c>
      <c r="CK5">
        <v>1.2E-2</v>
      </c>
      <c r="CL5">
        <v>0.20300000000000001</v>
      </c>
      <c r="CM5">
        <v>0</v>
      </c>
      <c r="CN5">
        <v>1.0665</v>
      </c>
      <c r="CO5">
        <v>0</v>
      </c>
      <c r="CP5">
        <v>0</v>
      </c>
      <c r="CQ5">
        <v>0</v>
      </c>
      <c r="CR5">
        <v>0</v>
      </c>
      <c r="CS5">
        <v>1.4999999999999999E-2</v>
      </c>
      <c r="CT5">
        <v>10.4</v>
      </c>
      <c r="CU5">
        <v>0</v>
      </c>
      <c r="CV5">
        <v>0.78500000000000003</v>
      </c>
      <c r="CW5">
        <v>0.998</v>
      </c>
      <c r="CX5">
        <v>0.10299999999999999</v>
      </c>
      <c r="CY5">
        <v>0.29399999999999998</v>
      </c>
      <c r="CZ5">
        <v>0</v>
      </c>
      <c r="DA5">
        <v>0</v>
      </c>
      <c r="DB5">
        <v>0.03</v>
      </c>
      <c r="DC5">
        <v>0</v>
      </c>
      <c r="DD5">
        <v>0</v>
      </c>
      <c r="DE5">
        <v>0</v>
      </c>
      <c r="DF5">
        <v>0</v>
      </c>
      <c r="DG5">
        <v>0</v>
      </c>
      <c r="DH5">
        <v>0</v>
      </c>
      <c r="DI5">
        <v>0</v>
      </c>
      <c r="DJ5">
        <v>5.2999999999999999E-2</v>
      </c>
      <c r="DK5">
        <v>0</v>
      </c>
      <c r="DL5">
        <v>0</v>
      </c>
      <c r="DM5">
        <v>0.114</v>
      </c>
      <c r="DN5">
        <v>1.7000000000000001E-2</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c r="A6" t="s">
        <v>827</v>
      </c>
      <c r="B6" t="s">
        <v>1787</v>
      </c>
      <c r="C6" t="s">
        <v>24</v>
      </c>
      <c r="D6" t="str">
        <f t="shared" si="9"/>
        <v>low-Mg carbonatitic</v>
      </c>
      <c r="E6" t="s">
        <v>71</v>
      </c>
      <c r="F6" t="s">
        <v>237</v>
      </c>
      <c r="G6" t="s">
        <v>817</v>
      </c>
      <c r="H6" t="s">
        <v>595</v>
      </c>
      <c r="I6" s="27" t="s">
        <v>1796</v>
      </c>
      <c r="J6" t="s">
        <v>735</v>
      </c>
      <c r="K6">
        <v>0</v>
      </c>
      <c r="L6" t="s">
        <v>802</v>
      </c>
      <c r="M6">
        <v>0</v>
      </c>
      <c r="N6" t="s">
        <v>820</v>
      </c>
      <c r="O6">
        <v>3</v>
      </c>
      <c r="P6">
        <v>11.9</v>
      </c>
      <c r="Q6">
        <v>3.1</v>
      </c>
      <c r="R6">
        <v>0</v>
      </c>
      <c r="S6">
        <v>3.6</v>
      </c>
      <c r="T6">
        <v>14</v>
      </c>
      <c r="U6">
        <v>10.7</v>
      </c>
      <c r="V6">
        <v>0</v>
      </c>
      <c r="W6">
        <v>21.2</v>
      </c>
      <c r="X6">
        <v>8.1</v>
      </c>
      <c r="Y6">
        <v>18.7</v>
      </c>
      <c r="Z6">
        <v>0</v>
      </c>
      <c r="AA6">
        <v>3.8</v>
      </c>
      <c r="AB6">
        <v>0</v>
      </c>
      <c r="AC6">
        <v>1.3</v>
      </c>
      <c r="AD6">
        <v>0</v>
      </c>
      <c r="AE6">
        <v>1.9</v>
      </c>
      <c r="AF6">
        <v>0</v>
      </c>
      <c r="AG6">
        <v>0</v>
      </c>
      <c r="AH6">
        <v>0</v>
      </c>
      <c r="AI6">
        <v>0</v>
      </c>
      <c r="AJ6">
        <v>4.3</v>
      </c>
      <c r="AK6">
        <f t="shared" si="10"/>
        <v>98.3</v>
      </c>
      <c r="AL6" s="26">
        <f t="shared" si="11"/>
        <v>12.158833964782024</v>
      </c>
      <c r="AM6" s="26">
        <f t="shared" si="12"/>
        <v>3.1674273353633846</v>
      </c>
      <c r="AN6" s="26">
        <f t="shared" si="13"/>
        <v>3.6783027120348986</v>
      </c>
      <c r="AO6" s="26">
        <f t="shared" si="14"/>
        <v>14.304510546802382</v>
      </c>
      <c r="AP6" s="26">
        <f t="shared" si="15"/>
        <v>10.932733060770392</v>
      </c>
      <c r="AQ6" s="26">
        <f t="shared" si="16"/>
        <v>21.661115970872178</v>
      </c>
      <c r="AR6" s="26">
        <f t="shared" si="17"/>
        <v>1.3282759793459356</v>
      </c>
      <c r="AS6" s="26">
        <f t="shared" si="18"/>
        <v>8.276181102078521</v>
      </c>
      <c r="AT6" s="26">
        <f t="shared" si="19"/>
        <v>19.106739087514608</v>
      </c>
      <c r="AU6" s="26">
        <f t="shared" si="20"/>
        <v>3.8826528627035035</v>
      </c>
      <c r="AV6" s="26">
        <f t="shared" si="21"/>
        <v>1.9413264313517518</v>
      </c>
      <c r="AW6" s="26">
        <f t="shared" si="22"/>
        <v>100.43809905361958</v>
      </c>
      <c r="AX6" s="26"/>
      <c r="AY6" s="26"/>
      <c r="AZ6">
        <v>0</v>
      </c>
      <c r="BA6">
        <v>0</v>
      </c>
      <c r="BB6">
        <v>0.32</v>
      </c>
      <c r="BC6">
        <v>0</v>
      </c>
      <c r="BD6">
        <f>1-BB6</f>
        <v>0.67999999999999994</v>
      </c>
      <c r="BE6">
        <f>1-BD6</f>
        <v>0.32000000000000006</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row>
    <row r="7" spans="1:141">
      <c r="A7" t="s">
        <v>772</v>
      </c>
      <c r="B7" t="s">
        <v>1787</v>
      </c>
      <c r="C7" t="s">
        <v>24</v>
      </c>
      <c r="D7" t="str">
        <f t="shared" si="9"/>
        <v>saline</v>
      </c>
      <c r="E7" t="s">
        <v>119</v>
      </c>
      <c r="F7" t="s">
        <v>1394</v>
      </c>
      <c r="G7" t="s">
        <v>1728</v>
      </c>
      <c r="H7" t="s">
        <v>595</v>
      </c>
      <c r="I7">
        <v>84</v>
      </c>
      <c r="J7" t="s">
        <v>735</v>
      </c>
      <c r="K7">
        <v>0</v>
      </c>
      <c r="L7" t="s">
        <v>585</v>
      </c>
      <c r="M7">
        <v>0</v>
      </c>
      <c r="N7" t="s">
        <v>581</v>
      </c>
      <c r="O7">
        <v>9</v>
      </c>
      <c r="P7">
        <v>4.38</v>
      </c>
      <c r="Q7">
        <v>1.1399999999999999</v>
      </c>
      <c r="R7">
        <v>0</v>
      </c>
      <c r="S7">
        <v>1.44</v>
      </c>
      <c r="T7">
        <v>5.45</v>
      </c>
      <c r="U7">
        <v>5.0599999999999996</v>
      </c>
      <c r="V7">
        <v>0</v>
      </c>
      <c r="W7">
        <v>6.32</v>
      </c>
      <c r="X7">
        <v>24.97</v>
      </c>
      <c r="Y7">
        <v>21.85</v>
      </c>
      <c r="Z7">
        <v>0</v>
      </c>
      <c r="AA7">
        <v>1.92</v>
      </c>
      <c r="AB7">
        <v>0</v>
      </c>
      <c r="AC7">
        <v>1.18</v>
      </c>
      <c r="AD7">
        <v>0</v>
      </c>
      <c r="AE7">
        <v>33.89</v>
      </c>
      <c r="AF7">
        <v>0</v>
      </c>
      <c r="AG7">
        <v>0</v>
      </c>
      <c r="AH7">
        <v>0</v>
      </c>
      <c r="AI7">
        <v>0</v>
      </c>
      <c r="AJ7">
        <v>2.02</v>
      </c>
      <c r="AK7">
        <f t="shared" si="10"/>
        <v>107.60000000000001</v>
      </c>
      <c r="AL7" s="26">
        <f t="shared" si="11"/>
        <v>4.3821014308695272</v>
      </c>
      <c r="AM7" s="26">
        <f t="shared" si="12"/>
        <v>1.1405469477605619</v>
      </c>
      <c r="AN7" s="26">
        <f t="shared" si="13"/>
        <v>1.4406908813817625</v>
      </c>
      <c r="AO7" s="26">
        <f t="shared" si="14"/>
        <v>5.4526147941184764</v>
      </c>
      <c r="AP7" s="26">
        <f t="shared" si="15"/>
        <v>5.0624276804109156</v>
      </c>
      <c r="AQ7" s="26">
        <f t="shared" si="16"/>
        <v>6.3230322016199585</v>
      </c>
      <c r="AR7" s="26">
        <f t="shared" si="17"/>
        <v>1.1805661389100555</v>
      </c>
      <c r="AS7" s="26">
        <f t="shared" si="18"/>
        <v>24.98198007507126</v>
      </c>
      <c r="AT7" s="26">
        <f t="shared" si="19"/>
        <v>21.860483165410773</v>
      </c>
      <c r="AU7" s="26">
        <f t="shared" si="20"/>
        <v>1.9209211751756834</v>
      </c>
      <c r="AV7" s="26">
        <f t="shared" si="21"/>
        <v>33.906259701408288</v>
      </c>
      <c r="AW7" s="26">
        <f t="shared" si="22"/>
        <v>107.65162419213726</v>
      </c>
      <c r="AX7" s="26"/>
      <c r="AY7" s="26"/>
      <c r="AZ7">
        <v>14.02</v>
      </c>
      <c r="BA7" t="s">
        <v>763</v>
      </c>
      <c r="BB7" t="s">
        <v>763</v>
      </c>
      <c r="BC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c r="A8" t="s">
        <v>771</v>
      </c>
      <c r="B8" t="s">
        <v>1787</v>
      </c>
      <c r="C8" t="s">
        <v>24</v>
      </c>
      <c r="D8" t="str">
        <f t="shared" si="9"/>
        <v>saline</v>
      </c>
      <c r="E8" t="s">
        <v>764</v>
      </c>
      <c r="F8" t="s">
        <v>1394</v>
      </c>
      <c r="G8" t="s">
        <v>97</v>
      </c>
      <c r="H8" t="s">
        <v>595</v>
      </c>
      <c r="I8">
        <v>118</v>
      </c>
      <c r="J8" t="s">
        <v>735</v>
      </c>
      <c r="K8" t="s">
        <v>635</v>
      </c>
      <c r="L8" t="s">
        <v>761</v>
      </c>
      <c r="M8" t="s">
        <v>478</v>
      </c>
      <c r="N8" t="s">
        <v>754</v>
      </c>
      <c r="O8">
        <v>8</v>
      </c>
      <c r="P8">
        <v>11.4</v>
      </c>
      <c r="Q8">
        <v>2.1</v>
      </c>
      <c r="R8">
        <v>0</v>
      </c>
      <c r="S8">
        <v>1.6</v>
      </c>
      <c r="T8">
        <v>16.2</v>
      </c>
      <c r="U8">
        <v>2.2000000000000002</v>
      </c>
      <c r="V8">
        <v>0</v>
      </c>
      <c r="W8">
        <v>23.2</v>
      </c>
      <c r="X8">
        <v>5.6</v>
      </c>
      <c r="Y8">
        <v>8.6999999999999993</v>
      </c>
      <c r="Z8">
        <v>0</v>
      </c>
      <c r="AA8">
        <v>2.2999999999999998</v>
      </c>
      <c r="AB8">
        <v>0</v>
      </c>
      <c r="AD8">
        <v>0</v>
      </c>
      <c r="AE8">
        <v>34.4</v>
      </c>
      <c r="AF8">
        <v>0</v>
      </c>
      <c r="AG8">
        <v>0</v>
      </c>
      <c r="AH8">
        <v>0</v>
      </c>
      <c r="AI8">
        <v>0</v>
      </c>
      <c r="AJ8">
        <v>24.1</v>
      </c>
      <c r="AK8">
        <f t="shared" si="10"/>
        <v>107.69999999999999</v>
      </c>
      <c r="AL8" s="26">
        <f t="shared" si="11"/>
        <v>11.407191840271654</v>
      </c>
      <c r="AM8" s="26">
        <f t="shared" si="12"/>
        <v>2.1013248126816206</v>
      </c>
      <c r="AN8" s="26">
        <f t="shared" si="13"/>
        <v>1.6010093810907584</v>
      </c>
      <c r="AO8" s="26">
        <f t="shared" si="14"/>
        <v>16.210219983543929</v>
      </c>
      <c r="AP8" s="26">
        <f t="shared" si="15"/>
        <v>2.2013878989997933</v>
      </c>
      <c r="AQ8" s="26">
        <f t="shared" si="16"/>
        <v>23.214636025815995</v>
      </c>
      <c r="AR8" s="26">
        <f t="shared" si="17"/>
        <v>0</v>
      </c>
      <c r="AS8" s="26">
        <f t="shared" si="18"/>
        <v>5.6035328338176544</v>
      </c>
      <c r="AT8" s="26">
        <f t="shared" si="19"/>
        <v>8.7054885096809986</v>
      </c>
      <c r="AU8" s="26">
        <f t="shared" si="20"/>
        <v>2.301450985317965</v>
      </c>
      <c r="AV8" s="26">
        <f t="shared" si="21"/>
        <v>34.421701693451304</v>
      </c>
      <c r="AW8" s="26">
        <f t="shared" si="22"/>
        <v>107.76794396467167</v>
      </c>
      <c r="AX8" s="26"/>
      <c r="AY8" s="26"/>
      <c r="AZ8" t="s">
        <v>763</v>
      </c>
      <c r="BA8" t="s">
        <v>763</v>
      </c>
      <c r="BB8" t="s">
        <v>763</v>
      </c>
      <c r="BC8">
        <v>0</v>
      </c>
      <c r="BF8">
        <v>0</v>
      </c>
      <c r="BG8">
        <v>0</v>
      </c>
      <c r="BH8">
        <v>1410</v>
      </c>
      <c r="BI8">
        <v>33</v>
      </c>
      <c r="BJ8">
        <v>0</v>
      </c>
      <c r="BK8">
        <v>0</v>
      </c>
      <c r="BL8">
        <v>0</v>
      </c>
      <c r="BM8">
        <v>0</v>
      </c>
      <c r="BN8">
        <v>0</v>
      </c>
      <c r="BO8">
        <v>0</v>
      </c>
      <c r="BP8">
        <v>0</v>
      </c>
      <c r="BQ8">
        <v>0</v>
      </c>
      <c r="BR8">
        <v>0</v>
      </c>
      <c r="BS8">
        <v>31</v>
      </c>
      <c r="BT8">
        <v>0</v>
      </c>
      <c r="BU8">
        <v>1.6</v>
      </c>
      <c r="BV8">
        <v>0</v>
      </c>
      <c r="BW8">
        <v>0</v>
      </c>
      <c r="BX8">
        <v>0</v>
      </c>
      <c r="BY8">
        <v>0</v>
      </c>
      <c r="BZ8">
        <v>0</v>
      </c>
      <c r="CA8">
        <v>0</v>
      </c>
      <c r="CB8">
        <v>0</v>
      </c>
      <c r="CC8">
        <v>0</v>
      </c>
      <c r="CD8">
        <v>0</v>
      </c>
      <c r="CE8">
        <v>0</v>
      </c>
      <c r="CF8">
        <v>0</v>
      </c>
      <c r="CG8">
        <v>0</v>
      </c>
      <c r="CH8">
        <v>0</v>
      </c>
      <c r="CI8">
        <v>1.8</v>
      </c>
      <c r="CJ8">
        <v>1.8</v>
      </c>
      <c r="CK8">
        <v>3.5000000000000003E-2</v>
      </c>
      <c r="CL8">
        <v>4.1000000000000002E-2</v>
      </c>
      <c r="CM8">
        <v>0</v>
      </c>
      <c r="CN8">
        <v>4.3999999999999997E-2</v>
      </c>
      <c r="CO8">
        <v>0</v>
      </c>
      <c r="CP8">
        <v>0</v>
      </c>
      <c r="CQ8">
        <v>0</v>
      </c>
      <c r="CR8">
        <v>0</v>
      </c>
      <c r="CS8">
        <v>5.3999999999999999E-2</v>
      </c>
      <c r="CT8">
        <v>19</v>
      </c>
      <c r="CU8">
        <v>0</v>
      </c>
      <c r="CV8">
        <v>0.2</v>
      </c>
      <c r="CW8">
        <v>0.32</v>
      </c>
      <c r="CX8">
        <v>4.5999999999999999E-2</v>
      </c>
      <c r="CY8">
        <v>0.17</v>
      </c>
      <c r="CZ8">
        <v>0.04</v>
      </c>
      <c r="DA8">
        <v>0.02</v>
      </c>
      <c r="DB8">
        <v>0</v>
      </c>
      <c r="DC8">
        <v>1.2999999999999999E-2</v>
      </c>
      <c r="DD8">
        <v>6.0000000000000001E-3</v>
      </c>
      <c r="DE8">
        <v>0</v>
      </c>
      <c r="DF8">
        <v>0</v>
      </c>
      <c r="DG8">
        <v>0</v>
      </c>
      <c r="DH8">
        <v>4.0000000000000001E-3</v>
      </c>
      <c r="DI8">
        <v>1.6E-2</v>
      </c>
      <c r="DJ8">
        <v>8.0000000000000002E-3</v>
      </c>
      <c r="DK8">
        <v>0</v>
      </c>
      <c r="DL8">
        <v>0</v>
      </c>
      <c r="DM8">
        <v>4.7E-2</v>
      </c>
      <c r="DN8">
        <v>7.0000000000000001E-3</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c r="A9" t="s">
        <v>750</v>
      </c>
      <c r="B9" t="s">
        <v>1787</v>
      </c>
      <c r="C9" t="s">
        <v>24</v>
      </c>
      <c r="D9" t="str">
        <f t="shared" si="9"/>
        <v>saline</v>
      </c>
      <c r="E9" t="s">
        <v>119</v>
      </c>
      <c r="F9" t="s">
        <v>1394</v>
      </c>
      <c r="G9" t="s">
        <v>142</v>
      </c>
      <c r="H9" t="s">
        <v>595</v>
      </c>
      <c r="I9">
        <v>90</v>
      </c>
      <c r="J9" t="s">
        <v>736</v>
      </c>
      <c r="K9">
        <v>0</v>
      </c>
      <c r="L9" t="s">
        <v>751</v>
      </c>
      <c r="M9" t="s">
        <v>149</v>
      </c>
      <c r="N9" t="s">
        <v>144</v>
      </c>
      <c r="O9">
        <v>2</v>
      </c>
      <c r="P9">
        <v>5.0999999999999996</v>
      </c>
      <c r="Q9">
        <v>0.8</v>
      </c>
      <c r="R9">
        <v>0</v>
      </c>
      <c r="S9">
        <v>0</v>
      </c>
      <c r="T9">
        <v>20.6</v>
      </c>
      <c r="U9">
        <v>1.7</v>
      </c>
      <c r="V9">
        <v>0</v>
      </c>
      <c r="W9">
        <v>7.7</v>
      </c>
      <c r="X9">
        <v>5.2</v>
      </c>
      <c r="Y9">
        <v>26.8</v>
      </c>
      <c r="Z9">
        <v>0</v>
      </c>
      <c r="AA9">
        <v>3.6</v>
      </c>
      <c r="AB9">
        <v>1.5</v>
      </c>
      <c r="AC9">
        <v>3.6</v>
      </c>
      <c r="AD9">
        <v>0</v>
      </c>
      <c r="AE9">
        <v>27.8</v>
      </c>
      <c r="AF9">
        <v>0</v>
      </c>
      <c r="AG9">
        <v>0</v>
      </c>
      <c r="AH9">
        <v>0</v>
      </c>
      <c r="AI9">
        <v>0</v>
      </c>
      <c r="AJ9">
        <v>3.5</v>
      </c>
      <c r="AK9">
        <f t="shared" si="10"/>
        <v>102.89999999999999</v>
      </c>
      <c r="AL9" s="26">
        <f t="shared" si="11"/>
        <v>5.2780620101856561</v>
      </c>
      <c r="AM9" s="26">
        <f t="shared" si="12"/>
        <v>0.82793129571539725</v>
      </c>
      <c r="AN9" s="26">
        <f t="shared" si="13"/>
        <v>0</v>
      </c>
      <c r="AO9" s="26">
        <f t="shared" si="14"/>
        <v>21.319230864671479</v>
      </c>
      <c r="AP9" s="26">
        <f t="shared" si="15"/>
        <v>1.7593540033952189</v>
      </c>
      <c r="AQ9" s="26">
        <f t="shared" si="16"/>
        <v>7.968838721260699</v>
      </c>
      <c r="AR9" s="26">
        <f t="shared" si="17"/>
        <v>3.7256908307192873</v>
      </c>
      <c r="AS9" s="26">
        <f t="shared" si="18"/>
        <v>5.3815534221500823</v>
      </c>
      <c r="AT9" s="26">
        <f t="shared" si="19"/>
        <v>27.735698406465808</v>
      </c>
      <c r="AU9" s="26">
        <f t="shared" si="20"/>
        <v>3.7256908307192873</v>
      </c>
      <c r="AV9" s="26">
        <f t="shared" si="21"/>
        <v>28.77061252611005</v>
      </c>
      <c r="AW9" s="26">
        <f t="shared" si="22"/>
        <v>106.49266291139298</v>
      </c>
      <c r="AX9" s="26"/>
      <c r="AY9" s="26"/>
      <c r="AZ9">
        <v>10</v>
      </c>
      <c r="BA9">
        <v>118</v>
      </c>
      <c r="BB9">
        <v>0</v>
      </c>
      <c r="BC9">
        <v>0.96649292628443784</v>
      </c>
      <c r="BD9">
        <f>(BA9/18.02)/((BA9/18.02)+(AZ9/44.01))</f>
        <v>0.96646431110399778</v>
      </c>
      <c r="BE9">
        <f>(AZ9/44.01)/((BA9/18.02)+(AZ9/44.01))</f>
        <v>3.3535688896002142E-2</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c r="A10" t="s">
        <v>750</v>
      </c>
      <c r="B10" t="s">
        <v>1787</v>
      </c>
      <c r="C10" t="s">
        <v>24</v>
      </c>
      <c r="D10" t="str">
        <f t="shared" si="9"/>
        <v>saline</v>
      </c>
      <c r="E10" t="s">
        <v>119</v>
      </c>
      <c r="F10" t="s">
        <v>1394</v>
      </c>
      <c r="G10" t="s">
        <v>142</v>
      </c>
      <c r="H10" t="s">
        <v>595</v>
      </c>
      <c r="I10">
        <v>90</v>
      </c>
      <c r="J10" t="s">
        <v>736</v>
      </c>
      <c r="K10">
        <v>0</v>
      </c>
      <c r="L10" t="s">
        <v>751</v>
      </c>
      <c r="M10" t="s">
        <v>145</v>
      </c>
      <c r="N10" t="s">
        <v>148</v>
      </c>
      <c r="O10">
        <v>7</v>
      </c>
      <c r="P10">
        <v>7.2</v>
      </c>
      <c r="Q10">
        <v>0</v>
      </c>
      <c r="R10">
        <v>0</v>
      </c>
      <c r="S10">
        <v>0.7</v>
      </c>
      <c r="T10">
        <v>14.2</v>
      </c>
      <c r="U10">
        <v>1.8</v>
      </c>
      <c r="V10">
        <v>0</v>
      </c>
      <c r="W10">
        <v>4.7</v>
      </c>
      <c r="X10">
        <v>1.1000000000000001</v>
      </c>
      <c r="Y10">
        <v>36.5</v>
      </c>
      <c r="Z10">
        <v>0</v>
      </c>
      <c r="AA10">
        <v>0.2</v>
      </c>
      <c r="AB10">
        <v>0</v>
      </c>
      <c r="AC10">
        <v>0</v>
      </c>
      <c r="AD10">
        <v>0</v>
      </c>
      <c r="AE10">
        <v>43.2</v>
      </c>
      <c r="AF10">
        <v>0</v>
      </c>
      <c r="AG10">
        <v>0</v>
      </c>
      <c r="AH10">
        <v>0</v>
      </c>
      <c r="AI10">
        <v>0</v>
      </c>
      <c r="AJ10">
        <v>4.0999999999999996</v>
      </c>
      <c r="AK10">
        <f t="shared" si="10"/>
        <v>109.60000000000001</v>
      </c>
      <c r="AL10" s="26">
        <f t="shared" si="11"/>
        <v>7.2107398325291259</v>
      </c>
      <c r="AM10" s="26">
        <f t="shared" si="12"/>
        <v>0</v>
      </c>
      <c r="AN10" s="26">
        <f t="shared" si="13"/>
        <v>0.70104415038477608</v>
      </c>
      <c r="AO10" s="26">
        <f t="shared" si="14"/>
        <v>14.221181336376887</v>
      </c>
      <c r="AP10" s="26">
        <f t="shared" si="15"/>
        <v>1.8026849581322815</v>
      </c>
      <c r="AQ10" s="26">
        <f t="shared" si="16"/>
        <v>4.7070107240120684</v>
      </c>
      <c r="AR10" s="26">
        <f t="shared" si="17"/>
        <v>0</v>
      </c>
      <c r="AS10" s="26">
        <f t="shared" si="18"/>
        <v>1.1016408077475055</v>
      </c>
      <c r="AT10" s="26">
        <f t="shared" si="19"/>
        <v>36.554444984349047</v>
      </c>
      <c r="AU10" s="26">
        <f t="shared" si="20"/>
        <v>0.2002983286813646</v>
      </c>
      <c r="AV10" s="26">
        <f t="shared" si="21"/>
        <v>43.264438995174757</v>
      </c>
      <c r="AW10" s="26">
        <f t="shared" si="22"/>
        <v>109.76348411738782</v>
      </c>
      <c r="AX10" s="26"/>
      <c r="AY10" s="26"/>
      <c r="AZ10">
        <v>1</v>
      </c>
      <c r="BA10">
        <v>20</v>
      </c>
      <c r="BB10">
        <v>0</v>
      </c>
      <c r="BC10">
        <v>0.97995545657015593</v>
      </c>
      <c r="BD10">
        <f t="shared" ref="BD10:BD12" si="23">(BA10/18.02)/((BA10/18.02)+(AZ10/44.01))</f>
        <v>0.97993809979737712</v>
      </c>
      <c r="BE10">
        <f t="shared" ref="BE10:BE12" si="24">(AZ10/44.01)/((BA10/18.02)+(AZ10/44.01))</f>
        <v>2.0061900202622968E-2</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row>
    <row r="11" spans="1:141">
      <c r="A11" t="s">
        <v>750</v>
      </c>
      <c r="B11" t="s">
        <v>1787</v>
      </c>
      <c r="C11" t="s">
        <v>24</v>
      </c>
      <c r="D11" t="str">
        <f t="shared" si="9"/>
        <v>saline</v>
      </c>
      <c r="E11" t="s">
        <v>119</v>
      </c>
      <c r="F11" t="s">
        <v>1394</v>
      </c>
      <c r="G11" t="s">
        <v>142</v>
      </c>
      <c r="H11" t="s">
        <v>595</v>
      </c>
      <c r="I11">
        <v>90</v>
      </c>
      <c r="J11" t="s">
        <v>736</v>
      </c>
      <c r="K11">
        <v>0</v>
      </c>
      <c r="L11" t="s">
        <v>751</v>
      </c>
      <c r="M11" t="s">
        <v>149</v>
      </c>
      <c r="N11" t="s">
        <v>150</v>
      </c>
      <c r="O11">
        <v>3</v>
      </c>
      <c r="P11">
        <v>5.7</v>
      </c>
      <c r="Q11">
        <v>5.4</v>
      </c>
      <c r="R11">
        <v>0</v>
      </c>
      <c r="S11">
        <v>1</v>
      </c>
      <c r="T11">
        <v>10</v>
      </c>
      <c r="U11">
        <v>0</v>
      </c>
      <c r="V11">
        <v>0</v>
      </c>
      <c r="W11">
        <v>5.4</v>
      </c>
      <c r="X11">
        <v>9.9</v>
      </c>
      <c r="Y11">
        <v>29.8</v>
      </c>
      <c r="Z11">
        <v>0</v>
      </c>
      <c r="AA11">
        <v>0</v>
      </c>
      <c r="AB11">
        <v>0</v>
      </c>
      <c r="AC11">
        <v>0</v>
      </c>
      <c r="AD11">
        <v>0</v>
      </c>
      <c r="AE11">
        <v>42.3</v>
      </c>
      <c r="AF11">
        <v>0</v>
      </c>
      <c r="AG11">
        <v>0</v>
      </c>
      <c r="AH11">
        <v>0</v>
      </c>
      <c r="AI11">
        <v>0</v>
      </c>
      <c r="AJ11">
        <v>2.1</v>
      </c>
      <c r="AK11">
        <f t="shared" si="10"/>
        <v>109.5</v>
      </c>
      <c r="AL11" s="26">
        <f t="shared" si="11"/>
        <v>5.70261403323103</v>
      </c>
      <c r="AM11" s="26">
        <f t="shared" si="12"/>
        <v>5.4024764525346605</v>
      </c>
      <c r="AN11" s="26">
        <f t="shared" si="13"/>
        <v>1.0004586023212332</v>
      </c>
      <c r="AO11" s="26">
        <f t="shared" si="14"/>
        <v>10.004586023212333</v>
      </c>
      <c r="AP11" s="26">
        <f t="shared" si="15"/>
        <v>0</v>
      </c>
      <c r="AQ11" s="26">
        <f t="shared" si="16"/>
        <v>5.4024764525346605</v>
      </c>
      <c r="AR11" s="26">
        <f t="shared" si="17"/>
        <v>0</v>
      </c>
      <c r="AS11" s="26">
        <f t="shared" si="18"/>
        <v>9.9045401629802097</v>
      </c>
      <c r="AT11" s="26">
        <f t="shared" si="19"/>
        <v>29.813666349172752</v>
      </c>
      <c r="AU11" s="26">
        <f t="shared" si="20"/>
        <v>0</v>
      </c>
      <c r="AV11" s="26">
        <f t="shared" si="21"/>
        <v>42.319398878188167</v>
      </c>
      <c r="AW11" s="26">
        <f t="shared" si="22"/>
        <v>109.55021695417504</v>
      </c>
      <c r="AX11" s="26"/>
      <c r="AY11" s="26"/>
      <c r="AZ11">
        <v>0</v>
      </c>
      <c r="BA11">
        <v>10</v>
      </c>
      <c r="BB11">
        <v>0</v>
      </c>
      <c r="BC11">
        <v>1</v>
      </c>
      <c r="BD11">
        <f t="shared" si="23"/>
        <v>1</v>
      </c>
      <c r="BE11">
        <f t="shared" si="24"/>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row>
    <row r="12" spans="1:141">
      <c r="A12" t="s">
        <v>750</v>
      </c>
      <c r="B12" t="s">
        <v>1787</v>
      </c>
      <c r="C12" t="s">
        <v>24</v>
      </c>
      <c r="D12" t="str">
        <f t="shared" si="9"/>
        <v>saline</v>
      </c>
      <c r="E12" t="s">
        <v>119</v>
      </c>
      <c r="F12" t="s">
        <v>1394</v>
      </c>
      <c r="G12" t="s">
        <v>142</v>
      </c>
      <c r="H12" t="s">
        <v>595</v>
      </c>
      <c r="I12">
        <v>90</v>
      </c>
      <c r="J12" t="s">
        <v>736</v>
      </c>
      <c r="K12">
        <v>0</v>
      </c>
      <c r="L12" t="s">
        <v>751</v>
      </c>
      <c r="M12" t="s">
        <v>145</v>
      </c>
      <c r="N12" t="s">
        <v>153</v>
      </c>
      <c r="O12">
        <v>6</v>
      </c>
      <c r="P12">
        <v>7</v>
      </c>
      <c r="Q12">
        <v>0.2</v>
      </c>
      <c r="R12">
        <v>0</v>
      </c>
      <c r="S12">
        <v>2.6</v>
      </c>
      <c r="T12">
        <v>13.6</v>
      </c>
      <c r="U12">
        <v>0.8</v>
      </c>
      <c r="V12">
        <v>0</v>
      </c>
      <c r="W12">
        <v>4.2</v>
      </c>
      <c r="X12">
        <v>3.5</v>
      </c>
      <c r="Y12">
        <v>33.700000000000003</v>
      </c>
      <c r="Z12">
        <v>0</v>
      </c>
      <c r="AA12">
        <v>1.2</v>
      </c>
      <c r="AB12">
        <v>1.4</v>
      </c>
      <c r="AC12">
        <v>3.1</v>
      </c>
      <c r="AD12">
        <v>0</v>
      </c>
      <c r="AE12">
        <v>36.299999999999997</v>
      </c>
      <c r="AF12">
        <v>0.5</v>
      </c>
      <c r="AG12">
        <v>0</v>
      </c>
      <c r="AH12">
        <v>0</v>
      </c>
      <c r="AI12">
        <v>0</v>
      </c>
      <c r="AJ12">
        <v>3</v>
      </c>
      <c r="AK12">
        <f t="shared" si="10"/>
        <v>106.19999999999999</v>
      </c>
      <c r="AL12" s="26">
        <f t="shared" si="11"/>
        <v>7.1422609436476616</v>
      </c>
      <c r="AM12" s="26">
        <f t="shared" si="12"/>
        <v>0.20406459838993321</v>
      </c>
      <c r="AN12" s="26">
        <f t="shared" si="13"/>
        <v>2.6528397790691316</v>
      </c>
      <c r="AO12" s="26">
        <f t="shared" si="14"/>
        <v>13.876392690515457</v>
      </c>
      <c r="AP12" s="26">
        <f t="shared" si="15"/>
        <v>0.81625839355973284</v>
      </c>
      <c r="AQ12" s="26">
        <f t="shared" si="16"/>
        <v>4.2853565661885975</v>
      </c>
      <c r="AR12" s="26">
        <f t="shared" si="17"/>
        <v>3.1630012750439649</v>
      </c>
      <c r="AS12" s="26">
        <f t="shared" si="18"/>
        <v>3.5711304718238308</v>
      </c>
      <c r="AT12" s="26">
        <f t="shared" si="19"/>
        <v>34.384884828703747</v>
      </c>
      <c r="AU12" s="26">
        <f t="shared" si="20"/>
        <v>1.2243875903395991</v>
      </c>
      <c r="AV12" s="26">
        <f t="shared" si="21"/>
        <v>37.037724607772873</v>
      </c>
      <c r="AW12" s="26">
        <f t="shared" si="22"/>
        <v>108.35830174505452</v>
      </c>
      <c r="AX12" s="26"/>
      <c r="AY12" s="26"/>
      <c r="AZ12">
        <v>0</v>
      </c>
      <c r="BA12">
        <v>70</v>
      </c>
      <c r="BB12">
        <v>0</v>
      </c>
      <c r="BC12">
        <v>1</v>
      </c>
      <c r="BD12">
        <f t="shared" si="23"/>
        <v>1</v>
      </c>
      <c r="BE12">
        <f t="shared" si="24"/>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row>
    <row r="13" spans="1:141">
      <c r="A13" t="s">
        <v>732</v>
      </c>
      <c r="B13" t="s">
        <v>1787</v>
      </c>
      <c r="C13" t="s">
        <v>24</v>
      </c>
      <c r="D13" t="str">
        <f t="shared" si="9"/>
        <v>silicic</v>
      </c>
      <c r="E13" t="s">
        <v>110</v>
      </c>
      <c r="F13">
        <v>0</v>
      </c>
      <c r="G13" t="s">
        <v>703</v>
      </c>
      <c r="H13">
        <v>0</v>
      </c>
      <c r="I13">
        <v>0</v>
      </c>
      <c r="J13" t="s">
        <v>716</v>
      </c>
      <c r="K13">
        <v>0</v>
      </c>
      <c r="L13" t="s">
        <v>48</v>
      </c>
      <c r="M13">
        <v>0</v>
      </c>
      <c r="N13" t="s">
        <v>726</v>
      </c>
      <c r="O13">
        <v>5</v>
      </c>
      <c r="P13">
        <v>51.1</v>
      </c>
      <c r="Q13">
        <v>2.4</v>
      </c>
      <c r="R13">
        <v>0</v>
      </c>
      <c r="S13">
        <v>5.4</v>
      </c>
      <c r="T13">
        <v>6.8</v>
      </c>
      <c r="U13">
        <v>5.7</v>
      </c>
      <c r="V13">
        <v>0</v>
      </c>
      <c r="W13">
        <v>8.6</v>
      </c>
      <c r="X13">
        <v>2.1</v>
      </c>
      <c r="Y13">
        <v>11.6</v>
      </c>
      <c r="Z13">
        <v>0</v>
      </c>
      <c r="AA13">
        <v>0</v>
      </c>
      <c r="AB13">
        <v>0</v>
      </c>
      <c r="AC13">
        <v>0</v>
      </c>
      <c r="AD13">
        <v>0</v>
      </c>
      <c r="AE13">
        <v>0</v>
      </c>
      <c r="AF13">
        <v>0</v>
      </c>
      <c r="AG13">
        <v>0</v>
      </c>
      <c r="AH13">
        <v>0</v>
      </c>
      <c r="AI13">
        <v>0</v>
      </c>
      <c r="AJ13">
        <v>0</v>
      </c>
      <c r="AK13">
        <f t="shared" si="10"/>
        <v>93.699999999999989</v>
      </c>
      <c r="AL13" s="26">
        <f t="shared" si="11"/>
        <v>54.535752401280689</v>
      </c>
      <c r="AM13" s="26">
        <f t="shared" si="12"/>
        <v>2.5613660618996801</v>
      </c>
      <c r="AN13" s="26">
        <f t="shared" si="13"/>
        <v>5.763073639274281</v>
      </c>
      <c r="AO13" s="26">
        <f t="shared" si="14"/>
        <v>7.2572038420490941</v>
      </c>
      <c r="AP13" s="26">
        <f t="shared" si="15"/>
        <v>6.0832443970117405</v>
      </c>
      <c r="AQ13" s="26">
        <f t="shared" si="16"/>
        <v>9.1782283884738547</v>
      </c>
      <c r="AR13" s="26">
        <f t="shared" si="17"/>
        <v>0</v>
      </c>
      <c r="AS13" s="26">
        <f t="shared" si="18"/>
        <v>2.2411953041622201</v>
      </c>
      <c r="AT13" s="26">
        <f t="shared" si="19"/>
        <v>12.379935965848453</v>
      </c>
      <c r="AU13" s="26">
        <f t="shared" si="20"/>
        <v>0</v>
      </c>
      <c r="AV13" s="26">
        <f t="shared" si="21"/>
        <v>0</v>
      </c>
      <c r="AW13" s="26">
        <f t="shared" si="22"/>
        <v>100.00000000000003</v>
      </c>
      <c r="AX13" s="26"/>
      <c r="AY13" s="26"/>
      <c r="AZ13">
        <v>67</v>
      </c>
      <c r="BA13">
        <v>98</v>
      </c>
      <c r="BB13">
        <v>0</v>
      </c>
      <c r="BC13">
        <v>0.6</v>
      </c>
      <c r="BD13">
        <f>(BA13/18.02)/((BA13/18.02)+(AZ13/44.01))</f>
        <v>0.78129166425134777</v>
      </c>
      <c r="BE13">
        <f>(AZ13/44.01)/((BA13/18.02)+(AZ13/44.01))</f>
        <v>0.21870833574865228</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row>
    <row r="14" spans="1:141">
      <c r="A14" t="s">
        <v>732</v>
      </c>
      <c r="B14" t="s">
        <v>1787</v>
      </c>
      <c r="C14" t="s">
        <v>24</v>
      </c>
      <c r="D14" t="str">
        <f t="shared" si="9"/>
        <v>silicic</v>
      </c>
      <c r="E14" t="s">
        <v>71</v>
      </c>
      <c r="F14">
        <v>0</v>
      </c>
      <c r="G14" t="s">
        <v>1788</v>
      </c>
      <c r="H14">
        <v>0</v>
      </c>
      <c r="I14">
        <v>0</v>
      </c>
      <c r="J14" t="s">
        <v>716</v>
      </c>
      <c r="K14" t="s">
        <v>596</v>
      </c>
      <c r="L14" t="s">
        <v>172</v>
      </c>
      <c r="M14" t="s">
        <v>979</v>
      </c>
      <c r="N14" t="s">
        <v>724</v>
      </c>
      <c r="O14">
        <v>8</v>
      </c>
      <c r="P14">
        <v>42.3</v>
      </c>
      <c r="Q14">
        <v>2.6</v>
      </c>
      <c r="R14">
        <v>0</v>
      </c>
      <c r="S14">
        <v>4.9000000000000004</v>
      </c>
      <c r="T14">
        <v>11.1</v>
      </c>
      <c r="U14">
        <v>4.5999999999999996</v>
      </c>
      <c r="V14">
        <v>0</v>
      </c>
      <c r="W14">
        <v>7.8</v>
      </c>
      <c r="X14">
        <v>2.2999999999999998</v>
      </c>
      <c r="Y14">
        <v>19.399999999999999</v>
      </c>
      <c r="Z14">
        <v>0</v>
      </c>
      <c r="AA14">
        <v>0</v>
      </c>
      <c r="AB14">
        <v>0</v>
      </c>
      <c r="AC14">
        <v>0</v>
      </c>
      <c r="AD14">
        <v>0</v>
      </c>
      <c r="AE14">
        <v>0</v>
      </c>
      <c r="AF14">
        <v>0</v>
      </c>
      <c r="AG14">
        <v>0</v>
      </c>
      <c r="AH14">
        <v>0</v>
      </c>
      <c r="AI14">
        <v>0</v>
      </c>
      <c r="AJ14">
        <v>0</v>
      </c>
      <c r="AK14">
        <f t="shared" si="10"/>
        <v>95</v>
      </c>
      <c r="AL14" s="26">
        <f t="shared" si="11"/>
        <v>44.526315789473678</v>
      </c>
      <c r="AM14" s="26">
        <f t="shared" si="12"/>
        <v>2.736842105263158</v>
      </c>
      <c r="AN14" s="26">
        <f t="shared" si="13"/>
        <v>5.1578947368421062</v>
      </c>
      <c r="AO14" s="26">
        <f t="shared" si="14"/>
        <v>11.684210526315789</v>
      </c>
      <c r="AP14" s="26">
        <f t="shared" si="15"/>
        <v>4.8421052631578938</v>
      </c>
      <c r="AQ14" s="26">
        <f t="shared" si="16"/>
        <v>8.2105263157894743</v>
      </c>
      <c r="AR14" s="26">
        <f t="shared" si="17"/>
        <v>0</v>
      </c>
      <c r="AS14" s="26">
        <f t="shared" si="18"/>
        <v>2.4210526315789469</v>
      </c>
      <c r="AT14" s="26">
        <f t="shared" si="19"/>
        <v>20.421052631578945</v>
      </c>
      <c r="AU14" s="26">
        <f t="shared" si="20"/>
        <v>0</v>
      </c>
      <c r="AV14" s="26">
        <f t="shared" si="21"/>
        <v>0</v>
      </c>
      <c r="AW14" s="26">
        <f t="shared" si="22"/>
        <v>100</v>
      </c>
      <c r="AX14" s="26"/>
      <c r="AY14" s="26"/>
      <c r="AZ14">
        <v>135</v>
      </c>
      <c r="BA14">
        <v>619</v>
      </c>
      <c r="BB14">
        <v>0</v>
      </c>
      <c r="BC14">
        <v>0.8</v>
      </c>
      <c r="BD14">
        <f t="shared" ref="BD14:BD15" si="25">(BA14/18.02)/((BA14/18.02)+(AZ14/44.01))</f>
        <v>0.91802160008006761</v>
      </c>
      <c r="BE14">
        <f t="shared" ref="BE14:BE15" si="26">(AZ14/44.01)/((BA14/18.02)+(AZ14/44.01))</f>
        <v>8.1978399919932304E-2</v>
      </c>
      <c r="BF14">
        <v>0</v>
      </c>
      <c r="BG14">
        <v>0</v>
      </c>
      <c r="BH14">
        <v>0</v>
      </c>
      <c r="BI14">
        <v>0</v>
      </c>
      <c r="BJ14">
        <v>0</v>
      </c>
      <c r="BK14">
        <v>28.57</v>
      </c>
      <c r="BL14">
        <v>0</v>
      </c>
      <c r="BM14">
        <v>0</v>
      </c>
      <c r="BN14">
        <v>14.9</v>
      </c>
      <c r="BO14">
        <v>9.36</v>
      </c>
      <c r="BP14">
        <v>0</v>
      </c>
      <c r="BQ14">
        <v>0</v>
      </c>
      <c r="BR14">
        <v>0</v>
      </c>
      <c r="BS14">
        <v>68.8</v>
      </c>
      <c r="BT14" t="s">
        <v>977</v>
      </c>
      <c r="BU14" t="s">
        <v>978</v>
      </c>
      <c r="BV14" t="s">
        <v>987</v>
      </c>
      <c r="BW14">
        <v>0.34100000000000003</v>
      </c>
      <c r="BX14">
        <v>3.8E-3</v>
      </c>
      <c r="BY14" t="s">
        <v>261</v>
      </c>
      <c r="BZ14" t="s">
        <v>272</v>
      </c>
      <c r="CA14" t="s">
        <v>277</v>
      </c>
      <c r="CB14" t="s">
        <v>988</v>
      </c>
      <c r="CC14" t="s">
        <v>218</v>
      </c>
      <c r="CD14">
        <v>7.9500000000000005E-3</v>
      </c>
      <c r="CE14">
        <v>0</v>
      </c>
      <c r="CF14" t="s">
        <v>980</v>
      </c>
      <c r="CG14" t="s">
        <v>982</v>
      </c>
      <c r="CH14">
        <v>3.6999999999999998E-2</v>
      </c>
      <c r="CI14" t="s">
        <v>277</v>
      </c>
      <c r="CJ14">
        <v>2.56</v>
      </c>
      <c r="CK14" t="s">
        <v>983</v>
      </c>
      <c r="CL14">
        <v>0</v>
      </c>
      <c r="CM14" t="s">
        <v>224</v>
      </c>
      <c r="CN14">
        <v>0</v>
      </c>
      <c r="CO14" t="s">
        <v>213</v>
      </c>
      <c r="CP14" t="s">
        <v>993</v>
      </c>
      <c r="CQ14" t="s">
        <v>994</v>
      </c>
      <c r="CR14">
        <v>3.8999999999999999E-4</v>
      </c>
      <c r="CS14" t="s">
        <v>226</v>
      </c>
      <c r="CT14">
        <v>8.9700000000000006</v>
      </c>
      <c r="CU14">
        <v>0</v>
      </c>
      <c r="CV14">
        <v>1.1000000000000001</v>
      </c>
      <c r="CW14">
        <v>1.65</v>
      </c>
      <c r="CX14">
        <v>0</v>
      </c>
      <c r="CY14">
        <v>0.52</v>
      </c>
      <c r="CZ14">
        <v>4.7800000000000002E-2</v>
      </c>
      <c r="DA14">
        <v>1.11E-2</v>
      </c>
      <c r="DB14" t="s">
        <v>995</v>
      </c>
      <c r="DC14">
        <v>1.2999999999999999E-2</v>
      </c>
      <c r="DD14" t="s">
        <v>997</v>
      </c>
      <c r="DE14" t="s">
        <v>998</v>
      </c>
      <c r="DF14">
        <v>0</v>
      </c>
      <c r="DG14" t="s">
        <v>217</v>
      </c>
      <c r="DH14" t="s">
        <v>984</v>
      </c>
      <c r="DI14" t="s">
        <v>215</v>
      </c>
      <c r="DJ14" t="s">
        <v>215</v>
      </c>
      <c r="DK14" t="s">
        <v>214</v>
      </c>
      <c r="DL14">
        <v>0</v>
      </c>
      <c r="DM14" t="s">
        <v>999</v>
      </c>
      <c r="DN14">
        <v>1.4999999999999999E-2</v>
      </c>
      <c r="DO14" t="s">
        <v>996</v>
      </c>
      <c r="DP14">
        <v>0</v>
      </c>
      <c r="DQ14" t="s">
        <v>222</v>
      </c>
      <c r="DR14" t="s">
        <v>986</v>
      </c>
      <c r="DS14">
        <v>0</v>
      </c>
      <c r="DT14">
        <v>0</v>
      </c>
      <c r="DU14">
        <v>0</v>
      </c>
      <c r="DV14">
        <v>0</v>
      </c>
      <c r="DW14">
        <v>0</v>
      </c>
      <c r="DX14">
        <v>0</v>
      </c>
      <c r="DY14">
        <v>0</v>
      </c>
      <c r="DZ14">
        <v>0</v>
      </c>
      <c r="EA14">
        <v>0</v>
      </c>
      <c r="EB14">
        <v>0</v>
      </c>
      <c r="EC14">
        <v>0</v>
      </c>
      <c r="ED14">
        <v>0</v>
      </c>
      <c r="EE14">
        <v>0</v>
      </c>
      <c r="EF14">
        <v>0</v>
      </c>
      <c r="EG14">
        <v>0</v>
      </c>
      <c r="EH14">
        <v>0</v>
      </c>
      <c r="EI14">
        <v>0</v>
      </c>
      <c r="EJ14">
        <v>0</v>
      </c>
      <c r="EK14">
        <v>0</v>
      </c>
    </row>
    <row r="15" spans="1:141">
      <c r="A15" t="s">
        <v>1177</v>
      </c>
      <c r="B15" t="s">
        <v>1787</v>
      </c>
      <c r="C15" t="s">
        <v>24</v>
      </c>
      <c r="D15" t="str">
        <f t="shared" si="9"/>
        <v>silicic</v>
      </c>
      <c r="E15" t="s">
        <v>71</v>
      </c>
      <c r="F15">
        <v>0</v>
      </c>
      <c r="G15" t="s">
        <v>1788</v>
      </c>
      <c r="H15">
        <v>0</v>
      </c>
      <c r="I15">
        <v>0</v>
      </c>
      <c r="J15" t="s">
        <v>716</v>
      </c>
      <c r="K15" t="s">
        <v>596</v>
      </c>
      <c r="L15" t="s">
        <v>48</v>
      </c>
      <c r="M15" t="s">
        <v>979</v>
      </c>
      <c r="N15" t="s">
        <v>728</v>
      </c>
      <c r="O15">
        <v>7</v>
      </c>
      <c r="P15">
        <v>45.1</v>
      </c>
      <c r="Q15">
        <v>2.2999999999999998</v>
      </c>
      <c r="R15">
        <v>0</v>
      </c>
      <c r="S15">
        <v>4.5999999999999996</v>
      </c>
      <c r="T15">
        <v>10.1</v>
      </c>
      <c r="U15">
        <v>8</v>
      </c>
      <c r="V15">
        <v>0</v>
      </c>
      <c r="W15">
        <v>7.6</v>
      </c>
      <c r="X15">
        <v>4.8</v>
      </c>
      <c r="Y15">
        <v>12.4</v>
      </c>
      <c r="Z15">
        <v>0</v>
      </c>
      <c r="AA15">
        <v>0</v>
      </c>
      <c r="AB15">
        <v>0</v>
      </c>
      <c r="AC15">
        <v>0</v>
      </c>
      <c r="AD15">
        <v>0</v>
      </c>
      <c r="AE15">
        <v>0</v>
      </c>
      <c r="AF15">
        <v>0</v>
      </c>
      <c r="AG15">
        <v>0</v>
      </c>
      <c r="AH15">
        <v>0</v>
      </c>
      <c r="AI15">
        <v>0</v>
      </c>
      <c r="AJ15">
        <v>0</v>
      </c>
      <c r="AK15">
        <f t="shared" si="10"/>
        <v>94.899999999999991</v>
      </c>
      <c r="AL15" s="26">
        <f t="shared" si="11"/>
        <v>47.523709167544794</v>
      </c>
      <c r="AM15" s="26">
        <f t="shared" si="12"/>
        <v>2.4236037934668069</v>
      </c>
      <c r="AN15" s="26">
        <f t="shared" si="13"/>
        <v>4.8472075869336138</v>
      </c>
      <c r="AO15" s="26">
        <f t="shared" si="14"/>
        <v>10.642781875658589</v>
      </c>
      <c r="AP15" s="26">
        <f t="shared" si="15"/>
        <v>8.4299262381454181</v>
      </c>
      <c r="AQ15" s="26">
        <f t="shared" si="16"/>
        <v>8.0084299262381453</v>
      </c>
      <c r="AR15" s="26">
        <f t="shared" si="17"/>
        <v>0</v>
      </c>
      <c r="AS15" s="26">
        <f t="shared" si="18"/>
        <v>5.0579557428872501</v>
      </c>
      <c r="AT15" s="26">
        <f t="shared" si="19"/>
        <v>13.066385669125397</v>
      </c>
      <c r="AU15" s="26">
        <f t="shared" si="20"/>
        <v>0</v>
      </c>
      <c r="AV15" s="26">
        <f t="shared" si="21"/>
        <v>0</v>
      </c>
      <c r="AW15" s="26">
        <f t="shared" si="22"/>
        <v>100.00000000000001</v>
      </c>
      <c r="AX15" s="26"/>
      <c r="AY15" s="26"/>
      <c r="AZ15">
        <v>139</v>
      </c>
      <c r="BA15">
        <v>241</v>
      </c>
      <c r="BB15">
        <v>0</v>
      </c>
      <c r="BC15">
        <v>0</v>
      </c>
      <c r="BD15">
        <f t="shared" si="25"/>
        <v>0.80895860711346568</v>
      </c>
      <c r="BE15">
        <f t="shared" si="26"/>
        <v>0.19104139288653435</v>
      </c>
      <c r="BF15">
        <v>0</v>
      </c>
      <c r="BG15">
        <v>0</v>
      </c>
      <c r="BH15">
        <v>0</v>
      </c>
      <c r="BI15">
        <v>0</v>
      </c>
      <c r="BJ15">
        <v>0</v>
      </c>
      <c r="BK15">
        <v>2.5870000000000002</v>
      </c>
      <c r="BL15">
        <v>0</v>
      </c>
      <c r="BM15">
        <v>0</v>
      </c>
      <c r="BN15">
        <v>215</v>
      </c>
      <c r="BO15">
        <v>34.6</v>
      </c>
      <c r="BP15">
        <v>0</v>
      </c>
      <c r="BQ15">
        <v>0</v>
      </c>
      <c r="BR15">
        <v>0</v>
      </c>
      <c r="BS15">
        <v>78.8</v>
      </c>
      <c r="BT15" t="s">
        <v>995</v>
      </c>
      <c r="BU15" t="s">
        <v>215</v>
      </c>
      <c r="BV15">
        <v>7.36</v>
      </c>
      <c r="BW15">
        <v>0.66400000000000003</v>
      </c>
      <c r="BX15">
        <v>1.4999999999999999E-2</v>
      </c>
      <c r="BY15" t="s">
        <v>262</v>
      </c>
      <c r="BZ15" t="s">
        <v>267</v>
      </c>
      <c r="CA15" t="s">
        <v>276</v>
      </c>
      <c r="CB15" t="s">
        <v>277</v>
      </c>
      <c r="CC15" t="s">
        <v>226</v>
      </c>
      <c r="CD15">
        <v>2.8000000000000001E-2</v>
      </c>
      <c r="CE15" t="s">
        <v>1063</v>
      </c>
      <c r="CF15" t="s">
        <v>1043</v>
      </c>
      <c r="CG15" t="s">
        <v>269</v>
      </c>
      <c r="CH15">
        <v>7.5999999999999998E-2</v>
      </c>
      <c r="CI15" t="s">
        <v>1064</v>
      </c>
      <c r="CJ15">
        <v>7.68</v>
      </c>
      <c r="CK15" t="s">
        <v>310</v>
      </c>
      <c r="CL15">
        <v>0</v>
      </c>
      <c r="CM15" t="s">
        <v>1011</v>
      </c>
      <c r="CN15">
        <v>0</v>
      </c>
      <c r="CO15" t="s">
        <v>1041</v>
      </c>
      <c r="CP15" t="s">
        <v>281</v>
      </c>
      <c r="CQ15">
        <v>0</v>
      </c>
      <c r="CR15" t="s">
        <v>1065</v>
      </c>
      <c r="CS15" t="s">
        <v>988</v>
      </c>
      <c r="CT15">
        <v>10.5</v>
      </c>
      <c r="CU15">
        <v>0</v>
      </c>
      <c r="CV15">
        <v>0.93200000000000005</v>
      </c>
      <c r="CW15" t="s">
        <v>267</v>
      </c>
      <c r="CX15">
        <v>0</v>
      </c>
      <c r="CY15">
        <v>0</v>
      </c>
      <c r="CZ15">
        <v>6.0699999999999997E-2</v>
      </c>
      <c r="DA15">
        <v>1.3299999999999999E-2</v>
      </c>
      <c r="DB15">
        <v>0</v>
      </c>
      <c r="DC15">
        <v>1.8700000000000001E-2</v>
      </c>
      <c r="DD15" t="s">
        <v>215</v>
      </c>
      <c r="DE15">
        <v>0</v>
      </c>
      <c r="DF15">
        <v>0</v>
      </c>
      <c r="DG15" t="s">
        <v>1016</v>
      </c>
      <c r="DH15" t="s">
        <v>1011</v>
      </c>
      <c r="DI15" t="s">
        <v>213</v>
      </c>
      <c r="DJ15" t="s">
        <v>1067</v>
      </c>
      <c r="DK15" t="s">
        <v>1013</v>
      </c>
      <c r="DL15">
        <v>0</v>
      </c>
      <c r="DM15" t="s">
        <v>1066</v>
      </c>
      <c r="DN15" t="s">
        <v>1013</v>
      </c>
      <c r="DO15" t="s">
        <v>598</v>
      </c>
      <c r="DP15" t="s">
        <v>1057</v>
      </c>
      <c r="DQ15" t="s">
        <v>183</v>
      </c>
      <c r="DR15" t="s">
        <v>1054</v>
      </c>
      <c r="DS15">
        <v>0.20330000000000001</v>
      </c>
      <c r="DT15">
        <v>0</v>
      </c>
      <c r="DU15">
        <v>0</v>
      </c>
      <c r="DV15">
        <v>0</v>
      </c>
      <c r="DW15">
        <v>0</v>
      </c>
      <c r="DX15">
        <v>0</v>
      </c>
      <c r="DY15">
        <v>0</v>
      </c>
      <c r="DZ15">
        <v>0</v>
      </c>
      <c r="EA15">
        <v>0</v>
      </c>
      <c r="EB15">
        <v>0</v>
      </c>
      <c r="EC15">
        <v>0</v>
      </c>
      <c r="ED15">
        <v>0</v>
      </c>
      <c r="EE15">
        <v>0</v>
      </c>
      <c r="EF15">
        <v>0</v>
      </c>
      <c r="EG15">
        <v>0</v>
      </c>
      <c r="EH15">
        <v>0</v>
      </c>
      <c r="EI15">
        <v>0</v>
      </c>
      <c r="EJ15">
        <v>0</v>
      </c>
      <c r="EK15">
        <v>0</v>
      </c>
    </row>
    <row r="16" spans="1:141">
      <c r="A16" t="s">
        <v>1177</v>
      </c>
      <c r="B16" t="s">
        <v>1787</v>
      </c>
      <c r="C16" t="s">
        <v>24</v>
      </c>
      <c r="D16" t="str">
        <f t="shared" si="9"/>
        <v>silicic</v>
      </c>
      <c r="E16" t="s">
        <v>71</v>
      </c>
      <c r="F16">
        <v>0</v>
      </c>
      <c r="G16" t="s">
        <v>1788</v>
      </c>
      <c r="H16">
        <v>0</v>
      </c>
      <c r="I16">
        <v>0</v>
      </c>
      <c r="J16" t="s">
        <v>716</v>
      </c>
      <c r="K16" t="s">
        <v>596</v>
      </c>
      <c r="L16" t="s">
        <v>48</v>
      </c>
      <c r="M16" t="s">
        <v>979</v>
      </c>
      <c r="N16" t="s">
        <v>730</v>
      </c>
      <c r="O16">
        <v>2</v>
      </c>
      <c r="P16">
        <v>42.4</v>
      </c>
      <c r="Q16">
        <v>2.9</v>
      </c>
      <c r="R16">
        <v>0</v>
      </c>
      <c r="S16">
        <v>4.4000000000000004</v>
      </c>
      <c r="T16">
        <v>8</v>
      </c>
      <c r="U16">
        <v>4.9000000000000004</v>
      </c>
      <c r="V16">
        <v>0</v>
      </c>
      <c r="W16">
        <v>9.8000000000000007</v>
      </c>
      <c r="X16">
        <v>3.4</v>
      </c>
      <c r="Y16">
        <v>19.3</v>
      </c>
      <c r="Z16">
        <v>0</v>
      </c>
      <c r="AA16">
        <v>0</v>
      </c>
      <c r="AB16">
        <v>0</v>
      </c>
      <c r="AC16">
        <v>0</v>
      </c>
      <c r="AD16">
        <v>0</v>
      </c>
      <c r="AE16">
        <v>0</v>
      </c>
      <c r="AF16">
        <v>0</v>
      </c>
      <c r="AG16">
        <v>0</v>
      </c>
      <c r="AH16">
        <v>0</v>
      </c>
      <c r="AI16">
        <v>0</v>
      </c>
      <c r="AJ16">
        <v>0</v>
      </c>
      <c r="AK16">
        <f t="shared" si="10"/>
        <v>95.1</v>
      </c>
      <c r="AL16" s="26">
        <f t="shared" si="11"/>
        <v>44.584647739221872</v>
      </c>
      <c r="AM16" s="26">
        <f t="shared" si="12"/>
        <v>3.0494216614090432</v>
      </c>
      <c r="AN16" s="26">
        <f t="shared" si="13"/>
        <v>4.6267087276551004</v>
      </c>
      <c r="AO16" s="26">
        <f t="shared" si="14"/>
        <v>8.4121976866456372</v>
      </c>
      <c r="AP16" s="26">
        <f t="shared" si="15"/>
        <v>5.152471083070453</v>
      </c>
      <c r="AQ16" s="26">
        <f t="shared" si="16"/>
        <v>10.304942166140906</v>
      </c>
      <c r="AR16" s="26">
        <f t="shared" si="17"/>
        <v>0</v>
      </c>
      <c r="AS16" s="26">
        <f t="shared" si="18"/>
        <v>3.5751840168243953</v>
      </c>
      <c r="AT16" s="26">
        <f t="shared" si="19"/>
        <v>20.294426919032599</v>
      </c>
      <c r="AU16" s="26">
        <f t="shared" si="20"/>
        <v>0</v>
      </c>
      <c r="AV16" s="26">
        <f t="shared" si="21"/>
        <v>0</v>
      </c>
      <c r="AW16" s="26">
        <f t="shared" si="22"/>
        <v>100</v>
      </c>
      <c r="AX16" s="26"/>
      <c r="AY16" s="26"/>
      <c r="AZ16">
        <v>0</v>
      </c>
      <c r="BA16">
        <v>0</v>
      </c>
      <c r="BB16">
        <v>0</v>
      </c>
      <c r="BC16">
        <v>0.8</v>
      </c>
      <c r="BD16">
        <f>1-BE16</f>
        <v>0.8</v>
      </c>
      <c r="BE16">
        <f>1-BC16</f>
        <v>0.19999999999999996</v>
      </c>
      <c r="BF16">
        <v>0</v>
      </c>
      <c r="BG16">
        <v>0</v>
      </c>
      <c r="BH16">
        <v>0</v>
      </c>
      <c r="BI16">
        <v>0</v>
      </c>
      <c r="BJ16">
        <v>0</v>
      </c>
      <c r="BK16">
        <v>1.212</v>
      </c>
      <c r="BL16">
        <v>0</v>
      </c>
      <c r="BM16">
        <v>0</v>
      </c>
      <c r="BN16">
        <v>7.5</v>
      </c>
      <c r="BO16">
        <v>7.21</v>
      </c>
      <c r="BP16">
        <v>0</v>
      </c>
      <c r="BQ16">
        <v>0</v>
      </c>
      <c r="BR16">
        <v>0</v>
      </c>
      <c r="BS16">
        <v>26.2</v>
      </c>
      <c r="BT16" t="s">
        <v>273</v>
      </c>
      <c r="BU16" t="s">
        <v>986</v>
      </c>
      <c r="BV16" t="s">
        <v>265</v>
      </c>
      <c r="BW16">
        <v>0.17</v>
      </c>
      <c r="BX16" t="s">
        <v>215</v>
      </c>
      <c r="BY16" t="s">
        <v>1072</v>
      </c>
      <c r="BZ16" t="s">
        <v>276</v>
      </c>
      <c r="CA16" t="s">
        <v>265</v>
      </c>
      <c r="CB16" t="s">
        <v>269</v>
      </c>
      <c r="CC16" t="s">
        <v>1013</v>
      </c>
      <c r="CD16">
        <v>4.3999999999999997E-2</v>
      </c>
      <c r="CE16" t="s">
        <v>276</v>
      </c>
      <c r="CF16" t="s">
        <v>216</v>
      </c>
      <c r="CG16">
        <v>0</v>
      </c>
      <c r="CH16" t="s">
        <v>598</v>
      </c>
      <c r="CI16" t="s">
        <v>1033</v>
      </c>
      <c r="CJ16">
        <v>1.7</v>
      </c>
      <c r="CK16" t="s">
        <v>308</v>
      </c>
      <c r="CL16">
        <v>0</v>
      </c>
      <c r="CM16" t="s">
        <v>1073</v>
      </c>
      <c r="CN16">
        <v>0</v>
      </c>
      <c r="CO16" t="s">
        <v>268</v>
      </c>
      <c r="CP16">
        <v>0</v>
      </c>
      <c r="CQ16">
        <v>0</v>
      </c>
      <c r="CR16" t="s">
        <v>223</v>
      </c>
      <c r="CS16" t="s">
        <v>1041</v>
      </c>
      <c r="CT16">
        <v>3.3</v>
      </c>
      <c r="CU16">
        <v>0</v>
      </c>
      <c r="CV16">
        <v>0.22</v>
      </c>
      <c r="CW16">
        <v>0</v>
      </c>
      <c r="CX16">
        <v>0</v>
      </c>
      <c r="CY16">
        <v>0</v>
      </c>
      <c r="CZ16">
        <v>8.0000000000000002E-3</v>
      </c>
      <c r="DA16">
        <v>3.0999999999999999E-3</v>
      </c>
      <c r="DB16">
        <v>0</v>
      </c>
      <c r="DC16" t="s">
        <v>214</v>
      </c>
      <c r="DD16">
        <v>0</v>
      </c>
      <c r="DE16">
        <v>0</v>
      </c>
      <c r="DF16">
        <v>0</v>
      </c>
      <c r="DG16" t="s">
        <v>598</v>
      </c>
      <c r="DH16" t="s">
        <v>1075</v>
      </c>
      <c r="DI16" t="s">
        <v>993</v>
      </c>
      <c r="DJ16" t="s">
        <v>1028</v>
      </c>
      <c r="DK16" t="s">
        <v>1016</v>
      </c>
      <c r="DL16">
        <v>0</v>
      </c>
      <c r="DM16" t="s">
        <v>988</v>
      </c>
      <c r="DN16" t="s">
        <v>1046</v>
      </c>
      <c r="DO16" t="s">
        <v>1074</v>
      </c>
      <c r="DP16" t="s">
        <v>598</v>
      </c>
      <c r="DQ16" t="s">
        <v>1076</v>
      </c>
      <c r="DR16">
        <v>0</v>
      </c>
      <c r="DS16" t="s">
        <v>1077</v>
      </c>
      <c r="DT16">
        <v>0</v>
      </c>
      <c r="DU16">
        <v>0</v>
      </c>
      <c r="DV16">
        <v>0</v>
      </c>
      <c r="DW16">
        <v>0</v>
      </c>
      <c r="DX16">
        <v>0</v>
      </c>
      <c r="DY16">
        <v>0</v>
      </c>
      <c r="DZ16">
        <v>0</v>
      </c>
      <c r="EA16">
        <v>0</v>
      </c>
      <c r="EB16">
        <v>0</v>
      </c>
      <c r="EC16">
        <v>0</v>
      </c>
      <c r="ED16">
        <v>0</v>
      </c>
      <c r="EE16">
        <v>0</v>
      </c>
      <c r="EF16">
        <v>0</v>
      </c>
      <c r="EG16">
        <v>0</v>
      </c>
      <c r="EH16">
        <v>0</v>
      </c>
      <c r="EI16">
        <v>0</v>
      </c>
      <c r="EJ16">
        <v>0</v>
      </c>
      <c r="EK16">
        <v>0</v>
      </c>
    </row>
    <row r="17" spans="1:141">
      <c r="A17" t="s">
        <v>1177</v>
      </c>
      <c r="B17" t="s">
        <v>1787</v>
      </c>
      <c r="C17" t="s">
        <v>24</v>
      </c>
      <c r="D17" t="str">
        <f t="shared" si="9"/>
        <v>silicic</v>
      </c>
      <c r="E17" t="s">
        <v>71</v>
      </c>
      <c r="F17">
        <v>0</v>
      </c>
      <c r="G17" t="s">
        <v>1788</v>
      </c>
      <c r="H17">
        <v>0</v>
      </c>
      <c r="I17">
        <v>0</v>
      </c>
      <c r="J17" t="s">
        <v>716</v>
      </c>
      <c r="K17" t="s">
        <v>596</v>
      </c>
      <c r="L17" t="s">
        <v>48</v>
      </c>
      <c r="M17" t="s">
        <v>979</v>
      </c>
      <c r="N17" t="s">
        <v>731</v>
      </c>
      <c r="O17">
        <v>2</v>
      </c>
      <c r="P17">
        <v>45.9</v>
      </c>
      <c r="Q17">
        <v>2.6</v>
      </c>
      <c r="R17">
        <v>0</v>
      </c>
      <c r="S17">
        <v>4.8</v>
      </c>
      <c r="T17">
        <v>8.8000000000000007</v>
      </c>
      <c r="U17">
        <v>4.9000000000000004</v>
      </c>
      <c r="V17">
        <v>0</v>
      </c>
      <c r="W17">
        <v>12.4</v>
      </c>
      <c r="X17">
        <v>3.4</v>
      </c>
      <c r="Y17">
        <v>12.1</v>
      </c>
      <c r="Z17">
        <v>0</v>
      </c>
      <c r="AA17">
        <v>0</v>
      </c>
      <c r="AB17">
        <v>0</v>
      </c>
      <c r="AC17">
        <v>0</v>
      </c>
      <c r="AD17">
        <v>0</v>
      </c>
      <c r="AE17">
        <v>0</v>
      </c>
      <c r="AF17">
        <v>0</v>
      </c>
      <c r="AG17">
        <v>0</v>
      </c>
      <c r="AH17">
        <v>0</v>
      </c>
      <c r="AI17">
        <v>0</v>
      </c>
      <c r="AJ17">
        <v>0</v>
      </c>
      <c r="AK17">
        <f t="shared" si="10"/>
        <v>94.9</v>
      </c>
      <c r="AL17" s="26">
        <f t="shared" si="11"/>
        <v>48.366701791359326</v>
      </c>
      <c r="AM17" s="26">
        <f t="shared" si="12"/>
        <v>2.7397260273972601</v>
      </c>
      <c r="AN17" s="26">
        <f t="shared" si="13"/>
        <v>5.0579557428872493</v>
      </c>
      <c r="AO17" s="26">
        <f t="shared" si="14"/>
        <v>9.2729188619599583</v>
      </c>
      <c r="AP17" s="26">
        <f t="shared" si="15"/>
        <v>5.1633298208640674</v>
      </c>
      <c r="AQ17" s="26">
        <f t="shared" si="16"/>
        <v>13.066385669125394</v>
      </c>
      <c r="AR17" s="26">
        <f t="shared" si="17"/>
        <v>0</v>
      </c>
      <c r="AS17" s="26">
        <f t="shared" si="18"/>
        <v>3.5827186512118017</v>
      </c>
      <c r="AT17" s="26">
        <f t="shared" si="19"/>
        <v>12.750263435194942</v>
      </c>
      <c r="AU17" s="26">
        <f t="shared" si="20"/>
        <v>0</v>
      </c>
      <c r="AV17" s="26">
        <f t="shared" si="21"/>
        <v>0</v>
      </c>
      <c r="AW17" s="26">
        <f t="shared" si="22"/>
        <v>100</v>
      </c>
      <c r="AX17" s="26"/>
      <c r="AY17" s="26"/>
      <c r="AZ17">
        <v>44</v>
      </c>
      <c r="BA17">
        <v>148</v>
      </c>
      <c r="BB17">
        <v>0</v>
      </c>
      <c r="BC17">
        <v>0</v>
      </c>
      <c r="BD17">
        <f t="shared" ref="BD17" si="27">(BA17/18.02)/((BA17/18.02)+(AZ17/44.01))</f>
        <v>0.89148084682386308</v>
      </c>
      <c r="BE17">
        <f t="shared" ref="BE17" si="28">(AZ17/44.01)/((BA17/18.02)+(AZ17/44.01))</f>
        <v>0.10851915317613696</v>
      </c>
      <c r="BF17">
        <v>0</v>
      </c>
      <c r="BG17">
        <v>0</v>
      </c>
      <c r="BH17">
        <v>0</v>
      </c>
      <c r="BI17">
        <v>0</v>
      </c>
      <c r="BJ17">
        <v>0</v>
      </c>
      <c r="BK17">
        <v>7.4119999999999999</v>
      </c>
      <c r="BL17">
        <v>0</v>
      </c>
      <c r="BM17">
        <v>0</v>
      </c>
      <c r="BN17">
        <v>41.4</v>
      </c>
      <c r="BO17">
        <v>30.7</v>
      </c>
      <c r="BP17">
        <v>0</v>
      </c>
      <c r="BQ17">
        <v>0</v>
      </c>
      <c r="BR17">
        <v>0</v>
      </c>
      <c r="BS17">
        <v>124</v>
      </c>
      <c r="BT17" t="s">
        <v>598</v>
      </c>
      <c r="BU17" t="s">
        <v>980</v>
      </c>
      <c r="BV17" t="s">
        <v>269</v>
      </c>
      <c r="BW17">
        <v>0.61199999999999999</v>
      </c>
      <c r="BX17" t="s">
        <v>214</v>
      </c>
      <c r="BY17" t="s">
        <v>1078</v>
      </c>
      <c r="BZ17" t="s">
        <v>1041</v>
      </c>
      <c r="CA17" t="s">
        <v>280</v>
      </c>
      <c r="CB17" t="s">
        <v>273</v>
      </c>
      <c r="CC17">
        <v>2.1000000000000001E-2</v>
      </c>
      <c r="CD17">
        <v>1.5699999999999999E-2</v>
      </c>
      <c r="CE17" t="s">
        <v>269</v>
      </c>
      <c r="CF17">
        <v>1.7999999999999999E-2</v>
      </c>
      <c r="CG17" t="s">
        <v>272</v>
      </c>
      <c r="CH17">
        <v>9.2999999999999999E-2</v>
      </c>
      <c r="CI17" t="s">
        <v>267</v>
      </c>
      <c r="CJ17">
        <v>10.1</v>
      </c>
      <c r="CK17" t="s">
        <v>1048</v>
      </c>
      <c r="CL17">
        <v>0</v>
      </c>
      <c r="CM17" t="s">
        <v>227</v>
      </c>
      <c r="CN17">
        <v>0</v>
      </c>
      <c r="CO17" t="s">
        <v>999</v>
      </c>
      <c r="CP17" t="s">
        <v>274</v>
      </c>
      <c r="CQ17" t="s">
        <v>1066</v>
      </c>
      <c r="CR17" t="s">
        <v>222</v>
      </c>
      <c r="CS17" t="s">
        <v>1005</v>
      </c>
      <c r="CT17">
        <v>15.9</v>
      </c>
      <c r="CU17">
        <v>0</v>
      </c>
      <c r="CV17">
        <v>1.3</v>
      </c>
      <c r="CW17">
        <v>2.72</v>
      </c>
      <c r="CX17">
        <v>0.28000000000000003</v>
      </c>
      <c r="CY17" t="s">
        <v>1026</v>
      </c>
      <c r="CZ17">
        <v>7.7499999999999999E-2</v>
      </c>
      <c r="DA17">
        <v>1.61E-2</v>
      </c>
      <c r="DB17">
        <v>0</v>
      </c>
      <c r="DC17">
        <v>1.6E-2</v>
      </c>
      <c r="DD17" t="s">
        <v>183</v>
      </c>
      <c r="DE17">
        <v>0</v>
      </c>
      <c r="DF17">
        <v>0</v>
      </c>
      <c r="DG17" t="s">
        <v>218</v>
      </c>
      <c r="DH17" t="s">
        <v>1079</v>
      </c>
      <c r="DI17" t="s">
        <v>1060</v>
      </c>
      <c r="DJ17" t="s">
        <v>1053</v>
      </c>
      <c r="DK17">
        <v>3.5000000000000003E-2</v>
      </c>
      <c r="DL17">
        <v>0</v>
      </c>
      <c r="DM17" t="s">
        <v>1066</v>
      </c>
      <c r="DN17">
        <v>4.3999999999999997E-2</v>
      </c>
      <c r="DO17" t="s">
        <v>1020</v>
      </c>
      <c r="DP17" t="s">
        <v>221</v>
      </c>
      <c r="DQ17">
        <v>3.3999999999999998E-3</v>
      </c>
      <c r="DR17" t="s">
        <v>988</v>
      </c>
      <c r="DS17" t="s">
        <v>225</v>
      </c>
      <c r="DT17">
        <v>0</v>
      </c>
      <c r="DU17">
        <v>0</v>
      </c>
      <c r="DV17">
        <v>0</v>
      </c>
      <c r="DW17">
        <v>0</v>
      </c>
      <c r="DX17">
        <v>0</v>
      </c>
      <c r="DY17">
        <v>0</v>
      </c>
      <c r="DZ17">
        <v>0</v>
      </c>
      <c r="EA17">
        <v>0</v>
      </c>
      <c r="EB17">
        <v>0</v>
      </c>
      <c r="EC17">
        <v>0</v>
      </c>
      <c r="ED17">
        <v>0</v>
      </c>
      <c r="EE17">
        <v>0</v>
      </c>
      <c r="EF17">
        <v>0</v>
      </c>
      <c r="EG17">
        <v>0</v>
      </c>
      <c r="EH17">
        <v>0</v>
      </c>
      <c r="EI17">
        <v>0</v>
      </c>
      <c r="EJ17">
        <v>0</v>
      </c>
      <c r="EK17">
        <v>0</v>
      </c>
    </row>
    <row r="18" spans="1:141">
      <c r="A18" t="s">
        <v>732</v>
      </c>
      <c r="B18" t="s">
        <v>1787</v>
      </c>
      <c r="C18" t="s">
        <v>24</v>
      </c>
      <c r="D18" t="str">
        <f t="shared" si="9"/>
        <v>silicic</v>
      </c>
      <c r="E18" t="s">
        <v>71</v>
      </c>
      <c r="F18" t="s">
        <v>388</v>
      </c>
      <c r="G18" t="s">
        <v>342</v>
      </c>
      <c r="H18" t="s">
        <v>829</v>
      </c>
      <c r="I18">
        <v>0</v>
      </c>
      <c r="J18" t="s">
        <v>716</v>
      </c>
      <c r="K18">
        <v>0</v>
      </c>
      <c r="L18" t="s">
        <v>172</v>
      </c>
      <c r="M18">
        <v>0</v>
      </c>
      <c r="N18" t="s">
        <v>717</v>
      </c>
      <c r="O18">
        <v>5</v>
      </c>
      <c r="P18">
        <v>41.2</v>
      </c>
      <c r="Q18">
        <v>2.4</v>
      </c>
      <c r="R18">
        <v>0</v>
      </c>
      <c r="S18">
        <v>6.1</v>
      </c>
      <c r="T18">
        <v>5</v>
      </c>
      <c r="U18">
        <v>2.8</v>
      </c>
      <c r="V18">
        <v>0</v>
      </c>
      <c r="W18">
        <v>10.7</v>
      </c>
      <c r="X18">
        <v>3</v>
      </c>
      <c r="Y18">
        <v>23.7</v>
      </c>
      <c r="Z18">
        <v>0</v>
      </c>
      <c r="AA18">
        <v>0</v>
      </c>
      <c r="AB18">
        <v>0</v>
      </c>
      <c r="AC18">
        <v>0</v>
      </c>
      <c r="AD18">
        <v>0</v>
      </c>
      <c r="AE18">
        <v>0</v>
      </c>
      <c r="AF18">
        <v>0</v>
      </c>
      <c r="AG18">
        <v>0</v>
      </c>
      <c r="AH18">
        <v>0</v>
      </c>
      <c r="AI18">
        <v>0</v>
      </c>
      <c r="AJ18">
        <v>0</v>
      </c>
      <c r="AK18">
        <f t="shared" si="10"/>
        <v>94.9</v>
      </c>
      <c r="AL18" s="26">
        <f t="shared" si="11"/>
        <v>43.414120126448893</v>
      </c>
      <c r="AM18" s="26">
        <f t="shared" si="12"/>
        <v>2.5289778714436246</v>
      </c>
      <c r="AN18" s="26">
        <f t="shared" si="13"/>
        <v>6.4278187565858786</v>
      </c>
      <c r="AO18" s="26">
        <f t="shared" si="14"/>
        <v>5.2687038988408847</v>
      </c>
      <c r="AP18" s="26">
        <f t="shared" si="15"/>
        <v>2.9504741833508952</v>
      </c>
      <c r="AQ18" s="26">
        <f t="shared" si="16"/>
        <v>11.275026343519492</v>
      </c>
      <c r="AR18" s="26">
        <f t="shared" si="17"/>
        <v>0</v>
      </c>
      <c r="AS18" s="26">
        <f t="shared" si="18"/>
        <v>3.1612223393045307</v>
      </c>
      <c r="AT18" s="26">
        <f t="shared" si="19"/>
        <v>24.973656480505792</v>
      </c>
      <c r="AU18" s="26">
        <f t="shared" si="20"/>
        <v>0</v>
      </c>
      <c r="AV18" s="26">
        <f t="shared" si="21"/>
        <v>0</v>
      </c>
      <c r="AW18" s="26">
        <f t="shared" si="22"/>
        <v>100</v>
      </c>
      <c r="AX18" s="26"/>
      <c r="AY18" s="26"/>
      <c r="AZ18">
        <v>79</v>
      </c>
      <c r="BA18">
        <v>191</v>
      </c>
      <c r="BB18">
        <v>0</v>
      </c>
      <c r="BC18">
        <v>0.8</v>
      </c>
      <c r="BD18">
        <f t="shared" ref="BD18:BD26" si="29">(BA18/18.02)/((BA18/18.02)+(AZ18/44.01))</f>
        <v>0.85517254710061252</v>
      </c>
      <c r="BE18">
        <f t="shared" ref="BE18:BE26" si="30">(AZ18/44.01)/((BA18/18.02)+(AZ18/44.01))</f>
        <v>0.14482745289938745</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c r="A19" t="s">
        <v>732</v>
      </c>
      <c r="B19" t="s">
        <v>1787</v>
      </c>
      <c r="C19" t="s">
        <v>24</v>
      </c>
      <c r="D19" t="str">
        <f t="shared" si="9"/>
        <v>silicic</v>
      </c>
      <c r="E19" t="s">
        <v>71</v>
      </c>
      <c r="F19" t="s">
        <v>388</v>
      </c>
      <c r="G19" t="s">
        <v>342</v>
      </c>
      <c r="H19" t="s">
        <v>829</v>
      </c>
      <c r="I19">
        <v>0</v>
      </c>
      <c r="J19" t="s">
        <v>716</v>
      </c>
      <c r="K19">
        <v>0</v>
      </c>
      <c r="L19" t="s">
        <v>172</v>
      </c>
      <c r="M19">
        <v>0</v>
      </c>
      <c r="N19" t="s">
        <v>719</v>
      </c>
      <c r="O19">
        <v>2</v>
      </c>
      <c r="P19">
        <v>43.3</v>
      </c>
      <c r="Q19">
        <v>2.5</v>
      </c>
      <c r="R19">
        <v>0</v>
      </c>
      <c r="S19">
        <v>5.4</v>
      </c>
      <c r="T19">
        <v>5.6</v>
      </c>
      <c r="U19">
        <v>3.8</v>
      </c>
      <c r="V19">
        <v>0</v>
      </c>
      <c r="W19">
        <v>10.6</v>
      </c>
      <c r="X19">
        <v>2.9</v>
      </c>
      <c r="Y19">
        <v>20.8</v>
      </c>
      <c r="Z19">
        <v>0</v>
      </c>
      <c r="AA19">
        <v>0</v>
      </c>
      <c r="AB19">
        <v>0</v>
      </c>
      <c r="AC19">
        <v>0</v>
      </c>
      <c r="AD19">
        <v>0</v>
      </c>
      <c r="AE19">
        <v>0</v>
      </c>
      <c r="AF19">
        <v>0</v>
      </c>
      <c r="AG19">
        <v>0</v>
      </c>
      <c r="AH19">
        <v>0</v>
      </c>
      <c r="AI19">
        <v>0</v>
      </c>
      <c r="AJ19">
        <v>0</v>
      </c>
      <c r="AK19">
        <f t="shared" si="10"/>
        <v>94.899999999999991</v>
      </c>
      <c r="AL19" s="26">
        <f t="shared" si="11"/>
        <v>45.626975763962072</v>
      </c>
      <c r="AM19" s="26">
        <f t="shared" si="12"/>
        <v>2.6343519494204428</v>
      </c>
      <c r="AN19" s="26">
        <f t="shared" si="13"/>
        <v>5.6902002107481566</v>
      </c>
      <c r="AO19" s="26">
        <f t="shared" si="14"/>
        <v>5.9009483667017912</v>
      </c>
      <c r="AP19" s="26">
        <f t="shared" si="15"/>
        <v>4.0042149631190727</v>
      </c>
      <c r="AQ19" s="26">
        <f t="shared" si="16"/>
        <v>11.169652265542677</v>
      </c>
      <c r="AR19" s="26">
        <f t="shared" si="17"/>
        <v>0</v>
      </c>
      <c r="AS19" s="26">
        <f t="shared" si="18"/>
        <v>3.0558482613277134</v>
      </c>
      <c r="AT19" s="26">
        <f t="shared" si="19"/>
        <v>21.917808219178085</v>
      </c>
      <c r="AU19" s="26">
        <f t="shared" si="20"/>
        <v>0</v>
      </c>
      <c r="AV19" s="26">
        <f t="shared" si="21"/>
        <v>0</v>
      </c>
      <c r="AW19" s="26">
        <f t="shared" si="22"/>
        <v>100.00000000000001</v>
      </c>
      <c r="AX19" s="26"/>
      <c r="AY19" s="26"/>
      <c r="AZ19">
        <v>44</v>
      </c>
      <c r="BA19">
        <v>118</v>
      </c>
      <c r="BB19">
        <v>0</v>
      </c>
      <c r="BC19">
        <v>0.8</v>
      </c>
      <c r="BD19">
        <f t="shared" si="29"/>
        <v>0.86754559760510241</v>
      </c>
      <c r="BE19">
        <f t="shared" si="30"/>
        <v>0.13245440239489747</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c r="A20" t="s">
        <v>732</v>
      </c>
      <c r="B20" t="s">
        <v>1787</v>
      </c>
      <c r="C20" t="s">
        <v>24</v>
      </c>
      <c r="D20" t="str">
        <f t="shared" si="9"/>
        <v>silicic</v>
      </c>
      <c r="E20" t="s">
        <v>110</v>
      </c>
      <c r="F20" t="s">
        <v>388</v>
      </c>
      <c r="G20" t="s">
        <v>342</v>
      </c>
      <c r="H20" t="s">
        <v>829</v>
      </c>
      <c r="I20">
        <v>0</v>
      </c>
      <c r="J20" t="s">
        <v>716</v>
      </c>
      <c r="K20">
        <v>0</v>
      </c>
      <c r="L20" t="s">
        <v>172</v>
      </c>
      <c r="M20">
        <v>0</v>
      </c>
      <c r="N20" t="s">
        <v>721</v>
      </c>
      <c r="O20">
        <v>3</v>
      </c>
      <c r="P20">
        <v>67.7</v>
      </c>
      <c r="Q20">
        <v>2</v>
      </c>
      <c r="R20">
        <v>0</v>
      </c>
      <c r="S20">
        <v>5.9</v>
      </c>
      <c r="T20">
        <v>3.3</v>
      </c>
      <c r="U20">
        <v>1.3</v>
      </c>
      <c r="V20">
        <v>0</v>
      </c>
      <c r="W20">
        <v>1.6</v>
      </c>
      <c r="X20">
        <v>1</v>
      </c>
      <c r="Y20">
        <v>12.3</v>
      </c>
      <c r="Z20">
        <v>0</v>
      </c>
      <c r="AA20">
        <v>0</v>
      </c>
      <c r="AB20">
        <v>0</v>
      </c>
      <c r="AC20">
        <v>0</v>
      </c>
      <c r="AD20">
        <v>0</v>
      </c>
      <c r="AE20">
        <v>0</v>
      </c>
      <c r="AF20">
        <v>0</v>
      </c>
      <c r="AG20">
        <v>0</v>
      </c>
      <c r="AH20">
        <v>0</v>
      </c>
      <c r="AI20">
        <v>0</v>
      </c>
      <c r="AJ20">
        <v>0</v>
      </c>
      <c r="AK20">
        <f t="shared" si="10"/>
        <v>95.1</v>
      </c>
      <c r="AL20" s="26">
        <f t="shared" si="11"/>
        <v>71.188222923238712</v>
      </c>
      <c r="AM20" s="26">
        <f t="shared" si="12"/>
        <v>2.1030494216614093</v>
      </c>
      <c r="AN20" s="26">
        <f t="shared" si="13"/>
        <v>6.2039957939011581</v>
      </c>
      <c r="AO20" s="26">
        <f t="shared" si="14"/>
        <v>3.4700315457413247</v>
      </c>
      <c r="AP20" s="26">
        <f t="shared" si="15"/>
        <v>1.366982124079916</v>
      </c>
      <c r="AQ20" s="26">
        <f t="shared" si="16"/>
        <v>1.6824395373291274</v>
      </c>
      <c r="AR20" s="26">
        <f t="shared" si="17"/>
        <v>0</v>
      </c>
      <c r="AS20" s="26">
        <f t="shared" si="18"/>
        <v>1.0515247108307046</v>
      </c>
      <c r="AT20" s="26">
        <f t="shared" si="19"/>
        <v>12.933753943217669</v>
      </c>
      <c r="AU20" s="26">
        <f t="shared" si="20"/>
        <v>0</v>
      </c>
      <c r="AV20" s="26">
        <f t="shared" si="21"/>
        <v>0</v>
      </c>
      <c r="AW20" s="26">
        <f t="shared" si="22"/>
        <v>100.00000000000001</v>
      </c>
      <c r="AX20" s="26"/>
      <c r="AY20" s="26"/>
      <c r="AZ20">
        <v>107</v>
      </c>
      <c r="BA20">
        <v>294</v>
      </c>
      <c r="BB20">
        <v>0</v>
      </c>
      <c r="BC20">
        <v>0.7</v>
      </c>
      <c r="BD20">
        <f t="shared" si="29"/>
        <v>0.87030809008897503</v>
      </c>
      <c r="BE20">
        <f t="shared" si="30"/>
        <v>0.12969190991102489</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c r="A21" t="s">
        <v>846</v>
      </c>
      <c r="B21" t="s">
        <v>1787</v>
      </c>
      <c r="C21" t="s">
        <v>24</v>
      </c>
      <c r="D21" t="str">
        <f t="shared" si="9"/>
        <v>silicic</v>
      </c>
      <c r="E21">
        <v>0</v>
      </c>
      <c r="F21" t="s">
        <v>388</v>
      </c>
      <c r="G21" t="s">
        <v>1789</v>
      </c>
      <c r="H21" t="s">
        <v>640</v>
      </c>
      <c r="I21">
        <v>0</v>
      </c>
      <c r="J21" t="s">
        <v>1148</v>
      </c>
      <c r="K21">
        <v>0</v>
      </c>
      <c r="L21">
        <v>0</v>
      </c>
      <c r="M21">
        <v>0</v>
      </c>
      <c r="N21" t="s">
        <v>513</v>
      </c>
      <c r="O21">
        <v>5</v>
      </c>
      <c r="P21">
        <v>44.29</v>
      </c>
      <c r="Q21">
        <v>3.21</v>
      </c>
      <c r="R21">
        <v>0</v>
      </c>
      <c r="S21">
        <v>4.79</v>
      </c>
      <c r="T21">
        <v>10.01</v>
      </c>
      <c r="U21">
        <v>6.62</v>
      </c>
      <c r="V21">
        <v>0</v>
      </c>
      <c r="W21">
        <v>5.86</v>
      </c>
      <c r="X21">
        <v>4.01</v>
      </c>
      <c r="Y21">
        <v>12.99</v>
      </c>
      <c r="Z21">
        <v>0</v>
      </c>
      <c r="AA21">
        <v>4.43</v>
      </c>
      <c r="AB21">
        <v>0</v>
      </c>
      <c r="AC21">
        <v>0</v>
      </c>
      <c r="AD21">
        <v>0</v>
      </c>
      <c r="AE21">
        <v>3.79</v>
      </c>
      <c r="AF21">
        <v>0</v>
      </c>
      <c r="AG21">
        <v>0</v>
      </c>
      <c r="AH21">
        <v>0</v>
      </c>
      <c r="AI21">
        <v>0</v>
      </c>
      <c r="AJ21">
        <v>5.95</v>
      </c>
      <c r="AK21">
        <f t="shared" si="10"/>
        <v>100.00000000000001</v>
      </c>
      <c r="AL21" s="26">
        <f t="shared" si="11"/>
        <v>44.672075409425602</v>
      </c>
      <c r="AM21" s="26">
        <f t="shared" si="12"/>
        <v>3.2376916248420899</v>
      </c>
      <c r="AN21" s="26">
        <f t="shared" si="13"/>
        <v>4.8313217704029947</v>
      </c>
      <c r="AO21" s="26">
        <f t="shared" si="14"/>
        <v>10.096353010800414</v>
      </c>
      <c r="AP21" s="26">
        <f t="shared" si="15"/>
        <v>6.6771085845653086</v>
      </c>
      <c r="AQ21" s="26">
        <f t="shared" si="16"/>
        <v>5.9105523120170247</v>
      </c>
      <c r="AR21" s="26">
        <f t="shared" si="17"/>
        <v>0</v>
      </c>
      <c r="AS21" s="26">
        <f t="shared" si="18"/>
        <v>4.0445929643665988</v>
      </c>
      <c r="AT21" s="26">
        <f t="shared" si="19"/>
        <v>13.102060500529209</v>
      </c>
      <c r="AU21" s="26">
        <f t="shared" si="20"/>
        <v>4.4682161676169656</v>
      </c>
      <c r="AV21" s="26">
        <f t="shared" si="21"/>
        <v>3.8226950959973589</v>
      </c>
      <c r="AW21" s="26">
        <f t="shared" si="22"/>
        <v>100.86266744056358</v>
      </c>
      <c r="AX21" s="26"/>
      <c r="AY21" s="26"/>
      <c r="AZ21">
        <v>0</v>
      </c>
      <c r="BA21">
        <v>0</v>
      </c>
      <c r="BB21">
        <v>0</v>
      </c>
      <c r="BC21">
        <v>0</v>
      </c>
      <c r="BF21">
        <v>-6.2</v>
      </c>
      <c r="BG21">
        <v>0</v>
      </c>
      <c r="BH21">
        <v>900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c r="A22" t="s">
        <v>732</v>
      </c>
      <c r="B22" t="s">
        <v>1787</v>
      </c>
      <c r="C22" t="s">
        <v>24</v>
      </c>
      <c r="D22" t="str">
        <f t="shared" si="9"/>
        <v>silicic</v>
      </c>
      <c r="E22" t="s">
        <v>71</v>
      </c>
      <c r="F22" t="s">
        <v>388</v>
      </c>
      <c r="G22" t="s">
        <v>1790</v>
      </c>
      <c r="H22" t="s">
        <v>829</v>
      </c>
      <c r="I22">
        <v>0</v>
      </c>
      <c r="J22" t="s">
        <v>716</v>
      </c>
      <c r="K22">
        <v>0</v>
      </c>
      <c r="L22" t="s">
        <v>172</v>
      </c>
      <c r="M22">
        <v>0</v>
      </c>
      <c r="N22" t="s">
        <v>722</v>
      </c>
      <c r="O22">
        <v>2</v>
      </c>
      <c r="P22">
        <v>40.4</v>
      </c>
      <c r="Q22">
        <v>2.9</v>
      </c>
      <c r="R22">
        <v>0</v>
      </c>
      <c r="S22">
        <v>4.5</v>
      </c>
      <c r="T22">
        <v>7.2</v>
      </c>
      <c r="U22">
        <v>4.5999999999999996</v>
      </c>
      <c r="V22">
        <v>0</v>
      </c>
      <c r="W22">
        <v>13.9</v>
      </c>
      <c r="X22">
        <v>3.8</v>
      </c>
      <c r="Y22">
        <v>17.7</v>
      </c>
      <c r="Z22">
        <v>0</v>
      </c>
      <c r="AA22">
        <v>0</v>
      </c>
      <c r="AB22">
        <v>0</v>
      </c>
      <c r="AC22">
        <v>0</v>
      </c>
      <c r="AD22">
        <v>0</v>
      </c>
      <c r="AE22">
        <v>0</v>
      </c>
      <c r="AF22">
        <v>0</v>
      </c>
      <c r="AG22">
        <v>0</v>
      </c>
      <c r="AH22">
        <v>0</v>
      </c>
      <c r="AI22">
        <v>0</v>
      </c>
      <c r="AJ22">
        <v>0</v>
      </c>
      <c r="AK22">
        <f t="shared" si="10"/>
        <v>95</v>
      </c>
      <c r="AL22" s="26">
        <f t="shared" si="11"/>
        <v>42.526315789473685</v>
      </c>
      <c r="AM22" s="26">
        <f t="shared" si="12"/>
        <v>3.0526315789473681</v>
      </c>
      <c r="AN22" s="26">
        <f t="shared" si="13"/>
        <v>4.7368421052631584</v>
      </c>
      <c r="AO22" s="26">
        <f t="shared" si="14"/>
        <v>7.5789473684210531</v>
      </c>
      <c r="AP22" s="26">
        <f t="shared" si="15"/>
        <v>4.8421052631578938</v>
      </c>
      <c r="AQ22" s="26">
        <f t="shared" si="16"/>
        <v>14.631578947368421</v>
      </c>
      <c r="AR22" s="26">
        <f t="shared" si="17"/>
        <v>0</v>
      </c>
      <c r="AS22" s="26">
        <f t="shared" si="18"/>
        <v>4</v>
      </c>
      <c r="AT22" s="26">
        <f t="shared" si="19"/>
        <v>18.631578947368421</v>
      </c>
      <c r="AU22" s="26">
        <f t="shared" si="20"/>
        <v>0</v>
      </c>
      <c r="AV22" s="26">
        <f t="shared" si="21"/>
        <v>0</v>
      </c>
      <c r="AW22" s="26">
        <f t="shared" si="22"/>
        <v>100.00000000000001</v>
      </c>
      <c r="AX22" s="26"/>
      <c r="AY22" s="26"/>
      <c r="AZ22">
        <v>89</v>
      </c>
      <c r="BA22">
        <v>165</v>
      </c>
      <c r="BB22">
        <v>0</v>
      </c>
      <c r="BC22">
        <v>0.6</v>
      </c>
      <c r="BD22">
        <f t="shared" si="29"/>
        <v>0.81909732522844358</v>
      </c>
      <c r="BE22">
        <f t="shared" si="30"/>
        <v>0.18090267477155647</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c r="A23" t="s">
        <v>839</v>
      </c>
      <c r="B23" t="s">
        <v>1787</v>
      </c>
      <c r="C23" t="s">
        <v>24</v>
      </c>
      <c r="D23" t="str">
        <f t="shared" si="9"/>
        <v>silicic</v>
      </c>
      <c r="E23">
        <v>0</v>
      </c>
      <c r="F23" t="s">
        <v>388</v>
      </c>
      <c r="G23" t="s">
        <v>387</v>
      </c>
      <c r="H23" t="s">
        <v>640</v>
      </c>
      <c r="I23">
        <v>0</v>
      </c>
      <c r="J23" t="s">
        <v>735</v>
      </c>
      <c r="K23">
        <v>0</v>
      </c>
      <c r="L23">
        <v>0</v>
      </c>
      <c r="M23">
        <v>0</v>
      </c>
      <c r="N23" t="s">
        <v>389</v>
      </c>
      <c r="O23">
        <v>7</v>
      </c>
      <c r="P23">
        <v>49.38</v>
      </c>
      <c r="Q23">
        <v>1.92</v>
      </c>
      <c r="R23">
        <v>0</v>
      </c>
      <c r="S23">
        <v>8.9600000000000009</v>
      </c>
      <c r="T23">
        <v>2.42</v>
      </c>
      <c r="U23">
        <v>1.77</v>
      </c>
      <c r="V23">
        <v>0</v>
      </c>
      <c r="W23">
        <v>8.42</v>
      </c>
      <c r="X23">
        <v>1.93</v>
      </c>
      <c r="Y23">
        <v>14.45</v>
      </c>
      <c r="Z23">
        <v>0</v>
      </c>
      <c r="AA23">
        <v>4.08</v>
      </c>
      <c r="AB23">
        <v>1.19</v>
      </c>
      <c r="AC23">
        <v>2.31</v>
      </c>
      <c r="AD23">
        <v>0</v>
      </c>
      <c r="AE23">
        <v>2.86</v>
      </c>
      <c r="AF23">
        <v>0</v>
      </c>
      <c r="AG23">
        <v>0.3</v>
      </c>
      <c r="AH23">
        <v>0</v>
      </c>
      <c r="AI23">
        <v>0</v>
      </c>
      <c r="AJ23">
        <v>5.42</v>
      </c>
      <c r="AK23">
        <f t="shared" si="10"/>
        <v>98.500000000000014</v>
      </c>
      <c r="AL23" s="26">
        <f t="shared" si="11"/>
        <v>50.462633451957281</v>
      </c>
      <c r="AM23" s="26">
        <f t="shared" si="12"/>
        <v>1.9620951038428105</v>
      </c>
      <c r="AN23" s="26">
        <f t="shared" si="13"/>
        <v>9.156443817933118</v>
      </c>
      <c r="AO23" s="26">
        <f t="shared" si="14"/>
        <v>2.4730573704685428</v>
      </c>
      <c r="AP23" s="26">
        <f t="shared" si="15"/>
        <v>1.8088064238550912</v>
      </c>
      <c r="AQ23" s="26">
        <f t="shared" si="16"/>
        <v>8.6046045699773259</v>
      </c>
      <c r="AR23" s="26">
        <f t="shared" si="17"/>
        <v>2.3606456718108815</v>
      </c>
      <c r="AS23" s="26">
        <f t="shared" si="18"/>
        <v>1.9723143491753252</v>
      </c>
      <c r="AT23" s="26">
        <f t="shared" si="19"/>
        <v>14.766809505483652</v>
      </c>
      <c r="AU23" s="26">
        <f t="shared" si="20"/>
        <v>4.1694520956659726</v>
      </c>
      <c r="AV23" s="26">
        <f t="shared" si="21"/>
        <v>2.9227041650991867</v>
      </c>
      <c r="AW23" s="26">
        <f t="shared" si="22"/>
        <v>100.65956652526918</v>
      </c>
      <c r="AX23" s="26"/>
      <c r="AY23" s="26"/>
      <c r="AZ23">
        <v>0</v>
      </c>
      <c r="BA23">
        <v>0</v>
      </c>
      <c r="BB23">
        <v>0</v>
      </c>
      <c r="BC23">
        <v>0</v>
      </c>
      <c r="BF23" t="s">
        <v>1122</v>
      </c>
      <c r="BG23">
        <v>0</v>
      </c>
      <c r="BH23" t="s">
        <v>1124</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c r="A24" t="s">
        <v>839</v>
      </c>
      <c r="B24" t="s">
        <v>1787</v>
      </c>
      <c r="C24" t="s">
        <v>24</v>
      </c>
      <c r="D24" t="str">
        <f t="shared" si="9"/>
        <v>silicic</v>
      </c>
      <c r="E24">
        <v>0</v>
      </c>
      <c r="F24" t="s">
        <v>388</v>
      </c>
      <c r="G24" t="s">
        <v>387</v>
      </c>
      <c r="H24" t="s">
        <v>640</v>
      </c>
      <c r="I24">
        <v>0</v>
      </c>
      <c r="J24" t="s">
        <v>735</v>
      </c>
      <c r="K24">
        <v>0</v>
      </c>
      <c r="L24">
        <v>0</v>
      </c>
      <c r="M24">
        <v>0</v>
      </c>
      <c r="N24">
        <v>10274</v>
      </c>
      <c r="O24">
        <v>6</v>
      </c>
      <c r="P24">
        <v>57.77</v>
      </c>
      <c r="Q24">
        <v>2.63</v>
      </c>
      <c r="R24">
        <v>0</v>
      </c>
      <c r="S24">
        <v>7.42</v>
      </c>
      <c r="T24">
        <v>6.02</v>
      </c>
      <c r="U24">
        <v>2.13</v>
      </c>
      <c r="V24">
        <v>0</v>
      </c>
      <c r="W24">
        <v>4.04</v>
      </c>
      <c r="X24">
        <v>1.53</v>
      </c>
      <c r="Y24">
        <v>14.08</v>
      </c>
      <c r="Z24">
        <v>0</v>
      </c>
      <c r="AA24">
        <v>1.84</v>
      </c>
      <c r="AB24">
        <v>0.35</v>
      </c>
      <c r="AC24">
        <v>0.88</v>
      </c>
      <c r="AD24">
        <v>0</v>
      </c>
      <c r="AE24">
        <v>0.95</v>
      </c>
      <c r="AF24">
        <v>0</v>
      </c>
      <c r="AG24">
        <v>0.36</v>
      </c>
      <c r="AH24">
        <v>0</v>
      </c>
      <c r="AI24">
        <v>0</v>
      </c>
      <c r="AJ24">
        <v>5.59</v>
      </c>
      <c r="AK24">
        <f t="shared" si="10"/>
        <v>99.29</v>
      </c>
      <c r="AL24" s="26">
        <f t="shared" si="11"/>
        <v>58.309000505519215</v>
      </c>
      <c r="AM24" s="26">
        <f t="shared" si="12"/>
        <v>2.6545381916135624</v>
      </c>
      <c r="AN24" s="26">
        <f t="shared" si="13"/>
        <v>7.489229422727238</v>
      </c>
      <c r="AO24" s="26">
        <f t="shared" si="14"/>
        <v>6.0761672674956833</v>
      </c>
      <c r="AP24" s="26">
        <f t="shared" si="15"/>
        <v>2.149873136173722</v>
      </c>
      <c r="AQ24" s="26">
        <f t="shared" si="16"/>
        <v>4.0776936479539136</v>
      </c>
      <c r="AR24" s="26">
        <f t="shared" si="17"/>
        <v>0.88821049757411996</v>
      </c>
      <c r="AS24" s="26">
        <f t="shared" si="18"/>
        <v>1.5442750696459129</v>
      </c>
      <c r="AT24" s="26">
        <f t="shared" si="19"/>
        <v>14.211367961185919</v>
      </c>
      <c r="AU24" s="26">
        <f t="shared" si="20"/>
        <v>1.8571674040186141</v>
      </c>
      <c r="AV24" s="26">
        <f t="shared" si="21"/>
        <v>0.95886360533569759</v>
      </c>
      <c r="AW24" s="26">
        <f t="shared" si="22"/>
        <v>100.21638670924358</v>
      </c>
      <c r="AX24" s="26"/>
      <c r="AY24" s="26"/>
      <c r="AZ24">
        <v>0</v>
      </c>
      <c r="BA24">
        <v>0</v>
      </c>
      <c r="BB24">
        <v>0</v>
      </c>
      <c r="BC24">
        <v>0</v>
      </c>
      <c r="BF24" t="s">
        <v>1130</v>
      </c>
      <c r="BG24">
        <v>0</v>
      </c>
      <c r="BH24" t="s">
        <v>1131</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c r="A25" t="s">
        <v>839</v>
      </c>
      <c r="B25" t="s">
        <v>1787</v>
      </c>
      <c r="C25" t="s">
        <v>24</v>
      </c>
      <c r="D25" t="str">
        <f t="shared" si="9"/>
        <v>silicic</v>
      </c>
      <c r="E25">
        <v>0</v>
      </c>
      <c r="F25" t="s">
        <v>388</v>
      </c>
      <c r="G25" t="s">
        <v>387</v>
      </c>
      <c r="H25" t="s">
        <v>640</v>
      </c>
      <c r="I25">
        <v>0</v>
      </c>
      <c r="J25" t="s">
        <v>735</v>
      </c>
      <c r="K25">
        <v>0</v>
      </c>
      <c r="L25">
        <v>0</v>
      </c>
      <c r="M25">
        <v>0</v>
      </c>
      <c r="N25" t="s">
        <v>391</v>
      </c>
      <c r="O25">
        <v>5</v>
      </c>
      <c r="P25">
        <v>57.13</v>
      </c>
      <c r="Q25">
        <v>2.58</v>
      </c>
      <c r="R25">
        <v>0</v>
      </c>
      <c r="S25">
        <v>6.85</v>
      </c>
      <c r="T25">
        <v>4.0199999999999996</v>
      </c>
      <c r="U25">
        <v>1.61</v>
      </c>
      <c r="V25">
        <v>0</v>
      </c>
      <c r="W25">
        <v>3.56</v>
      </c>
      <c r="X25">
        <v>0.92</v>
      </c>
      <c r="Y25">
        <v>17.14</v>
      </c>
      <c r="Z25">
        <v>0</v>
      </c>
      <c r="AA25">
        <v>2.44</v>
      </c>
      <c r="AB25">
        <v>1.02</v>
      </c>
      <c r="AC25">
        <v>0.93</v>
      </c>
      <c r="AD25">
        <v>0</v>
      </c>
      <c r="AE25">
        <v>1.21</v>
      </c>
      <c r="AF25">
        <v>0</v>
      </c>
      <c r="AG25">
        <v>0.59</v>
      </c>
      <c r="AH25">
        <v>0</v>
      </c>
      <c r="AI25">
        <v>0</v>
      </c>
      <c r="AJ25">
        <v>5.22</v>
      </c>
      <c r="AK25">
        <f t="shared" si="10"/>
        <v>98.39</v>
      </c>
      <c r="AL25" s="26">
        <f t="shared" si="11"/>
        <v>58.226439163078055</v>
      </c>
      <c r="AM25" s="26">
        <f t="shared" si="12"/>
        <v>2.6295153691710378</v>
      </c>
      <c r="AN25" s="26">
        <f t="shared" si="13"/>
        <v>6.9814652243494608</v>
      </c>
      <c r="AO25" s="26">
        <f t="shared" si="14"/>
        <v>4.0971518542897556</v>
      </c>
      <c r="AP25" s="26">
        <f t="shared" si="15"/>
        <v>1.6408991257230121</v>
      </c>
      <c r="AQ25" s="26">
        <f t="shared" si="16"/>
        <v>3.6283235326546102</v>
      </c>
      <c r="AR25" s="26">
        <f t="shared" si="17"/>
        <v>0.94784856330583922</v>
      </c>
      <c r="AS25" s="26">
        <f t="shared" si="18"/>
        <v>0.93765664327029252</v>
      </c>
      <c r="AT25" s="26">
        <f t="shared" si="19"/>
        <v>17.468950940926973</v>
      </c>
      <c r="AU25" s="26">
        <f t="shared" si="20"/>
        <v>2.4868284886733845</v>
      </c>
      <c r="AV25" s="26">
        <f t="shared" si="21"/>
        <v>1.2332223243011455</v>
      </c>
      <c r="AW25" s="26">
        <f t="shared" si="22"/>
        <v>100.27830122974353</v>
      </c>
      <c r="AX25" s="26"/>
      <c r="AY25" s="26"/>
      <c r="AZ25">
        <v>0</v>
      </c>
      <c r="BA25">
        <v>0</v>
      </c>
      <c r="BB25">
        <v>0</v>
      </c>
      <c r="BC25">
        <v>0</v>
      </c>
      <c r="BF25" t="s">
        <v>1123</v>
      </c>
      <c r="BG25">
        <v>0</v>
      </c>
      <c r="BH25" t="s">
        <v>1126</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c r="A26" t="s">
        <v>845</v>
      </c>
      <c r="B26" t="s">
        <v>1787</v>
      </c>
      <c r="C26" t="s">
        <v>24</v>
      </c>
      <c r="D26" t="str">
        <f t="shared" si="9"/>
        <v>silicic</v>
      </c>
      <c r="E26" t="s">
        <v>110</v>
      </c>
      <c r="F26" t="s">
        <v>1394</v>
      </c>
      <c r="G26" t="s">
        <v>142</v>
      </c>
      <c r="H26" t="s">
        <v>595</v>
      </c>
      <c r="I26">
        <v>90</v>
      </c>
      <c r="J26" t="s">
        <v>1148</v>
      </c>
      <c r="K26">
        <v>0</v>
      </c>
      <c r="L26">
        <v>0</v>
      </c>
      <c r="M26">
        <v>0</v>
      </c>
      <c r="N26" t="s">
        <v>505</v>
      </c>
      <c r="O26">
        <v>9</v>
      </c>
      <c r="P26">
        <v>52.8</v>
      </c>
      <c r="Q26">
        <v>0.1</v>
      </c>
      <c r="R26">
        <v>0</v>
      </c>
      <c r="S26">
        <v>7.6</v>
      </c>
      <c r="T26">
        <v>5.4</v>
      </c>
      <c r="U26">
        <v>6.2</v>
      </c>
      <c r="V26">
        <v>0</v>
      </c>
      <c r="W26">
        <v>5.6</v>
      </c>
      <c r="X26">
        <v>4.5999999999999996</v>
      </c>
      <c r="Y26">
        <v>15.5</v>
      </c>
      <c r="Z26">
        <v>0</v>
      </c>
      <c r="AA26">
        <v>1.9</v>
      </c>
      <c r="AB26">
        <v>0</v>
      </c>
      <c r="AC26">
        <v>0</v>
      </c>
      <c r="AD26">
        <v>0</v>
      </c>
      <c r="AE26">
        <v>0.3</v>
      </c>
      <c r="AF26">
        <v>0</v>
      </c>
      <c r="AG26">
        <v>0</v>
      </c>
      <c r="AH26">
        <v>0</v>
      </c>
      <c r="AI26">
        <v>0</v>
      </c>
      <c r="AJ26">
        <v>8.6999999999999993</v>
      </c>
      <c r="AK26">
        <f t="shared" si="10"/>
        <v>100</v>
      </c>
      <c r="AL26" s="26">
        <f t="shared" si="11"/>
        <v>52.835770338169709</v>
      </c>
      <c r="AM26" s="26">
        <f t="shared" si="12"/>
        <v>0.10006774685259415</v>
      </c>
      <c r="AN26" s="26">
        <f t="shared" si="13"/>
        <v>7.6051487607971548</v>
      </c>
      <c r="AO26" s="26">
        <f t="shared" si="14"/>
        <v>5.4036583300400842</v>
      </c>
      <c r="AP26" s="26">
        <f t="shared" si="15"/>
        <v>6.2042003048608372</v>
      </c>
      <c r="AQ26" s="26">
        <f t="shared" si="16"/>
        <v>5.6037938237452716</v>
      </c>
      <c r="AR26" s="26">
        <f t="shared" si="17"/>
        <v>0</v>
      </c>
      <c r="AS26" s="26">
        <f t="shared" si="18"/>
        <v>4.6031163552193304</v>
      </c>
      <c r="AT26" s="26">
        <f t="shared" si="19"/>
        <v>15.510500762152093</v>
      </c>
      <c r="AU26" s="26">
        <f t="shared" si="20"/>
        <v>1.9012871901992887</v>
      </c>
      <c r="AV26" s="26">
        <f t="shared" si="21"/>
        <v>0.30020324055778241</v>
      </c>
      <c r="AW26" s="26">
        <f t="shared" si="22"/>
        <v>100.06774685259414</v>
      </c>
      <c r="AX26" s="26"/>
      <c r="AY26" s="26"/>
      <c r="AZ26">
        <v>4</v>
      </c>
      <c r="BA26">
        <v>28</v>
      </c>
      <c r="BB26">
        <v>0</v>
      </c>
      <c r="BC26">
        <v>0.87</v>
      </c>
      <c r="BD26">
        <f t="shared" si="29"/>
        <v>0.94473918243429722</v>
      </c>
      <c r="BE26">
        <f t="shared" si="30"/>
        <v>5.5260817565702718E-2</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c r="A27" t="s">
        <v>401</v>
      </c>
      <c r="B27" t="s">
        <v>1787</v>
      </c>
      <c r="C27" t="s">
        <v>24</v>
      </c>
      <c r="D27" t="str">
        <f t="shared" si="9"/>
        <v>silicic</v>
      </c>
      <c r="E27">
        <v>0</v>
      </c>
      <c r="F27" t="s">
        <v>508</v>
      </c>
      <c r="G27" t="s">
        <v>399</v>
      </c>
      <c r="H27" t="s">
        <v>640</v>
      </c>
      <c r="I27">
        <v>2050</v>
      </c>
      <c r="J27" t="s">
        <v>1136</v>
      </c>
      <c r="K27">
        <v>0</v>
      </c>
      <c r="L27" t="s">
        <v>400</v>
      </c>
      <c r="M27" t="s">
        <v>1135</v>
      </c>
      <c r="N27" t="s">
        <v>165</v>
      </c>
      <c r="O27">
        <v>1</v>
      </c>
      <c r="P27">
        <v>54.66</v>
      </c>
      <c r="Q27">
        <v>0</v>
      </c>
      <c r="R27">
        <v>0</v>
      </c>
      <c r="S27">
        <v>23.46</v>
      </c>
      <c r="T27">
        <v>4.32</v>
      </c>
      <c r="U27">
        <v>4.22</v>
      </c>
      <c r="V27">
        <v>0</v>
      </c>
      <c r="W27">
        <v>0</v>
      </c>
      <c r="X27">
        <v>3.89</v>
      </c>
      <c r="Y27">
        <v>9.44</v>
      </c>
      <c r="Z27">
        <v>0</v>
      </c>
      <c r="AA27">
        <v>0</v>
      </c>
      <c r="AB27">
        <v>0</v>
      </c>
      <c r="AC27">
        <v>0</v>
      </c>
      <c r="AD27">
        <v>0</v>
      </c>
      <c r="AE27">
        <v>0</v>
      </c>
      <c r="AF27">
        <v>0</v>
      </c>
      <c r="AG27">
        <v>0</v>
      </c>
      <c r="AH27">
        <v>0</v>
      </c>
      <c r="AI27">
        <v>0</v>
      </c>
      <c r="AJ27">
        <v>89.28</v>
      </c>
      <c r="AK27">
        <f t="shared" si="10"/>
        <v>99.99</v>
      </c>
      <c r="AL27" s="26">
        <f t="shared" si="11"/>
        <v>54.665466546654663</v>
      </c>
      <c r="AM27" s="26">
        <f t="shared" si="12"/>
        <v>0</v>
      </c>
      <c r="AN27" s="26">
        <f t="shared" si="13"/>
        <v>23.462346234623467</v>
      </c>
      <c r="AO27" s="26">
        <f t="shared" si="14"/>
        <v>4.3204320432043213</v>
      </c>
      <c r="AP27" s="26">
        <f t="shared" si="15"/>
        <v>4.2204220422042207</v>
      </c>
      <c r="AQ27" s="26">
        <f t="shared" si="16"/>
        <v>0</v>
      </c>
      <c r="AR27" s="26">
        <f t="shared" si="17"/>
        <v>0</v>
      </c>
      <c r="AS27" s="26">
        <f t="shared" si="18"/>
        <v>3.8903890389038907</v>
      </c>
      <c r="AT27" s="26">
        <f t="shared" si="19"/>
        <v>9.4409440944094403</v>
      </c>
      <c r="AU27" s="26">
        <f t="shared" si="20"/>
        <v>0</v>
      </c>
      <c r="AV27" s="26">
        <f t="shared" si="21"/>
        <v>0</v>
      </c>
      <c r="AW27" s="26">
        <f t="shared" si="22"/>
        <v>100</v>
      </c>
      <c r="AX27" s="26"/>
      <c r="AY27" s="26"/>
      <c r="AZ27">
        <v>0</v>
      </c>
      <c r="BA27">
        <v>0</v>
      </c>
      <c r="BB27">
        <v>0</v>
      </c>
      <c r="BC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c r="A28" t="s">
        <v>401</v>
      </c>
      <c r="B28" t="s">
        <v>1787</v>
      </c>
      <c r="C28" t="s">
        <v>24</v>
      </c>
      <c r="D28" t="str">
        <f t="shared" si="9"/>
        <v>silicic</v>
      </c>
      <c r="E28">
        <v>0</v>
      </c>
      <c r="F28" t="s">
        <v>508</v>
      </c>
      <c r="G28" t="s">
        <v>399</v>
      </c>
      <c r="H28" t="s">
        <v>640</v>
      </c>
      <c r="I28">
        <v>2050</v>
      </c>
      <c r="J28" t="s">
        <v>1136</v>
      </c>
      <c r="K28">
        <v>0</v>
      </c>
      <c r="L28" t="s">
        <v>400</v>
      </c>
      <c r="M28" t="s">
        <v>1135</v>
      </c>
      <c r="N28" t="s">
        <v>166</v>
      </c>
      <c r="O28">
        <v>1</v>
      </c>
      <c r="P28">
        <v>52.41</v>
      </c>
      <c r="Q28">
        <v>0</v>
      </c>
      <c r="R28">
        <v>0</v>
      </c>
      <c r="S28">
        <v>23.77</v>
      </c>
      <c r="T28">
        <v>5.61</v>
      </c>
      <c r="U28">
        <v>3.24</v>
      </c>
      <c r="V28">
        <v>0</v>
      </c>
      <c r="W28">
        <v>0</v>
      </c>
      <c r="X28">
        <v>5.64</v>
      </c>
      <c r="Y28">
        <v>9.33</v>
      </c>
      <c r="Z28">
        <v>0</v>
      </c>
      <c r="AA28">
        <v>0</v>
      </c>
      <c r="AB28">
        <v>0</v>
      </c>
      <c r="AC28">
        <v>0</v>
      </c>
      <c r="AD28">
        <v>0</v>
      </c>
      <c r="AE28">
        <v>0</v>
      </c>
      <c r="AF28">
        <v>0</v>
      </c>
      <c r="AG28">
        <v>0</v>
      </c>
      <c r="AH28">
        <v>0</v>
      </c>
      <c r="AI28">
        <v>0</v>
      </c>
      <c r="AJ28">
        <v>73.28</v>
      </c>
      <c r="AK28">
        <f t="shared" si="10"/>
        <v>99.999999999999986</v>
      </c>
      <c r="AL28" s="26">
        <f t="shared" si="11"/>
        <v>52.410000000000004</v>
      </c>
      <c r="AM28" s="26">
        <f t="shared" si="12"/>
        <v>0</v>
      </c>
      <c r="AN28" s="26">
        <f t="shared" si="13"/>
        <v>23.770000000000003</v>
      </c>
      <c r="AO28" s="26">
        <f t="shared" si="14"/>
        <v>5.6100000000000012</v>
      </c>
      <c r="AP28" s="26">
        <f t="shared" si="15"/>
        <v>3.2400000000000007</v>
      </c>
      <c r="AQ28" s="26">
        <f t="shared" si="16"/>
        <v>0</v>
      </c>
      <c r="AR28" s="26">
        <f t="shared" si="17"/>
        <v>0</v>
      </c>
      <c r="AS28" s="26">
        <f t="shared" si="18"/>
        <v>5.6400000000000006</v>
      </c>
      <c r="AT28" s="26">
        <f t="shared" si="19"/>
        <v>9.33</v>
      </c>
      <c r="AU28" s="26">
        <f t="shared" si="20"/>
        <v>0</v>
      </c>
      <c r="AV28" s="26">
        <f t="shared" si="21"/>
        <v>0</v>
      </c>
      <c r="AW28" s="26">
        <f t="shared" si="22"/>
        <v>100</v>
      </c>
      <c r="AX28" s="26"/>
      <c r="AY28" s="26"/>
      <c r="AZ28">
        <v>0</v>
      </c>
      <c r="BA28">
        <v>0</v>
      </c>
      <c r="BB28">
        <v>0</v>
      </c>
      <c r="BC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c r="A29" t="s">
        <v>401</v>
      </c>
      <c r="B29" t="s">
        <v>1787</v>
      </c>
      <c r="C29" t="s">
        <v>24</v>
      </c>
      <c r="D29" t="str">
        <f t="shared" si="9"/>
        <v>silicic</v>
      </c>
      <c r="E29">
        <v>0</v>
      </c>
      <c r="F29" t="s">
        <v>508</v>
      </c>
      <c r="G29" t="s">
        <v>399</v>
      </c>
      <c r="H29" t="s">
        <v>640</v>
      </c>
      <c r="I29">
        <v>2050</v>
      </c>
      <c r="J29" t="s">
        <v>1136</v>
      </c>
      <c r="K29">
        <v>0</v>
      </c>
      <c r="L29" t="s">
        <v>400</v>
      </c>
      <c r="M29" t="s">
        <v>1135</v>
      </c>
      <c r="N29" t="s">
        <v>167</v>
      </c>
      <c r="O29">
        <v>1</v>
      </c>
      <c r="P29">
        <v>53.99</v>
      </c>
      <c r="Q29">
        <v>0.17</v>
      </c>
      <c r="R29">
        <v>0</v>
      </c>
      <c r="S29">
        <v>23.49</v>
      </c>
      <c r="T29">
        <v>5.27</v>
      </c>
      <c r="U29">
        <v>3.03</v>
      </c>
      <c r="V29">
        <v>0</v>
      </c>
      <c r="W29">
        <v>0</v>
      </c>
      <c r="X29">
        <v>1.32</v>
      </c>
      <c r="Y29">
        <v>12.6</v>
      </c>
      <c r="Z29">
        <v>0</v>
      </c>
      <c r="AA29">
        <v>0</v>
      </c>
      <c r="AB29">
        <v>0</v>
      </c>
      <c r="AC29">
        <v>0</v>
      </c>
      <c r="AD29">
        <v>0</v>
      </c>
      <c r="AE29">
        <v>0.13</v>
      </c>
      <c r="AF29">
        <v>0</v>
      </c>
      <c r="AG29">
        <v>0</v>
      </c>
      <c r="AH29">
        <v>0</v>
      </c>
      <c r="AI29">
        <v>0</v>
      </c>
      <c r="AJ29">
        <v>69.95</v>
      </c>
      <c r="AK29">
        <f t="shared" si="10"/>
        <v>99.999999999999986</v>
      </c>
      <c r="AL29" s="26">
        <f t="shared" si="11"/>
        <v>54.005843745414751</v>
      </c>
      <c r="AM29" s="26">
        <f t="shared" si="12"/>
        <v>0.17004988769624943</v>
      </c>
      <c r="AN29" s="26">
        <f t="shared" si="13"/>
        <v>23.49689330579352</v>
      </c>
      <c r="AO29" s="26">
        <f t="shared" si="14"/>
        <v>5.2715465185837314</v>
      </c>
      <c r="AP29" s="26">
        <f t="shared" si="15"/>
        <v>3.0308891748213869</v>
      </c>
      <c r="AQ29" s="26">
        <f t="shared" si="16"/>
        <v>0</v>
      </c>
      <c r="AR29" s="26">
        <f t="shared" si="17"/>
        <v>0</v>
      </c>
      <c r="AS29" s="26">
        <f t="shared" si="18"/>
        <v>1.3203873632885248</v>
      </c>
      <c r="AT29" s="26">
        <f t="shared" si="19"/>
        <v>12.603697558663193</v>
      </c>
      <c r="AU29" s="26">
        <f t="shared" si="20"/>
        <v>0</v>
      </c>
      <c r="AV29" s="26">
        <f t="shared" si="21"/>
        <v>0.13003814941477898</v>
      </c>
      <c r="AW29" s="26">
        <f t="shared" si="22"/>
        <v>100.02934570367613</v>
      </c>
      <c r="AX29" s="26"/>
      <c r="AY29" s="26"/>
      <c r="AZ29">
        <v>0</v>
      </c>
      <c r="BA29">
        <v>0</v>
      </c>
      <c r="BB29">
        <v>0</v>
      </c>
      <c r="BC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c r="A30" t="s">
        <v>401</v>
      </c>
      <c r="B30" t="s">
        <v>1787</v>
      </c>
      <c r="C30" t="s">
        <v>24</v>
      </c>
      <c r="D30" t="str">
        <f t="shared" si="9"/>
        <v>silicic</v>
      </c>
      <c r="E30">
        <v>0</v>
      </c>
      <c r="F30" t="s">
        <v>508</v>
      </c>
      <c r="G30" t="s">
        <v>399</v>
      </c>
      <c r="H30" t="s">
        <v>640</v>
      </c>
      <c r="I30">
        <v>2050</v>
      </c>
      <c r="J30" t="s">
        <v>1136</v>
      </c>
      <c r="K30">
        <v>0</v>
      </c>
      <c r="L30" t="s">
        <v>400</v>
      </c>
      <c r="M30" t="s">
        <v>1135</v>
      </c>
      <c r="N30" t="s">
        <v>168</v>
      </c>
      <c r="O30">
        <v>1</v>
      </c>
      <c r="P30">
        <v>54.13</v>
      </c>
      <c r="Q30">
        <v>0</v>
      </c>
      <c r="R30">
        <v>0</v>
      </c>
      <c r="S30">
        <v>22.74</v>
      </c>
      <c r="T30">
        <v>4.92</v>
      </c>
      <c r="U30">
        <v>3.93</v>
      </c>
      <c r="V30">
        <v>0</v>
      </c>
      <c r="W30">
        <v>0.3</v>
      </c>
      <c r="X30">
        <v>3.01</v>
      </c>
      <c r="Y30">
        <v>10.65</v>
      </c>
      <c r="Z30">
        <v>0</v>
      </c>
      <c r="AA30">
        <v>0</v>
      </c>
      <c r="AB30">
        <v>0</v>
      </c>
      <c r="AC30">
        <v>0</v>
      </c>
      <c r="AD30">
        <v>0</v>
      </c>
      <c r="AE30">
        <v>0.32</v>
      </c>
      <c r="AF30">
        <v>0</v>
      </c>
      <c r="AG30">
        <v>0</v>
      </c>
      <c r="AH30">
        <v>0</v>
      </c>
      <c r="AI30">
        <v>0</v>
      </c>
      <c r="AJ30">
        <v>38.04</v>
      </c>
      <c r="AK30">
        <f t="shared" si="10"/>
        <v>100.00000000000001</v>
      </c>
      <c r="AL30" s="26">
        <f t="shared" si="11"/>
        <v>54.169117896139383</v>
      </c>
      <c r="AM30" s="26">
        <f t="shared" si="12"/>
        <v>0</v>
      </c>
      <c r="AN30" s="26">
        <f t="shared" si="13"/>
        <v>22.756433418773497</v>
      </c>
      <c r="AO30" s="26">
        <f t="shared" si="14"/>
        <v>4.9235555154074584</v>
      </c>
      <c r="AP30" s="26">
        <f t="shared" si="15"/>
        <v>3.9328400763315683</v>
      </c>
      <c r="AQ30" s="26">
        <f t="shared" si="16"/>
        <v>0.30021679971996695</v>
      </c>
      <c r="AR30" s="26">
        <f t="shared" si="17"/>
        <v>0</v>
      </c>
      <c r="AS30" s="26">
        <f t="shared" si="18"/>
        <v>3.0121752238570019</v>
      </c>
      <c r="AT30" s="26">
        <f t="shared" si="19"/>
        <v>10.657696390058828</v>
      </c>
      <c r="AU30" s="26">
        <f t="shared" si="20"/>
        <v>0</v>
      </c>
      <c r="AV30" s="26">
        <f t="shared" si="21"/>
        <v>0.32023125303463146</v>
      </c>
      <c r="AW30" s="26">
        <f t="shared" si="22"/>
        <v>100.07226657332234</v>
      </c>
      <c r="AX30" s="26"/>
      <c r="AY30" s="26"/>
      <c r="AZ30">
        <v>0</v>
      </c>
      <c r="BA30">
        <v>0</v>
      </c>
      <c r="BB30">
        <v>0</v>
      </c>
      <c r="BC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c r="A31" t="s">
        <v>401</v>
      </c>
      <c r="B31" t="s">
        <v>1787</v>
      </c>
      <c r="C31" t="s">
        <v>24</v>
      </c>
      <c r="D31" t="str">
        <f t="shared" si="9"/>
        <v>silicic</v>
      </c>
      <c r="E31">
        <v>0</v>
      </c>
      <c r="F31" t="s">
        <v>508</v>
      </c>
      <c r="G31" t="s">
        <v>399</v>
      </c>
      <c r="H31" t="s">
        <v>640</v>
      </c>
      <c r="I31">
        <v>2050</v>
      </c>
      <c r="J31" t="s">
        <v>1136</v>
      </c>
      <c r="K31">
        <v>0</v>
      </c>
      <c r="L31" t="s">
        <v>400</v>
      </c>
      <c r="M31" t="s">
        <v>1135</v>
      </c>
      <c r="N31" t="s">
        <v>395</v>
      </c>
      <c r="O31">
        <v>1</v>
      </c>
      <c r="P31">
        <v>53.28</v>
      </c>
      <c r="Q31">
        <v>0</v>
      </c>
      <c r="R31">
        <v>0</v>
      </c>
      <c r="S31">
        <v>23.96</v>
      </c>
      <c r="T31">
        <v>4.32</v>
      </c>
      <c r="U31">
        <v>3.9</v>
      </c>
      <c r="V31">
        <v>0</v>
      </c>
      <c r="W31">
        <v>0</v>
      </c>
      <c r="X31">
        <v>4.72</v>
      </c>
      <c r="Y31">
        <v>9.82</v>
      </c>
      <c r="Z31">
        <v>0</v>
      </c>
      <c r="AA31">
        <v>0</v>
      </c>
      <c r="AB31">
        <v>0</v>
      </c>
      <c r="AC31">
        <v>0</v>
      </c>
      <c r="AD31">
        <v>0</v>
      </c>
      <c r="AE31">
        <v>0</v>
      </c>
      <c r="AF31">
        <v>0</v>
      </c>
      <c r="AG31">
        <v>0</v>
      </c>
      <c r="AH31">
        <v>0</v>
      </c>
      <c r="AI31">
        <v>0</v>
      </c>
      <c r="AJ31">
        <v>68.37</v>
      </c>
      <c r="AK31">
        <f t="shared" si="10"/>
        <v>100</v>
      </c>
      <c r="AL31" s="26">
        <f t="shared" si="11"/>
        <v>53.280000000000008</v>
      </c>
      <c r="AM31" s="26">
        <f t="shared" si="12"/>
        <v>0</v>
      </c>
      <c r="AN31" s="26">
        <f t="shared" si="13"/>
        <v>23.96</v>
      </c>
      <c r="AO31" s="26">
        <f t="shared" si="14"/>
        <v>4.32</v>
      </c>
      <c r="AP31" s="26">
        <f t="shared" si="15"/>
        <v>3.9</v>
      </c>
      <c r="AQ31" s="26">
        <f t="shared" si="16"/>
        <v>0</v>
      </c>
      <c r="AR31" s="26">
        <f t="shared" si="17"/>
        <v>0</v>
      </c>
      <c r="AS31" s="26">
        <f t="shared" si="18"/>
        <v>4.72</v>
      </c>
      <c r="AT31" s="26">
        <f t="shared" si="19"/>
        <v>9.82</v>
      </c>
      <c r="AU31" s="26">
        <f t="shared" si="20"/>
        <v>0</v>
      </c>
      <c r="AV31" s="26">
        <f t="shared" si="21"/>
        <v>0</v>
      </c>
      <c r="AW31" s="26">
        <f t="shared" si="22"/>
        <v>100</v>
      </c>
      <c r="AX31" s="26"/>
      <c r="AY31" s="26"/>
      <c r="AZ31">
        <v>0</v>
      </c>
      <c r="BA31">
        <v>0</v>
      </c>
      <c r="BB31">
        <v>0</v>
      </c>
      <c r="BC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c r="A32" t="s">
        <v>401</v>
      </c>
      <c r="B32" t="s">
        <v>1787</v>
      </c>
      <c r="C32" t="s">
        <v>24</v>
      </c>
      <c r="D32" t="str">
        <f t="shared" si="9"/>
        <v>silicic</v>
      </c>
      <c r="E32">
        <v>0</v>
      </c>
      <c r="F32" t="s">
        <v>508</v>
      </c>
      <c r="G32" t="s">
        <v>399</v>
      </c>
      <c r="H32" t="s">
        <v>640</v>
      </c>
      <c r="I32">
        <v>2050</v>
      </c>
      <c r="J32" t="s">
        <v>1136</v>
      </c>
      <c r="K32">
        <v>0</v>
      </c>
      <c r="L32" t="s">
        <v>400</v>
      </c>
      <c r="M32" t="s">
        <v>1135</v>
      </c>
      <c r="N32" t="s">
        <v>396</v>
      </c>
      <c r="O32">
        <v>1</v>
      </c>
      <c r="P32">
        <v>55.23</v>
      </c>
      <c r="Q32">
        <v>0</v>
      </c>
      <c r="R32">
        <v>0</v>
      </c>
      <c r="S32">
        <v>22.73</v>
      </c>
      <c r="T32">
        <v>6.08</v>
      </c>
      <c r="U32">
        <v>3.96</v>
      </c>
      <c r="V32">
        <v>0</v>
      </c>
      <c r="W32">
        <v>0</v>
      </c>
      <c r="X32">
        <v>0.98</v>
      </c>
      <c r="Y32">
        <v>11.02</v>
      </c>
      <c r="Z32">
        <v>0</v>
      </c>
      <c r="AA32">
        <v>0</v>
      </c>
      <c r="AB32">
        <v>0</v>
      </c>
      <c r="AC32">
        <v>0</v>
      </c>
      <c r="AD32">
        <v>0</v>
      </c>
      <c r="AE32">
        <v>0</v>
      </c>
      <c r="AF32">
        <v>0</v>
      </c>
      <c r="AG32">
        <v>0</v>
      </c>
      <c r="AH32">
        <v>0</v>
      </c>
      <c r="AI32">
        <v>0</v>
      </c>
      <c r="AJ32">
        <v>69.88</v>
      </c>
      <c r="AK32">
        <f t="shared" si="10"/>
        <v>99.999999999999986</v>
      </c>
      <c r="AL32" s="26">
        <f t="shared" si="11"/>
        <v>55.230000000000004</v>
      </c>
      <c r="AM32" s="26">
        <f t="shared" si="12"/>
        <v>0</v>
      </c>
      <c r="AN32" s="26">
        <f t="shared" si="13"/>
        <v>22.730000000000004</v>
      </c>
      <c r="AO32" s="26">
        <f t="shared" si="14"/>
        <v>6.080000000000001</v>
      </c>
      <c r="AP32" s="26">
        <f t="shared" si="15"/>
        <v>3.9600000000000004</v>
      </c>
      <c r="AQ32" s="26">
        <f t="shared" si="16"/>
        <v>0</v>
      </c>
      <c r="AR32" s="26">
        <f t="shared" si="17"/>
        <v>0</v>
      </c>
      <c r="AS32" s="26">
        <f t="shared" si="18"/>
        <v>0.98000000000000009</v>
      </c>
      <c r="AT32" s="26">
        <f t="shared" si="19"/>
        <v>11.020000000000001</v>
      </c>
      <c r="AU32" s="26">
        <f t="shared" si="20"/>
        <v>0</v>
      </c>
      <c r="AV32" s="26">
        <f t="shared" si="21"/>
        <v>0</v>
      </c>
      <c r="AW32" s="26">
        <f t="shared" si="22"/>
        <v>100</v>
      </c>
      <c r="AX32" s="26"/>
      <c r="AY32" s="26"/>
      <c r="AZ32">
        <v>0</v>
      </c>
      <c r="BA32">
        <v>0</v>
      </c>
      <c r="BB32">
        <v>0</v>
      </c>
      <c r="BC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row>
    <row r="33" spans="1:210">
      <c r="A33" t="s">
        <v>401</v>
      </c>
      <c r="B33" t="s">
        <v>1787</v>
      </c>
      <c r="C33" t="s">
        <v>24</v>
      </c>
      <c r="D33" t="str">
        <f t="shared" si="9"/>
        <v>silicic</v>
      </c>
      <c r="E33">
        <v>0</v>
      </c>
      <c r="F33" t="s">
        <v>508</v>
      </c>
      <c r="G33" t="s">
        <v>399</v>
      </c>
      <c r="H33" t="s">
        <v>640</v>
      </c>
      <c r="I33">
        <v>2050</v>
      </c>
      <c r="J33" t="s">
        <v>1136</v>
      </c>
      <c r="K33">
        <v>0</v>
      </c>
      <c r="L33" t="s">
        <v>400</v>
      </c>
      <c r="M33" t="s">
        <v>1135</v>
      </c>
      <c r="N33" t="s">
        <v>397</v>
      </c>
      <c r="O33">
        <v>1</v>
      </c>
      <c r="P33">
        <v>51.54</v>
      </c>
      <c r="Q33">
        <v>0.28000000000000003</v>
      </c>
      <c r="R33">
        <v>0</v>
      </c>
      <c r="S33">
        <v>23.49</v>
      </c>
      <c r="T33">
        <v>5.46</v>
      </c>
      <c r="U33">
        <v>3.71</v>
      </c>
      <c r="V33">
        <v>0</v>
      </c>
      <c r="W33">
        <v>0</v>
      </c>
      <c r="X33">
        <v>4.96</v>
      </c>
      <c r="Y33">
        <v>10.46</v>
      </c>
      <c r="Z33">
        <v>0</v>
      </c>
      <c r="AA33">
        <v>0</v>
      </c>
      <c r="AB33">
        <v>0</v>
      </c>
      <c r="AC33">
        <v>0</v>
      </c>
      <c r="AD33">
        <v>0</v>
      </c>
      <c r="AE33">
        <v>0.09</v>
      </c>
      <c r="AF33">
        <v>0</v>
      </c>
      <c r="AG33">
        <v>0</v>
      </c>
      <c r="AH33">
        <v>0</v>
      </c>
      <c r="AI33">
        <v>0</v>
      </c>
      <c r="AJ33">
        <v>67.22</v>
      </c>
      <c r="AK33">
        <f t="shared" si="10"/>
        <v>99.989999999999981</v>
      </c>
      <c r="AL33" s="26">
        <f t="shared" si="11"/>
        <v>51.555626663145162</v>
      </c>
      <c r="AM33" s="26">
        <f t="shared" si="12"/>
        <v>0.28008489456113012</v>
      </c>
      <c r="AN33" s="26">
        <f t="shared" si="13"/>
        <v>23.497122047289089</v>
      </c>
      <c r="AO33" s="26">
        <f t="shared" si="14"/>
        <v>5.4616554439420364</v>
      </c>
      <c r="AP33" s="26">
        <f t="shared" si="15"/>
        <v>3.7111248529349736</v>
      </c>
      <c r="AQ33" s="26">
        <f t="shared" si="16"/>
        <v>0</v>
      </c>
      <c r="AR33" s="26">
        <f t="shared" si="17"/>
        <v>0</v>
      </c>
      <c r="AS33" s="26">
        <f t="shared" si="18"/>
        <v>4.9615038465114472</v>
      </c>
      <c r="AT33" s="26">
        <f t="shared" si="19"/>
        <v>10.463171418247933</v>
      </c>
      <c r="AU33" s="26">
        <f t="shared" si="20"/>
        <v>0</v>
      </c>
      <c r="AV33" s="26">
        <f t="shared" si="21"/>
        <v>9.0027287537506093E-2</v>
      </c>
      <c r="AW33" s="26">
        <f t="shared" si="22"/>
        <v>100.02031645416929</v>
      </c>
      <c r="AX33" s="26"/>
      <c r="AY33" s="26"/>
      <c r="AZ33">
        <v>0</v>
      </c>
      <c r="BA33">
        <v>0</v>
      </c>
      <c r="BB33">
        <v>0</v>
      </c>
      <c r="BC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row>
    <row r="34" spans="1:210">
      <c r="A34" t="s">
        <v>401</v>
      </c>
      <c r="B34" t="s">
        <v>1787</v>
      </c>
      <c r="C34" t="s">
        <v>24</v>
      </c>
      <c r="D34" t="str">
        <f t="shared" si="9"/>
        <v>silicic</v>
      </c>
      <c r="E34">
        <v>0</v>
      </c>
      <c r="F34" t="s">
        <v>508</v>
      </c>
      <c r="G34" t="s">
        <v>399</v>
      </c>
      <c r="H34" t="s">
        <v>640</v>
      </c>
      <c r="I34">
        <v>2050</v>
      </c>
      <c r="J34" t="s">
        <v>1136</v>
      </c>
      <c r="K34">
        <v>0</v>
      </c>
      <c r="L34" t="s">
        <v>400</v>
      </c>
      <c r="M34">
        <v>0</v>
      </c>
      <c r="N34" t="s">
        <v>398</v>
      </c>
      <c r="O34">
        <v>7</v>
      </c>
      <c r="P34">
        <v>53.61</v>
      </c>
      <c r="Q34">
        <v>0.06</v>
      </c>
      <c r="R34">
        <v>0</v>
      </c>
      <c r="S34">
        <v>23.38</v>
      </c>
      <c r="T34">
        <v>5.14</v>
      </c>
      <c r="U34">
        <v>3.71</v>
      </c>
      <c r="V34">
        <v>0</v>
      </c>
      <c r="W34">
        <v>0</v>
      </c>
      <c r="X34">
        <v>3.5</v>
      </c>
      <c r="Y34">
        <v>10.47</v>
      </c>
      <c r="Z34">
        <v>0</v>
      </c>
      <c r="AA34">
        <v>0</v>
      </c>
      <c r="AB34">
        <v>0</v>
      </c>
      <c r="AC34">
        <v>0</v>
      </c>
      <c r="AD34">
        <v>0</v>
      </c>
      <c r="AE34">
        <v>0.06</v>
      </c>
      <c r="AF34">
        <v>0</v>
      </c>
      <c r="AG34">
        <v>0</v>
      </c>
      <c r="AH34">
        <v>0</v>
      </c>
      <c r="AI34">
        <v>0</v>
      </c>
      <c r="AJ34">
        <v>0</v>
      </c>
      <c r="AK34">
        <f t="shared" si="10"/>
        <v>99.929999999999993</v>
      </c>
      <c r="AL34" s="26">
        <f t="shared" si="11"/>
        <v>53.654823345370197</v>
      </c>
      <c r="AM34" s="26">
        <f t="shared" si="12"/>
        <v>6.0050166027274969E-2</v>
      </c>
      <c r="AN34" s="26">
        <f t="shared" si="13"/>
        <v>23.399548028628146</v>
      </c>
      <c r="AO34" s="26">
        <f t="shared" si="14"/>
        <v>5.1442975563365554</v>
      </c>
      <c r="AP34" s="26">
        <f t="shared" si="15"/>
        <v>3.7131019326865022</v>
      </c>
      <c r="AQ34" s="26">
        <f t="shared" si="16"/>
        <v>0</v>
      </c>
      <c r="AR34" s="26">
        <f t="shared" si="17"/>
        <v>0</v>
      </c>
      <c r="AS34" s="26">
        <f t="shared" si="18"/>
        <v>3.5029263515910403</v>
      </c>
      <c r="AT34" s="26">
        <f t="shared" si="19"/>
        <v>10.478753971759485</v>
      </c>
      <c r="AU34" s="26">
        <f t="shared" si="20"/>
        <v>0</v>
      </c>
      <c r="AV34" s="26">
        <f t="shared" si="21"/>
        <v>6.0050166027274969E-2</v>
      </c>
      <c r="AW34" s="26">
        <f t="shared" si="22"/>
        <v>100.01355151842648</v>
      </c>
      <c r="AX34" s="26"/>
      <c r="AY34" s="26"/>
      <c r="AZ34">
        <v>0</v>
      </c>
      <c r="BA34">
        <v>0</v>
      </c>
      <c r="BB34">
        <v>0</v>
      </c>
      <c r="BC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row>
    <row r="35" spans="1:210">
      <c r="A35" t="s">
        <v>841</v>
      </c>
      <c r="B35" t="s">
        <v>1787</v>
      </c>
      <c r="C35" t="s">
        <v>479</v>
      </c>
      <c r="D35" t="str">
        <f t="shared" si="9"/>
        <v>silicic</v>
      </c>
      <c r="E35">
        <v>0</v>
      </c>
      <c r="F35" t="s">
        <v>237</v>
      </c>
      <c r="G35" t="s">
        <v>475</v>
      </c>
      <c r="H35" t="s">
        <v>640</v>
      </c>
      <c r="I35">
        <v>0</v>
      </c>
      <c r="J35" t="s">
        <v>712</v>
      </c>
      <c r="K35">
        <v>0</v>
      </c>
      <c r="L35" t="s">
        <v>1146</v>
      </c>
      <c r="M35" t="s">
        <v>1147</v>
      </c>
      <c r="N35" t="s">
        <v>477</v>
      </c>
      <c r="O35">
        <v>1</v>
      </c>
      <c r="P35">
        <v>54.5</v>
      </c>
      <c r="Q35">
        <v>1.39</v>
      </c>
      <c r="R35">
        <v>0</v>
      </c>
      <c r="S35">
        <v>15</v>
      </c>
      <c r="T35">
        <v>2.63</v>
      </c>
      <c r="U35">
        <v>4.8</v>
      </c>
      <c r="V35">
        <v>0</v>
      </c>
      <c r="W35">
        <v>8.61</v>
      </c>
      <c r="X35">
        <v>5.7</v>
      </c>
      <c r="Y35">
        <v>2.3199999999999998</v>
      </c>
      <c r="Z35">
        <v>0</v>
      </c>
      <c r="AA35">
        <v>0</v>
      </c>
      <c r="AB35">
        <v>0</v>
      </c>
      <c r="AC35">
        <v>0</v>
      </c>
      <c r="AD35">
        <v>0</v>
      </c>
      <c r="AE35">
        <v>0</v>
      </c>
      <c r="AF35">
        <v>0</v>
      </c>
      <c r="AG35">
        <v>0</v>
      </c>
      <c r="AH35">
        <v>0</v>
      </c>
      <c r="AI35">
        <v>0</v>
      </c>
      <c r="AJ35">
        <v>94.95</v>
      </c>
      <c r="AK35">
        <f t="shared" si="10"/>
        <v>94.949999999999989</v>
      </c>
      <c r="AL35" s="26">
        <f t="shared" si="11"/>
        <v>57.3986308583465</v>
      </c>
      <c r="AM35" s="26">
        <f t="shared" si="12"/>
        <v>1.463928383359663</v>
      </c>
      <c r="AN35" s="26">
        <f t="shared" si="13"/>
        <v>15.797788309636655</v>
      </c>
      <c r="AO35" s="26">
        <f t="shared" si="14"/>
        <v>2.76987888362296</v>
      </c>
      <c r="AP35" s="26">
        <f t="shared" si="15"/>
        <v>5.0552922590837293</v>
      </c>
      <c r="AQ35" s="26">
        <f t="shared" si="16"/>
        <v>9.0679304897314381</v>
      </c>
      <c r="AR35" s="26">
        <f t="shared" si="17"/>
        <v>0</v>
      </c>
      <c r="AS35" s="26">
        <f t="shared" si="18"/>
        <v>6.0031595576619283</v>
      </c>
      <c r="AT35" s="26">
        <f t="shared" si="19"/>
        <v>2.4433912585571353</v>
      </c>
      <c r="AU35" s="26">
        <f t="shared" si="20"/>
        <v>0</v>
      </c>
      <c r="AV35" s="26">
        <f t="shared" si="21"/>
        <v>0</v>
      </c>
      <c r="AW35" s="26">
        <f t="shared" si="22"/>
        <v>100.00000000000003</v>
      </c>
      <c r="AX35" s="26"/>
      <c r="AY35" s="26"/>
      <c r="AZ35">
        <v>0</v>
      </c>
      <c r="BA35">
        <v>0</v>
      </c>
      <c r="BB35">
        <v>0</v>
      </c>
      <c r="BC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210">
      <c r="A36" t="s">
        <v>841</v>
      </c>
      <c r="B36" t="s">
        <v>1787</v>
      </c>
      <c r="C36" t="s">
        <v>479</v>
      </c>
      <c r="D36" t="str">
        <f t="shared" si="9"/>
        <v>silicic</v>
      </c>
      <c r="E36">
        <v>0</v>
      </c>
      <c r="F36" t="s">
        <v>237</v>
      </c>
      <c r="G36" t="s">
        <v>475</v>
      </c>
      <c r="H36" t="s">
        <v>640</v>
      </c>
      <c r="I36">
        <v>0</v>
      </c>
      <c r="J36" t="s">
        <v>712</v>
      </c>
      <c r="K36">
        <v>0</v>
      </c>
      <c r="L36" t="s">
        <v>1146</v>
      </c>
      <c r="M36" t="s">
        <v>1147</v>
      </c>
      <c r="N36" t="s">
        <v>476</v>
      </c>
      <c r="O36">
        <v>1</v>
      </c>
      <c r="P36">
        <v>55.8</v>
      </c>
      <c r="Q36">
        <v>1.01</v>
      </c>
      <c r="R36">
        <v>0</v>
      </c>
      <c r="S36">
        <v>14.6</v>
      </c>
      <c r="T36">
        <v>3.69</v>
      </c>
      <c r="U36">
        <v>5.4</v>
      </c>
      <c r="V36">
        <v>0</v>
      </c>
      <c r="W36">
        <v>9.11</v>
      </c>
      <c r="X36">
        <v>5.46</v>
      </c>
      <c r="Y36">
        <v>2.67</v>
      </c>
      <c r="Z36">
        <v>0</v>
      </c>
      <c r="AA36">
        <v>0</v>
      </c>
      <c r="AB36">
        <v>0</v>
      </c>
      <c r="AC36">
        <v>0</v>
      </c>
      <c r="AD36">
        <v>0</v>
      </c>
      <c r="AE36">
        <v>0</v>
      </c>
      <c r="AF36">
        <v>0</v>
      </c>
      <c r="AG36">
        <v>0</v>
      </c>
      <c r="AH36">
        <v>0</v>
      </c>
      <c r="AI36">
        <v>0</v>
      </c>
      <c r="AJ36">
        <v>97.7</v>
      </c>
      <c r="AK36">
        <f t="shared" si="10"/>
        <v>97.74</v>
      </c>
      <c r="AL36" s="26">
        <f t="shared" si="11"/>
        <v>57.090239410681399</v>
      </c>
      <c r="AM36" s="26">
        <f t="shared" si="12"/>
        <v>1.033353795784735</v>
      </c>
      <c r="AN36" s="26">
        <f t="shared" si="13"/>
        <v>14.937589523224885</v>
      </c>
      <c r="AO36" s="26">
        <f t="shared" si="14"/>
        <v>3.7753222836095763</v>
      </c>
      <c r="AP36" s="26">
        <f t="shared" si="15"/>
        <v>5.5248618784530388</v>
      </c>
      <c r="AQ36" s="26">
        <f t="shared" si="16"/>
        <v>9.3206466134642927</v>
      </c>
      <c r="AR36" s="26">
        <f t="shared" si="17"/>
        <v>0</v>
      </c>
      <c r="AS36" s="26">
        <f t="shared" si="18"/>
        <v>5.5862492326580728</v>
      </c>
      <c r="AT36" s="26">
        <f t="shared" si="19"/>
        <v>2.7317372621240024</v>
      </c>
      <c r="AU36" s="26">
        <f t="shared" si="20"/>
        <v>0</v>
      </c>
      <c r="AV36" s="26">
        <f t="shared" si="21"/>
        <v>0</v>
      </c>
      <c r="AW36" s="26">
        <f t="shared" si="22"/>
        <v>100</v>
      </c>
      <c r="AX36" s="26"/>
      <c r="AY36" s="26"/>
      <c r="AZ36">
        <v>0</v>
      </c>
      <c r="BA36">
        <v>0</v>
      </c>
      <c r="BB36">
        <v>0</v>
      </c>
      <c r="BC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210">
      <c r="A37" t="s">
        <v>827</v>
      </c>
      <c r="B37" t="s">
        <v>1787</v>
      </c>
      <c r="C37" t="s">
        <v>24</v>
      </c>
      <c r="D37" t="str">
        <f t="shared" si="9"/>
        <v>silicic</v>
      </c>
      <c r="E37" t="s">
        <v>819</v>
      </c>
      <c r="F37" t="s">
        <v>237</v>
      </c>
      <c r="G37" t="s">
        <v>163</v>
      </c>
      <c r="H37" t="s">
        <v>595</v>
      </c>
      <c r="I37">
        <v>355</v>
      </c>
      <c r="J37" t="s">
        <v>735</v>
      </c>
      <c r="K37">
        <v>0</v>
      </c>
      <c r="L37" t="s">
        <v>115</v>
      </c>
      <c r="M37">
        <v>0</v>
      </c>
      <c r="N37" t="s">
        <v>823</v>
      </c>
      <c r="O37">
        <v>5</v>
      </c>
      <c r="P37">
        <v>57.4</v>
      </c>
      <c r="Q37">
        <v>3.9</v>
      </c>
      <c r="R37">
        <v>0</v>
      </c>
      <c r="S37">
        <v>13</v>
      </c>
      <c r="T37">
        <v>3.8</v>
      </c>
      <c r="U37">
        <v>1.4</v>
      </c>
      <c r="V37">
        <v>0</v>
      </c>
      <c r="W37">
        <v>5.8</v>
      </c>
      <c r="X37">
        <v>0</v>
      </c>
      <c r="Y37">
        <v>12.8</v>
      </c>
      <c r="Z37">
        <v>0</v>
      </c>
      <c r="AA37">
        <v>0.3</v>
      </c>
      <c r="AB37">
        <v>0</v>
      </c>
      <c r="AC37">
        <v>1</v>
      </c>
      <c r="AD37">
        <v>0</v>
      </c>
      <c r="AE37">
        <v>0.7</v>
      </c>
      <c r="AF37">
        <v>0</v>
      </c>
      <c r="AG37">
        <v>0</v>
      </c>
      <c r="AH37">
        <v>0</v>
      </c>
      <c r="AI37">
        <v>0</v>
      </c>
      <c r="AJ37">
        <v>5.6</v>
      </c>
      <c r="AK37">
        <f t="shared" si="10"/>
        <v>100.1</v>
      </c>
      <c r="AL37" s="26">
        <f t="shared" si="11"/>
        <v>57.433293488891316</v>
      </c>
      <c r="AM37" s="26">
        <f t="shared" si="12"/>
        <v>3.9022621011616043</v>
      </c>
      <c r="AN37" s="26">
        <f t="shared" si="13"/>
        <v>13.007540337205349</v>
      </c>
      <c r="AO37" s="26">
        <f t="shared" si="14"/>
        <v>3.8022040985677172</v>
      </c>
      <c r="AP37" s="26">
        <f t="shared" si="15"/>
        <v>1.4008120363144221</v>
      </c>
      <c r="AQ37" s="26">
        <f t="shared" si="16"/>
        <v>5.8033641504454625</v>
      </c>
      <c r="AR37" s="26">
        <f t="shared" si="17"/>
        <v>1.0005800259388731</v>
      </c>
      <c r="AS37" s="26">
        <f t="shared" si="18"/>
        <v>0</v>
      </c>
      <c r="AT37" s="26">
        <f t="shared" si="19"/>
        <v>12.807424332017575</v>
      </c>
      <c r="AU37" s="26">
        <f t="shared" si="20"/>
        <v>0.30017400778166187</v>
      </c>
      <c r="AV37" s="26">
        <f t="shared" si="21"/>
        <v>0.70040601815721104</v>
      </c>
      <c r="AW37" s="26">
        <f t="shared" si="22"/>
        <v>100.15806059648119</v>
      </c>
      <c r="AX37" s="26"/>
      <c r="AY37" s="26"/>
      <c r="AZ37">
        <v>0</v>
      </c>
      <c r="BA37">
        <v>0</v>
      </c>
      <c r="BB37">
        <v>0.28000000000000003</v>
      </c>
      <c r="BC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210">
      <c r="A38" t="s">
        <v>732</v>
      </c>
      <c r="B38" t="s">
        <v>1787</v>
      </c>
      <c r="C38" t="s">
        <v>24</v>
      </c>
      <c r="D38" t="str">
        <f t="shared" si="9"/>
        <v>silicic - low-Mg carbonatitic</v>
      </c>
      <c r="E38" t="s">
        <v>71</v>
      </c>
      <c r="F38">
        <v>0</v>
      </c>
      <c r="G38" t="s">
        <v>1788</v>
      </c>
      <c r="H38">
        <v>0</v>
      </c>
      <c r="I38">
        <v>0</v>
      </c>
      <c r="J38" t="s">
        <v>716</v>
      </c>
      <c r="K38">
        <v>0</v>
      </c>
      <c r="L38" t="s">
        <v>172</v>
      </c>
      <c r="M38">
        <v>0</v>
      </c>
      <c r="N38" t="s">
        <v>723</v>
      </c>
      <c r="O38">
        <v>7</v>
      </c>
      <c r="P38">
        <v>35.6</v>
      </c>
      <c r="Q38">
        <v>2.8</v>
      </c>
      <c r="R38">
        <v>0</v>
      </c>
      <c r="S38">
        <v>3.3</v>
      </c>
      <c r="T38">
        <v>8.3000000000000007</v>
      </c>
      <c r="U38">
        <v>6.1</v>
      </c>
      <c r="V38">
        <v>0</v>
      </c>
      <c r="W38">
        <v>16.8</v>
      </c>
      <c r="X38">
        <v>2.9</v>
      </c>
      <c r="Y38">
        <v>18.600000000000001</v>
      </c>
      <c r="Z38">
        <v>0</v>
      </c>
      <c r="AA38">
        <v>0</v>
      </c>
      <c r="AB38">
        <v>0</v>
      </c>
      <c r="AC38">
        <v>0</v>
      </c>
      <c r="AD38">
        <v>0</v>
      </c>
      <c r="AE38">
        <v>0</v>
      </c>
      <c r="AF38">
        <v>0</v>
      </c>
      <c r="AG38">
        <v>0</v>
      </c>
      <c r="AH38">
        <v>0</v>
      </c>
      <c r="AI38">
        <v>0</v>
      </c>
      <c r="AJ38">
        <v>0</v>
      </c>
      <c r="AK38">
        <f t="shared" si="10"/>
        <v>94.4</v>
      </c>
      <c r="AL38" s="26">
        <f t="shared" si="11"/>
        <v>37.711864406779661</v>
      </c>
      <c r="AM38" s="26">
        <f t="shared" si="12"/>
        <v>2.9661016949152539</v>
      </c>
      <c r="AN38" s="26">
        <f t="shared" si="13"/>
        <v>3.4957627118644066</v>
      </c>
      <c r="AO38" s="26">
        <f t="shared" si="14"/>
        <v>8.7923728813559325</v>
      </c>
      <c r="AP38" s="26">
        <f t="shared" si="15"/>
        <v>6.4618644067796609</v>
      </c>
      <c r="AQ38" s="26">
        <f t="shared" si="16"/>
        <v>17.796610169491526</v>
      </c>
      <c r="AR38" s="26">
        <f t="shared" si="17"/>
        <v>0</v>
      </c>
      <c r="AS38" s="26">
        <f t="shared" si="18"/>
        <v>3.0720338983050843</v>
      </c>
      <c r="AT38" s="26">
        <f t="shared" si="19"/>
        <v>19.703389830508474</v>
      </c>
      <c r="AU38" s="26">
        <f t="shared" si="20"/>
        <v>0</v>
      </c>
      <c r="AV38" s="26">
        <f t="shared" si="21"/>
        <v>0</v>
      </c>
      <c r="AW38" s="26">
        <f t="shared" si="22"/>
        <v>99.999999999999986</v>
      </c>
      <c r="AX38" s="26"/>
      <c r="AY38" s="26"/>
      <c r="AZ38">
        <v>292</v>
      </c>
      <c r="BA38">
        <v>282</v>
      </c>
      <c r="BB38">
        <v>0</v>
      </c>
      <c r="BC38">
        <v>0.9</v>
      </c>
      <c r="BD38">
        <f t="shared" ref="BD38" si="31">(BA38/18.02)/((BA38/18.02)+(AZ38/44.01))</f>
        <v>0.70226100654909895</v>
      </c>
      <c r="BE38">
        <f t="shared" ref="BE38" si="32">(AZ38/44.01)/((BA38/18.02)+(AZ38/44.01))</f>
        <v>0.29773899345090099</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210">
      <c r="A39" t="s">
        <v>1177</v>
      </c>
      <c r="B39" t="s">
        <v>1787</v>
      </c>
      <c r="C39" t="s">
        <v>24</v>
      </c>
      <c r="D39" t="str">
        <f t="shared" si="9"/>
        <v>silicic - low-Mg carbonatitic</v>
      </c>
      <c r="E39" t="s">
        <v>71</v>
      </c>
      <c r="F39">
        <v>0</v>
      </c>
      <c r="G39" t="s">
        <v>1788</v>
      </c>
      <c r="H39">
        <v>0</v>
      </c>
      <c r="I39">
        <v>0</v>
      </c>
      <c r="J39" t="s">
        <v>716</v>
      </c>
      <c r="K39" t="s">
        <v>596</v>
      </c>
      <c r="L39" t="s">
        <v>48</v>
      </c>
      <c r="M39" t="s">
        <v>979</v>
      </c>
      <c r="N39" t="s">
        <v>729</v>
      </c>
      <c r="O39">
        <v>3</v>
      </c>
      <c r="P39">
        <v>30.3</v>
      </c>
      <c r="Q39">
        <v>3.4</v>
      </c>
      <c r="R39">
        <v>0</v>
      </c>
      <c r="S39">
        <v>5.3</v>
      </c>
      <c r="T39">
        <v>5</v>
      </c>
      <c r="U39">
        <v>4.3</v>
      </c>
      <c r="V39">
        <v>0</v>
      </c>
      <c r="W39">
        <v>18.7</v>
      </c>
      <c r="X39">
        <v>2.7</v>
      </c>
      <c r="Y39">
        <v>25.2</v>
      </c>
      <c r="Z39">
        <v>0</v>
      </c>
      <c r="AA39">
        <v>0</v>
      </c>
      <c r="AB39">
        <v>0</v>
      </c>
      <c r="AC39">
        <v>0</v>
      </c>
      <c r="AD39">
        <v>0</v>
      </c>
      <c r="AE39">
        <v>0</v>
      </c>
      <c r="AF39">
        <v>0</v>
      </c>
      <c r="AG39">
        <v>0</v>
      </c>
      <c r="AH39">
        <v>0</v>
      </c>
      <c r="AI39">
        <v>0</v>
      </c>
      <c r="AJ39">
        <v>0</v>
      </c>
      <c r="AK39">
        <f t="shared" si="10"/>
        <v>94.9</v>
      </c>
      <c r="AL39" s="26">
        <f t="shared" si="11"/>
        <v>31.928345626975762</v>
      </c>
      <c r="AM39" s="26">
        <f t="shared" si="12"/>
        <v>3.5827186512118017</v>
      </c>
      <c r="AN39" s="26">
        <f t="shared" si="13"/>
        <v>5.5848261327713384</v>
      </c>
      <c r="AO39" s="26">
        <f t="shared" si="14"/>
        <v>5.2687038988408847</v>
      </c>
      <c r="AP39" s="26">
        <f t="shared" si="15"/>
        <v>4.531085353003161</v>
      </c>
      <c r="AQ39" s="26">
        <f t="shared" si="16"/>
        <v>19.704952581664909</v>
      </c>
      <c r="AR39" s="26">
        <f t="shared" si="17"/>
        <v>0</v>
      </c>
      <c r="AS39" s="26">
        <f t="shared" si="18"/>
        <v>2.8451001053740779</v>
      </c>
      <c r="AT39" s="26">
        <f t="shared" si="19"/>
        <v>26.55426765015806</v>
      </c>
      <c r="AU39" s="26">
        <f t="shared" si="20"/>
        <v>0</v>
      </c>
      <c r="AV39" s="26">
        <f t="shared" si="21"/>
        <v>0</v>
      </c>
      <c r="AW39" s="26">
        <f t="shared" si="22"/>
        <v>100</v>
      </c>
      <c r="AX39" s="26"/>
      <c r="AY39" s="26"/>
      <c r="AZ39">
        <v>0</v>
      </c>
      <c r="BA39">
        <v>0</v>
      </c>
      <c r="BB39">
        <v>0</v>
      </c>
      <c r="BC39">
        <v>0</v>
      </c>
      <c r="BF39">
        <v>0</v>
      </c>
      <c r="BG39">
        <v>0</v>
      </c>
      <c r="BH39">
        <v>0</v>
      </c>
      <c r="BI39">
        <v>0</v>
      </c>
      <c r="BJ39">
        <v>0</v>
      </c>
      <c r="BK39">
        <v>26.149000000000001</v>
      </c>
      <c r="BL39">
        <v>0</v>
      </c>
      <c r="BM39">
        <v>0</v>
      </c>
      <c r="BN39">
        <v>1.82</v>
      </c>
      <c r="BO39">
        <v>1.42</v>
      </c>
      <c r="BP39">
        <v>0</v>
      </c>
      <c r="BQ39">
        <v>0</v>
      </c>
      <c r="BR39">
        <v>0</v>
      </c>
      <c r="BS39">
        <v>6.38</v>
      </c>
      <c r="BT39" t="s">
        <v>1001</v>
      </c>
      <c r="BU39" t="s">
        <v>221</v>
      </c>
      <c r="BV39" t="s">
        <v>988</v>
      </c>
      <c r="BW39">
        <v>5.0700000000000002E-2</v>
      </c>
      <c r="BX39">
        <v>3.0500000000000002E-3</v>
      </c>
      <c r="BY39" t="s">
        <v>282</v>
      </c>
      <c r="BZ39" t="s">
        <v>213</v>
      </c>
      <c r="CA39" t="s">
        <v>1066</v>
      </c>
      <c r="CB39" t="s">
        <v>988</v>
      </c>
      <c r="CC39" t="s">
        <v>221</v>
      </c>
      <c r="CD39">
        <v>4.3499999999999997E-3</v>
      </c>
      <c r="CE39" t="s">
        <v>999</v>
      </c>
      <c r="CF39">
        <v>2.0999999999999999E-3</v>
      </c>
      <c r="CG39">
        <v>0</v>
      </c>
      <c r="CH39">
        <v>7.6E-3</v>
      </c>
      <c r="CI39" t="s">
        <v>273</v>
      </c>
      <c r="CJ39">
        <v>0.375</v>
      </c>
      <c r="CK39" t="s">
        <v>276</v>
      </c>
      <c r="CL39">
        <v>0</v>
      </c>
      <c r="CM39" t="s">
        <v>223</v>
      </c>
      <c r="CN39">
        <v>0</v>
      </c>
      <c r="CO39" t="s">
        <v>598</v>
      </c>
      <c r="CP39" t="s">
        <v>1021</v>
      </c>
      <c r="CQ39" t="s">
        <v>1005</v>
      </c>
      <c r="CR39" t="s">
        <v>1068</v>
      </c>
      <c r="CS39" t="s">
        <v>216</v>
      </c>
      <c r="CT39">
        <v>0.32</v>
      </c>
      <c r="CU39">
        <v>0</v>
      </c>
      <c r="CV39">
        <v>0.82899999999999996</v>
      </c>
      <c r="CW39" t="s">
        <v>988</v>
      </c>
      <c r="CX39">
        <v>0</v>
      </c>
      <c r="CY39" t="s">
        <v>1066</v>
      </c>
      <c r="CZ39">
        <v>1.2800000000000001E-2</v>
      </c>
      <c r="DA39">
        <v>2.8E-3</v>
      </c>
      <c r="DB39">
        <v>0</v>
      </c>
      <c r="DC39">
        <v>3.7200000000000002E-3</v>
      </c>
      <c r="DD39" t="s">
        <v>223</v>
      </c>
      <c r="DE39">
        <v>0</v>
      </c>
      <c r="DF39">
        <v>0</v>
      </c>
      <c r="DG39" t="s">
        <v>220</v>
      </c>
      <c r="DH39" t="s">
        <v>1069</v>
      </c>
      <c r="DI39" t="s">
        <v>1070</v>
      </c>
      <c r="DJ39" t="s">
        <v>1001</v>
      </c>
      <c r="DK39">
        <v>3.2000000000000002E-3</v>
      </c>
      <c r="DL39">
        <v>0</v>
      </c>
      <c r="DM39" t="s">
        <v>215</v>
      </c>
      <c r="DN39" t="s">
        <v>220</v>
      </c>
      <c r="DO39" t="s">
        <v>214</v>
      </c>
      <c r="DP39" t="s">
        <v>1069</v>
      </c>
      <c r="DQ39" t="s">
        <v>233</v>
      </c>
      <c r="DR39" t="s">
        <v>1060</v>
      </c>
      <c r="DS39" t="s">
        <v>1071</v>
      </c>
      <c r="DT39">
        <v>0</v>
      </c>
      <c r="DU39">
        <v>0</v>
      </c>
      <c r="DV39">
        <v>0</v>
      </c>
      <c r="DW39">
        <v>0</v>
      </c>
      <c r="DX39">
        <v>0</v>
      </c>
      <c r="DY39">
        <v>0</v>
      </c>
      <c r="DZ39">
        <v>0</v>
      </c>
      <c r="EA39">
        <v>0</v>
      </c>
      <c r="EB39">
        <v>0</v>
      </c>
      <c r="EC39">
        <v>0</v>
      </c>
      <c r="ED39">
        <v>0</v>
      </c>
      <c r="EE39">
        <v>0</v>
      </c>
      <c r="EF39">
        <v>0</v>
      </c>
      <c r="EG39">
        <v>0</v>
      </c>
      <c r="EH39">
        <v>0</v>
      </c>
      <c r="EI39">
        <v>0</v>
      </c>
      <c r="EJ39">
        <v>0</v>
      </c>
      <c r="EK39">
        <v>0</v>
      </c>
    </row>
    <row r="40" spans="1:210">
      <c r="A40" t="s">
        <v>732</v>
      </c>
      <c r="B40" t="s">
        <v>1787</v>
      </c>
      <c r="C40" t="s">
        <v>24</v>
      </c>
      <c r="D40" t="str">
        <f t="shared" si="9"/>
        <v>silicic - low-Mg carbonatitic</v>
      </c>
      <c r="E40" t="s">
        <v>71</v>
      </c>
      <c r="F40" t="s">
        <v>388</v>
      </c>
      <c r="G40" t="s">
        <v>342</v>
      </c>
      <c r="H40" t="s">
        <v>829</v>
      </c>
      <c r="I40">
        <v>0</v>
      </c>
      <c r="J40" t="s">
        <v>716</v>
      </c>
      <c r="K40">
        <v>0</v>
      </c>
      <c r="L40" t="s">
        <v>172</v>
      </c>
      <c r="M40">
        <v>0</v>
      </c>
      <c r="N40" t="s">
        <v>720</v>
      </c>
      <c r="O40">
        <v>2</v>
      </c>
      <c r="P40">
        <v>34.6</v>
      </c>
      <c r="Q40">
        <v>2.1</v>
      </c>
      <c r="R40">
        <v>0</v>
      </c>
      <c r="S40">
        <v>5.6</v>
      </c>
      <c r="T40">
        <v>4.9000000000000004</v>
      </c>
      <c r="U40">
        <v>2.2999999999999998</v>
      </c>
      <c r="V40">
        <v>0</v>
      </c>
      <c r="W40">
        <v>12.3</v>
      </c>
      <c r="X40">
        <v>3.5</v>
      </c>
      <c r="Y40">
        <v>29.7</v>
      </c>
      <c r="Z40">
        <v>0</v>
      </c>
      <c r="AA40">
        <v>0</v>
      </c>
      <c r="AB40">
        <v>0</v>
      </c>
      <c r="AC40">
        <v>0</v>
      </c>
      <c r="AD40">
        <v>0</v>
      </c>
      <c r="AE40">
        <v>0</v>
      </c>
      <c r="AF40">
        <v>0</v>
      </c>
      <c r="AG40">
        <v>0</v>
      </c>
      <c r="AH40">
        <v>0</v>
      </c>
      <c r="AI40">
        <v>0</v>
      </c>
      <c r="AJ40">
        <v>0</v>
      </c>
      <c r="AK40">
        <f t="shared" si="10"/>
        <v>95</v>
      </c>
      <c r="AL40" s="26">
        <f t="shared" si="11"/>
        <v>36.421052631578945</v>
      </c>
      <c r="AM40" s="26">
        <f t="shared" si="12"/>
        <v>2.2105263157894739</v>
      </c>
      <c r="AN40" s="26">
        <f t="shared" si="13"/>
        <v>5.8947368421052628</v>
      </c>
      <c r="AO40" s="26">
        <f t="shared" si="14"/>
        <v>5.1578947368421062</v>
      </c>
      <c r="AP40" s="26">
        <f t="shared" si="15"/>
        <v>2.4210526315789469</v>
      </c>
      <c r="AQ40" s="26">
        <f t="shared" si="16"/>
        <v>12.947368421052632</v>
      </c>
      <c r="AR40" s="26">
        <f t="shared" si="17"/>
        <v>0</v>
      </c>
      <c r="AS40" s="26">
        <f t="shared" si="18"/>
        <v>3.6842105263157889</v>
      </c>
      <c r="AT40" s="26">
        <f t="shared" si="19"/>
        <v>31.263157894736842</v>
      </c>
      <c r="AU40" s="26">
        <f t="shared" si="20"/>
        <v>0</v>
      </c>
      <c r="AV40" s="26">
        <f t="shared" si="21"/>
        <v>0</v>
      </c>
      <c r="AW40" s="26">
        <f t="shared" si="22"/>
        <v>100</v>
      </c>
      <c r="AX40" s="26"/>
      <c r="AY40" s="26"/>
      <c r="AZ40">
        <v>66</v>
      </c>
      <c r="BA40">
        <v>140</v>
      </c>
      <c r="BB40">
        <v>0</v>
      </c>
      <c r="BC40">
        <v>0.8</v>
      </c>
      <c r="BD40">
        <f t="shared" ref="BD40:BD43" si="33">(BA40/18.02)/((BA40/18.02)+(AZ40/44.01))</f>
        <v>0.83820360454486087</v>
      </c>
      <c r="BE40">
        <f t="shared" ref="BE40:BE43" si="34">(AZ40/44.01)/((BA40/18.02)+(AZ40/44.01))</f>
        <v>0.1617963954551391</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210">
      <c r="A41" t="s">
        <v>846</v>
      </c>
      <c r="B41" t="s">
        <v>1787</v>
      </c>
      <c r="C41" t="s">
        <v>24</v>
      </c>
      <c r="D41" t="str">
        <f t="shared" si="9"/>
        <v>silicic - low-Mg carbonatitic</v>
      </c>
      <c r="E41">
        <v>0</v>
      </c>
      <c r="F41" t="s">
        <v>388</v>
      </c>
      <c r="G41" t="s">
        <v>1789</v>
      </c>
      <c r="H41" t="s">
        <v>640</v>
      </c>
      <c r="I41">
        <v>0</v>
      </c>
      <c r="J41" t="s">
        <v>1148</v>
      </c>
      <c r="K41">
        <v>0</v>
      </c>
      <c r="L41">
        <v>0</v>
      </c>
      <c r="M41">
        <v>0</v>
      </c>
      <c r="N41" t="s">
        <v>512</v>
      </c>
      <c r="O41">
        <v>7</v>
      </c>
      <c r="P41">
        <v>32.71</v>
      </c>
      <c r="Q41">
        <v>3.91</v>
      </c>
      <c r="R41">
        <v>0</v>
      </c>
      <c r="S41">
        <v>7.26</v>
      </c>
      <c r="T41">
        <v>8.32</v>
      </c>
      <c r="U41">
        <v>5.64</v>
      </c>
      <c r="V41">
        <v>0</v>
      </c>
      <c r="W41">
        <v>12.02</v>
      </c>
      <c r="X41">
        <v>4.09</v>
      </c>
      <c r="Y41">
        <v>15.37</v>
      </c>
      <c r="Z41">
        <v>0</v>
      </c>
      <c r="AA41">
        <v>6.37</v>
      </c>
      <c r="AB41">
        <v>0</v>
      </c>
      <c r="AC41">
        <v>0</v>
      </c>
      <c r="AD41">
        <v>0</v>
      </c>
      <c r="AE41">
        <v>4.32</v>
      </c>
      <c r="AF41">
        <v>0</v>
      </c>
      <c r="AG41">
        <v>0</v>
      </c>
      <c r="AH41">
        <v>0</v>
      </c>
      <c r="AI41">
        <v>0</v>
      </c>
      <c r="AJ41">
        <v>6.97</v>
      </c>
      <c r="AK41">
        <f t="shared" si="10"/>
        <v>100.01000000000002</v>
      </c>
      <c r="AL41" s="26">
        <f t="shared" si="11"/>
        <v>33.028691938534138</v>
      </c>
      <c r="AM41" s="26">
        <f t="shared" si="12"/>
        <v>3.9480949397636342</v>
      </c>
      <c r="AN41" s="26">
        <f t="shared" si="13"/>
        <v>7.3307338267733977</v>
      </c>
      <c r="AO41" s="26">
        <f t="shared" si="14"/>
        <v>8.4010613552003672</v>
      </c>
      <c r="AP41" s="26">
        <f t="shared" si="15"/>
        <v>5.6949502455925565</v>
      </c>
      <c r="AQ41" s="26">
        <f t="shared" si="16"/>
        <v>12.1371102751813</v>
      </c>
      <c r="AR41" s="26">
        <f t="shared" si="17"/>
        <v>0</v>
      </c>
      <c r="AS41" s="26">
        <f t="shared" si="18"/>
        <v>4.1298486710059494</v>
      </c>
      <c r="AT41" s="26">
        <f t="shared" si="19"/>
        <v>15.519749162191063</v>
      </c>
      <c r="AU41" s="26">
        <f t="shared" si="20"/>
        <v>6.4320626000752803</v>
      </c>
      <c r="AV41" s="26">
        <f t="shared" si="21"/>
        <v>4.3620895498155754</v>
      </c>
      <c r="AW41" s="26">
        <f t="shared" si="22"/>
        <v>100.98439256413327</v>
      </c>
      <c r="AX41" s="26"/>
      <c r="AY41" s="26"/>
      <c r="AZ41">
        <v>0</v>
      </c>
      <c r="BA41">
        <v>0</v>
      </c>
      <c r="BB41">
        <v>0</v>
      </c>
      <c r="BC41">
        <v>0</v>
      </c>
      <c r="BF41">
        <v>-7</v>
      </c>
      <c r="BG41">
        <v>0</v>
      </c>
      <c r="BH41">
        <v>1200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210">
      <c r="A42" t="s">
        <v>839</v>
      </c>
      <c r="B42" t="s">
        <v>1787</v>
      </c>
      <c r="C42" t="s">
        <v>24</v>
      </c>
      <c r="D42" t="str">
        <f t="shared" si="9"/>
        <v>silicic - low-Mg carbonatitic</v>
      </c>
      <c r="E42">
        <v>0</v>
      </c>
      <c r="F42" t="s">
        <v>388</v>
      </c>
      <c r="G42" t="s">
        <v>387</v>
      </c>
      <c r="H42" t="s">
        <v>640</v>
      </c>
      <c r="I42">
        <v>0</v>
      </c>
      <c r="J42" t="s">
        <v>735</v>
      </c>
      <c r="K42">
        <v>0</v>
      </c>
      <c r="L42">
        <v>0</v>
      </c>
      <c r="M42">
        <v>0</v>
      </c>
      <c r="N42" t="s">
        <v>392</v>
      </c>
      <c r="O42">
        <v>4</v>
      </c>
      <c r="P42">
        <v>34.29</v>
      </c>
      <c r="Q42">
        <v>1.86</v>
      </c>
      <c r="R42">
        <v>0</v>
      </c>
      <c r="S42">
        <v>5.54</v>
      </c>
      <c r="T42">
        <v>4.29</v>
      </c>
      <c r="U42">
        <v>5.69</v>
      </c>
      <c r="V42">
        <v>0</v>
      </c>
      <c r="W42">
        <v>16.86</v>
      </c>
      <c r="X42">
        <v>2.93</v>
      </c>
      <c r="Y42">
        <v>16.46</v>
      </c>
      <c r="Z42">
        <v>0</v>
      </c>
      <c r="AA42">
        <v>6.21</v>
      </c>
      <c r="AB42">
        <v>1.1599999999999999</v>
      </c>
      <c r="AC42">
        <v>2.89</v>
      </c>
      <c r="AD42">
        <v>0</v>
      </c>
      <c r="AE42">
        <v>1.41</v>
      </c>
      <c r="AF42">
        <v>0</v>
      </c>
      <c r="AG42">
        <v>0.42</v>
      </c>
      <c r="AH42">
        <v>0</v>
      </c>
      <c r="AI42">
        <v>0</v>
      </c>
      <c r="AJ42">
        <v>5.33</v>
      </c>
      <c r="AK42">
        <f t="shared" si="10"/>
        <v>98.43</v>
      </c>
      <c r="AL42" s="26">
        <f t="shared" si="11"/>
        <v>34.949922564668526</v>
      </c>
      <c r="AM42" s="26">
        <f t="shared" si="12"/>
        <v>1.8957963245926936</v>
      </c>
      <c r="AN42" s="26">
        <f t="shared" si="13"/>
        <v>5.6466191603459794</v>
      </c>
      <c r="AO42" s="26">
        <f t="shared" si="14"/>
        <v>4.3725624905928253</v>
      </c>
      <c r="AP42" s="26">
        <f t="shared" si="15"/>
        <v>5.7995059607163588</v>
      </c>
      <c r="AQ42" s="26">
        <f t="shared" si="16"/>
        <v>17.184476361630544</v>
      </c>
      <c r="AR42" s="26">
        <f t="shared" si="17"/>
        <v>2.9456190204692927</v>
      </c>
      <c r="AS42" s="26">
        <f t="shared" si="18"/>
        <v>2.9863888339013935</v>
      </c>
      <c r="AT42" s="26">
        <f t="shared" si="19"/>
        <v>16.776778227309535</v>
      </c>
      <c r="AU42" s="26">
        <f t="shared" si="20"/>
        <v>6.3295135353336693</v>
      </c>
      <c r="AV42" s="26">
        <f t="shared" si="21"/>
        <v>1.4371359234815579</v>
      </c>
      <c r="AW42" s="26">
        <f t="shared" si="22"/>
        <v>100.32431840304238</v>
      </c>
      <c r="AX42" s="26"/>
      <c r="AY42" s="26"/>
      <c r="AZ42">
        <v>0</v>
      </c>
      <c r="BA42">
        <v>0</v>
      </c>
      <c r="BB42">
        <v>0</v>
      </c>
      <c r="BC42">
        <v>0</v>
      </c>
      <c r="BF42" t="s">
        <v>1127</v>
      </c>
      <c r="BG42">
        <v>0</v>
      </c>
      <c r="BH42" t="s">
        <v>1128</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210">
      <c r="A43" t="s">
        <v>732</v>
      </c>
      <c r="B43" t="s">
        <v>1787</v>
      </c>
      <c r="C43" t="s">
        <v>24</v>
      </c>
      <c r="D43" t="str">
        <f t="shared" si="9"/>
        <v>silicic - low-Mg carbonatitic</v>
      </c>
      <c r="E43" t="s">
        <v>71</v>
      </c>
      <c r="F43" t="s">
        <v>1394</v>
      </c>
      <c r="G43" t="s">
        <v>104</v>
      </c>
      <c r="H43" t="s">
        <v>595</v>
      </c>
      <c r="I43" s="118">
        <v>240</v>
      </c>
      <c r="J43" t="s">
        <v>716</v>
      </c>
      <c r="K43">
        <v>0</v>
      </c>
      <c r="L43" t="s">
        <v>172</v>
      </c>
      <c r="M43">
        <v>0</v>
      </c>
      <c r="N43" t="s">
        <v>718</v>
      </c>
      <c r="O43">
        <v>4</v>
      </c>
      <c r="P43">
        <v>31.9</v>
      </c>
      <c r="Q43">
        <v>4.2</v>
      </c>
      <c r="R43">
        <v>0</v>
      </c>
      <c r="S43">
        <v>2.9</v>
      </c>
      <c r="T43">
        <v>15.7</v>
      </c>
      <c r="U43">
        <v>5.7</v>
      </c>
      <c r="V43">
        <v>0</v>
      </c>
      <c r="W43">
        <v>10.5</v>
      </c>
      <c r="X43">
        <v>2.6</v>
      </c>
      <c r="Y43">
        <v>21.4</v>
      </c>
      <c r="Z43">
        <v>0</v>
      </c>
      <c r="AA43">
        <v>0</v>
      </c>
      <c r="AB43">
        <v>0</v>
      </c>
      <c r="AC43">
        <v>0</v>
      </c>
      <c r="AD43">
        <v>0</v>
      </c>
      <c r="AE43">
        <v>0</v>
      </c>
      <c r="AF43">
        <v>0</v>
      </c>
      <c r="AG43">
        <v>0</v>
      </c>
      <c r="AH43">
        <v>0</v>
      </c>
      <c r="AI43">
        <v>0</v>
      </c>
      <c r="AJ43">
        <v>0</v>
      </c>
      <c r="AK43">
        <f t="shared" si="10"/>
        <v>94.9</v>
      </c>
      <c r="AL43" s="26">
        <f t="shared" si="11"/>
        <v>33.614330874604839</v>
      </c>
      <c r="AM43" s="26">
        <f t="shared" si="12"/>
        <v>4.4257112750263436</v>
      </c>
      <c r="AN43" s="26">
        <f t="shared" si="13"/>
        <v>3.0558482613277134</v>
      </c>
      <c r="AO43" s="26">
        <f t="shared" si="14"/>
        <v>16.543730242360375</v>
      </c>
      <c r="AP43" s="26">
        <f t="shared" si="15"/>
        <v>6.0063224446786085</v>
      </c>
      <c r="AQ43" s="26">
        <f t="shared" si="16"/>
        <v>11.064278187565858</v>
      </c>
      <c r="AR43" s="26">
        <f t="shared" si="17"/>
        <v>0</v>
      </c>
      <c r="AS43" s="26">
        <f t="shared" si="18"/>
        <v>2.7397260273972601</v>
      </c>
      <c r="AT43" s="26">
        <f t="shared" si="19"/>
        <v>22.550052687038985</v>
      </c>
      <c r="AU43" s="26">
        <f t="shared" si="20"/>
        <v>0</v>
      </c>
      <c r="AV43" s="26">
        <f t="shared" si="21"/>
        <v>0</v>
      </c>
      <c r="AW43" s="26">
        <f t="shared" si="22"/>
        <v>99.999999999999972</v>
      </c>
      <c r="AX43" s="26"/>
      <c r="AY43" s="26"/>
      <c r="AZ43">
        <v>600</v>
      </c>
      <c r="BA43">
        <v>407</v>
      </c>
      <c r="BB43">
        <v>0</v>
      </c>
      <c r="BC43">
        <v>0.5</v>
      </c>
      <c r="BD43">
        <f t="shared" si="33"/>
        <v>0.6235909465476166</v>
      </c>
      <c r="BE43">
        <f t="shared" si="34"/>
        <v>0.37640905345238329</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210">
      <c r="A44" t="s">
        <v>845</v>
      </c>
      <c r="B44" t="s">
        <v>1787</v>
      </c>
      <c r="C44" t="s">
        <v>24</v>
      </c>
      <c r="D44" t="str">
        <f t="shared" si="9"/>
        <v>silicic - low-Mg carbonatitic</v>
      </c>
      <c r="E44" t="s">
        <v>501</v>
      </c>
      <c r="F44" t="s">
        <v>1394</v>
      </c>
      <c r="G44" t="s">
        <v>142</v>
      </c>
      <c r="H44" t="s">
        <v>595</v>
      </c>
      <c r="I44">
        <v>90</v>
      </c>
      <c r="J44" t="s">
        <v>1148</v>
      </c>
      <c r="K44">
        <v>0</v>
      </c>
      <c r="L44">
        <v>0</v>
      </c>
      <c r="M44">
        <v>0</v>
      </c>
      <c r="N44" t="s">
        <v>495</v>
      </c>
      <c r="O44">
        <v>6</v>
      </c>
      <c r="P44">
        <v>25.4</v>
      </c>
      <c r="Q44">
        <v>1.4</v>
      </c>
      <c r="R44">
        <v>0</v>
      </c>
      <c r="S44">
        <v>5.5</v>
      </c>
      <c r="T44">
        <v>14.7</v>
      </c>
      <c r="U44">
        <v>10.3</v>
      </c>
      <c r="V44">
        <v>0</v>
      </c>
      <c r="W44">
        <v>10.6</v>
      </c>
      <c r="X44">
        <v>0.9</v>
      </c>
      <c r="Y44">
        <v>21.7</v>
      </c>
      <c r="Z44">
        <v>0</v>
      </c>
      <c r="AA44">
        <v>3</v>
      </c>
      <c r="AB44">
        <v>0</v>
      </c>
      <c r="AC44">
        <v>0</v>
      </c>
      <c r="AD44">
        <v>0</v>
      </c>
      <c r="AE44">
        <v>6.6</v>
      </c>
      <c r="AF44">
        <v>0</v>
      </c>
      <c r="AG44">
        <v>0</v>
      </c>
      <c r="AH44">
        <v>0</v>
      </c>
      <c r="AI44">
        <v>0</v>
      </c>
      <c r="AJ44">
        <v>8.3000000000000007</v>
      </c>
      <c r="AK44">
        <f t="shared" si="10"/>
        <v>100.1</v>
      </c>
      <c r="AL44" s="26">
        <f t="shared" si="11"/>
        <v>25.75788565813582</v>
      </c>
      <c r="AM44" s="26">
        <f t="shared" si="12"/>
        <v>1.4197259811570926</v>
      </c>
      <c r="AN44" s="26">
        <f t="shared" si="13"/>
        <v>5.5774949259742916</v>
      </c>
      <c r="AO44" s="26">
        <f t="shared" si="14"/>
        <v>14.907122802149471</v>
      </c>
      <c r="AP44" s="26">
        <f t="shared" si="15"/>
        <v>10.445126861370039</v>
      </c>
      <c r="AQ44" s="26">
        <f t="shared" si="16"/>
        <v>10.749353857332272</v>
      </c>
      <c r="AR44" s="26">
        <f t="shared" si="17"/>
        <v>0</v>
      </c>
      <c r="AS44" s="26">
        <f t="shared" si="18"/>
        <v>0.91268098788670238</v>
      </c>
      <c r="AT44" s="26">
        <f t="shared" si="19"/>
        <v>22.005752707934935</v>
      </c>
      <c r="AU44" s="26">
        <f t="shared" si="20"/>
        <v>3.0422699596223413</v>
      </c>
      <c r="AV44" s="26">
        <f t="shared" si="21"/>
        <v>6.6929939111691494</v>
      </c>
      <c r="AW44" s="26">
        <f t="shared" si="22"/>
        <v>101.51040765273211</v>
      </c>
      <c r="AX44" s="26"/>
      <c r="AY44" s="26"/>
      <c r="AZ44">
        <v>0</v>
      </c>
      <c r="BA44">
        <v>0</v>
      </c>
      <c r="BB44">
        <v>0</v>
      </c>
      <c r="BC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210" s="4" customFormat="1">
      <c r="A45" s="4" t="s">
        <v>1651</v>
      </c>
      <c r="B45" t="s">
        <v>1787</v>
      </c>
      <c r="C45" s="4" t="s">
        <v>24</v>
      </c>
      <c r="D45" s="16" t="str">
        <f>_xlfn.IFS(AND(AV45&gt;=15),"saline",AND(AL45&gt;=40,AV45&lt;=15),"silicic",AND(AL45&lt;=40,AL45&gt;=20,AP45&lt;=15,AV45&lt;=15),"silicic - low-Mg carbonatitic",AND(AP45&lt;15,AQ45&gt;=15,AL45&lt;=20,AV45&lt;=15),"low-Mg carbonatitic",AND(AP45&gt;=15,AL45&lt;=20),"high-Mg carbonatitic")</f>
        <v>silicic - low-Mg carbonatitic</v>
      </c>
      <c r="E45" s="4" t="s">
        <v>110</v>
      </c>
      <c r="F45" s="4" t="s">
        <v>1394</v>
      </c>
      <c r="G45" s="4" t="s">
        <v>1628</v>
      </c>
      <c r="H45" s="4" t="s">
        <v>595</v>
      </c>
      <c r="I45" s="4">
        <v>132</v>
      </c>
      <c r="J45" s="4" t="s">
        <v>735</v>
      </c>
      <c r="L45" s="4" t="s">
        <v>1276</v>
      </c>
      <c r="N45" s="53" t="s">
        <v>1631</v>
      </c>
      <c r="O45" s="86">
        <v>3</v>
      </c>
      <c r="P45" s="53">
        <v>23.1</v>
      </c>
      <c r="Q45" s="53">
        <v>9</v>
      </c>
      <c r="R45" s="53" t="s">
        <v>1629</v>
      </c>
      <c r="S45" s="53">
        <v>2.2000000000000002</v>
      </c>
      <c r="T45" s="53">
        <v>7.4</v>
      </c>
      <c r="U45" s="53">
        <v>4.5999999999999996</v>
      </c>
      <c r="V45" s="53"/>
      <c r="W45" s="53">
        <v>2.4</v>
      </c>
      <c r="X45" s="53">
        <v>0.6</v>
      </c>
      <c r="Y45" s="53">
        <v>12.8</v>
      </c>
      <c r="Z45" s="53">
        <v>0</v>
      </c>
      <c r="AA45" s="53">
        <v>8.9</v>
      </c>
      <c r="AB45" s="53"/>
      <c r="AC45" s="53">
        <v>27.4</v>
      </c>
      <c r="AD45" s="53"/>
      <c r="AE45" s="53">
        <v>0.6</v>
      </c>
      <c r="AF45" s="53"/>
      <c r="AG45" s="53"/>
      <c r="AH45" s="53"/>
      <c r="AI45" s="53"/>
      <c r="AJ45" s="53">
        <v>9.9</v>
      </c>
      <c r="AK45">
        <f t="shared" si="10"/>
        <v>99</v>
      </c>
      <c r="AL45" s="26">
        <f t="shared" si="11"/>
        <v>23.365289963620803</v>
      </c>
      <c r="AM45" s="26">
        <f t="shared" si="12"/>
        <v>9.1033597260860279</v>
      </c>
      <c r="AN45" s="26">
        <f t="shared" si="13"/>
        <v>2.225265710821029</v>
      </c>
      <c r="AO45" s="26">
        <f t="shared" si="14"/>
        <v>7.4849846636707333</v>
      </c>
      <c r="AP45" s="26">
        <f t="shared" si="15"/>
        <v>4.6528283044439691</v>
      </c>
      <c r="AQ45" s="26">
        <f t="shared" si="16"/>
        <v>2.4275625936229406</v>
      </c>
      <c r="AR45" s="26">
        <f t="shared" si="17"/>
        <v>27.714672943861903</v>
      </c>
      <c r="AS45" s="26">
        <f t="shared" si="18"/>
        <v>0.60689064840573514</v>
      </c>
      <c r="AT45" s="26">
        <f t="shared" si="19"/>
        <v>12.94700049932235</v>
      </c>
      <c r="AU45" s="26">
        <f t="shared" si="20"/>
        <v>9.002211284685071</v>
      </c>
      <c r="AV45" s="26">
        <f t="shared" si="21"/>
        <v>0.60689064840573514</v>
      </c>
      <c r="AW45" s="26">
        <f t="shared" si="22"/>
        <v>100.1369569869463</v>
      </c>
      <c r="AX45" s="26"/>
      <c r="AY45" s="26"/>
      <c r="BF45" s="44"/>
      <c r="BG45" s="44"/>
      <c r="BH45" s="16">
        <v>1086</v>
      </c>
      <c r="BI45" s="16">
        <v>11</v>
      </c>
      <c r="BJ45" s="16"/>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DC45" s="49"/>
      <c r="DD45" s="49"/>
      <c r="DE45" s="49"/>
      <c r="DF45" s="49"/>
      <c r="DG45" s="49"/>
      <c r="DH45" s="49"/>
      <c r="DI45" s="49"/>
      <c r="DJ45" s="49"/>
      <c r="DK45" s="49"/>
      <c r="DL45" s="49"/>
      <c r="DM45" s="49"/>
      <c r="DN45" s="49"/>
      <c r="DO45" s="49"/>
      <c r="DP45" s="49"/>
      <c r="EU45" s="49"/>
      <c r="EV45" s="49"/>
      <c r="EW45" s="49"/>
      <c r="EX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row>
    <row r="46" spans="1:210" s="4" customFormat="1" ht="16">
      <c r="A46" s="4" t="s">
        <v>1651</v>
      </c>
      <c r="B46" t="s">
        <v>1787</v>
      </c>
      <c r="C46" s="4" t="s">
        <v>24</v>
      </c>
      <c r="D46" s="16" t="str">
        <f>_xlfn.IFS(AND(AV46&gt;=15),"saline",AND(AL46&gt;=40,AV46&lt;=15),"silicic",AND(AL46&lt;=40,AL46&gt;=20,AP46&lt;=15,AV46&lt;=15),"silicic - low-Mg carbonatitic",AND(AP46&lt;15,AQ46&gt;=15,AL46&lt;=20,AV46&lt;=15),"low-Mg carbonatitic",AND(AP46&gt;=15,AL46&lt;=20),"high-Mg carbonatitic")</f>
        <v>silicic - low-Mg carbonatitic</v>
      </c>
      <c r="E46" s="4" t="s">
        <v>110</v>
      </c>
      <c r="F46" s="4" t="s">
        <v>1394</v>
      </c>
      <c r="G46" s="4" t="s">
        <v>1628</v>
      </c>
      <c r="H46" s="4" t="s">
        <v>595</v>
      </c>
      <c r="I46" s="4">
        <v>132</v>
      </c>
      <c r="J46" s="4" t="s">
        <v>735</v>
      </c>
      <c r="L46" s="46" t="s">
        <v>1276</v>
      </c>
      <c r="M46" s="87" t="s">
        <v>1647</v>
      </c>
      <c r="N46" s="53" t="s">
        <v>1644</v>
      </c>
      <c r="O46" s="86">
        <v>6</v>
      </c>
      <c r="P46" s="53">
        <v>22.9</v>
      </c>
      <c r="Q46" s="53">
        <v>3.4</v>
      </c>
      <c r="R46" s="53">
        <v>0.2</v>
      </c>
      <c r="S46" s="53">
        <v>4.3</v>
      </c>
      <c r="T46" s="53">
        <v>18.7</v>
      </c>
      <c r="U46" s="53">
        <v>10.4</v>
      </c>
      <c r="V46" s="53"/>
      <c r="W46" s="53">
        <v>16.3</v>
      </c>
      <c r="X46" s="53">
        <v>6.5</v>
      </c>
      <c r="Y46" s="53">
        <v>13</v>
      </c>
      <c r="Z46" s="53">
        <v>0.9</v>
      </c>
      <c r="AA46" s="53">
        <v>1.9</v>
      </c>
      <c r="AB46" s="53"/>
      <c r="AC46" s="53">
        <v>0.7</v>
      </c>
      <c r="AD46" s="53"/>
      <c r="AE46" s="53">
        <v>0.2</v>
      </c>
      <c r="AF46" s="53"/>
      <c r="AG46" s="53"/>
      <c r="AH46" s="53"/>
      <c r="AI46" s="53"/>
      <c r="AJ46" s="53">
        <v>2.9</v>
      </c>
      <c r="AK46">
        <f t="shared" si="10"/>
        <v>98.300000000000011</v>
      </c>
      <c r="AL46" s="26">
        <f t="shared" si="11"/>
        <v>23.306733732686212</v>
      </c>
      <c r="AM46" s="26">
        <f t="shared" si="12"/>
        <v>3.4603884144599619</v>
      </c>
      <c r="AN46" s="26">
        <f t="shared" si="13"/>
        <v>4.3763735829934811</v>
      </c>
      <c r="AO46" s="26">
        <f t="shared" si="14"/>
        <v>19.032136279529791</v>
      </c>
      <c r="AP46" s="26">
        <f t="shared" si="15"/>
        <v>10.584717503054001</v>
      </c>
      <c r="AQ46" s="26">
        <f t="shared" si="16"/>
        <v>16.589509163440404</v>
      </c>
      <c r="AR46" s="26">
        <f t="shared" si="17"/>
        <v>0.71243290885940391</v>
      </c>
      <c r="AS46" s="26">
        <f t="shared" si="18"/>
        <v>6.6154484394087509</v>
      </c>
      <c r="AT46" s="26">
        <f t="shared" si="19"/>
        <v>13.230896878817502</v>
      </c>
      <c r="AU46" s="26">
        <f t="shared" si="20"/>
        <v>1.9337464669040965</v>
      </c>
      <c r="AV46" s="26">
        <f t="shared" si="21"/>
        <v>0.20355225967411539</v>
      </c>
      <c r="AW46" s="26">
        <f t="shared" si="22"/>
        <v>100.04593562982771</v>
      </c>
      <c r="AX46" s="26"/>
      <c r="AY46" s="26"/>
      <c r="AZ46" s="47"/>
      <c r="BA46" s="44"/>
      <c r="BB46" s="47"/>
      <c r="BC46" s="44"/>
      <c r="BD46" s="44"/>
      <c r="BE46" s="44"/>
      <c r="BF46" s="44"/>
      <c r="BH46" s="16">
        <v>867.2</v>
      </c>
      <c r="BI46" s="16">
        <v>23</v>
      </c>
      <c r="BJ46" s="16"/>
      <c r="BL46" s="44"/>
      <c r="BM46" s="26"/>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5"/>
      <c r="DD46" s="45"/>
      <c r="DE46" s="45"/>
      <c r="DF46" s="45"/>
      <c r="DG46" s="45"/>
      <c r="DH46" s="45"/>
      <c r="DI46" s="45"/>
      <c r="DJ46" s="45"/>
      <c r="DK46" s="45"/>
      <c r="DL46" s="45"/>
      <c r="DM46" s="45"/>
      <c r="DN46" s="45"/>
      <c r="DO46" s="45"/>
      <c r="DP46" s="45"/>
      <c r="DQ46" s="44"/>
      <c r="EU46" s="45"/>
      <c r="EV46" s="45"/>
      <c r="EW46" s="45"/>
      <c r="EX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row>
    <row r="47" spans="1:210">
      <c r="A47" t="s">
        <v>1162</v>
      </c>
      <c r="B47" t="s">
        <v>1787</v>
      </c>
      <c r="C47" t="s">
        <v>24</v>
      </c>
      <c r="D47" t="s">
        <v>1369</v>
      </c>
      <c r="E47" t="s">
        <v>1430</v>
      </c>
      <c r="F47" t="s">
        <v>801</v>
      </c>
      <c r="G47" t="s">
        <v>800</v>
      </c>
      <c r="H47" t="s">
        <v>829</v>
      </c>
      <c r="I47" s="118">
        <v>0</v>
      </c>
      <c r="J47" t="s">
        <v>712</v>
      </c>
      <c r="K47">
        <v>0</v>
      </c>
      <c r="L47" t="s">
        <v>1169</v>
      </c>
      <c r="M47" t="s">
        <v>1427</v>
      </c>
      <c r="N47" t="s">
        <v>786</v>
      </c>
      <c r="O47">
        <v>6</v>
      </c>
      <c r="P47">
        <v>16.3</v>
      </c>
      <c r="Q47">
        <v>1.1000000000000001</v>
      </c>
      <c r="R47">
        <v>0</v>
      </c>
      <c r="S47">
        <v>2.4</v>
      </c>
      <c r="T47">
        <v>2.9</v>
      </c>
      <c r="U47">
        <v>0.9</v>
      </c>
      <c r="V47">
        <v>0</v>
      </c>
      <c r="W47">
        <v>3.6</v>
      </c>
      <c r="X47">
        <v>2.9</v>
      </c>
      <c r="Y47">
        <v>11</v>
      </c>
      <c r="Z47">
        <v>0</v>
      </c>
      <c r="AA47">
        <v>0.7</v>
      </c>
      <c r="AB47">
        <v>0</v>
      </c>
      <c r="AC47">
        <v>49.8</v>
      </c>
      <c r="AD47">
        <v>0</v>
      </c>
      <c r="AE47">
        <v>9.3000000000000007</v>
      </c>
      <c r="AF47">
        <v>0</v>
      </c>
      <c r="AG47">
        <v>0</v>
      </c>
      <c r="AH47">
        <v>0</v>
      </c>
      <c r="AI47">
        <v>0</v>
      </c>
      <c r="AJ47">
        <v>10.4</v>
      </c>
      <c r="AK47">
        <f t="shared" si="10"/>
        <v>100.89999999999999</v>
      </c>
      <c r="AL47" s="26">
        <f t="shared" si="11"/>
        <v>16.497763743377956</v>
      </c>
      <c r="AM47" s="26">
        <f t="shared" si="12"/>
        <v>1.1133460194917639</v>
      </c>
      <c r="AN47" s="26">
        <f t="shared" si="13"/>
        <v>2.4291185879820301</v>
      </c>
      <c r="AO47" s="26">
        <f t="shared" si="14"/>
        <v>2.9351849604782863</v>
      </c>
      <c r="AP47" s="26">
        <f t="shared" si="15"/>
        <v>0.91091947049326127</v>
      </c>
      <c r="AQ47" s="26">
        <f t="shared" si="16"/>
        <v>3.6436778819730451</v>
      </c>
      <c r="AR47" s="26">
        <f t="shared" si="17"/>
        <v>50.404210700627118</v>
      </c>
      <c r="AS47" s="26">
        <f t="shared" si="18"/>
        <v>2.9351849604782863</v>
      </c>
      <c r="AT47" s="26">
        <f t="shared" si="19"/>
        <v>11.133460194917639</v>
      </c>
      <c r="AU47" s="26">
        <f t="shared" si="20"/>
        <v>0.70849292149475873</v>
      </c>
      <c r="AV47" s="26">
        <f t="shared" si="21"/>
        <v>9.4128345284303663</v>
      </c>
      <c r="AW47" s="26">
        <f t="shared" si="22"/>
        <v>102.1241939697445</v>
      </c>
      <c r="AX47" s="26"/>
      <c r="AY47" s="26"/>
      <c r="AZ47">
        <v>0</v>
      </c>
      <c r="BA47">
        <v>0</v>
      </c>
      <c r="BB47">
        <v>0</v>
      </c>
      <c r="BC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210" s="21" customFormat="1" ht="16">
      <c r="A48" s="33" t="s">
        <v>1492</v>
      </c>
      <c r="B48" s="33"/>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5"/>
      <c r="DX48" s="35"/>
      <c r="DY48" s="35"/>
      <c r="DZ48" s="35"/>
      <c r="EA48" s="35"/>
      <c r="EB48" s="35"/>
      <c r="EC48" s="35"/>
      <c r="ED48" s="35"/>
      <c r="EE48" s="35"/>
      <c r="EF48" s="35"/>
      <c r="EG48" s="35"/>
      <c r="EH48" s="35"/>
      <c r="EI48" s="35"/>
      <c r="EJ48" s="35"/>
      <c r="EK48" s="34"/>
      <c r="EL48" s="34"/>
      <c r="EM48" s="34"/>
      <c r="EN48" s="34"/>
      <c r="EO48" s="34"/>
    </row>
    <row r="49" spans="1:145">
      <c r="A49" t="s">
        <v>1431</v>
      </c>
      <c r="B49" t="s">
        <v>1492</v>
      </c>
      <c r="C49" t="s">
        <v>24</v>
      </c>
      <c r="D49" t="str">
        <f t="shared" ref="D49:D53" si="35">_xlfn.IFS(AND(AV49&gt;=15),"saline",AND(AL49&gt;=40,AV49&lt;=15),"silicic",AND(AL49&lt;=40,AL49&gt;=20,AP49&lt;=15,AV49&lt;=15),"silicic - low-Mg carbonatitic",AND(AP49&lt;15,AQ49&gt;=15,AL49&lt;=20,AV49&lt;=15),"low-Mg carbonatitic",AND(AP49&gt;=15,AL49&lt;=20),"high-Mg carbonatitic")</f>
        <v>silicic</v>
      </c>
      <c r="E49">
        <v>0</v>
      </c>
      <c r="F49" t="s">
        <v>388</v>
      </c>
      <c r="G49" t="s">
        <v>342</v>
      </c>
      <c r="H49" t="s">
        <v>640</v>
      </c>
      <c r="J49">
        <v>0</v>
      </c>
      <c r="K49" t="s">
        <v>1311</v>
      </c>
      <c r="L49" t="s">
        <v>115</v>
      </c>
      <c r="M49">
        <v>0</v>
      </c>
      <c r="N49" t="s">
        <v>1252</v>
      </c>
      <c r="O49">
        <v>16</v>
      </c>
      <c r="P49">
        <v>44.5</v>
      </c>
      <c r="Q49">
        <v>3.51</v>
      </c>
      <c r="R49">
        <v>0</v>
      </c>
      <c r="S49">
        <v>6.01</v>
      </c>
      <c r="T49">
        <v>8.51</v>
      </c>
      <c r="U49">
        <v>3.74</v>
      </c>
      <c r="V49">
        <v>0</v>
      </c>
      <c r="W49">
        <v>6.83</v>
      </c>
      <c r="X49">
        <v>1.75</v>
      </c>
      <c r="Y49">
        <v>18.3</v>
      </c>
      <c r="Z49">
        <v>0</v>
      </c>
      <c r="AA49">
        <v>4.38</v>
      </c>
      <c r="AB49">
        <v>0</v>
      </c>
      <c r="AC49">
        <v>0</v>
      </c>
      <c r="AD49">
        <v>0</v>
      </c>
      <c r="AE49">
        <v>2.46</v>
      </c>
      <c r="AF49">
        <v>0</v>
      </c>
      <c r="AG49">
        <v>0</v>
      </c>
      <c r="AH49">
        <v>0</v>
      </c>
      <c r="AI49">
        <v>0</v>
      </c>
      <c r="AJ49">
        <v>8.68</v>
      </c>
      <c r="AK49">
        <f t="shared" ref="AK49" si="36">SUM(P49:Q49,S49:U49,W49:Y49,AA49,AC49,AE49)</f>
        <v>99.989999999999981</v>
      </c>
      <c r="AL49" s="26">
        <f t="shared" ref="AL49" si="37">100*(P49/($AK49-$AE49*8/35.45))</f>
        <v>44.752920276808389</v>
      </c>
      <c r="AM49" s="26">
        <f t="shared" ref="AM49" si="38">100*(Q49/($AK49-$AE49*8/35.45))</f>
        <v>3.5299494420583692</v>
      </c>
      <c r="AN49" s="26">
        <f t="shared" ref="AN49" si="39">100*(S49/($AK49-$AE49*8/35.45))</f>
        <v>6.044158446373447</v>
      </c>
      <c r="AO49" s="26">
        <f t="shared" ref="AO49" si="40">100*(T49/($AK49-$AE49*8/35.45))</f>
        <v>8.5583674506885252</v>
      </c>
      <c r="AP49" s="26">
        <f t="shared" ref="AP49" si="41">100*(U49/($AK49-$AE49*8/35.45))</f>
        <v>3.7612566704553569</v>
      </c>
      <c r="AQ49" s="26">
        <f t="shared" ref="AQ49" si="42">100*(W49/($AK49-$AE49*8/35.45))</f>
        <v>6.8688189997887932</v>
      </c>
      <c r="AR49" s="26">
        <f t="shared" ref="AR49" si="43">100*(AC49/($AK49-$AE49*8/35.45))</f>
        <v>0</v>
      </c>
      <c r="AS49" s="26">
        <f t="shared" ref="AS49" si="44">100*(X49/($AK49-$AE49*8/35.45))</f>
        <v>1.7599463030205547</v>
      </c>
      <c r="AT49" s="26">
        <f t="shared" ref="AT49" si="45">100*(Y49/($AK49-$AE49*8/35.45))</f>
        <v>18.404009911586371</v>
      </c>
      <c r="AU49" s="26">
        <f t="shared" ref="AU49" si="46">100*(AA49/($AK49-$AE49*8/35.45))</f>
        <v>4.4048941755600168</v>
      </c>
      <c r="AV49" s="26">
        <f t="shared" ref="AV49" si="47">100*(AE49/($AK49-$AE49*8/35.45))</f>
        <v>2.4739816602460367</v>
      </c>
      <c r="AW49" s="26">
        <f t="shared" ref="AW49" si="48">SUM(AL49:AV49)</f>
        <v>100.55830333658585</v>
      </c>
      <c r="AX49" s="26"/>
      <c r="AY49" s="26"/>
      <c r="AZ49">
        <v>0</v>
      </c>
      <c r="BA49">
        <v>0</v>
      </c>
      <c r="BB49">
        <v>0</v>
      </c>
      <c r="BC49">
        <v>0</v>
      </c>
      <c r="BF49">
        <v>0</v>
      </c>
      <c r="BG49">
        <v>0</v>
      </c>
      <c r="BH49">
        <v>0</v>
      </c>
      <c r="BI49">
        <v>0</v>
      </c>
      <c r="BJ49">
        <v>0</v>
      </c>
      <c r="BK49">
        <v>0</v>
      </c>
      <c r="BL49" s="19">
        <v>0</v>
      </c>
      <c r="BM49" s="19">
        <v>0</v>
      </c>
      <c r="BN49" s="19">
        <v>0</v>
      </c>
      <c r="BO49" s="19">
        <v>0</v>
      </c>
      <c r="BP49" s="19">
        <v>0</v>
      </c>
      <c r="BQ49" s="19">
        <v>0</v>
      </c>
      <c r="BR49" s="19">
        <v>0</v>
      </c>
      <c r="BS49" s="19">
        <v>0</v>
      </c>
      <c r="BT49" s="19">
        <v>0</v>
      </c>
      <c r="BU49" s="19" t="s">
        <v>1192</v>
      </c>
      <c r="BV49" s="19">
        <v>0</v>
      </c>
      <c r="BW49" s="19">
        <v>0</v>
      </c>
      <c r="BX49" s="19">
        <v>0</v>
      </c>
      <c r="BY49" s="19">
        <v>0</v>
      </c>
      <c r="BZ49" s="19">
        <v>0</v>
      </c>
      <c r="CA49" s="19">
        <v>0</v>
      </c>
      <c r="CB49" s="19">
        <v>0</v>
      </c>
      <c r="CC49" s="19">
        <v>0</v>
      </c>
      <c r="CD49" s="19">
        <v>0</v>
      </c>
      <c r="CE49" s="19">
        <v>0</v>
      </c>
      <c r="CF49" s="19">
        <v>0</v>
      </c>
      <c r="CG49" s="19">
        <v>0</v>
      </c>
      <c r="CH49" s="19">
        <v>0</v>
      </c>
      <c r="CI49" s="19" t="s">
        <v>1192</v>
      </c>
      <c r="CJ49" s="19">
        <v>1.708</v>
      </c>
      <c r="CK49" s="19" t="s">
        <v>1192</v>
      </c>
      <c r="CL49" s="19">
        <v>0.36499999999999999</v>
      </c>
      <c r="CM49" s="19">
        <v>0</v>
      </c>
      <c r="CN49" s="19">
        <v>0.22600000000000001</v>
      </c>
      <c r="CO49" s="19">
        <v>0</v>
      </c>
      <c r="CP49" s="19">
        <v>0</v>
      </c>
      <c r="CQ49" s="19">
        <v>0</v>
      </c>
      <c r="CR49" s="19">
        <v>0</v>
      </c>
      <c r="CS49" s="19">
        <v>0</v>
      </c>
      <c r="CT49" s="19">
        <v>13.77</v>
      </c>
      <c r="CU49" s="19">
        <v>0</v>
      </c>
      <c r="CV49" s="19">
        <v>0.47599999999999998</v>
      </c>
      <c r="CW49" s="19">
        <v>0.625</v>
      </c>
      <c r="CX49" s="19" t="s">
        <v>1192</v>
      </c>
      <c r="CY49" s="19" t="s">
        <v>1192</v>
      </c>
      <c r="CZ49" s="19" t="s">
        <v>1192</v>
      </c>
      <c r="DA49" s="19">
        <v>2.1000000000000001E-2</v>
      </c>
      <c r="DB49" s="19">
        <v>5.3999999999999999E-2</v>
      </c>
      <c r="DC49" s="19">
        <v>2.3E-2</v>
      </c>
      <c r="DD49" s="19">
        <v>0</v>
      </c>
      <c r="DE49" s="19" t="s">
        <v>1192</v>
      </c>
      <c r="DF49" s="19">
        <v>0</v>
      </c>
      <c r="DG49" s="19" t="s">
        <v>1192</v>
      </c>
      <c r="DH49" s="19">
        <v>1.6E-2</v>
      </c>
      <c r="DI49" s="19">
        <v>1.6E-2</v>
      </c>
      <c r="DJ49" s="19">
        <v>0</v>
      </c>
      <c r="DK49" s="19">
        <v>0</v>
      </c>
      <c r="DL49" s="19" t="s">
        <v>1192</v>
      </c>
      <c r="DM49" s="19">
        <v>0.08</v>
      </c>
      <c r="DN49" s="19">
        <v>0.01</v>
      </c>
      <c r="DO49" s="19">
        <v>6.0000000000000001E-3</v>
      </c>
      <c r="DP49" s="19">
        <v>0</v>
      </c>
      <c r="DQ49" s="19">
        <v>0</v>
      </c>
      <c r="DR49" s="19">
        <v>0</v>
      </c>
      <c r="DS49" s="19">
        <v>0</v>
      </c>
      <c r="DT49" s="19">
        <v>0</v>
      </c>
      <c r="DU49" s="19">
        <v>0</v>
      </c>
      <c r="DV49" s="19">
        <v>0</v>
      </c>
      <c r="DW49" s="29">
        <v>0</v>
      </c>
      <c r="DX49" s="29">
        <v>0</v>
      </c>
      <c r="DY49" s="29">
        <v>0</v>
      </c>
      <c r="DZ49" s="29">
        <v>0</v>
      </c>
      <c r="EA49" s="29">
        <v>0</v>
      </c>
      <c r="EB49" s="29">
        <v>0</v>
      </c>
      <c r="EC49" s="29">
        <v>0</v>
      </c>
      <c r="ED49" s="29">
        <v>0</v>
      </c>
      <c r="EE49" s="29">
        <v>0</v>
      </c>
      <c r="EF49" s="29">
        <v>0</v>
      </c>
      <c r="EG49" s="29">
        <v>0</v>
      </c>
      <c r="EH49" s="29">
        <v>0</v>
      </c>
      <c r="EI49" s="29">
        <v>0</v>
      </c>
      <c r="EJ49" s="29">
        <v>0</v>
      </c>
      <c r="EK49" s="19">
        <v>0</v>
      </c>
      <c r="EL49" s="19"/>
      <c r="EM49" s="19"/>
      <c r="EN49" s="19"/>
      <c r="EO49" s="19"/>
    </row>
    <row r="50" spans="1:145">
      <c r="A50" t="s">
        <v>1431</v>
      </c>
      <c r="B50" t="s">
        <v>1492</v>
      </c>
      <c r="C50" t="s">
        <v>24</v>
      </c>
      <c r="D50" t="str">
        <f t="shared" si="35"/>
        <v>silicic - low-Mg carbonatitic</v>
      </c>
      <c r="E50">
        <v>0</v>
      </c>
      <c r="F50" t="s">
        <v>388</v>
      </c>
      <c r="G50" t="s">
        <v>342</v>
      </c>
      <c r="H50" t="s">
        <v>640</v>
      </c>
      <c r="J50">
        <v>0</v>
      </c>
      <c r="K50" t="s">
        <v>1311</v>
      </c>
      <c r="L50" t="s">
        <v>115</v>
      </c>
      <c r="M50">
        <v>0</v>
      </c>
      <c r="N50" t="s">
        <v>1255</v>
      </c>
      <c r="O50">
        <v>18</v>
      </c>
      <c r="P50">
        <v>23.07</v>
      </c>
      <c r="Q50">
        <v>2.52</v>
      </c>
      <c r="R50">
        <v>0</v>
      </c>
      <c r="S50">
        <v>3.03</v>
      </c>
      <c r="T50">
        <v>14.18</v>
      </c>
      <c r="U50">
        <v>5.38</v>
      </c>
      <c r="V50">
        <v>0</v>
      </c>
      <c r="W50">
        <v>22.4</v>
      </c>
      <c r="X50">
        <v>3.6</v>
      </c>
      <c r="Y50">
        <v>15.86</v>
      </c>
      <c r="Z50">
        <v>0</v>
      </c>
      <c r="AA50">
        <v>7.38</v>
      </c>
      <c r="AB50">
        <v>0</v>
      </c>
      <c r="AC50">
        <v>0</v>
      </c>
      <c r="AD50">
        <v>0</v>
      </c>
      <c r="AE50">
        <v>3.57</v>
      </c>
      <c r="AF50">
        <v>0</v>
      </c>
      <c r="AG50">
        <v>0</v>
      </c>
      <c r="AH50">
        <v>0</v>
      </c>
      <c r="AI50">
        <v>0</v>
      </c>
      <c r="AJ50">
        <v>13.66</v>
      </c>
      <c r="AK50">
        <f t="shared" ref="AK50:AK53" si="49">SUM(P50:Q50,S50:U50,W50:Y50,AA50,AC50,AE50)</f>
        <v>100.98999999999998</v>
      </c>
      <c r="AL50" s="26">
        <f t="shared" ref="AL50:AL53" si="50">100*(P50/($AK50-$AE50*8/35.45))</f>
        <v>23.027546817425879</v>
      </c>
      <c r="AM50" s="26">
        <f t="shared" ref="AM50:AM53" si="51">100*(Q50/($AK50-$AE50*8/35.45))</f>
        <v>2.5153627212792897</v>
      </c>
      <c r="AN50" s="26">
        <f t="shared" ref="AN50:AN53" si="52">100*(S50/($AK50-$AE50*8/35.45))</f>
        <v>3.0244242243953363</v>
      </c>
      <c r="AO50" s="26">
        <f t="shared" ref="AO50:AO53" si="53">100*(T50/($AK50-$AE50*8/35.45))</f>
        <v>14.153906106246161</v>
      </c>
      <c r="AP50" s="26">
        <f t="shared" ref="AP50:AP53" si="54">100*(U50/($AK50-$AE50*8/35.45))</f>
        <v>5.3700997779692772</v>
      </c>
      <c r="AQ50" s="26">
        <f t="shared" ref="AQ50:AQ53" si="55">100*(W50/($AK50-$AE50*8/35.45))</f>
        <v>22.358779744704798</v>
      </c>
      <c r="AR50" s="26">
        <f t="shared" ref="AR50:AR53" si="56">100*(AC50/($AK50-$AE50*8/35.45))</f>
        <v>0</v>
      </c>
      <c r="AS50" s="26">
        <f t="shared" ref="AS50:AS53" si="57">100*(X50/($AK50-$AE50*8/35.45))</f>
        <v>3.5933753161132711</v>
      </c>
      <c r="AT50" s="26">
        <f t="shared" ref="AT50:AT53" si="58">100*(Y50/($AK50-$AE50*8/35.45))</f>
        <v>15.83081458709902</v>
      </c>
      <c r="AU50" s="26">
        <f t="shared" ref="AU50:AU53" si="59">100*(AA50/($AK50-$AE50*8/35.45))</f>
        <v>7.366419398032205</v>
      </c>
      <c r="AV50" s="26">
        <f t="shared" ref="AV50:AV53" si="60">100*(AE50/($AK50-$AE50*8/35.45))</f>
        <v>3.5634305218123266</v>
      </c>
      <c r="AW50" s="26">
        <f t="shared" ref="AW50:AW53" si="61">SUM(AL50:AV50)</f>
        <v>100.80415921507755</v>
      </c>
      <c r="AX50" s="26"/>
      <c r="AY50" s="26"/>
      <c r="AZ50">
        <v>0</v>
      </c>
      <c r="BA50">
        <v>0</v>
      </c>
      <c r="BB50">
        <v>0</v>
      </c>
      <c r="BC50">
        <v>0</v>
      </c>
      <c r="BF50">
        <v>0</v>
      </c>
      <c r="BG50">
        <v>0</v>
      </c>
      <c r="BH50">
        <v>0</v>
      </c>
      <c r="BI50">
        <v>0</v>
      </c>
      <c r="BJ50">
        <v>0</v>
      </c>
      <c r="BK50">
        <v>0</v>
      </c>
      <c r="BL50" s="19">
        <v>0</v>
      </c>
      <c r="BM50" s="19">
        <v>0</v>
      </c>
      <c r="BN50" s="19">
        <v>0</v>
      </c>
      <c r="BO50" s="19">
        <v>0</v>
      </c>
      <c r="BP50" s="19">
        <v>0</v>
      </c>
      <c r="BQ50" s="19">
        <v>0</v>
      </c>
      <c r="BR50" s="19">
        <v>0</v>
      </c>
      <c r="BS50" s="19">
        <v>0</v>
      </c>
      <c r="BT50" s="19">
        <v>0</v>
      </c>
      <c r="BU50" s="19">
        <v>61.17</v>
      </c>
      <c r="BV50" s="19">
        <v>0</v>
      </c>
      <c r="BW50" s="19">
        <v>0</v>
      </c>
      <c r="BX50" s="19">
        <v>0</v>
      </c>
      <c r="BY50" s="19">
        <v>0</v>
      </c>
      <c r="BZ50" s="19">
        <v>0</v>
      </c>
      <c r="CA50" s="19">
        <v>0</v>
      </c>
      <c r="CB50" s="19">
        <v>0</v>
      </c>
      <c r="CC50" s="19">
        <v>0</v>
      </c>
      <c r="CD50" s="19">
        <v>0</v>
      </c>
      <c r="CE50" s="19">
        <v>0</v>
      </c>
      <c r="CF50" s="19">
        <v>0</v>
      </c>
      <c r="CG50" s="19">
        <v>0</v>
      </c>
      <c r="CH50" s="19">
        <v>0</v>
      </c>
      <c r="CI50" s="19">
        <v>0.74</v>
      </c>
      <c r="CJ50" s="19">
        <v>6.3019999999999996</v>
      </c>
      <c r="CK50" s="19">
        <v>0.48499999999999999</v>
      </c>
      <c r="CL50" s="19">
        <v>0.86299999999999999</v>
      </c>
      <c r="CM50" s="19">
        <v>0</v>
      </c>
      <c r="CN50" s="19">
        <v>7.3999999999999996E-2</v>
      </c>
      <c r="CO50" s="19">
        <v>0</v>
      </c>
      <c r="CP50" s="19">
        <v>0</v>
      </c>
      <c r="CQ50" s="19">
        <v>0</v>
      </c>
      <c r="CR50" s="19">
        <v>0</v>
      </c>
      <c r="CS50" s="19">
        <v>0</v>
      </c>
      <c r="CT50" s="19">
        <v>74.709999999999994</v>
      </c>
      <c r="CU50" s="19">
        <v>0</v>
      </c>
      <c r="CV50" s="19" t="s">
        <v>1191</v>
      </c>
      <c r="CW50" s="19" t="s">
        <v>1191</v>
      </c>
      <c r="CX50" s="19">
        <v>0.52400000000000002</v>
      </c>
      <c r="CY50" s="19">
        <v>1.9950000000000001</v>
      </c>
      <c r="CZ50" s="19">
        <v>0.17</v>
      </c>
      <c r="DA50" s="19">
        <v>6.8000000000000005E-2</v>
      </c>
      <c r="DB50" s="19" t="s">
        <v>1192</v>
      </c>
      <c r="DC50" s="19">
        <v>4.4999999999999998E-2</v>
      </c>
      <c r="DD50" s="19">
        <v>0</v>
      </c>
      <c r="DE50" s="19">
        <v>1.2999999999999999E-2</v>
      </c>
      <c r="DF50" s="19">
        <v>0</v>
      </c>
      <c r="DG50" s="19">
        <v>3.6999999999999998E-2</v>
      </c>
      <c r="DH50" s="19">
        <v>7.0000000000000001E-3</v>
      </c>
      <c r="DI50" s="19">
        <v>0.21</v>
      </c>
      <c r="DJ50" s="19">
        <v>0</v>
      </c>
      <c r="DK50" s="19">
        <v>0</v>
      </c>
      <c r="DL50" s="19">
        <v>15.22</v>
      </c>
      <c r="DM50" s="19">
        <v>0.44900000000000001</v>
      </c>
      <c r="DN50" s="19">
        <v>0.13</v>
      </c>
      <c r="DO50" s="19" t="s">
        <v>1192</v>
      </c>
      <c r="DP50" s="19">
        <v>0</v>
      </c>
      <c r="DQ50" s="19">
        <v>0</v>
      </c>
      <c r="DR50" s="19">
        <v>0</v>
      </c>
      <c r="DS50" s="19">
        <v>0</v>
      </c>
      <c r="DT50" s="19">
        <v>0</v>
      </c>
      <c r="DU50" s="19">
        <v>0</v>
      </c>
      <c r="DV50" s="19">
        <v>0</v>
      </c>
      <c r="DW50" s="63">
        <v>0.71091000000000004</v>
      </c>
      <c r="DX50" s="63">
        <v>2.4000000000000001E-4</v>
      </c>
      <c r="DY50" s="63">
        <v>0.71055999999999997</v>
      </c>
      <c r="DZ50" s="29"/>
      <c r="EA50" s="64">
        <v>87.23</v>
      </c>
      <c r="EB50" s="29">
        <v>0</v>
      </c>
      <c r="EC50" s="29">
        <v>0</v>
      </c>
      <c r="ED50" s="29">
        <v>0</v>
      </c>
      <c r="EE50" s="29">
        <v>0</v>
      </c>
      <c r="EF50" s="29">
        <v>0</v>
      </c>
      <c r="EG50" s="29">
        <v>0</v>
      </c>
      <c r="EH50" s="29">
        <v>0</v>
      </c>
      <c r="EI50" s="29">
        <v>0</v>
      </c>
      <c r="EJ50" s="29">
        <v>0</v>
      </c>
      <c r="EK50" s="19">
        <v>0</v>
      </c>
      <c r="EL50" s="19"/>
      <c r="EM50" s="19"/>
      <c r="EN50" s="19"/>
      <c r="EO50" s="19"/>
    </row>
    <row r="51" spans="1:145">
      <c r="A51" t="s">
        <v>1431</v>
      </c>
      <c r="B51" t="s">
        <v>1492</v>
      </c>
      <c r="C51" t="s">
        <v>24</v>
      </c>
      <c r="D51" t="str">
        <f t="shared" si="35"/>
        <v>silicic - low-Mg carbonatitic</v>
      </c>
      <c r="E51">
        <v>0</v>
      </c>
      <c r="F51" t="s">
        <v>388</v>
      </c>
      <c r="G51" t="s">
        <v>342</v>
      </c>
      <c r="H51" t="s">
        <v>640</v>
      </c>
      <c r="J51">
        <v>0</v>
      </c>
      <c r="K51" t="s">
        <v>1311</v>
      </c>
      <c r="L51" t="s">
        <v>115</v>
      </c>
      <c r="M51">
        <v>0</v>
      </c>
      <c r="N51" t="s">
        <v>1256</v>
      </c>
      <c r="O51">
        <v>18</v>
      </c>
      <c r="P51">
        <v>23.07</v>
      </c>
      <c r="Q51">
        <v>2.52</v>
      </c>
      <c r="R51">
        <v>0</v>
      </c>
      <c r="S51">
        <v>3.03</v>
      </c>
      <c r="T51">
        <v>14.18</v>
      </c>
      <c r="U51">
        <v>5.38</v>
      </c>
      <c r="V51">
        <v>0</v>
      </c>
      <c r="W51">
        <v>22.4</v>
      </c>
      <c r="X51">
        <v>3.6</v>
      </c>
      <c r="Y51">
        <v>15.86</v>
      </c>
      <c r="Z51">
        <v>0</v>
      </c>
      <c r="AA51">
        <v>7.38</v>
      </c>
      <c r="AB51">
        <v>0</v>
      </c>
      <c r="AC51">
        <v>0</v>
      </c>
      <c r="AD51">
        <v>0</v>
      </c>
      <c r="AE51">
        <v>3.57</v>
      </c>
      <c r="AF51">
        <v>0</v>
      </c>
      <c r="AG51">
        <v>0</v>
      </c>
      <c r="AH51">
        <v>0</v>
      </c>
      <c r="AI51">
        <v>0</v>
      </c>
      <c r="AJ51">
        <v>13.66</v>
      </c>
      <c r="AK51">
        <f t="shared" si="49"/>
        <v>100.98999999999998</v>
      </c>
      <c r="AL51" s="26">
        <f t="shared" si="50"/>
        <v>23.027546817425879</v>
      </c>
      <c r="AM51" s="26">
        <f t="shared" si="51"/>
        <v>2.5153627212792897</v>
      </c>
      <c r="AN51" s="26">
        <f t="shared" si="52"/>
        <v>3.0244242243953363</v>
      </c>
      <c r="AO51" s="26">
        <f t="shared" si="53"/>
        <v>14.153906106246161</v>
      </c>
      <c r="AP51" s="26">
        <f t="shared" si="54"/>
        <v>5.3700997779692772</v>
      </c>
      <c r="AQ51" s="26">
        <f t="shared" si="55"/>
        <v>22.358779744704798</v>
      </c>
      <c r="AR51" s="26">
        <f t="shared" si="56"/>
        <v>0</v>
      </c>
      <c r="AS51" s="26">
        <f t="shared" si="57"/>
        <v>3.5933753161132711</v>
      </c>
      <c r="AT51" s="26">
        <f t="shared" si="58"/>
        <v>15.83081458709902</v>
      </c>
      <c r="AU51" s="26">
        <f t="shared" si="59"/>
        <v>7.366419398032205</v>
      </c>
      <c r="AV51" s="26">
        <f t="shared" si="60"/>
        <v>3.5634305218123266</v>
      </c>
      <c r="AW51" s="26">
        <f t="shared" si="61"/>
        <v>100.80415921507755</v>
      </c>
      <c r="AX51" s="26"/>
      <c r="AY51" s="26"/>
      <c r="AZ51">
        <v>0</v>
      </c>
      <c r="BA51">
        <v>0</v>
      </c>
      <c r="BB51">
        <v>0</v>
      </c>
      <c r="BC51">
        <v>0</v>
      </c>
      <c r="BF51">
        <v>0</v>
      </c>
      <c r="BG51">
        <v>0</v>
      </c>
      <c r="BH51">
        <v>0</v>
      </c>
      <c r="BI51">
        <v>0</v>
      </c>
      <c r="BJ51">
        <v>0</v>
      </c>
      <c r="BK51">
        <v>0</v>
      </c>
      <c r="BL51" s="19">
        <v>0</v>
      </c>
      <c r="BM51" s="19">
        <v>0</v>
      </c>
      <c r="BN51" s="19">
        <v>0</v>
      </c>
      <c r="BO51" s="19">
        <v>0</v>
      </c>
      <c r="BP51" s="19">
        <v>0</v>
      </c>
      <c r="BQ51" s="19">
        <v>0</v>
      </c>
      <c r="BR51" s="19">
        <v>0</v>
      </c>
      <c r="BS51" s="19">
        <v>0</v>
      </c>
      <c r="BT51" s="19">
        <v>0</v>
      </c>
      <c r="BU51" s="19">
        <v>79.45</v>
      </c>
      <c r="BV51" s="19">
        <v>0</v>
      </c>
      <c r="BW51" s="19">
        <v>0</v>
      </c>
      <c r="BX51" s="19">
        <v>0</v>
      </c>
      <c r="BY51" s="19">
        <v>0</v>
      </c>
      <c r="BZ51" s="19">
        <v>0</v>
      </c>
      <c r="CA51" s="19">
        <v>0</v>
      </c>
      <c r="CB51" s="19">
        <v>0</v>
      </c>
      <c r="CC51" s="19">
        <v>0</v>
      </c>
      <c r="CD51" s="19">
        <v>0</v>
      </c>
      <c r="CE51" s="19">
        <v>0</v>
      </c>
      <c r="CF51" s="19">
        <v>0</v>
      </c>
      <c r="CG51" s="19">
        <v>0</v>
      </c>
      <c r="CH51" s="19">
        <v>0</v>
      </c>
      <c r="CI51" s="19" t="s">
        <v>1192</v>
      </c>
      <c r="CJ51" s="19">
        <v>1.171</v>
      </c>
      <c r="CK51" s="19">
        <v>0.02</v>
      </c>
      <c r="CL51" s="19">
        <v>0.621</v>
      </c>
      <c r="CM51" s="19">
        <v>0</v>
      </c>
      <c r="CN51" s="19">
        <v>9.9000000000000005E-2</v>
      </c>
      <c r="CO51" s="19">
        <v>0</v>
      </c>
      <c r="CP51" s="19">
        <v>0</v>
      </c>
      <c r="CQ51" s="19">
        <v>0</v>
      </c>
      <c r="CR51" s="19">
        <v>0</v>
      </c>
      <c r="CS51" s="19">
        <v>0</v>
      </c>
      <c r="CT51" s="19">
        <v>5.258</v>
      </c>
      <c r="CU51" s="19">
        <v>0</v>
      </c>
      <c r="CV51" s="19">
        <v>0.72</v>
      </c>
      <c r="CW51" s="19">
        <v>0.82299999999999995</v>
      </c>
      <c r="CX51" s="19">
        <v>8.3000000000000004E-2</v>
      </c>
      <c r="CY51" s="19">
        <v>0.22800000000000001</v>
      </c>
      <c r="CZ51" s="19" t="s">
        <v>1192</v>
      </c>
      <c r="DA51" s="19">
        <v>2.9000000000000001E-2</v>
      </c>
      <c r="DB51" s="19">
        <v>8.1000000000000003E-2</v>
      </c>
      <c r="DC51" s="19">
        <v>2.3E-2</v>
      </c>
      <c r="DD51" s="19">
        <v>0</v>
      </c>
      <c r="DE51" s="19" t="s">
        <v>1192</v>
      </c>
      <c r="DF51" s="19">
        <v>0</v>
      </c>
      <c r="DG51" s="19">
        <v>4.9000000000000002E-2</v>
      </c>
      <c r="DH51" s="19">
        <v>2.5999999999999999E-2</v>
      </c>
      <c r="DI51" s="19">
        <v>2.5999999999999999E-2</v>
      </c>
      <c r="DJ51" s="19">
        <v>0</v>
      </c>
      <c r="DK51" s="19">
        <v>0</v>
      </c>
      <c r="DL51" s="19" t="s">
        <v>1192</v>
      </c>
      <c r="DM51" s="19">
        <v>0.13400000000000001</v>
      </c>
      <c r="DN51" s="19">
        <v>1.2999999999999999E-2</v>
      </c>
      <c r="DO51" s="19">
        <v>0.01</v>
      </c>
      <c r="DP51" s="19">
        <v>0</v>
      </c>
      <c r="DQ51" s="19">
        <v>0</v>
      </c>
      <c r="DR51" s="19">
        <v>0</v>
      </c>
      <c r="DS51" s="19">
        <v>0</v>
      </c>
      <c r="DT51" s="19">
        <v>0</v>
      </c>
      <c r="DU51" s="19">
        <v>0</v>
      </c>
      <c r="DV51" s="19">
        <v>0</v>
      </c>
      <c r="DW51" s="29">
        <v>0</v>
      </c>
      <c r="DX51" s="29">
        <v>0</v>
      </c>
      <c r="DY51" s="29">
        <v>0</v>
      </c>
      <c r="DZ51" s="29">
        <v>0</v>
      </c>
      <c r="EA51" s="29">
        <v>0</v>
      </c>
      <c r="EB51" s="29">
        <v>0</v>
      </c>
      <c r="EC51" s="29">
        <v>0</v>
      </c>
      <c r="ED51" s="29">
        <v>0</v>
      </c>
      <c r="EE51" s="29">
        <v>0</v>
      </c>
      <c r="EF51" s="29">
        <v>0</v>
      </c>
      <c r="EG51" s="29">
        <v>0</v>
      </c>
      <c r="EH51" s="29">
        <v>0</v>
      </c>
      <c r="EI51" s="29">
        <v>0</v>
      </c>
      <c r="EJ51" s="29">
        <v>0</v>
      </c>
      <c r="EK51" s="19">
        <v>0</v>
      </c>
      <c r="EL51" s="19"/>
      <c r="EM51" s="19"/>
      <c r="EN51" s="19"/>
      <c r="EO51" s="19"/>
    </row>
    <row r="52" spans="1:145">
      <c r="A52" t="s">
        <v>1362</v>
      </c>
      <c r="B52" t="s">
        <v>1492</v>
      </c>
      <c r="C52" t="s">
        <v>24</v>
      </c>
      <c r="D52" t="str">
        <f t="shared" si="35"/>
        <v>silicic - low-Mg carbonatitic</v>
      </c>
      <c r="E52" t="s">
        <v>1265</v>
      </c>
      <c r="F52" t="s">
        <v>171</v>
      </c>
      <c r="G52" t="s">
        <v>1266</v>
      </c>
      <c r="H52" t="s">
        <v>595</v>
      </c>
      <c r="I52">
        <v>540</v>
      </c>
      <c r="J52" t="s">
        <v>735</v>
      </c>
      <c r="K52" t="s">
        <v>1311</v>
      </c>
      <c r="L52" t="s">
        <v>115</v>
      </c>
      <c r="M52">
        <v>0</v>
      </c>
      <c r="N52" t="s">
        <v>1259</v>
      </c>
      <c r="O52">
        <v>30</v>
      </c>
      <c r="P52">
        <v>22.195938485509597</v>
      </c>
      <c r="Q52">
        <v>1.4764448139533004</v>
      </c>
      <c r="R52">
        <v>0</v>
      </c>
      <c r="S52">
        <v>2.6677801875475819</v>
      </c>
      <c r="T52">
        <v>10.057459076595354</v>
      </c>
      <c r="U52">
        <v>9.0098394332265066</v>
      </c>
      <c r="V52">
        <v>0</v>
      </c>
      <c r="W52">
        <v>15.036087625267296</v>
      </c>
      <c r="X52">
        <v>5.7954218005242186</v>
      </c>
      <c r="Y52">
        <v>23.027110623387792</v>
      </c>
      <c r="Z52">
        <v>0</v>
      </c>
      <c r="AA52">
        <v>5.1091919298252302</v>
      </c>
      <c r="AB52">
        <v>0</v>
      </c>
      <c r="AC52">
        <v>1.9301345422257346</v>
      </c>
      <c r="AD52">
        <v>0</v>
      </c>
      <c r="AE52">
        <v>4.7713394548153216</v>
      </c>
      <c r="AF52">
        <v>0</v>
      </c>
      <c r="AG52">
        <v>0</v>
      </c>
      <c r="AH52">
        <v>0</v>
      </c>
      <c r="AI52">
        <v>0</v>
      </c>
      <c r="AJ52">
        <v>0</v>
      </c>
      <c r="AK52">
        <f t="shared" si="49"/>
        <v>101.07674797287794</v>
      </c>
      <c r="AL52" s="26">
        <f t="shared" si="50"/>
        <v>22.195938485509593</v>
      </c>
      <c r="AM52" s="26">
        <f t="shared" si="51"/>
        <v>1.4764448139533002</v>
      </c>
      <c r="AN52" s="26">
        <f t="shared" si="52"/>
        <v>2.6677801875475815</v>
      </c>
      <c r="AO52" s="26">
        <f t="shared" si="53"/>
        <v>10.057459076595352</v>
      </c>
      <c r="AP52" s="26">
        <f t="shared" si="54"/>
        <v>9.0098394332265048</v>
      </c>
      <c r="AQ52" s="26">
        <f t="shared" si="55"/>
        <v>15.036087625267294</v>
      </c>
      <c r="AR52" s="26">
        <f t="shared" si="56"/>
        <v>1.9301345422257341</v>
      </c>
      <c r="AS52" s="26">
        <f t="shared" si="57"/>
        <v>5.7954218005242177</v>
      </c>
      <c r="AT52" s="26">
        <f t="shared" si="58"/>
        <v>23.027110623387788</v>
      </c>
      <c r="AU52" s="26">
        <f t="shared" si="59"/>
        <v>5.1091919298252293</v>
      </c>
      <c r="AV52" s="26">
        <f t="shared" si="60"/>
        <v>4.7713394548153207</v>
      </c>
      <c r="AW52" s="26">
        <f t="shared" si="61"/>
        <v>101.07674797287791</v>
      </c>
      <c r="AX52" s="26"/>
      <c r="AY52" s="26"/>
      <c r="AZ52">
        <v>0</v>
      </c>
      <c r="BA52">
        <v>0</v>
      </c>
      <c r="BB52">
        <v>0</v>
      </c>
      <c r="BC52">
        <v>0</v>
      </c>
      <c r="BF52">
        <v>0</v>
      </c>
      <c r="BG52">
        <v>0</v>
      </c>
      <c r="BH52">
        <v>0</v>
      </c>
      <c r="BI52">
        <v>0</v>
      </c>
      <c r="BJ52">
        <v>0</v>
      </c>
      <c r="BK52">
        <v>0</v>
      </c>
      <c r="BL52" s="19">
        <v>0</v>
      </c>
      <c r="BM52" s="19">
        <v>0</v>
      </c>
      <c r="BN52" s="19">
        <v>0</v>
      </c>
      <c r="BO52" s="19">
        <v>0</v>
      </c>
      <c r="BP52" s="19">
        <v>0</v>
      </c>
      <c r="BQ52" s="19">
        <v>0</v>
      </c>
      <c r="BR52" s="19">
        <v>0</v>
      </c>
      <c r="BS52" s="19">
        <v>0</v>
      </c>
      <c r="BT52" s="19">
        <v>0</v>
      </c>
      <c r="BU52" s="19" t="s">
        <v>1192</v>
      </c>
      <c r="BV52" s="19">
        <v>0</v>
      </c>
      <c r="BW52" s="19">
        <v>0</v>
      </c>
      <c r="BX52" s="19">
        <v>0</v>
      </c>
      <c r="BY52" s="19">
        <v>0</v>
      </c>
      <c r="BZ52" s="19">
        <v>0</v>
      </c>
      <c r="CA52" s="19">
        <v>0</v>
      </c>
      <c r="CB52" s="19">
        <v>0</v>
      </c>
      <c r="CC52" s="19">
        <v>0</v>
      </c>
      <c r="CD52" s="19">
        <v>0</v>
      </c>
      <c r="CE52" s="19">
        <v>0</v>
      </c>
      <c r="CF52" s="19">
        <v>0</v>
      </c>
      <c r="CG52" s="19">
        <v>0</v>
      </c>
      <c r="CH52" s="19">
        <v>0</v>
      </c>
      <c r="CI52" s="19">
        <v>0.51700000000000002</v>
      </c>
      <c r="CJ52" s="19">
        <v>4.6020000000000003</v>
      </c>
      <c r="CK52" s="19">
        <v>1.7000000000000001E-2</v>
      </c>
      <c r="CL52" s="19">
        <v>0.35699999999999998</v>
      </c>
      <c r="CM52" s="19">
        <v>0</v>
      </c>
      <c r="CN52" s="19">
        <v>0.55300000000000005</v>
      </c>
      <c r="CO52" s="19">
        <v>0</v>
      </c>
      <c r="CP52" s="19">
        <v>0</v>
      </c>
      <c r="CQ52" s="19">
        <v>0</v>
      </c>
      <c r="CR52" s="19">
        <v>0</v>
      </c>
      <c r="CS52" s="19">
        <v>0</v>
      </c>
      <c r="CT52" s="19">
        <v>17.79</v>
      </c>
      <c r="CU52" s="19">
        <v>0</v>
      </c>
      <c r="CV52" s="19">
        <v>0.91900000000000004</v>
      </c>
      <c r="CW52" s="19">
        <v>1.2509999999999999</v>
      </c>
      <c r="CX52" s="19">
        <v>0.106</v>
      </c>
      <c r="CY52" s="19">
        <v>0.27</v>
      </c>
      <c r="CZ52" s="19">
        <v>7.8E-2</v>
      </c>
      <c r="DA52" s="19">
        <v>5.0000000000000001E-3</v>
      </c>
      <c r="DB52" s="19">
        <v>5.0000000000000001E-3</v>
      </c>
      <c r="DC52" s="19" t="s">
        <v>1192</v>
      </c>
      <c r="DD52" s="19">
        <v>0</v>
      </c>
      <c r="DE52" s="19" t="s">
        <v>1192</v>
      </c>
      <c r="DF52" s="19">
        <v>0</v>
      </c>
      <c r="DG52" s="19" t="s">
        <v>1192</v>
      </c>
      <c r="DH52" s="19" t="s">
        <v>1192</v>
      </c>
      <c r="DI52" s="19">
        <v>6.0000000000000001E-3</v>
      </c>
      <c r="DJ52" s="19">
        <v>0</v>
      </c>
      <c r="DK52" s="19">
        <v>0</v>
      </c>
      <c r="DL52" s="19">
        <v>0.81599999999999995</v>
      </c>
      <c r="DM52" s="19">
        <v>0.17</v>
      </c>
      <c r="DN52" s="19">
        <v>2.5999999999999999E-2</v>
      </c>
      <c r="DO52" s="19">
        <v>1E-3</v>
      </c>
      <c r="DP52" s="19">
        <v>0</v>
      </c>
      <c r="DQ52" s="19">
        <v>0</v>
      </c>
      <c r="DR52" s="19">
        <v>0</v>
      </c>
      <c r="DS52" s="19">
        <v>0</v>
      </c>
      <c r="DT52" s="19">
        <v>0</v>
      </c>
      <c r="DU52" s="19">
        <v>0</v>
      </c>
      <c r="DV52" s="19">
        <v>0</v>
      </c>
      <c r="DW52" s="29">
        <v>0</v>
      </c>
      <c r="DX52" s="29">
        <v>0</v>
      </c>
      <c r="DY52" s="29">
        <v>0</v>
      </c>
      <c r="DZ52" s="29">
        <v>0</v>
      </c>
      <c r="EA52" s="29">
        <v>0</v>
      </c>
      <c r="EB52" s="29">
        <v>0</v>
      </c>
      <c r="EC52" s="29">
        <v>0</v>
      </c>
      <c r="ED52" s="29">
        <v>0</v>
      </c>
      <c r="EE52" s="29">
        <v>0</v>
      </c>
      <c r="EF52" s="29">
        <v>0</v>
      </c>
      <c r="EG52" s="29">
        <v>0</v>
      </c>
      <c r="EH52" s="29">
        <v>0</v>
      </c>
      <c r="EI52" s="29">
        <v>0</v>
      </c>
      <c r="EJ52" s="29">
        <v>0</v>
      </c>
      <c r="EK52" s="19">
        <v>0</v>
      </c>
      <c r="EL52" s="19"/>
      <c r="EM52" s="19"/>
      <c r="EN52" s="19"/>
      <c r="EO52" s="19"/>
    </row>
    <row r="53" spans="1:145">
      <c r="A53" t="s">
        <v>1362</v>
      </c>
      <c r="B53" t="s">
        <v>1492</v>
      </c>
      <c r="C53" t="s">
        <v>24</v>
      </c>
      <c r="D53" t="str">
        <f t="shared" si="35"/>
        <v>silicic - low-Mg carbonatitic</v>
      </c>
      <c r="E53" t="s">
        <v>1265</v>
      </c>
      <c r="F53" t="s">
        <v>171</v>
      </c>
      <c r="G53" t="s">
        <v>1266</v>
      </c>
      <c r="H53" t="s">
        <v>595</v>
      </c>
      <c r="I53">
        <v>540</v>
      </c>
      <c r="J53" t="s">
        <v>735</v>
      </c>
      <c r="K53" t="s">
        <v>1311</v>
      </c>
      <c r="L53" t="s">
        <v>115</v>
      </c>
      <c r="M53">
        <v>0</v>
      </c>
      <c r="N53" t="s">
        <v>1262</v>
      </c>
      <c r="O53">
        <v>30</v>
      </c>
      <c r="P53">
        <v>22.195938485509597</v>
      </c>
      <c r="Q53">
        <v>1.4764448139533004</v>
      </c>
      <c r="R53">
        <v>0</v>
      </c>
      <c r="S53">
        <v>2.6677801875475819</v>
      </c>
      <c r="T53">
        <v>10.057459076595354</v>
      </c>
      <c r="U53">
        <v>9.0098394332265066</v>
      </c>
      <c r="V53">
        <v>0</v>
      </c>
      <c r="W53">
        <v>15.036087625267296</v>
      </c>
      <c r="X53">
        <v>5.7954218005242186</v>
      </c>
      <c r="Y53">
        <v>23.027110623387792</v>
      </c>
      <c r="Z53">
        <v>0</v>
      </c>
      <c r="AA53">
        <v>5.1091919298252302</v>
      </c>
      <c r="AB53">
        <v>0</v>
      </c>
      <c r="AC53">
        <v>1.9301345422257346</v>
      </c>
      <c r="AD53">
        <v>0</v>
      </c>
      <c r="AE53">
        <v>4.7713394548153216</v>
      </c>
      <c r="AF53">
        <v>0</v>
      </c>
      <c r="AG53">
        <v>0</v>
      </c>
      <c r="AH53">
        <v>0</v>
      </c>
      <c r="AI53">
        <v>0</v>
      </c>
      <c r="AJ53">
        <v>0</v>
      </c>
      <c r="AK53">
        <f t="shared" si="49"/>
        <v>101.07674797287794</v>
      </c>
      <c r="AL53" s="26">
        <f t="shared" si="50"/>
        <v>22.195938485509593</v>
      </c>
      <c r="AM53" s="26">
        <f t="shared" si="51"/>
        <v>1.4764448139533002</v>
      </c>
      <c r="AN53" s="26">
        <f t="shared" si="52"/>
        <v>2.6677801875475815</v>
      </c>
      <c r="AO53" s="26">
        <f t="shared" si="53"/>
        <v>10.057459076595352</v>
      </c>
      <c r="AP53" s="26">
        <f t="shared" si="54"/>
        <v>9.0098394332265048</v>
      </c>
      <c r="AQ53" s="26">
        <f t="shared" si="55"/>
        <v>15.036087625267294</v>
      </c>
      <c r="AR53" s="26">
        <f t="shared" si="56"/>
        <v>1.9301345422257341</v>
      </c>
      <c r="AS53" s="26">
        <f t="shared" si="57"/>
        <v>5.7954218005242177</v>
      </c>
      <c r="AT53" s="26">
        <f t="shared" si="58"/>
        <v>23.027110623387788</v>
      </c>
      <c r="AU53" s="26">
        <f t="shared" si="59"/>
        <v>5.1091919298252293</v>
      </c>
      <c r="AV53" s="26">
        <f t="shared" si="60"/>
        <v>4.7713394548153207</v>
      </c>
      <c r="AW53" s="26">
        <f t="shared" si="61"/>
        <v>101.07674797287791</v>
      </c>
      <c r="AX53" s="26"/>
      <c r="AY53" s="26"/>
      <c r="AZ53">
        <v>0</v>
      </c>
      <c r="BA53">
        <v>0</v>
      </c>
      <c r="BB53">
        <v>0</v>
      </c>
      <c r="BC53">
        <v>0</v>
      </c>
      <c r="BF53">
        <v>0</v>
      </c>
      <c r="BG53">
        <v>0</v>
      </c>
      <c r="BH53">
        <v>0</v>
      </c>
      <c r="BI53">
        <v>0</v>
      </c>
      <c r="BJ53">
        <v>0</v>
      </c>
      <c r="BK53">
        <v>0</v>
      </c>
      <c r="BL53" s="19">
        <v>0</v>
      </c>
      <c r="BM53" s="19">
        <v>0</v>
      </c>
      <c r="BN53" s="19">
        <v>0</v>
      </c>
      <c r="BO53" s="19">
        <v>0</v>
      </c>
      <c r="BP53" s="19">
        <v>0</v>
      </c>
      <c r="BQ53" s="19">
        <v>0</v>
      </c>
      <c r="BR53" s="19">
        <v>0</v>
      </c>
      <c r="BS53" s="19">
        <v>0</v>
      </c>
      <c r="BT53" s="19">
        <v>0</v>
      </c>
      <c r="BU53" s="19" t="s">
        <v>1192</v>
      </c>
      <c r="BV53" s="19">
        <v>0</v>
      </c>
      <c r="BW53" s="19">
        <v>0</v>
      </c>
      <c r="BX53" s="19">
        <v>0</v>
      </c>
      <c r="BY53" s="19">
        <v>0</v>
      </c>
      <c r="BZ53" s="19">
        <v>0</v>
      </c>
      <c r="CA53" s="19">
        <v>0</v>
      </c>
      <c r="CB53" s="19">
        <v>0</v>
      </c>
      <c r="CC53" s="19">
        <v>0</v>
      </c>
      <c r="CD53" s="19">
        <v>0</v>
      </c>
      <c r="CE53" s="19">
        <v>0</v>
      </c>
      <c r="CF53" s="19">
        <v>0</v>
      </c>
      <c r="CG53" s="19">
        <v>0</v>
      </c>
      <c r="CH53" s="19">
        <v>0</v>
      </c>
      <c r="CI53" s="19">
        <v>0.32</v>
      </c>
      <c r="CJ53" s="19">
        <v>4.0119999999999996</v>
      </c>
      <c r="CK53" s="19">
        <v>5.0000000000000001E-3</v>
      </c>
      <c r="CL53" s="19">
        <v>3.6999999999999998E-2</v>
      </c>
      <c r="CM53" s="19">
        <v>0</v>
      </c>
      <c r="CN53" s="19">
        <v>0.13</v>
      </c>
      <c r="CO53" s="19">
        <v>0</v>
      </c>
      <c r="CP53" s="19">
        <v>0</v>
      </c>
      <c r="CQ53" s="19">
        <v>0</v>
      </c>
      <c r="CR53" s="19">
        <v>0</v>
      </c>
      <c r="CS53" s="19">
        <v>0</v>
      </c>
      <c r="CT53" s="19">
        <v>128.9</v>
      </c>
      <c r="CU53" s="19">
        <v>0</v>
      </c>
      <c r="CV53" s="19">
        <v>0.85799999999999998</v>
      </c>
      <c r="CW53" s="19">
        <v>0.70399999999999996</v>
      </c>
      <c r="CX53" s="19">
        <v>0</v>
      </c>
      <c r="CY53" s="19">
        <v>0.24399999999999999</v>
      </c>
      <c r="CZ53" s="19">
        <v>1.2E-2</v>
      </c>
      <c r="DA53" s="19">
        <v>4.0000000000000001E-3</v>
      </c>
      <c r="DB53" s="19">
        <v>4.0000000000000001E-3</v>
      </c>
      <c r="DC53" s="19">
        <v>2E-3</v>
      </c>
      <c r="DD53" s="19">
        <v>0</v>
      </c>
      <c r="DE53" s="19">
        <v>0</v>
      </c>
      <c r="DF53" s="19">
        <v>0</v>
      </c>
      <c r="DG53" s="19">
        <v>1.0999999999999999E-2</v>
      </c>
      <c r="DH53" s="19">
        <v>0</v>
      </c>
      <c r="DI53" s="19">
        <v>0</v>
      </c>
      <c r="DJ53" s="19">
        <v>0</v>
      </c>
      <c r="DK53" s="19">
        <v>0</v>
      </c>
      <c r="DL53" s="19">
        <v>0.96899999999999997</v>
      </c>
      <c r="DM53" s="19">
        <v>0.65100000000000002</v>
      </c>
      <c r="DN53" s="19">
        <v>2.5999999999999999E-2</v>
      </c>
      <c r="DO53" s="19">
        <v>0</v>
      </c>
      <c r="DP53" s="19">
        <v>0</v>
      </c>
      <c r="DQ53" s="19">
        <v>0</v>
      </c>
      <c r="DR53" s="19">
        <v>0</v>
      </c>
      <c r="DS53" s="19">
        <v>0</v>
      </c>
      <c r="DT53" s="19">
        <v>0</v>
      </c>
      <c r="DU53" s="19">
        <v>0</v>
      </c>
      <c r="DV53" s="19">
        <v>0</v>
      </c>
      <c r="DW53" s="29">
        <v>0.70665</v>
      </c>
      <c r="DX53" s="29">
        <v>1.2E-4</v>
      </c>
      <c r="DY53" s="29">
        <v>0.70487</v>
      </c>
      <c r="DZ53" s="29"/>
      <c r="EA53" s="29">
        <v>14.23</v>
      </c>
      <c r="EB53" s="29">
        <v>0</v>
      </c>
      <c r="EC53" s="29">
        <v>0</v>
      </c>
      <c r="ED53" s="29">
        <v>0</v>
      </c>
      <c r="EE53" s="29">
        <v>0</v>
      </c>
      <c r="EF53" s="29">
        <v>0</v>
      </c>
      <c r="EG53" s="29">
        <v>0</v>
      </c>
      <c r="EH53" s="29">
        <v>0</v>
      </c>
      <c r="EI53" s="29">
        <v>0</v>
      </c>
      <c r="EJ53" s="29">
        <v>0</v>
      </c>
      <c r="EK53" s="19">
        <v>0</v>
      </c>
      <c r="EL53" s="19"/>
      <c r="EM53" s="19"/>
      <c r="EN53" s="19"/>
      <c r="EO53" s="19"/>
    </row>
    <row r="54" spans="1:145" s="37" customFormat="1" ht="16">
      <c r="A54" s="36" t="s">
        <v>1470</v>
      </c>
      <c r="B54" s="36"/>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9"/>
      <c r="DX54" s="39"/>
      <c r="DY54" s="39"/>
      <c r="DZ54" s="39"/>
      <c r="EA54" s="39"/>
      <c r="EB54" s="39"/>
      <c r="EC54" s="39"/>
      <c r="ED54" s="39"/>
      <c r="EE54" s="39"/>
      <c r="EF54" s="39"/>
      <c r="EG54" s="39"/>
      <c r="EH54" s="39"/>
      <c r="EI54" s="39"/>
      <c r="EJ54" s="39"/>
      <c r="EK54" s="38"/>
      <c r="EL54" s="38"/>
      <c r="EM54" s="38"/>
      <c r="EN54" s="38"/>
      <c r="EO54" s="38"/>
    </row>
    <row r="55" spans="1:145">
      <c r="A55" t="s">
        <v>1081</v>
      </c>
      <c r="B55" t="s">
        <v>1470</v>
      </c>
      <c r="C55" t="s">
        <v>24</v>
      </c>
      <c r="D55" t="s">
        <v>1369</v>
      </c>
      <c r="E55">
        <v>0</v>
      </c>
      <c r="F55">
        <v>0</v>
      </c>
      <c r="G55">
        <v>0</v>
      </c>
      <c r="H55">
        <v>0</v>
      </c>
      <c r="I55">
        <v>0</v>
      </c>
      <c r="J55">
        <v>0</v>
      </c>
      <c r="K55" t="s">
        <v>596</v>
      </c>
      <c r="L55">
        <v>0</v>
      </c>
      <c r="M55" t="s">
        <v>979</v>
      </c>
      <c r="N55" t="s">
        <v>724</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Z55">
        <v>0</v>
      </c>
      <c r="BA55">
        <v>0</v>
      </c>
      <c r="BB55">
        <v>0</v>
      </c>
      <c r="BC55">
        <v>0</v>
      </c>
      <c r="BF55">
        <v>0</v>
      </c>
      <c r="BG55">
        <v>0</v>
      </c>
      <c r="BH55">
        <v>0</v>
      </c>
      <c r="BI55">
        <v>0</v>
      </c>
      <c r="BJ55">
        <v>0</v>
      </c>
      <c r="BK55">
        <v>1.6819999999999999</v>
      </c>
      <c r="BL55" s="19">
        <v>0</v>
      </c>
      <c r="BM55" s="19">
        <v>0</v>
      </c>
      <c r="BN55" s="19">
        <v>36.9</v>
      </c>
      <c r="BO55" s="19">
        <v>27.2</v>
      </c>
      <c r="BP55" s="19">
        <v>0</v>
      </c>
      <c r="BQ55" s="19">
        <v>0</v>
      </c>
      <c r="BR55" s="19">
        <v>0</v>
      </c>
      <c r="BS55" s="19">
        <v>168</v>
      </c>
      <c r="BT55" s="19" t="s">
        <v>1000</v>
      </c>
      <c r="BU55" s="19" t="s">
        <v>226</v>
      </c>
      <c r="BV55" s="19" t="s">
        <v>276</v>
      </c>
      <c r="BW55" s="19">
        <v>0.79500000000000004</v>
      </c>
      <c r="BX55" s="19" t="s">
        <v>218</v>
      </c>
      <c r="BY55" s="19" t="s">
        <v>262</v>
      </c>
      <c r="BZ55" s="19" t="s">
        <v>266</v>
      </c>
      <c r="CA55" s="19" t="s">
        <v>276</v>
      </c>
      <c r="CB55" s="19" t="s">
        <v>266</v>
      </c>
      <c r="CC55" s="19">
        <v>0.06</v>
      </c>
      <c r="CD55" s="19" t="s">
        <v>1001</v>
      </c>
      <c r="CE55" s="19">
        <v>0</v>
      </c>
      <c r="CF55" s="19">
        <v>3.4000000000000002E-2</v>
      </c>
      <c r="CG55" s="19">
        <v>0</v>
      </c>
      <c r="CH55" s="19">
        <v>9.2999999999999999E-2</v>
      </c>
      <c r="CI55" s="19" t="s">
        <v>261</v>
      </c>
      <c r="CJ55" s="19">
        <v>6.28</v>
      </c>
      <c r="CK55" s="19" t="s">
        <v>1002</v>
      </c>
      <c r="CL55" s="19">
        <v>0</v>
      </c>
      <c r="CM55" s="19" t="s">
        <v>1001</v>
      </c>
      <c r="CN55" s="19">
        <v>0</v>
      </c>
      <c r="CO55" s="19">
        <v>0</v>
      </c>
      <c r="CP55" s="19">
        <v>0</v>
      </c>
      <c r="CQ55" s="19">
        <v>0</v>
      </c>
      <c r="CR55" s="19" t="s">
        <v>1003</v>
      </c>
      <c r="CS55" s="19" t="s">
        <v>1004</v>
      </c>
      <c r="CT55" s="19">
        <v>21.3</v>
      </c>
      <c r="CU55" s="19">
        <v>0</v>
      </c>
      <c r="CV55" s="19">
        <v>1.92</v>
      </c>
      <c r="CW55" s="19">
        <v>2.2999999999999998</v>
      </c>
      <c r="CX55" s="19">
        <v>0.61</v>
      </c>
      <c r="CY55" s="19">
        <v>0</v>
      </c>
      <c r="CZ55" s="19">
        <v>8.8900000000000007E-2</v>
      </c>
      <c r="DA55" s="19">
        <v>2.0899999999999998E-2</v>
      </c>
      <c r="DB55" s="19">
        <v>0</v>
      </c>
      <c r="DC55" s="19">
        <v>2.4899999999999999E-2</v>
      </c>
      <c r="DD55" s="19" t="s">
        <v>1006</v>
      </c>
      <c r="DE55" s="19">
        <v>0</v>
      </c>
      <c r="DF55" s="19">
        <v>0</v>
      </c>
      <c r="DG55" s="19" t="s">
        <v>986</v>
      </c>
      <c r="DH55" s="19" t="s">
        <v>1007</v>
      </c>
      <c r="DI55" s="19" t="s">
        <v>1008</v>
      </c>
      <c r="DJ55" s="19" t="s">
        <v>1009</v>
      </c>
      <c r="DK55" s="19">
        <v>0.04</v>
      </c>
      <c r="DL55" s="19">
        <v>0</v>
      </c>
      <c r="DM55" s="19">
        <v>0.22</v>
      </c>
      <c r="DN55" s="19" t="s">
        <v>1013</v>
      </c>
      <c r="DO55" s="19" t="s">
        <v>1005</v>
      </c>
      <c r="DP55" s="19" t="s">
        <v>980</v>
      </c>
      <c r="DQ55" s="19" t="s">
        <v>1011</v>
      </c>
      <c r="DR55" s="19">
        <v>0</v>
      </c>
      <c r="DS55" s="19" t="s">
        <v>1012</v>
      </c>
      <c r="DT55" s="19">
        <v>0</v>
      </c>
      <c r="DU55" s="19">
        <v>0</v>
      </c>
      <c r="DV55" s="19">
        <v>0</v>
      </c>
      <c r="DW55" s="29">
        <v>0</v>
      </c>
      <c r="DX55" s="29">
        <v>0</v>
      </c>
      <c r="DY55" s="29">
        <v>0</v>
      </c>
      <c r="DZ55" s="29">
        <v>0</v>
      </c>
      <c r="EA55" s="29">
        <v>0</v>
      </c>
      <c r="EB55" s="29">
        <v>0</v>
      </c>
      <c r="EC55" s="29">
        <v>0</v>
      </c>
      <c r="ED55" s="29">
        <v>0</v>
      </c>
      <c r="EE55" s="29">
        <v>0</v>
      </c>
      <c r="EF55" s="29">
        <v>0</v>
      </c>
      <c r="EG55" s="29">
        <v>0</v>
      </c>
      <c r="EH55" s="29">
        <v>0</v>
      </c>
      <c r="EI55" s="29">
        <v>0</v>
      </c>
      <c r="EJ55" s="29">
        <v>0</v>
      </c>
      <c r="EK55" s="19">
        <v>0</v>
      </c>
      <c r="EL55" s="19"/>
      <c r="EM55" s="19"/>
      <c r="EN55" s="19"/>
      <c r="EO55" s="19"/>
    </row>
    <row r="56" spans="1:145">
      <c r="A56" t="s">
        <v>1081</v>
      </c>
      <c r="B56" t="s">
        <v>1470</v>
      </c>
      <c r="C56" t="s">
        <v>24</v>
      </c>
      <c r="D56" t="s">
        <v>1369</v>
      </c>
      <c r="E56">
        <v>0</v>
      </c>
      <c r="F56">
        <v>0</v>
      </c>
      <c r="G56">
        <v>0</v>
      </c>
      <c r="H56">
        <v>0</v>
      </c>
      <c r="I56">
        <v>0</v>
      </c>
      <c r="J56">
        <v>0</v>
      </c>
      <c r="K56" t="s">
        <v>596</v>
      </c>
      <c r="L56">
        <v>0</v>
      </c>
      <c r="M56" t="s">
        <v>979</v>
      </c>
      <c r="N56" t="s">
        <v>1014</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Z56">
        <v>0</v>
      </c>
      <c r="BA56">
        <v>0</v>
      </c>
      <c r="BB56">
        <v>0</v>
      </c>
      <c r="BC56">
        <v>0</v>
      </c>
      <c r="BF56">
        <v>0</v>
      </c>
      <c r="BG56">
        <v>0</v>
      </c>
      <c r="BH56">
        <v>0</v>
      </c>
      <c r="BI56">
        <v>0</v>
      </c>
      <c r="BJ56">
        <v>0</v>
      </c>
      <c r="BK56">
        <v>2.0939999999999999</v>
      </c>
      <c r="BL56" s="19">
        <v>0</v>
      </c>
      <c r="BM56" s="19">
        <v>0</v>
      </c>
      <c r="BN56" s="19">
        <v>41</v>
      </c>
      <c r="BO56" s="19">
        <v>15.6</v>
      </c>
      <c r="BP56" s="19">
        <v>0</v>
      </c>
      <c r="BQ56" s="19">
        <v>0</v>
      </c>
      <c r="BR56" s="19">
        <v>0</v>
      </c>
      <c r="BS56" s="19">
        <v>97.3</v>
      </c>
      <c r="BT56" s="19" t="s">
        <v>1015</v>
      </c>
      <c r="BU56" s="19" t="s">
        <v>1016</v>
      </c>
      <c r="BV56" s="19" t="s">
        <v>279</v>
      </c>
      <c r="BW56" s="19">
        <v>0.45300000000000001</v>
      </c>
      <c r="BX56" s="19" t="s">
        <v>218</v>
      </c>
      <c r="BY56" s="19" t="s">
        <v>262</v>
      </c>
      <c r="BZ56" s="19" t="s">
        <v>267</v>
      </c>
      <c r="CA56" s="19" t="s">
        <v>1018</v>
      </c>
      <c r="CB56" s="19" t="s">
        <v>272</v>
      </c>
      <c r="CC56" s="19" t="s">
        <v>1016</v>
      </c>
      <c r="CD56" s="19" t="s">
        <v>1017</v>
      </c>
      <c r="CE56" s="19" t="s">
        <v>279</v>
      </c>
      <c r="CF56" s="19" t="s">
        <v>1020</v>
      </c>
      <c r="CG56" s="19">
        <v>0</v>
      </c>
      <c r="CH56" s="19">
        <v>0.14299999999999999</v>
      </c>
      <c r="CI56" s="19" t="s">
        <v>306</v>
      </c>
      <c r="CJ56" s="19">
        <v>6.76</v>
      </c>
      <c r="CK56" s="19">
        <v>0</v>
      </c>
      <c r="CL56" s="19">
        <v>0</v>
      </c>
      <c r="CM56" s="19" t="s">
        <v>986</v>
      </c>
      <c r="CN56" s="19">
        <v>0</v>
      </c>
      <c r="CO56" s="19">
        <v>0</v>
      </c>
      <c r="CP56" s="19">
        <v>0</v>
      </c>
      <c r="CQ56" s="19">
        <v>0</v>
      </c>
      <c r="CR56" s="19" t="s">
        <v>1003</v>
      </c>
      <c r="CS56" s="19" t="s">
        <v>1009</v>
      </c>
      <c r="CT56" s="19">
        <v>23.5</v>
      </c>
      <c r="CU56" s="19">
        <v>0</v>
      </c>
      <c r="CV56" s="19">
        <v>6.52</v>
      </c>
      <c r="CW56" s="19">
        <v>10.8</v>
      </c>
      <c r="CX56" s="19">
        <v>0.71</v>
      </c>
      <c r="CY56" s="19">
        <v>2.8</v>
      </c>
      <c r="CZ56" s="19">
        <v>0.28999999999999998</v>
      </c>
      <c r="DA56" s="19">
        <v>5.9700000000000003E-2</v>
      </c>
      <c r="DB56" s="19">
        <v>0</v>
      </c>
      <c r="DC56" s="19">
        <v>9.2700000000000005E-2</v>
      </c>
      <c r="DD56" s="19" t="s">
        <v>216</v>
      </c>
      <c r="DE56" s="19">
        <v>0</v>
      </c>
      <c r="DF56" s="19">
        <v>0</v>
      </c>
      <c r="DG56" s="19" t="s">
        <v>1013</v>
      </c>
      <c r="DH56" s="19" t="s">
        <v>218</v>
      </c>
      <c r="DI56" s="19" t="s">
        <v>1024</v>
      </c>
      <c r="DJ56" s="19" t="s">
        <v>1025</v>
      </c>
      <c r="DK56" s="19" t="s">
        <v>216</v>
      </c>
      <c r="DL56" s="19">
        <v>0</v>
      </c>
      <c r="DM56" s="19" t="s">
        <v>1022</v>
      </c>
      <c r="DN56" s="19" t="s">
        <v>1023</v>
      </c>
      <c r="DO56" s="19" t="s">
        <v>1021</v>
      </c>
      <c r="DP56" s="19" t="s">
        <v>214</v>
      </c>
      <c r="DQ56" s="19" t="s">
        <v>214</v>
      </c>
      <c r="DR56" s="19" t="s">
        <v>1026</v>
      </c>
      <c r="DS56" s="19" t="s">
        <v>1003</v>
      </c>
      <c r="DT56" s="19">
        <v>0</v>
      </c>
      <c r="DU56" s="19">
        <v>0</v>
      </c>
      <c r="DV56" s="19">
        <v>0</v>
      </c>
      <c r="DW56" s="29">
        <v>0</v>
      </c>
      <c r="DX56" s="29">
        <v>0</v>
      </c>
      <c r="DY56" s="29">
        <v>0</v>
      </c>
      <c r="DZ56" s="29">
        <v>0</v>
      </c>
      <c r="EA56" s="29">
        <v>0</v>
      </c>
      <c r="EB56" s="29">
        <v>0</v>
      </c>
      <c r="EC56" s="29">
        <v>0</v>
      </c>
      <c r="ED56" s="29">
        <v>0</v>
      </c>
      <c r="EE56" s="29">
        <v>0</v>
      </c>
      <c r="EF56" s="29">
        <v>0</v>
      </c>
      <c r="EG56" s="29">
        <v>0</v>
      </c>
      <c r="EH56" s="29">
        <v>0</v>
      </c>
      <c r="EI56" s="29">
        <v>0</v>
      </c>
      <c r="EJ56" s="29">
        <v>0</v>
      </c>
      <c r="EK56" s="19">
        <v>0</v>
      </c>
      <c r="EL56" s="19"/>
      <c r="EM56" s="19"/>
      <c r="EN56" s="19"/>
      <c r="EO56" s="19"/>
    </row>
    <row r="57" spans="1:145">
      <c r="A57" t="s">
        <v>1081</v>
      </c>
      <c r="B57" t="s">
        <v>1470</v>
      </c>
      <c r="C57" t="s">
        <v>24</v>
      </c>
      <c r="D57" t="s">
        <v>1369</v>
      </c>
      <c r="E57">
        <v>0</v>
      </c>
      <c r="F57">
        <v>0</v>
      </c>
      <c r="G57">
        <v>0</v>
      </c>
      <c r="H57">
        <v>0</v>
      </c>
      <c r="I57">
        <v>0</v>
      </c>
      <c r="J57">
        <v>0</v>
      </c>
      <c r="K57" t="s">
        <v>596</v>
      </c>
      <c r="L57">
        <v>0</v>
      </c>
      <c r="M57" t="s">
        <v>979</v>
      </c>
      <c r="N57" t="s">
        <v>1027</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Z57">
        <v>0</v>
      </c>
      <c r="BA57">
        <v>0</v>
      </c>
      <c r="BB57">
        <v>0</v>
      </c>
      <c r="BC57">
        <v>0</v>
      </c>
      <c r="BF57">
        <v>0</v>
      </c>
      <c r="BG57">
        <v>0</v>
      </c>
      <c r="BH57">
        <v>0</v>
      </c>
      <c r="BI57">
        <v>0</v>
      </c>
      <c r="BJ57">
        <v>0</v>
      </c>
      <c r="BK57">
        <v>1.054</v>
      </c>
      <c r="BL57" s="19">
        <v>0</v>
      </c>
      <c r="BM57" s="19">
        <v>0</v>
      </c>
      <c r="BN57" s="19">
        <v>46.6</v>
      </c>
      <c r="BO57" s="19">
        <v>15.2</v>
      </c>
      <c r="BP57" s="19">
        <v>0</v>
      </c>
      <c r="BQ57" s="19">
        <v>0</v>
      </c>
      <c r="BR57" s="19">
        <v>0</v>
      </c>
      <c r="BS57" s="19">
        <v>94.6</v>
      </c>
      <c r="BT57" s="19" t="s">
        <v>1028</v>
      </c>
      <c r="BU57" s="19" t="s">
        <v>986</v>
      </c>
      <c r="BV57" s="19" t="s">
        <v>265</v>
      </c>
      <c r="BW57" s="19">
        <v>0.28699999999999998</v>
      </c>
      <c r="BX57" s="19" t="s">
        <v>1029</v>
      </c>
      <c r="BY57" s="19" t="s">
        <v>283</v>
      </c>
      <c r="BZ57" s="19" t="s">
        <v>265</v>
      </c>
      <c r="CA57" s="19" t="s">
        <v>1030</v>
      </c>
      <c r="CB57" s="19" t="s">
        <v>269</v>
      </c>
      <c r="CC57" s="19" t="s">
        <v>986</v>
      </c>
      <c r="CD57" s="19" t="s">
        <v>216</v>
      </c>
      <c r="CE57" s="19" t="s">
        <v>1031</v>
      </c>
      <c r="CF57" s="19" t="s">
        <v>1016</v>
      </c>
      <c r="CG57" s="19" t="s">
        <v>1032</v>
      </c>
      <c r="CH57" s="19">
        <v>0.45300000000000001</v>
      </c>
      <c r="CI57" s="19" t="s">
        <v>1033</v>
      </c>
      <c r="CJ57" s="19">
        <v>5.94</v>
      </c>
      <c r="CK57" s="19">
        <v>0</v>
      </c>
      <c r="CL57" s="19">
        <v>0</v>
      </c>
      <c r="CM57" s="19" t="s">
        <v>1034</v>
      </c>
      <c r="CN57" s="19">
        <v>0</v>
      </c>
      <c r="CO57" s="19">
        <v>0</v>
      </c>
      <c r="CP57" s="19">
        <v>0</v>
      </c>
      <c r="CQ57" s="19">
        <v>0</v>
      </c>
      <c r="CR57" s="19" t="s">
        <v>1003</v>
      </c>
      <c r="CS57" s="19" t="s">
        <v>1035</v>
      </c>
      <c r="CT57" s="19">
        <v>31.1</v>
      </c>
      <c r="CU57" s="19">
        <v>0</v>
      </c>
      <c r="CV57" s="19">
        <v>1.28</v>
      </c>
      <c r="CW57" s="19" t="s">
        <v>276</v>
      </c>
      <c r="CX57" s="19">
        <v>0</v>
      </c>
      <c r="CY57" s="19">
        <v>0</v>
      </c>
      <c r="CZ57" s="19">
        <v>2.4299999999999999E-2</v>
      </c>
      <c r="DA57" s="19">
        <v>3.63E-3</v>
      </c>
      <c r="DB57" s="19">
        <v>0</v>
      </c>
      <c r="DC57" s="19" t="s">
        <v>214</v>
      </c>
      <c r="DD57" s="19">
        <v>0</v>
      </c>
      <c r="DE57" s="19">
        <v>0</v>
      </c>
      <c r="DF57" s="19">
        <v>0</v>
      </c>
      <c r="DG57" s="19" t="s">
        <v>982</v>
      </c>
      <c r="DH57" s="19" t="s">
        <v>1029</v>
      </c>
      <c r="DI57" s="19" t="s">
        <v>180</v>
      </c>
      <c r="DJ57" s="19" t="s">
        <v>1037</v>
      </c>
      <c r="DK57" s="19" t="s">
        <v>1013</v>
      </c>
      <c r="DL57" s="19">
        <v>0</v>
      </c>
      <c r="DM57" s="19" t="s">
        <v>1036</v>
      </c>
      <c r="DN57" s="19" t="s">
        <v>598</v>
      </c>
      <c r="DO57" s="19" t="s">
        <v>988</v>
      </c>
      <c r="DP57" s="19" t="s">
        <v>215</v>
      </c>
      <c r="DQ57" s="19" t="s">
        <v>1017</v>
      </c>
      <c r="DR57" s="19">
        <v>0</v>
      </c>
      <c r="DS57" s="19" t="s">
        <v>1038</v>
      </c>
      <c r="DT57" s="19">
        <v>0</v>
      </c>
      <c r="DU57" s="19">
        <v>0</v>
      </c>
      <c r="DV57" s="19">
        <v>0</v>
      </c>
      <c r="DW57" s="29">
        <v>0</v>
      </c>
      <c r="DX57" s="29">
        <v>0</v>
      </c>
      <c r="DY57" s="29">
        <v>0</v>
      </c>
      <c r="DZ57" s="29">
        <v>0</v>
      </c>
      <c r="EA57" s="29">
        <v>0</v>
      </c>
      <c r="EB57" s="29">
        <v>0</v>
      </c>
      <c r="EC57" s="29">
        <v>0</v>
      </c>
      <c r="ED57" s="29">
        <v>0</v>
      </c>
      <c r="EE57" s="29">
        <v>0</v>
      </c>
      <c r="EF57" s="29">
        <v>0</v>
      </c>
      <c r="EG57" s="29">
        <v>0</v>
      </c>
      <c r="EH57" s="29">
        <v>0</v>
      </c>
      <c r="EI57" s="29">
        <v>0</v>
      </c>
      <c r="EJ57" s="29">
        <v>0</v>
      </c>
      <c r="EK57" s="19">
        <v>0</v>
      </c>
      <c r="EL57" s="19"/>
      <c r="EM57" s="19"/>
      <c r="EN57" s="19"/>
      <c r="EO57" s="19"/>
    </row>
    <row r="58" spans="1:145">
      <c r="A58" t="s">
        <v>1081</v>
      </c>
      <c r="B58" t="s">
        <v>1470</v>
      </c>
      <c r="C58" t="s">
        <v>24</v>
      </c>
      <c r="D58" t="s">
        <v>1369</v>
      </c>
      <c r="E58">
        <v>0</v>
      </c>
      <c r="F58">
        <v>0</v>
      </c>
      <c r="G58">
        <v>0</v>
      </c>
      <c r="H58">
        <v>0</v>
      </c>
      <c r="I58">
        <v>0</v>
      </c>
      <c r="J58">
        <v>0</v>
      </c>
      <c r="K58" t="s">
        <v>596</v>
      </c>
      <c r="L58">
        <v>0</v>
      </c>
      <c r="M58" t="s">
        <v>979</v>
      </c>
      <c r="N58" t="s">
        <v>1039</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Z58">
        <v>0</v>
      </c>
      <c r="BA58">
        <v>0</v>
      </c>
      <c r="BB58">
        <v>0</v>
      </c>
      <c r="BC58">
        <v>0</v>
      </c>
      <c r="BF58">
        <v>0</v>
      </c>
      <c r="BG58">
        <v>0</v>
      </c>
      <c r="BH58">
        <v>0</v>
      </c>
      <c r="BI58">
        <v>0</v>
      </c>
      <c r="BJ58">
        <v>0</v>
      </c>
      <c r="BK58">
        <v>9.2899999999999991</v>
      </c>
      <c r="BL58" s="19">
        <v>0</v>
      </c>
      <c r="BM58" s="19">
        <v>0</v>
      </c>
      <c r="BN58" s="19">
        <v>11.1</v>
      </c>
      <c r="BO58" s="19">
        <v>6.28</v>
      </c>
      <c r="BP58" s="19">
        <v>0</v>
      </c>
      <c r="BQ58" s="19">
        <v>0</v>
      </c>
      <c r="BR58" s="19">
        <v>0</v>
      </c>
      <c r="BS58" s="19">
        <v>40.81</v>
      </c>
      <c r="BT58" s="19" t="s">
        <v>1047</v>
      </c>
      <c r="BU58" s="19" t="s">
        <v>183</v>
      </c>
      <c r="BV58" s="19" t="s">
        <v>272</v>
      </c>
      <c r="BW58" s="19">
        <v>0.193</v>
      </c>
      <c r="BX58" s="19" t="s">
        <v>220</v>
      </c>
      <c r="BY58" s="19" t="s">
        <v>1048</v>
      </c>
      <c r="BZ58" s="19" t="s">
        <v>180</v>
      </c>
      <c r="CA58" s="19" t="s">
        <v>1049</v>
      </c>
      <c r="CB58" s="19" t="s">
        <v>273</v>
      </c>
      <c r="CC58" s="19" t="s">
        <v>214</v>
      </c>
      <c r="CD58" s="19" t="s">
        <v>220</v>
      </c>
      <c r="CE58" s="19" t="s">
        <v>276</v>
      </c>
      <c r="CF58" s="19" t="s">
        <v>217</v>
      </c>
      <c r="CG58" s="19" t="s">
        <v>1050</v>
      </c>
      <c r="CH58" s="19">
        <v>2.3E-2</v>
      </c>
      <c r="CI58" s="19" t="s">
        <v>280</v>
      </c>
      <c r="CJ58" s="19">
        <v>2.13</v>
      </c>
      <c r="CK58" s="19" t="s">
        <v>1051</v>
      </c>
      <c r="CL58" s="19">
        <v>0</v>
      </c>
      <c r="CM58" s="19" t="s">
        <v>217</v>
      </c>
      <c r="CN58" s="19">
        <v>0</v>
      </c>
      <c r="CO58" s="19" t="s">
        <v>213</v>
      </c>
      <c r="CP58" s="19" t="s">
        <v>272</v>
      </c>
      <c r="CQ58" s="19">
        <v>0</v>
      </c>
      <c r="CR58" s="19" t="s">
        <v>1052</v>
      </c>
      <c r="CS58" s="19" t="s">
        <v>1053</v>
      </c>
      <c r="CT58" s="19">
        <v>7.13</v>
      </c>
      <c r="CU58" s="19">
        <v>0</v>
      </c>
      <c r="CV58" s="19">
        <v>1.62</v>
      </c>
      <c r="CW58" s="19">
        <v>2.56</v>
      </c>
      <c r="CX58" s="19">
        <v>0.16</v>
      </c>
      <c r="CY58" s="19" t="s">
        <v>1054</v>
      </c>
      <c r="CZ58" s="19">
        <v>5.1900000000000002E-2</v>
      </c>
      <c r="DA58" s="19">
        <v>1.0800000000000001E-2</v>
      </c>
      <c r="DB58" s="19">
        <v>0</v>
      </c>
      <c r="DC58" s="19">
        <v>1.2699999999999999E-2</v>
      </c>
      <c r="DD58" s="19" t="s">
        <v>1056</v>
      </c>
      <c r="DE58" s="19" t="s">
        <v>1029</v>
      </c>
      <c r="DF58" s="19">
        <v>0</v>
      </c>
      <c r="DG58" s="19" t="s">
        <v>1057</v>
      </c>
      <c r="DH58" s="19" t="s">
        <v>1058</v>
      </c>
      <c r="DI58" s="19" t="s">
        <v>1059</v>
      </c>
      <c r="DJ58" s="19" t="s">
        <v>1060</v>
      </c>
      <c r="DK58" s="19" t="s">
        <v>214</v>
      </c>
      <c r="DL58" s="19">
        <v>0</v>
      </c>
      <c r="DM58" s="19">
        <v>7.5999999999999998E-2</v>
      </c>
      <c r="DN58" s="19" t="s">
        <v>1011</v>
      </c>
      <c r="DO58" s="19" t="s">
        <v>1055</v>
      </c>
      <c r="DP58" s="19" t="s">
        <v>221</v>
      </c>
      <c r="DQ58" s="19">
        <v>2.3E-3</v>
      </c>
      <c r="DR58" s="19" t="s">
        <v>1025</v>
      </c>
      <c r="DS58" s="19" t="s">
        <v>1061</v>
      </c>
      <c r="DT58" s="19" t="s">
        <v>277</v>
      </c>
      <c r="DU58" s="19"/>
      <c r="DV58" s="19"/>
      <c r="DW58" s="29"/>
      <c r="DX58" s="29"/>
      <c r="DY58" s="29"/>
      <c r="DZ58" s="29"/>
      <c r="EA58" s="29"/>
      <c r="EB58" s="29"/>
      <c r="EC58" s="29"/>
      <c r="ED58" s="29"/>
      <c r="EE58" s="29"/>
      <c r="EF58" s="29"/>
      <c r="EG58" s="29"/>
      <c r="EH58" s="29"/>
      <c r="EI58" s="29"/>
      <c r="EJ58" s="29"/>
      <c r="EK58" s="19"/>
      <c r="EL58" s="19"/>
      <c r="EM58" s="19"/>
      <c r="EN58" s="19"/>
      <c r="EO58" s="19"/>
    </row>
    <row r="59" spans="1:145">
      <c r="A59" t="s">
        <v>1354</v>
      </c>
      <c r="B59" t="s">
        <v>1470</v>
      </c>
      <c r="C59" t="s">
        <v>24</v>
      </c>
      <c r="D59" t="s">
        <v>1369</v>
      </c>
      <c r="E59">
        <v>0</v>
      </c>
      <c r="F59">
        <v>0</v>
      </c>
      <c r="G59" t="s">
        <v>703</v>
      </c>
      <c r="H59">
        <v>0</v>
      </c>
      <c r="I59">
        <v>0</v>
      </c>
      <c r="J59">
        <v>0</v>
      </c>
      <c r="K59" t="s">
        <v>596</v>
      </c>
      <c r="L59" t="s">
        <v>1276</v>
      </c>
      <c r="M59" t="s">
        <v>1357</v>
      </c>
      <c r="N59" t="s">
        <v>1358</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Z59">
        <v>0</v>
      </c>
      <c r="BA59">
        <v>0</v>
      </c>
      <c r="BB59">
        <v>0</v>
      </c>
      <c r="BC59">
        <v>0</v>
      </c>
      <c r="BF59">
        <v>0</v>
      </c>
      <c r="BG59">
        <v>0</v>
      </c>
      <c r="BH59">
        <v>0</v>
      </c>
      <c r="BI59">
        <v>0</v>
      </c>
      <c r="BJ59">
        <v>0</v>
      </c>
      <c r="BK59">
        <v>9.4</v>
      </c>
      <c r="BL59" s="19">
        <v>0</v>
      </c>
      <c r="BM59" s="19">
        <v>0</v>
      </c>
      <c r="BN59" s="19">
        <v>0</v>
      </c>
      <c r="BO59" s="19">
        <v>7.6</v>
      </c>
      <c r="BP59" s="19">
        <v>0</v>
      </c>
      <c r="BQ59" s="19">
        <v>0</v>
      </c>
      <c r="BR59" s="19">
        <v>0</v>
      </c>
      <c r="BS59" s="19">
        <v>2.4</v>
      </c>
      <c r="BT59" s="19">
        <v>0</v>
      </c>
      <c r="BU59" s="19">
        <v>0</v>
      </c>
      <c r="BV59" s="19">
        <v>8.7999999999999995E-2</v>
      </c>
      <c r="BW59" s="19">
        <v>0</v>
      </c>
      <c r="BX59" s="19">
        <v>51</v>
      </c>
      <c r="BY59" s="19">
        <v>0</v>
      </c>
      <c r="BZ59" s="19">
        <v>0</v>
      </c>
      <c r="CA59" s="19">
        <v>0</v>
      </c>
      <c r="CB59" s="19">
        <v>3.3000000000000002E-2</v>
      </c>
      <c r="CC59" s="19">
        <v>0</v>
      </c>
      <c r="CD59" s="19">
        <v>2.3E-2</v>
      </c>
      <c r="CE59" s="19">
        <v>0</v>
      </c>
      <c r="CF59" s="19">
        <v>2E-3</v>
      </c>
      <c r="CG59" s="19">
        <v>0</v>
      </c>
      <c r="CH59" s="19">
        <v>1E-3</v>
      </c>
      <c r="CI59" s="19">
        <v>1.4E-2</v>
      </c>
      <c r="CJ59" s="19">
        <v>0</v>
      </c>
      <c r="CK59" s="19">
        <v>0</v>
      </c>
      <c r="CL59" s="19">
        <v>0</v>
      </c>
      <c r="CM59" s="19">
        <v>0</v>
      </c>
      <c r="CN59" s="19">
        <v>0</v>
      </c>
      <c r="CO59" s="19">
        <v>0</v>
      </c>
      <c r="CP59" s="19">
        <v>0</v>
      </c>
      <c r="CQ59" s="19">
        <v>0</v>
      </c>
      <c r="CR59" s="19">
        <v>0</v>
      </c>
      <c r="CS59" s="19">
        <v>0</v>
      </c>
      <c r="CT59" s="19">
        <v>3.9</v>
      </c>
      <c r="CU59" s="19">
        <v>0</v>
      </c>
      <c r="CV59" s="19">
        <v>0.63</v>
      </c>
      <c r="CW59" s="19">
        <v>1.9</v>
      </c>
      <c r="CX59" s="19">
        <v>0</v>
      </c>
      <c r="CY59" s="19">
        <v>0.93</v>
      </c>
      <c r="CZ59" s="19">
        <v>0.21</v>
      </c>
      <c r="DA59" s="19">
        <v>4.7E-2</v>
      </c>
      <c r="DB59" s="19">
        <v>0</v>
      </c>
      <c r="DC59" s="19">
        <v>0</v>
      </c>
      <c r="DD59" s="19">
        <v>0</v>
      </c>
      <c r="DE59" s="19">
        <v>0</v>
      </c>
      <c r="DF59" s="19">
        <v>0</v>
      </c>
      <c r="DG59" s="19">
        <v>4.1000000000000002E-2</v>
      </c>
      <c r="DH59" s="19">
        <v>0</v>
      </c>
      <c r="DI59" s="19">
        <v>0</v>
      </c>
      <c r="DJ59" s="19">
        <v>0</v>
      </c>
      <c r="DK59" s="19">
        <v>3.0000000000000001E-3</v>
      </c>
      <c r="DL59" s="19">
        <v>0</v>
      </c>
      <c r="DM59" s="19">
        <v>4.4999999999999998E-2</v>
      </c>
      <c r="DN59" s="19">
        <v>0</v>
      </c>
      <c r="DO59" s="19">
        <v>0.02</v>
      </c>
      <c r="DP59" s="19">
        <v>0</v>
      </c>
      <c r="DQ59" s="19">
        <v>0</v>
      </c>
      <c r="DR59" s="19">
        <v>0</v>
      </c>
      <c r="DS59" s="19">
        <v>0</v>
      </c>
      <c r="DT59" s="19">
        <v>0</v>
      </c>
      <c r="DU59" s="19">
        <v>0</v>
      </c>
      <c r="DV59" s="19">
        <v>0</v>
      </c>
      <c r="DW59" s="29">
        <v>0</v>
      </c>
      <c r="DX59" s="29">
        <v>0</v>
      </c>
      <c r="DY59" s="29">
        <v>0</v>
      </c>
      <c r="DZ59" s="29">
        <v>0</v>
      </c>
      <c r="EA59" s="29">
        <v>0</v>
      </c>
      <c r="EB59" s="29">
        <v>0</v>
      </c>
      <c r="EC59" s="29">
        <v>0</v>
      </c>
      <c r="ED59" s="29">
        <v>0</v>
      </c>
      <c r="EE59" s="29">
        <v>0</v>
      </c>
      <c r="EF59" s="29">
        <v>0</v>
      </c>
      <c r="EG59" s="29">
        <v>0</v>
      </c>
      <c r="EH59" s="29">
        <v>0</v>
      </c>
      <c r="EI59" s="29">
        <v>0</v>
      </c>
      <c r="EJ59" s="29">
        <v>0</v>
      </c>
      <c r="EK59" s="19">
        <v>0</v>
      </c>
      <c r="EL59" s="19"/>
      <c r="EM59" s="19"/>
      <c r="EN59" s="19"/>
      <c r="EO59" s="19"/>
    </row>
    <row r="60" spans="1:145">
      <c r="A60" t="s">
        <v>1354</v>
      </c>
      <c r="B60" t="s">
        <v>1470</v>
      </c>
      <c r="C60" t="s">
        <v>24</v>
      </c>
      <c r="D60" t="s">
        <v>1369</v>
      </c>
      <c r="E60">
        <v>0</v>
      </c>
      <c r="F60">
        <v>0</v>
      </c>
      <c r="G60" t="s">
        <v>703</v>
      </c>
      <c r="H60">
        <v>0</v>
      </c>
      <c r="I60">
        <v>0</v>
      </c>
      <c r="J60">
        <v>0</v>
      </c>
      <c r="K60" t="s">
        <v>596</v>
      </c>
      <c r="L60" t="s">
        <v>1276</v>
      </c>
      <c r="M60" t="s">
        <v>1357</v>
      </c>
      <c r="N60" t="s">
        <v>1359</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Z60">
        <v>0</v>
      </c>
      <c r="BA60">
        <v>0</v>
      </c>
      <c r="BB60">
        <v>0</v>
      </c>
      <c r="BC60">
        <v>0</v>
      </c>
      <c r="BF60">
        <v>0</v>
      </c>
      <c r="BG60">
        <v>0</v>
      </c>
      <c r="BH60">
        <v>0</v>
      </c>
      <c r="BI60">
        <v>0</v>
      </c>
      <c r="BJ60">
        <v>0</v>
      </c>
      <c r="BK60">
        <v>94</v>
      </c>
      <c r="BL60" s="19">
        <v>0</v>
      </c>
      <c r="BM60" s="19">
        <v>0</v>
      </c>
      <c r="BN60" s="19">
        <v>0</v>
      </c>
      <c r="BO60" s="19">
        <v>5.9</v>
      </c>
      <c r="BP60" s="19">
        <v>0</v>
      </c>
      <c r="BQ60" s="19">
        <v>0</v>
      </c>
      <c r="BR60" s="19">
        <v>0</v>
      </c>
      <c r="BS60" s="19">
        <v>2.2999999999999998</v>
      </c>
      <c r="BT60" s="19">
        <v>0</v>
      </c>
      <c r="BU60" s="19">
        <v>0</v>
      </c>
      <c r="BV60" s="19">
        <v>2.4E-2</v>
      </c>
      <c r="BW60" s="19">
        <v>0</v>
      </c>
      <c r="BX60" s="19">
        <v>37</v>
      </c>
      <c r="BY60" s="19">
        <v>0</v>
      </c>
      <c r="BZ60" s="19">
        <v>0</v>
      </c>
      <c r="CA60" s="19">
        <v>0</v>
      </c>
      <c r="CB60" s="19">
        <v>2.1999999999999999E-2</v>
      </c>
      <c r="CC60" s="19">
        <v>0</v>
      </c>
      <c r="CD60" s="19">
        <v>1.4E-2</v>
      </c>
      <c r="CE60" s="19">
        <v>0</v>
      </c>
      <c r="CF60" s="19">
        <v>1E-3</v>
      </c>
      <c r="CG60" s="19">
        <v>0</v>
      </c>
      <c r="CH60" s="19">
        <v>1E-3</v>
      </c>
      <c r="CI60" s="19">
        <v>0.01</v>
      </c>
      <c r="CJ60" s="19">
        <v>0</v>
      </c>
      <c r="CK60" s="19">
        <v>0</v>
      </c>
      <c r="CL60" s="19">
        <v>0</v>
      </c>
      <c r="CM60" s="19">
        <v>0</v>
      </c>
      <c r="CN60" s="19">
        <v>0</v>
      </c>
      <c r="CO60" s="19">
        <v>0</v>
      </c>
      <c r="CP60" s="19">
        <v>0</v>
      </c>
      <c r="CQ60" s="19">
        <v>0</v>
      </c>
      <c r="CR60" s="19">
        <v>0</v>
      </c>
      <c r="CS60" s="19">
        <v>0</v>
      </c>
      <c r="CT60" s="19">
        <v>3.6</v>
      </c>
      <c r="CU60" s="19">
        <v>0</v>
      </c>
      <c r="CV60" s="19">
        <v>0.39</v>
      </c>
      <c r="CW60" s="19">
        <v>1</v>
      </c>
      <c r="CX60" s="19">
        <v>0</v>
      </c>
      <c r="CY60" s="19">
        <v>0.49</v>
      </c>
      <c r="CZ60" s="19">
        <v>0.12</v>
      </c>
      <c r="DA60" s="19">
        <v>3.5000000000000003E-2</v>
      </c>
      <c r="DB60" s="19">
        <v>0</v>
      </c>
      <c r="DC60" s="19">
        <v>0</v>
      </c>
      <c r="DD60" s="19">
        <v>0</v>
      </c>
      <c r="DE60" s="19">
        <v>0</v>
      </c>
      <c r="DF60" s="19">
        <v>0</v>
      </c>
      <c r="DG60" s="19">
        <v>1.7999999999999999E-2</v>
      </c>
      <c r="DH60" s="19">
        <v>0</v>
      </c>
      <c r="DI60" s="19">
        <v>0</v>
      </c>
      <c r="DJ60" s="19">
        <v>0</v>
      </c>
      <c r="DK60" s="19">
        <v>2E-3</v>
      </c>
      <c r="DL60" s="19">
        <v>0</v>
      </c>
      <c r="DM60" s="19">
        <v>3.1E-2</v>
      </c>
      <c r="DN60" s="19">
        <v>0</v>
      </c>
      <c r="DO60" s="19">
        <v>1.4E-2</v>
      </c>
      <c r="DP60" s="19">
        <v>0</v>
      </c>
      <c r="DQ60" s="19">
        <v>0</v>
      </c>
      <c r="DR60" s="19">
        <v>0</v>
      </c>
      <c r="DS60" s="19">
        <v>0</v>
      </c>
      <c r="DT60" s="19">
        <v>0</v>
      </c>
      <c r="DU60" s="19">
        <v>0</v>
      </c>
      <c r="DV60" s="19">
        <v>0</v>
      </c>
      <c r="DW60" s="29">
        <v>0</v>
      </c>
      <c r="DX60" s="29">
        <v>0</v>
      </c>
      <c r="DY60" s="29">
        <v>0</v>
      </c>
      <c r="DZ60" s="29">
        <v>0</v>
      </c>
      <c r="EA60" s="29">
        <v>0</v>
      </c>
      <c r="EB60" s="29">
        <v>0</v>
      </c>
      <c r="EC60" s="29">
        <v>0</v>
      </c>
      <c r="ED60" s="29">
        <v>0</v>
      </c>
      <c r="EE60" s="29">
        <v>0</v>
      </c>
      <c r="EF60" s="29">
        <v>0</v>
      </c>
      <c r="EG60" s="29">
        <v>0</v>
      </c>
      <c r="EH60" s="29">
        <v>0</v>
      </c>
      <c r="EI60" s="29">
        <v>0</v>
      </c>
      <c r="EJ60" s="29">
        <v>0</v>
      </c>
      <c r="EK60" s="19">
        <v>0</v>
      </c>
      <c r="EL60" s="19"/>
      <c r="EM60" s="19"/>
      <c r="EN60" s="19"/>
      <c r="EO60" s="19"/>
    </row>
    <row r="61" spans="1:145">
      <c r="A61" t="s">
        <v>1354</v>
      </c>
      <c r="B61" t="s">
        <v>1470</v>
      </c>
      <c r="C61" t="s">
        <v>24</v>
      </c>
      <c r="D61" t="s">
        <v>1369</v>
      </c>
      <c r="E61">
        <v>0</v>
      </c>
      <c r="F61">
        <v>0</v>
      </c>
      <c r="G61" t="s">
        <v>703</v>
      </c>
      <c r="H61">
        <v>0</v>
      </c>
      <c r="I61">
        <v>0</v>
      </c>
      <c r="J61">
        <v>0</v>
      </c>
      <c r="K61" t="s">
        <v>596</v>
      </c>
      <c r="L61" t="s">
        <v>1276</v>
      </c>
      <c r="M61" t="s">
        <v>1357</v>
      </c>
      <c r="N61" t="s">
        <v>1360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Z61">
        <v>0</v>
      </c>
      <c r="BA61">
        <v>0</v>
      </c>
      <c r="BB61">
        <v>0</v>
      </c>
      <c r="BC61">
        <v>0</v>
      </c>
      <c r="BF61">
        <v>0</v>
      </c>
      <c r="BG61">
        <v>0</v>
      </c>
      <c r="BH61">
        <v>0</v>
      </c>
      <c r="BI61">
        <v>0</v>
      </c>
      <c r="BJ61">
        <v>0</v>
      </c>
      <c r="BK61">
        <v>7.8</v>
      </c>
      <c r="BL61" s="19">
        <v>0</v>
      </c>
      <c r="BM61" s="19">
        <v>0</v>
      </c>
      <c r="BN61" s="19">
        <v>0</v>
      </c>
      <c r="BO61" s="19">
        <v>2.6</v>
      </c>
      <c r="BP61" s="19">
        <v>0</v>
      </c>
      <c r="BQ61" s="19">
        <v>0</v>
      </c>
      <c r="BR61" s="19">
        <v>0</v>
      </c>
      <c r="BS61" s="19">
        <v>1.2</v>
      </c>
      <c r="BT61" s="19">
        <v>0</v>
      </c>
      <c r="BU61" s="19">
        <v>0</v>
      </c>
      <c r="BV61" s="19">
        <v>4.2000000000000003E-2</v>
      </c>
      <c r="BW61" s="19">
        <v>0</v>
      </c>
      <c r="BX61" s="19">
        <v>21</v>
      </c>
      <c r="BY61" s="19">
        <v>0</v>
      </c>
      <c r="BZ61" s="19">
        <v>0</v>
      </c>
      <c r="CA61" s="19">
        <v>0</v>
      </c>
      <c r="CB61" s="19">
        <v>1.7000000000000001E-2</v>
      </c>
      <c r="CC61" s="19">
        <v>0</v>
      </c>
      <c r="CD61" s="19">
        <v>1.2E-2</v>
      </c>
      <c r="CE61" s="19">
        <v>0</v>
      </c>
      <c r="CF61" s="19">
        <v>1E-3</v>
      </c>
      <c r="CG61" s="19">
        <v>0</v>
      </c>
      <c r="CH61" s="19">
        <v>1E-3</v>
      </c>
      <c r="CI61" s="19">
        <v>8.0000000000000002E-3</v>
      </c>
      <c r="CJ61" s="19">
        <v>0</v>
      </c>
      <c r="CK61" s="19">
        <v>0</v>
      </c>
      <c r="CL61" s="19">
        <v>0</v>
      </c>
      <c r="CM61" s="19">
        <v>0</v>
      </c>
      <c r="CN61" s="19">
        <v>0</v>
      </c>
      <c r="CO61" s="19">
        <v>0</v>
      </c>
      <c r="CP61" s="19">
        <v>0</v>
      </c>
      <c r="CQ61" s="19">
        <v>0</v>
      </c>
      <c r="CR61" s="19">
        <v>0</v>
      </c>
      <c r="CS61" s="19">
        <v>0</v>
      </c>
      <c r="CT61" s="19">
        <v>2.6</v>
      </c>
      <c r="CU61" s="19">
        <v>0</v>
      </c>
      <c r="CV61" s="19">
        <v>0.43</v>
      </c>
      <c r="CW61" s="19">
        <v>0.99</v>
      </c>
      <c r="CX61" s="19">
        <v>0</v>
      </c>
      <c r="CY61" s="19">
        <v>0.64</v>
      </c>
      <c r="CZ61" s="19">
        <v>0.14000000000000001</v>
      </c>
      <c r="DA61" s="19">
        <v>3.3000000000000002E-2</v>
      </c>
      <c r="DB61" s="19">
        <v>0</v>
      </c>
      <c r="DC61" s="19">
        <v>0</v>
      </c>
      <c r="DD61" s="19">
        <v>0</v>
      </c>
      <c r="DE61" s="19">
        <v>0</v>
      </c>
      <c r="DF61" s="19">
        <v>0</v>
      </c>
      <c r="DG61" s="19">
        <v>0</v>
      </c>
      <c r="DH61" s="19">
        <v>0</v>
      </c>
      <c r="DI61" s="19">
        <v>0</v>
      </c>
      <c r="DJ61" s="19">
        <v>0</v>
      </c>
      <c r="DK61" s="19">
        <v>1E-3</v>
      </c>
      <c r="DL61" s="19">
        <v>0</v>
      </c>
      <c r="DM61" s="19">
        <v>0.03</v>
      </c>
      <c r="DN61" s="19">
        <v>0</v>
      </c>
      <c r="DO61" s="19">
        <v>1.2500000000000001E-2</v>
      </c>
      <c r="DP61" s="19">
        <v>0</v>
      </c>
      <c r="DQ61" s="19">
        <v>0</v>
      </c>
      <c r="DR61" s="19">
        <v>0</v>
      </c>
      <c r="DS61" s="19">
        <v>0</v>
      </c>
      <c r="DT61" s="19">
        <v>0</v>
      </c>
      <c r="DU61" s="19">
        <v>0</v>
      </c>
      <c r="DV61" s="19">
        <v>0</v>
      </c>
      <c r="DW61" s="29">
        <v>0</v>
      </c>
      <c r="DX61" s="29">
        <v>0</v>
      </c>
      <c r="DY61" s="29">
        <v>0</v>
      </c>
      <c r="DZ61" s="29">
        <v>0</v>
      </c>
      <c r="EA61" s="29">
        <v>0</v>
      </c>
      <c r="EB61" s="29">
        <v>0</v>
      </c>
      <c r="EC61" s="29">
        <v>0</v>
      </c>
      <c r="ED61" s="29">
        <v>0</v>
      </c>
      <c r="EE61" s="29">
        <v>0</v>
      </c>
      <c r="EF61" s="29">
        <v>0</v>
      </c>
      <c r="EG61" s="29">
        <v>0</v>
      </c>
      <c r="EH61" s="29">
        <v>0</v>
      </c>
      <c r="EI61" s="29">
        <v>0</v>
      </c>
      <c r="EJ61" s="29">
        <v>0</v>
      </c>
      <c r="EK61" s="19">
        <v>0</v>
      </c>
      <c r="EL61" s="19"/>
      <c r="EM61" s="19"/>
      <c r="EN61" s="19"/>
      <c r="EO61" s="19"/>
    </row>
    <row r="62" spans="1:145">
      <c r="A62" t="s">
        <v>1211</v>
      </c>
      <c r="B62" t="s">
        <v>1470</v>
      </c>
      <c r="C62" t="s">
        <v>24</v>
      </c>
      <c r="D62" t="s">
        <v>1369</v>
      </c>
      <c r="E62">
        <v>0</v>
      </c>
      <c r="F62" t="s">
        <v>388</v>
      </c>
      <c r="G62" t="s">
        <v>342</v>
      </c>
      <c r="H62" t="s">
        <v>640</v>
      </c>
      <c r="J62">
        <v>0</v>
      </c>
      <c r="K62" t="s">
        <v>1311</v>
      </c>
      <c r="L62" t="s">
        <v>115</v>
      </c>
      <c r="M62">
        <v>0</v>
      </c>
      <c r="N62" t="s">
        <v>1249</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Z62">
        <v>0</v>
      </c>
      <c r="BA62">
        <v>0</v>
      </c>
      <c r="BB62">
        <v>0</v>
      </c>
      <c r="BC62">
        <v>0</v>
      </c>
      <c r="BF62">
        <v>0</v>
      </c>
      <c r="BG62">
        <v>0</v>
      </c>
      <c r="BH62">
        <v>0</v>
      </c>
      <c r="BI62">
        <v>0</v>
      </c>
      <c r="BJ62">
        <v>0</v>
      </c>
      <c r="BK62">
        <v>0</v>
      </c>
      <c r="BL62" s="19">
        <v>0</v>
      </c>
      <c r="BM62" s="19">
        <v>0</v>
      </c>
      <c r="BN62" s="19">
        <v>0</v>
      </c>
      <c r="BO62" s="19">
        <v>0</v>
      </c>
      <c r="BP62" s="19">
        <v>0</v>
      </c>
      <c r="BQ62" s="19">
        <v>0</v>
      </c>
      <c r="BR62" s="19">
        <v>0</v>
      </c>
      <c r="BS62" s="19">
        <v>0</v>
      </c>
      <c r="BT62" s="19">
        <v>0</v>
      </c>
      <c r="BU62" s="19">
        <v>85.94</v>
      </c>
      <c r="BV62" s="19">
        <v>0</v>
      </c>
      <c r="BW62" s="19">
        <v>0</v>
      </c>
      <c r="BX62" s="19">
        <v>0</v>
      </c>
      <c r="BY62" s="19">
        <v>0</v>
      </c>
      <c r="BZ62" s="19">
        <v>0</v>
      </c>
      <c r="CA62" s="19">
        <v>0</v>
      </c>
      <c r="CB62" s="19">
        <v>0</v>
      </c>
      <c r="CC62" s="19">
        <v>0</v>
      </c>
      <c r="CD62" s="19">
        <v>0</v>
      </c>
      <c r="CE62" s="19">
        <v>0</v>
      </c>
      <c r="CF62" s="19">
        <v>0</v>
      </c>
      <c r="CG62" s="19">
        <v>0</v>
      </c>
      <c r="CH62" s="19">
        <v>0</v>
      </c>
      <c r="CI62" s="19" t="s">
        <v>1192</v>
      </c>
      <c r="CJ62" s="19">
        <v>9.0470000000000006</v>
      </c>
      <c r="CK62" s="19">
        <v>0.67600000000000005</v>
      </c>
      <c r="CL62" s="19">
        <v>3.0710000000000002</v>
      </c>
      <c r="CM62" s="19">
        <v>0</v>
      </c>
      <c r="CN62" s="19">
        <v>9.4E-2</v>
      </c>
      <c r="CO62" s="19">
        <v>0</v>
      </c>
      <c r="CP62" s="19">
        <v>0</v>
      </c>
      <c r="CQ62" s="19">
        <v>0</v>
      </c>
      <c r="CR62" s="19">
        <v>0</v>
      </c>
      <c r="CS62" s="19">
        <v>0</v>
      </c>
      <c r="CT62" s="19">
        <v>24.16</v>
      </c>
      <c r="CU62" s="19">
        <v>0</v>
      </c>
      <c r="CV62" s="19">
        <v>31.84</v>
      </c>
      <c r="CW62" s="19">
        <v>37.71</v>
      </c>
      <c r="CX62" s="19">
        <v>3.423</v>
      </c>
      <c r="CY62" s="19">
        <v>9.02</v>
      </c>
      <c r="CZ62" s="19">
        <v>0.85799999999999998</v>
      </c>
      <c r="DA62" s="19">
        <v>0.23699999999999999</v>
      </c>
      <c r="DB62" s="19">
        <v>0.63200000000000001</v>
      </c>
      <c r="DC62" s="19">
        <v>0.27600000000000002</v>
      </c>
      <c r="DD62" s="19">
        <v>0</v>
      </c>
      <c r="DE62" s="19">
        <v>5.3999999999999999E-2</v>
      </c>
      <c r="DF62" s="19">
        <v>0</v>
      </c>
      <c r="DG62" s="19">
        <v>7.3999999999999996E-2</v>
      </c>
      <c r="DH62" s="19">
        <v>1.6E-2</v>
      </c>
      <c r="DI62" s="19">
        <v>7.1999999999999995E-2</v>
      </c>
      <c r="DJ62" s="19">
        <v>0</v>
      </c>
      <c r="DK62" s="19">
        <v>0</v>
      </c>
      <c r="DL62" s="19">
        <v>9.3000000000000007</v>
      </c>
      <c r="DM62" s="19">
        <v>1.756</v>
      </c>
      <c r="DN62" s="19">
        <v>5.8000000000000003E-2</v>
      </c>
      <c r="DO62" s="19">
        <v>5.2999999999999999E-2</v>
      </c>
      <c r="DP62" s="19">
        <v>0</v>
      </c>
      <c r="DQ62" s="19">
        <v>0</v>
      </c>
      <c r="DR62" s="19">
        <v>0</v>
      </c>
      <c r="DS62" s="19">
        <v>0</v>
      </c>
      <c r="DT62" s="19">
        <v>0</v>
      </c>
      <c r="DU62" s="19">
        <v>0</v>
      </c>
      <c r="DV62" s="19">
        <v>0</v>
      </c>
      <c r="DW62" s="29">
        <v>0.71526999999999996</v>
      </c>
      <c r="DX62" s="29">
        <v>1.2999999999999999E-4</v>
      </c>
      <c r="DY62" s="29">
        <v>0.71526999999999996</v>
      </c>
      <c r="DZ62" s="29"/>
      <c r="EA62" s="29">
        <v>152.9</v>
      </c>
      <c r="EB62" s="29">
        <v>0</v>
      </c>
      <c r="EC62" s="29">
        <v>0</v>
      </c>
      <c r="ED62" s="29">
        <v>0</v>
      </c>
      <c r="EE62" s="29">
        <v>0</v>
      </c>
      <c r="EF62" s="29">
        <v>0</v>
      </c>
      <c r="EG62" s="29">
        <v>0</v>
      </c>
      <c r="EH62" s="29">
        <v>0</v>
      </c>
      <c r="EI62" s="29">
        <v>0</v>
      </c>
      <c r="EJ62" s="29">
        <v>0</v>
      </c>
      <c r="EK62" s="19">
        <v>0</v>
      </c>
      <c r="EL62" s="19"/>
      <c r="EM62" s="19"/>
      <c r="EN62" s="19"/>
      <c r="EO62" s="19"/>
    </row>
    <row r="63" spans="1:145">
      <c r="A63" t="s">
        <v>1211</v>
      </c>
      <c r="B63" t="s">
        <v>1470</v>
      </c>
      <c r="C63" t="s">
        <v>24</v>
      </c>
      <c r="D63" t="s">
        <v>1369</v>
      </c>
      <c r="E63">
        <v>0</v>
      </c>
      <c r="F63" t="s">
        <v>388</v>
      </c>
      <c r="G63" t="s">
        <v>342</v>
      </c>
      <c r="H63" t="s">
        <v>640</v>
      </c>
      <c r="J63">
        <v>0</v>
      </c>
      <c r="K63" t="s">
        <v>1311</v>
      </c>
      <c r="L63" t="s">
        <v>115</v>
      </c>
      <c r="M63">
        <v>0</v>
      </c>
      <c r="N63" t="s">
        <v>1257</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Z63">
        <v>0</v>
      </c>
      <c r="BA63">
        <v>0</v>
      </c>
      <c r="BB63">
        <v>0</v>
      </c>
      <c r="BC63">
        <v>0</v>
      </c>
      <c r="BF63">
        <v>0</v>
      </c>
      <c r="BG63">
        <v>0</v>
      </c>
      <c r="BH63">
        <v>0</v>
      </c>
      <c r="BI63">
        <v>0</v>
      </c>
      <c r="BJ63">
        <v>0</v>
      </c>
      <c r="BK63">
        <v>0</v>
      </c>
      <c r="BL63" s="19">
        <v>0</v>
      </c>
      <c r="BM63" s="19">
        <v>0</v>
      </c>
      <c r="BN63" s="19">
        <v>0</v>
      </c>
      <c r="BO63" s="19">
        <v>0</v>
      </c>
      <c r="BP63" s="19">
        <v>0</v>
      </c>
      <c r="BQ63" s="19">
        <v>0</v>
      </c>
      <c r="BR63" s="19">
        <v>0</v>
      </c>
      <c r="BS63" s="19">
        <v>0</v>
      </c>
      <c r="BT63" s="19">
        <v>0</v>
      </c>
      <c r="BU63" s="19" t="s">
        <v>1192</v>
      </c>
      <c r="BV63" s="19">
        <v>0</v>
      </c>
      <c r="BW63" s="19">
        <v>0</v>
      </c>
      <c r="BX63" s="19">
        <v>0</v>
      </c>
      <c r="BY63" s="19">
        <v>0</v>
      </c>
      <c r="BZ63" s="19">
        <v>0</v>
      </c>
      <c r="CA63" s="19">
        <v>0</v>
      </c>
      <c r="CB63" s="19">
        <v>0</v>
      </c>
      <c r="CC63" s="19">
        <v>0</v>
      </c>
      <c r="CD63" s="19">
        <v>0</v>
      </c>
      <c r="CE63" s="19">
        <v>0</v>
      </c>
      <c r="CF63" s="19">
        <v>0</v>
      </c>
      <c r="CG63" s="19">
        <v>0</v>
      </c>
      <c r="CH63" s="19">
        <v>0</v>
      </c>
      <c r="CI63" s="19">
        <v>8.4000000000000005E-2</v>
      </c>
      <c r="CJ63" s="19">
        <v>3.58</v>
      </c>
      <c r="CK63" s="19">
        <v>5.5E-2</v>
      </c>
      <c r="CL63" s="19" t="s">
        <v>1192</v>
      </c>
      <c r="CM63" s="19">
        <v>0</v>
      </c>
      <c r="CN63" s="19">
        <v>7.8E-2</v>
      </c>
      <c r="CO63" s="19">
        <v>0</v>
      </c>
      <c r="CP63" s="19">
        <v>0</v>
      </c>
      <c r="CQ63" s="19">
        <v>0</v>
      </c>
      <c r="CR63" s="19">
        <v>0</v>
      </c>
      <c r="CS63" s="19">
        <v>0</v>
      </c>
      <c r="CT63" s="19">
        <v>4.46</v>
      </c>
      <c r="CU63" s="19">
        <v>0</v>
      </c>
      <c r="CV63" s="19">
        <v>0.36699999999999999</v>
      </c>
      <c r="CW63" s="19">
        <v>0.61099999999999999</v>
      </c>
      <c r="CX63" s="19" t="s">
        <v>1192</v>
      </c>
      <c r="CY63" s="19">
        <v>0.27900000000000003</v>
      </c>
      <c r="CZ63" s="19">
        <v>8.1000000000000003E-2</v>
      </c>
      <c r="DA63" s="19">
        <v>8.9999999999999993E-3</v>
      </c>
      <c r="DB63" s="19">
        <v>0.02</v>
      </c>
      <c r="DC63" s="19">
        <v>2.3E-2</v>
      </c>
      <c r="DD63" s="19">
        <v>0</v>
      </c>
      <c r="DE63" s="19" t="s">
        <v>1192</v>
      </c>
      <c r="DF63" s="19">
        <v>0</v>
      </c>
      <c r="DG63" s="19" t="s">
        <v>1192</v>
      </c>
      <c r="DH63" s="19" t="s">
        <v>1192</v>
      </c>
      <c r="DI63" s="19" t="s">
        <v>1192</v>
      </c>
      <c r="DJ63" s="19">
        <v>0</v>
      </c>
      <c r="DK63" s="19">
        <v>0</v>
      </c>
      <c r="DL63" s="19">
        <v>0.104</v>
      </c>
      <c r="DM63" s="19">
        <v>5.2999999999999999E-2</v>
      </c>
      <c r="DN63" s="19">
        <v>1.0999999999999999E-2</v>
      </c>
      <c r="DO63" s="19" t="s">
        <v>1192</v>
      </c>
      <c r="DP63" s="19">
        <v>0</v>
      </c>
      <c r="DQ63" s="19">
        <v>0</v>
      </c>
      <c r="DR63" s="19">
        <v>0</v>
      </c>
      <c r="DS63" s="19">
        <v>0</v>
      </c>
      <c r="DT63" s="19">
        <v>0</v>
      </c>
      <c r="DU63" s="19">
        <v>0</v>
      </c>
      <c r="DV63" s="19">
        <v>0</v>
      </c>
      <c r="DW63" s="29">
        <v>0</v>
      </c>
      <c r="DX63" s="29">
        <v>0</v>
      </c>
      <c r="DY63" s="29">
        <v>0</v>
      </c>
      <c r="DZ63" s="29">
        <v>0</v>
      </c>
      <c r="EA63" s="29">
        <v>0</v>
      </c>
      <c r="EB63" s="29">
        <v>0</v>
      </c>
      <c r="EC63" s="29">
        <v>0</v>
      </c>
      <c r="ED63" s="29">
        <v>0</v>
      </c>
      <c r="EE63" s="29">
        <v>0</v>
      </c>
      <c r="EF63" s="29">
        <v>0</v>
      </c>
      <c r="EG63" s="29">
        <v>0</v>
      </c>
      <c r="EH63" s="29">
        <v>0</v>
      </c>
      <c r="EI63" s="29">
        <v>0</v>
      </c>
      <c r="EJ63" s="29">
        <v>0</v>
      </c>
      <c r="EK63" s="19">
        <v>0</v>
      </c>
      <c r="EL63" s="19"/>
      <c r="EM63" s="19"/>
      <c r="EN63" s="19"/>
      <c r="EO63" s="19"/>
    </row>
    <row r="64" spans="1:145">
      <c r="A64" t="s">
        <v>1258</v>
      </c>
      <c r="B64" t="s">
        <v>1470</v>
      </c>
      <c r="C64" t="s">
        <v>24</v>
      </c>
      <c r="D64" t="s">
        <v>1369</v>
      </c>
      <c r="E64">
        <v>0</v>
      </c>
      <c r="F64" t="s">
        <v>388</v>
      </c>
      <c r="G64" t="s">
        <v>1791</v>
      </c>
      <c r="H64" t="s">
        <v>829</v>
      </c>
      <c r="J64">
        <v>0</v>
      </c>
      <c r="K64" t="s">
        <v>1275</v>
      </c>
      <c r="L64" t="s">
        <v>48</v>
      </c>
      <c r="M64">
        <v>0</v>
      </c>
      <c r="N64">
        <v>1</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Z64">
        <v>0</v>
      </c>
      <c r="BA64">
        <v>0</v>
      </c>
      <c r="BB64">
        <v>0</v>
      </c>
      <c r="BC64">
        <v>0</v>
      </c>
      <c r="BF64">
        <v>0</v>
      </c>
      <c r="BG64">
        <v>0</v>
      </c>
      <c r="BH64">
        <v>0</v>
      </c>
      <c r="BI64">
        <v>0</v>
      </c>
      <c r="BJ64">
        <v>0</v>
      </c>
      <c r="BK64">
        <v>0</v>
      </c>
      <c r="BL64" s="19">
        <v>0</v>
      </c>
      <c r="BM64" s="19">
        <v>0</v>
      </c>
      <c r="BN64" s="19">
        <v>0</v>
      </c>
      <c r="BO64" s="19">
        <v>0</v>
      </c>
      <c r="BP64" s="19">
        <v>0</v>
      </c>
      <c r="BQ64" s="19">
        <v>0</v>
      </c>
      <c r="BR64" s="19">
        <v>0</v>
      </c>
      <c r="BS64" s="19">
        <v>0</v>
      </c>
      <c r="BT64" s="19">
        <v>0</v>
      </c>
      <c r="BU64" s="19">
        <v>0</v>
      </c>
      <c r="BV64" s="19">
        <v>0</v>
      </c>
      <c r="BW64" s="19">
        <v>0</v>
      </c>
      <c r="BX64" s="19">
        <v>0</v>
      </c>
      <c r="BY64" s="19">
        <v>0</v>
      </c>
      <c r="BZ64" s="19">
        <v>0</v>
      </c>
      <c r="CA64" s="19">
        <v>0</v>
      </c>
      <c r="CB64" s="19">
        <v>0</v>
      </c>
      <c r="CC64" s="19">
        <v>0</v>
      </c>
      <c r="CD64" s="19">
        <v>0</v>
      </c>
      <c r="CE64" s="19">
        <v>0</v>
      </c>
      <c r="CF64" s="19">
        <v>0</v>
      </c>
      <c r="CG64" s="19">
        <v>0</v>
      </c>
      <c r="CH64" s="19">
        <v>0</v>
      </c>
      <c r="CI64" s="19">
        <v>1.49E-2</v>
      </c>
      <c r="CJ64" s="19">
        <v>0.27300000000000002</v>
      </c>
      <c r="CK64" s="19">
        <v>0</v>
      </c>
      <c r="CL64" s="19">
        <v>0</v>
      </c>
      <c r="CM64" s="19">
        <v>0</v>
      </c>
      <c r="CN64" s="19">
        <v>0</v>
      </c>
      <c r="CO64" s="19">
        <v>0</v>
      </c>
      <c r="CP64" s="19">
        <v>0</v>
      </c>
      <c r="CQ64" s="19">
        <v>0</v>
      </c>
      <c r="CR64" s="19">
        <v>0</v>
      </c>
      <c r="CS64" s="19">
        <v>0</v>
      </c>
      <c r="CT64" s="19">
        <v>0</v>
      </c>
      <c r="CU64" s="19">
        <v>0</v>
      </c>
      <c r="CV64" s="19">
        <v>0</v>
      </c>
      <c r="CW64" s="19">
        <v>0</v>
      </c>
      <c r="CX64" s="19">
        <v>0</v>
      </c>
      <c r="CY64" s="19">
        <v>0</v>
      </c>
      <c r="CZ64" s="19">
        <v>0</v>
      </c>
      <c r="DA64" s="19">
        <v>0</v>
      </c>
      <c r="DB64" s="19">
        <v>0</v>
      </c>
      <c r="DC64" s="19">
        <v>0</v>
      </c>
      <c r="DD64" s="19">
        <v>0</v>
      </c>
      <c r="DE64" s="19">
        <v>0</v>
      </c>
      <c r="DF64" s="19">
        <v>0</v>
      </c>
      <c r="DG64" s="19">
        <v>0</v>
      </c>
      <c r="DH64" s="19">
        <v>0</v>
      </c>
      <c r="DI64" s="19">
        <v>0</v>
      </c>
      <c r="DJ64" s="19">
        <v>0</v>
      </c>
      <c r="DK64" s="19">
        <v>0</v>
      </c>
      <c r="DL64" s="19">
        <v>0</v>
      </c>
      <c r="DM64" s="19">
        <v>0</v>
      </c>
      <c r="DN64" s="19">
        <v>0</v>
      </c>
      <c r="DO64" s="19">
        <v>0</v>
      </c>
      <c r="DP64" s="19">
        <v>0</v>
      </c>
      <c r="DQ64" s="19">
        <v>0</v>
      </c>
      <c r="DR64" s="19">
        <v>0</v>
      </c>
      <c r="DS64" s="19">
        <v>0</v>
      </c>
      <c r="DT64" s="19">
        <v>0</v>
      </c>
      <c r="DU64" s="19">
        <v>0.158</v>
      </c>
      <c r="DV64" s="19"/>
      <c r="DW64" s="29">
        <v>0.70403000000000004</v>
      </c>
      <c r="DX64" s="29"/>
      <c r="DY64" s="29">
        <v>0.70387</v>
      </c>
      <c r="DZ64" s="29">
        <v>0</v>
      </c>
      <c r="EA64" s="29">
        <v>0</v>
      </c>
      <c r="EB64" s="29">
        <v>0</v>
      </c>
      <c r="EC64" s="29">
        <v>0</v>
      </c>
      <c r="ED64" s="29">
        <v>0</v>
      </c>
      <c r="EE64" s="29">
        <v>0</v>
      </c>
      <c r="EF64" s="29">
        <v>0</v>
      </c>
      <c r="EG64" s="29">
        <v>0</v>
      </c>
      <c r="EH64" s="29">
        <v>0</v>
      </c>
      <c r="EI64" s="29">
        <v>0</v>
      </c>
      <c r="EJ64" s="29">
        <v>0</v>
      </c>
      <c r="EK64" s="19">
        <v>0</v>
      </c>
      <c r="EL64" s="19"/>
      <c r="EM64" s="19"/>
      <c r="EN64" s="19"/>
      <c r="EO64" s="19"/>
    </row>
    <row r="65" spans="1:145">
      <c r="A65" t="s">
        <v>1258</v>
      </c>
      <c r="B65" t="s">
        <v>1470</v>
      </c>
      <c r="C65" t="s">
        <v>24</v>
      </c>
      <c r="D65" t="s">
        <v>1369</v>
      </c>
      <c r="E65">
        <v>0</v>
      </c>
      <c r="F65" t="s">
        <v>388</v>
      </c>
      <c r="G65" t="s">
        <v>1791</v>
      </c>
      <c r="H65" t="s">
        <v>829</v>
      </c>
      <c r="J65">
        <v>0</v>
      </c>
      <c r="K65" t="s">
        <v>1275</v>
      </c>
      <c r="L65" t="s">
        <v>48</v>
      </c>
      <c r="M65">
        <v>0</v>
      </c>
      <c r="N65">
        <v>2</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Z65">
        <v>0</v>
      </c>
      <c r="BA65">
        <v>0</v>
      </c>
      <c r="BB65">
        <v>0</v>
      </c>
      <c r="BC65">
        <v>0</v>
      </c>
      <c r="BF65">
        <v>0</v>
      </c>
      <c r="BG65">
        <v>0</v>
      </c>
      <c r="BH65">
        <v>0</v>
      </c>
      <c r="BI65">
        <v>0</v>
      </c>
      <c r="BJ65">
        <v>0</v>
      </c>
      <c r="BK65">
        <v>0</v>
      </c>
      <c r="BL65" s="19">
        <v>0</v>
      </c>
      <c r="BM65" s="19">
        <v>0</v>
      </c>
      <c r="BN65" s="19">
        <v>0</v>
      </c>
      <c r="BO65" s="19">
        <v>0</v>
      </c>
      <c r="BP65" s="19">
        <v>0</v>
      </c>
      <c r="BQ65" s="19">
        <v>0</v>
      </c>
      <c r="BR65" s="19">
        <v>0</v>
      </c>
      <c r="BS65" s="19">
        <v>0</v>
      </c>
      <c r="BT65" s="19">
        <v>0</v>
      </c>
      <c r="BU65" s="19">
        <v>0</v>
      </c>
      <c r="BV65" s="19">
        <v>0</v>
      </c>
      <c r="BW65" s="19">
        <v>0</v>
      </c>
      <c r="BX65" s="19">
        <v>0</v>
      </c>
      <c r="BY65" s="19">
        <v>0</v>
      </c>
      <c r="BZ65" s="19">
        <v>0</v>
      </c>
      <c r="CA65" s="19">
        <v>0</v>
      </c>
      <c r="CB65" s="19">
        <v>0</v>
      </c>
      <c r="CC65" s="19">
        <v>0</v>
      </c>
      <c r="CD65" s="19">
        <v>0</v>
      </c>
      <c r="CE65" s="19">
        <v>0</v>
      </c>
      <c r="CF65" s="19">
        <v>0</v>
      </c>
      <c r="CG65" s="19">
        <v>0</v>
      </c>
      <c r="CH65" s="19">
        <v>0</v>
      </c>
      <c r="CI65" s="19">
        <v>2.8899999999999999E-2</v>
      </c>
      <c r="CJ65" s="19">
        <v>0.88700000000000001</v>
      </c>
      <c r="CK65" s="19">
        <v>0</v>
      </c>
      <c r="CL65" s="19">
        <v>0</v>
      </c>
      <c r="CM65" s="19">
        <v>0</v>
      </c>
      <c r="CN65" s="19">
        <v>0</v>
      </c>
      <c r="CO65" s="19">
        <v>0</v>
      </c>
      <c r="CP65" s="19">
        <v>0</v>
      </c>
      <c r="CQ65" s="19">
        <v>0</v>
      </c>
      <c r="CR65" s="19">
        <v>0</v>
      </c>
      <c r="CS65" s="19">
        <v>0</v>
      </c>
      <c r="CT65" s="19">
        <v>0</v>
      </c>
      <c r="CU65" s="19">
        <v>0</v>
      </c>
      <c r="CV65" s="19">
        <v>0</v>
      </c>
      <c r="CW65" s="19">
        <v>0</v>
      </c>
      <c r="CX65" s="19">
        <v>0</v>
      </c>
      <c r="CY65" s="19">
        <v>0</v>
      </c>
      <c r="CZ65" s="19">
        <v>0</v>
      </c>
      <c r="DA65" s="19">
        <v>0</v>
      </c>
      <c r="DB65" s="19">
        <v>0</v>
      </c>
      <c r="DC65" s="19">
        <v>0</v>
      </c>
      <c r="DD65" s="19">
        <v>0</v>
      </c>
      <c r="DE65" s="19">
        <v>0</v>
      </c>
      <c r="DF65" s="19">
        <v>0</v>
      </c>
      <c r="DG65" s="19">
        <v>0</v>
      </c>
      <c r="DH65" s="19">
        <v>0</v>
      </c>
      <c r="DI65" s="19">
        <v>0</v>
      </c>
      <c r="DJ65" s="19">
        <v>0</v>
      </c>
      <c r="DK65" s="19">
        <v>0</v>
      </c>
      <c r="DL65" s="19">
        <v>0</v>
      </c>
      <c r="DM65" s="19">
        <v>0</v>
      </c>
      <c r="DN65" s="19">
        <v>0</v>
      </c>
      <c r="DO65" s="19">
        <v>0</v>
      </c>
      <c r="DP65" s="19">
        <v>0</v>
      </c>
      <c r="DQ65" s="19">
        <v>0</v>
      </c>
      <c r="DR65" s="19">
        <v>0</v>
      </c>
      <c r="DS65" s="19">
        <v>0</v>
      </c>
      <c r="DT65" s="19">
        <v>0</v>
      </c>
      <c r="DU65" s="19">
        <v>9.4299999999999995E-2</v>
      </c>
      <c r="DV65" s="19"/>
      <c r="DW65" s="29">
        <v>0.70412200000000003</v>
      </c>
      <c r="DX65" s="29"/>
      <c r="DY65" s="29">
        <v>0.70402699999999996</v>
      </c>
      <c r="DZ65" s="29">
        <v>0</v>
      </c>
      <c r="EA65" s="29">
        <v>0</v>
      </c>
      <c r="EB65" s="29">
        <v>0</v>
      </c>
      <c r="EC65" s="29">
        <v>0</v>
      </c>
      <c r="ED65" s="29">
        <v>0</v>
      </c>
      <c r="EE65" s="29">
        <v>0</v>
      </c>
      <c r="EF65" s="29">
        <v>0</v>
      </c>
      <c r="EG65" s="29">
        <v>0</v>
      </c>
      <c r="EH65" s="29">
        <v>0</v>
      </c>
      <c r="EI65" s="29">
        <v>0</v>
      </c>
      <c r="EJ65" s="29">
        <v>0</v>
      </c>
      <c r="EK65" s="19">
        <v>0</v>
      </c>
      <c r="EL65" s="19"/>
      <c r="EM65" s="19"/>
      <c r="EN65" s="19"/>
      <c r="EO65" s="19"/>
    </row>
    <row r="66" spans="1:145">
      <c r="A66" t="s">
        <v>1258</v>
      </c>
      <c r="B66" t="s">
        <v>1470</v>
      </c>
      <c r="C66" t="s">
        <v>24</v>
      </c>
      <c r="D66" t="s">
        <v>1369</v>
      </c>
      <c r="E66">
        <v>0</v>
      </c>
      <c r="F66" t="s">
        <v>388</v>
      </c>
      <c r="G66" t="s">
        <v>1791</v>
      </c>
      <c r="H66" t="s">
        <v>829</v>
      </c>
      <c r="J66">
        <v>0</v>
      </c>
      <c r="K66" t="s">
        <v>1275</v>
      </c>
      <c r="L66" t="s">
        <v>48</v>
      </c>
      <c r="M66">
        <v>0</v>
      </c>
      <c r="N66">
        <v>3</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Z66">
        <v>0</v>
      </c>
      <c r="BA66">
        <v>0</v>
      </c>
      <c r="BB66">
        <v>0</v>
      </c>
      <c r="BC66">
        <v>0</v>
      </c>
      <c r="BF66">
        <v>0</v>
      </c>
      <c r="BG66">
        <v>0</v>
      </c>
      <c r="BH66">
        <v>0</v>
      </c>
      <c r="BI66">
        <v>0</v>
      </c>
      <c r="BJ66">
        <v>0</v>
      </c>
      <c r="BK66">
        <v>0</v>
      </c>
      <c r="BL66" s="19">
        <v>0</v>
      </c>
      <c r="BM66" s="19">
        <v>0</v>
      </c>
      <c r="BN66" s="19">
        <v>0</v>
      </c>
      <c r="BO66" s="19">
        <v>0</v>
      </c>
      <c r="BP66" s="19">
        <v>0</v>
      </c>
      <c r="BQ66" s="19">
        <v>0</v>
      </c>
      <c r="BR66" s="19">
        <v>0</v>
      </c>
      <c r="BS66" s="19">
        <v>0</v>
      </c>
      <c r="BT66" s="19">
        <v>0</v>
      </c>
      <c r="BU66" s="19">
        <v>0</v>
      </c>
      <c r="BV66" s="19">
        <v>0</v>
      </c>
      <c r="BW66" s="19">
        <v>0</v>
      </c>
      <c r="BX66" s="19">
        <v>0</v>
      </c>
      <c r="BY66" s="19">
        <v>0</v>
      </c>
      <c r="BZ66" s="19">
        <v>0</v>
      </c>
      <c r="CA66" s="19">
        <v>0</v>
      </c>
      <c r="CB66" s="19">
        <v>0</v>
      </c>
      <c r="CC66" s="19">
        <v>0</v>
      </c>
      <c r="CD66" s="19">
        <v>0</v>
      </c>
      <c r="CE66" s="19">
        <v>0</v>
      </c>
      <c r="CF66" s="19">
        <v>0</v>
      </c>
      <c r="CG66" s="19">
        <v>0</v>
      </c>
      <c r="CH66" s="19">
        <v>0</v>
      </c>
      <c r="CI66" s="19">
        <v>2.6599999999999999E-2</v>
      </c>
      <c r="CJ66" s="19">
        <v>0.64900000000000002</v>
      </c>
      <c r="CK66" s="19">
        <v>0</v>
      </c>
      <c r="CL66" s="19">
        <v>0</v>
      </c>
      <c r="CM66" s="19">
        <v>0</v>
      </c>
      <c r="CN66" s="19">
        <v>0</v>
      </c>
      <c r="CO66" s="19">
        <v>0</v>
      </c>
      <c r="CP66" s="19">
        <v>0</v>
      </c>
      <c r="CQ66" s="19">
        <v>0</v>
      </c>
      <c r="CR66" s="19">
        <v>0</v>
      </c>
      <c r="CS66" s="19">
        <v>0</v>
      </c>
      <c r="CT66" s="19">
        <v>0</v>
      </c>
      <c r="CU66" s="19">
        <v>0</v>
      </c>
      <c r="CV66" s="19">
        <v>0</v>
      </c>
      <c r="CW66" s="19">
        <v>0</v>
      </c>
      <c r="CX66" s="19">
        <v>0</v>
      </c>
      <c r="CY66" s="19">
        <v>0</v>
      </c>
      <c r="CZ66" s="19">
        <v>0</v>
      </c>
      <c r="DA66" s="19">
        <v>0</v>
      </c>
      <c r="DB66" s="19">
        <v>0</v>
      </c>
      <c r="DC66" s="19">
        <v>0</v>
      </c>
      <c r="DD66" s="19">
        <v>0</v>
      </c>
      <c r="DE66" s="19">
        <v>0</v>
      </c>
      <c r="DF66" s="19">
        <v>0</v>
      </c>
      <c r="DG66" s="19">
        <v>0</v>
      </c>
      <c r="DH66" s="19">
        <v>0</v>
      </c>
      <c r="DI66" s="19">
        <v>0</v>
      </c>
      <c r="DJ66" s="19">
        <v>0</v>
      </c>
      <c r="DK66" s="19">
        <v>0</v>
      </c>
      <c r="DL66" s="19">
        <v>0</v>
      </c>
      <c r="DM66" s="19">
        <v>0</v>
      </c>
      <c r="DN66" s="19">
        <v>0</v>
      </c>
      <c r="DO66" s="19">
        <v>0</v>
      </c>
      <c r="DP66" s="19">
        <v>0</v>
      </c>
      <c r="DQ66" s="19">
        <v>0</v>
      </c>
      <c r="DR66" s="19">
        <v>0</v>
      </c>
      <c r="DS66" s="19">
        <v>0</v>
      </c>
      <c r="DT66" s="19">
        <v>0</v>
      </c>
      <c r="DU66" s="19">
        <v>0.11799999999999999</v>
      </c>
      <c r="DV66" s="19"/>
      <c r="DW66" s="29">
        <v>0.70379999999999998</v>
      </c>
      <c r="DX66" s="29"/>
      <c r="DY66" s="29">
        <v>0.70367999999999997</v>
      </c>
      <c r="DZ66" s="29">
        <v>0</v>
      </c>
      <c r="EA66" s="29">
        <v>0</v>
      </c>
      <c r="EB66" s="29">
        <v>0</v>
      </c>
      <c r="EC66" s="29">
        <v>0</v>
      </c>
      <c r="ED66" s="29">
        <v>0</v>
      </c>
      <c r="EE66" s="29">
        <v>0</v>
      </c>
      <c r="EF66" s="29">
        <v>0</v>
      </c>
      <c r="EG66" s="29">
        <v>0</v>
      </c>
      <c r="EH66" s="29">
        <v>0</v>
      </c>
      <c r="EI66" s="29">
        <v>0</v>
      </c>
      <c r="EJ66" s="29">
        <v>0</v>
      </c>
      <c r="EK66" s="19">
        <v>0</v>
      </c>
      <c r="EL66" s="19"/>
      <c r="EM66" s="19"/>
      <c r="EN66" s="19"/>
      <c r="EO66" s="19"/>
    </row>
    <row r="67" spans="1:145">
      <c r="A67" t="s">
        <v>1258</v>
      </c>
      <c r="B67" t="s">
        <v>1470</v>
      </c>
      <c r="C67" t="s">
        <v>24</v>
      </c>
      <c r="D67" t="s">
        <v>1369</v>
      </c>
      <c r="E67">
        <v>0</v>
      </c>
      <c r="F67" t="s">
        <v>388</v>
      </c>
      <c r="G67" t="s">
        <v>1791</v>
      </c>
      <c r="H67" t="s">
        <v>829</v>
      </c>
      <c r="J67">
        <v>0</v>
      </c>
      <c r="K67" t="s">
        <v>1275</v>
      </c>
      <c r="L67" t="s">
        <v>48</v>
      </c>
      <c r="M67">
        <v>0</v>
      </c>
      <c r="N67">
        <v>4</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Z67">
        <v>0</v>
      </c>
      <c r="BA67">
        <v>0</v>
      </c>
      <c r="BB67">
        <v>0</v>
      </c>
      <c r="BC67">
        <v>0</v>
      </c>
      <c r="BF67">
        <v>0</v>
      </c>
      <c r="BG67">
        <v>0</v>
      </c>
      <c r="BH67">
        <v>0</v>
      </c>
      <c r="BI67">
        <v>0</v>
      </c>
      <c r="BJ67">
        <v>0</v>
      </c>
      <c r="BK67">
        <v>0</v>
      </c>
      <c r="BL67" s="19">
        <v>0</v>
      </c>
      <c r="BM67" s="19">
        <v>0</v>
      </c>
      <c r="BN67" s="19">
        <v>0</v>
      </c>
      <c r="BO67" s="19">
        <v>0</v>
      </c>
      <c r="BP67" s="19">
        <v>0</v>
      </c>
      <c r="BQ67" s="19">
        <v>0</v>
      </c>
      <c r="BR67" s="19">
        <v>0</v>
      </c>
      <c r="BS67" s="19">
        <v>0</v>
      </c>
      <c r="BT67" s="19">
        <v>0</v>
      </c>
      <c r="BU67" s="19">
        <v>0</v>
      </c>
      <c r="BV67" s="19">
        <v>0</v>
      </c>
      <c r="BW67" s="19">
        <v>0</v>
      </c>
      <c r="BX67" s="19">
        <v>0</v>
      </c>
      <c r="BY67" s="19">
        <v>0</v>
      </c>
      <c r="BZ67" s="19">
        <v>0</v>
      </c>
      <c r="CA67" s="19">
        <v>0</v>
      </c>
      <c r="CB67" s="19">
        <v>0</v>
      </c>
      <c r="CC67" s="19">
        <v>0</v>
      </c>
      <c r="CD67" s="19">
        <v>0</v>
      </c>
      <c r="CE67" s="19">
        <v>0</v>
      </c>
      <c r="CF67" s="19">
        <v>0</v>
      </c>
      <c r="CG67" s="19">
        <v>0</v>
      </c>
      <c r="CH67" s="19">
        <v>0</v>
      </c>
      <c r="CI67" s="19">
        <v>4.4499999999999998E-2</v>
      </c>
      <c r="CJ67" s="19">
        <v>1.92</v>
      </c>
      <c r="CK67" s="19">
        <v>0</v>
      </c>
      <c r="CL67" s="19">
        <v>0</v>
      </c>
      <c r="CM67" s="19">
        <v>0</v>
      </c>
      <c r="CN67" s="19">
        <v>0</v>
      </c>
      <c r="CO67" s="19">
        <v>0</v>
      </c>
      <c r="CP67" s="19">
        <v>0</v>
      </c>
      <c r="CQ67" s="19">
        <v>0</v>
      </c>
      <c r="CR67" s="19">
        <v>0</v>
      </c>
      <c r="CS67" s="19">
        <v>0</v>
      </c>
      <c r="CT67" s="19">
        <v>0</v>
      </c>
      <c r="CU67" s="19">
        <v>0</v>
      </c>
      <c r="CV67" s="19">
        <v>0</v>
      </c>
      <c r="CW67" s="19">
        <v>0</v>
      </c>
      <c r="CX67" s="19">
        <v>0</v>
      </c>
      <c r="CY67" s="19">
        <v>0</v>
      </c>
      <c r="CZ67" s="19">
        <v>0</v>
      </c>
      <c r="DA67" s="19">
        <v>0</v>
      </c>
      <c r="DB67" s="19">
        <v>0</v>
      </c>
      <c r="DC67" s="19">
        <v>0</v>
      </c>
      <c r="DD67" s="19">
        <v>0</v>
      </c>
      <c r="DE67" s="19">
        <v>0</v>
      </c>
      <c r="DF67" s="19">
        <v>0</v>
      </c>
      <c r="DG67" s="19">
        <v>0</v>
      </c>
      <c r="DH67" s="19">
        <v>0</v>
      </c>
      <c r="DI67" s="19">
        <v>0</v>
      </c>
      <c r="DJ67" s="19">
        <v>0</v>
      </c>
      <c r="DK67" s="19">
        <v>0</v>
      </c>
      <c r="DL67" s="19">
        <v>0</v>
      </c>
      <c r="DM67" s="19">
        <v>0</v>
      </c>
      <c r="DN67" s="19">
        <v>0</v>
      </c>
      <c r="DO67" s="19">
        <v>0</v>
      </c>
      <c r="DP67" s="19">
        <v>0</v>
      </c>
      <c r="DQ67" s="19">
        <v>0</v>
      </c>
      <c r="DR67" s="19">
        <v>0</v>
      </c>
      <c r="DS67" s="19">
        <v>0</v>
      </c>
      <c r="DT67" s="19">
        <v>0</v>
      </c>
      <c r="DU67" s="19">
        <v>6.7100000000000007E-2</v>
      </c>
      <c r="DV67" s="19"/>
      <c r="DW67" s="29">
        <v>0.70462999999999998</v>
      </c>
      <c r="DX67" s="29"/>
      <c r="DY67" s="29">
        <v>0.70455999999999996</v>
      </c>
      <c r="DZ67" s="29">
        <v>0</v>
      </c>
      <c r="EA67" s="29">
        <v>0</v>
      </c>
      <c r="EB67" s="29">
        <v>0</v>
      </c>
      <c r="EC67" s="29">
        <v>0</v>
      </c>
      <c r="ED67" s="29">
        <v>0</v>
      </c>
      <c r="EE67" s="29">
        <v>0</v>
      </c>
      <c r="EF67" s="29">
        <v>0</v>
      </c>
      <c r="EG67" s="29">
        <v>0</v>
      </c>
      <c r="EH67" s="29">
        <v>0</v>
      </c>
      <c r="EI67" s="29">
        <v>0</v>
      </c>
      <c r="EJ67" s="29">
        <v>0</v>
      </c>
      <c r="EK67" s="19">
        <v>0</v>
      </c>
      <c r="EL67" s="19"/>
      <c r="EM67" s="19"/>
      <c r="EN67" s="19"/>
      <c r="EO67" s="19"/>
    </row>
    <row r="68" spans="1:145">
      <c r="A68" t="s">
        <v>1258</v>
      </c>
      <c r="B68" t="s">
        <v>1470</v>
      </c>
      <c r="C68" t="s">
        <v>24</v>
      </c>
      <c r="D68" t="s">
        <v>1369</v>
      </c>
      <c r="E68">
        <v>0</v>
      </c>
      <c r="F68" t="s">
        <v>388</v>
      </c>
      <c r="G68" t="s">
        <v>1791</v>
      </c>
      <c r="H68" t="s">
        <v>829</v>
      </c>
      <c r="J68">
        <v>0</v>
      </c>
      <c r="K68" t="s">
        <v>1275</v>
      </c>
      <c r="L68" t="s">
        <v>48</v>
      </c>
      <c r="M68">
        <v>0</v>
      </c>
      <c r="N68">
        <v>5</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Z68">
        <v>0</v>
      </c>
      <c r="BA68">
        <v>0</v>
      </c>
      <c r="BB68">
        <v>0</v>
      </c>
      <c r="BC68">
        <v>0</v>
      </c>
      <c r="BF68">
        <v>0</v>
      </c>
      <c r="BG68">
        <v>0</v>
      </c>
      <c r="BH68">
        <v>0</v>
      </c>
      <c r="BI68">
        <v>0</v>
      </c>
      <c r="BJ68">
        <v>0</v>
      </c>
      <c r="BK68">
        <v>0</v>
      </c>
      <c r="BL68" s="19">
        <v>0</v>
      </c>
      <c r="BM68" s="19">
        <v>0</v>
      </c>
      <c r="BN68" s="19">
        <v>0</v>
      </c>
      <c r="BO68" s="19">
        <v>0</v>
      </c>
      <c r="BP68" s="19">
        <v>0</v>
      </c>
      <c r="BQ68" s="19">
        <v>0</v>
      </c>
      <c r="BR68" s="19">
        <v>0</v>
      </c>
      <c r="BS68" s="19">
        <v>0</v>
      </c>
      <c r="BT68" s="19">
        <v>0</v>
      </c>
      <c r="BU68" s="19">
        <v>0</v>
      </c>
      <c r="BV68" s="19">
        <v>0</v>
      </c>
      <c r="BW68" s="19">
        <v>0</v>
      </c>
      <c r="BX68" s="19">
        <v>0</v>
      </c>
      <c r="BY68" s="19">
        <v>0</v>
      </c>
      <c r="BZ68" s="19">
        <v>0</v>
      </c>
      <c r="CA68" s="19">
        <v>0</v>
      </c>
      <c r="CB68" s="19">
        <v>0</v>
      </c>
      <c r="CC68" s="19">
        <v>0</v>
      </c>
      <c r="CD68" s="19">
        <v>0</v>
      </c>
      <c r="CE68" s="19">
        <v>0</v>
      </c>
      <c r="CF68" s="19">
        <v>0</v>
      </c>
      <c r="CG68" s="19">
        <v>0</v>
      </c>
      <c r="CH68" s="19">
        <v>0</v>
      </c>
      <c r="CI68" s="19">
        <v>2.9399999999999999E-2</v>
      </c>
      <c r="CJ68" s="19">
        <v>0.56899999999999995</v>
      </c>
      <c r="CK68" s="19">
        <v>0</v>
      </c>
      <c r="CL68" s="19">
        <v>0</v>
      </c>
      <c r="CM68" s="19">
        <v>0</v>
      </c>
      <c r="CN68" s="19">
        <v>0</v>
      </c>
      <c r="CO68" s="19">
        <v>0</v>
      </c>
      <c r="CP68" s="19">
        <v>0</v>
      </c>
      <c r="CQ68" s="19">
        <v>0</v>
      </c>
      <c r="CR68" s="19">
        <v>0</v>
      </c>
      <c r="CS68" s="19">
        <v>0</v>
      </c>
      <c r="CT68" s="19">
        <v>0</v>
      </c>
      <c r="CU68" s="19">
        <v>0</v>
      </c>
      <c r="CV68" s="19">
        <v>0</v>
      </c>
      <c r="CW68" s="19">
        <v>0</v>
      </c>
      <c r="CX68" s="19">
        <v>0</v>
      </c>
      <c r="CY68" s="19">
        <v>0</v>
      </c>
      <c r="CZ68" s="19">
        <v>0</v>
      </c>
      <c r="DA68" s="19">
        <v>0</v>
      </c>
      <c r="DB68" s="19">
        <v>0</v>
      </c>
      <c r="DC68" s="19">
        <v>0</v>
      </c>
      <c r="DD68" s="19">
        <v>0</v>
      </c>
      <c r="DE68" s="19">
        <v>0</v>
      </c>
      <c r="DF68" s="19">
        <v>0</v>
      </c>
      <c r="DG68" s="19">
        <v>0</v>
      </c>
      <c r="DH68" s="19">
        <v>0</v>
      </c>
      <c r="DI68" s="19">
        <v>0</v>
      </c>
      <c r="DJ68" s="19">
        <v>0</v>
      </c>
      <c r="DK68" s="19">
        <v>0</v>
      </c>
      <c r="DL68" s="19">
        <v>0</v>
      </c>
      <c r="DM68" s="19">
        <v>0</v>
      </c>
      <c r="DN68" s="19">
        <v>0</v>
      </c>
      <c r="DO68" s="19">
        <v>0</v>
      </c>
      <c r="DP68" s="19">
        <v>0</v>
      </c>
      <c r="DQ68" s="19">
        <v>0</v>
      </c>
      <c r="DR68" s="19">
        <v>0</v>
      </c>
      <c r="DS68" s="19">
        <v>0</v>
      </c>
      <c r="DT68" s="19">
        <v>0</v>
      </c>
      <c r="DU68" s="19">
        <v>0.15</v>
      </c>
      <c r="DV68" s="19"/>
      <c r="DW68" s="29">
        <v>0.70516000000000001</v>
      </c>
      <c r="DX68" s="29"/>
      <c r="DY68" s="29">
        <v>0.70501000000000003</v>
      </c>
      <c r="DZ68" s="29">
        <v>0</v>
      </c>
      <c r="EA68" s="29">
        <v>0</v>
      </c>
      <c r="EB68" s="29">
        <v>0</v>
      </c>
      <c r="EC68" s="29">
        <v>0</v>
      </c>
      <c r="ED68" s="29">
        <v>0</v>
      </c>
      <c r="EE68" s="29">
        <v>0</v>
      </c>
      <c r="EF68" s="29">
        <v>0</v>
      </c>
      <c r="EG68" s="29">
        <v>0</v>
      </c>
      <c r="EH68" s="29">
        <v>0</v>
      </c>
      <c r="EI68" s="29">
        <v>0</v>
      </c>
      <c r="EJ68" s="29">
        <v>0</v>
      </c>
      <c r="EK68" s="19">
        <v>0</v>
      </c>
      <c r="EL68" s="19"/>
      <c r="EM68" s="19"/>
      <c r="EN68" s="19"/>
      <c r="EO68" s="19"/>
    </row>
    <row r="69" spans="1:145">
      <c r="A69" t="s">
        <v>1392</v>
      </c>
      <c r="B69" t="s">
        <v>1470</v>
      </c>
      <c r="C69" t="s">
        <v>24</v>
      </c>
      <c r="D69" t="s">
        <v>1369</v>
      </c>
      <c r="E69">
        <v>0</v>
      </c>
      <c r="F69" t="s">
        <v>237</v>
      </c>
      <c r="G69" t="s">
        <v>163</v>
      </c>
      <c r="H69" t="s">
        <v>595</v>
      </c>
      <c r="I69">
        <v>355</v>
      </c>
      <c r="J69">
        <v>0</v>
      </c>
      <c r="K69" t="s">
        <v>635</v>
      </c>
      <c r="L69" t="s">
        <v>1393</v>
      </c>
      <c r="M69" t="s">
        <v>1365</v>
      </c>
      <c r="N69" t="s">
        <v>1364</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Z69">
        <v>8184</v>
      </c>
      <c r="BA69">
        <v>1764</v>
      </c>
      <c r="BB69">
        <v>0</v>
      </c>
      <c r="BC69">
        <v>0.06</v>
      </c>
      <c r="BD69">
        <f>(BA69/18.02)/((BA69/18.02)+(AZ69/44.01))</f>
        <v>0.34487083875514346</v>
      </c>
      <c r="BE69">
        <f t="shared" ref="BE69" si="62">(AZ69/44.01)/((BA69/18.02)+(AZ69/44.01))</f>
        <v>0.65512916124485643</v>
      </c>
      <c r="BF69">
        <v>0</v>
      </c>
      <c r="BG69">
        <v>0</v>
      </c>
      <c r="BH69">
        <v>0</v>
      </c>
      <c r="BI69">
        <v>0</v>
      </c>
      <c r="BJ69">
        <v>0</v>
      </c>
      <c r="BK69">
        <v>0</v>
      </c>
      <c r="BL69" s="19">
        <v>0</v>
      </c>
      <c r="BM69" s="19">
        <v>0</v>
      </c>
      <c r="BN69" s="19">
        <v>0</v>
      </c>
      <c r="BO69" s="19">
        <v>151</v>
      </c>
      <c r="BP69" s="19">
        <v>371</v>
      </c>
      <c r="BQ69" s="19">
        <v>11.3</v>
      </c>
      <c r="BR69" s="19">
        <v>0</v>
      </c>
      <c r="BS69" s="19">
        <v>461</v>
      </c>
      <c r="BT69" s="19">
        <v>362</v>
      </c>
      <c r="BU69" s="19">
        <v>13.1</v>
      </c>
      <c r="BV69" s="19">
        <v>0</v>
      </c>
      <c r="BW69" s="19">
        <v>4.72</v>
      </c>
      <c r="BX69" s="19">
        <v>132</v>
      </c>
      <c r="BY69" s="19">
        <v>1.68</v>
      </c>
      <c r="BZ69" s="19">
        <v>0.53</v>
      </c>
      <c r="CA69" s="19">
        <v>0</v>
      </c>
      <c r="CB69" s="19">
        <v>0.15</v>
      </c>
      <c r="CC69" s="19">
        <v>0.66</v>
      </c>
      <c r="CD69" s="19">
        <v>0</v>
      </c>
      <c r="CE69" s="19">
        <v>0</v>
      </c>
      <c r="CF69" s="19">
        <v>0</v>
      </c>
      <c r="CG69" s="19">
        <v>0</v>
      </c>
      <c r="CH69" s="19">
        <v>0</v>
      </c>
      <c r="CI69" s="19">
        <v>1.64</v>
      </c>
      <c r="CJ69" s="19">
        <v>14.5</v>
      </c>
      <c r="CK69" s="19">
        <v>2.8000000000000001E-2</v>
      </c>
      <c r="CL69" s="19">
        <v>0.85</v>
      </c>
      <c r="CM69" s="19">
        <v>3.69</v>
      </c>
      <c r="CN69" s="19">
        <v>0</v>
      </c>
      <c r="CO69" s="19">
        <v>0.04</v>
      </c>
      <c r="CP69" s="19">
        <v>0</v>
      </c>
      <c r="CQ69" s="19">
        <v>0</v>
      </c>
      <c r="CR69" s="19">
        <v>0</v>
      </c>
      <c r="CS69" s="19">
        <v>3.2000000000000001E-2</v>
      </c>
      <c r="CT69" s="19">
        <v>43.6</v>
      </c>
      <c r="CU69" s="19">
        <v>0.33</v>
      </c>
      <c r="CV69" s="19">
        <v>2.96</v>
      </c>
      <c r="CW69" s="19">
        <v>3.88</v>
      </c>
      <c r="CX69" s="19">
        <v>0.38500000000000001</v>
      </c>
      <c r="CY69" s="19">
        <v>1.1599999999999999</v>
      </c>
      <c r="CZ69" s="19">
        <v>0.112</v>
      </c>
      <c r="DA69" s="19">
        <v>0.02</v>
      </c>
      <c r="DB69" s="19">
        <v>4.4999999999999998E-2</v>
      </c>
      <c r="DC69" s="19">
        <v>1.4E-2</v>
      </c>
      <c r="DD69" s="19" t="s">
        <v>1366</v>
      </c>
      <c r="DE69" s="19" t="s">
        <v>1366</v>
      </c>
      <c r="DF69" s="19">
        <v>0</v>
      </c>
      <c r="DG69" s="19" t="s">
        <v>1366</v>
      </c>
      <c r="DH69" s="19" t="s">
        <v>1366</v>
      </c>
      <c r="DI69" s="19">
        <v>2.3E-2</v>
      </c>
      <c r="DJ69" s="19">
        <v>0.153</v>
      </c>
      <c r="DK69" s="19">
        <v>0</v>
      </c>
      <c r="DL69" s="19">
        <v>0.2</v>
      </c>
      <c r="DM69" s="19">
        <v>0.34799999999999998</v>
      </c>
      <c r="DN69" s="19">
        <v>0.08</v>
      </c>
      <c r="DO69" s="19">
        <v>0</v>
      </c>
      <c r="DP69" s="19">
        <v>0</v>
      </c>
      <c r="DQ69" s="19">
        <v>0</v>
      </c>
      <c r="DR69" s="19">
        <v>0</v>
      </c>
      <c r="DS69" s="19">
        <v>0</v>
      </c>
      <c r="DT69" s="19">
        <v>0</v>
      </c>
      <c r="DU69" s="19">
        <v>0</v>
      </c>
      <c r="DV69" s="19">
        <v>0</v>
      </c>
      <c r="DW69" s="29">
        <v>0</v>
      </c>
      <c r="DX69" s="29">
        <v>0</v>
      </c>
      <c r="DY69" s="29">
        <v>0</v>
      </c>
      <c r="DZ69" s="29">
        <v>0</v>
      </c>
      <c r="EA69" s="29">
        <v>0</v>
      </c>
      <c r="EB69" s="29">
        <v>0</v>
      </c>
      <c r="EC69" s="29">
        <v>0</v>
      </c>
      <c r="ED69" s="29">
        <v>0</v>
      </c>
      <c r="EE69" s="29">
        <v>0</v>
      </c>
      <c r="EF69" s="29">
        <v>0</v>
      </c>
      <c r="EG69" s="29">
        <v>0</v>
      </c>
      <c r="EH69" s="29">
        <v>0</v>
      </c>
      <c r="EI69" s="29">
        <v>0</v>
      </c>
      <c r="EJ69" s="29">
        <v>0</v>
      </c>
      <c r="EK69" s="19">
        <v>0</v>
      </c>
      <c r="EL69" s="19"/>
      <c r="EM69" s="19"/>
      <c r="EN69" s="19"/>
      <c r="EO69" s="19"/>
    </row>
    <row r="70" spans="1:145">
      <c r="A70" t="s">
        <v>1392</v>
      </c>
      <c r="B70" t="s">
        <v>1470</v>
      </c>
      <c r="C70" t="s">
        <v>24</v>
      </c>
      <c r="D70" t="s">
        <v>1369</v>
      </c>
      <c r="E70">
        <v>0</v>
      </c>
      <c r="F70" t="s">
        <v>237</v>
      </c>
      <c r="G70" t="s">
        <v>163</v>
      </c>
      <c r="H70" t="s">
        <v>595</v>
      </c>
      <c r="I70">
        <v>355</v>
      </c>
      <c r="J70">
        <v>0</v>
      </c>
      <c r="K70" t="s">
        <v>635</v>
      </c>
      <c r="L70" t="s">
        <v>1393</v>
      </c>
      <c r="M70" t="s">
        <v>1367</v>
      </c>
      <c r="N70" t="s">
        <v>1364</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Z70">
        <v>7263</v>
      </c>
      <c r="BA70">
        <v>1586</v>
      </c>
      <c r="BB70">
        <v>0</v>
      </c>
      <c r="BC70">
        <v>7.0000000000000007E-2</v>
      </c>
      <c r="BD70">
        <f t="shared" ref="BD70:BD74" si="63">(BA70/18.02)/((BA70/18.02)+(AZ70/44.01))</f>
        <v>0.34781824835588276</v>
      </c>
      <c r="BE70">
        <f t="shared" ref="BE70:BE74" si="64">(AZ70/44.01)/((BA70/18.02)+(AZ70/44.01))</f>
        <v>0.65218175164411729</v>
      </c>
      <c r="BF70">
        <v>0</v>
      </c>
      <c r="BG70">
        <v>0</v>
      </c>
      <c r="BH70">
        <v>0</v>
      </c>
      <c r="BI70">
        <v>0</v>
      </c>
      <c r="BJ70">
        <v>0</v>
      </c>
      <c r="BK70">
        <v>0</v>
      </c>
      <c r="BL70" s="19">
        <v>0</v>
      </c>
      <c r="BM70" s="19">
        <v>0</v>
      </c>
      <c r="BN70" s="19">
        <v>0</v>
      </c>
      <c r="BO70" s="19">
        <v>108</v>
      </c>
      <c r="BP70" s="19">
        <v>250</v>
      </c>
      <c r="BQ70" s="19">
        <v>8.4</v>
      </c>
      <c r="BR70" s="19">
        <v>0</v>
      </c>
      <c r="BS70" s="19">
        <v>328</v>
      </c>
      <c r="BT70" s="19">
        <v>262</v>
      </c>
      <c r="BU70" s="19">
        <v>7.6</v>
      </c>
      <c r="BV70" s="19">
        <v>0</v>
      </c>
      <c r="BW70" s="19">
        <v>3.4</v>
      </c>
      <c r="BX70" s="19">
        <v>105</v>
      </c>
      <c r="BY70" s="19">
        <v>1.74</v>
      </c>
      <c r="BZ70" s="19">
        <v>0.36</v>
      </c>
      <c r="CA70" s="19">
        <v>0</v>
      </c>
      <c r="CB70" s="19">
        <v>0.12</v>
      </c>
      <c r="CC70" s="19">
        <v>0.47</v>
      </c>
      <c r="CD70" s="19">
        <v>0</v>
      </c>
      <c r="CE70" s="19">
        <v>0</v>
      </c>
      <c r="CF70" s="19">
        <v>0</v>
      </c>
      <c r="CG70" s="19">
        <v>0</v>
      </c>
      <c r="CH70" s="19">
        <v>0</v>
      </c>
      <c r="CI70" s="19">
        <v>1.21</v>
      </c>
      <c r="CJ70" s="19">
        <v>10.3</v>
      </c>
      <c r="CK70" s="19">
        <v>1.4999999999999999E-2</v>
      </c>
      <c r="CL70" s="19">
        <v>0.53</v>
      </c>
      <c r="CM70" s="19">
        <v>2.56</v>
      </c>
      <c r="CN70" s="19">
        <v>0</v>
      </c>
      <c r="CO70" s="19">
        <v>3.6999999999999998E-2</v>
      </c>
      <c r="CP70" s="19">
        <v>0</v>
      </c>
      <c r="CQ70" s="19">
        <v>0</v>
      </c>
      <c r="CR70" s="19">
        <v>0</v>
      </c>
      <c r="CS70" s="19">
        <v>2.1999999999999999E-2</v>
      </c>
      <c r="CT70" s="19">
        <v>31.2</v>
      </c>
      <c r="CU70" s="19">
        <v>0.28000000000000003</v>
      </c>
      <c r="CV70" s="19">
        <v>2.19</v>
      </c>
      <c r="CW70" s="19">
        <v>2.83</v>
      </c>
      <c r="CX70" s="19">
        <v>0.28699999999999998</v>
      </c>
      <c r="CY70" s="19">
        <v>1.03</v>
      </c>
      <c r="CZ70" s="19">
        <v>6.2E-2</v>
      </c>
      <c r="DA70" s="19">
        <v>2.7E-2</v>
      </c>
      <c r="DB70" s="19">
        <v>3.6999999999999998E-2</v>
      </c>
      <c r="DC70" s="19">
        <v>1.2E-2</v>
      </c>
      <c r="DD70" s="19">
        <v>0.01</v>
      </c>
      <c r="DE70" s="19">
        <v>8.0000000000000002E-3</v>
      </c>
      <c r="DF70" s="19">
        <v>0</v>
      </c>
      <c r="DG70" s="19" t="s">
        <v>1366</v>
      </c>
      <c r="DH70" s="19" t="s">
        <v>1366</v>
      </c>
      <c r="DI70" s="19">
        <v>1.9E-2</v>
      </c>
      <c r="DJ70" s="19">
        <v>0.13500000000000001</v>
      </c>
      <c r="DK70" s="19">
        <v>0</v>
      </c>
      <c r="DL70" s="19">
        <v>0.13</v>
      </c>
      <c r="DM70" s="19">
        <v>0.251</v>
      </c>
      <c r="DN70" s="19">
        <v>6.2E-2</v>
      </c>
      <c r="DO70" s="19">
        <v>0</v>
      </c>
      <c r="DP70" s="19">
        <v>0</v>
      </c>
      <c r="DQ70" s="19">
        <v>0</v>
      </c>
      <c r="DR70" s="19">
        <v>0</v>
      </c>
      <c r="DS70" s="19">
        <v>0</v>
      </c>
      <c r="DT70" s="19">
        <v>0</v>
      </c>
      <c r="DU70" s="19">
        <v>0</v>
      </c>
      <c r="DV70" s="19">
        <v>0</v>
      </c>
      <c r="DW70" s="29">
        <v>0</v>
      </c>
      <c r="DX70" s="29">
        <v>0</v>
      </c>
      <c r="DY70" s="29">
        <v>0</v>
      </c>
      <c r="DZ70" s="29">
        <v>0</v>
      </c>
      <c r="EA70" s="29">
        <v>0</v>
      </c>
      <c r="EB70" s="29">
        <v>0</v>
      </c>
      <c r="EC70" s="29">
        <v>0</v>
      </c>
      <c r="ED70" s="29">
        <v>0</v>
      </c>
      <c r="EE70" s="29">
        <v>0</v>
      </c>
      <c r="EF70" s="29">
        <v>0</v>
      </c>
      <c r="EG70" s="29">
        <v>0</v>
      </c>
      <c r="EH70" s="29">
        <v>0</v>
      </c>
      <c r="EI70" s="29">
        <v>0</v>
      </c>
      <c r="EJ70" s="29">
        <v>0</v>
      </c>
      <c r="EK70" s="19">
        <v>0</v>
      </c>
      <c r="EL70" s="19"/>
      <c r="EM70" s="19"/>
      <c r="EN70" s="19"/>
      <c r="EO70" s="19"/>
    </row>
    <row r="71" spans="1:145">
      <c r="A71" t="s">
        <v>1392</v>
      </c>
      <c r="B71" t="s">
        <v>1470</v>
      </c>
      <c r="C71" t="s">
        <v>24</v>
      </c>
      <c r="D71" t="s">
        <v>1369</v>
      </c>
      <c r="E71">
        <v>0</v>
      </c>
      <c r="F71" t="s">
        <v>237</v>
      </c>
      <c r="G71" t="s">
        <v>163</v>
      </c>
      <c r="H71" t="s">
        <v>595</v>
      </c>
      <c r="I71">
        <v>355</v>
      </c>
      <c r="J71">
        <v>0</v>
      </c>
      <c r="K71" t="s">
        <v>635</v>
      </c>
      <c r="L71" t="s">
        <v>1393</v>
      </c>
      <c r="M71" t="s">
        <v>160</v>
      </c>
      <c r="N71" t="s">
        <v>1364</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Z71">
        <v>231</v>
      </c>
      <c r="BA71">
        <v>162</v>
      </c>
      <c r="BB71">
        <v>0</v>
      </c>
      <c r="BC71">
        <v>0.18</v>
      </c>
      <c r="BD71">
        <f t="shared" si="63"/>
        <v>0.63137340332830327</v>
      </c>
      <c r="BE71">
        <f t="shared" si="64"/>
        <v>0.36862659667169662</v>
      </c>
      <c r="BF71">
        <v>0</v>
      </c>
      <c r="BG71">
        <v>0</v>
      </c>
      <c r="BH71">
        <v>0</v>
      </c>
      <c r="BI71">
        <v>0</v>
      </c>
      <c r="BJ71">
        <v>0</v>
      </c>
      <c r="BK71">
        <v>0</v>
      </c>
      <c r="BL71" s="19">
        <v>0</v>
      </c>
      <c r="BM71" s="19">
        <v>0</v>
      </c>
      <c r="BN71" s="19">
        <v>0</v>
      </c>
      <c r="BO71" s="19">
        <v>16</v>
      </c>
      <c r="BP71" s="19">
        <v>41</v>
      </c>
      <c r="BQ71" s="19">
        <v>1.4</v>
      </c>
      <c r="BR71" s="19">
        <v>0</v>
      </c>
      <c r="BS71" s="19">
        <v>58</v>
      </c>
      <c r="BT71" s="19">
        <v>70</v>
      </c>
      <c r="BU71" s="19">
        <v>1.4</v>
      </c>
      <c r="BV71" s="19">
        <v>0</v>
      </c>
      <c r="BW71" s="19">
        <v>0.57999999999999996</v>
      </c>
      <c r="BX71" s="19">
        <v>15</v>
      </c>
      <c r="BY71" s="19">
        <v>1.52</v>
      </c>
      <c r="BZ71" s="19" t="s">
        <v>1366</v>
      </c>
      <c r="CA71" s="19">
        <v>0</v>
      </c>
      <c r="CB71" s="19">
        <v>0.06</v>
      </c>
      <c r="CC71" s="19">
        <v>7.0000000000000007E-2</v>
      </c>
      <c r="CD71" s="19">
        <v>0</v>
      </c>
      <c r="CE71" s="19">
        <v>0</v>
      </c>
      <c r="CF71" s="19">
        <v>0</v>
      </c>
      <c r="CG71" s="19">
        <v>0</v>
      </c>
      <c r="CH71" s="19">
        <v>0</v>
      </c>
      <c r="CI71" s="19">
        <v>0.2</v>
      </c>
      <c r="CJ71" s="19">
        <v>1.9</v>
      </c>
      <c r="CK71" s="19" t="s">
        <v>1366</v>
      </c>
      <c r="CL71" s="19">
        <v>0.08</v>
      </c>
      <c r="CM71" s="19">
        <v>0.47</v>
      </c>
      <c r="CN71" s="19">
        <v>0</v>
      </c>
      <c r="CO71" s="19">
        <v>2.5999999999999999E-2</v>
      </c>
      <c r="CP71" s="19">
        <v>0</v>
      </c>
      <c r="CQ71" s="19">
        <v>0</v>
      </c>
      <c r="CR71" s="19">
        <v>0</v>
      </c>
      <c r="CS71" s="19">
        <v>1.9E-2</v>
      </c>
      <c r="CT71" s="19">
        <v>5.9</v>
      </c>
      <c r="CU71" s="19">
        <v>0.03</v>
      </c>
      <c r="CV71" s="19">
        <v>0.42</v>
      </c>
      <c r="CW71" s="19">
        <v>0.48</v>
      </c>
      <c r="CX71" s="19">
        <v>5.0999999999999997E-2</v>
      </c>
      <c r="CY71" s="19">
        <v>0.21</v>
      </c>
      <c r="CZ71" s="19">
        <v>2.9000000000000001E-2</v>
      </c>
      <c r="DA71" s="19">
        <v>0.02</v>
      </c>
      <c r="DB71" s="19" t="s">
        <v>1366</v>
      </c>
      <c r="DC71" s="19">
        <v>0.02</v>
      </c>
      <c r="DD71" s="19">
        <v>8.0000000000000002E-3</v>
      </c>
      <c r="DE71" s="19" t="s">
        <v>1366</v>
      </c>
      <c r="DF71" s="19">
        <v>0</v>
      </c>
      <c r="DG71" s="19" t="s">
        <v>1366</v>
      </c>
      <c r="DH71" s="19">
        <v>3.0000000000000001E-3</v>
      </c>
      <c r="DI71" s="19" t="s">
        <v>1366</v>
      </c>
      <c r="DJ71" s="19">
        <v>1.9E-2</v>
      </c>
      <c r="DK71" s="19">
        <v>0</v>
      </c>
      <c r="DL71" s="19">
        <v>5.7000000000000002E-2</v>
      </c>
      <c r="DM71" s="19">
        <v>4.9000000000000002E-2</v>
      </c>
      <c r="DN71" s="19">
        <v>0.01</v>
      </c>
      <c r="DO71" s="19">
        <v>0</v>
      </c>
      <c r="DP71" s="19">
        <v>0</v>
      </c>
      <c r="DQ71" s="19">
        <v>0</v>
      </c>
      <c r="DR71" s="19">
        <v>0</v>
      </c>
      <c r="DS71" s="19">
        <v>0</v>
      </c>
      <c r="DT71" s="19">
        <v>0</v>
      </c>
      <c r="DU71" s="19">
        <v>0</v>
      </c>
      <c r="DV71" s="19">
        <v>0</v>
      </c>
      <c r="DW71" s="29">
        <v>0</v>
      </c>
      <c r="DX71" s="29">
        <v>0</v>
      </c>
      <c r="DY71" s="29">
        <v>0</v>
      </c>
      <c r="DZ71" s="29">
        <v>0</v>
      </c>
      <c r="EA71" s="29">
        <v>0</v>
      </c>
      <c r="EB71" s="29">
        <v>0</v>
      </c>
      <c r="EC71" s="29">
        <v>0</v>
      </c>
      <c r="ED71" s="29">
        <v>0</v>
      </c>
      <c r="EE71" s="29">
        <v>0</v>
      </c>
      <c r="EF71" s="29">
        <v>0</v>
      </c>
      <c r="EG71" s="29">
        <v>0</v>
      </c>
      <c r="EH71" s="29">
        <v>0</v>
      </c>
      <c r="EI71" s="29">
        <v>0</v>
      </c>
      <c r="EJ71" s="29">
        <v>0</v>
      </c>
      <c r="EK71" s="19">
        <v>0</v>
      </c>
      <c r="EL71" s="19"/>
      <c r="EM71" s="19"/>
      <c r="EN71" s="19"/>
      <c r="EO71" s="19"/>
    </row>
    <row r="72" spans="1:145">
      <c r="A72" t="s">
        <v>1392</v>
      </c>
      <c r="B72" t="s">
        <v>1470</v>
      </c>
      <c r="C72" t="s">
        <v>24</v>
      </c>
      <c r="D72" t="s">
        <v>1369</v>
      </c>
      <c r="E72">
        <v>0</v>
      </c>
      <c r="F72" t="s">
        <v>237</v>
      </c>
      <c r="G72" t="s">
        <v>163</v>
      </c>
      <c r="H72" t="s">
        <v>595</v>
      </c>
      <c r="I72">
        <v>355</v>
      </c>
      <c r="J72">
        <v>0</v>
      </c>
      <c r="K72" t="s">
        <v>635</v>
      </c>
      <c r="L72" t="s">
        <v>1393</v>
      </c>
      <c r="M72" t="s">
        <v>1365</v>
      </c>
      <c r="N72" t="s">
        <v>1368</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Z72">
        <v>6013</v>
      </c>
      <c r="BA72">
        <v>1282</v>
      </c>
      <c r="BB72">
        <v>0</v>
      </c>
      <c r="BC72">
        <v>0.06</v>
      </c>
      <c r="BD72">
        <f t="shared" si="63"/>
        <v>0.34241112187595357</v>
      </c>
      <c r="BE72">
        <f t="shared" si="64"/>
        <v>0.65758887812404632</v>
      </c>
      <c r="BF72">
        <v>0</v>
      </c>
      <c r="BG72">
        <v>0</v>
      </c>
      <c r="BH72">
        <v>0</v>
      </c>
      <c r="BI72">
        <v>0</v>
      </c>
      <c r="BJ72">
        <v>0</v>
      </c>
      <c r="BK72">
        <v>0</v>
      </c>
      <c r="BL72" s="19">
        <v>0</v>
      </c>
      <c r="BM72" s="19">
        <v>0</v>
      </c>
      <c r="BN72" s="19">
        <v>0</v>
      </c>
      <c r="BO72" s="19">
        <v>403</v>
      </c>
      <c r="BP72" s="19">
        <v>784</v>
      </c>
      <c r="BQ72" s="19">
        <v>26.8</v>
      </c>
      <c r="BR72" s="19">
        <v>0</v>
      </c>
      <c r="BS72" s="19">
        <v>575</v>
      </c>
      <c r="BT72" s="19">
        <v>961</v>
      </c>
      <c r="BU72" s="19">
        <v>25.2</v>
      </c>
      <c r="BV72" s="19">
        <v>0</v>
      </c>
      <c r="BW72" s="19">
        <v>9.32</v>
      </c>
      <c r="BX72" s="19">
        <v>242</v>
      </c>
      <c r="BY72" s="19">
        <v>2.21</v>
      </c>
      <c r="BZ72" s="19">
        <v>0.17</v>
      </c>
      <c r="CA72" s="19">
        <v>0</v>
      </c>
      <c r="CB72" s="19">
        <v>0.31</v>
      </c>
      <c r="CC72" s="19">
        <v>0.95</v>
      </c>
      <c r="CD72" s="19">
        <v>0</v>
      </c>
      <c r="CE72" s="19">
        <v>0</v>
      </c>
      <c r="CF72" s="19">
        <v>0</v>
      </c>
      <c r="CG72" s="19">
        <v>0</v>
      </c>
      <c r="CH72" s="19">
        <v>0</v>
      </c>
      <c r="CI72" s="19">
        <v>1.66</v>
      </c>
      <c r="CJ72" s="19">
        <v>38.799999999999997</v>
      </c>
      <c r="CK72" s="19">
        <v>1.0999999999999999E-2</v>
      </c>
      <c r="CL72" s="19">
        <v>3.91</v>
      </c>
      <c r="CM72" s="19">
        <v>7.35</v>
      </c>
      <c r="CN72" s="19">
        <v>0</v>
      </c>
      <c r="CO72" s="19">
        <v>0.05</v>
      </c>
      <c r="CP72" s="19">
        <v>0</v>
      </c>
      <c r="CQ72" s="19">
        <v>0</v>
      </c>
      <c r="CR72" s="19">
        <v>0</v>
      </c>
      <c r="CS72" s="19">
        <v>2.5999999999999999E-2</v>
      </c>
      <c r="CT72" s="19">
        <v>63.4</v>
      </c>
      <c r="CU72" s="19">
        <v>0.77</v>
      </c>
      <c r="CV72" s="19">
        <v>5.92</v>
      </c>
      <c r="CW72" s="19">
        <v>8.66</v>
      </c>
      <c r="CX72" s="19">
        <v>0.98499999999999999</v>
      </c>
      <c r="CY72" s="19">
        <v>3.55</v>
      </c>
      <c r="CZ72" s="19">
        <v>0.38300000000000001</v>
      </c>
      <c r="DA72" s="19">
        <v>9.7000000000000003E-2</v>
      </c>
      <c r="DB72" s="19">
        <v>0.18099999999999999</v>
      </c>
      <c r="DC72" s="19">
        <v>4.1000000000000002E-2</v>
      </c>
      <c r="DD72" s="19">
        <v>8.0000000000000002E-3</v>
      </c>
      <c r="DE72" s="19">
        <v>1.2E-2</v>
      </c>
      <c r="DF72" s="19">
        <v>0</v>
      </c>
      <c r="DG72" s="19" t="s">
        <v>1366</v>
      </c>
      <c r="DH72" s="19" t="s">
        <v>1366</v>
      </c>
      <c r="DI72" s="19">
        <v>9.2999999999999999E-2</v>
      </c>
      <c r="DJ72" s="19">
        <v>0.29199999999999998</v>
      </c>
      <c r="DK72" s="19">
        <v>0</v>
      </c>
      <c r="DL72" s="19">
        <v>0.31900000000000001</v>
      </c>
      <c r="DM72" s="19">
        <v>0.65600000000000003</v>
      </c>
      <c r="DN72" s="19">
        <v>0.14399999999999999</v>
      </c>
      <c r="DO72" s="19">
        <v>0</v>
      </c>
      <c r="DP72" s="19">
        <v>0</v>
      </c>
      <c r="DQ72" s="19">
        <v>0</v>
      </c>
      <c r="DR72" s="19">
        <v>0</v>
      </c>
      <c r="DS72" s="19">
        <v>0</v>
      </c>
      <c r="DT72" s="19">
        <v>0</v>
      </c>
      <c r="DU72" s="19">
        <v>0</v>
      </c>
      <c r="DV72" s="19">
        <v>0</v>
      </c>
      <c r="DW72" s="29">
        <v>0</v>
      </c>
      <c r="DX72" s="29">
        <v>0</v>
      </c>
      <c r="DY72" s="29">
        <v>0</v>
      </c>
      <c r="DZ72" s="29">
        <v>0</v>
      </c>
      <c r="EA72" s="29">
        <v>0</v>
      </c>
      <c r="EB72" s="29">
        <v>0</v>
      </c>
      <c r="EC72" s="29">
        <v>0</v>
      </c>
      <c r="ED72" s="29">
        <v>0</v>
      </c>
      <c r="EE72" s="29">
        <v>0</v>
      </c>
      <c r="EF72" s="29">
        <v>0</v>
      </c>
      <c r="EG72" s="29">
        <v>0</v>
      </c>
      <c r="EH72" s="29">
        <v>0</v>
      </c>
      <c r="EI72" s="29">
        <v>0</v>
      </c>
      <c r="EJ72" s="29">
        <v>0</v>
      </c>
      <c r="EK72" s="19">
        <v>0</v>
      </c>
      <c r="EL72" s="19"/>
      <c r="EM72" s="19"/>
      <c r="EN72" s="19"/>
      <c r="EO72" s="19"/>
    </row>
    <row r="73" spans="1:145">
      <c r="A73" t="s">
        <v>1392</v>
      </c>
      <c r="B73" t="s">
        <v>1470</v>
      </c>
      <c r="C73" t="s">
        <v>24</v>
      </c>
      <c r="D73" t="s">
        <v>1369</v>
      </c>
      <c r="E73">
        <v>0</v>
      </c>
      <c r="F73" t="s">
        <v>237</v>
      </c>
      <c r="G73" t="s">
        <v>163</v>
      </c>
      <c r="H73" t="s">
        <v>595</v>
      </c>
      <c r="I73">
        <v>355</v>
      </c>
      <c r="J73">
        <v>0</v>
      </c>
      <c r="K73" t="s">
        <v>635</v>
      </c>
      <c r="L73" t="s">
        <v>1393</v>
      </c>
      <c r="M73" t="s">
        <v>1367</v>
      </c>
      <c r="N73" t="s">
        <v>1368</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Z73">
        <v>2474</v>
      </c>
      <c r="BA73">
        <v>564</v>
      </c>
      <c r="BB73">
        <v>0</v>
      </c>
      <c r="BC73">
        <v>7.0000000000000007E-2</v>
      </c>
      <c r="BD73">
        <f t="shared" si="63"/>
        <v>0.35764444019231412</v>
      </c>
      <c r="BE73">
        <f t="shared" si="64"/>
        <v>0.64235555980768588</v>
      </c>
      <c r="BF73">
        <v>0</v>
      </c>
      <c r="BG73">
        <v>0</v>
      </c>
      <c r="BH73">
        <v>0</v>
      </c>
      <c r="BI73">
        <v>0</v>
      </c>
      <c r="BJ73">
        <v>0</v>
      </c>
      <c r="BK73">
        <v>0</v>
      </c>
      <c r="BL73" s="19">
        <v>0</v>
      </c>
      <c r="BM73" s="19">
        <v>0</v>
      </c>
      <c r="BN73" s="19">
        <v>0</v>
      </c>
      <c r="BO73" s="19">
        <v>233</v>
      </c>
      <c r="BP73" s="19">
        <v>348</v>
      </c>
      <c r="BQ73" s="19">
        <v>14.8</v>
      </c>
      <c r="BR73" s="19">
        <v>0</v>
      </c>
      <c r="BS73" s="19">
        <v>342</v>
      </c>
      <c r="BT73" s="19">
        <v>499</v>
      </c>
      <c r="BU73" s="19">
        <v>13.7</v>
      </c>
      <c r="BV73" s="19">
        <v>0</v>
      </c>
      <c r="BW73" s="19">
        <v>4.66</v>
      </c>
      <c r="BX73" s="19">
        <v>150</v>
      </c>
      <c r="BY73" s="19">
        <v>1.62</v>
      </c>
      <c r="BZ73" s="19">
        <v>0.03</v>
      </c>
      <c r="CA73" s="19">
        <v>0</v>
      </c>
      <c r="CB73" s="19">
        <v>0.14000000000000001</v>
      </c>
      <c r="CC73" s="19">
        <v>0.53</v>
      </c>
      <c r="CD73" s="19">
        <v>0</v>
      </c>
      <c r="CE73" s="19">
        <v>0</v>
      </c>
      <c r="CF73" s="19">
        <v>0</v>
      </c>
      <c r="CG73" s="19">
        <v>0</v>
      </c>
      <c r="CH73" s="19">
        <v>0</v>
      </c>
      <c r="CI73" s="19">
        <v>0.99</v>
      </c>
      <c r="CJ73" s="19">
        <v>20.100000000000001</v>
      </c>
      <c r="CK73" s="19">
        <v>1.2999999999999999E-2</v>
      </c>
      <c r="CL73" s="19">
        <v>2.27</v>
      </c>
      <c r="CM73" s="19">
        <v>4.0999999999999996</v>
      </c>
      <c r="CN73" s="19">
        <v>0</v>
      </c>
      <c r="CO73" s="19">
        <v>4.3999999999999997E-2</v>
      </c>
      <c r="CP73" s="19">
        <v>0</v>
      </c>
      <c r="CQ73" s="19">
        <v>0</v>
      </c>
      <c r="CR73" s="19">
        <v>0</v>
      </c>
      <c r="CS73" s="19">
        <v>2.4E-2</v>
      </c>
      <c r="CT73" s="19">
        <v>37.4</v>
      </c>
      <c r="CU73" s="19">
        <v>0.42</v>
      </c>
      <c r="CV73" s="19">
        <v>3.44</v>
      </c>
      <c r="CW73" s="19">
        <v>4.9800000000000004</v>
      </c>
      <c r="CX73" s="19">
        <v>0.56999999999999995</v>
      </c>
      <c r="CY73" s="19">
        <v>2.0099999999999998</v>
      </c>
      <c r="CZ73" s="19">
        <v>0.224</v>
      </c>
      <c r="DA73" s="19">
        <v>5.7000000000000002E-2</v>
      </c>
      <c r="DB73" s="19">
        <v>7.0999999999999994E-2</v>
      </c>
      <c r="DC73" s="19">
        <v>3.5999999999999997E-2</v>
      </c>
      <c r="DD73" s="19" t="s">
        <v>1366</v>
      </c>
      <c r="DE73" s="19">
        <v>1.4E-2</v>
      </c>
      <c r="DF73" s="19">
        <v>0</v>
      </c>
      <c r="DG73" s="19" t="s">
        <v>1366</v>
      </c>
      <c r="DH73" s="19">
        <v>3.0000000000000001E-3</v>
      </c>
      <c r="DI73" s="19">
        <v>5.0999999999999997E-2</v>
      </c>
      <c r="DJ73" s="19">
        <v>0.17100000000000001</v>
      </c>
      <c r="DK73" s="19">
        <v>0</v>
      </c>
      <c r="DL73" s="19">
        <v>0.17799999999999999</v>
      </c>
      <c r="DM73" s="19">
        <v>0.371</v>
      </c>
      <c r="DN73" s="19">
        <v>7.9000000000000001E-2</v>
      </c>
      <c r="DO73" s="19">
        <v>0</v>
      </c>
      <c r="DP73" s="19">
        <v>0</v>
      </c>
      <c r="DQ73" s="19">
        <v>0</v>
      </c>
      <c r="DR73" s="19">
        <v>0</v>
      </c>
      <c r="DS73" s="19">
        <v>0</v>
      </c>
      <c r="DT73" s="19">
        <v>0</v>
      </c>
      <c r="DU73" s="19">
        <v>0</v>
      </c>
      <c r="DV73" s="19">
        <v>0</v>
      </c>
      <c r="DW73" s="29">
        <v>0</v>
      </c>
      <c r="DX73" s="29">
        <v>0</v>
      </c>
      <c r="DY73" s="29">
        <v>0</v>
      </c>
      <c r="DZ73" s="29">
        <v>0</v>
      </c>
      <c r="EA73" s="29">
        <v>0</v>
      </c>
      <c r="EB73" s="29">
        <v>0</v>
      </c>
      <c r="EC73" s="29">
        <v>0</v>
      </c>
      <c r="ED73" s="29">
        <v>0</v>
      </c>
      <c r="EE73" s="29">
        <v>0</v>
      </c>
      <c r="EF73" s="29">
        <v>0</v>
      </c>
      <c r="EG73" s="29">
        <v>0</v>
      </c>
      <c r="EH73" s="29">
        <v>0</v>
      </c>
      <c r="EI73" s="29">
        <v>0</v>
      </c>
      <c r="EJ73" s="29">
        <v>0</v>
      </c>
      <c r="EK73" s="19">
        <v>0</v>
      </c>
      <c r="EL73" s="19"/>
      <c r="EM73" s="19"/>
      <c r="EN73" s="19"/>
      <c r="EO73" s="19"/>
    </row>
    <row r="74" spans="1:145">
      <c r="A74" t="s">
        <v>1392</v>
      </c>
      <c r="B74" t="s">
        <v>1470</v>
      </c>
      <c r="C74" t="s">
        <v>24</v>
      </c>
      <c r="D74" t="s">
        <v>1369</v>
      </c>
      <c r="E74">
        <v>0</v>
      </c>
      <c r="F74" t="s">
        <v>237</v>
      </c>
      <c r="G74" t="s">
        <v>163</v>
      </c>
      <c r="H74" t="s">
        <v>595</v>
      </c>
      <c r="I74">
        <v>355</v>
      </c>
      <c r="J74">
        <v>0</v>
      </c>
      <c r="K74" t="s">
        <v>635</v>
      </c>
      <c r="L74" t="s">
        <v>1393</v>
      </c>
      <c r="M74" t="s">
        <v>160</v>
      </c>
      <c r="N74" t="s">
        <v>1368</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Z74" t="s">
        <v>1369</v>
      </c>
      <c r="BA74" t="s">
        <v>1369</v>
      </c>
      <c r="BB74">
        <v>0</v>
      </c>
      <c r="BC74">
        <v>0.08</v>
      </c>
      <c r="BD74" t="e">
        <f t="shared" si="63"/>
        <v>#VALUE!</v>
      </c>
      <c r="BE74" t="e">
        <f t="shared" si="64"/>
        <v>#VALUE!</v>
      </c>
      <c r="BF74">
        <v>0</v>
      </c>
      <c r="BG74">
        <v>0</v>
      </c>
      <c r="BH74">
        <v>0</v>
      </c>
      <c r="BI74">
        <v>0</v>
      </c>
      <c r="BJ74">
        <v>0</v>
      </c>
      <c r="BK74">
        <v>0</v>
      </c>
      <c r="BL74" s="19">
        <v>0</v>
      </c>
      <c r="BM74" s="19">
        <v>0</v>
      </c>
      <c r="BN74" s="19">
        <v>0</v>
      </c>
      <c r="BO74" s="19">
        <v>139</v>
      </c>
      <c r="BP74" s="19">
        <v>154</v>
      </c>
      <c r="BQ74" s="19">
        <v>6.3</v>
      </c>
      <c r="BR74" s="19">
        <v>0</v>
      </c>
      <c r="BS74" s="19">
        <v>227</v>
      </c>
      <c r="BT74" s="19">
        <v>279</v>
      </c>
      <c r="BU74" s="19">
        <v>9.1999999999999993</v>
      </c>
      <c r="BV74" s="19">
        <v>0</v>
      </c>
      <c r="BW74" s="19">
        <v>2.0099999999999998</v>
      </c>
      <c r="BX74" s="19">
        <v>64</v>
      </c>
      <c r="BY74" s="19">
        <v>1.37</v>
      </c>
      <c r="BZ74" s="19">
        <v>0.05</v>
      </c>
      <c r="CA74" s="19">
        <v>0</v>
      </c>
      <c r="CB74" s="19">
        <v>7.0000000000000007E-2</v>
      </c>
      <c r="CC74" s="19">
        <v>0.36</v>
      </c>
      <c r="CD74" s="19">
        <v>0</v>
      </c>
      <c r="CE74" s="19">
        <v>0</v>
      </c>
      <c r="CF74" s="19">
        <v>0</v>
      </c>
      <c r="CG74" s="19">
        <v>0</v>
      </c>
      <c r="CH74" s="19">
        <v>0</v>
      </c>
      <c r="CI74" s="19">
        <v>0.71</v>
      </c>
      <c r="CJ74" s="19">
        <v>12.7</v>
      </c>
      <c r="CK74" s="19">
        <v>5.0000000000000001E-3</v>
      </c>
      <c r="CL74" s="19">
        <v>1.35</v>
      </c>
      <c r="CM74" s="19">
        <v>2.68</v>
      </c>
      <c r="CN74" s="19">
        <v>0</v>
      </c>
      <c r="CO74" s="19" t="s">
        <v>1366</v>
      </c>
      <c r="CP74" s="19">
        <v>0</v>
      </c>
      <c r="CQ74" s="19">
        <v>0</v>
      </c>
      <c r="CR74" s="19">
        <v>0</v>
      </c>
      <c r="CS74" s="19">
        <v>1.7000000000000001E-2</v>
      </c>
      <c r="CT74" s="19">
        <v>24.5</v>
      </c>
      <c r="CU74" s="19">
        <v>0.23</v>
      </c>
      <c r="CV74" s="19">
        <v>2.08</v>
      </c>
      <c r="CW74" s="19">
        <v>2.99</v>
      </c>
      <c r="CX74" s="19">
        <v>0.34899999999999998</v>
      </c>
      <c r="CY74" s="19">
        <v>1.25</v>
      </c>
      <c r="CZ74" s="19">
        <v>0.13200000000000001</v>
      </c>
      <c r="DA74" s="19">
        <v>3.2000000000000001E-2</v>
      </c>
      <c r="DB74" s="19">
        <v>6.5000000000000002E-2</v>
      </c>
      <c r="DC74" s="19">
        <v>2.8000000000000001E-2</v>
      </c>
      <c r="DD74" s="19" t="s">
        <v>1366</v>
      </c>
      <c r="DE74" s="19" t="s">
        <v>1366</v>
      </c>
      <c r="DF74" s="19">
        <v>0</v>
      </c>
      <c r="DG74" s="19" t="s">
        <v>1366</v>
      </c>
      <c r="DH74" s="19">
        <v>5.0000000000000001E-3</v>
      </c>
      <c r="DI74" s="19">
        <v>2.5000000000000001E-2</v>
      </c>
      <c r="DJ74" s="19">
        <v>0.10199999999999999</v>
      </c>
      <c r="DK74" s="19">
        <v>0</v>
      </c>
      <c r="DL74" s="19">
        <v>0.124</v>
      </c>
      <c r="DM74" s="19">
        <v>0.23799999999999999</v>
      </c>
      <c r="DN74" s="19">
        <v>6.9000000000000006E-2</v>
      </c>
      <c r="DO74" s="19">
        <v>0</v>
      </c>
      <c r="DP74" s="19">
        <v>0</v>
      </c>
      <c r="DQ74" s="19">
        <v>0</v>
      </c>
      <c r="DR74" s="19">
        <v>0</v>
      </c>
      <c r="DS74" s="19">
        <v>0</v>
      </c>
      <c r="DT74" s="19">
        <v>0</v>
      </c>
      <c r="DU74" s="19">
        <v>0</v>
      </c>
      <c r="DV74" s="19">
        <v>0</v>
      </c>
      <c r="DW74" s="29">
        <v>0</v>
      </c>
      <c r="DX74" s="29">
        <v>0</v>
      </c>
      <c r="DY74" s="29">
        <v>0</v>
      </c>
      <c r="DZ74" s="29">
        <v>0</v>
      </c>
      <c r="EA74" s="29">
        <v>0</v>
      </c>
      <c r="EB74" s="29">
        <v>0</v>
      </c>
      <c r="EC74" s="29">
        <v>0</v>
      </c>
      <c r="ED74" s="29">
        <v>0</v>
      </c>
      <c r="EE74" s="29">
        <v>0</v>
      </c>
      <c r="EF74" s="29">
        <v>0</v>
      </c>
      <c r="EG74" s="29">
        <v>0</v>
      </c>
      <c r="EH74" s="29">
        <v>0</v>
      </c>
      <c r="EI74" s="29">
        <v>0</v>
      </c>
      <c r="EJ74" s="29">
        <v>0</v>
      </c>
      <c r="EK74" s="19">
        <v>0</v>
      </c>
      <c r="EL74" s="19"/>
      <c r="EM74" s="19"/>
      <c r="EN74" s="19"/>
      <c r="EO74" s="19"/>
    </row>
    <row r="75" spans="1:145">
      <c r="A75" t="s">
        <v>1392</v>
      </c>
      <c r="B75" t="s">
        <v>1470</v>
      </c>
      <c r="C75" t="s">
        <v>24</v>
      </c>
      <c r="D75" t="s">
        <v>1369</v>
      </c>
      <c r="E75">
        <v>0</v>
      </c>
      <c r="F75" t="s">
        <v>237</v>
      </c>
      <c r="G75" t="s">
        <v>163</v>
      </c>
      <c r="H75" t="s">
        <v>595</v>
      </c>
      <c r="I75">
        <v>355</v>
      </c>
      <c r="J75">
        <v>0</v>
      </c>
      <c r="K75" t="s">
        <v>635</v>
      </c>
      <c r="L75" t="s">
        <v>1393</v>
      </c>
      <c r="M75" t="s">
        <v>1365</v>
      </c>
      <c r="N75" t="s">
        <v>1370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Z75">
        <v>6044</v>
      </c>
      <c r="BA75">
        <v>1602</v>
      </c>
      <c r="BB75">
        <v>0</v>
      </c>
      <c r="BC75">
        <v>0.05</v>
      </c>
      <c r="BD75">
        <f t="shared" ref="BD75:BD102" si="65">(BA75/18.02)/((BA75/18.02)+(AZ75/44.01))</f>
        <v>0.39296197849812364</v>
      </c>
      <c r="BE75">
        <f t="shared" ref="BE75:BE102" si="66">(AZ75/44.01)/((BA75/18.02)+(AZ75/44.01))</f>
        <v>0.60703802150187636</v>
      </c>
      <c r="BF75">
        <v>0</v>
      </c>
      <c r="BG75">
        <v>0</v>
      </c>
      <c r="BH75">
        <v>0</v>
      </c>
      <c r="BI75">
        <v>0</v>
      </c>
      <c r="BJ75">
        <v>0</v>
      </c>
      <c r="BK75">
        <v>0</v>
      </c>
      <c r="BL75" s="19">
        <v>0</v>
      </c>
      <c r="BM75" s="19">
        <v>0</v>
      </c>
      <c r="BN75" s="19">
        <v>0</v>
      </c>
      <c r="BO75" s="19">
        <v>174</v>
      </c>
      <c r="BP75" s="19">
        <v>453</v>
      </c>
      <c r="BQ75" s="19">
        <v>12.8</v>
      </c>
      <c r="BR75" s="19">
        <v>0</v>
      </c>
      <c r="BS75" s="19">
        <v>519</v>
      </c>
      <c r="BT75" s="19">
        <v>413</v>
      </c>
      <c r="BU75" s="19">
        <v>20</v>
      </c>
      <c r="BV75" s="19">
        <v>0</v>
      </c>
      <c r="BW75" s="19">
        <v>5.74</v>
      </c>
      <c r="BX75" s="19">
        <v>157</v>
      </c>
      <c r="BY75" s="19">
        <v>1.56</v>
      </c>
      <c r="BZ75" s="19">
        <v>0.05</v>
      </c>
      <c r="CA75" s="19">
        <v>0</v>
      </c>
      <c r="CB75" s="19">
        <v>0.17</v>
      </c>
      <c r="CC75" s="19">
        <v>0.72</v>
      </c>
      <c r="CD75" s="19">
        <v>0</v>
      </c>
      <c r="CE75" s="19">
        <v>0</v>
      </c>
      <c r="CF75" s="19">
        <v>0</v>
      </c>
      <c r="CG75" s="19">
        <v>0</v>
      </c>
      <c r="CH75" s="19">
        <v>0</v>
      </c>
      <c r="CI75" s="19">
        <v>1.94</v>
      </c>
      <c r="CJ75" s="19">
        <v>16.399999999999999</v>
      </c>
      <c r="CK75" s="19">
        <v>3.0000000000000001E-3</v>
      </c>
      <c r="CL75" s="19">
        <v>1.23</v>
      </c>
      <c r="CM75" s="19">
        <v>4.26</v>
      </c>
      <c r="CN75" s="19">
        <v>0</v>
      </c>
      <c r="CO75" s="19">
        <v>8.9999999999999993E-3</v>
      </c>
      <c r="CP75" s="19">
        <v>0</v>
      </c>
      <c r="CQ75" s="19">
        <v>0</v>
      </c>
      <c r="CR75" s="19">
        <v>0</v>
      </c>
      <c r="CS75" s="19">
        <v>2.5000000000000001E-2</v>
      </c>
      <c r="CT75" s="19">
        <v>44.9</v>
      </c>
      <c r="CU75" s="19">
        <v>0.45</v>
      </c>
      <c r="CV75" s="19">
        <v>3.28</v>
      </c>
      <c r="CW75" s="19">
        <v>4.3899999999999997</v>
      </c>
      <c r="CX75" s="19">
        <v>0.44900000000000001</v>
      </c>
      <c r="CY75" s="19">
        <v>1.52</v>
      </c>
      <c r="CZ75" s="19">
        <v>0.13200000000000001</v>
      </c>
      <c r="DA75" s="19">
        <v>3.7999999999999999E-2</v>
      </c>
      <c r="DB75" s="19">
        <v>5.5E-2</v>
      </c>
      <c r="DC75" s="19">
        <v>1.2E-2</v>
      </c>
      <c r="DD75" s="19" t="s">
        <v>1366</v>
      </c>
      <c r="DE75" s="19" t="s">
        <v>1366</v>
      </c>
      <c r="DF75" s="19">
        <v>0</v>
      </c>
      <c r="DG75" s="19" t="s">
        <v>1366</v>
      </c>
      <c r="DH75" s="19" t="s">
        <v>1366</v>
      </c>
      <c r="DI75" s="19">
        <v>2.4E-2</v>
      </c>
      <c r="DJ75" s="19">
        <v>0.16900000000000001</v>
      </c>
      <c r="DK75" s="19">
        <v>0</v>
      </c>
      <c r="DL75" s="19">
        <v>0.20899999999999999</v>
      </c>
      <c r="DM75" s="19">
        <v>0.371</v>
      </c>
      <c r="DN75" s="19">
        <v>7.0000000000000007E-2</v>
      </c>
      <c r="DO75" s="19">
        <v>0</v>
      </c>
      <c r="DP75" s="19">
        <v>0</v>
      </c>
      <c r="DQ75" s="19">
        <v>0</v>
      </c>
      <c r="DR75" s="19">
        <v>0</v>
      </c>
      <c r="DS75" s="19">
        <v>0</v>
      </c>
      <c r="DT75" s="19">
        <v>0</v>
      </c>
      <c r="DU75" s="19">
        <v>0</v>
      </c>
      <c r="DV75" s="19">
        <v>0</v>
      </c>
      <c r="DW75" s="29">
        <v>0</v>
      </c>
      <c r="DX75" s="29">
        <v>0</v>
      </c>
      <c r="DY75" s="29">
        <v>0</v>
      </c>
      <c r="DZ75" s="29">
        <v>0</v>
      </c>
      <c r="EA75" s="29">
        <v>0</v>
      </c>
      <c r="EB75" s="29">
        <v>0</v>
      </c>
      <c r="EC75" s="29">
        <v>0</v>
      </c>
      <c r="ED75" s="29">
        <v>0</v>
      </c>
      <c r="EE75" s="29">
        <v>0</v>
      </c>
      <c r="EF75" s="29">
        <v>0</v>
      </c>
      <c r="EG75" s="29">
        <v>0</v>
      </c>
      <c r="EH75" s="29">
        <v>0</v>
      </c>
      <c r="EI75" s="29">
        <v>0</v>
      </c>
      <c r="EJ75" s="29">
        <v>0</v>
      </c>
      <c r="EK75" s="19">
        <v>0</v>
      </c>
      <c r="EL75" s="19"/>
      <c r="EM75" s="19"/>
      <c r="EN75" s="19"/>
      <c r="EO75" s="19"/>
    </row>
    <row r="76" spans="1:145">
      <c r="A76" t="s">
        <v>1392</v>
      </c>
      <c r="B76" t="s">
        <v>1470</v>
      </c>
      <c r="C76" t="s">
        <v>24</v>
      </c>
      <c r="D76" t="s">
        <v>1369</v>
      </c>
      <c r="E76">
        <v>0</v>
      </c>
      <c r="F76" t="s">
        <v>237</v>
      </c>
      <c r="G76" t="s">
        <v>163</v>
      </c>
      <c r="H76" t="s">
        <v>595</v>
      </c>
      <c r="I76">
        <v>355</v>
      </c>
      <c r="J76">
        <v>0</v>
      </c>
      <c r="K76" t="s">
        <v>635</v>
      </c>
      <c r="L76" t="s">
        <v>1393</v>
      </c>
      <c r="M76" t="s">
        <v>1367</v>
      </c>
      <c r="N76" t="s">
        <v>1370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Z76">
        <v>9845</v>
      </c>
      <c r="BA76">
        <v>1762</v>
      </c>
      <c r="BB76">
        <v>0</v>
      </c>
      <c r="BC76">
        <v>0.08</v>
      </c>
      <c r="BD76">
        <f t="shared" si="65"/>
        <v>0.30415710344812436</v>
      </c>
      <c r="BE76">
        <f t="shared" si="66"/>
        <v>0.69584289655187559</v>
      </c>
      <c r="BF76">
        <v>0</v>
      </c>
      <c r="BG76">
        <v>0</v>
      </c>
      <c r="BH76">
        <v>0</v>
      </c>
      <c r="BI76">
        <v>0</v>
      </c>
      <c r="BJ76">
        <v>0</v>
      </c>
      <c r="BK76">
        <v>0</v>
      </c>
      <c r="BL76" s="19">
        <v>0</v>
      </c>
      <c r="BM76" s="19">
        <v>0</v>
      </c>
      <c r="BN76" s="19">
        <v>0</v>
      </c>
      <c r="BO76" s="19">
        <v>158</v>
      </c>
      <c r="BP76" s="19">
        <v>406</v>
      </c>
      <c r="BQ76" s="19">
        <v>11.4</v>
      </c>
      <c r="BR76" s="19">
        <v>0</v>
      </c>
      <c r="BS76" s="19">
        <v>475</v>
      </c>
      <c r="BT76" s="19">
        <v>380</v>
      </c>
      <c r="BU76" s="19">
        <v>17.3</v>
      </c>
      <c r="BV76" s="19">
        <v>0</v>
      </c>
      <c r="BW76" s="19">
        <v>5.21</v>
      </c>
      <c r="BX76" s="19">
        <v>146</v>
      </c>
      <c r="BY76" s="19">
        <v>1.72</v>
      </c>
      <c r="BZ76" s="19">
        <v>0.06</v>
      </c>
      <c r="CA76" s="19">
        <v>0</v>
      </c>
      <c r="CB76" s="19">
        <v>0.18</v>
      </c>
      <c r="CC76" s="19">
        <v>0.67</v>
      </c>
      <c r="CD76" s="19">
        <v>0</v>
      </c>
      <c r="CE76" s="19">
        <v>0</v>
      </c>
      <c r="CF76" s="19">
        <v>0</v>
      </c>
      <c r="CG76" s="19">
        <v>0</v>
      </c>
      <c r="CH76" s="19">
        <v>0</v>
      </c>
      <c r="CI76" s="19">
        <v>1.83</v>
      </c>
      <c r="CJ76" s="19">
        <v>15.2</v>
      </c>
      <c r="CK76" s="19">
        <v>5.0000000000000001E-3</v>
      </c>
      <c r="CL76" s="19">
        <v>1.07</v>
      </c>
      <c r="CM76" s="19">
        <v>3.83</v>
      </c>
      <c r="CN76" s="19">
        <v>0</v>
      </c>
      <c r="CO76" s="19">
        <v>1.0999999999999999E-2</v>
      </c>
      <c r="CP76" s="19">
        <v>0</v>
      </c>
      <c r="CQ76" s="19">
        <v>0</v>
      </c>
      <c r="CR76" s="19">
        <v>0</v>
      </c>
      <c r="CS76" s="19">
        <v>2.5000000000000001E-2</v>
      </c>
      <c r="CT76" s="19">
        <v>43.3</v>
      </c>
      <c r="CU76" s="19">
        <v>0.39</v>
      </c>
      <c r="CV76" s="19">
        <v>3.08</v>
      </c>
      <c r="CW76" s="19">
        <v>4.12</v>
      </c>
      <c r="CX76" s="19">
        <v>0.42299999999999999</v>
      </c>
      <c r="CY76" s="19">
        <v>1.35</v>
      </c>
      <c r="CZ76" s="19">
        <v>0.126</v>
      </c>
      <c r="DA76" s="19">
        <v>0.02</v>
      </c>
      <c r="DB76" s="19">
        <v>5.8999999999999997E-2</v>
      </c>
      <c r="DC76" s="19">
        <v>0.02</v>
      </c>
      <c r="DD76" s="19" t="s">
        <v>1366</v>
      </c>
      <c r="DE76" s="19" t="s">
        <v>1366</v>
      </c>
      <c r="DF76" s="19">
        <v>0</v>
      </c>
      <c r="DG76" s="19" t="s">
        <v>1366</v>
      </c>
      <c r="DH76" s="19" t="s">
        <v>1366</v>
      </c>
      <c r="DI76" s="19">
        <v>1.6E-2</v>
      </c>
      <c r="DJ76" s="19">
        <v>0.16500000000000001</v>
      </c>
      <c r="DK76" s="19">
        <v>0</v>
      </c>
      <c r="DL76" s="19">
        <v>0.151</v>
      </c>
      <c r="DM76" s="19">
        <v>0.36199999999999999</v>
      </c>
      <c r="DN76" s="19">
        <v>7.0999999999999994E-2</v>
      </c>
      <c r="DO76" s="19">
        <v>0</v>
      </c>
      <c r="DP76" s="19">
        <v>0</v>
      </c>
      <c r="DQ76" s="19">
        <v>0</v>
      </c>
      <c r="DR76" s="19">
        <v>0</v>
      </c>
      <c r="DS76" s="19">
        <v>0</v>
      </c>
      <c r="DT76" s="19">
        <v>0</v>
      </c>
      <c r="DU76" s="19">
        <v>0</v>
      </c>
      <c r="DV76" s="19">
        <v>0</v>
      </c>
      <c r="DW76" s="29">
        <v>0</v>
      </c>
      <c r="DX76" s="29">
        <v>0</v>
      </c>
      <c r="DY76" s="29">
        <v>0</v>
      </c>
      <c r="DZ76" s="29">
        <v>0</v>
      </c>
      <c r="EA76" s="29">
        <v>0</v>
      </c>
      <c r="EB76" s="29">
        <v>0</v>
      </c>
      <c r="EC76" s="29">
        <v>0</v>
      </c>
      <c r="ED76" s="29">
        <v>0</v>
      </c>
      <c r="EE76" s="29">
        <v>0</v>
      </c>
      <c r="EF76" s="29">
        <v>0</v>
      </c>
      <c r="EG76" s="29">
        <v>0</v>
      </c>
      <c r="EH76" s="29">
        <v>0</v>
      </c>
      <c r="EI76" s="29">
        <v>0</v>
      </c>
      <c r="EJ76" s="29">
        <v>0</v>
      </c>
      <c r="EK76" s="19">
        <v>0</v>
      </c>
      <c r="EL76" s="19"/>
      <c r="EM76" s="19"/>
      <c r="EN76" s="19"/>
      <c r="EO76" s="19"/>
    </row>
    <row r="77" spans="1:145">
      <c r="A77" t="s">
        <v>1392</v>
      </c>
      <c r="B77" t="s">
        <v>1470</v>
      </c>
      <c r="C77" t="s">
        <v>24</v>
      </c>
      <c r="D77" t="s">
        <v>1369</v>
      </c>
      <c r="E77">
        <v>0</v>
      </c>
      <c r="F77" t="s">
        <v>237</v>
      </c>
      <c r="G77" t="s">
        <v>163</v>
      </c>
      <c r="H77" t="s">
        <v>595</v>
      </c>
      <c r="I77">
        <v>355</v>
      </c>
      <c r="J77">
        <v>0</v>
      </c>
      <c r="K77" t="s">
        <v>635</v>
      </c>
      <c r="L77" t="s">
        <v>1393</v>
      </c>
      <c r="M77" t="s">
        <v>1365</v>
      </c>
      <c r="N77" t="s">
        <v>1371</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Z77">
        <v>936</v>
      </c>
      <c r="BA77">
        <v>237</v>
      </c>
      <c r="BB77">
        <v>0</v>
      </c>
      <c r="BC77">
        <v>0.06</v>
      </c>
      <c r="BD77">
        <f t="shared" si="65"/>
        <v>0.38210556509869736</v>
      </c>
      <c r="BE77">
        <f t="shared" si="66"/>
        <v>0.61789443490130269</v>
      </c>
      <c r="BF77">
        <v>0</v>
      </c>
      <c r="BG77">
        <v>0</v>
      </c>
      <c r="BH77">
        <v>0</v>
      </c>
      <c r="BI77">
        <v>0</v>
      </c>
      <c r="BJ77">
        <v>0</v>
      </c>
      <c r="BK77">
        <v>0</v>
      </c>
      <c r="BL77" s="19">
        <v>0</v>
      </c>
      <c r="BM77" s="19">
        <v>0</v>
      </c>
      <c r="BN77" s="19">
        <v>0</v>
      </c>
      <c r="BO77" s="19">
        <v>11</v>
      </c>
      <c r="BP77" s="19">
        <v>37</v>
      </c>
      <c r="BQ77" s="19">
        <v>1.1000000000000001</v>
      </c>
      <c r="BR77" s="19">
        <v>0</v>
      </c>
      <c r="BS77" s="19">
        <v>52</v>
      </c>
      <c r="BT77" s="19">
        <v>60</v>
      </c>
      <c r="BU77" s="19">
        <v>1.7</v>
      </c>
      <c r="BV77" s="19">
        <v>0</v>
      </c>
      <c r="BW77" s="19">
        <v>0.52</v>
      </c>
      <c r="BX77" s="19">
        <v>15</v>
      </c>
      <c r="BY77" s="19">
        <v>3.19</v>
      </c>
      <c r="BZ77" s="19">
        <v>0.39</v>
      </c>
      <c r="CA77" s="19">
        <v>0</v>
      </c>
      <c r="CB77" s="19">
        <v>7.0000000000000007E-2</v>
      </c>
      <c r="CC77" s="19">
        <v>0.09</v>
      </c>
      <c r="CD77" s="19">
        <v>0</v>
      </c>
      <c r="CE77" s="19">
        <v>0</v>
      </c>
      <c r="CF77" s="19">
        <v>0</v>
      </c>
      <c r="CG77" s="19">
        <v>0</v>
      </c>
      <c r="CH77" s="19">
        <v>0</v>
      </c>
      <c r="CI77" s="19">
        <v>0.23</v>
      </c>
      <c r="CJ77" s="19">
        <v>1.9</v>
      </c>
      <c r="CK77" s="19">
        <v>1E-3</v>
      </c>
      <c r="CL77" s="19">
        <v>0.14000000000000001</v>
      </c>
      <c r="CM77" s="19">
        <v>0.43</v>
      </c>
      <c r="CN77" s="19">
        <v>0</v>
      </c>
      <c r="CO77" s="19">
        <v>4.0000000000000001E-3</v>
      </c>
      <c r="CP77" s="19">
        <v>0</v>
      </c>
      <c r="CQ77" s="19">
        <v>0</v>
      </c>
      <c r="CR77" s="19">
        <v>0</v>
      </c>
      <c r="CS77" s="19" t="s">
        <v>1366</v>
      </c>
      <c r="CT77" s="19">
        <v>4.4000000000000004</v>
      </c>
      <c r="CU77" s="19">
        <v>0.04</v>
      </c>
      <c r="CV77" s="19">
        <v>0.36</v>
      </c>
      <c r="CW77" s="19">
        <v>0.51</v>
      </c>
      <c r="CX77" s="19">
        <v>5.7000000000000002E-2</v>
      </c>
      <c r="CY77" s="19">
        <v>0.17</v>
      </c>
      <c r="CZ77" s="19">
        <v>1.9E-2</v>
      </c>
      <c r="DA77" s="19" t="s">
        <v>1366</v>
      </c>
      <c r="DB77" s="19">
        <v>0.02</v>
      </c>
      <c r="DC77" s="19" t="s">
        <v>1366</v>
      </c>
      <c r="DD77" s="19" t="s">
        <v>1366</v>
      </c>
      <c r="DE77" s="19" t="s">
        <v>1366</v>
      </c>
      <c r="DF77" s="19">
        <v>0</v>
      </c>
      <c r="DG77" s="19" t="s">
        <v>1366</v>
      </c>
      <c r="DH77" s="19" t="s">
        <v>1366</v>
      </c>
      <c r="DI77" s="19" t="s">
        <v>1366</v>
      </c>
      <c r="DJ77" s="19">
        <v>1.6E-2</v>
      </c>
      <c r="DK77" s="19">
        <v>0</v>
      </c>
      <c r="DL77" s="19">
        <v>0.06</v>
      </c>
      <c r="DM77" s="19">
        <v>0.06</v>
      </c>
      <c r="DN77" s="19">
        <v>8.0000000000000002E-3</v>
      </c>
      <c r="DO77" s="19">
        <v>0</v>
      </c>
      <c r="DP77" s="19">
        <v>0</v>
      </c>
      <c r="DQ77" s="19">
        <v>0</v>
      </c>
      <c r="DR77" s="19">
        <v>0</v>
      </c>
      <c r="DS77" s="19">
        <v>0</v>
      </c>
      <c r="DT77" s="19">
        <v>0</v>
      </c>
      <c r="DU77" s="19">
        <v>0</v>
      </c>
      <c r="DV77" s="19">
        <v>0</v>
      </c>
      <c r="DW77" s="29">
        <v>0</v>
      </c>
      <c r="DX77" s="29">
        <v>0</v>
      </c>
      <c r="DY77" s="29">
        <v>0</v>
      </c>
      <c r="DZ77" s="29">
        <v>0</v>
      </c>
      <c r="EA77" s="29">
        <v>0</v>
      </c>
      <c r="EB77" s="29">
        <v>0</v>
      </c>
      <c r="EC77" s="29">
        <v>0</v>
      </c>
      <c r="ED77" s="29">
        <v>0</v>
      </c>
      <c r="EE77" s="29">
        <v>0</v>
      </c>
      <c r="EF77" s="29">
        <v>0</v>
      </c>
      <c r="EG77" s="29">
        <v>0</v>
      </c>
      <c r="EH77" s="29">
        <v>0</v>
      </c>
      <c r="EI77" s="29">
        <v>0</v>
      </c>
      <c r="EJ77" s="29">
        <v>0</v>
      </c>
      <c r="EK77" s="19">
        <v>0</v>
      </c>
      <c r="EL77" s="19"/>
      <c r="EM77" s="19"/>
      <c r="EN77" s="19"/>
      <c r="EO77" s="19"/>
    </row>
    <row r="78" spans="1:145">
      <c r="A78" t="s">
        <v>1392</v>
      </c>
      <c r="B78" t="s">
        <v>1470</v>
      </c>
      <c r="C78" t="s">
        <v>24</v>
      </c>
      <c r="D78" t="s">
        <v>1369</v>
      </c>
      <c r="E78">
        <v>0</v>
      </c>
      <c r="F78" t="s">
        <v>237</v>
      </c>
      <c r="G78" t="s">
        <v>163</v>
      </c>
      <c r="H78" t="s">
        <v>595</v>
      </c>
      <c r="I78">
        <v>355</v>
      </c>
      <c r="J78">
        <v>0</v>
      </c>
      <c r="K78" t="s">
        <v>635</v>
      </c>
      <c r="L78" t="s">
        <v>1393</v>
      </c>
      <c r="M78" t="s">
        <v>1365</v>
      </c>
      <c r="N78" t="s">
        <v>1372</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Z78">
        <v>5064</v>
      </c>
      <c r="BA78">
        <v>1090</v>
      </c>
      <c r="BB78">
        <v>0</v>
      </c>
      <c r="BC78">
        <v>0.08</v>
      </c>
      <c r="BD78">
        <f t="shared" si="65"/>
        <v>0.34455868226338265</v>
      </c>
      <c r="BE78">
        <f t="shared" si="66"/>
        <v>0.65544131773661729</v>
      </c>
      <c r="BF78">
        <v>0</v>
      </c>
      <c r="BG78">
        <v>0</v>
      </c>
      <c r="BH78">
        <v>0</v>
      </c>
      <c r="BI78">
        <v>0</v>
      </c>
      <c r="BJ78">
        <v>0</v>
      </c>
      <c r="BK78">
        <v>0</v>
      </c>
      <c r="BL78" s="19">
        <v>0</v>
      </c>
      <c r="BM78" s="19">
        <v>0</v>
      </c>
      <c r="BN78" s="19">
        <v>0</v>
      </c>
      <c r="BO78" s="19">
        <v>190</v>
      </c>
      <c r="BP78" s="19">
        <v>337</v>
      </c>
      <c r="BQ78" s="19">
        <v>10.6</v>
      </c>
      <c r="BR78" s="19">
        <v>0</v>
      </c>
      <c r="BS78" s="19">
        <v>454</v>
      </c>
      <c r="BT78" s="19">
        <v>354</v>
      </c>
      <c r="BU78" s="19">
        <v>20.7</v>
      </c>
      <c r="BV78" s="19">
        <v>0</v>
      </c>
      <c r="BW78" s="19">
        <v>4.54</v>
      </c>
      <c r="BX78" s="19">
        <v>126</v>
      </c>
      <c r="BY78" s="19">
        <v>2.71</v>
      </c>
      <c r="BZ78" s="19">
        <v>0.23</v>
      </c>
      <c r="CA78" s="19">
        <v>0</v>
      </c>
      <c r="CB78" s="19">
        <v>0.17</v>
      </c>
      <c r="CC78" s="19">
        <v>0.6</v>
      </c>
      <c r="CD78" s="19">
        <v>0</v>
      </c>
      <c r="CE78" s="19">
        <v>0</v>
      </c>
      <c r="CF78" s="19">
        <v>0</v>
      </c>
      <c r="CG78" s="19">
        <v>0</v>
      </c>
      <c r="CH78" s="19">
        <v>0</v>
      </c>
      <c r="CI78" s="19">
        <v>1.95</v>
      </c>
      <c r="CJ78" s="19">
        <v>12</v>
      </c>
      <c r="CK78" s="19">
        <v>7.0000000000000001E-3</v>
      </c>
      <c r="CL78" s="19">
        <v>0.72</v>
      </c>
      <c r="CM78" s="19">
        <v>3.59</v>
      </c>
      <c r="CN78" s="19">
        <v>0</v>
      </c>
      <c r="CO78" s="19">
        <v>8.9999999999999993E-3</v>
      </c>
      <c r="CP78" s="19">
        <v>0</v>
      </c>
      <c r="CQ78" s="19">
        <v>0</v>
      </c>
      <c r="CR78" s="19">
        <v>0</v>
      </c>
      <c r="CS78" s="19">
        <v>4.0000000000000001E-3</v>
      </c>
      <c r="CT78" s="19">
        <v>40.799999999999997</v>
      </c>
      <c r="CU78" s="19">
        <v>0.32</v>
      </c>
      <c r="CV78" s="19">
        <v>2.5099999999999998</v>
      </c>
      <c r="CW78" s="19">
        <v>3.12</v>
      </c>
      <c r="CX78" s="19">
        <v>0.32900000000000001</v>
      </c>
      <c r="CY78" s="19">
        <v>1.03</v>
      </c>
      <c r="CZ78" s="19">
        <v>9.5000000000000001E-2</v>
      </c>
      <c r="DA78" s="19">
        <v>6.0000000000000001E-3</v>
      </c>
      <c r="DB78" s="19">
        <v>0.04</v>
      </c>
      <c r="DC78" s="19">
        <v>1.2999999999999999E-2</v>
      </c>
      <c r="DD78" s="19">
        <v>3.0000000000000001E-3</v>
      </c>
      <c r="DE78" s="19">
        <v>1.0999999999999999E-2</v>
      </c>
      <c r="DF78" s="19">
        <v>0</v>
      </c>
      <c r="DG78" s="19" t="s">
        <v>1366</v>
      </c>
      <c r="DH78" s="19" t="s">
        <v>1366</v>
      </c>
      <c r="DI78" s="19">
        <v>2.1000000000000001E-2</v>
      </c>
      <c r="DJ78" s="19">
        <v>0.14399999999999999</v>
      </c>
      <c r="DK78" s="19">
        <v>0</v>
      </c>
      <c r="DL78" s="19">
        <v>0.20300000000000001</v>
      </c>
      <c r="DM78" s="19">
        <v>0.34799999999999998</v>
      </c>
      <c r="DN78" s="19">
        <v>5.7000000000000002E-2</v>
      </c>
      <c r="DO78" s="19">
        <v>0</v>
      </c>
      <c r="DP78" s="19">
        <v>0</v>
      </c>
      <c r="DQ78" s="19">
        <v>0</v>
      </c>
      <c r="DR78" s="19">
        <v>0</v>
      </c>
      <c r="DS78" s="19">
        <v>0</v>
      </c>
      <c r="DT78" s="19">
        <v>0</v>
      </c>
      <c r="DU78" s="19">
        <v>0</v>
      </c>
      <c r="DV78" s="19">
        <v>0</v>
      </c>
      <c r="DW78" s="29">
        <v>0</v>
      </c>
      <c r="DX78" s="29">
        <v>0</v>
      </c>
      <c r="DY78" s="29">
        <v>0</v>
      </c>
      <c r="DZ78" s="29">
        <v>0</v>
      </c>
      <c r="EA78" s="29">
        <v>0</v>
      </c>
      <c r="EB78" s="29">
        <v>0</v>
      </c>
      <c r="EC78" s="29">
        <v>0</v>
      </c>
      <c r="ED78" s="29">
        <v>0</v>
      </c>
      <c r="EE78" s="29">
        <v>0</v>
      </c>
      <c r="EF78" s="29">
        <v>0</v>
      </c>
      <c r="EG78" s="29">
        <v>0</v>
      </c>
      <c r="EH78" s="29">
        <v>0</v>
      </c>
      <c r="EI78" s="29">
        <v>0</v>
      </c>
      <c r="EJ78" s="29">
        <v>0</v>
      </c>
      <c r="EK78" s="19">
        <v>0</v>
      </c>
      <c r="EL78" s="19"/>
      <c r="EM78" s="19"/>
      <c r="EN78" s="19"/>
      <c r="EO78" s="19"/>
    </row>
    <row r="79" spans="1:145">
      <c r="A79" t="s">
        <v>1392</v>
      </c>
      <c r="B79" t="s">
        <v>1470</v>
      </c>
      <c r="C79" t="s">
        <v>24</v>
      </c>
      <c r="D79" t="s">
        <v>1369</v>
      </c>
      <c r="E79">
        <v>0</v>
      </c>
      <c r="F79" t="s">
        <v>237</v>
      </c>
      <c r="G79" t="s">
        <v>163</v>
      </c>
      <c r="H79" t="s">
        <v>595</v>
      </c>
      <c r="I79">
        <v>355</v>
      </c>
      <c r="J79">
        <v>0</v>
      </c>
      <c r="K79" t="s">
        <v>635</v>
      </c>
      <c r="L79" t="s">
        <v>1393</v>
      </c>
      <c r="M79" t="s">
        <v>1367</v>
      </c>
      <c r="N79" t="s">
        <v>1372</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Z79">
        <v>1945</v>
      </c>
      <c r="BA79">
        <v>513</v>
      </c>
      <c r="BB79">
        <v>0</v>
      </c>
      <c r="BC79">
        <v>0.08</v>
      </c>
      <c r="BD79">
        <f t="shared" si="65"/>
        <v>0.39178701014107692</v>
      </c>
      <c r="BE79">
        <f t="shared" si="66"/>
        <v>0.60821298985892325</v>
      </c>
      <c r="BF79">
        <v>0</v>
      </c>
      <c r="BG79">
        <v>0</v>
      </c>
      <c r="BH79">
        <v>0</v>
      </c>
      <c r="BI79">
        <v>0</v>
      </c>
      <c r="BJ79">
        <v>0</v>
      </c>
      <c r="BK79">
        <v>0</v>
      </c>
      <c r="BL79" s="19">
        <v>0</v>
      </c>
      <c r="BM79" s="19">
        <v>0</v>
      </c>
      <c r="BN79" s="19">
        <v>0</v>
      </c>
      <c r="BO79" s="19">
        <v>90</v>
      </c>
      <c r="BP79" s="19">
        <v>186</v>
      </c>
      <c r="BQ79" s="19">
        <v>6.2</v>
      </c>
      <c r="BR79" s="19">
        <v>0</v>
      </c>
      <c r="BS79" s="19">
        <v>235</v>
      </c>
      <c r="BT79" s="19">
        <v>210</v>
      </c>
      <c r="BU79" s="19">
        <v>11.9</v>
      </c>
      <c r="BV79" s="19">
        <v>0</v>
      </c>
      <c r="BW79" s="19">
        <v>2.56</v>
      </c>
      <c r="BX79" s="19">
        <v>66</v>
      </c>
      <c r="BY79" s="19">
        <v>2.23</v>
      </c>
      <c r="BZ79" s="19">
        <v>0.36</v>
      </c>
      <c r="CA79" s="19">
        <v>0</v>
      </c>
      <c r="CB79" s="19">
        <v>0.1</v>
      </c>
      <c r="CC79" s="19">
        <v>0.34</v>
      </c>
      <c r="CD79" s="19">
        <v>0</v>
      </c>
      <c r="CE79" s="19">
        <v>0</v>
      </c>
      <c r="CF79" s="19">
        <v>0</v>
      </c>
      <c r="CG79" s="19">
        <v>0</v>
      </c>
      <c r="CH79" s="19">
        <v>0</v>
      </c>
      <c r="CI79" s="19">
        <v>1.1000000000000001</v>
      </c>
      <c r="CJ79" s="19">
        <v>6.7</v>
      </c>
      <c r="CK79" s="19">
        <v>4.0000000000000001E-3</v>
      </c>
      <c r="CL79" s="19">
        <v>0.37</v>
      </c>
      <c r="CM79" s="19">
        <v>2.0099999999999998</v>
      </c>
      <c r="CN79" s="19">
        <v>0</v>
      </c>
      <c r="CO79" s="19">
        <v>6.0000000000000001E-3</v>
      </c>
      <c r="CP79" s="19">
        <v>0</v>
      </c>
      <c r="CQ79" s="19">
        <v>0</v>
      </c>
      <c r="CR79" s="19">
        <v>0</v>
      </c>
      <c r="CS79" s="19">
        <v>3.0000000000000001E-3</v>
      </c>
      <c r="CT79" s="19">
        <v>19.899999999999999</v>
      </c>
      <c r="CU79" s="19">
        <v>0.16</v>
      </c>
      <c r="CV79" s="19">
        <v>1.36</v>
      </c>
      <c r="CW79" s="19">
        <v>1.78</v>
      </c>
      <c r="CX79" s="19">
        <v>0.16900000000000001</v>
      </c>
      <c r="CY79" s="19">
        <v>0.51</v>
      </c>
      <c r="CZ79" s="19">
        <v>4.5999999999999999E-2</v>
      </c>
      <c r="DA79" s="19">
        <v>3.0000000000000001E-3</v>
      </c>
      <c r="DB79" s="19">
        <v>2.7E-2</v>
      </c>
      <c r="DC79" s="19" t="s">
        <v>1366</v>
      </c>
      <c r="DD79" s="19" t="s">
        <v>1366</v>
      </c>
      <c r="DE79" s="19" t="s">
        <v>1366</v>
      </c>
      <c r="DF79" s="19">
        <v>0</v>
      </c>
      <c r="DG79" s="19" t="s">
        <v>1366</v>
      </c>
      <c r="DH79" s="19" t="s">
        <v>1366</v>
      </c>
      <c r="DI79" s="19" t="s">
        <v>1366</v>
      </c>
      <c r="DJ79" s="19">
        <v>8.7999999999999995E-2</v>
      </c>
      <c r="DK79" s="19">
        <v>0</v>
      </c>
      <c r="DL79" s="19">
        <v>8.5000000000000006E-2</v>
      </c>
      <c r="DM79" s="19">
        <v>0.17499999999999999</v>
      </c>
      <c r="DN79" s="19">
        <v>3.2000000000000001E-2</v>
      </c>
      <c r="DO79" s="19">
        <v>0</v>
      </c>
      <c r="DP79" s="19">
        <v>0</v>
      </c>
      <c r="DQ79" s="19">
        <v>0</v>
      </c>
      <c r="DR79" s="19">
        <v>0</v>
      </c>
      <c r="DS79" s="19">
        <v>0</v>
      </c>
      <c r="DT79" s="19">
        <v>0</v>
      </c>
      <c r="DU79" s="19">
        <v>0</v>
      </c>
      <c r="DV79" s="19">
        <v>0</v>
      </c>
      <c r="DW79" s="29">
        <v>0</v>
      </c>
      <c r="DX79" s="29">
        <v>0</v>
      </c>
      <c r="DY79" s="29">
        <v>0</v>
      </c>
      <c r="DZ79" s="29">
        <v>0</v>
      </c>
      <c r="EA79" s="29">
        <v>0</v>
      </c>
      <c r="EB79" s="29">
        <v>0</v>
      </c>
      <c r="EC79" s="29">
        <v>0</v>
      </c>
      <c r="ED79" s="29">
        <v>0</v>
      </c>
      <c r="EE79" s="29">
        <v>0</v>
      </c>
      <c r="EF79" s="29">
        <v>0</v>
      </c>
      <c r="EG79" s="29">
        <v>0</v>
      </c>
      <c r="EH79" s="29">
        <v>0</v>
      </c>
      <c r="EI79" s="29">
        <v>0</v>
      </c>
      <c r="EJ79" s="29">
        <v>0</v>
      </c>
      <c r="EK79" s="19">
        <v>0</v>
      </c>
      <c r="EL79" s="19"/>
      <c r="EM79" s="19"/>
      <c r="EN79" s="19"/>
      <c r="EO79" s="19"/>
    </row>
    <row r="80" spans="1:145">
      <c r="A80" t="s">
        <v>1392</v>
      </c>
      <c r="B80" t="s">
        <v>1470</v>
      </c>
      <c r="C80" t="s">
        <v>24</v>
      </c>
      <c r="D80" t="s">
        <v>1369</v>
      </c>
      <c r="E80">
        <v>0</v>
      </c>
      <c r="F80" t="s">
        <v>237</v>
      </c>
      <c r="G80" t="s">
        <v>163</v>
      </c>
      <c r="H80" t="s">
        <v>595</v>
      </c>
      <c r="I80">
        <v>355</v>
      </c>
      <c r="J80">
        <v>0</v>
      </c>
      <c r="K80" t="s">
        <v>635</v>
      </c>
      <c r="L80" t="s">
        <v>1393</v>
      </c>
      <c r="M80" t="s">
        <v>1365</v>
      </c>
      <c r="N80" t="s">
        <v>1373</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Z80">
        <v>2692</v>
      </c>
      <c r="BA80">
        <v>745</v>
      </c>
      <c r="BB80">
        <v>0</v>
      </c>
      <c r="BC80">
        <v>0.08</v>
      </c>
      <c r="BD80">
        <f t="shared" si="65"/>
        <v>0.40330311133372343</v>
      </c>
      <c r="BE80">
        <f t="shared" si="66"/>
        <v>0.59669688866627668</v>
      </c>
      <c r="BF80">
        <v>0</v>
      </c>
      <c r="BG80">
        <v>0</v>
      </c>
      <c r="BH80">
        <v>0</v>
      </c>
      <c r="BI80">
        <v>0</v>
      </c>
      <c r="BJ80">
        <v>0</v>
      </c>
      <c r="BK80">
        <v>0</v>
      </c>
      <c r="BL80" s="19">
        <v>0</v>
      </c>
      <c r="BM80" s="19">
        <v>0</v>
      </c>
      <c r="BN80" s="19">
        <v>0</v>
      </c>
      <c r="BO80" s="19">
        <v>162</v>
      </c>
      <c r="BP80" s="19">
        <v>465</v>
      </c>
      <c r="BQ80" s="19">
        <v>13</v>
      </c>
      <c r="BR80" s="19">
        <v>0</v>
      </c>
      <c r="BS80" s="19">
        <v>469</v>
      </c>
      <c r="BT80" s="19">
        <v>453</v>
      </c>
      <c r="BU80" s="19">
        <v>17.899999999999999</v>
      </c>
      <c r="BV80" s="19">
        <v>0</v>
      </c>
      <c r="BW80" s="19">
        <v>5.83</v>
      </c>
      <c r="BX80" s="19">
        <v>153</v>
      </c>
      <c r="BY80" s="19">
        <v>1.49</v>
      </c>
      <c r="BZ80" s="19">
        <v>0.17</v>
      </c>
      <c r="CA80" s="19">
        <v>0</v>
      </c>
      <c r="CB80" s="19">
        <v>0.18</v>
      </c>
      <c r="CC80" s="19">
        <v>0.6</v>
      </c>
      <c r="CD80" s="19">
        <v>0</v>
      </c>
      <c r="CE80" s="19">
        <v>0</v>
      </c>
      <c r="CF80" s="19">
        <v>0</v>
      </c>
      <c r="CG80" s="19">
        <v>0</v>
      </c>
      <c r="CH80" s="19">
        <v>0</v>
      </c>
      <c r="CI80" s="19">
        <v>2.2200000000000002</v>
      </c>
      <c r="CJ80" s="19">
        <v>15.7</v>
      </c>
      <c r="CK80" s="19">
        <v>5.0000000000000001E-3</v>
      </c>
      <c r="CL80" s="19">
        <v>0.9</v>
      </c>
      <c r="CM80" s="19">
        <v>3.56</v>
      </c>
      <c r="CN80" s="19">
        <v>0</v>
      </c>
      <c r="CO80" s="19">
        <v>1.2E-2</v>
      </c>
      <c r="CP80" s="19">
        <v>0</v>
      </c>
      <c r="CQ80" s="19">
        <v>0</v>
      </c>
      <c r="CR80" s="19">
        <v>0</v>
      </c>
      <c r="CS80" s="19">
        <v>5.0000000000000001E-3</v>
      </c>
      <c r="CT80" s="19">
        <v>37.299999999999997</v>
      </c>
      <c r="CU80" s="19">
        <v>0.41</v>
      </c>
      <c r="CV80" s="19">
        <v>2.85</v>
      </c>
      <c r="CW80" s="19">
        <v>4.01</v>
      </c>
      <c r="CX80" s="19">
        <v>0.40899999999999997</v>
      </c>
      <c r="CY80" s="19">
        <v>1.45</v>
      </c>
      <c r="CZ80" s="19">
        <v>0.129</v>
      </c>
      <c r="DA80" s="19">
        <v>5.0000000000000001E-3</v>
      </c>
      <c r="DB80" s="19">
        <v>6.2E-2</v>
      </c>
      <c r="DC80" s="19">
        <v>2.5000000000000001E-2</v>
      </c>
      <c r="DD80" s="19">
        <v>5.0000000000000001E-3</v>
      </c>
      <c r="DE80" s="19" t="s">
        <v>1366</v>
      </c>
      <c r="DF80" s="19">
        <v>0</v>
      </c>
      <c r="DG80" s="19" t="s">
        <v>1366</v>
      </c>
      <c r="DH80" s="19" t="s">
        <v>1366</v>
      </c>
      <c r="DI80" s="19">
        <v>3.3000000000000002E-2</v>
      </c>
      <c r="DJ80" s="19">
        <v>0.15</v>
      </c>
      <c r="DK80" s="19">
        <v>0</v>
      </c>
      <c r="DL80" s="19">
        <v>0.182</v>
      </c>
      <c r="DM80" s="19">
        <v>0.33500000000000002</v>
      </c>
      <c r="DN80" s="19">
        <v>6.0999999999999999E-2</v>
      </c>
      <c r="DO80" s="19">
        <v>0</v>
      </c>
      <c r="DP80" s="19">
        <v>0</v>
      </c>
      <c r="DQ80" s="19">
        <v>0</v>
      </c>
      <c r="DR80" s="19">
        <v>0</v>
      </c>
      <c r="DS80" s="19">
        <v>0</v>
      </c>
      <c r="DT80" s="19">
        <v>0</v>
      </c>
      <c r="DU80" s="19">
        <v>0</v>
      </c>
      <c r="DV80" s="19">
        <v>0</v>
      </c>
      <c r="DW80" s="29">
        <v>0</v>
      </c>
      <c r="DX80" s="29">
        <v>0</v>
      </c>
      <c r="DY80" s="29">
        <v>0</v>
      </c>
      <c r="DZ80" s="29">
        <v>0</v>
      </c>
      <c r="EA80" s="29">
        <v>0</v>
      </c>
      <c r="EB80" s="29">
        <v>0</v>
      </c>
      <c r="EC80" s="29">
        <v>0</v>
      </c>
      <c r="ED80" s="29">
        <v>0</v>
      </c>
      <c r="EE80" s="29">
        <v>0</v>
      </c>
      <c r="EF80" s="29">
        <v>0</v>
      </c>
      <c r="EG80" s="29">
        <v>0</v>
      </c>
      <c r="EH80" s="29">
        <v>0</v>
      </c>
      <c r="EI80" s="29">
        <v>0</v>
      </c>
      <c r="EJ80" s="29">
        <v>0</v>
      </c>
      <c r="EK80" s="19">
        <v>0</v>
      </c>
      <c r="EL80" s="19"/>
      <c r="EM80" s="19"/>
      <c r="EN80" s="19"/>
      <c r="EO80" s="19"/>
    </row>
    <row r="81" spans="1:145">
      <c r="A81" t="s">
        <v>1392</v>
      </c>
      <c r="B81" t="s">
        <v>1470</v>
      </c>
      <c r="C81" t="s">
        <v>24</v>
      </c>
      <c r="D81" t="s">
        <v>1369</v>
      </c>
      <c r="E81">
        <v>0</v>
      </c>
      <c r="F81" t="s">
        <v>237</v>
      </c>
      <c r="G81" t="s">
        <v>163</v>
      </c>
      <c r="H81" t="s">
        <v>595</v>
      </c>
      <c r="I81">
        <v>355</v>
      </c>
      <c r="J81">
        <v>0</v>
      </c>
      <c r="K81" t="s">
        <v>635</v>
      </c>
      <c r="L81" t="s">
        <v>1393</v>
      </c>
      <c r="M81" t="s">
        <v>1365</v>
      </c>
      <c r="N81" t="s">
        <v>1374</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Z81">
        <v>2910</v>
      </c>
      <c r="BA81">
        <v>743</v>
      </c>
      <c r="BB81">
        <v>0</v>
      </c>
      <c r="BC81">
        <v>0.06</v>
      </c>
      <c r="BD81">
        <f t="shared" si="65"/>
        <v>0.38407728756367776</v>
      </c>
      <c r="BE81">
        <f t="shared" si="66"/>
        <v>0.61592271243632224</v>
      </c>
      <c r="BF81">
        <v>0</v>
      </c>
      <c r="BG81">
        <v>0</v>
      </c>
      <c r="BH81">
        <v>0</v>
      </c>
      <c r="BI81">
        <v>0</v>
      </c>
      <c r="BJ81">
        <v>0</v>
      </c>
      <c r="BK81">
        <v>0</v>
      </c>
      <c r="BL81" s="19">
        <v>0</v>
      </c>
      <c r="BM81" s="19">
        <v>0</v>
      </c>
      <c r="BN81" s="19">
        <v>0</v>
      </c>
      <c r="BO81" s="19">
        <v>57</v>
      </c>
      <c r="BP81" s="19">
        <v>117</v>
      </c>
      <c r="BQ81" s="19">
        <v>3.8</v>
      </c>
      <c r="BR81" s="19">
        <v>0</v>
      </c>
      <c r="BS81" s="19">
        <v>149</v>
      </c>
      <c r="BT81" s="19">
        <v>145</v>
      </c>
      <c r="BU81" s="19">
        <v>10.8</v>
      </c>
      <c r="BV81" s="19">
        <v>0</v>
      </c>
      <c r="BW81" s="19">
        <v>1.55</v>
      </c>
      <c r="BX81" s="19">
        <v>40</v>
      </c>
      <c r="BY81" s="19">
        <v>2.85</v>
      </c>
      <c r="BZ81" s="19">
        <v>0.06</v>
      </c>
      <c r="CA81" s="19">
        <v>0</v>
      </c>
      <c r="CB81" s="19">
        <v>0.1</v>
      </c>
      <c r="CC81" s="19">
        <v>0.21</v>
      </c>
      <c r="CD81" s="19">
        <v>0</v>
      </c>
      <c r="CE81" s="19">
        <v>0</v>
      </c>
      <c r="CF81" s="19">
        <v>0</v>
      </c>
      <c r="CG81" s="19">
        <v>0</v>
      </c>
      <c r="CH81" s="19">
        <v>0</v>
      </c>
      <c r="CI81" s="19">
        <v>0.7</v>
      </c>
      <c r="CJ81" s="19">
        <v>5.2</v>
      </c>
      <c r="CK81" s="19">
        <v>2E-3</v>
      </c>
      <c r="CL81" s="19">
        <v>0.32</v>
      </c>
      <c r="CM81" s="19">
        <v>2.34</v>
      </c>
      <c r="CN81" s="19">
        <v>0</v>
      </c>
      <c r="CO81" s="19">
        <v>8.0000000000000002E-3</v>
      </c>
      <c r="CP81" s="19">
        <v>0</v>
      </c>
      <c r="CQ81" s="19">
        <v>0</v>
      </c>
      <c r="CR81" s="19">
        <v>0</v>
      </c>
      <c r="CS81" s="19">
        <v>3.0000000000000001E-3</v>
      </c>
      <c r="CT81" s="19">
        <v>13.7</v>
      </c>
      <c r="CU81" s="19">
        <v>0.09</v>
      </c>
      <c r="CV81" s="19">
        <v>0.94</v>
      </c>
      <c r="CW81" s="19">
        <v>1.25</v>
      </c>
      <c r="CX81" s="19">
        <v>0.124</v>
      </c>
      <c r="CY81" s="19">
        <v>0.42</v>
      </c>
      <c r="CZ81" s="19">
        <v>0.04</v>
      </c>
      <c r="DA81" s="19">
        <v>3.0000000000000001E-3</v>
      </c>
      <c r="DB81" s="19">
        <v>1.2999999999999999E-2</v>
      </c>
      <c r="DC81" s="19" t="s">
        <v>1366</v>
      </c>
      <c r="DD81" s="19" t="s">
        <v>1366</v>
      </c>
      <c r="DE81" s="19" t="s">
        <v>1366</v>
      </c>
      <c r="DF81" s="19">
        <v>0</v>
      </c>
      <c r="DG81" s="19" t="s">
        <v>1366</v>
      </c>
      <c r="DH81" s="19">
        <v>2E-3</v>
      </c>
      <c r="DI81" s="19">
        <v>8.9999999999999993E-3</v>
      </c>
      <c r="DJ81" s="19">
        <v>0.16700000000000001</v>
      </c>
      <c r="DK81" s="19">
        <v>0</v>
      </c>
      <c r="DL81" s="19">
        <v>9.5000000000000001E-2</v>
      </c>
      <c r="DM81" s="19">
        <v>0.13300000000000001</v>
      </c>
      <c r="DN81" s="19">
        <v>2.1000000000000001E-2</v>
      </c>
      <c r="DO81" s="19">
        <v>0</v>
      </c>
      <c r="DP81" s="19">
        <v>0</v>
      </c>
      <c r="DQ81" s="19">
        <v>0</v>
      </c>
      <c r="DR81" s="19">
        <v>0</v>
      </c>
      <c r="DS81" s="19">
        <v>0</v>
      </c>
      <c r="DT81" s="19">
        <v>0</v>
      </c>
      <c r="DU81" s="19">
        <v>0</v>
      </c>
      <c r="DV81" s="19">
        <v>0</v>
      </c>
      <c r="DW81" s="29">
        <v>0</v>
      </c>
      <c r="DX81" s="29">
        <v>0</v>
      </c>
      <c r="DY81" s="29">
        <v>0</v>
      </c>
      <c r="DZ81" s="29">
        <v>0</v>
      </c>
      <c r="EA81" s="29">
        <v>0</v>
      </c>
      <c r="EB81" s="29">
        <v>0</v>
      </c>
      <c r="EC81" s="29">
        <v>0</v>
      </c>
      <c r="ED81" s="29">
        <v>0</v>
      </c>
      <c r="EE81" s="29">
        <v>0</v>
      </c>
      <c r="EF81" s="29">
        <v>0</v>
      </c>
      <c r="EG81" s="29">
        <v>0</v>
      </c>
      <c r="EH81" s="29">
        <v>0</v>
      </c>
      <c r="EI81" s="29">
        <v>0</v>
      </c>
      <c r="EJ81" s="29">
        <v>0</v>
      </c>
      <c r="EK81" s="19">
        <v>0</v>
      </c>
      <c r="EL81" s="19"/>
      <c r="EM81" s="19"/>
      <c r="EN81" s="19"/>
      <c r="EO81" s="19"/>
    </row>
    <row r="82" spans="1:145">
      <c r="A82" t="s">
        <v>1392</v>
      </c>
      <c r="B82" t="s">
        <v>1470</v>
      </c>
      <c r="C82" t="s">
        <v>24</v>
      </c>
      <c r="D82" t="s">
        <v>1369</v>
      </c>
      <c r="E82">
        <v>0</v>
      </c>
      <c r="F82" t="s">
        <v>237</v>
      </c>
      <c r="G82" t="s">
        <v>163</v>
      </c>
      <c r="H82" t="s">
        <v>595</v>
      </c>
      <c r="I82">
        <v>355</v>
      </c>
      <c r="J82">
        <v>0</v>
      </c>
      <c r="K82" t="s">
        <v>635</v>
      </c>
      <c r="L82" t="s">
        <v>1393</v>
      </c>
      <c r="M82" t="s">
        <v>1365</v>
      </c>
      <c r="N82" t="s">
        <v>1375</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Z82">
        <v>3231</v>
      </c>
      <c r="BA82">
        <v>622</v>
      </c>
      <c r="BB82">
        <v>0</v>
      </c>
      <c r="BC82">
        <v>7.0000000000000007E-2</v>
      </c>
      <c r="BD82">
        <f t="shared" si="65"/>
        <v>0.31980409557175243</v>
      </c>
      <c r="BE82">
        <f t="shared" si="66"/>
        <v>0.68019590442824762</v>
      </c>
      <c r="BF82">
        <v>0</v>
      </c>
      <c r="BG82">
        <v>0</v>
      </c>
      <c r="BH82">
        <v>0</v>
      </c>
      <c r="BI82">
        <v>0</v>
      </c>
      <c r="BJ82">
        <v>0</v>
      </c>
      <c r="BK82">
        <v>0</v>
      </c>
      <c r="BL82" s="19">
        <v>0</v>
      </c>
      <c r="BM82" s="19">
        <v>0</v>
      </c>
      <c r="BN82" s="19">
        <v>0</v>
      </c>
      <c r="BO82" s="19">
        <v>73</v>
      </c>
      <c r="BP82" s="19">
        <v>166</v>
      </c>
      <c r="BQ82" s="19">
        <v>4.5999999999999996</v>
      </c>
      <c r="BR82" s="19">
        <v>0</v>
      </c>
      <c r="BS82" s="19">
        <v>191</v>
      </c>
      <c r="BT82" s="19">
        <v>170</v>
      </c>
      <c r="BU82" s="19">
        <v>9.8000000000000007</v>
      </c>
      <c r="BV82" s="19">
        <v>0</v>
      </c>
      <c r="BW82" s="19">
        <v>2</v>
      </c>
      <c r="BX82" s="19">
        <v>52</v>
      </c>
      <c r="BY82" s="19">
        <v>1.46</v>
      </c>
      <c r="BZ82" s="19">
        <v>0.27</v>
      </c>
      <c r="CA82" s="19">
        <v>0</v>
      </c>
      <c r="CB82" s="19">
        <v>0.08</v>
      </c>
      <c r="CC82" s="19">
        <v>0.22</v>
      </c>
      <c r="CD82" s="19">
        <v>0</v>
      </c>
      <c r="CE82" s="19">
        <v>0</v>
      </c>
      <c r="CF82" s="19">
        <v>0</v>
      </c>
      <c r="CG82" s="19">
        <v>0</v>
      </c>
      <c r="CH82" s="19">
        <v>0</v>
      </c>
      <c r="CI82" s="19">
        <v>0.89</v>
      </c>
      <c r="CJ82" s="19">
        <v>5.7</v>
      </c>
      <c r="CK82" s="19">
        <v>3.0000000000000001E-3</v>
      </c>
      <c r="CL82" s="19">
        <v>0.59</v>
      </c>
      <c r="CM82" s="19">
        <v>1.29</v>
      </c>
      <c r="CN82" s="19">
        <v>0</v>
      </c>
      <c r="CO82" s="19">
        <v>7.0000000000000001E-3</v>
      </c>
      <c r="CP82" s="19">
        <v>0</v>
      </c>
      <c r="CQ82" s="19">
        <v>0</v>
      </c>
      <c r="CR82" s="19">
        <v>0</v>
      </c>
      <c r="CS82" s="19">
        <v>3.0000000000000001E-3</v>
      </c>
      <c r="CT82" s="19">
        <v>13.6</v>
      </c>
      <c r="CU82" s="19">
        <v>0.15</v>
      </c>
      <c r="CV82" s="19">
        <v>0.99</v>
      </c>
      <c r="CW82" s="19">
        <v>1.41</v>
      </c>
      <c r="CX82" s="19">
        <v>0.158</v>
      </c>
      <c r="CY82" s="19">
        <v>0.51</v>
      </c>
      <c r="CZ82" s="19">
        <v>7.3999999999999996E-2</v>
      </c>
      <c r="DA82" s="19">
        <v>3.0000000000000001E-3</v>
      </c>
      <c r="DB82" s="19">
        <v>0.03</v>
      </c>
      <c r="DC82" s="19">
        <v>8.0000000000000002E-3</v>
      </c>
      <c r="DD82" s="19" t="s">
        <v>1366</v>
      </c>
      <c r="DE82" s="19" t="s">
        <v>1366</v>
      </c>
      <c r="DF82" s="19">
        <v>0</v>
      </c>
      <c r="DG82" s="19" t="s">
        <v>1366</v>
      </c>
      <c r="DH82" s="19" t="s">
        <v>1366</v>
      </c>
      <c r="DI82" s="19">
        <v>1.2E-2</v>
      </c>
      <c r="DJ82" s="19">
        <v>4.8000000000000001E-2</v>
      </c>
      <c r="DK82" s="19">
        <v>0</v>
      </c>
      <c r="DL82" s="19">
        <v>7.0999999999999994E-2</v>
      </c>
      <c r="DM82" s="19">
        <v>0.11700000000000001</v>
      </c>
      <c r="DN82" s="19">
        <v>2.4E-2</v>
      </c>
      <c r="DO82" s="19">
        <v>0</v>
      </c>
      <c r="DP82" s="19">
        <v>0</v>
      </c>
      <c r="DQ82" s="19">
        <v>0</v>
      </c>
      <c r="DR82" s="19">
        <v>0</v>
      </c>
      <c r="DS82" s="19">
        <v>0</v>
      </c>
      <c r="DT82" s="19">
        <v>0</v>
      </c>
      <c r="DU82" s="19">
        <v>0</v>
      </c>
      <c r="DV82" s="19">
        <v>0</v>
      </c>
      <c r="DW82" s="29">
        <v>0</v>
      </c>
      <c r="DX82" s="29">
        <v>0</v>
      </c>
      <c r="DY82" s="29">
        <v>0</v>
      </c>
      <c r="DZ82" s="29">
        <v>0</v>
      </c>
      <c r="EA82" s="29">
        <v>0</v>
      </c>
      <c r="EB82" s="29">
        <v>0</v>
      </c>
      <c r="EC82" s="29">
        <v>0</v>
      </c>
      <c r="ED82" s="29">
        <v>0</v>
      </c>
      <c r="EE82" s="29">
        <v>0</v>
      </c>
      <c r="EF82" s="29">
        <v>0</v>
      </c>
      <c r="EG82" s="29">
        <v>0</v>
      </c>
      <c r="EH82" s="29">
        <v>0</v>
      </c>
      <c r="EI82" s="29">
        <v>0</v>
      </c>
      <c r="EJ82" s="29">
        <v>0</v>
      </c>
      <c r="EK82" s="19">
        <v>0</v>
      </c>
      <c r="EL82" s="19"/>
      <c r="EM82" s="19"/>
      <c r="EN82" s="19"/>
      <c r="EO82" s="19"/>
    </row>
    <row r="83" spans="1:145">
      <c r="A83" t="s">
        <v>1392</v>
      </c>
      <c r="B83" t="s">
        <v>1470</v>
      </c>
      <c r="C83" t="s">
        <v>24</v>
      </c>
      <c r="D83" t="s">
        <v>1369</v>
      </c>
      <c r="E83">
        <v>0</v>
      </c>
      <c r="F83" t="s">
        <v>237</v>
      </c>
      <c r="G83" t="s">
        <v>163</v>
      </c>
      <c r="H83" t="s">
        <v>595</v>
      </c>
      <c r="I83">
        <v>355</v>
      </c>
      <c r="J83">
        <v>0</v>
      </c>
      <c r="K83" t="s">
        <v>635</v>
      </c>
      <c r="L83" t="s">
        <v>1393</v>
      </c>
      <c r="M83" t="s">
        <v>160</v>
      </c>
      <c r="N83" t="s">
        <v>1376</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Z83">
        <v>5461</v>
      </c>
      <c r="BA83">
        <v>1327</v>
      </c>
      <c r="BB83">
        <v>0</v>
      </c>
      <c r="BC83">
        <v>0.12</v>
      </c>
      <c r="BD83">
        <f t="shared" si="65"/>
        <v>0.37243691333294515</v>
      </c>
      <c r="BE83">
        <f t="shared" si="66"/>
        <v>0.62756308666705485</v>
      </c>
      <c r="BF83">
        <v>0</v>
      </c>
      <c r="BG83">
        <v>0</v>
      </c>
      <c r="BH83">
        <v>0</v>
      </c>
      <c r="BI83">
        <v>0</v>
      </c>
      <c r="BJ83">
        <v>0</v>
      </c>
      <c r="BK83">
        <v>0</v>
      </c>
      <c r="BL83" s="19">
        <v>0</v>
      </c>
      <c r="BM83" s="19">
        <v>0</v>
      </c>
      <c r="BN83" s="19">
        <v>0</v>
      </c>
      <c r="BO83" s="19">
        <v>116</v>
      </c>
      <c r="BP83" s="19">
        <v>263</v>
      </c>
      <c r="BQ83" s="19">
        <v>7</v>
      </c>
      <c r="BR83" s="19">
        <v>0</v>
      </c>
      <c r="BS83" s="19">
        <v>335</v>
      </c>
      <c r="BT83" s="19">
        <v>233</v>
      </c>
      <c r="BU83" s="19">
        <v>4.4000000000000004</v>
      </c>
      <c r="BV83" s="19">
        <v>0</v>
      </c>
      <c r="BW83" s="19">
        <v>3.27</v>
      </c>
      <c r="BX83" s="19">
        <v>88</v>
      </c>
      <c r="BY83" s="19">
        <v>1.68</v>
      </c>
      <c r="BZ83" s="19">
        <v>0.51</v>
      </c>
      <c r="CA83" s="19">
        <v>0</v>
      </c>
      <c r="CB83" s="19">
        <v>0.11</v>
      </c>
      <c r="CC83" s="19">
        <v>0.47</v>
      </c>
      <c r="CD83" s="19">
        <v>0</v>
      </c>
      <c r="CE83" s="19">
        <v>0</v>
      </c>
      <c r="CF83" s="19">
        <v>0</v>
      </c>
      <c r="CG83" s="19">
        <v>0</v>
      </c>
      <c r="CH83" s="19">
        <v>0</v>
      </c>
      <c r="CI83" s="19">
        <v>1.38</v>
      </c>
      <c r="CJ83" s="19">
        <v>9.6999999999999993</v>
      </c>
      <c r="CK83" s="19">
        <v>2E-3</v>
      </c>
      <c r="CL83" s="19">
        <v>0.51</v>
      </c>
      <c r="CM83" s="19">
        <v>2.59</v>
      </c>
      <c r="CN83" s="19">
        <v>0</v>
      </c>
      <c r="CO83" s="19">
        <v>1.2999999999999999E-2</v>
      </c>
      <c r="CP83" s="19">
        <v>0</v>
      </c>
      <c r="CQ83" s="19">
        <v>0</v>
      </c>
      <c r="CR83" s="19">
        <v>0</v>
      </c>
      <c r="CS83" s="19">
        <v>5.0000000000000001E-3</v>
      </c>
      <c r="CT83" s="19">
        <v>31.4</v>
      </c>
      <c r="CU83" s="19">
        <v>0.27</v>
      </c>
      <c r="CV83" s="19">
        <v>2.14</v>
      </c>
      <c r="CW83" s="19">
        <v>2.77</v>
      </c>
      <c r="CX83" s="19">
        <v>0.28199999999999997</v>
      </c>
      <c r="CY83" s="19">
        <v>0.93</v>
      </c>
      <c r="CZ83" s="19">
        <v>8.5000000000000006E-2</v>
      </c>
      <c r="DA83" s="19">
        <v>5.0000000000000001E-3</v>
      </c>
      <c r="DB83" s="19" t="s">
        <v>1366</v>
      </c>
      <c r="DC83" s="19">
        <v>8.0000000000000002E-3</v>
      </c>
      <c r="DD83" s="19" t="s">
        <v>1366</v>
      </c>
      <c r="DE83" s="19" t="s">
        <v>1366</v>
      </c>
      <c r="DF83" s="19">
        <v>0</v>
      </c>
      <c r="DG83" s="19">
        <v>0.01</v>
      </c>
      <c r="DH83" s="19" t="s">
        <v>1366</v>
      </c>
      <c r="DI83" s="19">
        <v>1.7000000000000001E-2</v>
      </c>
      <c r="DJ83" s="19">
        <v>0.1</v>
      </c>
      <c r="DK83" s="19">
        <v>0</v>
      </c>
      <c r="DL83" s="19">
        <v>0.13300000000000001</v>
      </c>
      <c r="DM83" s="19">
        <v>0.27600000000000002</v>
      </c>
      <c r="DN83" s="19">
        <v>5.2999999999999999E-2</v>
      </c>
      <c r="DO83" s="19">
        <v>0</v>
      </c>
      <c r="DP83" s="19">
        <v>0</v>
      </c>
      <c r="DQ83" s="19">
        <v>0</v>
      </c>
      <c r="DR83" s="19">
        <v>0</v>
      </c>
      <c r="DS83" s="19">
        <v>0</v>
      </c>
      <c r="DT83" s="19">
        <v>0</v>
      </c>
      <c r="DU83" s="19">
        <v>0</v>
      </c>
      <c r="DV83" s="19">
        <v>0</v>
      </c>
      <c r="DW83" s="29">
        <v>0</v>
      </c>
      <c r="DX83" s="29">
        <v>0</v>
      </c>
      <c r="DY83" s="29">
        <v>0</v>
      </c>
      <c r="DZ83" s="29">
        <v>0</v>
      </c>
      <c r="EA83" s="29">
        <v>0</v>
      </c>
      <c r="EB83" s="29">
        <v>0</v>
      </c>
      <c r="EC83" s="29">
        <v>0</v>
      </c>
      <c r="ED83" s="29">
        <v>0</v>
      </c>
      <c r="EE83" s="29">
        <v>0</v>
      </c>
      <c r="EF83" s="29">
        <v>0</v>
      </c>
      <c r="EG83" s="29">
        <v>0</v>
      </c>
      <c r="EH83" s="29">
        <v>0</v>
      </c>
      <c r="EI83" s="29">
        <v>0</v>
      </c>
      <c r="EJ83" s="29">
        <v>0</v>
      </c>
      <c r="EK83" s="19">
        <v>0</v>
      </c>
      <c r="EL83" s="19"/>
      <c r="EM83" s="19"/>
      <c r="EN83" s="19"/>
      <c r="EO83" s="19"/>
    </row>
    <row r="84" spans="1:145">
      <c r="A84" t="s">
        <v>1392</v>
      </c>
      <c r="B84" t="s">
        <v>1470</v>
      </c>
      <c r="C84" t="s">
        <v>24</v>
      </c>
      <c r="D84" t="s">
        <v>1369</v>
      </c>
      <c r="E84">
        <v>0</v>
      </c>
      <c r="F84" t="s">
        <v>237</v>
      </c>
      <c r="G84" t="s">
        <v>163</v>
      </c>
      <c r="H84" t="s">
        <v>595</v>
      </c>
      <c r="I84">
        <v>355</v>
      </c>
      <c r="J84">
        <v>0</v>
      </c>
      <c r="K84" t="s">
        <v>635</v>
      </c>
      <c r="L84" t="s">
        <v>1393</v>
      </c>
      <c r="M84" t="s">
        <v>160</v>
      </c>
      <c r="N84" t="s">
        <v>1377</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Z84">
        <v>2968</v>
      </c>
      <c r="BA84">
        <v>1282</v>
      </c>
      <c r="BB84">
        <v>0</v>
      </c>
      <c r="BC84">
        <v>0.08</v>
      </c>
      <c r="BD84">
        <f t="shared" si="65"/>
        <v>0.51336373193449059</v>
      </c>
      <c r="BE84">
        <f t="shared" si="66"/>
        <v>0.48663626806550941</v>
      </c>
      <c r="BF84">
        <v>0</v>
      </c>
      <c r="BG84">
        <v>0</v>
      </c>
      <c r="BH84">
        <v>0</v>
      </c>
      <c r="BI84">
        <v>0</v>
      </c>
      <c r="BJ84">
        <v>0</v>
      </c>
      <c r="BK84">
        <v>0</v>
      </c>
      <c r="BL84" s="19">
        <v>0</v>
      </c>
      <c r="BM84" s="19">
        <v>0</v>
      </c>
      <c r="BN84" s="19">
        <v>0</v>
      </c>
      <c r="BO84" s="19">
        <v>63</v>
      </c>
      <c r="BP84" s="19">
        <v>145</v>
      </c>
      <c r="BQ84" s="19">
        <v>5.7</v>
      </c>
      <c r="BR84" s="19">
        <v>0</v>
      </c>
      <c r="BS84" s="19">
        <v>172</v>
      </c>
      <c r="BT84" s="19">
        <v>135</v>
      </c>
      <c r="BU84" s="19">
        <v>2.2999999999999998</v>
      </c>
      <c r="BV84" s="19">
        <v>0</v>
      </c>
      <c r="BW84" s="19">
        <v>1.87</v>
      </c>
      <c r="BX84" s="19">
        <v>57</v>
      </c>
      <c r="BY84" s="19">
        <v>1.56</v>
      </c>
      <c r="BZ84" s="19">
        <v>0.09</v>
      </c>
      <c r="CA84" s="19">
        <v>0</v>
      </c>
      <c r="CB84" s="19">
        <v>0.08</v>
      </c>
      <c r="CC84" s="19">
        <v>0.2</v>
      </c>
      <c r="CD84" s="19">
        <v>0</v>
      </c>
      <c r="CE84" s="19">
        <v>0</v>
      </c>
      <c r="CF84" s="19">
        <v>0</v>
      </c>
      <c r="CG84" s="19">
        <v>0</v>
      </c>
      <c r="CH84" s="19">
        <v>0</v>
      </c>
      <c r="CI84" s="19">
        <v>0.8</v>
      </c>
      <c r="CJ84" s="19">
        <v>6.1</v>
      </c>
      <c r="CK84" s="19">
        <v>2E-3</v>
      </c>
      <c r="CL84" s="19">
        <v>0.45</v>
      </c>
      <c r="CM84" s="19">
        <v>1.25</v>
      </c>
      <c r="CN84" s="19">
        <v>0</v>
      </c>
      <c r="CO84" s="19">
        <v>3.2000000000000001E-2</v>
      </c>
      <c r="CP84" s="19">
        <v>0</v>
      </c>
      <c r="CQ84" s="19">
        <v>0</v>
      </c>
      <c r="CR84" s="19">
        <v>0</v>
      </c>
      <c r="CS84" s="19">
        <v>4.0000000000000001E-3</v>
      </c>
      <c r="CT84" s="19">
        <v>13.1</v>
      </c>
      <c r="CU84" s="19">
        <v>0.19</v>
      </c>
      <c r="CV84" s="19">
        <v>1.04</v>
      </c>
      <c r="CW84" s="19">
        <v>1.51</v>
      </c>
      <c r="CX84" s="19">
        <v>0.16400000000000001</v>
      </c>
      <c r="CY84" s="19">
        <v>0.5</v>
      </c>
      <c r="CZ84" s="19">
        <v>5.3999999999999999E-2</v>
      </c>
      <c r="DA84" s="19">
        <v>4.0000000000000001E-3</v>
      </c>
      <c r="DB84" s="19">
        <v>2.4E-2</v>
      </c>
      <c r="DC84" s="19" t="s">
        <v>1366</v>
      </c>
      <c r="DD84" s="19">
        <v>7.0000000000000001E-3</v>
      </c>
      <c r="DE84" s="19" t="s">
        <v>1366</v>
      </c>
      <c r="DF84" s="19">
        <v>0</v>
      </c>
      <c r="DG84" s="19">
        <v>1.4E-2</v>
      </c>
      <c r="DH84" s="19" t="s">
        <v>1366</v>
      </c>
      <c r="DI84" s="19">
        <v>1.0999999999999999E-2</v>
      </c>
      <c r="DJ84" s="19">
        <v>5.7000000000000002E-2</v>
      </c>
      <c r="DK84" s="19">
        <v>0</v>
      </c>
      <c r="DL84" s="19">
        <v>7.0000000000000007E-2</v>
      </c>
      <c r="DM84" s="19">
        <v>0.13300000000000001</v>
      </c>
      <c r="DN84" s="19">
        <v>2.4E-2</v>
      </c>
      <c r="DO84" s="19">
        <v>0</v>
      </c>
      <c r="DP84" s="19">
        <v>0</v>
      </c>
      <c r="DQ84" s="19">
        <v>0</v>
      </c>
      <c r="DR84" s="19">
        <v>0</v>
      </c>
      <c r="DS84" s="19">
        <v>0</v>
      </c>
      <c r="DT84" s="19">
        <v>0</v>
      </c>
      <c r="DU84" s="19">
        <v>0</v>
      </c>
      <c r="DV84" s="19">
        <v>0</v>
      </c>
      <c r="DW84" s="29">
        <v>0</v>
      </c>
      <c r="DX84" s="29">
        <v>0</v>
      </c>
      <c r="DY84" s="29">
        <v>0</v>
      </c>
      <c r="DZ84" s="29">
        <v>0</v>
      </c>
      <c r="EA84" s="29">
        <v>0</v>
      </c>
      <c r="EB84" s="29">
        <v>0</v>
      </c>
      <c r="EC84" s="29">
        <v>0</v>
      </c>
      <c r="ED84" s="29">
        <v>0</v>
      </c>
      <c r="EE84" s="29">
        <v>0</v>
      </c>
      <c r="EF84" s="29">
        <v>0</v>
      </c>
      <c r="EG84" s="29">
        <v>0</v>
      </c>
      <c r="EH84" s="29">
        <v>0</v>
      </c>
      <c r="EI84" s="29">
        <v>0</v>
      </c>
      <c r="EJ84" s="29">
        <v>0</v>
      </c>
      <c r="EK84" s="19">
        <v>0</v>
      </c>
      <c r="EL84" s="19"/>
      <c r="EM84" s="19"/>
      <c r="EN84" s="19"/>
      <c r="EO84" s="19"/>
    </row>
    <row r="85" spans="1:145">
      <c r="A85" t="s">
        <v>1392</v>
      </c>
      <c r="B85" t="s">
        <v>1470</v>
      </c>
      <c r="C85" t="s">
        <v>24</v>
      </c>
      <c r="D85" t="s">
        <v>1369</v>
      </c>
      <c r="E85">
        <v>0</v>
      </c>
      <c r="F85" t="s">
        <v>237</v>
      </c>
      <c r="G85" t="s">
        <v>163</v>
      </c>
      <c r="H85" t="s">
        <v>595</v>
      </c>
      <c r="I85">
        <v>355</v>
      </c>
      <c r="J85">
        <v>0</v>
      </c>
      <c r="K85" t="s">
        <v>635</v>
      </c>
      <c r="L85" t="s">
        <v>1393</v>
      </c>
      <c r="M85" t="s">
        <v>1365</v>
      </c>
      <c r="N85" t="s">
        <v>1378</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Z85">
        <v>2652</v>
      </c>
      <c r="BA85">
        <v>665</v>
      </c>
      <c r="BB85">
        <v>0</v>
      </c>
      <c r="BC85">
        <v>0</v>
      </c>
      <c r="BD85">
        <f t="shared" si="65"/>
        <v>0.37981166608202455</v>
      </c>
      <c r="BE85">
        <f t="shared" si="66"/>
        <v>0.62018833391797545</v>
      </c>
      <c r="BF85">
        <v>0</v>
      </c>
      <c r="BG85">
        <v>0</v>
      </c>
      <c r="BH85">
        <v>0</v>
      </c>
      <c r="BI85">
        <v>0</v>
      </c>
      <c r="BJ85">
        <v>0</v>
      </c>
      <c r="BK85">
        <v>0</v>
      </c>
      <c r="BL85" s="19">
        <v>0</v>
      </c>
      <c r="BM85" s="19">
        <v>0</v>
      </c>
      <c r="BN85" s="19">
        <v>0</v>
      </c>
      <c r="BO85" s="19">
        <v>72</v>
      </c>
      <c r="BP85" s="19">
        <v>217</v>
      </c>
      <c r="BQ85" s="19">
        <v>9.1</v>
      </c>
      <c r="BR85" s="19">
        <v>0</v>
      </c>
      <c r="BS85" s="19">
        <v>290</v>
      </c>
      <c r="BT85" s="19">
        <v>99</v>
      </c>
      <c r="BU85" s="19">
        <v>1.3</v>
      </c>
      <c r="BV85" s="19">
        <v>0</v>
      </c>
      <c r="BW85" s="19">
        <v>2.65</v>
      </c>
      <c r="BX85" s="19">
        <v>74</v>
      </c>
      <c r="BY85" s="19">
        <v>1.91</v>
      </c>
      <c r="BZ85" s="19">
        <v>0</v>
      </c>
      <c r="CA85" s="19">
        <v>0</v>
      </c>
      <c r="CB85" s="19">
        <v>0.11</v>
      </c>
      <c r="CC85" s="19">
        <v>0.32</v>
      </c>
      <c r="CD85" s="19">
        <v>0</v>
      </c>
      <c r="CE85" s="19">
        <v>0</v>
      </c>
      <c r="CF85" s="19">
        <v>0</v>
      </c>
      <c r="CG85" s="19">
        <v>0</v>
      </c>
      <c r="CH85" s="19">
        <v>0</v>
      </c>
      <c r="CI85" s="19">
        <v>1.61</v>
      </c>
      <c r="CJ85" s="19">
        <v>11.3</v>
      </c>
      <c r="CK85" s="19">
        <v>2E-3</v>
      </c>
      <c r="CL85" s="19">
        <v>0.22</v>
      </c>
      <c r="CM85" s="19">
        <v>1.89</v>
      </c>
      <c r="CN85" s="19">
        <v>0</v>
      </c>
      <c r="CO85" s="19">
        <v>0</v>
      </c>
      <c r="CP85" s="19">
        <v>0</v>
      </c>
      <c r="CQ85" s="19">
        <v>0</v>
      </c>
      <c r="CR85" s="19">
        <v>0</v>
      </c>
      <c r="CS85" s="19">
        <v>5.0000000000000001E-3</v>
      </c>
      <c r="CT85" s="19">
        <v>21.8</v>
      </c>
      <c r="CU85" s="19">
        <v>0.31</v>
      </c>
      <c r="CV85" s="19">
        <v>1.67</v>
      </c>
      <c r="CW85" s="19">
        <v>2.56</v>
      </c>
      <c r="CX85" s="19">
        <v>0.317</v>
      </c>
      <c r="CY85" s="19">
        <v>1.1200000000000001</v>
      </c>
      <c r="CZ85" s="19">
        <v>0.13700000000000001</v>
      </c>
      <c r="DA85" s="19">
        <v>6.0000000000000001E-3</v>
      </c>
      <c r="DB85" s="19" t="s">
        <v>1366</v>
      </c>
      <c r="DC85" s="19" t="s">
        <v>1366</v>
      </c>
      <c r="DD85" s="19" t="s">
        <v>1366</v>
      </c>
      <c r="DE85" s="19" t="s">
        <v>1366</v>
      </c>
      <c r="DF85" s="19">
        <v>0</v>
      </c>
      <c r="DG85" s="19" t="s">
        <v>1366</v>
      </c>
      <c r="DH85" s="19" t="s">
        <v>1366</v>
      </c>
      <c r="DI85" s="19">
        <v>1.7999999999999999E-2</v>
      </c>
      <c r="DJ85" s="19">
        <v>9.7000000000000003E-2</v>
      </c>
      <c r="DK85" s="19">
        <v>0</v>
      </c>
      <c r="DL85" s="19">
        <v>0.122</v>
      </c>
      <c r="DM85" s="19">
        <v>0.19800000000000001</v>
      </c>
      <c r="DN85" s="19">
        <v>3.9E-2</v>
      </c>
      <c r="DO85" s="19">
        <v>0</v>
      </c>
      <c r="DP85" s="19">
        <v>0</v>
      </c>
      <c r="DQ85" s="19">
        <v>0</v>
      </c>
      <c r="DR85" s="19">
        <v>0</v>
      </c>
      <c r="DS85" s="19">
        <v>0</v>
      </c>
      <c r="DT85" s="19">
        <v>0</v>
      </c>
      <c r="DU85" s="19">
        <v>0</v>
      </c>
      <c r="DV85" s="19">
        <v>0</v>
      </c>
      <c r="DW85" s="29">
        <v>0</v>
      </c>
      <c r="DX85" s="29">
        <v>0</v>
      </c>
      <c r="DY85" s="29">
        <v>0</v>
      </c>
      <c r="DZ85" s="29">
        <v>0</v>
      </c>
      <c r="EA85" s="29">
        <v>0</v>
      </c>
      <c r="EB85" s="29">
        <v>0</v>
      </c>
      <c r="EC85" s="29">
        <v>0</v>
      </c>
      <c r="ED85" s="29">
        <v>0</v>
      </c>
      <c r="EE85" s="29">
        <v>0</v>
      </c>
      <c r="EF85" s="29">
        <v>0</v>
      </c>
      <c r="EG85" s="29">
        <v>0</v>
      </c>
      <c r="EH85" s="29">
        <v>0</v>
      </c>
      <c r="EI85" s="29">
        <v>0</v>
      </c>
      <c r="EJ85" s="29">
        <v>0</v>
      </c>
      <c r="EK85" s="19">
        <v>0</v>
      </c>
      <c r="EL85" s="19"/>
      <c r="EM85" s="19"/>
      <c r="EN85" s="19"/>
      <c r="EO85" s="19"/>
    </row>
    <row r="86" spans="1:145">
      <c r="A86" t="s">
        <v>1392</v>
      </c>
      <c r="B86" t="s">
        <v>1470</v>
      </c>
      <c r="C86" t="s">
        <v>24</v>
      </c>
      <c r="D86" t="s">
        <v>1369</v>
      </c>
      <c r="E86">
        <v>0</v>
      </c>
      <c r="F86" t="s">
        <v>237</v>
      </c>
      <c r="G86" t="s">
        <v>163</v>
      </c>
      <c r="H86" t="s">
        <v>595</v>
      </c>
      <c r="I86">
        <v>355</v>
      </c>
      <c r="J86">
        <v>0</v>
      </c>
      <c r="K86" t="s">
        <v>635</v>
      </c>
      <c r="L86" t="s">
        <v>1393</v>
      </c>
      <c r="M86" t="s">
        <v>160</v>
      </c>
      <c r="N86" t="s">
        <v>1379</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Z86">
        <v>3633</v>
      </c>
      <c r="BA86">
        <v>939</v>
      </c>
      <c r="BB86">
        <v>0</v>
      </c>
      <c r="BC86">
        <v>0.08</v>
      </c>
      <c r="BD86">
        <f t="shared" si="65"/>
        <v>0.3869706593327874</v>
      </c>
      <c r="BE86">
        <f t="shared" si="66"/>
        <v>0.61302934066721271</v>
      </c>
      <c r="BF86">
        <v>0</v>
      </c>
      <c r="BG86">
        <v>0</v>
      </c>
      <c r="BH86">
        <v>0</v>
      </c>
      <c r="BI86">
        <v>0</v>
      </c>
      <c r="BJ86">
        <v>0</v>
      </c>
      <c r="BK86">
        <v>0</v>
      </c>
      <c r="BL86" s="19">
        <v>0</v>
      </c>
      <c r="BM86" s="19">
        <v>0</v>
      </c>
      <c r="BN86" s="19">
        <v>0</v>
      </c>
      <c r="BO86" s="19">
        <v>59</v>
      </c>
      <c r="BP86" s="19">
        <v>116</v>
      </c>
      <c r="BQ86" s="19">
        <v>3.3</v>
      </c>
      <c r="BR86" s="19">
        <v>0</v>
      </c>
      <c r="BS86" s="19">
        <v>156</v>
      </c>
      <c r="BT86" s="19">
        <v>117</v>
      </c>
      <c r="BU86" s="19">
        <v>1.7</v>
      </c>
      <c r="BV86" s="19">
        <v>0</v>
      </c>
      <c r="BW86" s="19">
        <v>1.47</v>
      </c>
      <c r="BX86" s="19">
        <v>38</v>
      </c>
      <c r="BY86" s="19">
        <v>1.38</v>
      </c>
      <c r="BZ86" s="19">
        <v>0.1</v>
      </c>
      <c r="CA86" s="19">
        <v>0</v>
      </c>
      <c r="CB86" s="19">
        <v>0.06</v>
      </c>
      <c r="CC86" s="19">
        <v>0.26</v>
      </c>
      <c r="CD86" s="19">
        <v>0</v>
      </c>
      <c r="CE86" s="19">
        <v>0</v>
      </c>
      <c r="CF86" s="19">
        <v>0</v>
      </c>
      <c r="CG86" s="19">
        <v>0</v>
      </c>
      <c r="CH86" s="19">
        <v>0</v>
      </c>
      <c r="CI86" s="19">
        <v>0.54</v>
      </c>
      <c r="CJ86" s="19">
        <v>4.2</v>
      </c>
      <c r="CK86" s="19">
        <v>3.0000000000000001E-3</v>
      </c>
      <c r="CL86" s="19">
        <v>0.18</v>
      </c>
      <c r="CM86" s="19">
        <v>1.4</v>
      </c>
      <c r="CN86" s="19">
        <v>0</v>
      </c>
      <c r="CO86" s="19" t="s">
        <v>1366</v>
      </c>
      <c r="CP86" s="19">
        <v>0</v>
      </c>
      <c r="CQ86" s="19">
        <v>0</v>
      </c>
      <c r="CR86" s="19">
        <v>0</v>
      </c>
      <c r="CS86" s="19">
        <v>0.01</v>
      </c>
      <c r="CT86" s="19">
        <v>17.2</v>
      </c>
      <c r="CU86" s="19">
        <v>0.14000000000000001</v>
      </c>
      <c r="CV86" s="19">
        <v>0.99</v>
      </c>
      <c r="CW86" s="19">
        <v>1.36</v>
      </c>
      <c r="CX86" s="19">
        <v>0.125</v>
      </c>
      <c r="CY86" s="19">
        <v>0.47</v>
      </c>
      <c r="CZ86" s="19">
        <v>2.3E-2</v>
      </c>
      <c r="DA86" s="19" t="s">
        <v>1366</v>
      </c>
      <c r="DB86" s="19">
        <v>1.0999999999999999E-2</v>
      </c>
      <c r="DC86" s="19" t="s">
        <v>1366</v>
      </c>
      <c r="DD86" s="19" t="s">
        <v>1366</v>
      </c>
      <c r="DE86" s="19" t="s">
        <v>1366</v>
      </c>
      <c r="DF86" s="19">
        <v>0</v>
      </c>
      <c r="DG86" s="19" t="s">
        <v>1366</v>
      </c>
      <c r="DH86" s="19" t="s">
        <v>1366</v>
      </c>
      <c r="DI86" s="19" t="s">
        <v>1366</v>
      </c>
      <c r="DJ86" s="19">
        <v>5.8000000000000003E-2</v>
      </c>
      <c r="DK86" s="19">
        <v>0</v>
      </c>
      <c r="DL86" s="19">
        <v>0.108</v>
      </c>
      <c r="DM86" s="19">
        <v>0.13600000000000001</v>
      </c>
      <c r="DN86" s="19">
        <v>2.8000000000000001E-2</v>
      </c>
      <c r="DO86" s="19">
        <v>0</v>
      </c>
      <c r="DP86" s="19">
        <v>0</v>
      </c>
      <c r="DQ86" s="19">
        <v>0</v>
      </c>
      <c r="DR86" s="19">
        <v>0</v>
      </c>
      <c r="DS86" s="19">
        <v>0</v>
      </c>
      <c r="DT86" s="19">
        <v>0</v>
      </c>
      <c r="DU86" s="19">
        <v>0</v>
      </c>
      <c r="DV86" s="19">
        <v>0</v>
      </c>
      <c r="DW86" s="29">
        <v>0</v>
      </c>
      <c r="DX86" s="29">
        <v>0</v>
      </c>
      <c r="DY86" s="29">
        <v>0</v>
      </c>
      <c r="DZ86" s="29">
        <v>0</v>
      </c>
      <c r="EA86" s="29">
        <v>0</v>
      </c>
      <c r="EB86" s="29">
        <v>0</v>
      </c>
      <c r="EC86" s="29">
        <v>0</v>
      </c>
      <c r="ED86" s="29">
        <v>0</v>
      </c>
      <c r="EE86" s="29">
        <v>0</v>
      </c>
      <c r="EF86" s="29">
        <v>0</v>
      </c>
      <c r="EG86" s="29">
        <v>0</v>
      </c>
      <c r="EH86" s="29">
        <v>0</v>
      </c>
      <c r="EI86" s="29">
        <v>0</v>
      </c>
      <c r="EJ86" s="29">
        <v>0</v>
      </c>
      <c r="EK86" s="19">
        <v>0</v>
      </c>
      <c r="EL86" s="19"/>
      <c r="EM86" s="19"/>
      <c r="EN86" s="19"/>
      <c r="EO86" s="19"/>
    </row>
    <row r="87" spans="1:145">
      <c r="A87" t="s">
        <v>1392</v>
      </c>
      <c r="B87" t="s">
        <v>1470</v>
      </c>
      <c r="C87" t="s">
        <v>24</v>
      </c>
      <c r="D87" t="s">
        <v>1369</v>
      </c>
      <c r="E87">
        <v>0</v>
      </c>
      <c r="F87" t="s">
        <v>237</v>
      </c>
      <c r="G87" t="s">
        <v>163</v>
      </c>
      <c r="H87" t="s">
        <v>595</v>
      </c>
      <c r="I87">
        <v>355</v>
      </c>
      <c r="J87">
        <v>0</v>
      </c>
      <c r="K87" t="s">
        <v>635</v>
      </c>
      <c r="L87" t="s">
        <v>1393</v>
      </c>
      <c r="M87" t="s">
        <v>1365</v>
      </c>
      <c r="N87" t="s">
        <v>1380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Z87">
        <v>4436</v>
      </c>
      <c r="BA87">
        <v>1244</v>
      </c>
      <c r="BB87">
        <v>0</v>
      </c>
      <c r="BC87">
        <v>0.08</v>
      </c>
      <c r="BD87">
        <f t="shared" si="65"/>
        <v>0.40649199956402032</v>
      </c>
      <c r="BE87">
        <f t="shared" si="66"/>
        <v>0.59350800043597973</v>
      </c>
      <c r="BF87">
        <v>0</v>
      </c>
      <c r="BG87">
        <v>0</v>
      </c>
      <c r="BH87">
        <v>0</v>
      </c>
      <c r="BI87">
        <v>0</v>
      </c>
      <c r="BJ87">
        <v>0</v>
      </c>
      <c r="BK87">
        <v>0</v>
      </c>
      <c r="BL87" s="19">
        <v>0</v>
      </c>
      <c r="BM87" s="19">
        <v>0</v>
      </c>
      <c r="BN87" s="19">
        <v>0</v>
      </c>
      <c r="BO87" s="19">
        <v>132</v>
      </c>
      <c r="BP87" s="19">
        <v>306</v>
      </c>
      <c r="BQ87" s="19">
        <v>8.1999999999999993</v>
      </c>
      <c r="BR87" s="19">
        <v>0</v>
      </c>
      <c r="BS87" s="19">
        <v>342</v>
      </c>
      <c r="BT87" s="19">
        <v>239</v>
      </c>
      <c r="BU87" s="19">
        <v>8.6</v>
      </c>
      <c r="BV87" s="19">
        <v>0</v>
      </c>
      <c r="BW87" s="19">
        <v>3.79</v>
      </c>
      <c r="BX87" s="19">
        <v>99</v>
      </c>
      <c r="BY87" s="19">
        <v>1.48</v>
      </c>
      <c r="BZ87" s="19">
        <v>0.39</v>
      </c>
      <c r="CA87" s="19">
        <v>0</v>
      </c>
      <c r="CB87" s="19">
        <v>0.12</v>
      </c>
      <c r="CC87" s="19">
        <v>0.46</v>
      </c>
      <c r="CD87" s="19">
        <v>0</v>
      </c>
      <c r="CE87" s="19">
        <v>0</v>
      </c>
      <c r="CF87" s="19">
        <v>0</v>
      </c>
      <c r="CG87" s="19">
        <v>0</v>
      </c>
      <c r="CH87" s="19">
        <v>0</v>
      </c>
      <c r="CI87" s="19">
        <v>1.7</v>
      </c>
      <c r="CJ87" s="19">
        <v>13.7</v>
      </c>
      <c r="CK87" s="19">
        <v>1.6E-2</v>
      </c>
      <c r="CL87" s="19">
        <v>0.79</v>
      </c>
      <c r="CM87" s="19">
        <v>2.62</v>
      </c>
      <c r="CN87" s="19">
        <v>0</v>
      </c>
      <c r="CO87" s="19">
        <v>3.7999999999999999E-2</v>
      </c>
      <c r="CP87" s="19">
        <v>0</v>
      </c>
      <c r="CQ87" s="19">
        <v>0</v>
      </c>
      <c r="CR87" s="19">
        <v>0</v>
      </c>
      <c r="CS87" s="19">
        <v>2.3E-2</v>
      </c>
      <c r="CT87" s="19">
        <v>28</v>
      </c>
      <c r="CU87" s="19">
        <v>0.31</v>
      </c>
      <c r="CV87" s="19">
        <v>2.2599999999999998</v>
      </c>
      <c r="CW87" s="19">
        <v>3.23</v>
      </c>
      <c r="CX87" s="19">
        <v>0.35099999999999998</v>
      </c>
      <c r="CY87" s="19">
        <v>1.29</v>
      </c>
      <c r="CZ87" s="19">
        <v>0.104</v>
      </c>
      <c r="DA87" s="19">
        <v>2.1999999999999999E-2</v>
      </c>
      <c r="DB87" s="19">
        <v>3.9E-2</v>
      </c>
      <c r="DC87" s="19">
        <v>1.2E-2</v>
      </c>
      <c r="DD87" s="19" t="s">
        <v>1366</v>
      </c>
      <c r="DE87" s="19" t="s">
        <v>1366</v>
      </c>
      <c r="DF87" s="19">
        <v>0</v>
      </c>
      <c r="DG87" s="19" t="s">
        <v>1366</v>
      </c>
      <c r="DH87" s="19">
        <v>2E-3</v>
      </c>
      <c r="DI87" s="19">
        <v>1.0999999999999999E-2</v>
      </c>
      <c r="DJ87" s="19">
        <v>0.108</v>
      </c>
      <c r="DK87" s="19">
        <v>0</v>
      </c>
      <c r="DL87" s="19">
        <v>0.13800000000000001</v>
      </c>
      <c r="DM87" s="19">
        <v>0.253</v>
      </c>
      <c r="DN87" s="19">
        <v>4.5999999999999999E-2</v>
      </c>
      <c r="DO87" s="19">
        <v>0</v>
      </c>
      <c r="DP87" s="19">
        <v>0</v>
      </c>
      <c r="DQ87" s="19">
        <v>0</v>
      </c>
      <c r="DR87" s="19">
        <v>0</v>
      </c>
      <c r="DS87" s="19">
        <v>0</v>
      </c>
      <c r="DT87" s="19">
        <v>0</v>
      </c>
      <c r="DU87" s="19">
        <v>0</v>
      </c>
      <c r="DV87" s="19">
        <v>0</v>
      </c>
      <c r="DW87" s="29">
        <v>0</v>
      </c>
      <c r="DX87" s="29">
        <v>0</v>
      </c>
      <c r="DY87" s="29">
        <v>0</v>
      </c>
      <c r="DZ87" s="29">
        <v>0</v>
      </c>
      <c r="EA87" s="29">
        <v>0</v>
      </c>
      <c r="EB87" s="29">
        <v>0</v>
      </c>
      <c r="EC87" s="29">
        <v>0</v>
      </c>
      <c r="ED87" s="29">
        <v>0</v>
      </c>
      <c r="EE87" s="29">
        <v>0</v>
      </c>
      <c r="EF87" s="29">
        <v>0</v>
      </c>
      <c r="EG87" s="29">
        <v>0</v>
      </c>
      <c r="EH87" s="29">
        <v>0</v>
      </c>
      <c r="EI87" s="29">
        <v>0</v>
      </c>
      <c r="EJ87" s="29">
        <v>0</v>
      </c>
      <c r="EK87" s="19">
        <v>0</v>
      </c>
      <c r="EL87" s="19"/>
      <c r="EM87" s="19"/>
      <c r="EN87" s="19"/>
      <c r="EO87" s="19"/>
    </row>
    <row r="88" spans="1:145">
      <c r="A88" t="s">
        <v>1392</v>
      </c>
      <c r="B88" t="s">
        <v>1470</v>
      </c>
      <c r="C88" t="s">
        <v>24</v>
      </c>
      <c r="D88" t="s">
        <v>1369</v>
      </c>
      <c r="E88">
        <v>0</v>
      </c>
      <c r="F88" t="s">
        <v>237</v>
      </c>
      <c r="G88" t="s">
        <v>163</v>
      </c>
      <c r="H88" t="s">
        <v>595</v>
      </c>
      <c r="I88">
        <v>355</v>
      </c>
      <c r="J88">
        <v>0</v>
      </c>
      <c r="K88" t="s">
        <v>635</v>
      </c>
      <c r="L88" t="s">
        <v>1393</v>
      </c>
      <c r="M88" t="s">
        <v>160</v>
      </c>
      <c r="N88" t="s">
        <v>1380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Z88">
        <v>4231</v>
      </c>
      <c r="BA88">
        <v>1295</v>
      </c>
      <c r="BB88">
        <v>0</v>
      </c>
      <c r="BC88">
        <v>0.09</v>
      </c>
      <c r="BD88">
        <f t="shared" si="65"/>
        <v>0.42776076989050305</v>
      </c>
      <c r="BE88">
        <f t="shared" si="66"/>
        <v>0.57223923010949707</v>
      </c>
      <c r="BF88">
        <v>0</v>
      </c>
      <c r="BG88">
        <v>0</v>
      </c>
      <c r="BH88">
        <v>0</v>
      </c>
      <c r="BI88">
        <v>0</v>
      </c>
      <c r="BJ88">
        <v>0</v>
      </c>
      <c r="BK88">
        <v>0</v>
      </c>
      <c r="BL88" s="19">
        <v>0</v>
      </c>
      <c r="BM88" s="19">
        <v>0</v>
      </c>
      <c r="BN88" s="19">
        <v>0</v>
      </c>
      <c r="BO88" s="19">
        <v>119</v>
      </c>
      <c r="BP88" s="19">
        <v>316</v>
      </c>
      <c r="BQ88" s="19">
        <v>7.9</v>
      </c>
      <c r="BR88" s="19">
        <v>0</v>
      </c>
      <c r="BS88" s="19">
        <v>315</v>
      </c>
      <c r="BT88" s="19">
        <v>243</v>
      </c>
      <c r="BU88" s="19">
        <v>10.7</v>
      </c>
      <c r="BV88" s="19">
        <v>0</v>
      </c>
      <c r="BW88" s="19">
        <v>3.47</v>
      </c>
      <c r="BX88" s="19">
        <v>97</v>
      </c>
      <c r="BY88" s="19">
        <v>1.52</v>
      </c>
      <c r="BZ88" s="19">
        <v>0.35</v>
      </c>
      <c r="CA88" s="19">
        <v>0</v>
      </c>
      <c r="CB88" s="19">
        <v>0.11</v>
      </c>
      <c r="CC88" s="19">
        <v>0.39</v>
      </c>
      <c r="CD88" s="19">
        <v>0</v>
      </c>
      <c r="CE88" s="19">
        <v>0</v>
      </c>
      <c r="CF88" s="19">
        <v>0</v>
      </c>
      <c r="CG88" s="19">
        <v>0</v>
      </c>
      <c r="CH88" s="19">
        <v>0</v>
      </c>
      <c r="CI88" s="19">
        <v>1.67</v>
      </c>
      <c r="CJ88" s="19">
        <v>12.1</v>
      </c>
      <c r="CK88" s="19">
        <v>1.4E-2</v>
      </c>
      <c r="CL88" s="19">
        <v>0.76</v>
      </c>
      <c r="CM88" s="19">
        <v>2.29</v>
      </c>
      <c r="CN88" s="19">
        <v>0</v>
      </c>
      <c r="CO88" s="19">
        <v>0.03</v>
      </c>
      <c r="CP88" s="19">
        <v>0</v>
      </c>
      <c r="CQ88" s="19">
        <v>0</v>
      </c>
      <c r="CR88" s="19">
        <v>0</v>
      </c>
      <c r="CS88" s="19">
        <v>1.9E-2</v>
      </c>
      <c r="CT88" s="19">
        <v>24.5</v>
      </c>
      <c r="CU88" s="19">
        <v>0.32</v>
      </c>
      <c r="CV88" s="19">
        <v>1.98</v>
      </c>
      <c r="CW88" s="19">
        <v>2.87</v>
      </c>
      <c r="CX88" s="19">
        <v>0.315</v>
      </c>
      <c r="CY88" s="19">
        <v>1.25</v>
      </c>
      <c r="CZ88" s="19">
        <v>7.1999999999999995E-2</v>
      </c>
      <c r="DA88" s="19">
        <v>1.4E-2</v>
      </c>
      <c r="DB88" s="19">
        <v>5.1999999999999998E-2</v>
      </c>
      <c r="DC88" s="19" t="s">
        <v>1366</v>
      </c>
      <c r="DD88" s="19" t="s">
        <v>1366</v>
      </c>
      <c r="DE88" s="19" t="s">
        <v>1366</v>
      </c>
      <c r="DF88" s="19">
        <v>0</v>
      </c>
      <c r="DG88" s="19" t="s">
        <v>1366</v>
      </c>
      <c r="DH88" s="19" t="s">
        <v>1366</v>
      </c>
      <c r="DI88" s="19">
        <v>1.0999999999999999E-2</v>
      </c>
      <c r="DJ88" s="19">
        <v>9.8000000000000004E-2</v>
      </c>
      <c r="DK88" s="19">
        <v>0</v>
      </c>
      <c r="DL88" s="19">
        <v>0.122</v>
      </c>
      <c r="DM88" s="19">
        <v>0.20799999999999999</v>
      </c>
      <c r="DN88" s="19">
        <v>3.7999999999999999E-2</v>
      </c>
      <c r="DO88" s="19">
        <v>0</v>
      </c>
      <c r="DP88" s="19">
        <v>0</v>
      </c>
      <c r="DQ88" s="19">
        <v>0</v>
      </c>
      <c r="DR88" s="19">
        <v>0</v>
      </c>
      <c r="DS88" s="19">
        <v>0</v>
      </c>
      <c r="DT88" s="19">
        <v>0</v>
      </c>
      <c r="DU88" s="19">
        <v>0</v>
      </c>
      <c r="DV88" s="19">
        <v>0</v>
      </c>
      <c r="DW88" s="29">
        <v>0</v>
      </c>
      <c r="DX88" s="29">
        <v>0</v>
      </c>
      <c r="DY88" s="29">
        <v>0</v>
      </c>
      <c r="DZ88" s="29">
        <v>0</v>
      </c>
      <c r="EA88" s="29">
        <v>0</v>
      </c>
      <c r="EB88" s="29">
        <v>0</v>
      </c>
      <c r="EC88" s="29">
        <v>0</v>
      </c>
      <c r="ED88" s="29">
        <v>0</v>
      </c>
      <c r="EE88" s="29">
        <v>0</v>
      </c>
      <c r="EF88" s="29">
        <v>0</v>
      </c>
      <c r="EG88" s="29">
        <v>0</v>
      </c>
      <c r="EH88" s="29">
        <v>0</v>
      </c>
      <c r="EI88" s="29">
        <v>0</v>
      </c>
      <c r="EJ88" s="29">
        <v>0</v>
      </c>
      <c r="EK88" s="19">
        <v>0</v>
      </c>
      <c r="EL88" s="19"/>
      <c r="EM88" s="19"/>
      <c r="EN88" s="19"/>
      <c r="EO88" s="19"/>
    </row>
    <row r="89" spans="1:145">
      <c r="A89" t="s">
        <v>1392</v>
      </c>
      <c r="B89" t="s">
        <v>1470</v>
      </c>
      <c r="C89" t="s">
        <v>24</v>
      </c>
      <c r="D89" t="s">
        <v>1369</v>
      </c>
      <c r="E89">
        <v>0</v>
      </c>
      <c r="F89" t="s">
        <v>237</v>
      </c>
      <c r="G89" t="s">
        <v>163</v>
      </c>
      <c r="H89" t="s">
        <v>595</v>
      </c>
      <c r="I89">
        <v>355</v>
      </c>
      <c r="J89">
        <v>0</v>
      </c>
      <c r="K89" t="s">
        <v>635</v>
      </c>
      <c r="L89" t="s">
        <v>1393</v>
      </c>
      <c r="M89" t="s">
        <v>1365</v>
      </c>
      <c r="N89" t="s">
        <v>1381</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Z89">
        <v>4788</v>
      </c>
      <c r="BA89">
        <v>1205</v>
      </c>
      <c r="BB89">
        <v>0</v>
      </c>
      <c r="BC89">
        <v>7.0000000000000007E-2</v>
      </c>
      <c r="BD89">
        <f t="shared" si="65"/>
        <v>0.38067160278801915</v>
      </c>
      <c r="BE89">
        <f t="shared" si="66"/>
        <v>0.61932839721198074</v>
      </c>
      <c r="BF89">
        <v>0</v>
      </c>
      <c r="BG89">
        <v>0</v>
      </c>
      <c r="BH89">
        <v>0</v>
      </c>
      <c r="BI89">
        <v>0</v>
      </c>
      <c r="BJ89">
        <v>0</v>
      </c>
      <c r="BK89">
        <v>0</v>
      </c>
      <c r="BL89" s="19">
        <v>0</v>
      </c>
      <c r="BM89" s="19">
        <v>0</v>
      </c>
      <c r="BN89" s="19">
        <v>0</v>
      </c>
      <c r="BO89" s="19">
        <v>127</v>
      </c>
      <c r="BP89" s="19">
        <v>285</v>
      </c>
      <c r="BQ89" s="19">
        <v>8.6</v>
      </c>
      <c r="BR89" s="19">
        <v>0</v>
      </c>
      <c r="BS89" s="19">
        <v>351</v>
      </c>
      <c r="BT89" s="19">
        <v>198</v>
      </c>
      <c r="BU89" s="19">
        <v>1.5</v>
      </c>
      <c r="BV89" s="19">
        <v>0</v>
      </c>
      <c r="BW89" s="19">
        <v>3.47</v>
      </c>
      <c r="BX89" s="19">
        <v>105</v>
      </c>
      <c r="BY89" s="19">
        <v>1.83</v>
      </c>
      <c r="BZ89" s="19">
        <v>0.27</v>
      </c>
      <c r="CA89" s="19">
        <v>0</v>
      </c>
      <c r="CB89" s="19">
        <v>0.19</v>
      </c>
      <c r="CC89" s="19">
        <v>0.75</v>
      </c>
      <c r="CD89" s="19">
        <v>0</v>
      </c>
      <c r="CE89" s="19">
        <v>0</v>
      </c>
      <c r="CF89" s="19">
        <v>0</v>
      </c>
      <c r="CG89" s="19">
        <v>0</v>
      </c>
      <c r="CH89" s="19">
        <v>0</v>
      </c>
      <c r="CI89" s="19">
        <v>1.1200000000000001</v>
      </c>
      <c r="CJ89" s="19">
        <v>22.6</v>
      </c>
      <c r="CK89" s="19">
        <v>5.0000000000000001E-3</v>
      </c>
      <c r="CL89" s="19">
        <v>0.83</v>
      </c>
      <c r="CM89" s="19">
        <v>4.43</v>
      </c>
      <c r="CN89" s="19">
        <v>0</v>
      </c>
      <c r="CO89" s="19">
        <v>0.104</v>
      </c>
      <c r="CP89" s="19">
        <v>0</v>
      </c>
      <c r="CQ89" s="19">
        <v>0</v>
      </c>
      <c r="CR89" s="19">
        <v>0</v>
      </c>
      <c r="CS89" s="19">
        <v>2.1999999999999999E-2</v>
      </c>
      <c r="CT89" s="19">
        <v>48.2</v>
      </c>
      <c r="CU89" s="19">
        <v>0.44</v>
      </c>
      <c r="CV89" s="19">
        <v>3.68</v>
      </c>
      <c r="CW89" s="19">
        <v>5.0199999999999996</v>
      </c>
      <c r="CX89" s="19">
        <v>0.54100000000000004</v>
      </c>
      <c r="CY89" s="19">
        <v>1.59</v>
      </c>
      <c r="CZ89" s="19">
        <v>0.13500000000000001</v>
      </c>
      <c r="DA89" s="19">
        <v>2.5999999999999999E-2</v>
      </c>
      <c r="DB89" s="19">
        <v>4.7E-2</v>
      </c>
      <c r="DC89" s="19" t="s">
        <v>1366</v>
      </c>
      <c r="DD89" s="19" t="s">
        <v>1366</v>
      </c>
      <c r="DE89" s="19" t="s">
        <v>1366</v>
      </c>
      <c r="DF89" s="19">
        <v>0</v>
      </c>
      <c r="DG89" s="19" t="s">
        <v>1366</v>
      </c>
      <c r="DH89" s="19" t="s">
        <v>1366</v>
      </c>
      <c r="DI89" s="19">
        <v>1.4E-2</v>
      </c>
      <c r="DJ89" s="19">
        <v>0.17</v>
      </c>
      <c r="DK89" s="19">
        <v>0</v>
      </c>
      <c r="DL89" s="19">
        <v>0.20399999999999999</v>
      </c>
      <c r="DM89" s="19">
        <v>0.374</v>
      </c>
      <c r="DN89" s="19">
        <v>7.1999999999999995E-2</v>
      </c>
      <c r="DO89" s="19">
        <v>0</v>
      </c>
      <c r="DP89" s="19">
        <v>0</v>
      </c>
      <c r="DQ89" s="19">
        <v>0</v>
      </c>
      <c r="DR89" s="19">
        <v>0</v>
      </c>
      <c r="DS89" s="19">
        <v>0</v>
      </c>
      <c r="DT89" s="19">
        <v>0</v>
      </c>
      <c r="DU89" s="19">
        <v>0</v>
      </c>
      <c r="DV89" s="19">
        <v>0</v>
      </c>
      <c r="DW89" s="29">
        <v>0</v>
      </c>
      <c r="DX89" s="29">
        <v>0</v>
      </c>
      <c r="DY89" s="29">
        <v>0</v>
      </c>
      <c r="DZ89" s="29">
        <v>0</v>
      </c>
      <c r="EA89" s="29">
        <v>0</v>
      </c>
      <c r="EB89" s="29">
        <v>0</v>
      </c>
      <c r="EC89" s="29">
        <v>0</v>
      </c>
      <c r="ED89" s="29">
        <v>0</v>
      </c>
      <c r="EE89" s="29">
        <v>0</v>
      </c>
      <c r="EF89" s="29">
        <v>0</v>
      </c>
      <c r="EG89" s="29">
        <v>0</v>
      </c>
      <c r="EH89" s="29">
        <v>0</v>
      </c>
      <c r="EI89" s="29">
        <v>0</v>
      </c>
      <c r="EJ89" s="29">
        <v>0</v>
      </c>
      <c r="EK89" s="19">
        <v>0</v>
      </c>
      <c r="EL89" s="19"/>
      <c r="EM89" s="19"/>
      <c r="EN89" s="19"/>
      <c r="EO89" s="19"/>
    </row>
    <row r="90" spans="1:145">
      <c r="A90" t="s">
        <v>1392</v>
      </c>
      <c r="B90" t="s">
        <v>1470</v>
      </c>
      <c r="C90" t="s">
        <v>24</v>
      </c>
      <c r="D90" t="s">
        <v>1369</v>
      </c>
      <c r="E90">
        <v>0</v>
      </c>
      <c r="F90" t="s">
        <v>237</v>
      </c>
      <c r="G90" t="s">
        <v>163</v>
      </c>
      <c r="H90" t="s">
        <v>595</v>
      </c>
      <c r="I90">
        <v>355</v>
      </c>
      <c r="J90">
        <v>0</v>
      </c>
      <c r="K90" t="s">
        <v>635</v>
      </c>
      <c r="L90" t="s">
        <v>1393</v>
      </c>
      <c r="M90" t="s">
        <v>1365</v>
      </c>
      <c r="N90" t="s">
        <v>1382</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Z90">
        <v>2058</v>
      </c>
      <c r="BA90">
        <v>512.79999999999995</v>
      </c>
      <c r="BB90">
        <v>0</v>
      </c>
      <c r="BC90">
        <v>7.0000000000000007E-2</v>
      </c>
      <c r="BD90">
        <f t="shared" si="65"/>
        <v>0.37832369500338353</v>
      </c>
      <c r="BE90">
        <f t="shared" si="66"/>
        <v>0.62167630499661641</v>
      </c>
      <c r="BF90">
        <v>0</v>
      </c>
      <c r="BG90">
        <v>0</v>
      </c>
      <c r="BH90">
        <v>0</v>
      </c>
      <c r="BI90">
        <v>0</v>
      </c>
      <c r="BJ90">
        <v>0</v>
      </c>
      <c r="BK90">
        <v>0</v>
      </c>
      <c r="BL90" s="19">
        <v>0</v>
      </c>
      <c r="BM90" s="19">
        <v>0</v>
      </c>
      <c r="BN90" s="19">
        <v>0</v>
      </c>
      <c r="BO90" s="19">
        <v>40</v>
      </c>
      <c r="BP90" s="19">
        <v>106</v>
      </c>
      <c r="BQ90" s="19">
        <v>3.3</v>
      </c>
      <c r="BR90" s="19">
        <v>0</v>
      </c>
      <c r="BS90" s="19">
        <v>100</v>
      </c>
      <c r="BT90" s="19">
        <v>112</v>
      </c>
      <c r="BU90" s="19">
        <v>4.5999999999999996</v>
      </c>
      <c r="BV90" s="19">
        <v>0</v>
      </c>
      <c r="BW90" s="19">
        <v>1.34</v>
      </c>
      <c r="BX90" s="19">
        <v>33</v>
      </c>
      <c r="BY90" s="19">
        <v>1.39</v>
      </c>
      <c r="BZ90" s="19">
        <v>0.09</v>
      </c>
      <c r="CA90" s="19">
        <v>0</v>
      </c>
      <c r="CB90" s="19">
        <v>0.05</v>
      </c>
      <c r="CC90" s="19">
        <v>0.14000000000000001</v>
      </c>
      <c r="CD90" s="19">
        <v>0</v>
      </c>
      <c r="CE90" s="19">
        <v>0</v>
      </c>
      <c r="CF90" s="19">
        <v>0</v>
      </c>
      <c r="CG90" s="19">
        <v>0</v>
      </c>
      <c r="CH90" s="19">
        <v>0</v>
      </c>
      <c r="CI90" s="19">
        <v>0.46</v>
      </c>
      <c r="CJ90" s="19">
        <v>4</v>
      </c>
      <c r="CK90" s="19">
        <v>1.6E-2</v>
      </c>
      <c r="CL90" s="19">
        <v>0.37</v>
      </c>
      <c r="CM90" s="19">
        <v>0.85</v>
      </c>
      <c r="CN90" s="19">
        <v>0</v>
      </c>
      <c r="CO90" s="19">
        <v>1.4E-2</v>
      </c>
      <c r="CP90" s="19">
        <v>0</v>
      </c>
      <c r="CQ90" s="19">
        <v>0</v>
      </c>
      <c r="CR90" s="19">
        <v>0</v>
      </c>
      <c r="CS90" s="19">
        <v>7.0000000000000001E-3</v>
      </c>
      <c r="CT90" s="19">
        <v>9</v>
      </c>
      <c r="CU90" s="19">
        <v>0.1</v>
      </c>
      <c r="CV90" s="19">
        <v>0.69</v>
      </c>
      <c r="CW90" s="19">
        <v>0.98</v>
      </c>
      <c r="CX90" s="19">
        <v>9.6000000000000002E-2</v>
      </c>
      <c r="CY90" s="19">
        <v>0.28000000000000003</v>
      </c>
      <c r="CZ90" s="19">
        <v>4.8000000000000001E-2</v>
      </c>
      <c r="DA90" s="19">
        <v>7.0000000000000001E-3</v>
      </c>
      <c r="DB90" s="19" t="s">
        <v>1366</v>
      </c>
      <c r="DC90" s="19" t="s">
        <v>1366</v>
      </c>
      <c r="DD90" s="19">
        <v>3.0000000000000001E-3</v>
      </c>
      <c r="DE90" s="19" t="s">
        <v>1366</v>
      </c>
      <c r="DF90" s="19">
        <v>0</v>
      </c>
      <c r="DG90" s="19" t="s">
        <v>1366</v>
      </c>
      <c r="DH90" s="19" t="s">
        <v>1366</v>
      </c>
      <c r="DI90" s="19" t="s">
        <v>1366</v>
      </c>
      <c r="DJ90" s="19">
        <v>4.2000000000000003E-2</v>
      </c>
      <c r="DK90" s="19">
        <v>0</v>
      </c>
      <c r="DL90" s="19">
        <v>4.4999999999999998E-2</v>
      </c>
      <c r="DM90" s="19">
        <v>8.4000000000000005E-2</v>
      </c>
      <c r="DN90" s="19">
        <v>1.4999999999999999E-2</v>
      </c>
      <c r="DO90" s="19">
        <v>0</v>
      </c>
      <c r="DP90" s="19">
        <v>0</v>
      </c>
      <c r="DQ90" s="19">
        <v>0</v>
      </c>
      <c r="DR90" s="19">
        <v>0</v>
      </c>
      <c r="DS90" s="19">
        <v>0</v>
      </c>
      <c r="DT90" s="19">
        <v>0</v>
      </c>
      <c r="DU90" s="19">
        <v>0</v>
      </c>
      <c r="DV90" s="19">
        <v>0</v>
      </c>
      <c r="DW90" s="29">
        <v>0</v>
      </c>
      <c r="DX90" s="29">
        <v>0</v>
      </c>
      <c r="DY90" s="29">
        <v>0</v>
      </c>
      <c r="DZ90" s="29">
        <v>0</v>
      </c>
      <c r="EA90" s="29">
        <v>0</v>
      </c>
      <c r="EB90" s="29">
        <v>0</v>
      </c>
      <c r="EC90" s="29">
        <v>0</v>
      </c>
      <c r="ED90" s="29">
        <v>0</v>
      </c>
      <c r="EE90" s="29">
        <v>0</v>
      </c>
      <c r="EF90" s="29">
        <v>0</v>
      </c>
      <c r="EG90" s="29">
        <v>0</v>
      </c>
      <c r="EH90" s="29">
        <v>0</v>
      </c>
      <c r="EI90" s="29">
        <v>0</v>
      </c>
      <c r="EJ90" s="29">
        <v>0</v>
      </c>
      <c r="EK90" s="19">
        <v>0</v>
      </c>
      <c r="EL90" s="19"/>
      <c r="EM90" s="19"/>
      <c r="EN90" s="19"/>
      <c r="EO90" s="19"/>
    </row>
    <row r="91" spans="1:145">
      <c r="A91" t="s">
        <v>1392</v>
      </c>
      <c r="B91" t="s">
        <v>1470</v>
      </c>
      <c r="C91" t="s">
        <v>24</v>
      </c>
      <c r="D91" t="s">
        <v>1369</v>
      </c>
      <c r="E91">
        <v>0</v>
      </c>
      <c r="F91" t="s">
        <v>237</v>
      </c>
      <c r="G91" t="s">
        <v>163</v>
      </c>
      <c r="H91" t="s">
        <v>595</v>
      </c>
      <c r="I91">
        <v>355</v>
      </c>
      <c r="J91">
        <v>0</v>
      </c>
      <c r="K91" t="s">
        <v>635</v>
      </c>
      <c r="L91" t="s">
        <v>1393</v>
      </c>
      <c r="M91" t="s">
        <v>1365</v>
      </c>
      <c r="N91" t="s">
        <v>1383</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Z91">
        <v>6519</v>
      </c>
      <c r="BA91">
        <v>1423</v>
      </c>
      <c r="BB91">
        <v>0</v>
      </c>
      <c r="BC91">
        <v>7.0000000000000007E-2</v>
      </c>
      <c r="BD91">
        <f t="shared" si="65"/>
        <v>0.34773300027135134</v>
      </c>
      <c r="BE91">
        <f t="shared" si="66"/>
        <v>0.65226699972864866</v>
      </c>
      <c r="BF91">
        <v>0</v>
      </c>
      <c r="BG91">
        <v>0</v>
      </c>
      <c r="BH91">
        <v>0</v>
      </c>
      <c r="BI91">
        <v>0</v>
      </c>
      <c r="BJ91">
        <v>0</v>
      </c>
      <c r="BK91">
        <v>0</v>
      </c>
      <c r="BL91" s="19">
        <v>0</v>
      </c>
      <c r="BM91" s="19">
        <v>0</v>
      </c>
      <c r="BN91" s="19">
        <v>0</v>
      </c>
      <c r="BO91" s="19">
        <v>137</v>
      </c>
      <c r="BP91" s="19">
        <v>412</v>
      </c>
      <c r="BQ91" s="19">
        <v>11.7</v>
      </c>
      <c r="BR91" s="19">
        <v>0</v>
      </c>
      <c r="BS91" s="19">
        <v>410</v>
      </c>
      <c r="BT91" s="19">
        <v>352</v>
      </c>
      <c r="BU91" s="19">
        <v>13.4</v>
      </c>
      <c r="BV91" s="19">
        <v>0</v>
      </c>
      <c r="BW91" s="19">
        <v>4.53</v>
      </c>
      <c r="BX91" s="19">
        <v>132</v>
      </c>
      <c r="BY91" s="19">
        <v>1.58</v>
      </c>
      <c r="BZ91" s="19">
        <v>0.42</v>
      </c>
      <c r="CA91" s="19">
        <v>0</v>
      </c>
      <c r="CB91" s="19">
        <v>0.15</v>
      </c>
      <c r="CC91" s="19">
        <v>0.59</v>
      </c>
      <c r="CD91" s="19">
        <v>0</v>
      </c>
      <c r="CE91" s="19">
        <v>0</v>
      </c>
      <c r="CF91" s="19">
        <v>0</v>
      </c>
      <c r="CG91" s="19">
        <v>0</v>
      </c>
      <c r="CH91" s="19">
        <v>0</v>
      </c>
      <c r="CI91" s="19">
        <v>1.53</v>
      </c>
      <c r="CJ91" s="19">
        <v>13.8</v>
      </c>
      <c r="CK91" s="19">
        <v>3.1E-2</v>
      </c>
      <c r="CL91" s="19">
        <v>0.91</v>
      </c>
      <c r="CM91" s="19">
        <v>3.47</v>
      </c>
      <c r="CN91" s="19">
        <v>0</v>
      </c>
      <c r="CO91" s="19">
        <v>0.60799999999999998</v>
      </c>
      <c r="CP91" s="19">
        <v>0</v>
      </c>
      <c r="CQ91" s="19">
        <v>0</v>
      </c>
      <c r="CR91" s="19">
        <v>0</v>
      </c>
      <c r="CS91" s="19">
        <v>1.7000000000000001E-2</v>
      </c>
      <c r="CT91" s="19">
        <v>38.1</v>
      </c>
      <c r="CU91" s="19">
        <v>0.38</v>
      </c>
      <c r="CV91" s="19">
        <v>2.75</v>
      </c>
      <c r="CW91" s="19">
        <v>3.63</v>
      </c>
      <c r="CX91" s="19">
        <v>0.36799999999999999</v>
      </c>
      <c r="CY91" s="19">
        <v>1.1499999999999999</v>
      </c>
      <c r="CZ91" s="19">
        <v>6.7000000000000004E-2</v>
      </c>
      <c r="DA91" s="19">
        <v>2.5000000000000001E-2</v>
      </c>
      <c r="DB91" s="19">
        <v>4.2000000000000003E-2</v>
      </c>
      <c r="DC91" s="19">
        <v>1.6E-2</v>
      </c>
      <c r="DD91" s="19" t="s">
        <v>1366</v>
      </c>
      <c r="DE91" s="19" t="s">
        <v>1366</v>
      </c>
      <c r="DF91" s="19">
        <v>0</v>
      </c>
      <c r="DG91" s="19" t="s">
        <v>1366</v>
      </c>
      <c r="DH91" s="19" t="s">
        <v>1366</v>
      </c>
      <c r="DI91" s="19">
        <v>1.7000000000000001E-2</v>
      </c>
      <c r="DJ91" s="19">
        <v>0.161</v>
      </c>
      <c r="DK91" s="19">
        <v>0</v>
      </c>
      <c r="DL91" s="19">
        <v>0.17</v>
      </c>
      <c r="DM91" s="19">
        <v>0.32700000000000001</v>
      </c>
      <c r="DN91" s="19">
        <v>5.7000000000000002E-2</v>
      </c>
      <c r="DO91" s="19">
        <v>0</v>
      </c>
      <c r="DP91" s="19">
        <v>0</v>
      </c>
      <c r="DQ91" s="19">
        <v>0</v>
      </c>
      <c r="DR91" s="19">
        <v>0</v>
      </c>
      <c r="DS91" s="19">
        <v>0</v>
      </c>
      <c r="DT91" s="19">
        <v>0</v>
      </c>
      <c r="DU91" s="19">
        <v>0</v>
      </c>
      <c r="DV91" s="19">
        <v>0</v>
      </c>
      <c r="DW91" s="29">
        <v>0</v>
      </c>
      <c r="DX91" s="29">
        <v>0</v>
      </c>
      <c r="DY91" s="29">
        <v>0</v>
      </c>
      <c r="DZ91" s="29">
        <v>0</v>
      </c>
      <c r="EA91" s="29">
        <v>0</v>
      </c>
      <c r="EB91" s="29">
        <v>0</v>
      </c>
      <c r="EC91" s="29">
        <v>0</v>
      </c>
      <c r="ED91" s="29">
        <v>0</v>
      </c>
      <c r="EE91" s="29">
        <v>0</v>
      </c>
      <c r="EF91" s="29">
        <v>0</v>
      </c>
      <c r="EG91" s="29">
        <v>0</v>
      </c>
      <c r="EH91" s="29">
        <v>0</v>
      </c>
      <c r="EI91" s="29">
        <v>0</v>
      </c>
      <c r="EJ91" s="29">
        <v>0</v>
      </c>
      <c r="EK91" s="19">
        <v>0</v>
      </c>
      <c r="EL91" s="19"/>
      <c r="EM91" s="19"/>
      <c r="EN91" s="19"/>
      <c r="EO91" s="19"/>
    </row>
    <row r="92" spans="1:145">
      <c r="A92" t="s">
        <v>1392</v>
      </c>
      <c r="B92" t="s">
        <v>1470</v>
      </c>
      <c r="C92" t="s">
        <v>24</v>
      </c>
      <c r="D92" t="s">
        <v>1369</v>
      </c>
      <c r="E92">
        <v>0</v>
      </c>
      <c r="F92" t="s">
        <v>237</v>
      </c>
      <c r="G92" t="s">
        <v>163</v>
      </c>
      <c r="H92" t="s">
        <v>595</v>
      </c>
      <c r="I92">
        <v>355</v>
      </c>
      <c r="J92">
        <v>0</v>
      </c>
      <c r="K92" t="s">
        <v>635</v>
      </c>
      <c r="L92" t="s">
        <v>1393</v>
      </c>
      <c r="M92" t="s">
        <v>1365</v>
      </c>
      <c r="N92" t="s">
        <v>1384</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Z92">
        <v>2359</v>
      </c>
      <c r="BA92">
        <v>570</v>
      </c>
      <c r="BB92">
        <v>0</v>
      </c>
      <c r="BC92">
        <v>7.0000000000000007E-2</v>
      </c>
      <c r="BD92">
        <f t="shared" si="65"/>
        <v>0.37111834505808727</v>
      </c>
      <c r="BE92">
        <f t="shared" si="66"/>
        <v>0.62888165494191284</v>
      </c>
      <c r="BF92">
        <v>0</v>
      </c>
      <c r="BG92">
        <v>0</v>
      </c>
      <c r="BH92">
        <v>0</v>
      </c>
      <c r="BI92">
        <v>0</v>
      </c>
      <c r="BJ92">
        <v>0</v>
      </c>
      <c r="BK92">
        <v>0</v>
      </c>
      <c r="BL92" s="19">
        <v>0</v>
      </c>
      <c r="BM92" s="19">
        <v>0</v>
      </c>
      <c r="BN92" s="19">
        <v>0</v>
      </c>
      <c r="BO92" s="19">
        <v>17</v>
      </c>
      <c r="BP92" s="19">
        <v>47</v>
      </c>
      <c r="BQ92" s="19">
        <v>1.7</v>
      </c>
      <c r="BR92" s="19">
        <v>0</v>
      </c>
      <c r="BS92" s="19">
        <v>61</v>
      </c>
      <c r="BT92" s="19">
        <v>63</v>
      </c>
      <c r="BU92" s="19">
        <v>1.5</v>
      </c>
      <c r="BV92" s="19">
        <v>0</v>
      </c>
      <c r="BW92" s="19">
        <v>0.64</v>
      </c>
      <c r="BX92" s="19">
        <v>18</v>
      </c>
      <c r="BY92" s="19">
        <v>2.67</v>
      </c>
      <c r="BZ92" s="19">
        <v>0.09</v>
      </c>
      <c r="CA92" s="19">
        <v>0</v>
      </c>
      <c r="CB92" s="19">
        <v>0.06</v>
      </c>
      <c r="CC92" s="19">
        <v>0.09</v>
      </c>
      <c r="CD92" s="19">
        <v>0</v>
      </c>
      <c r="CE92" s="19">
        <v>0</v>
      </c>
      <c r="CF92" s="19">
        <v>0</v>
      </c>
      <c r="CG92" s="19">
        <v>0</v>
      </c>
      <c r="CH92" s="19">
        <v>0</v>
      </c>
      <c r="CI92" s="19">
        <v>0.2</v>
      </c>
      <c r="CJ92" s="19">
        <v>2.2999999999999998</v>
      </c>
      <c r="CK92" s="19">
        <v>7.0000000000000001E-3</v>
      </c>
      <c r="CL92" s="19">
        <v>0.15</v>
      </c>
      <c r="CM92" s="19">
        <v>0.56000000000000005</v>
      </c>
      <c r="CN92" s="19">
        <v>0</v>
      </c>
      <c r="CO92" s="19">
        <v>1.7999999999999999E-2</v>
      </c>
      <c r="CP92" s="19">
        <v>0</v>
      </c>
      <c r="CQ92" s="19">
        <v>0</v>
      </c>
      <c r="CR92" s="19">
        <v>0</v>
      </c>
      <c r="CS92" s="19">
        <v>6.0000000000000001E-3</v>
      </c>
      <c r="CT92" s="19">
        <v>6.6</v>
      </c>
      <c r="CU92" s="19">
        <v>0.05</v>
      </c>
      <c r="CV92" s="19">
        <v>0.45</v>
      </c>
      <c r="CW92" s="19">
        <v>0.59</v>
      </c>
      <c r="CX92" s="19">
        <v>6.4000000000000001E-2</v>
      </c>
      <c r="CY92" s="19">
        <v>0.24</v>
      </c>
      <c r="CZ92" s="19">
        <v>2.7E-2</v>
      </c>
      <c r="DA92" s="19" t="s">
        <v>1366</v>
      </c>
      <c r="DB92" s="19">
        <v>2.1999999999999999E-2</v>
      </c>
      <c r="DC92" s="19">
        <v>3.0000000000000001E-3</v>
      </c>
      <c r="DD92" s="19">
        <v>2E-3</v>
      </c>
      <c r="DE92" s="19" t="s">
        <v>1366</v>
      </c>
      <c r="DF92" s="19">
        <v>0</v>
      </c>
      <c r="DG92" s="19" t="s">
        <v>1366</v>
      </c>
      <c r="DH92" s="19">
        <v>2E-3</v>
      </c>
      <c r="DI92" s="19">
        <v>0.01</v>
      </c>
      <c r="DJ92" s="19">
        <v>2.5000000000000001E-2</v>
      </c>
      <c r="DK92" s="19">
        <v>0</v>
      </c>
      <c r="DL92" s="19">
        <v>4.2999999999999997E-2</v>
      </c>
      <c r="DM92" s="19">
        <v>5.2999999999999999E-2</v>
      </c>
      <c r="DN92" s="19">
        <v>8.9999999999999993E-3</v>
      </c>
      <c r="DO92" s="19">
        <v>0</v>
      </c>
      <c r="DP92" s="19">
        <v>0</v>
      </c>
      <c r="DQ92" s="19">
        <v>0</v>
      </c>
      <c r="DR92" s="19">
        <v>0</v>
      </c>
      <c r="DS92" s="19">
        <v>0</v>
      </c>
      <c r="DT92" s="19">
        <v>0</v>
      </c>
      <c r="DU92" s="19">
        <v>0</v>
      </c>
      <c r="DV92" s="19">
        <v>0</v>
      </c>
      <c r="DW92" s="29">
        <v>0</v>
      </c>
      <c r="DX92" s="29">
        <v>0</v>
      </c>
      <c r="DY92" s="29">
        <v>0</v>
      </c>
      <c r="DZ92" s="29">
        <v>0</v>
      </c>
      <c r="EA92" s="29">
        <v>0</v>
      </c>
      <c r="EB92" s="29">
        <v>0</v>
      </c>
      <c r="EC92" s="29">
        <v>0</v>
      </c>
      <c r="ED92" s="29">
        <v>0</v>
      </c>
      <c r="EE92" s="29">
        <v>0</v>
      </c>
      <c r="EF92" s="29">
        <v>0</v>
      </c>
      <c r="EG92" s="29">
        <v>0</v>
      </c>
      <c r="EH92" s="29">
        <v>0</v>
      </c>
      <c r="EI92" s="29">
        <v>0</v>
      </c>
      <c r="EJ92" s="29">
        <v>0</v>
      </c>
      <c r="EK92" s="19">
        <v>0</v>
      </c>
      <c r="EL92" s="19"/>
      <c r="EM92" s="19"/>
      <c r="EN92" s="19"/>
      <c r="EO92" s="19"/>
    </row>
    <row r="93" spans="1:145">
      <c r="A93" t="s">
        <v>1392</v>
      </c>
      <c r="B93" t="s">
        <v>1470</v>
      </c>
      <c r="C93" t="s">
        <v>24</v>
      </c>
      <c r="D93" t="s">
        <v>1369</v>
      </c>
      <c r="E93">
        <v>0</v>
      </c>
      <c r="F93" t="s">
        <v>237</v>
      </c>
      <c r="G93" t="s">
        <v>163</v>
      </c>
      <c r="H93" t="s">
        <v>595</v>
      </c>
      <c r="I93">
        <v>355</v>
      </c>
      <c r="J93">
        <v>0</v>
      </c>
      <c r="K93" t="s">
        <v>635</v>
      </c>
      <c r="L93" t="s">
        <v>1393</v>
      </c>
      <c r="M93" t="s">
        <v>160</v>
      </c>
      <c r="N93" t="s">
        <v>1384</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Z93">
        <v>448</v>
      </c>
      <c r="BA93">
        <v>244</v>
      </c>
      <c r="BB93">
        <v>0</v>
      </c>
      <c r="BC93">
        <v>0.14000000000000001</v>
      </c>
      <c r="BD93">
        <f t="shared" si="65"/>
        <v>0.57084746483515314</v>
      </c>
      <c r="BE93">
        <f t="shared" si="66"/>
        <v>0.42915253516484692</v>
      </c>
      <c r="BF93">
        <v>0</v>
      </c>
      <c r="BG93">
        <v>0</v>
      </c>
      <c r="BH93">
        <v>0</v>
      </c>
      <c r="BI93">
        <v>0</v>
      </c>
      <c r="BJ93">
        <v>0</v>
      </c>
      <c r="BK93">
        <v>0</v>
      </c>
      <c r="BL93" s="19">
        <v>0</v>
      </c>
      <c r="BM93" s="19">
        <v>0</v>
      </c>
      <c r="BN93" s="19">
        <v>0</v>
      </c>
      <c r="BO93" s="19">
        <v>27</v>
      </c>
      <c r="BP93" s="19">
        <v>59</v>
      </c>
      <c r="BQ93" s="19">
        <v>2.1</v>
      </c>
      <c r="BR93" s="19">
        <v>0</v>
      </c>
      <c r="BS93" s="19">
        <v>89</v>
      </c>
      <c r="BT93" s="19">
        <v>75</v>
      </c>
      <c r="BU93" s="19">
        <v>1.1000000000000001</v>
      </c>
      <c r="BV93" s="19">
        <v>0</v>
      </c>
      <c r="BW93" s="19">
        <v>0.85</v>
      </c>
      <c r="BX93" s="19">
        <v>27</v>
      </c>
      <c r="BY93" s="19">
        <v>1.72</v>
      </c>
      <c r="BZ93" s="19">
        <v>0.11</v>
      </c>
      <c r="CA93" s="19">
        <v>0</v>
      </c>
      <c r="CB93" s="19">
        <v>0.05</v>
      </c>
      <c r="CC93" s="19">
        <v>0.23</v>
      </c>
      <c r="CD93" s="19">
        <v>0</v>
      </c>
      <c r="CE93" s="19">
        <v>0</v>
      </c>
      <c r="CF93" s="19">
        <v>0</v>
      </c>
      <c r="CG93" s="19">
        <v>0</v>
      </c>
      <c r="CH93" s="19">
        <v>0</v>
      </c>
      <c r="CI93" s="19">
        <v>0.23</v>
      </c>
      <c r="CJ93" s="19">
        <v>4.5</v>
      </c>
      <c r="CK93" s="19">
        <v>7.0000000000000001E-3</v>
      </c>
      <c r="CL93" s="19">
        <v>0.24</v>
      </c>
      <c r="CM93" s="19">
        <v>1.1599999999999999</v>
      </c>
      <c r="CN93" s="19">
        <v>0</v>
      </c>
      <c r="CO93" s="19">
        <v>6.2E-2</v>
      </c>
      <c r="CP93" s="19">
        <v>0</v>
      </c>
      <c r="CQ93" s="19">
        <v>0</v>
      </c>
      <c r="CR93" s="19">
        <v>0</v>
      </c>
      <c r="CS93" s="19">
        <v>5.0000000000000001E-3</v>
      </c>
      <c r="CT93" s="19">
        <v>13.9</v>
      </c>
      <c r="CU93" s="19">
        <v>0.08</v>
      </c>
      <c r="CV93" s="19">
        <v>0.99</v>
      </c>
      <c r="CW93" s="19">
        <v>1.27</v>
      </c>
      <c r="CX93" s="19">
        <v>0.13700000000000001</v>
      </c>
      <c r="CY93" s="19">
        <v>0.49</v>
      </c>
      <c r="CZ93" s="19">
        <v>1.2999999999999999E-2</v>
      </c>
      <c r="DA93" s="19" t="s">
        <v>1366</v>
      </c>
      <c r="DB93" s="19" t="s">
        <v>1366</v>
      </c>
      <c r="DC93" s="19" t="s">
        <v>1366</v>
      </c>
      <c r="DD93" s="19">
        <v>1E-3</v>
      </c>
      <c r="DE93" s="19" t="s">
        <v>1366</v>
      </c>
      <c r="DF93" s="19">
        <v>0</v>
      </c>
      <c r="DG93" s="19" t="s">
        <v>1366</v>
      </c>
      <c r="DH93" s="19">
        <v>1E-3</v>
      </c>
      <c r="DI93" s="19">
        <v>1.6E-2</v>
      </c>
      <c r="DJ93" s="19">
        <v>4.4999999999999998E-2</v>
      </c>
      <c r="DK93" s="19">
        <v>0</v>
      </c>
      <c r="DL93" s="19">
        <v>6.2E-2</v>
      </c>
      <c r="DM93" s="19">
        <v>0.123</v>
      </c>
      <c r="DN93" s="19">
        <v>2.1999999999999999E-2</v>
      </c>
      <c r="DO93" s="19">
        <v>0</v>
      </c>
      <c r="DP93" s="19">
        <v>0</v>
      </c>
      <c r="DQ93" s="19">
        <v>0</v>
      </c>
      <c r="DR93" s="19">
        <v>0</v>
      </c>
      <c r="DS93" s="19">
        <v>0</v>
      </c>
      <c r="DT93" s="19">
        <v>0</v>
      </c>
      <c r="DU93" s="19">
        <v>0</v>
      </c>
      <c r="DV93" s="19">
        <v>0</v>
      </c>
      <c r="DW93" s="29">
        <v>0</v>
      </c>
      <c r="DX93" s="29">
        <v>0</v>
      </c>
      <c r="DY93" s="29">
        <v>0</v>
      </c>
      <c r="DZ93" s="29">
        <v>0</v>
      </c>
      <c r="EA93" s="29">
        <v>0</v>
      </c>
      <c r="EB93" s="29">
        <v>0</v>
      </c>
      <c r="EC93" s="29">
        <v>0</v>
      </c>
      <c r="ED93" s="29">
        <v>0</v>
      </c>
      <c r="EE93" s="29">
        <v>0</v>
      </c>
      <c r="EF93" s="29">
        <v>0</v>
      </c>
      <c r="EG93" s="29">
        <v>0</v>
      </c>
      <c r="EH93" s="29">
        <v>0</v>
      </c>
      <c r="EI93" s="29">
        <v>0</v>
      </c>
      <c r="EJ93" s="29">
        <v>0</v>
      </c>
      <c r="EK93" s="19">
        <v>0</v>
      </c>
      <c r="EL93" s="19"/>
      <c r="EM93" s="19"/>
      <c r="EN93" s="19"/>
      <c r="EO93" s="19"/>
    </row>
    <row r="94" spans="1:145">
      <c r="A94" t="s">
        <v>1392</v>
      </c>
      <c r="B94" t="s">
        <v>1470</v>
      </c>
      <c r="C94" t="s">
        <v>24</v>
      </c>
      <c r="D94" t="s">
        <v>1369</v>
      </c>
      <c r="E94">
        <v>0</v>
      </c>
      <c r="F94" t="s">
        <v>237</v>
      </c>
      <c r="G94" t="s">
        <v>163</v>
      </c>
      <c r="H94" t="s">
        <v>595</v>
      </c>
      <c r="I94">
        <v>355</v>
      </c>
      <c r="J94">
        <v>0</v>
      </c>
      <c r="K94" t="s">
        <v>635</v>
      </c>
      <c r="L94" t="s">
        <v>1393</v>
      </c>
      <c r="M94" t="s">
        <v>1365</v>
      </c>
      <c r="N94" t="s">
        <v>1385</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Z94">
        <v>4295</v>
      </c>
      <c r="BA94">
        <v>820</v>
      </c>
      <c r="BB94">
        <v>0</v>
      </c>
      <c r="BC94">
        <v>0.06</v>
      </c>
      <c r="BD94">
        <f t="shared" si="65"/>
        <v>0.31800225758498324</v>
      </c>
      <c r="BE94">
        <f t="shared" si="66"/>
        <v>0.68199774241501676</v>
      </c>
      <c r="BF94">
        <v>0</v>
      </c>
      <c r="BG94">
        <v>0</v>
      </c>
      <c r="BH94">
        <v>0</v>
      </c>
      <c r="BI94">
        <v>0</v>
      </c>
      <c r="BJ94">
        <v>0</v>
      </c>
      <c r="BK94">
        <v>0</v>
      </c>
      <c r="BL94" s="19">
        <v>0</v>
      </c>
      <c r="BM94" s="19">
        <v>0</v>
      </c>
      <c r="BN94" s="19">
        <v>0</v>
      </c>
      <c r="BO94" s="19">
        <v>27</v>
      </c>
      <c r="BP94" s="19">
        <v>77</v>
      </c>
      <c r="BQ94" s="19">
        <v>2.6</v>
      </c>
      <c r="BR94" s="19">
        <v>0</v>
      </c>
      <c r="BS94" s="19">
        <v>84</v>
      </c>
      <c r="BT94" s="19">
        <v>86</v>
      </c>
      <c r="BU94" s="19">
        <v>3.2</v>
      </c>
      <c r="BV94" s="19">
        <v>0</v>
      </c>
      <c r="BW94" s="19">
        <v>1</v>
      </c>
      <c r="BX94" s="19">
        <v>25</v>
      </c>
      <c r="BY94" s="19">
        <v>1.71</v>
      </c>
      <c r="BZ94" s="19" t="s">
        <v>1366</v>
      </c>
      <c r="CA94" s="19">
        <v>0</v>
      </c>
      <c r="CB94" s="19">
        <v>0.03</v>
      </c>
      <c r="CC94" s="19">
        <v>0.14000000000000001</v>
      </c>
      <c r="CD94" s="19">
        <v>0</v>
      </c>
      <c r="CE94" s="19">
        <v>0</v>
      </c>
      <c r="CF94" s="19">
        <v>0</v>
      </c>
      <c r="CG94" s="19">
        <v>0</v>
      </c>
      <c r="CH94" s="19">
        <v>0</v>
      </c>
      <c r="CI94" s="19">
        <v>0.38</v>
      </c>
      <c r="CJ94" s="19">
        <v>3.1</v>
      </c>
      <c r="CK94" s="19">
        <v>8.0000000000000002E-3</v>
      </c>
      <c r="CL94" s="19">
        <v>0.21</v>
      </c>
      <c r="CM94" s="19">
        <v>0.68</v>
      </c>
      <c r="CN94" s="19">
        <v>0</v>
      </c>
      <c r="CO94" s="19">
        <v>2.1000000000000001E-2</v>
      </c>
      <c r="CP94" s="19">
        <v>0</v>
      </c>
      <c r="CQ94" s="19">
        <v>0</v>
      </c>
      <c r="CR94" s="19">
        <v>0</v>
      </c>
      <c r="CS94" s="19">
        <v>6.0000000000000001E-3</v>
      </c>
      <c r="CT94" s="19">
        <v>7.3</v>
      </c>
      <c r="CU94" s="19">
        <v>0.08</v>
      </c>
      <c r="CV94" s="19">
        <v>0.57999999999999996</v>
      </c>
      <c r="CW94" s="19">
        <v>0.79</v>
      </c>
      <c r="CX94" s="19">
        <v>8.2000000000000003E-2</v>
      </c>
      <c r="CY94" s="19">
        <v>0.28999999999999998</v>
      </c>
      <c r="CZ94" s="19">
        <v>4.1000000000000002E-2</v>
      </c>
      <c r="DA94" s="19">
        <v>5.0000000000000001E-3</v>
      </c>
      <c r="DB94" s="19">
        <v>1.7999999999999999E-2</v>
      </c>
      <c r="DC94" s="19">
        <v>8.0000000000000002E-3</v>
      </c>
      <c r="DD94" s="19">
        <v>2E-3</v>
      </c>
      <c r="DE94" s="19" t="s">
        <v>1366</v>
      </c>
      <c r="DF94" s="19">
        <v>0</v>
      </c>
      <c r="DG94" s="19" t="s">
        <v>1366</v>
      </c>
      <c r="DH94" s="19" t="s">
        <v>1366</v>
      </c>
      <c r="DI94" s="19">
        <v>8.0000000000000002E-3</v>
      </c>
      <c r="DJ94" s="19">
        <v>2.8000000000000001E-2</v>
      </c>
      <c r="DK94" s="19">
        <v>0</v>
      </c>
      <c r="DL94" s="19">
        <v>0.03</v>
      </c>
      <c r="DM94" s="19">
        <v>7.2999999999999995E-2</v>
      </c>
      <c r="DN94" s="19">
        <v>8.9999999999999993E-3</v>
      </c>
      <c r="DO94" s="19">
        <v>0</v>
      </c>
      <c r="DP94" s="19">
        <v>0</v>
      </c>
      <c r="DQ94" s="19">
        <v>0</v>
      </c>
      <c r="DR94" s="19">
        <v>0</v>
      </c>
      <c r="DS94" s="19">
        <v>0</v>
      </c>
      <c r="DT94" s="19">
        <v>0</v>
      </c>
      <c r="DU94" s="19">
        <v>0</v>
      </c>
      <c r="DV94" s="19">
        <v>0</v>
      </c>
      <c r="DW94" s="29">
        <v>0</v>
      </c>
      <c r="DX94" s="29">
        <v>0</v>
      </c>
      <c r="DY94" s="29">
        <v>0</v>
      </c>
      <c r="DZ94" s="29">
        <v>0</v>
      </c>
      <c r="EA94" s="29">
        <v>0</v>
      </c>
      <c r="EB94" s="29">
        <v>0</v>
      </c>
      <c r="EC94" s="29">
        <v>0</v>
      </c>
      <c r="ED94" s="29">
        <v>0</v>
      </c>
      <c r="EE94" s="29">
        <v>0</v>
      </c>
      <c r="EF94" s="29">
        <v>0</v>
      </c>
      <c r="EG94" s="29">
        <v>0</v>
      </c>
      <c r="EH94" s="29">
        <v>0</v>
      </c>
      <c r="EI94" s="29">
        <v>0</v>
      </c>
      <c r="EJ94" s="29">
        <v>0</v>
      </c>
      <c r="EK94" s="19">
        <v>0</v>
      </c>
      <c r="EL94" s="19"/>
      <c r="EM94" s="19"/>
      <c r="EN94" s="19"/>
      <c r="EO94" s="19"/>
    </row>
    <row r="95" spans="1:145">
      <c r="A95" t="s">
        <v>1392</v>
      </c>
      <c r="B95" t="s">
        <v>1470</v>
      </c>
      <c r="C95" t="s">
        <v>24</v>
      </c>
      <c r="D95" t="s">
        <v>1369</v>
      </c>
      <c r="E95">
        <v>0</v>
      </c>
      <c r="F95" t="s">
        <v>237</v>
      </c>
      <c r="G95" t="s">
        <v>163</v>
      </c>
      <c r="H95" t="s">
        <v>595</v>
      </c>
      <c r="I95">
        <v>355</v>
      </c>
      <c r="J95">
        <v>0</v>
      </c>
      <c r="K95" t="s">
        <v>635</v>
      </c>
      <c r="L95" t="s">
        <v>1393</v>
      </c>
      <c r="M95" t="s">
        <v>1365</v>
      </c>
      <c r="N95" t="s">
        <v>1386</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Z95">
        <v>3096</v>
      </c>
      <c r="BA95">
        <v>282</v>
      </c>
      <c r="BB95">
        <v>0</v>
      </c>
      <c r="BC95">
        <v>0.03</v>
      </c>
      <c r="BD95">
        <f t="shared" si="65"/>
        <v>0.18197485833731419</v>
      </c>
      <c r="BE95">
        <f t="shared" si="66"/>
        <v>0.8180251416626857</v>
      </c>
      <c r="BF95">
        <v>0</v>
      </c>
      <c r="BG95">
        <v>0</v>
      </c>
      <c r="BH95">
        <v>0</v>
      </c>
      <c r="BI95">
        <v>0</v>
      </c>
      <c r="BJ95">
        <v>0</v>
      </c>
      <c r="BK95">
        <v>0</v>
      </c>
      <c r="BL95" s="19">
        <v>0</v>
      </c>
      <c r="BM95" s="19">
        <v>0</v>
      </c>
      <c r="BN95" s="19">
        <v>0</v>
      </c>
      <c r="BO95" s="19">
        <v>15</v>
      </c>
      <c r="BP95" s="19">
        <v>56</v>
      </c>
      <c r="BQ95" s="19">
        <v>1.7</v>
      </c>
      <c r="BR95" s="19">
        <v>0</v>
      </c>
      <c r="BS95" s="19">
        <v>30</v>
      </c>
      <c r="BT95" s="19">
        <v>81</v>
      </c>
      <c r="BU95" s="19">
        <v>4.2</v>
      </c>
      <c r="BV95" s="19">
        <v>0</v>
      </c>
      <c r="BW95" s="19">
        <v>0.63</v>
      </c>
      <c r="BX95" s="19">
        <v>18</v>
      </c>
      <c r="BY95" s="19">
        <v>2.69</v>
      </c>
      <c r="BZ95" s="19">
        <v>0.1</v>
      </c>
      <c r="CA95" s="19">
        <v>0</v>
      </c>
      <c r="CB95" s="19">
        <v>0.05</v>
      </c>
      <c r="CC95" s="19">
        <v>0.02</v>
      </c>
      <c r="CD95" s="19">
        <v>0</v>
      </c>
      <c r="CE95" s="19">
        <v>0</v>
      </c>
      <c r="CF95" s="19">
        <v>0</v>
      </c>
      <c r="CG95" s="19">
        <v>0</v>
      </c>
      <c r="CH95" s="19">
        <v>0</v>
      </c>
      <c r="CI95" s="19">
        <v>0.17</v>
      </c>
      <c r="CJ95" s="19">
        <v>1.2</v>
      </c>
      <c r="CK95" s="19">
        <v>3.7999999999999999E-2</v>
      </c>
      <c r="CL95" s="19">
        <v>0.19</v>
      </c>
      <c r="CM95" s="19">
        <v>0.22</v>
      </c>
      <c r="CN95" s="19">
        <v>0</v>
      </c>
      <c r="CO95" s="19" t="s">
        <v>1366</v>
      </c>
      <c r="CP95" s="19">
        <v>0</v>
      </c>
      <c r="CQ95" s="19">
        <v>0</v>
      </c>
      <c r="CR95" s="19">
        <v>0</v>
      </c>
      <c r="CS95" s="19" t="s">
        <v>1366</v>
      </c>
      <c r="CT95" s="19">
        <v>2.2000000000000002</v>
      </c>
      <c r="CU95" s="19">
        <v>0.05</v>
      </c>
      <c r="CV95" s="19">
        <v>0.16</v>
      </c>
      <c r="CW95" s="19">
        <v>0.27</v>
      </c>
      <c r="CX95" s="19">
        <v>3.6999999999999998E-2</v>
      </c>
      <c r="CY95" s="19">
        <v>0.11</v>
      </c>
      <c r="CZ95" s="19" t="s">
        <v>1366</v>
      </c>
      <c r="DA95" s="19" t="s">
        <v>1366</v>
      </c>
      <c r="DB95" s="19" t="s">
        <v>1366</v>
      </c>
      <c r="DC95" s="19" t="s">
        <v>1366</v>
      </c>
      <c r="DD95" s="19">
        <v>2E-3</v>
      </c>
      <c r="DE95" s="19" t="s">
        <v>1366</v>
      </c>
      <c r="DF95" s="19">
        <v>0</v>
      </c>
      <c r="DG95" s="19" t="s">
        <v>1366</v>
      </c>
      <c r="DH95" s="19" t="s">
        <v>1366</v>
      </c>
      <c r="DI95" s="19" t="s">
        <v>1366</v>
      </c>
      <c r="DJ95" s="19">
        <v>1.4E-2</v>
      </c>
      <c r="DK95" s="19">
        <v>0</v>
      </c>
      <c r="DL95" s="19">
        <v>1.6E-2</v>
      </c>
      <c r="DM95" s="19">
        <v>2.1000000000000001E-2</v>
      </c>
      <c r="DN95" s="19">
        <v>4.0000000000000001E-3</v>
      </c>
      <c r="DO95" s="19">
        <v>0</v>
      </c>
      <c r="DP95" s="19">
        <v>0</v>
      </c>
      <c r="DQ95" s="19">
        <v>0</v>
      </c>
      <c r="DR95" s="19">
        <v>0</v>
      </c>
      <c r="DS95" s="19">
        <v>0</v>
      </c>
      <c r="DT95" s="19">
        <v>0</v>
      </c>
      <c r="DU95" s="19">
        <v>0</v>
      </c>
      <c r="DV95" s="19">
        <v>0</v>
      </c>
      <c r="DW95" s="29">
        <v>0</v>
      </c>
      <c r="DX95" s="29">
        <v>0</v>
      </c>
      <c r="DY95" s="29">
        <v>0</v>
      </c>
      <c r="DZ95" s="29">
        <v>0</v>
      </c>
      <c r="EA95" s="29">
        <v>0</v>
      </c>
      <c r="EB95" s="29">
        <v>0</v>
      </c>
      <c r="EC95" s="29">
        <v>0</v>
      </c>
      <c r="ED95" s="29">
        <v>0</v>
      </c>
      <c r="EE95" s="29">
        <v>0</v>
      </c>
      <c r="EF95" s="29">
        <v>0</v>
      </c>
      <c r="EG95" s="29">
        <v>0</v>
      </c>
      <c r="EH95" s="29">
        <v>0</v>
      </c>
      <c r="EI95" s="29">
        <v>0</v>
      </c>
      <c r="EJ95" s="29">
        <v>0</v>
      </c>
      <c r="EK95" s="19">
        <v>0</v>
      </c>
      <c r="EL95" s="19"/>
      <c r="EM95" s="19"/>
      <c r="EN95" s="19"/>
      <c r="EO95" s="19"/>
    </row>
    <row r="96" spans="1:145">
      <c r="A96" t="s">
        <v>1392</v>
      </c>
      <c r="B96" t="s">
        <v>1470</v>
      </c>
      <c r="C96" t="s">
        <v>24</v>
      </c>
      <c r="D96" t="s">
        <v>1369</v>
      </c>
      <c r="E96">
        <v>0</v>
      </c>
      <c r="F96" t="s">
        <v>237</v>
      </c>
      <c r="G96" t="s">
        <v>163</v>
      </c>
      <c r="H96" t="s">
        <v>595</v>
      </c>
      <c r="I96">
        <v>355</v>
      </c>
      <c r="J96">
        <v>0</v>
      </c>
      <c r="K96" t="s">
        <v>635</v>
      </c>
      <c r="L96" t="s">
        <v>1393</v>
      </c>
      <c r="M96" t="s">
        <v>160</v>
      </c>
      <c r="N96" t="s">
        <v>1386</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Z96">
        <v>4538</v>
      </c>
      <c r="BA96">
        <v>487</v>
      </c>
      <c r="BB96">
        <v>0</v>
      </c>
      <c r="BC96">
        <v>0.03</v>
      </c>
      <c r="BD96">
        <f t="shared" si="65"/>
        <v>0.20766749512608706</v>
      </c>
      <c r="BE96">
        <f t="shared" si="66"/>
        <v>0.79233250487391282</v>
      </c>
      <c r="BF96">
        <v>0</v>
      </c>
      <c r="BG96">
        <v>0</v>
      </c>
      <c r="BH96">
        <v>0</v>
      </c>
      <c r="BI96">
        <v>0</v>
      </c>
      <c r="BJ96">
        <v>0</v>
      </c>
      <c r="BK96">
        <v>0</v>
      </c>
      <c r="BL96" s="19">
        <v>0</v>
      </c>
      <c r="BM96" s="19">
        <v>0</v>
      </c>
      <c r="BN96" s="19">
        <v>0</v>
      </c>
      <c r="BO96" s="19">
        <v>30</v>
      </c>
      <c r="BP96" s="19">
        <v>88</v>
      </c>
      <c r="BQ96" s="19">
        <v>1.9</v>
      </c>
      <c r="BR96" s="19">
        <v>0</v>
      </c>
      <c r="BS96" s="19">
        <v>53</v>
      </c>
      <c r="BT96" s="19">
        <v>116</v>
      </c>
      <c r="BU96" s="19">
        <v>6.9</v>
      </c>
      <c r="BV96" s="19">
        <v>0</v>
      </c>
      <c r="BW96" s="19">
        <v>0.95</v>
      </c>
      <c r="BX96" s="19">
        <v>25</v>
      </c>
      <c r="BY96" s="19">
        <v>3.39</v>
      </c>
      <c r="BZ96" s="19">
        <v>0.1</v>
      </c>
      <c r="CA96" s="19">
        <v>0</v>
      </c>
      <c r="CB96" s="19">
        <v>7.0000000000000007E-2</v>
      </c>
      <c r="CC96" s="19">
        <v>0.05</v>
      </c>
      <c r="CD96" s="19">
        <v>0</v>
      </c>
      <c r="CE96" s="19">
        <v>0</v>
      </c>
      <c r="CF96" s="19">
        <v>0</v>
      </c>
      <c r="CG96" s="19">
        <v>0</v>
      </c>
      <c r="CH96" s="19">
        <v>0</v>
      </c>
      <c r="CI96" s="19">
        <v>0.3</v>
      </c>
      <c r="CJ96" s="19">
        <v>2.2000000000000002</v>
      </c>
      <c r="CK96" s="19">
        <v>1.6E-2</v>
      </c>
      <c r="CL96" s="19">
        <v>0.3</v>
      </c>
      <c r="CM96" s="19">
        <v>0.42</v>
      </c>
      <c r="CN96" s="19">
        <v>0</v>
      </c>
      <c r="CO96" s="19" t="s">
        <v>1366</v>
      </c>
      <c r="CP96" s="19">
        <v>0</v>
      </c>
      <c r="CQ96" s="19">
        <v>0</v>
      </c>
      <c r="CR96" s="19">
        <v>0</v>
      </c>
      <c r="CS96" s="19">
        <v>1.0999999999999999E-2</v>
      </c>
      <c r="CT96" s="19">
        <v>4</v>
      </c>
      <c r="CU96" s="19">
        <v>0.08</v>
      </c>
      <c r="CV96" s="19">
        <v>0.31</v>
      </c>
      <c r="CW96" s="19">
        <v>0.47</v>
      </c>
      <c r="CX96" s="19">
        <v>5.2999999999999999E-2</v>
      </c>
      <c r="CY96" s="19">
        <v>0.19</v>
      </c>
      <c r="CZ96" s="19">
        <v>2.7E-2</v>
      </c>
      <c r="DA96" s="19">
        <v>4.0000000000000001E-3</v>
      </c>
      <c r="DB96" s="19">
        <v>2.7E-2</v>
      </c>
      <c r="DC96" s="19">
        <v>0.01</v>
      </c>
      <c r="DD96" s="19" t="s">
        <v>1366</v>
      </c>
      <c r="DE96" s="19">
        <v>1.9E-2</v>
      </c>
      <c r="DF96" s="19">
        <v>0</v>
      </c>
      <c r="DG96" s="19" t="s">
        <v>1366</v>
      </c>
      <c r="DH96" s="19">
        <v>4.0000000000000001E-3</v>
      </c>
      <c r="DI96" s="19" t="s">
        <v>1366</v>
      </c>
      <c r="DJ96" s="19">
        <v>2.1000000000000001E-2</v>
      </c>
      <c r="DK96" s="19">
        <v>0</v>
      </c>
      <c r="DL96" s="19">
        <v>1.9E-2</v>
      </c>
      <c r="DM96" s="19">
        <v>2.9000000000000001E-2</v>
      </c>
      <c r="DN96" s="19">
        <v>6.0000000000000001E-3</v>
      </c>
      <c r="DO96" s="19">
        <v>0</v>
      </c>
      <c r="DP96" s="19">
        <v>0</v>
      </c>
      <c r="DQ96" s="19">
        <v>0</v>
      </c>
      <c r="DR96" s="19">
        <v>0</v>
      </c>
      <c r="DS96" s="19">
        <v>0</v>
      </c>
      <c r="DT96" s="19">
        <v>0</v>
      </c>
      <c r="DU96" s="19">
        <v>0</v>
      </c>
      <c r="DV96" s="19">
        <v>0</v>
      </c>
      <c r="DW96" s="29">
        <v>0</v>
      </c>
      <c r="DX96" s="29">
        <v>0</v>
      </c>
      <c r="DY96" s="29">
        <v>0</v>
      </c>
      <c r="DZ96" s="29">
        <v>0</v>
      </c>
      <c r="EA96" s="29">
        <v>0</v>
      </c>
      <c r="EB96" s="29">
        <v>0</v>
      </c>
      <c r="EC96" s="29">
        <v>0</v>
      </c>
      <c r="ED96" s="29">
        <v>0</v>
      </c>
      <c r="EE96" s="29">
        <v>0</v>
      </c>
      <c r="EF96" s="29">
        <v>0</v>
      </c>
      <c r="EG96" s="29">
        <v>0</v>
      </c>
      <c r="EH96" s="29">
        <v>0</v>
      </c>
      <c r="EI96" s="29">
        <v>0</v>
      </c>
      <c r="EJ96" s="29">
        <v>0</v>
      </c>
      <c r="EK96" s="19">
        <v>0</v>
      </c>
      <c r="EL96" s="19"/>
      <c r="EM96" s="19"/>
      <c r="EN96" s="19"/>
      <c r="EO96" s="19"/>
    </row>
    <row r="97" spans="1:258">
      <c r="A97" t="s">
        <v>1392</v>
      </c>
      <c r="B97" t="s">
        <v>1470</v>
      </c>
      <c r="C97" t="s">
        <v>24</v>
      </c>
      <c r="D97" t="s">
        <v>1369</v>
      </c>
      <c r="E97">
        <v>0</v>
      </c>
      <c r="F97" t="s">
        <v>237</v>
      </c>
      <c r="G97" t="s">
        <v>163</v>
      </c>
      <c r="H97" t="s">
        <v>595</v>
      </c>
      <c r="I97">
        <v>355</v>
      </c>
      <c r="J97">
        <v>0</v>
      </c>
      <c r="K97" t="s">
        <v>635</v>
      </c>
      <c r="L97" t="s">
        <v>1393</v>
      </c>
      <c r="M97" t="s">
        <v>1365</v>
      </c>
      <c r="N97" t="s">
        <v>1387</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Z97">
        <v>7014</v>
      </c>
      <c r="BA97">
        <v>1528</v>
      </c>
      <c r="BB97">
        <v>0</v>
      </c>
      <c r="BC97">
        <v>7.0000000000000007E-2</v>
      </c>
      <c r="BD97">
        <f t="shared" si="65"/>
        <v>0.34728068995818828</v>
      </c>
      <c r="BE97">
        <f t="shared" si="66"/>
        <v>0.65271931004181172</v>
      </c>
      <c r="BF97">
        <v>0</v>
      </c>
      <c r="BG97">
        <v>0</v>
      </c>
      <c r="BH97">
        <v>0</v>
      </c>
      <c r="BI97">
        <v>0</v>
      </c>
      <c r="BJ97">
        <v>0</v>
      </c>
      <c r="BK97">
        <v>0</v>
      </c>
      <c r="BL97" s="19">
        <v>0</v>
      </c>
      <c r="BM97" s="19">
        <v>0</v>
      </c>
      <c r="BN97" s="19">
        <v>0</v>
      </c>
      <c r="BO97" s="19">
        <v>31</v>
      </c>
      <c r="BP97" s="19">
        <v>77</v>
      </c>
      <c r="BQ97" s="19">
        <v>2.4</v>
      </c>
      <c r="BR97" s="19">
        <v>0</v>
      </c>
      <c r="BS97" s="19">
        <v>94</v>
      </c>
      <c r="BT97" s="19">
        <v>92</v>
      </c>
      <c r="BU97" s="19">
        <v>4.3</v>
      </c>
      <c r="BV97" s="19">
        <v>0</v>
      </c>
      <c r="BW97" s="19">
        <v>0.98</v>
      </c>
      <c r="BX97" s="19">
        <v>25</v>
      </c>
      <c r="BY97" s="19">
        <v>1.43</v>
      </c>
      <c r="BZ97" s="19" t="s">
        <v>1366</v>
      </c>
      <c r="CA97" s="19">
        <v>0</v>
      </c>
      <c r="CB97" s="19">
        <v>0.04</v>
      </c>
      <c r="CC97" s="19">
        <v>0.12</v>
      </c>
      <c r="CD97" s="19">
        <v>0</v>
      </c>
      <c r="CE97" s="19">
        <v>0</v>
      </c>
      <c r="CF97" s="19">
        <v>0</v>
      </c>
      <c r="CG97" s="19">
        <v>0</v>
      </c>
      <c r="CH97" s="19">
        <v>0</v>
      </c>
      <c r="CI97" s="19">
        <v>0.42</v>
      </c>
      <c r="CJ97" s="19">
        <v>2.6</v>
      </c>
      <c r="CK97" s="19">
        <v>1.0999999999999999E-2</v>
      </c>
      <c r="CL97" s="19">
        <v>0.28999999999999998</v>
      </c>
      <c r="CM97" s="19">
        <v>0.64</v>
      </c>
      <c r="CN97" s="19">
        <v>0</v>
      </c>
      <c r="CO97" s="19" t="s">
        <v>1366</v>
      </c>
      <c r="CP97" s="19">
        <v>0</v>
      </c>
      <c r="CQ97" s="19">
        <v>0</v>
      </c>
      <c r="CR97" s="19">
        <v>0</v>
      </c>
      <c r="CS97" s="19" t="s">
        <v>1366</v>
      </c>
      <c r="CT97" s="19">
        <v>6.3</v>
      </c>
      <c r="CU97" s="19">
        <v>7.0000000000000007E-2</v>
      </c>
      <c r="CV97" s="19">
        <v>0.47</v>
      </c>
      <c r="CW97" s="19">
        <v>0.65</v>
      </c>
      <c r="CX97" s="19">
        <v>7.4999999999999997E-2</v>
      </c>
      <c r="CY97" s="19">
        <v>0.26</v>
      </c>
      <c r="CZ97" s="19">
        <v>3.3000000000000002E-2</v>
      </c>
      <c r="DA97" s="19">
        <v>1.2999999999999999E-2</v>
      </c>
      <c r="DB97" s="19" t="s">
        <v>1366</v>
      </c>
      <c r="DC97" s="19" t="s">
        <v>1366</v>
      </c>
      <c r="DD97" s="19" t="s">
        <v>1366</v>
      </c>
      <c r="DE97" s="19">
        <v>1.4E-2</v>
      </c>
      <c r="DF97" s="19">
        <v>0</v>
      </c>
      <c r="DG97" s="19" t="s">
        <v>1366</v>
      </c>
      <c r="DH97" s="19">
        <v>4.0000000000000001E-3</v>
      </c>
      <c r="DI97" s="19">
        <v>1.2E-2</v>
      </c>
      <c r="DJ97" s="19">
        <v>3.2000000000000001E-2</v>
      </c>
      <c r="DK97" s="19">
        <v>0</v>
      </c>
      <c r="DL97" s="19">
        <v>3.6999999999999998E-2</v>
      </c>
      <c r="DM97" s="19">
        <v>6.7000000000000004E-2</v>
      </c>
      <c r="DN97" s="19">
        <v>8.9999999999999993E-3</v>
      </c>
      <c r="DO97" s="19">
        <v>0</v>
      </c>
      <c r="DP97" s="19">
        <v>0</v>
      </c>
      <c r="DQ97" s="19">
        <v>0</v>
      </c>
      <c r="DR97" s="19">
        <v>0</v>
      </c>
      <c r="DS97" s="19">
        <v>0</v>
      </c>
      <c r="DT97" s="19">
        <v>0</v>
      </c>
      <c r="DU97" s="19">
        <v>0</v>
      </c>
      <c r="DV97" s="19">
        <v>0</v>
      </c>
      <c r="DW97" s="29">
        <v>0</v>
      </c>
      <c r="DX97" s="29">
        <v>0</v>
      </c>
      <c r="DY97" s="29">
        <v>0</v>
      </c>
      <c r="DZ97" s="29">
        <v>0</v>
      </c>
      <c r="EA97" s="29">
        <v>0</v>
      </c>
      <c r="EB97" s="29">
        <v>0</v>
      </c>
      <c r="EC97" s="29">
        <v>0</v>
      </c>
      <c r="ED97" s="29">
        <v>0</v>
      </c>
      <c r="EE97" s="29">
        <v>0</v>
      </c>
      <c r="EF97" s="29">
        <v>0</v>
      </c>
      <c r="EG97" s="29">
        <v>0</v>
      </c>
      <c r="EH97" s="29">
        <v>0</v>
      </c>
      <c r="EI97" s="29">
        <v>0</v>
      </c>
      <c r="EJ97" s="29">
        <v>0</v>
      </c>
      <c r="EK97" s="19">
        <v>0</v>
      </c>
      <c r="EL97" s="19"/>
      <c r="EM97" s="19"/>
      <c r="EN97" s="19"/>
      <c r="EO97" s="19"/>
    </row>
    <row r="98" spans="1:258">
      <c r="A98" t="s">
        <v>1392</v>
      </c>
      <c r="B98" t="s">
        <v>1470</v>
      </c>
      <c r="C98" t="s">
        <v>24</v>
      </c>
      <c r="D98" t="s">
        <v>1369</v>
      </c>
      <c r="E98">
        <v>0</v>
      </c>
      <c r="F98" t="s">
        <v>237</v>
      </c>
      <c r="G98" t="s">
        <v>163</v>
      </c>
      <c r="H98" t="s">
        <v>595</v>
      </c>
      <c r="I98">
        <v>355</v>
      </c>
      <c r="J98">
        <v>0</v>
      </c>
      <c r="K98" t="s">
        <v>635</v>
      </c>
      <c r="L98" t="s">
        <v>1393</v>
      </c>
      <c r="M98" t="s">
        <v>1365</v>
      </c>
      <c r="N98" t="s">
        <v>1388</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Z98" t="s">
        <v>1369</v>
      </c>
      <c r="BA98" t="s">
        <v>1369</v>
      </c>
      <c r="BB98">
        <v>0</v>
      </c>
      <c r="BC98">
        <v>0</v>
      </c>
      <c r="BG98">
        <v>0</v>
      </c>
      <c r="BH98">
        <v>0</v>
      </c>
      <c r="BI98">
        <v>0</v>
      </c>
      <c r="BJ98">
        <v>0</v>
      </c>
      <c r="BK98">
        <v>0</v>
      </c>
      <c r="BL98" s="19">
        <v>0</v>
      </c>
      <c r="BM98" s="19">
        <v>0</v>
      </c>
      <c r="BN98" s="19">
        <v>0</v>
      </c>
      <c r="BO98" s="19">
        <v>15</v>
      </c>
      <c r="BP98" s="19">
        <v>35</v>
      </c>
      <c r="BQ98" s="19">
        <v>1.5</v>
      </c>
      <c r="BR98" s="19">
        <v>0</v>
      </c>
      <c r="BS98" s="19">
        <v>56</v>
      </c>
      <c r="BT98" s="19">
        <v>64</v>
      </c>
      <c r="BU98" s="19">
        <v>0.6</v>
      </c>
      <c r="BV98" s="19">
        <v>0</v>
      </c>
      <c r="BW98" s="19">
        <v>0.49</v>
      </c>
      <c r="BX98" s="19">
        <v>13</v>
      </c>
      <c r="BY98" s="19">
        <v>1.85</v>
      </c>
      <c r="BZ98" s="19" t="s">
        <v>1366</v>
      </c>
      <c r="CA98" s="19">
        <v>0</v>
      </c>
      <c r="CB98" s="19">
        <v>0.06</v>
      </c>
      <c r="CC98" s="19">
        <v>0.13</v>
      </c>
      <c r="CD98" s="19">
        <v>0</v>
      </c>
      <c r="CE98" s="19">
        <v>0</v>
      </c>
      <c r="CF98" s="19">
        <v>0</v>
      </c>
      <c r="CG98" s="19">
        <v>0</v>
      </c>
      <c r="CH98" s="19">
        <v>0</v>
      </c>
      <c r="CI98" s="19">
        <v>0.17</v>
      </c>
      <c r="CJ98" s="19">
        <v>2.5</v>
      </c>
      <c r="CK98" s="19" t="s">
        <v>1366</v>
      </c>
      <c r="CL98" s="19">
        <v>0.14000000000000001</v>
      </c>
      <c r="CM98" s="19">
        <v>0.63</v>
      </c>
      <c r="CN98" s="19">
        <v>0</v>
      </c>
      <c r="CO98" s="19" t="s">
        <v>1366</v>
      </c>
      <c r="CP98" s="19">
        <v>0</v>
      </c>
      <c r="CQ98" s="19">
        <v>0</v>
      </c>
      <c r="CR98" s="19">
        <v>0</v>
      </c>
      <c r="CS98" s="19" t="s">
        <v>1366</v>
      </c>
      <c r="CT98" s="19">
        <v>6.1</v>
      </c>
      <c r="CU98" s="19" t="s">
        <v>1366</v>
      </c>
      <c r="CV98" s="19">
        <v>0.55000000000000004</v>
      </c>
      <c r="CW98" s="19">
        <v>0.75</v>
      </c>
      <c r="CX98" s="19">
        <v>8.1000000000000003E-2</v>
      </c>
      <c r="CY98" s="19">
        <v>0.18</v>
      </c>
      <c r="CZ98" s="19" t="s">
        <v>1366</v>
      </c>
      <c r="DA98" s="19" t="s">
        <v>1366</v>
      </c>
      <c r="DB98" s="19">
        <v>6.0999999999999999E-2</v>
      </c>
      <c r="DC98" s="19">
        <v>2.3E-2</v>
      </c>
      <c r="DD98" s="19">
        <v>7.0000000000000001E-3</v>
      </c>
      <c r="DE98" s="19" t="s">
        <v>1366</v>
      </c>
      <c r="DF98" s="19">
        <v>0</v>
      </c>
      <c r="DG98" s="19" t="s">
        <v>1366</v>
      </c>
      <c r="DH98" s="19" t="s">
        <v>1366</v>
      </c>
      <c r="DI98" s="19" t="s">
        <v>1366</v>
      </c>
      <c r="DJ98" s="19">
        <v>2.7E-2</v>
      </c>
      <c r="DK98" s="19">
        <v>0</v>
      </c>
      <c r="DL98" s="19">
        <v>3.9E-2</v>
      </c>
      <c r="DM98" s="19">
        <v>8.4000000000000005E-2</v>
      </c>
      <c r="DN98" s="19" t="s">
        <v>1366</v>
      </c>
      <c r="DO98" s="19">
        <v>0</v>
      </c>
      <c r="DP98" s="19">
        <v>0</v>
      </c>
      <c r="DQ98" s="19">
        <v>0</v>
      </c>
      <c r="DR98" s="19">
        <v>0</v>
      </c>
      <c r="DS98" s="19">
        <v>0</v>
      </c>
      <c r="DT98" s="19">
        <v>0</v>
      </c>
      <c r="DU98" s="19">
        <v>0</v>
      </c>
      <c r="DV98" s="19">
        <v>0</v>
      </c>
      <c r="DW98" s="29">
        <v>0</v>
      </c>
      <c r="DX98" s="29">
        <v>0</v>
      </c>
      <c r="DY98" s="29">
        <v>0</v>
      </c>
      <c r="DZ98" s="29">
        <v>0</v>
      </c>
      <c r="EA98" s="29">
        <v>0</v>
      </c>
      <c r="EB98" s="29">
        <v>0</v>
      </c>
      <c r="EC98" s="29">
        <v>0</v>
      </c>
      <c r="ED98" s="29">
        <v>0</v>
      </c>
      <c r="EE98" s="29">
        <v>0</v>
      </c>
      <c r="EF98" s="29">
        <v>0</v>
      </c>
      <c r="EG98" s="29">
        <v>0</v>
      </c>
      <c r="EH98" s="29">
        <v>0</v>
      </c>
      <c r="EI98" s="29">
        <v>0</v>
      </c>
      <c r="EJ98" s="29">
        <v>0</v>
      </c>
      <c r="EK98" s="19">
        <v>0</v>
      </c>
      <c r="EL98" s="19"/>
      <c r="EM98" s="19"/>
      <c r="EN98" s="19"/>
      <c r="EO98" s="19"/>
    </row>
    <row r="99" spans="1:258">
      <c r="A99" t="s">
        <v>1392</v>
      </c>
      <c r="B99" t="s">
        <v>1470</v>
      </c>
      <c r="C99" t="s">
        <v>24</v>
      </c>
      <c r="D99" t="s">
        <v>1369</v>
      </c>
      <c r="E99">
        <v>0</v>
      </c>
      <c r="F99" t="s">
        <v>237</v>
      </c>
      <c r="G99" t="s">
        <v>163</v>
      </c>
      <c r="H99" t="s">
        <v>595</v>
      </c>
      <c r="I99">
        <v>355</v>
      </c>
      <c r="J99">
        <v>0</v>
      </c>
      <c r="K99" t="s">
        <v>635</v>
      </c>
      <c r="L99" t="s">
        <v>1393</v>
      </c>
      <c r="M99" t="s">
        <v>1365</v>
      </c>
      <c r="N99" t="s">
        <v>1389</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Z99">
        <v>2468</v>
      </c>
      <c r="BA99">
        <v>660</v>
      </c>
      <c r="BB99">
        <v>0</v>
      </c>
      <c r="BC99">
        <v>0.08</v>
      </c>
      <c r="BD99">
        <f t="shared" si="65"/>
        <v>0.39508454574784863</v>
      </c>
      <c r="BE99">
        <f t="shared" si="66"/>
        <v>0.60491545425215132</v>
      </c>
      <c r="BF99">
        <v>0</v>
      </c>
      <c r="BG99">
        <v>0</v>
      </c>
      <c r="BH99">
        <v>0</v>
      </c>
      <c r="BI99">
        <v>0</v>
      </c>
      <c r="BJ99">
        <v>0</v>
      </c>
      <c r="BK99">
        <v>0</v>
      </c>
      <c r="BL99" s="19">
        <v>0</v>
      </c>
      <c r="BM99" s="19">
        <v>0</v>
      </c>
      <c r="BN99" s="19">
        <v>0</v>
      </c>
      <c r="BO99" s="19">
        <v>103</v>
      </c>
      <c r="BP99" s="19">
        <v>327</v>
      </c>
      <c r="BQ99" s="19">
        <v>8</v>
      </c>
      <c r="BR99" s="19">
        <v>0</v>
      </c>
      <c r="BS99" s="19">
        <v>299</v>
      </c>
      <c r="BT99" s="19">
        <v>208</v>
      </c>
      <c r="BU99" s="19">
        <v>3.4</v>
      </c>
      <c r="BV99" s="19">
        <v>0</v>
      </c>
      <c r="BW99" s="19">
        <v>3.31</v>
      </c>
      <c r="BX99" s="19">
        <v>129</v>
      </c>
      <c r="BY99" s="19">
        <v>2.34</v>
      </c>
      <c r="BZ99" s="19">
        <v>0.21</v>
      </c>
      <c r="CA99" s="19">
        <v>0</v>
      </c>
      <c r="CB99" s="19">
        <v>0.17</v>
      </c>
      <c r="CC99" s="19">
        <v>0.36</v>
      </c>
      <c r="CD99" s="19">
        <v>0</v>
      </c>
      <c r="CE99" s="19">
        <v>0</v>
      </c>
      <c r="CF99" s="19">
        <v>0</v>
      </c>
      <c r="CG99" s="19">
        <v>0</v>
      </c>
      <c r="CH99" s="19">
        <v>0</v>
      </c>
      <c r="CI99" s="19">
        <v>1.3</v>
      </c>
      <c r="CJ99" s="19">
        <v>11</v>
      </c>
      <c r="CK99" s="19">
        <v>1.2999999999999999E-2</v>
      </c>
      <c r="CL99" s="19">
        <v>0.86</v>
      </c>
      <c r="CM99" s="19">
        <v>2.27</v>
      </c>
      <c r="CN99" s="19">
        <v>0</v>
      </c>
      <c r="CO99" s="19">
        <v>0.26900000000000002</v>
      </c>
      <c r="CP99" s="19">
        <v>0</v>
      </c>
      <c r="CQ99" s="19">
        <v>0</v>
      </c>
      <c r="CR99" s="19">
        <v>0</v>
      </c>
      <c r="CS99" s="19">
        <v>1.9E-2</v>
      </c>
      <c r="CT99" s="19">
        <v>23.8</v>
      </c>
      <c r="CU99" s="19">
        <v>0.31</v>
      </c>
      <c r="CV99" s="19">
        <v>1.91</v>
      </c>
      <c r="CW99" s="19">
        <v>2.69</v>
      </c>
      <c r="CX99" s="19">
        <v>0.28699999999999998</v>
      </c>
      <c r="CY99" s="19">
        <v>1.02</v>
      </c>
      <c r="CZ99" s="19">
        <v>5.5E-2</v>
      </c>
      <c r="DA99" s="19">
        <v>3.2000000000000001E-2</v>
      </c>
      <c r="DB99" s="19">
        <v>4.3999999999999997E-2</v>
      </c>
      <c r="DC99" s="19">
        <v>1.7999999999999999E-2</v>
      </c>
      <c r="DD99" s="19">
        <v>3.0000000000000001E-3</v>
      </c>
      <c r="DE99" s="19" t="s">
        <v>1366</v>
      </c>
      <c r="DF99" s="19">
        <v>0</v>
      </c>
      <c r="DG99" s="19" t="s">
        <v>1366</v>
      </c>
      <c r="DH99" s="19" t="s">
        <v>1366</v>
      </c>
      <c r="DI99" s="19">
        <v>2.9000000000000001E-2</v>
      </c>
      <c r="DJ99" s="19">
        <v>0.106</v>
      </c>
      <c r="DK99" s="19">
        <v>0</v>
      </c>
      <c r="DL99" s="19">
        <v>0.14099999999999999</v>
      </c>
      <c r="DM99" s="19">
        <v>0.19500000000000001</v>
      </c>
      <c r="DN99" s="19">
        <v>8.0000000000000002E-3</v>
      </c>
      <c r="DO99" s="19">
        <v>0</v>
      </c>
      <c r="DP99" s="19">
        <v>0</v>
      </c>
      <c r="DQ99" s="19">
        <v>0</v>
      </c>
      <c r="DR99" s="19">
        <v>0</v>
      </c>
      <c r="DS99" s="19">
        <v>0</v>
      </c>
      <c r="DT99" s="19">
        <v>0</v>
      </c>
      <c r="DU99" s="19">
        <v>0</v>
      </c>
      <c r="DV99" s="19">
        <v>0</v>
      </c>
      <c r="DW99" s="29">
        <v>0</v>
      </c>
      <c r="DX99" s="29">
        <v>0</v>
      </c>
      <c r="DY99" s="29">
        <v>0</v>
      </c>
      <c r="DZ99" s="29">
        <v>0</v>
      </c>
      <c r="EA99" s="29">
        <v>0</v>
      </c>
      <c r="EB99" s="29">
        <v>0</v>
      </c>
      <c r="EC99" s="29">
        <v>0</v>
      </c>
      <c r="ED99" s="29">
        <v>0</v>
      </c>
      <c r="EE99" s="29">
        <v>0</v>
      </c>
      <c r="EF99" s="29">
        <v>0</v>
      </c>
      <c r="EG99" s="29">
        <v>0</v>
      </c>
      <c r="EH99" s="29">
        <v>0</v>
      </c>
      <c r="EI99" s="29">
        <v>0</v>
      </c>
      <c r="EJ99" s="29">
        <v>0</v>
      </c>
      <c r="EK99" s="19">
        <v>0</v>
      </c>
      <c r="EL99" s="19"/>
      <c r="EM99" s="19"/>
      <c r="EN99" s="19"/>
      <c r="EO99" s="19"/>
    </row>
    <row r="100" spans="1:258">
      <c r="A100" t="s">
        <v>1392</v>
      </c>
      <c r="B100" t="s">
        <v>1470</v>
      </c>
      <c r="C100" t="s">
        <v>24</v>
      </c>
      <c r="D100" t="s">
        <v>1369</v>
      </c>
      <c r="E100">
        <v>0</v>
      </c>
      <c r="F100" t="s">
        <v>237</v>
      </c>
      <c r="G100" t="s">
        <v>163</v>
      </c>
      <c r="H100" t="s">
        <v>595</v>
      </c>
      <c r="I100">
        <v>355</v>
      </c>
      <c r="J100">
        <v>0</v>
      </c>
      <c r="K100" t="s">
        <v>635</v>
      </c>
      <c r="L100" t="s">
        <v>1393</v>
      </c>
      <c r="M100" t="s">
        <v>1365</v>
      </c>
      <c r="N100" t="s">
        <v>1390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Z100">
        <v>1263</v>
      </c>
      <c r="BA100">
        <v>255</v>
      </c>
      <c r="BB100">
        <v>0</v>
      </c>
      <c r="BC100">
        <v>0.05</v>
      </c>
      <c r="BD100">
        <f t="shared" si="65"/>
        <v>0.3302516846512884</v>
      </c>
      <c r="BE100">
        <f t="shared" si="66"/>
        <v>0.66974831534871149</v>
      </c>
      <c r="BF100">
        <v>0</v>
      </c>
      <c r="BG100">
        <v>0</v>
      </c>
      <c r="BH100">
        <v>0</v>
      </c>
      <c r="BI100">
        <v>0</v>
      </c>
      <c r="BJ100">
        <v>0</v>
      </c>
      <c r="BK100">
        <v>0</v>
      </c>
      <c r="BL100" s="19">
        <v>0</v>
      </c>
      <c r="BM100" s="19">
        <v>0</v>
      </c>
      <c r="BN100" s="19">
        <v>0</v>
      </c>
      <c r="BO100" s="19">
        <v>35</v>
      </c>
      <c r="BP100" s="19">
        <v>54</v>
      </c>
      <c r="BQ100" s="19">
        <v>1.7</v>
      </c>
      <c r="BR100" s="19">
        <v>0</v>
      </c>
      <c r="BS100" s="19">
        <v>62</v>
      </c>
      <c r="BT100" s="19">
        <v>95</v>
      </c>
      <c r="BU100" s="19">
        <v>2.2000000000000002</v>
      </c>
      <c r="BV100" s="19">
        <v>0</v>
      </c>
      <c r="BW100" s="19">
        <v>0.7</v>
      </c>
      <c r="BX100" s="19">
        <v>20</v>
      </c>
      <c r="BY100" s="19">
        <v>0.8</v>
      </c>
      <c r="BZ100" s="19">
        <v>0.19</v>
      </c>
      <c r="CA100" s="19">
        <v>0</v>
      </c>
      <c r="CB100" s="19">
        <v>0.04</v>
      </c>
      <c r="CC100" s="19">
        <v>0.31</v>
      </c>
      <c r="CD100" s="19">
        <v>0</v>
      </c>
      <c r="CE100" s="19">
        <v>0</v>
      </c>
      <c r="CF100" s="19">
        <v>0</v>
      </c>
      <c r="CG100" s="19">
        <v>0</v>
      </c>
      <c r="CH100" s="19">
        <v>0</v>
      </c>
      <c r="CI100" s="19">
        <v>0.16</v>
      </c>
      <c r="CJ100" s="19">
        <v>5.6</v>
      </c>
      <c r="CK100" s="19">
        <v>7.0000000000000001E-3</v>
      </c>
      <c r="CL100" s="19">
        <v>0.14000000000000001</v>
      </c>
      <c r="CM100" s="19">
        <v>0.77</v>
      </c>
      <c r="CN100" s="19">
        <v>0</v>
      </c>
      <c r="CO100" s="19" t="s">
        <v>1366</v>
      </c>
      <c r="CP100" s="19">
        <v>0</v>
      </c>
      <c r="CQ100" s="19">
        <v>0</v>
      </c>
      <c r="CR100" s="19">
        <v>0</v>
      </c>
      <c r="CS100" s="19" t="s">
        <v>1366</v>
      </c>
      <c r="CT100" s="19">
        <v>16.2</v>
      </c>
      <c r="CU100" s="19">
        <v>7.0000000000000007E-2</v>
      </c>
      <c r="CV100" s="19">
        <v>2.02</v>
      </c>
      <c r="CW100" s="19">
        <v>2.0699999999999998</v>
      </c>
      <c r="CX100" s="19">
        <v>0.16900000000000001</v>
      </c>
      <c r="CY100" s="19">
        <v>0.43</v>
      </c>
      <c r="CZ100" s="19" t="s">
        <v>1366</v>
      </c>
      <c r="DA100" s="19" t="s">
        <v>1366</v>
      </c>
      <c r="DB100" s="19" t="s">
        <v>1366</v>
      </c>
      <c r="DC100" s="19" t="s">
        <v>1366</v>
      </c>
      <c r="DD100" s="19" t="s">
        <v>1366</v>
      </c>
      <c r="DE100" s="19" t="s">
        <v>1366</v>
      </c>
      <c r="DF100" s="19">
        <v>0</v>
      </c>
      <c r="DG100" s="19" t="s">
        <v>1366</v>
      </c>
      <c r="DH100" s="19" t="s">
        <v>1366</v>
      </c>
      <c r="DI100" s="19" t="s">
        <v>1366</v>
      </c>
      <c r="DJ100" s="19">
        <v>3.1E-2</v>
      </c>
      <c r="DK100" s="19">
        <v>0</v>
      </c>
      <c r="DL100" s="19">
        <v>0.113</v>
      </c>
      <c r="DM100" s="19">
        <v>0.307</v>
      </c>
      <c r="DN100" s="19">
        <v>6.0000000000000001E-3</v>
      </c>
      <c r="DO100" s="19">
        <v>0</v>
      </c>
      <c r="DP100" s="19">
        <v>0</v>
      </c>
      <c r="DQ100" s="19">
        <v>0</v>
      </c>
      <c r="DR100" s="19">
        <v>0</v>
      </c>
      <c r="DS100" s="19">
        <v>0</v>
      </c>
      <c r="DT100" s="19">
        <v>0</v>
      </c>
      <c r="DU100" s="19">
        <v>0</v>
      </c>
      <c r="DV100" s="19">
        <v>0</v>
      </c>
      <c r="DW100" s="29">
        <v>0</v>
      </c>
      <c r="DX100" s="29">
        <v>0</v>
      </c>
      <c r="DY100" s="29">
        <v>0</v>
      </c>
      <c r="DZ100" s="29">
        <v>0</v>
      </c>
      <c r="EA100" s="29">
        <v>0</v>
      </c>
      <c r="EB100" s="29">
        <v>0</v>
      </c>
      <c r="EC100" s="29">
        <v>0</v>
      </c>
      <c r="ED100" s="29">
        <v>0</v>
      </c>
      <c r="EE100" s="29">
        <v>0</v>
      </c>
      <c r="EF100" s="29">
        <v>0</v>
      </c>
      <c r="EG100" s="29">
        <v>0</v>
      </c>
      <c r="EH100" s="29">
        <v>0</v>
      </c>
      <c r="EI100" s="29">
        <v>0</v>
      </c>
      <c r="EJ100" s="29">
        <v>0</v>
      </c>
      <c r="EK100" s="19">
        <v>0</v>
      </c>
      <c r="EL100" s="19"/>
      <c r="EM100" s="19"/>
      <c r="EN100" s="19"/>
      <c r="EO100" s="19"/>
    </row>
    <row r="101" spans="1:258">
      <c r="A101" t="s">
        <v>1392</v>
      </c>
      <c r="B101" t="s">
        <v>1470</v>
      </c>
      <c r="C101" t="s">
        <v>24</v>
      </c>
      <c r="D101" t="s">
        <v>1369</v>
      </c>
      <c r="E101">
        <v>0</v>
      </c>
      <c r="F101" t="s">
        <v>237</v>
      </c>
      <c r="G101" t="s">
        <v>163</v>
      </c>
      <c r="H101" t="s">
        <v>595</v>
      </c>
      <c r="I101">
        <v>355</v>
      </c>
      <c r="J101">
        <v>0</v>
      </c>
      <c r="K101" t="s">
        <v>635</v>
      </c>
      <c r="L101" t="s">
        <v>1393</v>
      </c>
      <c r="M101" t="s">
        <v>160</v>
      </c>
      <c r="N101" t="s">
        <v>1390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Z101">
        <v>1327</v>
      </c>
      <c r="BA101">
        <v>231</v>
      </c>
      <c r="BB101">
        <v>0</v>
      </c>
      <c r="BC101">
        <v>0.05</v>
      </c>
      <c r="BD101">
        <f t="shared" si="65"/>
        <v>0.29831728476753178</v>
      </c>
      <c r="BE101">
        <f t="shared" si="66"/>
        <v>0.70168271523246828</v>
      </c>
      <c r="BF101">
        <v>0</v>
      </c>
      <c r="BG101">
        <v>0</v>
      </c>
      <c r="BH101">
        <v>0</v>
      </c>
      <c r="BI101">
        <v>0</v>
      </c>
      <c r="BJ101">
        <v>0</v>
      </c>
      <c r="BK101">
        <v>0</v>
      </c>
      <c r="BL101" s="19">
        <v>0</v>
      </c>
      <c r="BM101" s="19">
        <v>0</v>
      </c>
      <c r="BN101" s="19">
        <v>0</v>
      </c>
      <c r="BO101" s="19">
        <v>27</v>
      </c>
      <c r="BP101" s="19">
        <v>59</v>
      </c>
      <c r="BQ101" s="19">
        <v>1.9</v>
      </c>
      <c r="BR101" s="19">
        <v>0</v>
      </c>
      <c r="BS101" s="19">
        <v>66</v>
      </c>
      <c r="BT101" s="19">
        <v>92</v>
      </c>
      <c r="BU101" s="19">
        <v>3.7</v>
      </c>
      <c r="BV101" s="19">
        <v>0</v>
      </c>
      <c r="BW101" s="19">
        <v>0.89</v>
      </c>
      <c r="BX101" s="19">
        <v>21</v>
      </c>
      <c r="BY101" s="19">
        <v>0.86</v>
      </c>
      <c r="BZ101" s="19" t="s">
        <v>1366</v>
      </c>
      <c r="CA101" s="19">
        <v>0</v>
      </c>
      <c r="CB101" s="19">
        <v>0.02</v>
      </c>
      <c r="CC101" s="19">
        <v>0.27</v>
      </c>
      <c r="CD101" s="19">
        <v>0</v>
      </c>
      <c r="CE101" s="19">
        <v>0</v>
      </c>
      <c r="CF101" s="19">
        <v>0</v>
      </c>
      <c r="CG101" s="19">
        <v>0</v>
      </c>
      <c r="CH101" s="19">
        <v>0</v>
      </c>
      <c r="CI101" s="19">
        <v>0.17</v>
      </c>
      <c r="CJ101" s="19">
        <v>6.1</v>
      </c>
      <c r="CK101" s="19">
        <v>5.0000000000000001E-3</v>
      </c>
      <c r="CL101" s="19">
        <v>0.14000000000000001</v>
      </c>
      <c r="CM101" s="19">
        <v>0.78</v>
      </c>
      <c r="CN101" s="19">
        <v>0</v>
      </c>
      <c r="CO101" s="19" t="s">
        <v>1366</v>
      </c>
      <c r="CP101" s="19">
        <v>0</v>
      </c>
      <c r="CQ101" s="19">
        <v>0</v>
      </c>
      <c r="CR101" s="19">
        <v>0</v>
      </c>
      <c r="CS101" s="19" t="s">
        <v>1366</v>
      </c>
      <c r="CT101" s="19">
        <v>16.8</v>
      </c>
      <c r="CU101" s="19" t="s">
        <v>1366</v>
      </c>
      <c r="CV101" s="19">
        <v>2.13</v>
      </c>
      <c r="CW101" s="19">
        <v>2.3199999999999998</v>
      </c>
      <c r="CX101" s="19">
        <v>0.182</v>
      </c>
      <c r="CY101" s="19">
        <v>0.35</v>
      </c>
      <c r="CZ101" s="19">
        <v>4.3999999999999997E-2</v>
      </c>
      <c r="DA101" s="19" t="s">
        <v>1366</v>
      </c>
      <c r="DB101" s="19" t="s">
        <v>1366</v>
      </c>
      <c r="DC101" s="19" t="s">
        <v>1366</v>
      </c>
      <c r="DD101" s="19" t="s">
        <v>1366</v>
      </c>
      <c r="DE101" s="19" t="s">
        <v>1366</v>
      </c>
      <c r="DF101" s="19">
        <v>0</v>
      </c>
      <c r="DG101" s="19" t="s">
        <v>1366</v>
      </c>
      <c r="DH101" s="19" t="s">
        <v>1366</v>
      </c>
      <c r="DI101" s="19" t="s">
        <v>1366</v>
      </c>
      <c r="DJ101" s="19">
        <v>2.4E-2</v>
      </c>
      <c r="DK101" s="19">
        <v>0</v>
      </c>
      <c r="DL101" s="19">
        <v>0.105</v>
      </c>
      <c r="DM101" s="19">
        <v>0.32700000000000001</v>
      </c>
      <c r="DN101" s="19">
        <v>8.0000000000000002E-3</v>
      </c>
      <c r="DO101" s="19">
        <v>0</v>
      </c>
      <c r="DP101" s="19">
        <v>0</v>
      </c>
      <c r="DQ101" s="19">
        <v>0</v>
      </c>
      <c r="DR101" s="19">
        <v>0</v>
      </c>
      <c r="DS101" s="19">
        <v>0</v>
      </c>
      <c r="DT101" s="19">
        <v>0</v>
      </c>
      <c r="DU101" s="19">
        <v>0</v>
      </c>
      <c r="DV101" s="19">
        <v>0</v>
      </c>
      <c r="DW101" s="29">
        <v>0</v>
      </c>
      <c r="DX101" s="29">
        <v>0</v>
      </c>
      <c r="DY101" s="29">
        <v>0</v>
      </c>
      <c r="DZ101" s="29">
        <v>0</v>
      </c>
      <c r="EA101" s="29">
        <v>0</v>
      </c>
      <c r="EB101" s="29">
        <v>0</v>
      </c>
      <c r="EC101" s="29">
        <v>0</v>
      </c>
      <c r="ED101" s="29">
        <v>0</v>
      </c>
      <c r="EE101" s="29">
        <v>0</v>
      </c>
      <c r="EF101" s="29">
        <v>0</v>
      </c>
      <c r="EG101" s="29">
        <v>0</v>
      </c>
      <c r="EH101" s="29">
        <v>0</v>
      </c>
      <c r="EI101" s="29">
        <v>0</v>
      </c>
      <c r="EJ101" s="29">
        <v>0</v>
      </c>
      <c r="EK101" s="19">
        <v>0</v>
      </c>
      <c r="EL101" s="19"/>
      <c r="EM101" s="19"/>
      <c r="EN101" s="19"/>
      <c r="EO101" s="19"/>
    </row>
    <row r="102" spans="1:258">
      <c r="A102" t="s">
        <v>1392</v>
      </c>
      <c r="B102" t="s">
        <v>1470</v>
      </c>
      <c r="C102" t="s">
        <v>24</v>
      </c>
      <c r="D102" t="s">
        <v>1369</v>
      </c>
      <c r="E102">
        <v>0</v>
      </c>
      <c r="F102" t="s">
        <v>237</v>
      </c>
      <c r="G102" t="s">
        <v>163</v>
      </c>
      <c r="H102" t="s">
        <v>595</v>
      </c>
      <c r="I102">
        <v>355</v>
      </c>
      <c r="J102">
        <v>0</v>
      </c>
      <c r="K102" t="s">
        <v>635</v>
      </c>
      <c r="L102" t="s">
        <v>1393</v>
      </c>
      <c r="M102" t="s">
        <v>1365</v>
      </c>
      <c r="N102" t="s">
        <v>1391</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Z102">
        <v>614</v>
      </c>
      <c r="BA102">
        <v>180</v>
      </c>
      <c r="BB102">
        <v>0</v>
      </c>
      <c r="BC102">
        <v>0.09</v>
      </c>
      <c r="BD102">
        <f t="shared" si="65"/>
        <v>0.41724252715673799</v>
      </c>
      <c r="BE102">
        <f t="shared" si="66"/>
        <v>0.58275747284326207</v>
      </c>
      <c r="BF102">
        <v>0</v>
      </c>
      <c r="BG102">
        <v>0</v>
      </c>
      <c r="BH102">
        <v>0</v>
      </c>
      <c r="BI102">
        <v>0</v>
      </c>
      <c r="BJ102">
        <v>0</v>
      </c>
      <c r="BK102">
        <v>0</v>
      </c>
      <c r="BL102" s="19">
        <v>0</v>
      </c>
      <c r="BM102" s="19">
        <v>0</v>
      </c>
      <c r="BN102" s="19">
        <v>0</v>
      </c>
      <c r="BO102" s="19">
        <v>23</v>
      </c>
      <c r="BP102" s="19">
        <v>26</v>
      </c>
      <c r="BQ102" s="19">
        <v>1.3</v>
      </c>
      <c r="BR102" s="19">
        <v>0</v>
      </c>
      <c r="BS102" s="19">
        <v>54</v>
      </c>
      <c r="BT102" s="19">
        <v>55</v>
      </c>
      <c r="BU102" s="19">
        <v>0.8</v>
      </c>
      <c r="BV102" s="19">
        <v>0</v>
      </c>
      <c r="BW102" s="19">
        <v>0.46</v>
      </c>
      <c r="BX102" s="19">
        <v>13</v>
      </c>
      <c r="BY102" s="19">
        <v>1.49</v>
      </c>
      <c r="BZ102" s="19">
        <v>0.14000000000000001</v>
      </c>
      <c r="CA102" s="19">
        <v>0</v>
      </c>
      <c r="CB102" s="19">
        <v>0.06</v>
      </c>
      <c r="CC102" s="19">
        <v>0.15</v>
      </c>
      <c r="CD102" s="19">
        <v>0</v>
      </c>
      <c r="CE102" s="19">
        <v>0</v>
      </c>
      <c r="CF102" s="19">
        <v>0</v>
      </c>
      <c r="CG102" s="19">
        <v>0</v>
      </c>
      <c r="CH102" s="19">
        <v>0</v>
      </c>
      <c r="CI102" s="19">
        <v>0.11</v>
      </c>
      <c r="CJ102" s="19">
        <v>2.8</v>
      </c>
      <c r="CK102" s="19">
        <v>0.01</v>
      </c>
      <c r="CL102" s="19">
        <v>0.19</v>
      </c>
      <c r="CM102" s="19">
        <v>0.7</v>
      </c>
      <c r="CN102" s="19">
        <v>0</v>
      </c>
      <c r="CO102" s="19">
        <v>2.1999999999999999E-2</v>
      </c>
      <c r="CP102" s="19">
        <v>0</v>
      </c>
      <c r="CQ102" s="19">
        <v>0</v>
      </c>
      <c r="CR102" s="19">
        <v>0</v>
      </c>
      <c r="CS102" s="19">
        <v>8.9999999999999993E-3</v>
      </c>
      <c r="CT102" s="19">
        <v>7.8</v>
      </c>
      <c r="CU102" s="19">
        <v>0.03</v>
      </c>
      <c r="CV102" s="19">
        <v>0.61</v>
      </c>
      <c r="CW102" s="19">
        <v>0.86</v>
      </c>
      <c r="CX102" s="19">
        <v>9.7000000000000003E-2</v>
      </c>
      <c r="CY102" s="19">
        <v>0.26</v>
      </c>
      <c r="CZ102" s="19" t="s">
        <v>1366</v>
      </c>
      <c r="DA102" s="19">
        <v>1.7000000000000001E-2</v>
      </c>
      <c r="DB102" s="19" t="s">
        <v>1366</v>
      </c>
      <c r="DC102" s="19" t="s">
        <v>1366</v>
      </c>
      <c r="DD102" s="19">
        <v>7.0000000000000001E-3</v>
      </c>
      <c r="DE102" s="19" t="s">
        <v>1366</v>
      </c>
      <c r="DF102" s="19">
        <v>0</v>
      </c>
      <c r="DG102" s="19" t="s">
        <v>1366</v>
      </c>
      <c r="DH102" s="19">
        <v>7.0000000000000001E-3</v>
      </c>
      <c r="DI102" s="19" t="s">
        <v>1366</v>
      </c>
      <c r="DJ102" s="19">
        <v>3.4000000000000002E-2</v>
      </c>
      <c r="DK102" s="19">
        <v>0</v>
      </c>
      <c r="DL102" s="19">
        <v>5.8000000000000003E-2</v>
      </c>
      <c r="DM102" s="19">
        <v>7.8E-2</v>
      </c>
      <c r="DN102" s="19">
        <v>3.0000000000000001E-3</v>
      </c>
      <c r="DO102" s="19">
        <v>0</v>
      </c>
      <c r="DP102" s="19">
        <v>0</v>
      </c>
      <c r="DQ102" s="19">
        <v>0</v>
      </c>
      <c r="DR102" s="19">
        <v>0</v>
      </c>
      <c r="DS102" s="19">
        <v>0</v>
      </c>
      <c r="DT102" s="19">
        <v>0</v>
      </c>
      <c r="DU102" s="19">
        <v>0</v>
      </c>
      <c r="DV102" s="19">
        <v>0</v>
      </c>
      <c r="DW102" s="29">
        <v>0</v>
      </c>
      <c r="DX102" s="29">
        <v>0</v>
      </c>
      <c r="DY102" s="29">
        <v>0</v>
      </c>
      <c r="DZ102" s="29">
        <v>0</v>
      </c>
      <c r="EA102" s="29">
        <v>0</v>
      </c>
      <c r="EB102" s="29">
        <v>0</v>
      </c>
      <c r="EC102" s="29">
        <v>0</v>
      </c>
      <c r="ED102" s="29">
        <v>0</v>
      </c>
      <c r="EE102" s="29">
        <v>0</v>
      </c>
      <c r="EF102" s="29">
        <v>0</v>
      </c>
      <c r="EG102" s="29">
        <v>0</v>
      </c>
      <c r="EH102" s="29">
        <v>0</v>
      </c>
      <c r="EI102" s="29">
        <v>0</v>
      </c>
      <c r="EJ102" s="29">
        <v>0</v>
      </c>
      <c r="EK102" s="19">
        <v>0</v>
      </c>
      <c r="EL102" s="19"/>
      <c r="EM102" s="19"/>
      <c r="EN102" s="19"/>
      <c r="EO102" s="19"/>
    </row>
    <row r="103" spans="1:258">
      <c r="A103" t="s">
        <v>670</v>
      </c>
      <c r="B103" t="s">
        <v>1470</v>
      </c>
      <c r="C103" t="s">
        <v>24</v>
      </c>
      <c r="D103" t="s">
        <v>1369</v>
      </c>
      <c r="E103">
        <v>0</v>
      </c>
      <c r="F103" t="s">
        <v>237</v>
      </c>
      <c r="G103" t="s">
        <v>661</v>
      </c>
      <c r="H103" t="s">
        <v>595</v>
      </c>
      <c r="I103">
        <v>376</v>
      </c>
      <c r="J103">
        <v>0</v>
      </c>
      <c r="K103" t="s">
        <v>635</v>
      </c>
      <c r="L103">
        <v>0</v>
      </c>
      <c r="M103">
        <v>0</v>
      </c>
      <c r="N103" t="s">
        <v>663</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Z103">
        <v>0</v>
      </c>
      <c r="BA103">
        <v>0</v>
      </c>
      <c r="BB103">
        <v>0</v>
      </c>
      <c r="BC103">
        <v>0</v>
      </c>
      <c r="BF103">
        <v>0</v>
      </c>
      <c r="BG103">
        <v>0</v>
      </c>
      <c r="BH103">
        <v>0</v>
      </c>
      <c r="BI103">
        <v>0</v>
      </c>
      <c r="BJ103">
        <v>0</v>
      </c>
      <c r="BK103">
        <v>0</v>
      </c>
      <c r="BL103" s="19">
        <v>0</v>
      </c>
      <c r="BM103" s="19">
        <v>0</v>
      </c>
      <c r="BN103" s="19">
        <v>0</v>
      </c>
      <c r="BO103" s="19">
        <v>0</v>
      </c>
      <c r="BP103" s="19">
        <v>0</v>
      </c>
      <c r="BQ103" s="19">
        <v>0</v>
      </c>
      <c r="BR103" s="19">
        <v>0</v>
      </c>
      <c r="BS103" s="19">
        <v>23749</v>
      </c>
      <c r="BT103" s="19">
        <v>0</v>
      </c>
      <c r="BU103" s="19">
        <v>4703</v>
      </c>
      <c r="BV103" s="19">
        <v>0</v>
      </c>
      <c r="BW103" s="19">
        <v>0</v>
      </c>
      <c r="BX103" s="19">
        <v>0</v>
      </c>
      <c r="BY103" s="19">
        <v>0</v>
      </c>
      <c r="BZ103" s="19">
        <v>0</v>
      </c>
      <c r="CA103" s="19">
        <v>0</v>
      </c>
      <c r="CB103" s="19">
        <v>0</v>
      </c>
      <c r="CC103" s="19">
        <v>0</v>
      </c>
      <c r="CD103" s="19">
        <v>0</v>
      </c>
      <c r="CE103" s="19">
        <v>0</v>
      </c>
      <c r="CF103" s="19">
        <v>0</v>
      </c>
      <c r="CG103" s="19">
        <v>0</v>
      </c>
      <c r="CH103" s="19">
        <v>0</v>
      </c>
      <c r="CI103" s="19">
        <v>113</v>
      </c>
      <c r="CJ103" s="19">
        <v>847</v>
      </c>
      <c r="CK103" s="19">
        <v>4</v>
      </c>
      <c r="CL103" s="19">
        <v>101</v>
      </c>
      <c r="CM103" s="19">
        <v>0</v>
      </c>
      <c r="CN103" s="19">
        <v>72</v>
      </c>
      <c r="CO103" s="19">
        <v>0</v>
      </c>
      <c r="CP103" s="19">
        <v>0</v>
      </c>
      <c r="CQ103" s="19">
        <v>0</v>
      </c>
      <c r="CR103" s="19">
        <v>0</v>
      </c>
      <c r="CS103" s="19">
        <v>2</v>
      </c>
      <c r="CT103" s="19">
        <v>1157</v>
      </c>
      <c r="CU103" s="19">
        <v>0</v>
      </c>
      <c r="CV103" s="19">
        <v>49</v>
      </c>
      <c r="CW103" s="19">
        <v>79</v>
      </c>
      <c r="CX103" s="19">
        <v>9</v>
      </c>
      <c r="CY103" s="19">
        <v>75</v>
      </c>
      <c r="CZ103" s="19">
        <v>9</v>
      </c>
      <c r="DA103" s="19">
        <v>0</v>
      </c>
      <c r="DB103" s="19">
        <v>5</v>
      </c>
      <c r="DC103" s="19" t="s">
        <v>669</v>
      </c>
      <c r="DD103" s="19" t="s">
        <v>669</v>
      </c>
      <c r="DE103" s="19" t="s">
        <v>669</v>
      </c>
      <c r="DF103" s="19">
        <v>0</v>
      </c>
      <c r="DG103" s="19" t="s">
        <v>669</v>
      </c>
      <c r="DH103" s="19" t="s">
        <v>669</v>
      </c>
      <c r="DI103" s="19">
        <v>7</v>
      </c>
      <c r="DJ103" s="19">
        <v>3</v>
      </c>
      <c r="DK103" s="19">
        <v>0</v>
      </c>
      <c r="DL103" s="19">
        <v>0</v>
      </c>
      <c r="DM103" s="19">
        <v>5</v>
      </c>
      <c r="DN103" s="19">
        <v>2</v>
      </c>
      <c r="DO103" s="19">
        <v>0</v>
      </c>
      <c r="DP103" s="19">
        <v>0</v>
      </c>
      <c r="DQ103" s="19">
        <v>0</v>
      </c>
      <c r="DR103" s="19">
        <v>0</v>
      </c>
      <c r="DS103" s="19">
        <v>0</v>
      </c>
      <c r="DT103" s="19">
        <v>0</v>
      </c>
      <c r="DU103" s="19">
        <v>0</v>
      </c>
      <c r="DV103" s="19">
        <v>0</v>
      </c>
      <c r="DW103" s="29">
        <v>0</v>
      </c>
      <c r="DX103" s="29">
        <v>0</v>
      </c>
      <c r="DY103" s="29">
        <v>0</v>
      </c>
      <c r="DZ103" s="29">
        <v>0</v>
      </c>
      <c r="EA103" s="29">
        <v>0</v>
      </c>
      <c r="EB103" s="29">
        <v>0</v>
      </c>
      <c r="EC103" s="29">
        <v>0</v>
      </c>
      <c r="ED103" s="29">
        <v>0</v>
      </c>
      <c r="EE103" s="29">
        <v>0</v>
      </c>
      <c r="EF103" s="29">
        <v>0</v>
      </c>
      <c r="EG103" s="29">
        <v>0</v>
      </c>
      <c r="EH103" s="29">
        <v>0</v>
      </c>
      <c r="EI103" s="29">
        <v>0</v>
      </c>
      <c r="EJ103" s="29">
        <v>0</v>
      </c>
      <c r="EK103" s="19">
        <v>0</v>
      </c>
      <c r="EL103" s="19"/>
      <c r="EM103" s="19"/>
      <c r="EN103" s="19"/>
      <c r="EO103" s="19"/>
    </row>
    <row r="104" spans="1:258">
      <c r="A104" t="s">
        <v>670</v>
      </c>
      <c r="B104" t="s">
        <v>1470</v>
      </c>
      <c r="C104" t="s">
        <v>24</v>
      </c>
      <c r="D104" t="s">
        <v>1369</v>
      </c>
      <c r="E104">
        <v>0</v>
      </c>
      <c r="F104" t="s">
        <v>237</v>
      </c>
      <c r="G104" t="s">
        <v>661</v>
      </c>
      <c r="H104" t="s">
        <v>595</v>
      </c>
      <c r="I104">
        <v>376</v>
      </c>
      <c r="J104">
        <v>0</v>
      </c>
      <c r="K104" t="s">
        <v>635</v>
      </c>
      <c r="L104">
        <v>0</v>
      </c>
      <c r="M104">
        <v>0</v>
      </c>
      <c r="N104" t="s">
        <v>664</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Z104">
        <v>0</v>
      </c>
      <c r="BA104">
        <v>0</v>
      </c>
      <c r="BB104">
        <v>0</v>
      </c>
      <c r="BC104">
        <v>0</v>
      </c>
      <c r="BF104">
        <v>0</v>
      </c>
      <c r="BG104">
        <v>0</v>
      </c>
      <c r="BH104">
        <v>0</v>
      </c>
      <c r="BI104">
        <v>0</v>
      </c>
      <c r="BJ104">
        <v>0</v>
      </c>
      <c r="BK104">
        <v>0</v>
      </c>
      <c r="BL104" s="19">
        <v>0</v>
      </c>
      <c r="BM104" s="19">
        <v>0</v>
      </c>
      <c r="BN104" s="19">
        <v>0</v>
      </c>
      <c r="BO104" s="19">
        <v>0</v>
      </c>
      <c r="BP104" s="19">
        <v>0</v>
      </c>
      <c r="BQ104" s="19">
        <v>0</v>
      </c>
      <c r="BR104" s="19">
        <v>0</v>
      </c>
      <c r="BS104" s="19">
        <v>21322</v>
      </c>
      <c r="BT104" s="19">
        <v>0</v>
      </c>
      <c r="BU104" s="19">
        <v>2658</v>
      </c>
      <c r="BV104" s="19">
        <v>0</v>
      </c>
      <c r="BW104" s="19">
        <v>0</v>
      </c>
      <c r="BX104" s="19">
        <v>0</v>
      </c>
      <c r="BY104" s="19">
        <v>0</v>
      </c>
      <c r="BZ104" s="19">
        <v>0</v>
      </c>
      <c r="CA104" s="19">
        <v>0</v>
      </c>
      <c r="CB104" s="19">
        <v>0</v>
      </c>
      <c r="CC104" s="19">
        <v>0</v>
      </c>
      <c r="CD104" s="19">
        <v>0</v>
      </c>
      <c r="CE104" s="19">
        <v>0</v>
      </c>
      <c r="CF104" s="19">
        <v>0</v>
      </c>
      <c r="CG104" s="19">
        <v>0</v>
      </c>
      <c r="CH104" s="19">
        <v>0</v>
      </c>
      <c r="CI104" s="19">
        <v>112</v>
      </c>
      <c r="CJ104" s="19">
        <v>366</v>
      </c>
      <c r="CK104" s="19">
        <v>11</v>
      </c>
      <c r="CL104" s="19">
        <v>53</v>
      </c>
      <c r="CM104" s="19">
        <v>0</v>
      </c>
      <c r="CN104" s="19">
        <v>73</v>
      </c>
      <c r="CO104" s="19">
        <v>0</v>
      </c>
      <c r="CP104" s="19">
        <v>0</v>
      </c>
      <c r="CQ104" s="19">
        <v>0</v>
      </c>
      <c r="CR104" s="19">
        <v>0</v>
      </c>
      <c r="CS104" s="19">
        <v>4</v>
      </c>
      <c r="CT104" s="19">
        <v>864</v>
      </c>
      <c r="CU104" s="19">
        <v>0</v>
      </c>
      <c r="CV104" s="19">
        <v>32</v>
      </c>
      <c r="CW104" s="19">
        <v>78</v>
      </c>
      <c r="CX104" s="19">
        <v>15</v>
      </c>
      <c r="CY104" s="19">
        <v>67</v>
      </c>
      <c r="CZ104" s="19">
        <v>9</v>
      </c>
      <c r="DA104" s="19">
        <v>2</v>
      </c>
      <c r="DB104" s="19" t="s">
        <v>669</v>
      </c>
      <c r="DC104" s="19">
        <v>9</v>
      </c>
      <c r="DD104" s="19">
        <v>2</v>
      </c>
      <c r="DE104" s="19" t="s">
        <v>669</v>
      </c>
      <c r="DF104" s="19">
        <v>0</v>
      </c>
      <c r="DG104" s="19">
        <v>8</v>
      </c>
      <c r="DH104" s="19">
        <v>1</v>
      </c>
      <c r="DI104" s="19" t="s">
        <v>669</v>
      </c>
      <c r="DJ104" s="19">
        <v>7</v>
      </c>
      <c r="DK104" s="19">
        <v>0</v>
      </c>
      <c r="DL104" s="19">
        <v>0</v>
      </c>
      <c r="DM104" s="19">
        <v>6</v>
      </c>
      <c r="DN104" s="19">
        <v>3</v>
      </c>
      <c r="DO104" s="19">
        <v>0</v>
      </c>
      <c r="DP104" s="19">
        <v>0</v>
      </c>
      <c r="DQ104" s="19">
        <v>0</v>
      </c>
      <c r="DR104" s="19">
        <v>0</v>
      </c>
      <c r="DS104" s="19">
        <v>0</v>
      </c>
      <c r="DT104" s="19">
        <v>0</v>
      </c>
      <c r="DU104" s="19">
        <v>0</v>
      </c>
      <c r="DV104" s="19">
        <v>0</v>
      </c>
      <c r="DW104" s="29">
        <v>0</v>
      </c>
      <c r="DX104" s="29">
        <v>0</v>
      </c>
      <c r="DY104" s="29">
        <v>0</v>
      </c>
      <c r="DZ104" s="29">
        <v>0</v>
      </c>
      <c r="EA104" s="29">
        <v>0</v>
      </c>
      <c r="EB104" s="29">
        <v>0</v>
      </c>
      <c r="EC104" s="29">
        <v>0</v>
      </c>
      <c r="ED104" s="29">
        <v>0</v>
      </c>
      <c r="EE104" s="29">
        <v>0</v>
      </c>
      <c r="EF104" s="29">
        <v>0</v>
      </c>
      <c r="EG104" s="29">
        <v>0</v>
      </c>
      <c r="EH104" s="29">
        <v>0</v>
      </c>
      <c r="EI104" s="29">
        <v>0</v>
      </c>
      <c r="EJ104" s="29">
        <v>0</v>
      </c>
      <c r="EK104" s="19">
        <v>0</v>
      </c>
      <c r="EL104" s="19"/>
      <c r="EM104" s="19"/>
      <c r="EN104" s="19"/>
      <c r="EO104" s="19"/>
    </row>
    <row r="105" spans="1:258">
      <c r="A105" t="s">
        <v>670</v>
      </c>
      <c r="B105" t="s">
        <v>1470</v>
      </c>
      <c r="C105" t="s">
        <v>24</v>
      </c>
      <c r="D105" t="s">
        <v>1369</v>
      </c>
      <c r="E105">
        <v>0</v>
      </c>
      <c r="F105" t="s">
        <v>237</v>
      </c>
      <c r="G105" t="s">
        <v>661</v>
      </c>
      <c r="H105" t="s">
        <v>595</v>
      </c>
      <c r="I105">
        <v>376</v>
      </c>
      <c r="J105">
        <v>0</v>
      </c>
      <c r="K105" t="s">
        <v>635</v>
      </c>
      <c r="L105">
        <v>0</v>
      </c>
      <c r="M105">
        <v>0</v>
      </c>
      <c r="N105" t="s">
        <v>665</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Z105">
        <v>0</v>
      </c>
      <c r="BA105">
        <v>0</v>
      </c>
      <c r="BB105">
        <v>0</v>
      </c>
      <c r="BC105">
        <v>0</v>
      </c>
      <c r="BF105">
        <v>0</v>
      </c>
      <c r="BG105">
        <v>0</v>
      </c>
      <c r="BH105">
        <v>0</v>
      </c>
      <c r="BI105">
        <v>0</v>
      </c>
      <c r="BJ105">
        <v>0</v>
      </c>
      <c r="BK105">
        <v>0</v>
      </c>
      <c r="BL105" s="19">
        <v>0</v>
      </c>
      <c r="BM105" s="19">
        <v>0</v>
      </c>
      <c r="BN105" s="19">
        <v>0</v>
      </c>
      <c r="BO105" s="19">
        <v>0</v>
      </c>
      <c r="BP105" s="19">
        <v>0</v>
      </c>
      <c r="BQ105" s="19">
        <v>0</v>
      </c>
      <c r="BR105" s="19">
        <v>0</v>
      </c>
      <c r="BS105" s="19">
        <v>11586</v>
      </c>
      <c r="BT105" s="19">
        <v>0</v>
      </c>
      <c r="BU105" s="19">
        <v>8619</v>
      </c>
      <c r="BV105" s="19">
        <v>0</v>
      </c>
      <c r="BW105" s="19">
        <v>0</v>
      </c>
      <c r="BX105" s="19">
        <v>0</v>
      </c>
      <c r="BY105" s="19">
        <v>0</v>
      </c>
      <c r="BZ105" s="19">
        <v>0</v>
      </c>
      <c r="CA105" s="19">
        <v>0</v>
      </c>
      <c r="CB105" s="19">
        <v>0</v>
      </c>
      <c r="CC105" s="19">
        <v>0</v>
      </c>
      <c r="CD105" s="19">
        <v>0</v>
      </c>
      <c r="CE105" s="19">
        <v>0</v>
      </c>
      <c r="CF105" s="19">
        <v>0</v>
      </c>
      <c r="CG105" s="19">
        <v>0</v>
      </c>
      <c r="CH105" s="19">
        <v>0</v>
      </c>
      <c r="CI105" s="19">
        <v>47</v>
      </c>
      <c r="CJ105" s="19">
        <v>689</v>
      </c>
      <c r="CK105" s="19">
        <v>14</v>
      </c>
      <c r="CL105" s="19">
        <v>109</v>
      </c>
      <c r="CM105" s="19">
        <v>0</v>
      </c>
      <c r="CN105" s="19">
        <v>104</v>
      </c>
      <c r="CO105" s="19">
        <v>0</v>
      </c>
      <c r="CP105" s="19">
        <v>0</v>
      </c>
      <c r="CQ105" s="19">
        <v>0</v>
      </c>
      <c r="CR105" s="19">
        <v>0</v>
      </c>
      <c r="CS105" s="19" t="s">
        <v>669</v>
      </c>
      <c r="CT105" s="19">
        <v>542</v>
      </c>
      <c r="CU105" s="19">
        <v>0</v>
      </c>
      <c r="CV105" s="19">
        <v>161</v>
      </c>
      <c r="CW105" s="19">
        <v>273</v>
      </c>
      <c r="CX105" s="19">
        <v>33</v>
      </c>
      <c r="CY105" s="19">
        <v>163</v>
      </c>
      <c r="CZ105" s="19">
        <v>20</v>
      </c>
      <c r="DA105" s="19">
        <v>8</v>
      </c>
      <c r="DB105" s="19">
        <v>13</v>
      </c>
      <c r="DC105" s="19">
        <v>5</v>
      </c>
      <c r="DD105" s="19">
        <v>2</v>
      </c>
      <c r="DE105" s="19" t="s">
        <v>669</v>
      </c>
      <c r="DF105" s="19">
        <v>0</v>
      </c>
      <c r="DG105" s="19">
        <v>7</v>
      </c>
      <c r="DH105" s="19">
        <v>1</v>
      </c>
      <c r="DI105" s="19">
        <v>4</v>
      </c>
      <c r="DJ105" s="19">
        <v>5</v>
      </c>
      <c r="DK105" s="19">
        <v>0</v>
      </c>
      <c r="DL105" s="19">
        <v>0</v>
      </c>
      <c r="DM105" s="19">
        <v>7</v>
      </c>
      <c r="DN105" s="19">
        <v>6</v>
      </c>
      <c r="DO105" s="19">
        <v>0</v>
      </c>
      <c r="DP105" s="19">
        <v>0</v>
      </c>
      <c r="DQ105" s="19">
        <v>0</v>
      </c>
      <c r="DR105" s="19">
        <v>0</v>
      </c>
      <c r="DS105" s="19">
        <v>0</v>
      </c>
      <c r="DT105" s="19">
        <v>0</v>
      </c>
      <c r="DU105" s="19">
        <v>0</v>
      </c>
      <c r="DV105" s="19">
        <v>0</v>
      </c>
      <c r="DW105" s="29">
        <v>0</v>
      </c>
      <c r="DX105" s="29">
        <v>0</v>
      </c>
      <c r="DY105" s="29">
        <v>0</v>
      </c>
      <c r="DZ105" s="29">
        <v>0</v>
      </c>
      <c r="EA105" s="29">
        <v>0</v>
      </c>
      <c r="EB105" s="29">
        <v>0</v>
      </c>
      <c r="EC105" s="29">
        <v>0</v>
      </c>
      <c r="ED105" s="29">
        <v>0</v>
      </c>
      <c r="EE105" s="29">
        <v>0</v>
      </c>
      <c r="EF105" s="29">
        <v>0</v>
      </c>
      <c r="EG105" s="29">
        <v>0</v>
      </c>
      <c r="EH105" s="29">
        <v>0</v>
      </c>
      <c r="EI105" s="29">
        <v>0</v>
      </c>
      <c r="EJ105" s="29">
        <v>0</v>
      </c>
      <c r="EK105" s="19">
        <v>0</v>
      </c>
      <c r="EL105" s="19"/>
      <c r="EM105" s="19"/>
      <c r="EN105" s="19"/>
      <c r="EO105" s="19"/>
    </row>
    <row r="106" spans="1:258">
      <c r="A106" t="s">
        <v>670</v>
      </c>
      <c r="B106" t="s">
        <v>1470</v>
      </c>
      <c r="C106" t="s">
        <v>24</v>
      </c>
      <c r="D106" t="s">
        <v>1369</v>
      </c>
      <c r="E106">
        <v>0</v>
      </c>
      <c r="F106" t="s">
        <v>237</v>
      </c>
      <c r="G106" t="s">
        <v>661</v>
      </c>
      <c r="H106" t="s">
        <v>595</v>
      </c>
      <c r="I106">
        <v>376</v>
      </c>
      <c r="J106">
        <v>0</v>
      </c>
      <c r="K106" t="s">
        <v>635</v>
      </c>
      <c r="L106">
        <v>0</v>
      </c>
      <c r="M106">
        <v>0</v>
      </c>
      <c r="N106" t="s">
        <v>666</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Z106">
        <v>0</v>
      </c>
      <c r="BA106">
        <v>0</v>
      </c>
      <c r="BB106">
        <v>0</v>
      </c>
      <c r="BC106">
        <v>0</v>
      </c>
      <c r="BF106">
        <v>0</v>
      </c>
      <c r="BG106">
        <v>0</v>
      </c>
      <c r="BH106">
        <v>0</v>
      </c>
      <c r="BI106">
        <v>0</v>
      </c>
      <c r="BJ106">
        <v>0</v>
      </c>
      <c r="BK106">
        <v>0</v>
      </c>
      <c r="BL106" s="19">
        <v>0</v>
      </c>
      <c r="BM106" s="19">
        <v>0</v>
      </c>
      <c r="BN106" s="19">
        <v>0</v>
      </c>
      <c r="BO106" s="19">
        <v>0</v>
      </c>
      <c r="BP106" s="19">
        <v>0</v>
      </c>
      <c r="BQ106" s="19">
        <v>0</v>
      </c>
      <c r="BR106" s="19">
        <v>0</v>
      </c>
      <c r="BS106" s="19">
        <v>56969</v>
      </c>
      <c r="BT106" s="19">
        <v>0</v>
      </c>
      <c r="BU106" s="19">
        <v>44894</v>
      </c>
      <c r="BV106" s="19">
        <v>0</v>
      </c>
      <c r="BW106" s="19">
        <v>0</v>
      </c>
      <c r="BX106" s="19">
        <v>0</v>
      </c>
      <c r="BY106" s="19">
        <v>0</v>
      </c>
      <c r="BZ106" s="19">
        <v>0</v>
      </c>
      <c r="CA106" s="19">
        <v>0</v>
      </c>
      <c r="CB106" s="19">
        <v>0</v>
      </c>
      <c r="CC106" s="19">
        <v>0</v>
      </c>
      <c r="CD106" s="19">
        <v>0</v>
      </c>
      <c r="CE106" s="19">
        <v>0</v>
      </c>
      <c r="CF106" s="19">
        <v>0</v>
      </c>
      <c r="CG106" s="19">
        <v>0</v>
      </c>
      <c r="CH106" s="19">
        <v>0</v>
      </c>
      <c r="CI106" s="19">
        <v>178</v>
      </c>
      <c r="CJ106" s="19">
        <v>2395</v>
      </c>
      <c r="CK106" s="19">
        <v>61</v>
      </c>
      <c r="CL106" s="19">
        <v>620</v>
      </c>
      <c r="CM106" s="19">
        <v>0</v>
      </c>
      <c r="CN106" s="19">
        <v>227</v>
      </c>
      <c r="CO106" s="19">
        <v>0</v>
      </c>
      <c r="CP106" s="19">
        <v>0</v>
      </c>
      <c r="CQ106" s="19">
        <v>0</v>
      </c>
      <c r="CR106" s="19">
        <v>0</v>
      </c>
      <c r="CS106" s="19" t="s">
        <v>669</v>
      </c>
      <c r="CT106" s="19">
        <v>1911</v>
      </c>
      <c r="CU106" s="19">
        <v>0</v>
      </c>
      <c r="CV106" s="19">
        <v>194</v>
      </c>
      <c r="CW106" s="19">
        <v>417</v>
      </c>
      <c r="CX106" s="19">
        <v>68</v>
      </c>
      <c r="CY106" s="19">
        <v>364</v>
      </c>
      <c r="CZ106" s="19">
        <v>58</v>
      </c>
      <c r="DA106" s="19">
        <v>16</v>
      </c>
      <c r="DB106" s="19">
        <v>51</v>
      </c>
      <c r="DC106" s="19">
        <v>19</v>
      </c>
      <c r="DD106" s="19">
        <v>3</v>
      </c>
      <c r="DE106" s="19">
        <v>6</v>
      </c>
      <c r="DF106" s="19">
        <v>0</v>
      </c>
      <c r="DG106" s="19" t="s">
        <v>669</v>
      </c>
      <c r="DH106" s="19" t="s">
        <v>669</v>
      </c>
      <c r="DI106" s="19">
        <v>26</v>
      </c>
      <c r="DJ106" s="19">
        <v>4</v>
      </c>
      <c r="DK106" s="19">
        <v>0</v>
      </c>
      <c r="DL106" s="19">
        <v>0</v>
      </c>
      <c r="DM106" s="19">
        <v>8</v>
      </c>
      <c r="DN106" s="19">
        <v>5</v>
      </c>
      <c r="DO106" s="19">
        <v>0</v>
      </c>
      <c r="DP106" s="19">
        <v>0</v>
      </c>
      <c r="DQ106" s="19">
        <v>0</v>
      </c>
      <c r="DR106" s="19">
        <v>0</v>
      </c>
      <c r="DS106" s="19">
        <v>0</v>
      </c>
      <c r="DT106" s="19">
        <v>0</v>
      </c>
      <c r="DU106" s="19">
        <v>0</v>
      </c>
      <c r="DV106" s="19">
        <v>0</v>
      </c>
      <c r="DW106" s="29">
        <v>0</v>
      </c>
      <c r="DX106" s="29">
        <v>0</v>
      </c>
      <c r="DY106" s="29">
        <v>0</v>
      </c>
      <c r="DZ106" s="29">
        <v>0</v>
      </c>
      <c r="EA106" s="29">
        <v>0</v>
      </c>
      <c r="EB106" s="29">
        <v>0</v>
      </c>
      <c r="EC106" s="29">
        <v>0</v>
      </c>
      <c r="ED106" s="29">
        <v>0</v>
      </c>
      <c r="EE106" s="29">
        <v>0</v>
      </c>
      <c r="EF106" s="29">
        <v>0</v>
      </c>
      <c r="EG106" s="29">
        <v>0</v>
      </c>
      <c r="EH106" s="29">
        <v>0</v>
      </c>
      <c r="EI106" s="29">
        <v>0</v>
      </c>
      <c r="EJ106" s="29">
        <v>0</v>
      </c>
      <c r="EK106" s="19">
        <v>0</v>
      </c>
      <c r="EL106" s="19"/>
      <c r="EM106" s="19"/>
      <c r="EN106" s="19"/>
      <c r="EO106" s="19"/>
    </row>
    <row r="107" spans="1:258">
      <c r="A107" t="s">
        <v>670</v>
      </c>
      <c r="B107" t="s">
        <v>1470</v>
      </c>
      <c r="C107" t="s">
        <v>24</v>
      </c>
      <c r="D107" t="s">
        <v>1369</v>
      </c>
      <c r="E107">
        <v>0</v>
      </c>
      <c r="F107" t="s">
        <v>237</v>
      </c>
      <c r="G107" t="s">
        <v>661</v>
      </c>
      <c r="H107" t="s">
        <v>595</v>
      </c>
      <c r="I107">
        <v>376</v>
      </c>
      <c r="J107">
        <v>0</v>
      </c>
      <c r="K107" t="s">
        <v>635</v>
      </c>
      <c r="L107">
        <v>0</v>
      </c>
      <c r="M107">
        <v>0</v>
      </c>
      <c r="N107" t="s">
        <v>667</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Z107">
        <v>0</v>
      </c>
      <c r="BA107">
        <v>0</v>
      </c>
      <c r="BB107">
        <v>0</v>
      </c>
      <c r="BC107">
        <v>0</v>
      </c>
      <c r="BF107">
        <v>0</v>
      </c>
      <c r="BG107">
        <v>0</v>
      </c>
      <c r="BH107">
        <v>0</v>
      </c>
      <c r="BI107">
        <v>0</v>
      </c>
      <c r="BJ107">
        <v>0</v>
      </c>
      <c r="BK107">
        <v>0</v>
      </c>
      <c r="BL107" s="19">
        <v>0</v>
      </c>
      <c r="BM107" s="19">
        <v>0</v>
      </c>
      <c r="BN107" s="19">
        <v>0</v>
      </c>
      <c r="BO107" s="19">
        <v>0</v>
      </c>
      <c r="BP107" s="19">
        <v>0</v>
      </c>
      <c r="BQ107" s="19">
        <v>0</v>
      </c>
      <c r="BR107" s="19">
        <v>0</v>
      </c>
      <c r="BS107" s="19">
        <v>45678</v>
      </c>
      <c r="BT107" s="19">
        <v>0</v>
      </c>
      <c r="BU107" s="19">
        <v>12944</v>
      </c>
      <c r="BV107" s="19">
        <v>0</v>
      </c>
      <c r="BW107" s="19">
        <v>0</v>
      </c>
      <c r="BX107" s="19">
        <v>0</v>
      </c>
      <c r="BY107" s="19">
        <v>0</v>
      </c>
      <c r="BZ107" s="19">
        <v>0</v>
      </c>
      <c r="CA107" s="19">
        <v>0</v>
      </c>
      <c r="CB107" s="19">
        <v>0</v>
      </c>
      <c r="CC107" s="19">
        <v>0</v>
      </c>
      <c r="CD107" s="19">
        <v>0</v>
      </c>
      <c r="CE107" s="19">
        <v>0</v>
      </c>
      <c r="CF107" s="19">
        <v>0</v>
      </c>
      <c r="CG107" s="19">
        <v>0</v>
      </c>
      <c r="CH107" s="19">
        <v>0</v>
      </c>
      <c r="CI107" s="19">
        <v>243</v>
      </c>
      <c r="CJ107" s="19">
        <v>1326</v>
      </c>
      <c r="CK107" s="19">
        <v>9</v>
      </c>
      <c r="CL107" s="19">
        <v>243</v>
      </c>
      <c r="CM107" s="19">
        <v>0</v>
      </c>
      <c r="CN107" s="19">
        <v>109</v>
      </c>
      <c r="CO107" s="19">
        <v>0</v>
      </c>
      <c r="CP107" s="19">
        <v>0</v>
      </c>
      <c r="CQ107" s="19">
        <v>0</v>
      </c>
      <c r="CR107" s="19">
        <v>0</v>
      </c>
      <c r="CS107" s="19" t="s">
        <v>669</v>
      </c>
      <c r="CT107" s="19">
        <v>2384</v>
      </c>
      <c r="CU107" s="19">
        <v>0</v>
      </c>
      <c r="CV107" s="19">
        <v>73</v>
      </c>
      <c r="CW107" s="19">
        <v>130</v>
      </c>
      <c r="CX107" s="19">
        <v>17</v>
      </c>
      <c r="CY107" s="19">
        <v>73</v>
      </c>
      <c r="CZ107" s="19">
        <v>15</v>
      </c>
      <c r="DA107" s="19">
        <v>5</v>
      </c>
      <c r="DB107" s="19">
        <v>8</v>
      </c>
      <c r="DC107" s="19">
        <v>5</v>
      </c>
      <c r="DD107" s="19">
        <v>2</v>
      </c>
      <c r="DE107" s="19" t="s">
        <v>669</v>
      </c>
      <c r="DF107" s="19">
        <v>0</v>
      </c>
      <c r="DG107" s="19">
        <v>12</v>
      </c>
      <c r="DH107" s="19">
        <v>1</v>
      </c>
      <c r="DI107" s="19">
        <v>7</v>
      </c>
      <c r="DJ107" s="19">
        <v>6</v>
      </c>
      <c r="DK107" s="19">
        <v>0</v>
      </c>
      <c r="DL107" s="19">
        <v>0</v>
      </c>
      <c r="DM107" s="19">
        <v>8</v>
      </c>
      <c r="DN107" s="19">
        <v>4</v>
      </c>
      <c r="DO107" s="19">
        <v>0</v>
      </c>
      <c r="DP107" s="19">
        <v>0</v>
      </c>
      <c r="DQ107" s="19">
        <v>0</v>
      </c>
      <c r="DR107" s="19">
        <v>0</v>
      </c>
      <c r="DS107" s="19">
        <v>0</v>
      </c>
      <c r="DT107" s="19">
        <v>0</v>
      </c>
      <c r="DU107" s="19">
        <v>0</v>
      </c>
      <c r="DV107" s="19">
        <v>0</v>
      </c>
      <c r="DW107" s="29">
        <v>0</v>
      </c>
      <c r="DX107" s="29">
        <v>0</v>
      </c>
      <c r="DY107" s="29">
        <v>0</v>
      </c>
      <c r="DZ107" s="29">
        <v>0</v>
      </c>
      <c r="EA107" s="29">
        <v>0</v>
      </c>
      <c r="EB107" s="29">
        <v>0</v>
      </c>
      <c r="EC107" s="29">
        <v>0</v>
      </c>
      <c r="ED107" s="29">
        <v>0</v>
      </c>
      <c r="EE107" s="29">
        <v>0</v>
      </c>
      <c r="EF107" s="29">
        <v>0</v>
      </c>
      <c r="EG107" s="29">
        <v>0</v>
      </c>
      <c r="EH107" s="29">
        <v>0</v>
      </c>
      <c r="EI107" s="29">
        <v>0</v>
      </c>
      <c r="EJ107" s="29">
        <v>0</v>
      </c>
      <c r="EK107" s="19">
        <v>0</v>
      </c>
      <c r="EL107" s="19"/>
      <c r="EM107" s="19"/>
      <c r="EN107" s="19"/>
      <c r="EO107" s="19"/>
    </row>
    <row r="108" spans="1:258">
      <c r="A108" t="s">
        <v>670</v>
      </c>
      <c r="B108" t="s">
        <v>1470</v>
      </c>
      <c r="C108" t="s">
        <v>24</v>
      </c>
      <c r="D108" t="s">
        <v>1369</v>
      </c>
      <c r="E108">
        <v>0</v>
      </c>
      <c r="F108" t="s">
        <v>237</v>
      </c>
      <c r="G108" t="s">
        <v>661</v>
      </c>
      <c r="H108" t="s">
        <v>595</v>
      </c>
      <c r="I108">
        <v>376</v>
      </c>
      <c r="J108">
        <v>0</v>
      </c>
      <c r="K108" t="s">
        <v>635</v>
      </c>
      <c r="L108">
        <v>0</v>
      </c>
      <c r="M108">
        <v>0</v>
      </c>
      <c r="N108" t="s">
        <v>668</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Z108">
        <v>0</v>
      </c>
      <c r="BA108">
        <v>0</v>
      </c>
      <c r="BB108">
        <v>0</v>
      </c>
      <c r="BC108">
        <v>0</v>
      </c>
      <c r="BF108">
        <v>0</v>
      </c>
      <c r="BG108">
        <v>0</v>
      </c>
      <c r="BH108">
        <v>0</v>
      </c>
      <c r="BI108">
        <v>0</v>
      </c>
      <c r="BJ108">
        <v>0</v>
      </c>
      <c r="BK108">
        <v>0</v>
      </c>
      <c r="BL108" s="19">
        <v>0</v>
      </c>
      <c r="BM108" s="19">
        <v>0</v>
      </c>
      <c r="BN108" s="19">
        <v>0</v>
      </c>
      <c r="BO108" s="19">
        <v>0</v>
      </c>
      <c r="BP108" s="19">
        <v>0</v>
      </c>
      <c r="BQ108" s="19">
        <v>0</v>
      </c>
      <c r="BR108" s="19">
        <v>0</v>
      </c>
      <c r="BS108" s="19">
        <v>18648</v>
      </c>
      <c r="BT108" s="19">
        <v>0</v>
      </c>
      <c r="BU108" s="19">
        <v>4100</v>
      </c>
      <c r="BV108" s="19">
        <v>0</v>
      </c>
      <c r="BW108" s="19">
        <v>0</v>
      </c>
      <c r="BX108" s="19">
        <v>0</v>
      </c>
      <c r="BY108" s="19">
        <v>0</v>
      </c>
      <c r="BZ108" s="19">
        <v>0</v>
      </c>
      <c r="CA108" s="19">
        <v>0</v>
      </c>
      <c r="CB108" s="19">
        <v>0</v>
      </c>
      <c r="CC108" s="19">
        <v>0</v>
      </c>
      <c r="CD108" s="19">
        <v>0</v>
      </c>
      <c r="CE108" s="19">
        <v>0</v>
      </c>
      <c r="CF108" s="19">
        <v>0</v>
      </c>
      <c r="CG108" s="19">
        <v>0</v>
      </c>
      <c r="CH108" s="19">
        <v>0</v>
      </c>
      <c r="CI108" s="19">
        <v>77</v>
      </c>
      <c r="CJ108" s="19">
        <v>767</v>
      </c>
      <c r="CK108" s="19">
        <v>13</v>
      </c>
      <c r="CL108" s="19">
        <v>77</v>
      </c>
      <c r="CM108" s="19">
        <v>0</v>
      </c>
      <c r="CN108" s="19">
        <v>80</v>
      </c>
      <c r="CO108" s="19">
        <v>0</v>
      </c>
      <c r="CP108" s="19">
        <v>0</v>
      </c>
      <c r="CQ108" s="19">
        <v>0</v>
      </c>
      <c r="CR108" s="19">
        <v>0</v>
      </c>
      <c r="CS108" s="19" t="s">
        <v>669</v>
      </c>
      <c r="CT108" s="19">
        <v>1232</v>
      </c>
      <c r="CU108" s="19">
        <v>0</v>
      </c>
      <c r="CV108" s="19">
        <v>53</v>
      </c>
      <c r="CW108" s="19">
        <v>78</v>
      </c>
      <c r="CX108" s="19">
        <v>11</v>
      </c>
      <c r="CY108" s="19">
        <v>54</v>
      </c>
      <c r="CZ108" s="19">
        <v>10</v>
      </c>
      <c r="DA108" s="19">
        <v>3</v>
      </c>
      <c r="DB108" s="19">
        <v>7</v>
      </c>
      <c r="DC108" s="19" t="s">
        <v>669</v>
      </c>
      <c r="DD108" s="19" t="s">
        <v>669</v>
      </c>
      <c r="DE108" s="19">
        <v>3</v>
      </c>
      <c r="DF108" s="19">
        <v>0</v>
      </c>
      <c r="DG108" s="19" t="s">
        <v>669</v>
      </c>
      <c r="DH108" s="19" t="s">
        <v>669</v>
      </c>
      <c r="DI108" s="19">
        <v>4</v>
      </c>
      <c r="DJ108" s="19">
        <v>3</v>
      </c>
      <c r="DK108" s="19">
        <v>0</v>
      </c>
      <c r="DL108" s="19">
        <v>0</v>
      </c>
      <c r="DM108" s="19">
        <v>5</v>
      </c>
      <c r="DN108" s="19" t="s">
        <v>669</v>
      </c>
      <c r="DO108" s="19">
        <v>0</v>
      </c>
      <c r="DP108" s="19">
        <v>0</v>
      </c>
      <c r="DQ108" s="19">
        <v>0</v>
      </c>
      <c r="DR108" s="19">
        <v>0</v>
      </c>
      <c r="DS108" s="19">
        <v>0</v>
      </c>
      <c r="DT108" s="19">
        <v>0</v>
      </c>
      <c r="DU108" s="19">
        <v>0</v>
      </c>
      <c r="DV108" s="19">
        <v>0</v>
      </c>
      <c r="DW108" s="29">
        <v>0</v>
      </c>
      <c r="DX108" s="29">
        <v>0</v>
      </c>
      <c r="DY108" s="29">
        <v>0</v>
      </c>
      <c r="DZ108" s="29">
        <v>0</v>
      </c>
      <c r="EA108" s="29">
        <v>0</v>
      </c>
      <c r="EB108" s="29">
        <v>0</v>
      </c>
      <c r="EC108" s="29">
        <v>0</v>
      </c>
      <c r="ED108" s="29">
        <v>0</v>
      </c>
      <c r="EE108" s="29">
        <v>0</v>
      </c>
      <c r="EF108" s="29">
        <v>0</v>
      </c>
      <c r="EG108" s="29">
        <v>0</v>
      </c>
      <c r="EH108" s="29">
        <v>0</v>
      </c>
      <c r="EI108" s="29">
        <v>0</v>
      </c>
      <c r="EJ108" s="29">
        <v>0</v>
      </c>
      <c r="EK108" s="19">
        <v>0</v>
      </c>
      <c r="EL108" s="19"/>
      <c r="EM108" s="19"/>
      <c r="EN108" s="19"/>
      <c r="EO108" s="19"/>
    </row>
    <row r="109" spans="1:258">
      <c r="A109" t="s">
        <v>1137</v>
      </c>
      <c r="B109" t="s">
        <v>1470</v>
      </c>
      <c r="D109" t="s">
        <v>1369</v>
      </c>
      <c r="E109">
        <v>0</v>
      </c>
      <c r="F109" t="s">
        <v>237</v>
      </c>
      <c r="G109" t="s">
        <v>826</v>
      </c>
      <c r="H109" t="s">
        <v>595</v>
      </c>
      <c r="I109">
        <v>0</v>
      </c>
      <c r="J109">
        <v>0</v>
      </c>
      <c r="K109">
        <v>0</v>
      </c>
      <c r="L109">
        <v>0</v>
      </c>
      <c r="M109" t="s">
        <v>403</v>
      </c>
      <c r="N109">
        <v>0</v>
      </c>
      <c r="O109">
        <v>0</v>
      </c>
      <c r="P109" t="s">
        <v>404</v>
      </c>
      <c r="Q109" t="s">
        <v>405</v>
      </c>
      <c r="R109">
        <v>0</v>
      </c>
      <c r="S109" t="s">
        <v>407</v>
      </c>
      <c r="T109" t="s">
        <v>408</v>
      </c>
      <c r="U109" t="s">
        <v>409</v>
      </c>
      <c r="V109">
        <v>0</v>
      </c>
      <c r="W109" t="s">
        <v>410</v>
      </c>
      <c r="X109" t="s">
        <v>411</v>
      </c>
      <c r="Y109" t="s">
        <v>412</v>
      </c>
      <c r="Z109">
        <v>0</v>
      </c>
      <c r="AA109" t="s">
        <v>413</v>
      </c>
      <c r="AB109" t="s">
        <v>414</v>
      </c>
      <c r="AC109" t="s">
        <v>406</v>
      </c>
      <c r="AD109">
        <v>0</v>
      </c>
      <c r="AE109" t="s">
        <v>415</v>
      </c>
      <c r="AF109">
        <v>0</v>
      </c>
      <c r="AG109">
        <v>0</v>
      </c>
      <c r="AH109">
        <v>0</v>
      </c>
      <c r="AI109">
        <v>0</v>
      </c>
      <c r="AJ109">
        <v>0</v>
      </c>
      <c r="AZ109">
        <v>0</v>
      </c>
      <c r="BA109">
        <v>0</v>
      </c>
      <c r="BB109">
        <v>0</v>
      </c>
      <c r="BC109">
        <v>0</v>
      </c>
      <c r="BF109">
        <v>0</v>
      </c>
      <c r="BG109">
        <v>0</v>
      </c>
      <c r="BH109">
        <v>0</v>
      </c>
      <c r="BI109">
        <v>0</v>
      </c>
      <c r="BJ109">
        <v>0</v>
      </c>
      <c r="BK109">
        <v>0</v>
      </c>
      <c r="BL109" s="19">
        <v>0</v>
      </c>
      <c r="BM109" s="19">
        <v>0</v>
      </c>
      <c r="BN109" s="19">
        <v>0</v>
      </c>
      <c r="BO109" s="19">
        <v>0</v>
      </c>
      <c r="BP109" s="19">
        <v>0</v>
      </c>
      <c r="BQ109" s="19">
        <v>0</v>
      </c>
      <c r="BR109" s="19">
        <v>0</v>
      </c>
      <c r="BS109" s="19">
        <v>0</v>
      </c>
      <c r="BT109" s="19">
        <v>0</v>
      </c>
      <c r="BU109" s="19">
        <v>0</v>
      </c>
      <c r="BV109" s="19">
        <v>0</v>
      </c>
      <c r="BW109" s="19">
        <v>0</v>
      </c>
      <c r="BX109" s="19">
        <v>0</v>
      </c>
      <c r="BY109" s="19">
        <v>0</v>
      </c>
      <c r="BZ109" s="19">
        <v>0</v>
      </c>
      <c r="CA109" s="19">
        <v>0</v>
      </c>
      <c r="CB109" s="19">
        <v>0</v>
      </c>
      <c r="CC109" s="19">
        <v>0</v>
      </c>
      <c r="CD109" s="19">
        <v>0</v>
      </c>
      <c r="CE109" s="19">
        <v>0</v>
      </c>
      <c r="CF109" s="19">
        <v>0</v>
      </c>
      <c r="CG109" s="19">
        <v>0</v>
      </c>
      <c r="CH109" s="19">
        <v>0</v>
      </c>
      <c r="CI109" s="19">
        <v>0</v>
      </c>
      <c r="CJ109" s="19">
        <v>0</v>
      </c>
      <c r="CK109" s="19">
        <v>0</v>
      </c>
      <c r="CL109" s="19">
        <v>0</v>
      </c>
      <c r="CM109" s="19">
        <v>0</v>
      </c>
      <c r="CN109" s="19">
        <v>0</v>
      </c>
      <c r="CO109" s="19">
        <v>0</v>
      </c>
      <c r="CP109" s="19">
        <v>0</v>
      </c>
      <c r="CQ109" s="19">
        <v>0</v>
      </c>
      <c r="CR109" s="19">
        <v>0</v>
      </c>
      <c r="CS109" s="19">
        <v>0</v>
      </c>
      <c r="CT109" s="19">
        <v>0</v>
      </c>
      <c r="CU109" s="19">
        <v>0</v>
      </c>
      <c r="CV109" s="19">
        <v>0</v>
      </c>
      <c r="CW109" s="19">
        <v>0</v>
      </c>
      <c r="CX109" s="19">
        <v>0</v>
      </c>
      <c r="CY109" s="19">
        <v>0</v>
      </c>
      <c r="CZ109" s="19">
        <v>0</v>
      </c>
      <c r="DA109" s="19">
        <v>0</v>
      </c>
      <c r="DB109" s="19">
        <v>0</v>
      </c>
      <c r="DC109" s="19">
        <v>0</v>
      </c>
      <c r="DD109" s="19">
        <v>0</v>
      </c>
      <c r="DE109" s="19">
        <v>0</v>
      </c>
      <c r="DF109" s="19">
        <v>0</v>
      </c>
      <c r="DG109" s="19">
        <v>0</v>
      </c>
      <c r="DH109" s="19">
        <v>0</v>
      </c>
      <c r="DI109" s="19">
        <v>0</v>
      </c>
      <c r="DJ109" s="19">
        <v>0</v>
      </c>
      <c r="DK109" s="19">
        <v>0</v>
      </c>
      <c r="DL109" s="19">
        <v>0</v>
      </c>
      <c r="DM109" s="19">
        <v>0</v>
      </c>
      <c r="DN109" s="19">
        <v>0</v>
      </c>
      <c r="DO109" s="19">
        <v>0</v>
      </c>
      <c r="DP109" s="19">
        <v>0</v>
      </c>
      <c r="DQ109" s="19">
        <v>0</v>
      </c>
      <c r="DR109" s="19">
        <v>0</v>
      </c>
      <c r="DS109" s="19">
        <v>0</v>
      </c>
      <c r="DT109" s="19">
        <v>0</v>
      </c>
      <c r="DU109" s="19">
        <v>0</v>
      </c>
      <c r="DV109" s="19">
        <v>0</v>
      </c>
      <c r="DW109" s="29">
        <v>0</v>
      </c>
      <c r="DX109" s="29">
        <v>0</v>
      </c>
      <c r="DY109" s="29">
        <v>0</v>
      </c>
      <c r="DZ109" s="29">
        <v>0</v>
      </c>
      <c r="EA109" s="29">
        <v>0</v>
      </c>
      <c r="EB109" s="29">
        <v>0</v>
      </c>
      <c r="EC109" s="29">
        <v>0</v>
      </c>
      <c r="ED109" s="29">
        <v>0</v>
      </c>
      <c r="EE109" s="29">
        <v>0</v>
      </c>
      <c r="EF109" s="29">
        <v>0</v>
      </c>
      <c r="EG109" s="29">
        <v>0</v>
      </c>
      <c r="EH109" s="29">
        <v>0</v>
      </c>
      <c r="EI109" s="29">
        <v>0</v>
      </c>
      <c r="EJ109" s="29">
        <v>0</v>
      </c>
      <c r="EK109" s="19">
        <v>0</v>
      </c>
      <c r="EL109" s="19"/>
      <c r="EM109" s="19"/>
      <c r="EN109" s="19"/>
      <c r="EO109" s="19"/>
    </row>
    <row r="110" spans="1:258">
      <c r="A110" t="s">
        <v>1211</v>
      </c>
      <c r="B110" t="s">
        <v>1470</v>
      </c>
      <c r="C110" t="s">
        <v>24</v>
      </c>
      <c r="D110" t="s">
        <v>1369</v>
      </c>
      <c r="E110" t="s">
        <v>831</v>
      </c>
      <c r="F110" t="s">
        <v>801</v>
      </c>
      <c r="G110" t="s">
        <v>800</v>
      </c>
      <c r="H110" t="s">
        <v>829</v>
      </c>
      <c r="I110" s="118">
        <v>0</v>
      </c>
      <c r="J110">
        <v>0</v>
      </c>
      <c r="K110" t="s">
        <v>1311</v>
      </c>
      <c r="L110">
        <v>0</v>
      </c>
      <c r="M110">
        <v>0</v>
      </c>
      <c r="N110" t="s">
        <v>1207</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Z110">
        <v>0</v>
      </c>
      <c r="BA110">
        <v>0</v>
      </c>
      <c r="BB110">
        <v>0</v>
      </c>
      <c r="BC110">
        <v>0</v>
      </c>
      <c r="BF110">
        <v>0</v>
      </c>
      <c r="BG110">
        <v>0</v>
      </c>
      <c r="BH110">
        <v>0</v>
      </c>
      <c r="BI110">
        <v>0</v>
      </c>
      <c r="BJ110">
        <v>0</v>
      </c>
      <c r="BK110">
        <v>0</v>
      </c>
      <c r="BL110" s="19">
        <v>0</v>
      </c>
      <c r="BM110" s="19">
        <v>0</v>
      </c>
      <c r="BN110" s="19">
        <v>0</v>
      </c>
      <c r="BO110" s="19">
        <v>0</v>
      </c>
      <c r="BP110" s="19">
        <v>0</v>
      </c>
      <c r="BQ110" s="19">
        <v>0</v>
      </c>
      <c r="BR110" s="19">
        <v>0</v>
      </c>
      <c r="BS110" s="19">
        <v>0</v>
      </c>
      <c r="BT110" s="19">
        <v>0</v>
      </c>
      <c r="BU110" s="19">
        <v>0</v>
      </c>
      <c r="BV110" s="19">
        <v>0</v>
      </c>
      <c r="BW110" s="19">
        <v>0</v>
      </c>
      <c r="BX110" s="19">
        <v>0</v>
      </c>
      <c r="BY110" s="19">
        <v>0</v>
      </c>
      <c r="BZ110" s="19">
        <v>0</v>
      </c>
      <c r="CA110" s="19">
        <v>0</v>
      </c>
      <c r="CB110" s="19">
        <v>0</v>
      </c>
      <c r="CC110" s="19">
        <v>0</v>
      </c>
      <c r="CD110" s="19">
        <v>0</v>
      </c>
      <c r="CE110" s="19">
        <v>0</v>
      </c>
      <c r="CF110" s="19">
        <v>0</v>
      </c>
      <c r="CG110" s="19">
        <v>0</v>
      </c>
      <c r="CH110" s="19">
        <v>0</v>
      </c>
      <c r="CI110" s="19">
        <v>7.2999999999999995E-2</v>
      </c>
      <c r="CJ110" s="19">
        <v>1.9259999999999999</v>
      </c>
      <c r="CK110" s="19">
        <v>2E-3</v>
      </c>
      <c r="CL110" s="19">
        <v>2.8000000000000001E-2</v>
      </c>
      <c r="CM110" s="19">
        <v>0</v>
      </c>
      <c r="CN110" s="19">
        <v>0.34300000000000003</v>
      </c>
      <c r="CO110" s="19">
        <v>0</v>
      </c>
      <c r="CP110" s="19">
        <v>0</v>
      </c>
      <c r="CQ110" s="19">
        <v>0</v>
      </c>
      <c r="CR110" s="19">
        <v>0</v>
      </c>
      <c r="CS110" s="19">
        <v>0</v>
      </c>
      <c r="CT110" s="19">
        <v>7.89</v>
      </c>
      <c r="CU110" s="19">
        <v>0</v>
      </c>
      <c r="CV110" s="19">
        <v>0.46899999999999997</v>
      </c>
      <c r="CW110" s="19">
        <v>0.65900000000000003</v>
      </c>
      <c r="CX110" s="19" t="s">
        <v>1192</v>
      </c>
      <c r="CY110" s="19">
        <v>0.18</v>
      </c>
      <c r="CZ110" s="19">
        <v>2.3E-2</v>
      </c>
      <c r="DA110" s="19">
        <v>4.0000000000000001E-3</v>
      </c>
      <c r="DB110" s="19">
        <v>1E-3</v>
      </c>
      <c r="DC110" s="19" t="s">
        <v>1192</v>
      </c>
      <c r="DD110" s="19">
        <v>0</v>
      </c>
      <c r="DE110" s="19" t="s">
        <v>1192</v>
      </c>
      <c r="DF110" s="19">
        <v>0</v>
      </c>
      <c r="DG110" s="19">
        <v>3.1E-2</v>
      </c>
      <c r="DH110" s="19" t="s">
        <v>1192</v>
      </c>
      <c r="DI110" s="19" t="s">
        <v>1192</v>
      </c>
      <c r="DJ110" s="19">
        <v>0</v>
      </c>
      <c r="DK110" s="19">
        <v>0</v>
      </c>
      <c r="DL110" s="19">
        <v>0.23</v>
      </c>
      <c r="DM110" s="19">
        <v>8.1000000000000003E-2</v>
      </c>
      <c r="DN110" s="19">
        <v>1.6E-2</v>
      </c>
      <c r="DO110" s="19" t="s">
        <v>1192</v>
      </c>
      <c r="DP110" s="19">
        <v>0</v>
      </c>
      <c r="DQ110" s="19">
        <v>0</v>
      </c>
      <c r="DR110" s="19">
        <v>0</v>
      </c>
      <c r="DS110" s="19">
        <v>0</v>
      </c>
      <c r="DT110" s="19">
        <v>0</v>
      </c>
      <c r="DU110" s="19">
        <v>0</v>
      </c>
      <c r="DV110" s="19">
        <v>0</v>
      </c>
      <c r="DW110" s="29">
        <v>0</v>
      </c>
      <c r="DX110" s="29">
        <v>0</v>
      </c>
      <c r="DY110" s="29">
        <v>0</v>
      </c>
      <c r="DZ110" s="29">
        <v>0</v>
      </c>
      <c r="EA110" s="29">
        <v>0</v>
      </c>
      <c r="EB110" s="29">
        <v>0</v>
      </c>
      <c r="EC110" s="29">
        <v>0</v>
      </c>
      <c r="ED110" s="29">
        <v>0</v>
      </c>
      <c r="EE110" s="29">
        <v>0</v>
      </c>
      <c r="EF110" s="29">
        <v>0</v>
      </c>
      <c r="EG110" s="29">
        <v>0</v>
      </c>
      <c r="EH110" s="29">
        <v>0</v>
      </c>
      <c r="EI110" s="29">
        <v>0</v>
      </c>
      <c r="EJ110" s="29">
        <v>0</v>
      </c>
      <c r="EK110" s="19">
        <v>0</v>
      </c>
      <c r="EL110" s="19"/>
      <c r="EM110" s="19"/>
      <c r="EN110" s="19"/>
      <c r="EO110" s="19"/>
    </row>
    <row r="111" spans="1:258">
      <c r="A111" t="s">
        <v>1211</v>
      </c>
      <c r="B111" t="s">
        <v>1470</v>
      </c>
      <c r="C111" t="s">
        <v>24</v>
      </c>
      <c r="D111" t="s">
        <v>1369</v>
      </c>
      <c r="E111" t="s">
        <v>831</v>
      </c>
      <c r="F111" t="s">
        <v>801</v>
      </c>
      <c r="G111" t="s">
        <v>800</v>
      </c>
      <c r="H111" t="s">
        <v>829</v>
      </c>
      <c r="I111" s="118">
        <v>0</v>
      </c>
      <c r="J111">
        <v>0</v>
      </c>
      <c r="K111" t="s">
        <v>1311</v>
      </c>
      <c r="L111">
        <v>0</v>
      </c>
      <c r="M111">
        <v>0</v>
      </c>
      <c r="N111" t="s">
        <v>1210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Z111">
        <v>0</v>
      </c>
      <c r="BA111">
        <v>0</v>
      </c>
      <c r="BB111">
        <v>0</v>
      </c>
      <c r="BC111">
        <v>0</v>
      </c>
      <c r="BF111">
        <v>0</v>
      </c>
      <c r="BG111">
        <v>0</v>
      </c>
      <c r="BH111">
        <v>0</v>
      </c>
      <c r="BI111">
        <v>0</v>
      </c>
      <c r="BJ111">
        <v>0</v>
      </c>
      <c r="BK111">
        <v>0</v>
      </c>
      <c r="BL111" s="19">
        <v>0</v>
      </c>
      <c r="BM111" s="19">
        <v>0</v>
      </c>
      <c r="BN111" s="19">
        <v>0</v>
      </c>
      <c r="BO111" s="19">
        <v>0</v>
      </c>
      <c r="BP111" s="19">
        <v>0</v>
      </c>
      <c r="BQ111" s="19">
        <v>0</v>
      </c>
      <c r="BR111" s="19">
        <v>0</v>
      </c>
      <c r="BS111" s="19">
        <v>0</v>
      </c>
      <c r="BT111" s="19">
        <v>0</v>
      </c>
      <c r="BU111" s="19">
        <v>0</v>
      </c>
      <c r="BV111" s="19">
        <v>0</v>
      </c>
      <c r="BW111" s="19">
        <v>0</v>
      </c>
      <c r="BX111" s="19">
        <v>0</v>
      </c>
      <c r="BY111" s="19">
        <v>0</v>
      </c>
      <c r="BZ111" s="19">
        <v>0</v>
      </c>
      <c r="CA111" s="19">
        <v>0</v>
      </c>
      <c r="CB111" s="19">
        <v>0</v>
      </c>
      <c r="CC111" s="19">
        <v>0</v>
      </c>
      <c r="CD111" s="19">
        <v>0</v>
      </c>
      <c r="CE111" s="19">
        <v>0</v>
      </c>
      <c r="CF111" s="19">
        <v>0</v>
      </c>
      <c r="CG111" s="19">
        <v>0</v>
      </c>
      <c r="CH111" s="19">
        <v>0</v>
      </c>
      <c r="CI111" s="19">
        <v>0.128</v>
      </c>
      <c r="CJ111" s="19">
        <v>4.3499999999999996</v>
      </c>
      <c r="CK111" s="19">
        <v>5.5E-2</v>
      </c>
      <c r="CL111" s="19">
        <v>0.48899999999999999</v>
      </c>
      <c r="CM111" s="19">
        <v>0</v>
      </c>
      <c r="CN111" s="19" t="s">
        <v>1191</v>
      </c>
      <c r="CO111" s="19">
        <v>0</v>
      </c>
      <c r="CP111" s="19">
        <v>0</v>
      </c>
      <c r="CQ111" s="19">
        <v>0</v>
      </c>
      <c r="CR111" s="19">
        <v>0</v>
      </c>
      <c r="CS111" s="19">
        <v>0</v>
      </c>
      <c r="CT111" s="19">
        <v>14.69</v>
      </c>
      <c r="CU111" s="19">
        <v>0</v>
      </c>
      <c r="CV111" s="19">
        <v>0.96099999999999997</v>
      </c>
      <c r="CW111" s="19">
        <v>1.425</v>
      </c>
      <c r="CX111" s="19">
        <v>0.14399999999999999</v>
      </c>
      <c r="CY111" s="19">
        <v>0.40400000000000003</v>
      </c>
      <c r="CZ111" s="19">
        <v>3.5999999999999997E-2</v>
      </c>
      <c r="DA111" s="19">
        <v>7.0000000000000001E-3</v>
      </c>
      <c r="DB111" s="19">
        <v>1.7000000000000001E-2</v>
      </c>
      <c r="DC111" s="19">
        <v>1.2E-2</v>
      </c>
      <c r="DD111" s="19">
        <v>0</v>
      </c>
      <c r="DE111" s="19" t="s">
        <v>1192</v>
      </c>
      <c r="DF111" s="19">
        <v>0</v>
      </c>
      <c r="DG111" s="19" t="s">
        <v>1192</v>
      </c>
      <c r="DH111" s="19" t="s">
        <v>1192</v>
      </c>
      <c r="DI111" s="19">
        <v>2.3E-2</v>
      </c>
      <c r="DJ111" s="19">
        <v>0</v>
      </c>
      <c r="DK111" s="19">
        <v>0</v>
      </c>
      <c r="DL111" s="19">
        <v>2.5409999999999999</v>
      </c>
      <c r="DM111" s="19" t="s">
        <v>1191</v>
      </c>
      <c r="DN111" s="19">
        <v>3.1E-2</v>
      </c>
      <c r="DO111" s="19">
        <v>3.0000000000000001E-3</v>
      </c>
      <c r="DP111" s="19">
        <v>0</v>
      </c>
      <c r="DQ111" s="19">
        <v>0</v>
      </c>
      <c r="DR111" s="19">
        <v>0</v>
      </c>
      <c r="DS111" s="19">
        <v>0</v>
      </c>
      <c r="DT111" s="19">
        <v>0</v>
      </c>
      <c r="DU111" s="19">
        <v>0</v>
      </c>
      <c r="DV111" s="19">
        <v>0</v>
      </c>
      <c r="DW111" s="29">
        <v>0</v>
      </c>
      <c r="DX111" s="29">
        <v>0</v>
      </c>
      <c r="DY111" s="29">
        <v>0</v>
      </c>
      <c r="DZ111" s="29">
        <v>0</v>
      </c>
      <c r="EA111" s="29">
        <v>0</v>
      </c>
      <c r="EB111" s="29">
        <v>0</v>
      </c>
      <c r="EC111" s="29">
        <v>0</v>
      </c>
      <c r="ED111" s="29">
        <v>0</v>
      </c>
      <c r="EE111" s="29">
        <v>0</v>
      </c>
      <c r="EF111" s="29">
        <v>0</v>
      </c>
      <c r="EG111" s="29">
        <v>0</v>
      </c>
      <c r="EH111" s="29">
        <v>0</v>
      </c>
      <c r="EI111" s="29">
        <v>0</v>
      </c>
      <c r="EJ111" s="29">
        <v>0</v>
      </c>
      <c r="EK111" s="19">
        <v>0</v>
      </c>
      <c r="EL111" s="19"/>
      <c r="EM111" s="19"/>
      <c r="EN111" s="19"/>
      <c r="EO111" s="19"/>
    </row>
    <row r="112" spans="1:258" s="4" customFormat="1">
      <c r="A112" s="16" t="s">
        <v>1656</v>
      </c>
      <c r="B112" t="s">
        <v>1470</v>
      </c>
      <c r="C112" s="4" t="s">
        <v>24</v>
      </c>
      <c r="D112" t="s">
        <v>1369</v>
      </c>
      <c r="F112" s="4" t="s">
        <v>237</v>
      </c>
      <c r="G112" s="4" t="s">
        <v>849</v>
      </c>
      <c r="H112" s="4" t="s">
        <v>595</v>
      </c>
      <c r="I112" s="49">
        <v>364</v>
      </c>
      <c r="J112" s="4" t="s">
        <v>1148</v>
      </c>
      <c r="K112" s="4" t="s">
        <v>635</v>
      </c>
      <c r="L112" s="4" t="s">
        <v>1678</v>
      </c>
      <c r="N112" s="4" t="s">
        <v>1704</v>
      </c>
      <c r="AK112" s="26"/>
      <c r="AL112" s="26"/>
      <c r="AM112" s="26"/>
      <c r="AN112" s="26"/>
      <c r="AO112" s="26"/>
      <c r="AP112" s="26"/>
      <c r="AQ112" s="26"/>
      <c r="AR112" s="26"/>
      <c r="AS112" s="26"/>
      <c r="AT112" s="26"/>
      <c r="AU112" s="26"/>
      <c r="AV112" s="26"/>
      <c r="AW112" s="26"/>
      <c r="AX112"/>
      <c r="AY112"/>
      <c r="AZ112"/>
      <c r="BA112"/>
      <c r="BB112" s="95"/>
      <c r="BC112" s="95"/>
      <c r="BF112" s="4">
        <v>-6.7695214592426556</v>
      </c>
      <c r="BH112" s="4">
        <v>646.60671428571425</v>
      </c>
      <c r="BI112" s="4">
        <v>35.782437460666912</v>
      </c>
      <c r="BL112" s="44"/>
      <c r="BM112" s="44"/>
      <c r="BN112" s="44"/>
      <c r="BO112" s="44"/>
      <c r="BP112" s="44"/>
      <c r="BQ112" s="44"/>
      <c r="BR112" s="44"/>
      <c r="BS112" s="44"/>
      <c r="BT112" s="44"/>
      <c r="BU112" s="44">
        <v>614.74553151176838</v>
      </c>
      <c r="BV112" s="44"/>
      <c r="BW112" s="44"/>
      <c r="BX112" s="44"/>
      <c r="BY112" s="44"/>
      <c r="BZ112" s="44"/>
      <c r="CA112" s="44"/>
      <c r="CB112" s="44"/>
      <c r="CC112" s="44"/>
      <c r="CD112" s="44"/>
      <c r="CE112" s="44"/>
      <c r="CF112" s="44"/>
      <c r="CG112" s="44"/>
      <c r="CH112" s="44"/>
      <c r="CI112" s="44"/>
      <c r="CJ112" s="44">
        <v>3893.0637511771283</v>
      </c>
      <c r="CK112" s="44">
        <v>7.2770558401224665</v>
      </c>
      <c r="CL112" s="44">
        <v>276.67055062342882</v>
      </c>
      <c r="CM112" s="44"/>
      <c r="CN112" s="44">
        <v>925.47606927103959</v>
      </c>
      <c r="CO112" s="44"/>
      <c r="CP112" s="44"/>
      <c r="CQ112" s="44"/>
      <c r="CR112" s="44"/>
      <c r="CS112" s="44">
        <v>136238.80470649965</v>
      </c>
      <c r="CT112" s="44">
        <v>8831.9708787372783</v>
      </c>
      <c r="CU112" s="44"/>
      <c r="CV112" s="44">
        <v>612.160638968032</v>
      </c>
      <c r="CW112" s="44">
        <v>884.60766232357639</v>
      </c>
      <c r="CX112" s="44">
        <v>93.617603240847458</v>
      </c>
      <c r="CY112" s="44">
        <v>403.40848772101953</v>
      </c>
      <c r="CZ112" s="44">
        <v>59.15294823910704</v>
      </c>
      <c r="DA112" s="44">
        <v>7.6337636664113466</v>
      </c>
      <c r="DB112" s="44">
        <v>17.802510762557521</v>
      </c>
      <c r="DC112" s="44">
        <v>3.633698062457722</v>
      </c>
      <c r="DD112" s="44">
        <v>0.20233100340491109</v>
      </c>
      <c r="DE112" s="44">
        <v>1.0266211145200386</v>
      </c>
      <c r="DF112" s="44"/>
      <c r="DG112" s="44">
        <v>0.49026505863598746</v>
      </c>
      <c r="DH112" s="44">
        <v>8.1743432332965674E-2</v>
      </c>
      <c r="DI112" s="44">
        <v>5.8883491252362195</v>
      </c>
      <c r="DJ112" s="44">
        <v>35.680616901464418</v>
      </c>
      <c r="DK112" s="44"/>
      <c r="DL112" s="44">
        <v>41.759242128740546</v>
      </c>
      <c r="DM112" s="44">
        <v>81.75273360544962</v>
      </c>
      <c r="DN112" s="44">
        <v>13.333058694313472</v>
      </c>
      <c r="DO112" s="44">
        <v>0.75711696045013255</v>
      </c>
      <c r="DP112" s="44"/>
      <c r="DQ112" s="44"/>
      <c r="DR112" s="44"/>
      <c r="DS112" s="44"/>
      <c r="DT112" s="44"/>
      <c r="DU112" s="44"/>
      <c r="DV112" s="44"/>
      <c r="DW112" s="45"/>
      <c r="DX112" s="45"/>
      <c r="DY112" s="45"/>
      <c r="DZ112" s="45"/>
      <c r="EA112" s="45"/>
      <c r="EB112" s="45"/>
      <c r="EC112" s="45"/>
      <c r="ED112" s="45"/>
      <c r="EE112" s="45"/>
      <c r="EF112" s="45"/>
      <c r="EG112" s="45"/>
      <c r="EH112" s="45"/>
      <c r="EI112" s="45"/>
      <c r="EJ112" s="45"/>
      <c r="EK112" s="44"/>
      <c r="EM112" s="18">
        <f>IFERROR(CS112/'McDonough &amp; Sun 1995 values'!C$2,)</f>
        <v>6487562.1288809357</v>
      </c>
      <c r="EN112" s="18">
        <f>IFERROR(CI112/'McDonough &amp; Sun 1995 values'!D$2,)</f>
        <v>0</v>
      </c>
      <c r="EO112" s="18">
        <f>IFERROR(CT112/'McDonough &amp; Sun 1995 values'!E$2,)</f>
        <v>1338.1774058692847</v>
      </c>
      <c r="EP112" s="18">
        <f>IFERROR(DM112/'McDonough &amp; Sun 1995 values'!F$2,)</f>
        <v>1028.3362717666619</v>
      </c>
      <c r="EQ112" s="18">
        <f>IFERROR(DN112/'McDonough &amp; Sun 1995 values'!G$2,)</f>
        <v>656.80092090214157</v>
      </c>
      <c r="ER112" s="18">
        <f>IFERROR(BS112/'McDonough &amp; Sun 1995 values'!H$2,)</f>
        <v>0</v>
      </c>
      <c r="ES112" s="18">
        <f>IFERROR(DJ112/'McDonough &amp; Sun 1995 values'!I$2,)</f>
        <v>964.34099733687617</v>
      </c>
      <c r="ET112" s="18">
        <f>IFERROR(CN112/'McDonough &amp; Sun 1995 values'!J$2,)</f>
        <v>1406.4985855182972</v>
      </c>
      <c r="EU112" s="18">
        <f>IFERROR(CV112/'McDonough &amp; Sun 1995 values'!K$2,)</f>
        <v>944.69234408646912</v>
      </c>
      <c r="EV112" s="18">
        <f>IFERROR(CW112/'McDonough &amp; Sun 1995 values'!L$2,)</f>
        <v>528.12397750661273</v>
      </c>
      <c r="EW112" s="18">
        <f>IFERROR(CX112/'McDonough &amp; Sun 1995 values'!M$2,)</f>
        <v>368.57324110569863</v>
      </c>
      <c r="EX112" s="18">
        <f>IFERROR(CJ112/'McDonough &amp; Sun 1995 values'!N$2,)</f>
        <v>195.63134428025771</v>
      </c>
      <c r="EY112" s="18">
        <f>IFERROR(CY112/'McDonough &amp; Sun 1995 values'!O$2,)</f>
        <v>322.7267901768156</v>
      </c>
      <c r="EZ112" s="18">
        <f>IFERROR(CZ112/'McDonough &amp; Sun 1995 values'!P$2,)</f>
        <v>145.69691684509121</v>
      </c>
      <c r="FA112" s="18">
        <f>IFERROR(DI112/'McDonough &amp; Sun 1995 values'!Q$2,)</f>
        <v>20.806887368325867</v>
      </c>
      <c r="FB112" s="18">
        <f>IFERROR(CL112/'McDonough &amp; Sun 1995 values'!R$2,)</f>
        <v>26.349576249850365</v>
      </c>
      <c r="FC112" s="18">
        <f>IFERROR(DA112/'McDonough &amp; Sun 1995 values'!S$2,)</f>
        <v>49.569893937736019</v>
      </c>
      <c r="FD112" s="18">
        <f>IFERROR(BU112/'McDonough &amp; Sun 1995 values'!T$2,)</f>
        <v>0.51016226681474552</v>
      </c>
      <c r="FE112" s="18">
        <f>IFERROR(DB112/'McDonough &amp; Sun 1995 values'!U$2,)</f>
        <v>32.725203607642499</v>
      </c>
      <c r="FF112" s="18">
        <f>IFERROR(DO112/'McDonough &amp; Sun 1995 values'!V$2,)</f>
        <v>7.6476460651528537</v>
      </c>
      <c r="FG112" s="18">
        <f>IFERROR(DC112/'McDonough &amp; Sun 1995 values'!W$2,)</f>
        <v>5.3912434161093792</v>
      </c>
      <c r="FH112" s="18">
        <f>IFERROR(CK112/'McDonough &amp; Sun 1995 values'!X$2,)</f>
        <v>1.6923385674703411</v>
      </c>
      <c r="FI112" s="18">
        <f>IFERROR(DD112/'McDonough &amp; Sun 1995 values'!Y$2,)</f>
        <v>1.3579261973483967</v>
      </c>
      <c r="FJ112" s="18">
        <f>IFERROR(DE112/'McDonough &amp; Sun 1995 values'!Z$2,)</f>
        <v>2.3438838231051107</v>
      </c>
      <c r="FK112" s="18">
        <f>IFERROR(DF112/'McDonough &amp; Sun 1995 values'!AA$2,)</f>
        <v>0</v>
      </c>
      <c r="FL112" s="18">
        <f>IFERROR(DG112/'McDonough &amp; Sun 1995 values'!AB$2,)</f>
        <v>1.1117121511020123</v>
      </c>
      <c r="FM112" s="18">
        <f>IFERROR(DH112/'McDonough &amp; Sun 1995 values'!AC$2,)</f>
        <v>1.2110138123402321</v>
      </c>
      <c r="FO112" s="28">
        <f>IFERROR(CN112/CV112,)</f>
        <v>1.5118189742339336</v>
      </c>
      <c r="FP112" s="28">
        <f>IFERROR(CN112/DN112,)</f>
        <v>69.412134941380984</v>
      </c>
      <c r="FQ112" s="28">
        <f>IFERROR(CT112/CI112,)</f>
        <v>0</v>
      </c>
      <c r="FR112" s="28">
        <f>IFERROR(BS112/DN112,)</f>
        <v>0</v>
      </c>
      <c r="FS112" s="4">
        <f>IFERROR(EO112/EQ112,)</f>
        <v>2.0374170670029605</v>
      </c>
      <c r="FT112" s="4">
        <f>IFERROR(EP112/ET112,)</f>
        <v>0.73113210518282756</v>
      </c>
      <c r="FU112" s="4">
        <f>IFERROR(EP112/EQ112,)</f>
        <v>1.5656742234073029</v>
      </c>
      <c r="FV112" s="4">
        <f>IFERROR(EU112/ET112,)</f>
        <v>0.67166249139052514</v>
      </c>
      <c r="FW112" s="4">
        <f>IFERROR(EU112/ES112,)</f>
        <v>0.97962478697403843</v>
      </c>
      <c r="FX112" s="4">
        <f>IFERROR(EN112/EM112,)</f>
        <v>0</v>
      </c>
      <c r="FY112" s="4">
        <f>IFERROR(ES112/ET112,)</f>
        <v>0.68563239754806782</v>
      </c>
      <c r="FZ112" s="4">
        <f>IFERROR(FB112/EZ112,)</f>
        <v>0.18085198246072651</v>
      </c>
      <c r="GA112" s="4">
        <f>IFERROR(FB112/FA112,)</f>
        <v>1.2663872199338226</v>
      </c>
      <c r="GB112" s="4">
        <f>IFERROR(FC112/(0.5*FE112+0.5*EZ112),)</f>
        <v>0.55564740304571947</v>
      </c>
      <c r="GC112" s="4">
        <f>IFERROR(EX112/SQRT(EW112*EY112),)</f>
        <v>0.56722978720409356</v>
      </c>
      <c r="GD112" s="4">
        <f>IFERROR(FC112/SQRT(EZ112*FE112),)</f>
        <v>0.71787962988281406</v>
      </c>
      <c r="GE112" s="4">
        <f>IFERROR(EX112/EW112,)</f>
        <v>0.53078010680692622</v>
      </c>
      <c r="GF112" s="4">
        <f>IFERROR(FC112/EZ112,)</f>
        <v>0.34022610094378342</v>
      </c>
      <c r="GG112" s="4">
        <f>IFERROR(EM112/EN112,)</f>
        <v>0</v>
      </c>
      <c r="GH112" s="4">
        <f>IFERROR(EO112/EP112,)</f>
        <v>1.3013033213059011</v>
      </c>
      <c r="GI112" s="4">
        <f>IFERROR(EO112/EN112,)</f>
        <v>0</v>
      </c>
      <c r="GJ112" s="4">
        <f>IFERROR(EO112/ER112,)</f>
        <v>0</v>
      </c>
      <c r="GK112" s="4">
        <f>IFERROR(EO112/ET112,)</f>
        <v>0.95142463678778888</v>
      </c>
      <c r="GL112" s="4">
        <f>IFERROR(EU112/EW112,)</f>
        <v>2.5631061583647421</v>
      </c>
      <c r="GM112" s="4">
        <f>IFERROR(EU112/EZ112,)</f>
        <v>6.4839556288681859</v>
      </c>
      <c r="GN112" s="4">
        <f>IFERROR(EU112/FG112,)</f>
        <v>175.22717324609536</v>
      </c>
      <c r="GO112" s="4">
        <f>IFERROR(EU112/FL112,)</f>
        <v>849.76344204749353</v>
      </c>
      <c r="GP112" s="4">
        <f>IFERROR(FB112/FD112,)</f>
        <v>51.649402482011958</v>
      </c>
      <c r="GQ112" s="4">
        <f>IFERROR(EP112/EN112,)</f>
        <v>0</v>
      </c>
      <c r="GR112" s="4">
        <f>IFERROR(ET112/EU112,)</f>
        <v>1.4888430019811383</v>
      </c>
      <c r="GS112" s="4">
        <f>IFERROR(ET112/EQ112,)</f>
        <v>2.141438205638349</v>
      </c>
      <c r="GT112" s="4">
        <f>IFERROR(ER112/EQ112,)</f>
        <v>0</v>
      </c>
      <c r="GU112" s="27">
        <f>AT112*10000/1.20462</f>
        <v>0</v>
      </c>
      <c r="GV112" s="28" t="str">
        <f>IFERROR(CS112/$BS112*$GU112,"")</f>
        <v/>
      </c>
      <c r="GW112" s="28" t="str">
        <f>IFERROR(CI112/$BS112*$GU112,"")</f>
        <v/>
      </c>
      <c r="GX112" s="28" t="str">
        <f>IFERROR(CT112/$BS112*$GU112,"")</f>
        <v/>
      </c>
      <c r="GY112" s="28" t="str">
        <f>IFERROR(DM112/$BS112*$GU112,"")</f>
        <v/>
      </c>
      <c r="GZ112" s="28" t="str">
        <f>IFERROR(DN112/$BS112*$GU112,"")</f>
        <v/>
      </c>
      <c r="HA112" s="28" t="str">
        <f>IFERROR(BS112/$BS112*$GU112,"")</f>
        <v/>
      </c>
      <c r="HB112" s="28" t="str">
        <f>IFERROR(DJ112/$BS112*$GU112,"")</f>
        <v/>
      </c>
      <c r="HC112" s="28" t="str">
        <f>IFERROR(CN112/$BS112*$GU112,"")</f>
        <v/>
      </c>
      <c r="HD112" s="28" t="str">
        <f>IFERROR(CV112/$BS112*$GU112,"")</f>
        <v/>
      </c>
      <c r="HE112" s="28" t="str">
        <f>IFERROR(CW112/$BS112*$GU112,"")</f>
        <v/>
      </c>
      <c r="HF112" s="28" t="str">
        <f>IFERROR(CX112/$BS112*$GU112,"")</f>
        <v/>
      </c>
      <c r="HG112" s="28" t="str">
        <f>IFERROR(CJ112/$BS112*$GU112,"")</f>
        <v/>
      </c>
      <c r="HH112" s="28" t="str">
        <f>IFERROR(CY112/$BS112*$GU112,"")</f>
        <v/>
      </c>
      <c r="HI112" s="28" t="str">
        <f>IFERROR(CZ112/$BS112*$GU112,"")</f>
        <v/>
      </c>
      <c r="HJ112" s="28" t="str">
        <f>IFERROR(DI112/$BS112*$GU112,"")</f>
        <v/>
      </c>
      <c r="HK112" s="28" t="str">
        <f>IFERROR(CL112/$BS112*$GU112,"")</f>
        <v/>
      </c>
      <c r="HL112" s="28" t="str">
        <f>IFERROR(DA112/$BS112*$GU112,"")</f>
        <v/>
      </c>
      <c r="HM112" s="28" t="str">
        <f>IFERROR(BU112/$BS112*$GU112,"")</f>
        <v/>
      </c>
      <c r="HN112" s="28" t="str">
        <f>IFERROR(DB112/$BS112*$GU112,"")</f>
        <v/>
      </c>
      <c r="HO112" s="28" t="str">
        <f>IFERROR(DO112/$BS112*$GU112,"")</f>
        <v/>
      </c>
      <c r="HP112" s="28" t="str">
        <f>IFERROR(DC112/$BS112*$GU112,"")</f>
        <v/>
      </c>
      <c r="HQ112" s="28" t="str">
        <f>IFERROR(CK112/$BS112*$GU112,"")</f>
        <v/>
      </c>
      <c r="HR112" s="28" t="str">
        <f>IFERROR(DD112/$BS112*$GU112,"")</f>
        <v/>
      </c>
      <c r="HS112" s="28" t="str">
        <f>IFERROR(DE112/$BS112*$GU112,"")</f>
        <v/>
      </c>
      <c r="HT112" s="28" t="str">
        <f>IFERROR(DF112/$BS112*$GU112,"")</f>
        <v/>
      </c>
      <c r="HU112" s="28" t="str">
        <f>IFERROR(DG112/$BS112*$GU112,"")</f>
        <v/>
      </c>
      <c r="HV112" s="28" t="str">
        <f>IFERROR(DH112/$BS112*$GU112,"")</f>
        <v/>
      </c>
      <c r="HX112" s="4">
        <f>IFERROR(GV112/'McDonough &amp; Sun 1995 values'!C$2,)</f>
        <v>0</v>
      </c>
      <c r="HY112" s="4">
        <f>IFERROR(GW112/'McDonough &amp; Sun 1995 values'!D$2,)</f>
        <v>0</v>
      </c>
      <c r="HZ112" s="4">
        <f>IFERROR(GX112/'McDonough &amp; Sun 1995 values'!E$2,)</f>
        <v>0</v>
      </c>
      <c r="IA112" s="4">
        <f>IFERROR(GY112/'McDonough &amp; Sun 1995 values'!F$2,)</f>
        <v>0</v>
      </c>
      <c r="IB112" s="4">
        <f>IFERROR(GZ112/'McDonough &amp; Sun 1995 values'!G$2,)</f>
        <v>0</v>
      </c>
      <c r="IC112" s="4">
        <f>IFERROR(HA112/'McDonough &amp; Sun 1995 values'!H$2,)</f>
        <v>0</v>
      </c>
      <c r="ID112" s="4">
        <f>IFERROR(HB112/'McDonough &amp; Sun 1995 values'!I$2,)</f>
        <v>0</v>
      </c>
      <c r="IE112" s="4">
        <f>IFERROR(HC112/'McDonough &amp; Sun 1995 values'!J$2,)</f>
        <v>0</v>
      </c>
      <c r="IF112" s="4">
        <f>IFERROR(HD112/'McDonough &amp; Sun 1995 values'!K$2,)</f>
        <v>0</v>
      </c>
      <c r="IG112" s="4">
        <f>IFERROR(HE112/'McDonough &amp; Sun 1995 values'!L$2,)</f>
        <v>0</v>
      </c>
      <c r="IH112" s="4">
        <f>IFERROR(HF112/'McDonough &amp; Sun 1995 values'!M$2,)</f>
        <v>0</v>
      </c>
      <c r="II112" s="4">
        <f>IFERROR(HG112/'McDonough &amp; Sun 1995 values'!N$2,)</f>
        <v>0</v>
      </c>
      <c r="IJ112" s="4">
        <f>IFERROR(HH112/'McDonough &amp; Sun 1995 values'!O$2,)</f>
        <v>0</v>
      </c>
      <c r="IK112" s="4">
        <f>IFERROR(HI112/'McDonough &amp; Sun 1995 values'!P$2,)</f>
        <v>0</v>
      </c>
      <c r="IL112" s="4">
        <f>IFERROR(HJ112/'McDonough &amp; Sun 1995 values'!Q$2,)</f>
        <v>0</v>
      </c>
      <c r="IM112" s="4">
        <f>IFERROR(HK112/'McDonough &amp; Sun 1995 values'!R$2,)</f>
        <v>0</v>
      </c>
      <c r="IN112" s="4">
        <f>IFERROR(HL112/'McDonough &amp; Sun 1995 values'!S$2,)</f>
        <v>0</v>
      </c>
      <c r="IO112" s="4">
        <f>IFERROR(HM112/'McDonough &amp; Sun 1995 values'!T$2,)</f>
        <v>0</v>
      </c>
      <c r="IP112" s="4">
        <f>IFERROR(HN112/'McDonough &amp; Sun 1995 values'!U$2,)</f>
        <v>0</v>
      </c>
      <c r="IQ112" s="4">
        <f>IFERROR(HO112/'McDonough &amp; Sun 1995 values'!V$2,)</f>
        <v>0</v>
      </c>
      <c r="IR112" s="4">
        <f>IFERROR(HP112/'McDonough &amp; Sun 1995 values'!W$2,)</f>
        <v>0</v>
      </c>
      <c r="IS112" s="4">
        <f>IFERROR(HQ112/'McDonough &amp; Sun 1995 values'!X$2,)</f>
        <v>0</v>
      </c>
      <c r="IT112" s="4">
        <f>IFERROR(HR112/'McDonough &amp; Sun 1995 values'!Y$2,)</f>
        <v>0</v>
      </c>
      <c r="IU112" s="4">
        <f>IFERROR(HS112/'McDonough &amp; Sun 1995 values'!Z$2,)</f>
        <v>0</v>
      </c>
      <c r="IV112" s="4">
        <f>IFERROR(HT112/'McDonough &amp; Sun 1995 values'!AA$2,)</f>
        <v>0</v>
      </c>
      <c r="IW112" s="4">
        <f>IFERROR(HU112/'McDonough &amp; Sun 1995 values'!AB$2,)</f>
        <v>0</v>
      </c>
      <c r="IX112" s="4">
        <f>IFERROR(HV112/'McDonough &amp; Sun 1995 values'!AC$2,)</f>
        <v>0</v>
      </c>
    </row>
    <row r="113" spans="1:141" s="66" customFormat="1" ht="16">
      <c r="A113" s="65" t="s">
        <v>1497</v>
      </c>
      <c r="B113" s="65"/>
      <c r="BL113" s="67"/>
      <c r="BM113" s="67"/>
      <c r="BN113" s="67"/>
      <c r="BO113" s="67"/>
      <c r="BP113" s="67"/>
      <c r="BQ113" s="67"/>
      <c r="BR113" s="67"/>
      <c r="BS113" s="67"/>
      <c r="BT113" s="67"/>
      <c r="BU113" s="67"/>
      <c r="BV113" s="67"/>
      <c r="BW113" s="67"/>
      <c r="BX113" s="67"/>
      <c r="BY113" s="67"/>
      <c r="BZ113" s="67"/>
      <c r="CA113" s="67"/>
      <c r="CB113" s="67"/>
      <c r="CC113" s="67"/>
      <c r="CD113" s="67"/>
      <c r="CE113" s="67"/>
      <c r="CF113" s="67"/>
      <c r="CG113" s="67"/>
      <c r="CH113" s="67"/>
      <c r="CI113" s="67"/>
      <c r="CJ113" s="67"/>
      <c r="CK113" s="67"/>
      <c r="CL113" s="67"/>
      <c r="CM113" s="67"/>
      <c r="CN113" s="67"/>
      <c r="CO113" s="67"/>
      <c r="CP113" s="67"/>
      <c r="CQ113" s="67"/>
      <c r="CR113" s="67"/>
      <c r="CS113" s="67"/>
      <c r="CT113" s="67"/>
      <c r="CU113" s="67"/>
      <c r="CV113" s="67"/>
      <c r="CW113" s="67"/>
      <c r="CX113" s="67"/>
      <c r="CY113" s="67"/>
      <c r="CZ113" s="67"/>
      <c r="DA113" s="67"/>
      <c r="DB113" s="67"/>
      <c r="DC113" s="67"/>
      <c r="DD113" s="67"/>
      <c r="DE113" s="67"/>
      <c r="DF113" s="67"/>
      <c r="DG113" s="67"/>
      <c r="DH113" s="67"/>
      <c r="DI113" s="67"/>
      <c r="DJ113" s="67"/>
      <c r="DK113" s="67"/>
      <c r="DL113" s="67"/>
      <c r="DM113" s="67"/>
      <c r="DN113" s="67"/>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row>
    <row r="114" spans="1:141">
      <c r="A114" t="s">
        <v>772</v>
      </c>
      <c r="B114" t="s">
        <v>1497</v>
      </c>
      <c r="C114" t="s">
        <v>24</v>
      </c>
      <c r="D114" t="str">
        <f t="shared" ref="D114:D124" si="67">_xlfn.IFS(AND(AV114&gt;=15),"saline",AND(AL114&gt;=40,AV114&lt;=15),"silicic",AND(AL114&lt;=40,AL114&gt;=20,AP114&lt;=15,AV114&lt;=15),"silicic - low-Mg carbonatitic",AND(AP114&lt;15,AQ114&gt;=15,AL114&lt;=20,AV114&lt;=15),"low-Mg carbonatitic",AND(AP114&gt;=15,AL114&lt;=20),"high-Mg carbonatitic")</f>
        <v>saline</v>
      </c>
      <c r="E114" t="s">
        <v>119</v>
      </c>
      <c r="F114" t="s">
        <v>1394</v>
      </c>
      <c r="G114" t="s">
        <v>1728</v>
      </c>
      <c r="H114" t="s">
        <v>595</v>
      </c>
      <c r="I114">
        <v>84</v>
      </c>
      <c r="J114" t="s">
        <v>735</v>
      </c>
      <c r="K114" t="s">
        <v>635</v>
      </c>
      <c r="L114" t="s">
        <v>585</v>
      </c>
      <c r="M114" t="s">
        <v>1170</v>
      </c>
      <c r="N114" t="s">
        <v>577</v>
      </c>
      <c r="O114">
        <v>26</v>
      </c>
      <c r="P114">
        <v>1.95</v>
      </c>
      <c r="Q114">
        <v>0.35</v>
      </c>
      <c r="R114">
        <v>0</v>
      </c>
      <c r="S114">
        <v>0.75</v>
      </c>
      <c r="T114">
        <v>4.68</v>
      </c>
      <c r="U114">
        <v>3.01</v>
      </c>
      <c r="V114">
        <v>0</v>
      </c>
      <c r="W114">
        <v>10.42</v>
      </c>
      <c r="X114">
        <v>22.42</v>
      </c>
      <c r="Y114">
        <v>27.25</v>
      </c>
      <c r="Z114">
        <v>0</v>
      </c>
      <c r="AA114">
        <v>1.02</v>
      </c>
      <c r="AB114">
        <v>0</v>
      </c>
      <c r="AC114">
        <v>1.17</v>
      </c>
      <c r="AD114">
        <v>0</v>
      </c>
      <c r="AE114">
        <v>34.83</v>
      </c>
      <c r="AF114">
        <v>0</v>
      </c>
      <c r="AG114">
        <v>0</v>
      </c>
      <c r="AH114">
        <v>0</v>
      </c>
      <c r="AI114">
        <v>0</v>
      </c>
      <c r="AJ114">
        <v>8.7799999999999994</v>
      </c>
      <c r="AK114">
        <f t="shared" ref="AK114" si="68">SUM(P114:Q114,S114:U114,W114:Y114,AA114,AC114,AE114)</f>
        <v>107.85</v>
      </c>
      <c r="AL114" s="26">
        <f t="shared" ref="AL114" si="69">100*(P114/($AK114-$AE114*8/35.45))</f>
        <v>1.9501966700450044</v>
      </c>
      <c r="AM114" s="26">
        <f t="shared" ref="AM114" si="70">100*(Q114/($AK114-$AE114*8/35.45))</f>
        <v>0.35003529975166747</v>
      </c>
      <c r="AN114" s="26">
        <f t="shared" ref="AN114" si="71">100*(S114/($AK114-$AE114*8/35.45))</f>
        <v>0.75007564232500179</v>
      </c>
      <c r="AO114" s="26">
        <f t="shared" ref="AO114" si="72">100*(T114/($AK114-$AE114*8/35.45))</f>
        <v>4.6804720081080111</v>
      </c>
      <c r="AP114" s="26">
        <f t="shared" ref="AP114" si="73">100*(U114/($AK114-$AE114*8/35.45))</f>
        <v>3.0103035778643399</v>
      </c>
      <c r="AQ114" s="26">
        <f t="shared" ref="AQ114" si="74">100*(W114/($AK114-$AE114*8/35.45))</f>
        <v>10.421050924035358</v>
      </c>
      <c r="AR114" s="26">
        <f t="shared" ref="AR114" si="75">100*(AC114/($AK114-$AE114*8/35.45))</f>
        <v>1.1701180020270028</v>
      </c>
      <c r="AS114" s="26">
        <f t="shared" ref="AS114" si="76">100*(X114/($AK114-$AE114*8/35.45))</f>
        <v>22.42226120123539</v>
      </c>
      <c r="AT114" s="26">
        <f t="shared" ref="AT114" si="77">100*(Y114/($AK114-$AE114*8/35.45))</f>
        <v>27.252748337808399</v>
      </c>
      <c r="AU114" s="26">
        <f t="shared" ref="AU114" si="78">100*(AA114/($AK114-$AE114*8/35.45))</f>
        <v>1.0201028735620024</v>
      </c>
      <c r="AV114" s="26">
        <f t="shared" ref="AV114" si="79">100*(AE114/($AK114-$AE114*8/35.45))</f>
        <v>34.833512829573074</v>
      </c>
      <c r="AW114" s="26">
        <f t="shared" ref="AW114" si="80">SUM(AL114:AV114)</f>
        <v>107.86087736633525</v>
      </c>
      <c r="AX114">
        <v>17.23</v>
      </c>
      <c r="AY114">
        <v>51.72</v>
      </c>
      <c r="BB114">
        <v>0.12</v>
      </c>
      <c r="BC114">
        <v>0</v>
      </c>
      <c r="BD114">
        <f>(AY114/18.02)/((AY114/18.02)+(AX114/44.01))</f>
        <v>0.87996799606352827</v>
      </c>
      <c r="BE114">
        <f>(AX114/44.01)/((AY114/18.02)+(AX114/44.01))</f>
        <v>0.12003200393647183</v>
      </c>
      <c r="BF114">
        <v>0</v>
      </c>
      <c r="BG114">
        <v>0</v>
      </c>
      <c r="BH114" t="s">
        <v>770</v>
      </c>
      <c r="BI114">
        <v>0</v>
      </c>
      <c r="BJ114">
        <v>0</v>
      </c>
      <c r="BK114">
        <v>0</v>
      </c>
      <c r="BL114" s="19">
        <v>0</v>
      </c>
      <c r="BM114" s="19">
        <v>0</v>
      </c>
      <c r="BN114" s="19">
        <v>0</v>
      </c>
      <c r="BO114" s="19">
        <v>0</v>
      </c>
      <c r="BP114" s="19">
        <v>0</v>
      </c>
      <c r="BQ114" s="19">
        <v>0</v>
      </c>
      <c r="BR114" s="19">
        <v>0</v>
      </c>
      <c r="BS114" s="19">
        <v>1.097</v>
      </c>
      <c r="BT114" s="19">
        <v>0</v>
      </c>
      <c r="BU114" s="19">
        <v>0</v>
      </c>
      <c r="BV114" s="19">
        <v>0</v>
      </c>
      <c r="BW114" s="19">
        <v>0</v>
      </c>
      <c r="BX114" s="19">
        <v>0</v>
      </c>
      <c r="BY114" s="19">
        <v>0</v>
      </c>
      <c r="BZ114" s="19">
        <v>0</v>
      </c>
      <c r="CA114" s="19">
        <v>0</v>
      </c>
      <c r="CB114" s="19">
        <v>0</v>
      </c>
      <c r="CC114" s="19">
        <v>0</v>
      </c>
      <c r="CD114" s="19">
        <v>0</v>
      </c>
      <c r="CE114" s="19">
        <v>0</v>
      </c>
      <c r="CF114" s="19">
        <v>0</v>
      </c>
      <c r="CG114" s="19">
        <v>0</v>
      </c>
      <c r="CH114" s="19">
        <v>0</v>
      </c>
      <c r="CI114" s="19">
        <v>0</v>
      </c>
      <c r="CJ114" s="19">
        <v>4.5600000000000002E-2</v>
      </c>
      <c r="CK114" s="19">
        <v>0</v>
      </c>
      <c r="CL114" s="19">
        <v>0</v>
      </c>
      <c r="CM114" s="19">
        <v>0</v>
      </c>
      <c r="CN114" s="19">
        <v>3.0700000000000002E-2</v>
      </c>
      <c r="CO114" s="19">
        <v>0</v>
      </c>
      <c r="CP114" s="19">
        <v>0</v>
      </c>
      <c r="CQ114" s="19">
        <v>0</v>
      </c>
      <c r="CR114" s="19">
        <v>0</v>
      </c>
      <c r="CS114" s="19">
        <v>0</v>
      </c>
      <c r="CT114" s="19">
        <v>0.155</v>
      </c>
      <c r="CU114" s="19">
        <v>0</v>
      </c>
      <c r="CV114" s="19">
        <v>3.6299999999999999E-2</v>
      </c>
      <c r="CW114" s="19">
        <v>2.3800000000000002E-2</v>
      </c>
      <c r="CX114" s="19">
        <v>0</v>
      </c>
      <c r="CY114" s="19">
        <v>0</v>
      </c>
      <c r="CZ114" s="19">
        <v>0</v>
      </c>
      <c r="DA114" s="19">
        <v>0</v>
      </c>
      <c r="DB114" s="19">
        <v>0</v>
      </c>
      <c r="DC114" s="19">
        <v>0</v>
      </c>
      <c r="DD114" s="19">
        <v>0</v>
      </c>
      <c r="DE114" s="19">
        <v>0</v>
      </c>
      <c r="DF114" s="19">
        <v>0</v>
      </c>
      <c r="DG114" s="19">
        <v>0</v>
      </c>
      <c r="DH114" s="19">
        <v>0</v>
      </c>
      <c r="DI114" s="19">
        <v>0</v>
      </c>
      <c r="DJ114" s="19">
        <v>0</v>
      </c>
      <c r="DK114" s="19">
        <v>0</v>
      </c>
      <c r="DL114" s="19">
        <v>0</v>
      </c>
      <c r="DM114" s="19">
        <v>0</v>
      </c>
      <c r="DN114" s="19">
        <v>0</v>
      </c>
      <c r="DO114" s="19">
        <v>0</v>
      </c>
      <c r="DP114" s="19">
        <v>0</v>
      </c>
      <c r="DQ114" s="19">
        <v>0</v>
      </c>
      <c r="DR114" s="19">
        <v>0</v>
      </c>
      <c r="DS114" s="19">
        <v>0</v>
      </c>
      <c r="DT114" s="19">
        <v>0</v>
      </c>
      <c r="DU114" s="19"/>
      <c r="DV114" s="19"/>
      <c r="DW114" s="19"/>
      <c r="DX114" s="19">
        <v>0</v>
      </c>
      <c r="DY114" s="19">
        <v>0</v>
      </c>
      <c r="DZ114" s="19">
        <v>0</v>
      </c>
      <c r="EA114" s="19">
        <v>0</v>
      </c>
      <c r="EB114" s="19">
        <v>0</v>
      </c>
      <c r="EC114" s="19">
        <v>0</v>
      </c>
      <c r="ED114" s="19">
        <v>0</v>
      </c>
      <c r="EE114" s="19">
        <v>0</v>
      </c>
      <c r="EF114" s="19">
        <v>0</v>
      </c>
      <c r="EG114" s="19">
        <v>0</v>
      </c>
      <c r="EH114" s="19">
        <v>0</v>
      </c>
      <c r="EI114" s="19">
        <v>0</v>
      </c>
      <c r="EJ114" s="19">
        <v>0</v>
      </c>
      <c r="EK114" s="19">
        <v>0</v>
      </c>
    </row>
    <row r="115" spans="1:141">
      <c r="A115" t="s">
        <v>772</v>
      </c>
      <c r="B115" t="s">
        <v>1497</v>
      </c>
      <c r="C115" t="s">
        <v>24</v>
      </c>
      <c r="D115" t="str">
        <f t="shared" si="67"/>
        <v>saline</v>
      </c>
      <c r="E115" t="s">
        <v>119</v>
      </c>
      <c r="F115" t="s">
        <v>1394</v>
      </c>
      <c r="G115" t="s">
        <v>1728</v>
      </c>
      <c r="H115" t="s">
        <v>595</v>
      </c>
      <c r="I115">
        <v>84</v>
      </c>
      <c r="J115">
        <v>0</v>
      </c>
      <c r="K115" t="s">
        <v>635</v>
      </c>
      <c r="L115" t="s">
        <v>585</v>
      </c>
      <c r="M115" t="s">
        <v>1171</v>
      </c>
      <c r="N115" t="s">
        <v>577</v>
      </c>
      <c r="O115">
        <v>26</v>
      </c>
      <c r="P115">
        <v>1.95</v>
      </c>
      <c r="Q115">
        <v>0.35</v>
      </c>
      <c r="R115">
        <v>0</v>
      </c>
      <c r="S115">
        <v>0.75</v>
      </c>
      <c r="T115">
        <v>4.68</v>
      </c>
      <c r="U115">
        <v>3.01</v>
      </c>
      <c r="V115">
        <v>0</v>
      </c>
      <c r="W115">
        <v>10.42</v>
      </c>
      <c r="X115">
        <v>22.42</v>
      </c>
      <c r="Y115">
        <v>27.25</v>
      </c>
      <c r="Z115">
        <v>0</v>
      </c>
      <c r="AA115">
        <v>1.02</v>
      </c>
      <c r="AB115">
        <v>0</v>
      </c>
      <c r="AC115">
        <v>1.17</v>
      </c>
      <c r="AD115">
        <v>0</v>
      </c>
      <c r="AE115">
        <v>34.83</v>
      </c>
      <c r="AF115">
        <v>0</v>
      </c>
      <c r="AG115">
        <v>0</v>
      </c>
      <c r="AH115">
        <v>0</v>
      </c>
      <c r="AI115">
        <v>0</v>
      </c>
      <c r="AJ115">
        <v>8.7799999999999994</v>
      </c>
      <c r="AK115">
        <f t="shared" ref="AK115:AK125" si="81">SUM(P115:Q115,S115:U115,W115:Y115,AA115,AC115,AE115)</f>
        <v>107.85</v>
      </c>
      <c r="AL115" s="26">
        <f t="shared" ref="AL115:AL124" si="82">100*(P115/($AK115-$AE115*8/35.45))</f>
        <v>1.9501966700450044</v>
      </c>
      <c r="AM115" s="26">
        <f t="shared" ref="AM115:AM124" si="83">100*(Q115/($AK115-$AE115*8/35.45))</f>
        <v>0.35003529975166747</v>
      </c>
      <c r="AN115" s="26">
        <f t="shared" ref="AN115:AN124" si="84">100*(S115/($AK115-$AE115*8/35.45))</f>
        <v>0.75007564232500179</v>
      </c>
      <c r="AO115" s="26">
        <f t="shared" ref="AO115:AO124" si="85">100*(T115/($AK115-$AE115*8/35.45))</f>
        <v>4.6804720081080111</v>
      </c>
      <c r="AP115" s="26">
        <f t="shared" ref="AP115:AP124" si="86">100*(U115/($AK115-$AE115*8/35.45))</f>
        <v>3.0103035778643399</v>
      </c>
      <c r="AQ115" s="26">
        <f t="shared" ref="AQ115:AQ124" si="87">100*(W115/($AK115-$AE115*8/35.45))</f>
        <v>10.421050924035358</v>
      </c>
      <c r="AR115" s="26">
        <f t="shared" ref="AR115:AR124" si="88">100*(AC115/($AK115-$AE115*8/35.45))</f>
        <v>1.1701180020270028</v>
      </c>
      <c r="AS115" s="26">
        <f t="shared" ref="AS115:AS124" si="89">100*(X115/($AK115-$AE115*8/35.45))</f>
        <v>22.42226120123539</v>
      </c>
      <c r="AT115" s="26">
        <f t="shared" ref="AT115:AT124" si="90">100*(Y115/($AK115-$AE115*8/35.45))</f>
        <v>27.252748337808399</v>
      </c>
      <c r="AU115" s="26">
        <f t="shared" ref="AU115:AU124" si="91">100*(AA115/($AK115-$AE115*8/35.45))</f>
        <v>1.0201028735620024</v>
      </c>
      <c r="AV115" s="26">
        <f t="shared" ref="AV115:AV124" si="92">100*(AE115/($AK115-$AE115*8/35.45))</f>
        <v>34.833512829573074</v>
      </c>
      <c r="AW115" s="26">
        <f t="shared" ref="AW115:AW124" si="93">SUM(AL115:AV115)</f>
        <v>107.86087736633525</v>
      </c>
      <c r="AX115">
        <v>0</v>
      </c>
      <c r="AY115">
        <v>0</v>
      </c>
      <c r="BB115">
        <v>0</v>
      </c>
      <c r="BC115">
        <v>0</v>
      </c>
      <c r="BF115">
        <v>0</v>
      </c>
      <c r="BG115">
        <v>0</v>
      </c>
      <c r="BH115" t="s">
        <v>770</v>
      </c>
      <c r="BI115">
        <v>0</v>
      </c>
      <c r="BJ115">
        <v>0</v>
      </c>
      <c r="BK115">
        <v>0</v>
      </c>
      <c r="BL115" s="19">
        <v>0</v>
      </c>
      <c r="BM115" s="19">
        <v>0</v>
      </c>
      <c r="BN115" s="19">
        <v>0</v>
      </c>
      <c r="BO115" s="19">
        <v>0</v>
      </c>
      <c r="BP115" s="19">
        <v>0</v>
      </c>
      <c r="BQ115" s="19">
        <v>0</v>
      </c>
      <c r="BR115" s="19">
        <v>0</v>
      </c>
      <c r="BS115" s="19">
        <v>1.27</v>
      </c>
      <c r="BT115" s="19">
        <v>0</v>
      </c>
      <c r="BU115" s="19">
        <v>0</v>
      </c>
      <c r="BV115" s="19">
        <v>0</v>
      </c>
      <c r="BW115" s="19">
        <v>0</v>
      </c>
      <c r="BX115" s="19">
        <v>0</v>
      </c>
      <c r="BY115" s="19">
        <v>0</v>
      </c>
      <c r="BZ115" s="19">
        <v>0</v>
      </c>
      <c r="CA115" s="19">
        <v>0</v>
      </c>
      <c r="CB115" s="19">
        <v>0</v>
      </c>
      <c r="CC115" s="19">
        <v>0</v>
      </c>
      <c r="CD115" s="19">
        <v>0</v>
      </c>
      <c r="CE115" s="19">
        <v>0</v>
      </c>
      <c r="CF115" s="19">
        <v>0</v>
      </c>
      <c r="CG115" s="19">
        <v>0</v>
      </c>
      <c r="CH115" s="19">
        <v>0</v>
      </c>
      <c r="CI115" s="19">
        <v>0</v>
      </c>
      <c r="CJ115" s="19">
        <v>4.8899999999999999E-2</v>
      </c>
      <c r="CK115" s="19">
        <v>0</v>
      </c>
      <c r="CL115" s="19">
        <v>0</v>
      </c>
      <c r="CM115" s="19">
        <v>0</v>
      </c>
      <c r="CN115" s="19">
        <v>8.0199999999999994E-2</v>
      </c>
      <c r="CO115" s="19">
        <v>0</v>
      </c>
      <c r="CP115" s="19">
        <v>0</v>
      </c>
      <c r="CQ115" s="19">
        <v>0</v>
      </c>
      <c r="CR115" s="19">
        <v>0</v>
      </c>
      <c r="CS115" s="19">
        <v>0</v>
      </c>
      <c r="CT115" s="19">
        <v>0.17</v>
      </c>
      <c r="CU115" s="19">
        <v>0</v>
      </c>
      <c r="CV115" s="19">
        <v>2.7900000000000001E-2</v>
      </c>
      <c r="CW115" s="19">
        <v>1.9300000000000001E-2</v>
      </c>
      <c r="CX115" s="19">
        <v>0</v>
      </c>
      <c r="CY115" s="19">
        <v>0</v>
      </c>
      <c r="CZ115" s="19">
        <v>0</v>
      </c>
      <c r="DA115" s="19">
        <v>0</v>
      </c>
      <c r="DB115" s="19">
        <v>0</v>
      </c>
      <c r="DC115" s="19">
        <v>0</v>
      </c>
      <c r="DD115" s="19">
        <v>0</v>
      </c>
      <c r="DE115" s="19">
        <v>0</v>
      </c>
      <c r="DF115" s="19">
        <v>0</v>
      </c>
      <c r="DG115" s="19">
        <v>0</v>
      </c>
      <c r="DH115" s="19">
        <v>0</v>
      </c>
      <c r="DI115" s="19">
        <v>0</v>
      </c>
      <c r="DJ115" s="19">
        <v>0</v>
      </c>
      <c r="DK115" s="19">
        <v>0</v>
      </c>
      <c r="DL115" s="19">
        <v>0</v>
      </c>
      <c r="DM115" s="19">
        <v>0</v>
      </c>
      <c r="DN115" s="19">
        <v>0</v>
      </c>
      <c r="DO115" s="19">
        <v>0</v>
      </c>
      <c r="DP115" s="19">
        <v>0</v>
      </c>
      <c r="DQ115" s="19">
        <v>0</v>
      </c>
      <c r="DR115" s="19">
        <v>0</v>
      </c>
      <c r="DS115" s="19">
        <v>0</v>
      </c>
      <c r="DT115" s="19">
        <v>0</v>
      </c>
      <c r="DU115" s="19"/>
      <c r="DV115" s="19"/>
      <c r="DW115" s="19"/>
      <c r="DX115" s="19">
        <v>0</v>
      </c>
      <c r="DY115" s="19">
        <v>0</v>
      </c>
      <c r="DZ115" s="19">
        <v>0</v>
      </c>
      <c r="EA115" s="19">
        <v>0</v>
      </c>
      <c r="EB115" s="19">
        <v>0</v>
      </c>
      <c r="EC115" s="19">
        <v>0</v>
      </c>
      <c r="ED115" s="19">
        <v>0</v>
      </c>
      <c r="EE115" s="19">
        <v>0</v>
      </c>
      <c r="EF115" s="19">
        <v>0</v>
      </c>
      <c r="EG115" s="19">
        <v>0</v>
      </c>
      <c r="EH115" s="19">
        <v>0</v>
      </c>
      <c r="EI115" s="19">
        <v>0</v>
      </c>
      <c r="EJ115" s="19">
        <v>0</v>
      </c>
      <c r="EK115" s="19">
        <v>0</v>
      </c>
    </row>
    <row r="116" spans="1:141">
      <c r="A116" t="s">
        <v>772</v>
      </c>
      <c r="B116" t="s">
        <v>1497</v>
      </c>
      <c r="C116" t="s">
        <v>24</v>
      </c>
      <c r="D116" t="str">
        <f t="shared" si="67"/>
        <v>saline</v>
      </c>
      <c r="E116" t="s">
        <v>119</v>
      </c>
      <c r="F116" t="s">
        <v>1394</v>
      </c>
      <c r="G116" t="s">
        <v>1728</v>
      </c>
      <c r="H116" t="s">
        <v>595</v>
      </c>
      <c r="I116">
        <v>84</v>
      </c>
      <c r="J116" t="s">
        <v>735</v>
      </c>
      <c r="K116" t="s">
        <v>635</v>
      </c>
      <c r="L116" t="s">
        <v>585</v>
      </c>
      <c r="M116" t="s">
        <v>774</v>
      </c>
      <c r="N116" t="s">
        <v>578</v>
      </c>
      <c r="O116">
        <v>50</v>
      </c>
      <c r="P116">
        <v>1.52</v>
      </c>
      <c r="Q116">
        <v>0.32</v>
      </c>
      <c r="R116">
        <v>0</v>
      </c>
      <c r="S116">
        <v>0.87</v>
      </c>
      <c r="T116">
        <v>4.79</v>
      </c>
      <c r="U116">
        <v>2.5299999999999998</v>
      </c>
      <c r="V116">
        <v>0</v>
      </c>
      <c r="W116">
        <v>8.8699999999999992</v>
      </c>
      <c r="X116">
        <v>23.79</v>
      </c>
      <c r="Y116">
        <v>27.19</v>
      </c>
      <c r="Z116">
        <v>0</v>
      </c>
      <c r="AA116">
        <v>0.74</v>
      </c>
      <c r="AB116">
        <v>0</v>
      </c>
      <c r="AC116">
        <v>0.65</v>
      </c>
      <c r="AD116">
        <v>0</v>
      </c>
      <c r="AE116">
        <v>37.07</v>
      </c>
      <c r="AF116">
        <v>0</v>
      </c>
      <c r="AG116">
        <v>0</v>
      </c>
      <c r="AH116">
        <v>0</v>
      </c>
      <c r="AI116">
        <v>0</v>
      </c>
      <c r="AJ116">
        <v>8.7200000000000006</v>
      </c>
      <c r="AK116">
        <f t="shared" si="81"/>
        <v>108.34</v>
      </c>
      <c r="AL116" s="26">
        <f t="shared" si="82"/>
        <v>1.5203889965641422</v>
      </c>
      <c r="AM116" s="26">
        <f t="shared" si="83"/>
        <v>0.32008189401350362</v>
      </c>
      <c r="AN116" s="26">
        <f t="shared" si="84"/>
        <v>0.87022264934921278</v>
      </c>
      <c r="AO116" s="26">
        <f t="shared" si="85"/>
        <v>4.7912258510146319</v>
      </c>
      <c r="AP116" s="26">
        <f t="shared" si="86"/>
        <v>2.5306474745442622</v>
      </c>
      <c r="AQ116" s="26">
        <f t="shared" si="87"/>
        <v>8.872269999686802</v>
      </c>
      <c r="AR116" s="26">
        <f t="shared" si="88"/>
        <v>0.65016634721492916</v>
      </c>
      <c r="AS116" s="26">
        <f t="shared" si="89"/>
        <v>23.796088308066405</v>
      </c>
      <c r="AT116" s="26">
        <f t="shared" si="90"/>
        <v>27.196958431959885</v>
      </c>
      <c r="AU116" s="26">
        <f t="shared" si="91"/>
        <v>0.74018937990622702</v>
      </c>
      <c r="AV116" s="26">
        <f t="shared" si="92"/>
        <v>37.079486909626809</v>
      </c>
      <c r="AW116" s="26">
        <f t="shared" si="93"/>
        <v>108.36772624194681</v>
      </c>
      <c r="AX116">
        <v>15.43</v>
      </c>
      <c r="AY116" t="s">
        <v>763</v>
      </c>
      <c r="BB116" t="s">
        <v>763</v>
      </c>
      <c r="BC116">
        <v>0</v>
      </c>
      <c r="BF116">
        <v>0</v>
      </c>
      <c r="BG116">
        <v>0</v>
      </c>
      <c r="BH116">
        <v>0</v>
      </c>
      <c r="BI116">
        <v>0</v>
      </c>
      <c r="BJ116">
        <v>0</v>
      </c>
      <c r="BK116">
        <v>0</v>
      </c>
      <c r="BL116" s="19">
        <v>0</v>
      </c>
      <c r="BM116" s="19">
        <v>0</v>
      </c>
      <c r="BN116" s="19">
        <v>0</v>
      </c>
      <c r="BO116" s="19">
        <v>0</v>
      </c>
      <c r="BP116" s="19">
        <v>0</v>
      </c>
      <c r="BQ116" s="19">
        <v>0</v>
      </c>
      <c r="BR116" s="19">
        <v>0</v>
      </c>
      <c r="BS116" s="19">
        <v>188.76</v>
      </c>
      <c r="BT116" s="19">
        <v>0</v>
      </c>
      <c r="BU116" s="19">
        <v>2.2789999999999999</v>
      </c>
      <c r="BV116" s="19">
        <v>0</v>
      </c>
      <c r="BW116" s="19">
        <v>0</v>
      </c>
      <c r="BX116" s="19">
        <v>0</v>
      </c>
      <c r="BY116" s="19">
        <v>0</v>
      </c>
      <c r="BZ116" s="19">
        <v>0</v>
      </c>
      <c r="CA116" s="19">
        <v>0</v>
      </c>
      <c r="CB116" s="19">
        <v>0</v>
      </c>
      <c r="CC116" s="19">
        <v>0</v>
      </c>
      <c r="CD116" s="19">
        <v>0</v>
      </c>
      <c r="CE116" s="19">
        <v>0</v>
      </c>
      <c r="CF116" s="19">
        <v>0</v>
      </c>
      <c r="CG116" s="19">
        <v>0</v>
      </c>
      <c r="CH116" s="19">
        <v>0</v>
      </c>
      <c r="CI116" s="19">
        <v>1.0880000000000001</v>
      </c>
      <c r="CJ116" s="19">
        <v>4.6390000000000002</v>
      </c>
      <c r="CK116" s="19">
        <v>8.0000000000000002E-3</v>
      </c>
      <c r="CL116" s="19">
        <v>0.1847</v>
      </c>
      <c r="CM116" s="19">
        <v>0</v>
      </c>
      <c r="CN116" s="19">
        <v>0.48499999999999999</v>
      </c>
      <c r="CO116" s="19">
        <v>0</v>
      </c>
      <c r="CP116" s="19">
        <v>0</v>
      </c>
      <c r="CQ116" s="19">
        <v>0</v>
      </c>
      <c r="CR116" s="19">
        <v>0</v>
      </c>
      <c r="CS116" s="19">
        <v>1.5699999999999999E-2</v>
      </c>
      <c r="CT116" s="19">
        <v>5.6</v>
      </c>
      <c r="CU116" s="19">
        <v>0</v>
      </c>
      <c r="CV116" s="19">
        <v>0.46800000000000003</v>
      </c>
      <c r="CW116" s="19">
        <v>0.624</v>
      </c>
      <c r="CX116" s="19">
        <v>7.1499999999999994E-2</v>
      </c>
      <c r="CY116" s="19">
        <v>0.28499999999999998</v>
      </c>
      <c r="CZ116" s="19">
        <v>4.4200000000000003E-2</v>
      </c>
      <c r="DA116" s="19">
        <v>5.4000000000000003E-3</v>
      </c>
      <c r="DB116" s="19">
        <v>0</v>
      </c>
      <c r="DC116" s="19">
        <v>0</v>
      </c>
      <c r="DD116" s="19">
        <v>2.5999999999999999E-3</v>
      </c>
      <c r="DE116" s="19">
        <v>0</v>
      </c>
      <c r="DF116" s="19">
        <v>0</v>
      </c>
      <c r="DG116" s="19">
        <v>1.2200000000000001E-2</v>
      </c>
      <c r="DH116" s="19">
        <v>2.7000000000000001E-3</v>
      </c>
      <c r="DI116" s="19">
        <v>1.01E-2</v>
      </c>
      <c r="DJ116" s="19">
        <v>2.0899999999999998E-2</v>
      </c>
      <c r="DK116" s="19">
        <v>0</v>
      </c>
      <c r="DL116" s="19">
        <v>0</v>
      </c>
      <c r="DM116" s="19">
        <v>4.9599999999999998E-2</v>
      </c>
      <c r="DN116" s="19">
        <v>7.6E-3</v>
      </c>
      <c r="DO116" s="19">
        <v>0</v>
      </c>
      <c r="DP116" s="19">
        <v>0</v>
      </c>
      <c r="DQ116" s="19">
        <v>0</v>
      </c>
      <c r="DR116" s="19">
        <v>0</v>
      </c>
      <c r="DS116" s="19">
        <v>0</v>
      </c>
      <c r="DT116" s="19">
        <v>0</v>
      </c>
      <c r="DU116" s="19">
        <v>63.815789473684212</v>
      </c>
      <c r="DV116" s="19">
        <v>5.1470588235294112</v>
      </c>
      <c r="DW116" s="19">
        <v>24836.842105263157</v>
      </c>
      <c r="DX116" s="19">
        <v>0</v>
      </c>
      <c r="DY116" s="19">
        <v>0</v>
      </c>
      <c r="DZ116" s="19">
        <v>0</v>
      </c>
      <c r="EA116" s="19">
        <v>0</v>
      </c>
      <c r="EB116" s="19">
        <v>0</v>
      </c>
      <c r="EC116" s="19">
        <v>0</v>
      </c>
      <c r="ED116" s="19">
        <v>0</v>
      </c>
      <c r="EE116" s="19">
        <v>0</v>
      </c>
      <c r="EF116" s="19">
        <v>0</v>
      </c>
      <c r="EG116" s="19">
        <v>0</v>
      </c>
      <c r="EH116" s="19">
        <v>0</v>
      </c>
      <c r="EI116" s="19">
        <v>0</v>
      </c>
      <c r="EJ116" s="19">
        <v>0</v>
      </c>
      <c r="EK116" s="19">
        <v>0</v>
      </c>
    </row>
    <row r="117" spans="1:141">
      <c r="A117" t="s">
        <v>772</v>
      </c>
      <c r="B117" t="s">
        <v>1497</v>
      </c>
      <c r="C117" t="s">
        <v>24</v>
      </c>
      <c r="D117" t="str">
        <f t="shared" si="67"/>
        <v>saline</v>
      </c>
      <c r="E117" t="s">
        <v>119</v>
      </c>
      <c r="F117" t="s">
        <v>1394</v>
      </c>
      <c r="G117" t="s">
        <v>1728</v>
      </c>
      <c r="H117" t="s">
        <v>595</v>
      </c>
      <c r="I117">
        <v>84</v>
      </c>
      <c r="J117">
        <v>0</v>
      </c>
      <c r="K117" t="s">
        <v>635</v>
      </c>
      <c r="L117" t="s">
        <v>585</v>
      </c>
      <c r="M117" t="s">
        <v>775</v>
      </c>
      <c r="N117" t="s">
        <v>578</v>
      </c>
      <c r="O117">
        <v>50</v>
      </c>
      <c r="P117">
        <v>1.52</v>
      </c>
      <c r="Q117">
        <v>0.32</v>
      </c>
      <c r="R117">
        <v>0</v>
      </c>
      <c r="S117">
        <v>0.87</v>
      </c>
      <c r="T117">
        <v>4.79</v>
      </c>
      <c r="U117">
        <v>2.5299999999999998</v>
      </c>
      <c r="V117">
        <v>0</v>
      </c>
      <c r="W117">
        <v>8.8699999999999992</v>
      </c>
      <c r="X117">
        <v>23.79</v>
      </c>
      <c r="Y117">
        <v>27.19</v>
      </c>
      <c r="Z117">
        <v>0</v>
      </c>
      <c r="AA117">
        <v>0.74</v>
      </c>
      <c r="AB117">
        <v>0</v>
      </c>
      <c r="AC117">
        <v>0.65</v>
      </c>
      <c r="AD117">
        <v>0</v>
      </c>
      <c r="AE117">
        <v>37.07</v>
      </c>
      <c r="AF117">
        <v>0</v>
      </c>
      <c r="AG117">
        <v>0</v>
      </c>
      <c r="AH117">
        <v>0</v>
      </c>
      <c r="AI117">
        <v>0</v>
      </c>
      <c r="AJ117">
        <v>8.7200000000000006</v>
      </c>
      <c r="AK117">
        <f t="shared" si="81"/>
        <v>108.34</v>
      </c>
      <c r="AL117" s="26">
        <f t="shared" si="82"/>
        <v>1.5203889965641422</v>
      </c>
      <c r="AM117" s="26">
        <f t="shared" si="83"/>
        <v>0.32008189401350362</v>
      </c>
      <c r="AN117" s="26">
        <f t="shared" si="84"/>
        <v>0.87022264934921278</v>
      </c>
      <c r="AO117" s="26">
        <f t="shared" si="85"/>
        <v>4.7912258510146319</v>
      </c>
      <c r="AP117" s="26">
        <f t="shared" si="86"/>
        <v>2.5306474745442622</v>
      </c>
      <c r="AQ117" s="26">
        <f t="shared" si="87"/>
        <v>8.872269999686802</v>
      </c>
      <c r="AR117" s="26">
        <f t="shared" si="88"/>
        <v>0.65016634721492916</v>
      </c>
      <c r="AS117" s="26">
        <f t="shared" si="89"/>
        <v>23.796088308066405</v>
      </c>
      <c r="AT117" s="26">
        <f t="shared" si="90"/>
        <v>27.196958431959885</v>
      </c>
      <c r="AU117" s="26">
        <f t="shared" si="91"/>
        <v>0.74018937990622702</v>
      </c>
      <c r="AV117" s="26">
        <f t="shared" si="92"/>
        <v>37.079486909626809</v>
      </c>
      <c r="AW117" s="26">
        <f t="shared" si="93"/>
        <v>108.36772624194681</v>
      </c>
      <c r="AX117">
        <v>0</v>
      </c>
      <c r="AY117">
        <v>0</v>
      </c>
      <c r="BB117">
        <v>0</v>
      </c>
      <c r="BC117">
        <v>0</v>
      </c>
      <c r="BF117">
        <v>0</v>
      </c>
      <c r="BG117">
        <v>0</v>
      </c>
      <c r="BH117">
        <v>0</v>
      </c>
      <c r="BI117">
        <v>0</v>
      </c>
      <c r="BJ117">
        <v>0</v>
      </c>
      <c r="BK117">
        <v>0</v>
      </c>
      <c r="BL117" s="19">
        <v>0</v>
      </c>
      <c r="BM117" s="19">
        <v>0</v>
      </c>
      <c r="BN117" s="19">
        <v>0</v>
      </c>
      <c r="BO117" s="19">
        <v>0</v>
      </c>
      <c r="BP117" s="19">
        <v>0</v>
      </c>
      <c r="BQ117" s="19">
        <v>0</v>
      </c>
      <c r="BR117" s="19">
        <v>0</v>
      </c>
      <c r="BS117" s="19">
        <v>254.84</v>
      </c>
      <c r="BT117" s="19">
        <v>0</v>
      </c>
      <c r="BU117" s="19">
        <v>0.308</v>
      </c>
      <c r="BV117" s="19">
        <v>0</v>
      </c>
      <c r="BW117" s="19">
        <v>0</v>
      </c>
      <c r="BX117" s="19">
        <v>0</v>
      </c>
      <c r="BY117" s="19">
        <v>0</v>
      </c>
      <c r="BZ117" s="19">
        <v>0</v>
      </c>
      <c r="CA117" s="19">
        <v>0</v>
      </c>
      <c r="CB117" s="19">
        <v>0</v>
      </c>
      <c r="CC117" s="19">
        <v>0</v>
      </c>
      <c r="CD117" s="19">
        <v>0</v>
      </c>
      <c r="CE117" s="19">
        <v>0</v>
      </c>
      <c r="CF117" s="19">
        <v>0</v>
      </c>
      <c r="CG117" s="19">
        <v>0</v>
      </c>
      <c r="CH117" s="19">
        <v>0</v>
      </c>
      <c r="CI117" s="19">
        <v>1.119</v>
      </c>
      <c r="CJ117" s="19">
        <v>2.919</v>
      </c>
      <c r="CK117" s="19">
        <v>7.2999999999999996E-4</v>
      </c>
      <c r="CL117" s="19">
        <v>3.5400000000000001E-2</v>
      </c>
      <c r="CM117" s="19">
        <v>0</v>
      </c>
      <c r="CN117" s="19">
        <v>0.26700000000000002</v>
      </c>
      <c r="CO117" s="19">
        <v>0</v>
      </c>
      <c r="CP117" s="19">
        <v>0</v>
      </c>
      <c r="CQ117" s="19">
        <v>0</v>
      </c>
      <c r="CR117" s="19">
        <v>0</v>
      </c>
      <c r="CS117" s="19">
        <v>2.5600000000000001E-2</v>
      </c>
      <c r="CT117" s="19">
        <v>5.66</v>
      </c>
      <c r="CU117" s="19">
        <v>0</v>
      </c>
      <c r="CV117" s="19">
        <v>0.2374</v>
      </c>
      <c r="CW117" s="19">
        <v>0.22520000000000001</v>
      </c>
      <c r="CX117" s="19">
        <v>2.2800000000000001E-2</v>
      </c>
      <c r="CY117" s="19">
        <v>0.107</v>
      </c>
      <c r="CZ117" s="19">
        <v>1.2699999999999999E-2</v>
      </c>
      <c r="DA117" s="19">
        <v>5.0000000000000001E-3</v>
      </c>
      <c r="DB117" s="19">
        <v>0</v>
      </c>
      <c r="DC117" s="19">
        <v>0</v>
      </c>
      <c r="DD117" s="19">
        <v>0</v>
      </c>
      <c r="DE117" s="19">
        <v>0</v>
      </c>
      <c r="DF117" s="19">
        <v>0</v>
      </c>
      <c r="DG117" s="19">
        <v>0</v>
      </c>
      <c r="DH117" s="19">
        <v>0</v>
      </c>
      <c r="DI117" s="19">
        <v>0</v>
      </c>
      <c r="DJ117" s="19">
        <v>1.49E-2</v>
      </c>
      <c r="DK117" s="19">
        <v>0</v>
      </c>
      <c r="DL117" s="19">
        <v>0</v>
      </c>
      <c r="DM117" s="19">
        <v>2.5000000000000001E-2</v>
      </c>
      <c r="DN117" s="19">
        <v>3.0999999999999999E-3</v>
      </c>
      <c r="DO117" s="19">
        <v>0</v>
      </c>
      <c r="DP117" s="19">
        <v>0</v>
      </c>
      <c r="DQ117" s="19">
        <v>0</v>
      </c>
      <c r="DR117" s="19">
        <v>0</v>
      </c>
      <c r="DS117" s="19">
        <v>0</v>
      </c>
      <c r="DT117" s="19">
        <v>0</v>
      </c>
      <c r="DU117" s="19">
        <v>86.129032258064527</v>
      </c>
      <c r="DV117" s="19">
        <v>5.0580875781948169</v>
      </c>
      <c r="DW117" s="19">
        <v>82206.451612903227</v>
      </c>
      <c r="DX117" s="19">
        <v>0</v>
      </c>
      <c r="DY117" s="19">
        <v>0</v>
      </c>
      <c r="DZ117" s="19">
        <v>0</v>
      </c>
      <c r="EA117" s="19">
        <v>0</v>
      </c>
      <c r="EB117" s="19">
        <v>0</v>
      </c>
      <c r="EC117" s="19">
        <v>0</v>
      </c>
      <c r="ED117" s="19">
        <v>0</v>
      </c>
      <c r="EE117" s="19">
        <v>0</v>
      </c>
      <c r="EF117" s="19">
        <v>0</v>
      </c>
      <c r="EG117" s="19">
        <v>0</v>
      </c>
      <c r="EH117" s="19">
        <v>0</v>
      </c>
      <c r="EI117" s="19">
        <v>0</v>
      </c>
      <c r="EJ117" s="19">
        <v>0</v>
      </c>
      <c r="EK117" s="19">
        <v>0</v>
      </c>
    </row>
    <row r="118" spans="1:141">
      <c r="A118" t="s">
        <v>772</v>
      </c>
      <c r="B118" t="s">
        <v>1497</v>
      </c>
      <c r="C118" t="s">
        <v>24</v>
      </c>
      <c r="D118" t="str">
        <f t="shared" si="67"/>
        <v>saline</v>
      </c>
      <c r="E118" t="s">
        <v>119</v>
      </c>
      <c r="F118" t="s">
        <v>1394</v>
      </c>
      <c r="G118" t="s">
        <v>1728</v>
      </c>
      <c r="H118" t="s">
        <v>595</v>
      </c>
      <c r="I118">
        <v>84</v>
      </c>
      <c r="J118">
        <v>0</v>
      </c>
      <c r="K118" t="s">
        <v>635</v>
      </c>
      <c r="L118" t="s">
        <v>585</v>
      </c>
      <c r="M118" t="s">
        <v>776</v>
      </c>
      <c r="N118" t="s">
        <v>578</v>
      </c>
      <c r="O118">
        <v>50</v>
      </c>
      <c r="P118">
        <v>1.52</v>
      </c>
      <c r="Q118">
        <v>0.32</v>
      </c>
      <c r="R118">
        <v>0</v>
      </c>
      <c r="S118">
        <v>0.87</v>
      </c>
      <c r="T118">
        <v>4.79</v>
      </c>
      <c r="U118">
        <v>2.5299999999999998</v>
      </c>
      <c r="V118">
        <v>0</v>
      </c>
      <c r="W118">
        <v>8.8699999999999992</v>
      </c>
      <c r="X118">
        <v>23.79</v>
      </c>
      <c r="Y118">
        <v>27.19</v>
      </c>
      <c r="Z118">
        <v>0</v>
      </c>
      <c r="AA118">
        <v>0.74</v>
      </c>
      <c r="AB118">
        <v>0</v>
      </c>
      <c r="AC118">
        <v>0.65</v>
      </c>
      <c r="AD118">
        <v>0</v>
      </c>
      <c r="AE118">
        <v>37.07</v>
      </c>
      <c r="AF118">
        <v>0</v>
      </c>
      <c r="AG118">
        <v>0</v>
      </c>
      <c r="AH118">
        <v>0</v>
      </c>
      <c r="AI118">
        <v>0</v>
      </c>
      <c r="AJ118">
        <v>8.7200000000000006</v>
      </c>
      <c r="AK118">
        <f t="shared" si="81"/>
        <v>108.34</v>
      </c>
      <c r="AL118" s="26">
        <f t="shared" si="82"/>
        <v>1.5203889965641422</v>
      </c>
      <c r="AM118" s="26">
        <f t="shared" si="83"/>
        <v>0.32008189401350362</v>
      </c>
      <c r="AN118" s="26">
        <f t="shared" si="84"/>
        <v>0.87022264934921278</v>
      </c>
      <c r="AO118" s="26">
        <f t="shared" si="85"/>
        <v>4.7912258510146319</v>
      </c>
      <c r="AP118" s="26">
        <f t="shared" si="86"/>
        <v>2.5306474745442622</v>
      </c>
      <c r="AQ118" s="26">
        <f t="shared" si="87"/>
        <v>8.872269999686802</v>
      </c>
      <c r="AR118" s="26">
        <f t="shared" si="88"/>
        <v>0.65016634721492916</v>
      </c>
      <c r="AS118" s="26">
        <f t="shared" si="89"/>
        <v>23.796088308066405</v>
      </c>
      <c r="AT118" s="26">
        <f t="shared" si="90"/>
        <v>27.196958431959885</v>
      </c>
      <c r="AU118" s="26">
        <f t="shared" si="91"/>
        <v>0.74018937990622702</v>
      </c>
      <c r="AV118" s="26">
        <f t="shared" si="92"/>
        <v>37.079486909626809</v>
      </c>
      <c r="AW118" s="26">
        <f t="shared" si="93"/>
        <v>108.36772624194681</v>
      </c>
      <c r="AX118">
        <v>0</v>
      </c>
      <c r="AY118">
        <v>0</v>
      </c>
      <c r="BB118">
        <v>0</v>
      </c>
      <c r="BC118">
        <v>0</v>
      </c>
      <c r="BF118">
        <v>0</v>
      </c>
      <c r="BG118">
        <v>0</v>
      </c>
      <c r="BH118">
        <v>0</v>
      </c>
      <c r="BI118">
        <v>0</v>
      </c>
      <c r="BJ118">
        <v>0</v>
      </c>
      <c r="BK118">
        <v>0</v>
      </c>
      <c r="BL118" s="19">
        <v>0</v>
      </c>
      <c r="BM118" s="19">
        <v>0</v>
      </c>
      <c r="BN118" s="19">
        <v>0</v>
      </c>
      <c r="BO118" s="19">
        <v>0</v>
      </c>
      <c r="BP118" s="19">
        <v>0</v>
      </c>
      <c r="BQ118" s="19">
        <v>0</v>
      </c>
      <c r="BR118" s="19">
        <v>0</v>
      </c>
      <c r="BS118" s="19">
        <v>504.9</v>
      </c>
      <c r="BT118" s="19">
        <v>0</v>
      </c>
      <c r="BU118" s="19">
        <v>1.2809999999999999</v>
      </c>
      <c r="BV118" s="19">
        <v>0</v>
      </c>
      <c r="BW118" s="19">
        <v>0</v>
      </c>
      <c r="BX118" s="19">
        <v>0</v>
      </c>
      <c r="BY118" s="19">
        <v>0</v>
      </c>
      <c r="BZ118" s="19">
        <v>0</v>
      </c>
      <c r="CA118" s="19">
        <v>0</v>
      </c>
      <c r="CB118" s="19">
        <v>0</v>
      </c>
      <c r="CC118" s="19">
        <v>0</v>
      </c>
      <c r="CD118" s="19">
        <v>0</v>
      </c>
      <c r="CE118" s="19">
        <v>0</v>
      </c>
      <c r="CF118" s="19">
        <v>0</v>
      </c>
      <c r="CG118" s="19">
        <v>0</v>
      </c>
      <c r="CH118" s="19">
        <v>0</v>
      </c>
      <c r="CI118" s="19">
        <v>2.069</v>
      </c>
      <c r="CJ118" s="19">
        <v>8.7590000000000003</v>
      </c>
      <c r="CK118" s="19">
        <v>1.6400000000000001E-2</v>
      </c>
      <c r="CL118" s="19">
        <v>0.184</v>
      </c>
      <c r="CM118" s="19">
        <v>0</v>
      </c>
      <c r="CN118" s="19">
        <v>0.74399999999999999</v>
      </c>
      <c r="CO118" s="19">
        <v>0</v>
      </c>
      <c r="CP118" s="19">
        <v>0</v>
      </c>
      <c r="CQ118" s="19">
        <v>0</v>
      </c>
      <c r="CR118" s="19">
        <v>0</v>
      </c>
      <c r="CS118" s="19">
        <v>5.6899999999999999E-2</v>
      </c>
      <c r="CT118" s="19">
        <v>17.100000000000001</v>
      </c>
      <c r="CU118" s="19">
        <v>0</v>
      </c>
      <c r="CV118" s="19">
        <v>1.016</v>
      </c>
      <c r="CW118" s="19">
        <v>0.86799999999999999</v>
      </c>
      <c r="CX118" s="19">
        <v>0.10299999999999999</v>
      </c>
      <c r="CY118" s="19">
        <v>0.41599999999999998</v>
      </c>
      <c r="CZ118" s="19">
        <v>7.4099999999999999E-2</v>
      </c>
      <c r="DA118" s="19">
        <v>1.5100000000000001E-2</v>
      </c>
      <c r="DB118" s="19">
        <v>2.9000000000000001E-2</v>
      </c>
      <c r="DC118" s="19">
        <v>0</v>
      </c>
      <c r="DD118" s="19">
        <v>2.0600000000000002E-3</v>
      </c>
      <c r="DE118" s="19">
        <v>0</v>
      </c>
      <c r="DF118" s="19">
        <v>0</v>
      </c>
      <c r="DG118" s="19">
        <v>0</v>
      </c>
      <c r="DH118" s="19">
        <v>0</v>
      </c>
      <c r="DI118" s="19">
        <v>0</v>
      </c>
      <c r="DJ118" s="19">
        <v>3.27E-2</v>
      </c>
      <c r="DK118" s="19">
        <v>0</v>
      </c>
      <c r="DL118" s="19">
        <v>0</v>
      </c>
      <c r="DM118" s="19">
        <v>0.10580000000000001</v>
      </c>
      <c r="DN118" s="19">
        <v>1.34E-2</v>
      </c>
      <c r="DO118" s="19">
        <v>0</v>
      </c>
      <c r="DP118" s="19">
        <v>0</v>
      </c>
      <c r="DQ118" s="19">
        <v>0</v>
      </c>
      <c r="DR118" s="19">
        <v>0</v>
      </c>
      <c r="DS118" s="19">
        <v>0</v>
      </c>
      <c r="DT118" s="19">
        <v>0</v>
      </c>
      <c r="DU118" s="19">
        <v>55.522388059701491</v>
      </c>
      <c r="DV118" s="19">
        <v>8.2648622522957957</v>
      </c>
      <c r="DW118" s="19">
        <v>37679.104477611938</v>
      </c>
      <c r="DX118" s="19">
        <v>0</v>
      </c>
      <c r="DY118" s="19">
        <v>0</v>
      </c>
      <c r="DZ118" s="19">
        <v>0</v>
      </c>
      <c r="EA118" s="19">
        <v>0</v>
      </c>
      <c r="EB118" s="19">
        <v>0</v>
      </c>
      <c r="EC118" s="19">
        <v>0</v>
      </c>
      <c r="ED118" s="19">
        <v>0</v>
      </c>
      <c r="EE118" s="19">
        <v>0</v>
      </c>
      <c r="EF118" s="19">
        <v>0</v>
      </c>
      <c r="EG118" s="19">
        <v>0</v>
      </c>
      <c r="EH118" s="19">
        <v>0</v>
      </c>
      <c r="EI118" s="19">
        <v>0</v>
      </c>
      <c r="EJ118" s="19">
        <v>0</v>
      </c>
      <c r="EK118" s="19">
        <v>0</v>
      </c>
    </row>
    <row r="119" spans="1:141">
      <c r="A119" t="s">
        <v>772</v>
      </c>
      <c r="B119" t="s">
        <v>1497</v>
      </c>
      <c r="C119" t="s">
        <v>24</v>
      </c>
      <c r="D119" t="str">
        <f t="shared" si="67"/>
        <v>saline</v>
      </c>
      <c r="E119" t="s">
        <v>119</v>
      </c>
      <c r="F119" t="s">
        <v>1394</v>
      </c>
      <c r="G119" t="s">
        <v>1728</v>
      </c>
      <c r="H119" t="s">
        <v>595</v>
      </c>
      <c r="I119">
        <v>84</v>
      </c>
      <c r="J119">
        <v>0</v>
      </c>
      <c r="K119" t="s">
        <v>635</v>
      </c>
      <c r="L119" t="s">
        <v>585</v>
      </c>
      <c r="M119" t="s">
        <v>777</v>
      </c>
      <c r="N119" t="s">
        <v>578</v>
      </c>
      <c r="O119">
        <v>50</v>
      </c>
      <c r="P119">
        <v>1.52</v>
      </c>
      <c r="Q119">
        <v>0.32</v>
      </c>
      <c r="R119">
        <v>0</v>
      </c>
      <c r="S119">
        <v>0.87</v>
      </c>
      <c r="T119">
        <v>4.79</v>
      </c>
      <c r="U119">
        <v>2.5299999999999998</v>
      </c>
      <c r="V119">
        <v>0</v>
      </c>
      <c r="W119">
        <v>8.8699999999999992</v>
      </c>
      <c r="X119">
        <v>23.79</v>
      </c>
      <c r="Y119">
        <v>27.19</v>
      </c>
      <c r="Z119">
        <v>0</v>
      </c>
      <c r="AA119">
        <v>0.74</v>
      </c>
      <c r="AB119">
        <v>0</v>
      </c>
      <c r="AC119">
        <v>0.65</v>
      </c>
      <c r="AD119">
        <v>0</v>
      </c>
      <c r="AE119">
        <v>37.07</v>
      </c>
      <c r="AF119">
        <v>0</v>
      </c>
      <c r="AG119">
        <v>0</v>
      </c>
      <c r="AH119">
        <v>0</v>
      </c>
      <c r="AI119">
        <v>0</v>
      </c>
      <c r="AJ119">
        <v>8.7200000000000006</v>
      </c>
      <c r="AK119">
        <f t="shared" si="81"/>
        <v>108.34</v>
      </c>
      <c r="AL119" s="26">
        <f t="shared" si="82"/>
        <v>1.5203889965641422</v>
      </c>
      <c r="AM119" s="26">
        <f t="shared" si="83"/>
        <v>0.32008189401350362</v>
      </c>
      <c r="AN119" s="26">
        <f t="shared" si="84"/>
        <v>0.87022264934921278</v>
      </c>
      <c r="AO119" s="26">
        <f t="shared" si="85"/>
        <v>4.7912258510146319</v>
      </c>
      <c r="AP119" s="26">
        <f t="shared" si="86"/>
        <v>2.5306474745442622</v>
      </c>
      <c r="AQ119" s="26">
        <f t="shared" si="87"/>
        <v>8.872269999686802</v>
      </c>
      <c r="AR119" s="26">
        <f t="shared" si="88"/>
        <v>0.65016634721492916</v>
      </c>
      <c r="AS119" s="26">
        <f t="shared" si="89"/>
        <v>23.796088308066405</v>
      </c>
      <c r="AT119" s="26">
        <f t="shared" si="90"/>
        <v>27.196958431959885</v>
      </c>
      <c r="AU119" s="26">
        <f t="shared" si="91"/>
        <v>0.74018937990622702</v>
      </c>
      <c r="AV119" s="26">
        <f t="shared" si="92"/>
        <v>37.079486909626809</v>
      </c>
      <c r="AW119" s="26">
        <f t="shared" si="93"/>
        <v>108.36772624194681</v>
      </c>
      <c r="AX119">
        <v>0</v>
      </c>
      <c r="AY119">
        <v>0</v>
      </c>
      <c r="BB119">
        <v>0</v>
      </c>
      <c r="BC119">
        <v>0</v>
      </c>
      <c r="BF119">
        <v>0</v>
      </c>
      <c r="BG119">
        <v>0</v>
      </c>
      <c r="BH119">
        <v>0</v>
      </c>
      <c r="BI119">
        <v>0</v>
      </c>
      <c r="BJ119">
        <v>0</v>
      </c>
      <c r="BK119">
        <v>0</v>
      </c>
      <c r="BL119" s="19">
        <v>0</v>
      </c>
      <c r="BM119" s="19">
        <v>0</v>
      </c>
      <c r="BN119" s="19">
        <v>0</v>
      </c>
      <c r="BO119" s="19">
        <v>0</v>
      </c>
      <c r="BP119" s="19">
        <v>0</v>
      </c>
      <c r="BQ119" s="19">
        <v>0</v>
      </c>
      <c r="BR119" s="19">
        <v>0</v>
      </c>
      <c r="BS119" s="19">
        <v>339.27</v>
      </c>
      <c r="BT119" s="19">
        <v>0</v>
      </c>
      <c r="BU119" s="19">
        <v>2.1080000000000001</v>
      </c>
      <c r="BV119" s="19">
        <v>0</v>
      </c>
      <c r="BW119" s="19">
        <v>0</v>
      </c>
      <c r="BX119" s="19">
        <v>0</v>
      </c>
      <c r="BY119" s="19">
        <v>0</v>
      </c>
      <c r="BZ119" s="19">
        <v>0</v>
      </c>
      <c r="CA119" s="19">
        <v>0</v>
      </c>
      <c r="CB119" s="19">
        <v>0</v>
      </c>
      <c r="CC119" s="19">
        <v>0</v>
      </c>
      <c r="CD119" s="19">
        <v>0</v>
      </c>
      <c r="CE119" s="19">
        <v>0</v>
      </c>
      <c r="CF119" s="19">
        <v>0</v>
      </c>
      <c r="CG119" s="19">
        <v>0</v>
      </c>
      <c r="CH119" s="19">
        <v>0</v>
      </c>
      <c r="CI119" s="19">
        <v>1.61</v>
      </c>
      <c r="CJ119" s="19">
        <v>5.0389999999999997</v>
      </c>
      <c r="CK119" s="19">
        <v>1.7399999999999999E-2</v>
      </c>
      <c r="CL119" s="19">
        <v>0.20230000000000001</v>
      </c>
      <c r="CM119" s="19">
        <v>0</v>
      </c>
      <c r="CN119" s="19">
        <v>0.5</v>
      </c>
      <c r="CO119" s="19">
        <v>0</v>
      </c>
      <c r="CP119" s="19">
        <v>0</v>
      </c>
      <c r="CQ119" s="19">
        <v>0</v>
      </c>
      <c r="CR119" s="19">
        <v>0</v>
      </c>
      <c r="CS119" s="19">
        <v>4.02E-2</v>
      </c>
      <c r="CT119" s="19">
        <v>11.13</v>
      </c>
      <c r="CU119" s="19">
        <v>0</v>
      </c>
      <c r="CV119" s="19">
        <v>0.49299999999999999</v>
      </c>
      <c r="CW119" s="19">
        <v>0.48199999999999998</v>
      </c>
      <c r="CX119" s="19">
        <v>5.3400000000000003E-2</v>
      </c>
      <c r="CY119" s="19">
        <v>0.28499999999999998</v>
      </c>
      <c r="CZ119" s="19">
        <v>2.3900000000000001E-2</v>
      </c>
      <c r="DA119" s="19">
        <v>1.06E-2</v>
      </c>
      <c r="DB119" s="19">
        <v>1.84E-2</v>
      </c>
      <c r="DC119" s="19">
        <v>8.3000000000000001E-3</v>
      </c>
      <c r="DD119" s="19">
        <v>0</v>
      </c>
      <c r="DE119" s="19">
        <v>0</v>
      </c>
      <c r="DF119" s="19">
        <v>0</v>
      </c>
      <c r="DG119" s="19">
        <v>0</v>
      </c>
      <c r="DH119" s="19">
        <v>0</v>
      </c>
      <c r="DI119" s="19">
        <v>0</v>
      </c>
      <c r="DJ119" s="19">
        <v>2.4899999999999999E-2</v>
      </c>
      <c r="DK119" s="19">
        <v>0</v>
      </c>
      <c r="DL119" s="19">
        <v>0</v>
      </c>
      <c r="DM119" s="19">
        <v>5.21E-2</v>
      </c>
      <c r="DN119" s="19">
        <v>8.8000000000000005E-3</v>
      </c>
      <c r="DO119" s="19">
        <v>0</v>
      </c>
      <c r="DP119" s="19">
        <v>0</v>
      </c>
      <c r="DQ119" s="19">
        <v>0</v>
      </c>
      <c r="DR119" s="19">
        <v>0</v>
      </c>
      <c r="DS119" s="19">
        <v>0</v>
      </c>
      <c r="DT119" s="19">
        <v>0</v>
      </c>
      <c r="DU119" s="19">
        <v>56.818181818181813</v>
      </c>
      <c r="DV119" s="19">
        <v>6.9130434782608701</v>
      </c>
      <c r="DW119" s="19">
        <v>38553.409090909088</v>
      </c>
      <c r="DX119" s="19">
        <v>0</v>
      </c>
      <c r="DY119" s="19">
        <v>0</v>
      </c>
      <c r="DZ119" s="19">
        <v>0</v>
      </c>
      <c r="EA119" s="19">
        <v>0</v>
      </c>
      <c r="EB119" s="19">
        <v>0</v>
      </c>
      <c r="EC119" s="19">
        <v>0</v>
      </c>
      <c r="ED119" s="19">
        <v>0</v>
      </c>
      <c r="EE119" s="19">
        <v>0</v>
      </c>
      <c r="EF119" s="19">
        <v>0</v>
      </c>
      <c r="EG119" s="19">
        <v>0</v>
      </c>
      <c r="EH119" s="19">
        <v>0</v>
      </c>
      <c r="EI119" s="19">
        <v>0</v>
      </c>
      <c r="EJ119" s="19">
        <v>0</v>
      </c>
      <c r="EK119" s="19">
        <v>0</v>
      </c>
    </row>
    <row r="120" spans="1:141">
      <c r="A120" t="s">
        <v>772</v>
      </c>
      <c r="B120" t="s">
        <v>1497</v>
      </c>
      <c r="C120" t="s">
        <v>24</v>
      </c>
      <c r="D120" t="str">
        <f t="shared" si="67"/>
        <v>saline</v>
      </c>
      <c r="E120" t="s">
        <v>119</v>
      </c>
      <c r="F120" t="s">
        <v>1394</v>
      </c>
      <c r="G120" t="s">
        <v>1728</v>
      </c>
      <c r="H120" t="s">
        <v>595</v>
      </c>
      <c r="I120">
        <v>84</v>
      </c>
      <c r="J120" t="s">
        <v>735</v>
      </c>
      <c r="K120" t="s">
        <v>635</v>
      </c>
      <c r="L120" t="s">
        <v>585</v>
      </c>
      <c r="M120" t="s">
        <v>781</v>
      </c>
      <c r="N120" t="s">
        <v>584</v>
      </c>
      <c r="O120">
        <v>57</v>
      </c>
      <c r="P120">
        <v>3.45</v>
      </c>
      <c r="Q120">
        <v>0.52</v>
      </c>
      <c r="R120">
        <v>0</v>
      </c>
      <c r="S120">
        <v>1.58</v>
      </c>
      <c r="T120">
        <v>5.14</v>
      </c>
      <c r="U120">
        <v>3.23</v>
      </c>
      <c r="V120">
        <v>0</v>
      </c>
      <c r="W120">
        <v>7.16</v>
      </c>
      <c r="X120">
        <v>27.59</v>
      </c>
      <c r="Y120">
        <v>23.92</v>
      </c>
      <c r="Z120">
        <v>0</v>
      </c>
      <c r="AA120">
        <v>0.62</v>
      </c>
      <c r="AB120">
        <v>0</v>
      </c>
      <c r="AC120">
        <v>1.18</v>
      </c>
      <c r="AD120">
        <v>0</v>
      </c>
      <c r="AE120">
        <v>33</v>
      </c>
      <c r="AF120">
        <v>0</v>
      </c>
      <c r="AG120">
        <v>0</v>
      </c>
      <c r="AH120">
        <v>0</v>
      </c>
      <c r="AI120">
        <v>0</v>
      </c>
      <c r="AJ120">
        <v>5.99</v>
      </c>
      <c r="AK120">
        <f t="shared" si="81"/>
        <v>107.39000000000001</v>
      </c>
      <c r="AL120" s="26">
        <f t="shared" si="82"/>
        <v>3.4519713726499091</v>
      </c>
      <c r="AM120" s="26">
        <f t="shared" si="83"/>
        <v>0.52029713442839209</v>
      </c>
      <c r="AN120" s="26">
        <f t="shared" si="84"/>
        <v>1.5809028315324221</v>
      </c>
      <c r="AO120" s="26">
        <f t="shared" si="85"/>
        <v>5.1429370595421835</v>
      </c>
      <c r="AP120" s="26">
        <f t="shared" si="86"/>
        <v>3.2318456619302047</v>
      </c>
      <c r="AQ120" s="26">
        <f t="shared" si="87"/>
        <v>7.1640913125140138</v>
      </c>
      <c r="AR120" s="26">
        <f t="shared" si="88"/>
        <v>1.180674266587505</v>
      </c>
      <c r="AS120" s="26">
        <f t="shared" si="89"/>
        <v>27.60576526707565</v>
      </c>
      <c r="AT120" s="26">
        <f t="shared" si="90"/>
        <v>23.933668183706036</v>
      </c>
      <c r="AU120" s="26">
        <f t="shared" si="91"/>
        <v>0.62035427566462131</v>
      </c>
      <c r="AV120" s="26">
        <f t="shared" si="92"/>
        <v>33.018856607955648</v>
      </c>
      <c r="AW120" s="26">
        <f t="shared" si="93"/>
        <v>107.45136397358658</v>
      </c>
      <c r="AX120">
        <v>18.260000000000002</v>
      </c>
      <c r="AY120" t="s">
        <v>763</v>
      </c>
      <c r="BB120" t="s">
        <v>763</v>
      </c>
      <c r="BC120">
        <v>0</v>
      </c>
      <c r="BF120">
        <v>0</v>
      </c>
      <c r="BG120">
        <v>0</v>
      </c>
      <c r="BH120">
        <v>0</v>
      </c>
      <c r="BI120">
        <v>0</v>
      </c>
      <c r="BJ120">
        <v>0</v>
      </c>
      <c r="BK120">
        <v>0</v>
      </c>
      <c r="BL120" s="19">
        <v>0</v>
      </c>
      <c r="BM120" s="19">
        <v>0</v>
      </c>
      <c r="BN120" s="19">
        <v>0</v>
      </c>
      <c r="BO120" s="19">
        <v>0</v>
      </c>
      <c r="BP120" s="19">
        <v>0</v>
      </c>
      <c r="BQ120" s="19">
        <v>0</v>
      </c>
      <c r="BR120" s="19">
        <v>0</v>
      </c>
      <c r="BS120" s="19">
        <v>288.25</v>
      </c>
      <c r="BT120" s="19">
        <v>0</v>
      </c>
      <c r="BU120" s="19">
        <v>2.1389999999999998</v>
      </c>
      <c r="BV120" s="19">
        <v>0</v>
      </c>
      <c r="BW120" s="19">
        <v>0</v>
      </c>
      <c r="BX120" s="19">
        <v>0</v>
      </c>
      <c r="BY120" s="19">
        <v>0</v>
      </c>
      <c r="BZ120" s="19">
        <v>0</v>
      </c>
      <c r="CA120" s="19">
        <v>0</v>
      </c>
      <c r="CB120" s="19">
        <v>0</v>
      </c>
      <c r="CC120" s="19">
        <v>0</v>
      </c>
      <c r="CD120" s="19">
        <v>0</v>
      </c>
      <c r="CE120" s="19">
        <v>0</v>
      </c>
      <c r="CF120" s="19">
        <v>0</v>
      </c>
      <c r="CG120" s="19">
        <v>0</v>
      </c>
      <c r="CH120" s="19">
        <v>0</v>
      </c>
      <c r="CI120" s="19">
        <v>1.0840000000000001</v>
      </c>
      <c r="CJ120" s="19">
        <v>8.7289999999999992</v>
      </c>
      <c r="CK120" s="19">
        <v>0.01</v>
      </c>
      <c r="CL120" s="19">
        <v>0.249</v>
      </c>
      <c r="CM120" s="19">
        <v>0</v>
      </c>
      <c r="CN120" s="19">
        <v>0.91100000000000003</v>
      </c>
      <c r="CO120" s="19">
        <v>0</v>
      </c>
      <c r="CP120" s="19">
        <v>0</v>
      </c>
      <c r="CQ120" s="19">
        <v>0</v>
      </c>
      <c r="CR120" s="19">
        <v>0</v>
      </c>
      <c r="CS120" s="19">
        <v>7.0699999999999999E-2</v>
      </c>
      <c r="CT120" s="19">
        <v>17.760000000000002</v>
      </c>
      <c r="CU120" s="19">
        <v>0</v>
      </c>
      <c r="CV120" s="19">
        <v>1.61</v>
      </c>
      <c r="CW120" s="19">
        <v>1.67</v>
      </c>
      <c r="CX120" s="19">
        <v>0.153</v>
      </c>
      <c r="CY120" s="19">
        <v>0.54300000000000004</v>
      </c>
      <c r="CZ120" s="19">
        <v>6.8099999999999994E-2</v>
      </c>
      <c r="DA120" s="19">
        <v>1.9099999999999999E-2</v>
      </c>
      <c r="DB120" s="19">
        <v>2.8199999999999999E-2</v>
      </c>
      <c r="DC120" s="19">
        <v>0</v>
      </c>
      <c r="DD120" s="19">
        <v>2.1099999999999999E-3</v>
      </c>
      <c r="DE120" s="19">
        <v>0</v>
      </c>
      <c r="DF120" s="19">
        <v>0</v>
      </c>
      <c r="DG120" s="19">
        <v>0</v>
      </c>
      <c r="DH120" s="19">
        <v>0</v>
      </c>
      <c r="DI120" s="19">
        <v>0</v>
      </c>
      <c r="DJ120" s="19">
        <v>4.3400000000000001E-2</v>
      </c>
      <c r="DK120" s="19">
        <v>0</v>
      </c>
      <c r="DL120" s="19">
        <v>0</v>
      </c>
      <c r="DM120" s="19">
        <v>0.21199999999999999</v>
      </c>
      <c r="DN120" s="19">
        <v>4.1399999999999999E-2</v>
      </c>
      <c r="DO120" s="19">
        <v>0</v>
      </c>
      <c r="DP120" s="19">
        <v>0</v>
      </c>
      <c r="DQ120" s="19">
        <v>0</v>
      </c>
      <c r="DR120" s="19">
        <v>0</v>
      </c>
      <c r="DS120" s="19">
        <v>0</v>
      </c>
      <c r="DT120" s="19">
        <v>0</v>
      </c>
      <c r="DU120" s="19">
        <v>22.004830917874397</v>
      </c>
      <c r="DV120" s="19">
        <v>16.383763837638377</v>
      </c>
      <c r="DW120" s="19">
        <v>6962.5603864734303</v>
      </c>
      <c r="DX120" s="19">
        <v>0</v>
      </c>
      <c r="DY120" s="19">
        <v>0</v>
      </c>
      <c r="DZ120" s="19">
        <v>0.71743999999999997</v>
      </c>
      <c r="EA120" s="19">
        <v>3.0000000000000001E-5</v>
      </c>
      <c r="EB120" s="19">
        <v>0.71743000000000001</v>
      </c>
      <c r="EC120" s="19">
        <v>0</v>
      </c>
      <c r="ED120" s="19">
        <v>185.1</v>
      </c>
      <c r="EE120" s="19">
        <v>0.51130399999999998</v>
      </c>
      <c r="EF120" s="19">
        <v>2.3E-5</v>
      </c>
      <c r="EG120" s="19">
        <v>0</v>
      </c>
      <c r="EH120" s="19" t="s">
        <v>1228</v>
      </c>
      <c r="EI120" s="19">
        <v>0</v>
      </c>
      <c r="EJ120" s="19">
        <v>0</v>
      </c>
      <c r="EK120" s="19">
        <v>0</v>
      </c>
    </row>
    <row r="121" spans="1:141">
      <c r="A121" t="s">
        <v>772</v>
      </c>
      <c r="B121" t="s">
        <v>1497</v>
      </c>
      <c r="C121" t="s">
        <v>24</v>
      </c>
      <c r="D121" t="str">
        <f t="shared" si="67"/>
        <v>saline</v>
      </c>
      <c r="E121" t="s">
        <v>119</v>
      </c>
      <c r="F121" t="s">
        <v>1394</v>
      </c>
      <c r="G121" t="s">
        <v>1728</v>
      </c>
      <c r="H121" t="s">
        <v>595</v>
      </c>
      <c r="I121">
        <v>84</v>
      </c>
      <c r="J121">
        <v>0</v>
      </c>
      <c r="K121" t="s">
        <v>635</v>
      </c>
      <c r="L121" t="s">
        <v>585</v>
      </c>
      <c r="M121" t="s">
        <v>782</v>
      </c>
      <c r="N121" t="s">
        <v>584</v>
      </c>
      <c r="O121">
        <v>57</v>
      </c>
      <c r="P121">
        <v>3.45</v>
      </c>
      <c r="Q121">
        <v>0.52</v>
      </c>
      <c r="R121">
        <v>0</v>
      </c>
      <c r="S121">
        <v>1.58</v>
      </c>
      <c r="T121">
        <v>5.14</v>
      </c>
      <c r="U121">
        <v>3.23</v>
      </c>
      <c r="V121">
        <v>0</v>
      </c>
      <c r="W121">
        <v>7.16</v>
      </c>
      <c r="X121">
        <v>27.59</v>
      </c>
      <c r="Y121">
        <v>23.92</v>
      </c>
      <c r="Z121">
        <v>0</v>
      </c>
      <c r="AA121">
        <v>0.62</v>
      </c>
      <c r="AB121">
        <v>0</v>
      </c>
      <c r="AC121">
        <v>1.18</v>
      </c>
      <c r="AD121">
        <v>0</v>
      </c>
      <c r="AE121">
        <v>33</v>
      </c>
      <c r="AF121">
        <v>0</v>
      </c>
      <c r="AG121">
        <v>0</v>
      </c>
      <c r="AH121">
        <v>0</v>
      </c>
      <c r="AI121">
        <v>0</v>
      </c>
      <c r="AJ121">
        <v>5.99</v>
      </c>
      <c r="AK121">
        <f t="shared" si="81"/>
        <v>107.39000000000001</v>
      </c>
      <c r="AL121" s="26">
        <f t="shared" si="82"/>
        <v>3.4519713726499091</v>
      </c>
      <c r="AM121" s="26">
        <f t="shared" si="83"/>
        <v>0.52029713442839209</v>
      </c>
      <c r="AN121" s="26">
        <f t="shared" si="84"/>
        <v>1.5809028315324221</v>
      </c>
      <c r="AO121" s="26">
        <f t="shared" si="85"/>
        <v>5.1429370595421835</v>
      </c>
      <c r="AP121" s="26">
        <f t="shared" si="86"/>
        <v>3.2318456619302047</v>
      </c>
      <c r="AQ121" s="26">
        <f t="shared" si="87"/>
        <v>7.1640913125140138</v>
      </c>
      <c r="AR121" s="26">
        <f t="shared" si="88"/>
        <v>1.180674266587505</v>
      </c>
      <c r="AS121" s="26">
        <f t="shared" si="89"/>
        <v>27.60576526707565</v>
      </c>
      <c r="AT121" s="26">
        <f t="shared" si="90"/>
        <v>23.933668183706036</v>
      </c>
      <c r="AU121" s="26">
        <f t="shared" si="91"/>
        <v>0.62035427566462131</v>
      </c>
      <c r="AV121" s="26">
        <f t="shared" si="92"/>
        <v>33.018856607955648</v>
      </c>
      <c r="AW121" s="26">
        <f t="shared" si="93"/>
        <v>107.45136397358658</v>
      </c>
      <c r="AX121">
        <v>18.260000000000002</v>
      </c>
      <c r="AY121" t="s">
        <v>763</v>
      </c>
      <c r="BB121" t="s">
        <v>763</v>
      </c>
      <c r="BC121">
        <v>0</v>
      </c>
      <c r="BF121">
        <v>0</v>
      </c>
      <c r="BG121">
        <v>0</v>
      </c>
      <c r="BH121">
        <v>0</v>
      </c>
      <c r="BI121">
        <v>0</v>
      </c>
      <c r="BJ121">
        <v>0</v>
      </c>
      <c r="BK121">
        <v>0</v>
      </c>
      <c r="BL121" s="19">
        <v>0</v>
      </c>
      <c r="BM121" s="19">
        <v>0</v>
      </c>
      <c r="BN121" s="19">
        <v>0</v>
      </c>
      <c r="BO121" s="19">
        <v>0</v>
      </c>
      <c r="BP121" s="19">
        <v>0</v>
      </c>
      <c r="BQ121" s="19">
        <v>0</v>
      </c>
      <c r="BR121" s="19">
        <v>0</v>
      </c>
      <c r="BS121" s="19">
        <v>279.29000000000002</v>
      </c>
      <c r="BT121" s="19">
        <v>0</v>
      </c>
      <c r="BU121" s="19">
        <v>0.53500000000000003</v>
      </c>
      <c r="BV121" s="19">
        <v>0</v>
      </c>
      <c r="BW121" s="19">
        <v>0</v>
      </c>
      <c r="BX121" s="19">
        <v>0</v>
      </c>
      <c r="BY121" s="19">
        <v>0</v>
      </c>
      <c r="BZ121" s="19">
        <v>0</v>
      </c>
      <c r="CA121" s="19">
        <v>0</v>
      </c>
      <c r="CB121" s="19">
        <v>0</v>
      </c>
      <c r="CC121" s="19">
        <v>0</v>
      </c>
      <c r="CD121" s="19">
        <v>0</v>
      </c>
      <c r="CE121" s="19">
        <v>0</v>
      </c>
      <c r="CF121" s="19">
        <v>0</v>
      </c>
      <c r="CG121" s="19">
        <v>0</v>
      </c>
      <c r="CH121" s="19">
        <v>0</v>
      </c>
      <c r="CI121" s="19">
        <v>0.96199999999999997</v>
      </c>
      <c r="CJ121" s="19">
        <v>6.5289999999999999</v>
      </c>
      <c r="CK121" s="19">
        <v>2.81E-3</v>
      </c>
      <c r="CL121" s="19">
        <v>0.151</v>
      </c>
      <c r="CM121" s="19">
        <v>0</v>
      </c>
      <c r="CN121" s="19">
        <v>0.70499999999999996</v>
      </c>
      <c r="CO121" s="19">
        <v>0</v>
      </c>
      <c r="CP121" s="19">
        <v>0</v>
      </c>
      <c r="CQ121" s="19">
        <v>0</v>
      </c>
      <c r="CR121" s="19">
        <v>0</v>
      </c>
      <c r="CS121" s="19">
        <v>3.8300000000000001E-2</v>
      </c>
      <c r="CT121" s="19">
        <v>17.45</v>
      </c>
      <c r="CU121" s="19">
        <v>0</v>
      </c>
      <c r="CV121" s="19">
        <v>0.84099999999999997</v>
      </c>
      <c r="CW121" s="19">
        <v>0.82099999999999995</v>
      </c>
      <c r="CX121" s="19">
        <v>7.5600000000000001E-2</v>
      </c>
      <c r="CY121" s="19">
        <v>0.26800000000000002</v>
      </c>
      <c r="CZ121" s="19">
        <v>2.5899999999999999E-2</v>
      </c>
      <c r="DA121" s="19">
        <v>5.0000000000000001E-3</v>
      </c>
      <c r="DB121" s="19">
        <v>2.0799999999999999E-2</v>
      </c>
      <c r="DC121" s="19">
        <v>0</v>
      </c>
      <c r="DD121" s="19">
        <v>0</v>
      </c>
      <c r="DE121" s="19">
        <v>6.6E-3</v>
      </c>
      <c r="DF121" s="19">
        <v>0</v>
      </c>
      <c r="DG121" s="19">
        <v>0</v>
      </c>
      <c r="DH121" s="19">
        <v>0</v>
      </c>
      <c r="DI121" s="19">
        <v>0</v>
      </c>
      <c r="DJ121" s="19">
        <v>3.5499999999999997E-2</v>
      </c>
      <c r="DK121" s="19">
        <v>0</v>
      </c>
      <c r="DL121" s="19">
        <v>0</v>
      </c>
      <c r="DM121" s="19">
        <v>0.13950000000000001</v>
      </c>
      <c r="DN121" s="19">
        <v>2.5399999999999999E-2</v>
      </c>
      <c r="DO121" s="19">
        <v>0</v>
      </c>
      <c r="DP121" s="19">
        <v>0</v>
      </c>
      <c r="DQ121" s="19">
        <v>0</v>
      </c>
      <c r="DR121" s="19">
        <v>0</v>
      </c>
      <c r="DS121" s="19">
        <v>0</v>
      </c>
      <c r="DT121" s="19">
        <v>0</v>
      </c>
      <c r="DU121" s="19">
        <v>27.755905511811022</v>
      </c>
      <c r="DV121" s="19">
        <v>18.139293139293141</v>
      </c>
      <c r="DW121" s="19">
        <v>10995.669291338583</v>
      </c>
      <c r="DX121" s="19">
        <v>0</v>
      </c>
      <c r="DY121" s="19">
        <v>0</v>
      </c>
      <c r="DZ121" s="19">
        <v>0.70538999999999996</v>
      </c>
      <c r="EA121" s="19">
        <v>3.3E-4</v>
      </c>
      <c r="EB121" s="19">
        <v>0.70535999999999999</v>
      </c>
      <c r="EC121" s="19">
        <v>0</v>
      </c>
      <c r="ED121" s="19">
        <v>13.8</v>
      </c>
      <c r="EE121" s="19">
        <v>0</v>
      </c>
      <c r="EF121" s="19">
        <v>0</v>
      </c>
      <c r="EG121" s="19">
        <v>0</v>
      </c>
      <c r="EH121" s="19">
        <v>0</v>
      </c>
      <c r="EI121" s="19">
        <v>0</v>
      </c>
      <c r="EJ121" s="19">
        <v>0</v>
      </c>
      <c r="EK121" s="19">
        <v>0</v>
      </c>
    </row>
    <row r="122" spans="1:141">
      <c r="A122" t="s">
        <v>772</v>
      </c>
      <c r="B122" t="s">
        <v>1497</v>
      </c>
      <c r="C122" t="s">
        <v>24</v>
      </c>
      <c r="D122" t="str">
        <f t="shared" si="67"/>
        <v>saline</v>
      </c>
      <c r="E122" t="s">
        <v>119</v>
      </c>
      <c r="F122" t="s">
        <v>1394</v>
      </c>
      <c r="G122" t="s">
        <v>1728</v>
      </c>
      <c r="H122" t="s">
        <v>595</v>
      </c>
      <c r="I122">
        <v>84</v>
      </c>
      <c r="J122">
        <v>0</v>
      </c>
      <c r="K122" t="s">
        <v>635</v>
      </c>
      <c r="L122" t="s">
        <v>585</v>
      </c>
      <c r="M122" t="s">
        <v>783</v>
      </c>
      <c r="N122" t="s">
        <v>584</v>
      </c>
      <c r="O122">
        <v>57</v>
      </c>
      <c r="P122">
        <v>3.45</v>
      </c>
      <c r="Q122">
        <v>0.52</v>
      </c>
      <c r="R122">
        <v>0</v>
      </c>
      <c r="S122">
        <v>1.58</v>
      </c>
      <c r="T122">
        <v>5.14</v>
      </c>
      <c r="U122">
        <v>3.23</v>
      </c>
      <c r="V122">
        <v>0</v>
      </c>
      <c r="W122">
        <v>7.16</v>
      </c>
      <c r="X122">
        <v>27.59</v>
      </c>
      <c r="Y122">
        <v>23.92</v>
      </c>
      <c r="Z122">
        <v>0</v>
      </c>
      <c r="AA122">
        <v>0.62</v>
      </c>
      <c r="AB122">
        <v>0</v>
      </c>
      <c r="AC122">
        <v>1.18</v>
      </c>
      <c r="AD122">
        <v>0</v>
      </c>
      <c r="AE122">
        <v>33</v>
      </c>
      <c r="AF122">
        <v>0</v>
      </c>
      <c r="AG122">
        <v>0</v>
      </c>
      <c r="AH122">
        <v>0</v>
      </c>
      <c r="AI122">
        <v>0</v>
      </c>
      <c r="AJ122">
        <v>5.99</v>
      </c>
      <c r="AK122">
        <f t="shared" si="81"/>
        <v>107.39000000000001</v>
      </c>
      <c r="AL122" s="26">
        <f t="shared" si="82"/>
        <v>3.4519713726499091</v>
      </c>
      <c r="AM122" s="26">
        <f t="shared" si="83"/>
        <v>0.52029713442839209</v>
      </c>
      <c r="AN122" s="26">
        <f t="shared" si="84"/>
        <v>1.5809028315324221</v>
      </c>
      <c r="AO122" s="26">
        <f t="shared" si="85"/>
        <v>5.1429370595421835</v>
      </c>
      <c r="AP122" s="26">
        <f t="shared" si="86"/>
        <v>3.2318456619302047</v>
      </c>
      <c r="AQ122" s="26">
        <f t="shared" si="87"/>
        <v>7.1640913125140138</v>
      </c>
      <c r="AR122" s="26">
        <f t="shared" si="88"/>
        <v>1.180674266587505</v>
      </c>
      <c r="AS122" s="26">
        <f t="shared" si="89"/>
        <v>27.60576526707565</v>
      </c>
      <c r="AT122" s="26">
        <f t="shared" si="90"/>
        <v>23.933668183706036</v>
      </c>
      <c r="AU122" s="26">
        <f t="shared" si="91"/>
        <v>0.62035427566462131</v>
      </c>
      <c r="AV122" s="26">
        <f t="shared" si="92"/>
        <v>33.018856607955648</v>
      </c>
      <c r="AW122" s="26">
        <f t="shared" si="93"/>
        <v>107.45136397358658</v>
      </c>
      <c r="AX122">
        <v>18.260000000000002</v>
      </c>
      <c r="AY122" t="s">
        <v>763</v>
      </c>
      <c r="BB122" t="s">
        <v>763</v>
      </c>
      <c r="BC122">
        <v>0</v>
      </c>
      <c r="BF122">
        <v>0</v>
      </c>
      <c r="BG122">
        <v>0</v>
      </c>
      <c r="BH122">
        <v>0</v>
      </c>
      <c r="BI122">
        <v>0</v>
      </c>
      <c r="BJ122">
        <v>0</v>
      </c>
      <c r="BK122">
        <v>0</v>
      </c>
      <c r="BL122" s="19">
        <v>0</v>
      </c>
      <c r="BM122" s="19">
        <v>0</v>
      </c>
      <c r="BN122" s="19">
        <v>0</v>
      </c>
      <c r="BO122" s="19">
        <v>0</v>
      </c>
      <c r="BP122" s="19">
        <v>0</v>
      </c>
      <c r="BQ122" s="19">
        <v>0</v>
      </c>
      <c r="BR122" s="19">
        <v>0</v>
      </c>
      <c r="BS122" s="19">
        <v>210.57</v>
      </c>
      <c r="BT122" s="19">
        <v>0</v>
      </c>
      <c r="BU122" s="19">
        <v>6.9390000000000001</v>
      </c>
      <c r="BV122" s="19">
        <v>0</v>
      </c>
      <c r="BW122" s="19">
        <v>0</v>
      </c>
      <c r="BX122" s="19">
        <v>0</v>
      </c>
      <c r="BY122" s="19">
        <v>0</v>
      </c>
      <c r="BZ122" s="19">
        <v>0</v>
      </c>
      <c r="CA122" s="19">
        <v>0</v>
      </c>
      <c r="CB122" s="19">
        <v>0</v>
      </c>
      <c r="CC122" s="19">
        <v>0</v>
      </c>
      <c r="CD122" s="19">
        <v>0</v>
      </c>
      <c r="CE122" s="19">
        <v>0</v>
      </c>
      <c r="CF122" s="19">
        <v>0</v>
      </c>
      <c r="CG122" s="19">
        <v>0</v>
      </c>
      <c r="CH122" s="19">
        <v>0</v>
      </c>
      <c r="CI122" s="19">
        <v>0.995</v>
      </c>
      <c r="CJ122" s="19">
        <v>11.379</v>
      </c>
      <c r="CK122" s="19">
        <v>2.46E-2</v>
      </c>
      <c r="CL122" s="19">
        <v>0.32400000000000001</v>
      </c>
      <c r="CM122" s="19">
        <v>0</v>
      </c>
      <c r="CN122" s="19">
        <v>1.0980000000000001</v>
      </c>
      <c r="CO122" s="19">
        <v>0</v>
      </c>
      <c r="CP122" s="19">
        <v>0</v>
      </c>
      <c r="CQ122" s="19">
        <v>0</v>
      </c>
      <c r="CR122" s="19">
        <v>0</v>
      </c>
      <c r="CS122" s="19">
        <v>6.9699999999999998E-2</v>
      </c>
      <c r="CT122" s="19">
        <v>14.59</v>
      </c>
      <c r="CU122" s="19">
        <v>0</v>
      </c>
      <c r="CV122" s="19">
        <v>3.04</v>
      </c>
      <c r="CW122" s="19">
        <v>3.22</v>
      </c>
      <c r="CX122" s="19">
        <v>0.315</v>
      </c>
      <c r="CY122" s="19">
        <v>1.234</v>
      </c>
      <c r="CZ122" s="19">
        <v>0.109</v>
      </c>
      <c r="DA122" s="19">
        <v>3.0200000000000001E-2</v>
      </c>
      <c r="DB122" s="19">
        <v>7.0599999999999996E-2</v>
      </c>
      <c r="DC122" s="19">
        <v>0.01</v>
      </c>
      <c r="DD122" s="19">
        <v>3.1199999999999999E-3</v>
      </c>
      <c r="DE122" s="19">
        <v>0</v>
      </c>
      <c r="DF122" s="19">
        <v>0</v>
      </c>
      <c r="DG122" s="19">
        <v>0</v>
      </c>
      <c r="DH122" s="19">
        <v>0</v>
      </c>
      <c r="DI122" s="19">
        <v>8.5000000000000006E-3</v>
      </c>
      <c r="DJ122" s="19">
        <v>4.1399999999999999E-2</v>
      </c>
      <c r="DK122" s="19">
        <v>0</v>
      </c>
      <c r="DL122" s="19">
        <v>0</v>
      </c>
      <c r="DM122" s="19">
        <v>0.24299999999999999</v>
      </c>
      <c r="DN122" s="19">
        <v>5.5599999999999997E-2</v>
      </c>
      <c r="DO122" s="19">
        <v>0</v>
      </c>
      <c r="DP122" s="19">
        <v>0</v>
      </c>
      <c r="DQ122" s="19">
        <v>0</v>
      </c>
      <c r="DR122" s="19">
        <v>0</v>
      </c>
      <c r="DS122" s="19">
        <v>0</v>
      </c>
      <c r="DT122" s="19">
        <v>0</v>
      </c>
      <c r="DU122" s="19">
        <v>19.748201438848923</v>
      </c>
      <c r="DV122" s="19">
        <v>14.663316582914574</v>
      </c>
      <c r="DW122" s="19">
        <v>3787.2302158273383</v>
      </c>
      <c r="DX122" s="19">
        <v>0</v>
      </c>
      <c r="DY122" s="19">
        <v>0</v>
      </c>
      <c r="DZ122" s="19">
        <v>0</v>
      </c>
      <c r="EA122" s="19">
        <v>0</v>
      </c>
      <c r="EB122" s="19">
        <v>0</v>
      </c>
      <c r="EC122" s="19">
        <v>0</v>
      </c>
      <c r="ED122" s="19">
        <v>0</v>
      </c>
      <c r="EE122" s="19">
        <v>0</v>
      </c>
      <c r="EF122" s="19">
        <v>0</v>
      </c>
      <c r="EG122" s="19">
        <v>0</v>
      </c>
      <c r="EH122" s="19">
        <v>0</v>
      </c>
      <c r="EI122" s="19">
        <v>0</v>
      </c>
      <c r="EJ122" s="19">
        <v>0</v>
      </c>
      <c r="EK122" s="19">
        <v>0</v>
      </c>
    </row>
    <row r="123" spans="1:141">
      <c r="A123" t="s">
        <v>845</v>
      </c>
      <c r="B123" t="s">
        <v>1497</v>
      </c>
      <c r="C123" t="s">
        <v>24</v>
      </c>
      <c r="D123" t="str">
        <f t="shared" si="67"/>
        <v>silicic</v>
      </c>
      <c r="E123" t="s">
        <v>500</v>
      </c>
      <c r="F123" t="s">
        <v>1394</v>
      </c>
      <c r="G123" t="s">
        <v>142</v>
      </c>
      <c r="H123" t="s">
        <v>595</v>
      </c>
      <c r="I123">
        <v>90</v>
      </c>
      <c r="J123" t="s">
        <v>1148</v>
      </c>
      <c r="K123">
        <v>0</v>
      </c>
      <c r="L123">
        <v>0</v>
      </c>
      <c r="M123">
        <v>0</v>
      </c>
      <c r="N123" t="s">
        <v>511</v>
      </c>
      <c r="O123">
        <v>15</v>
      </c>
      <c r="P123">
        <v>44.3</v>
      </c>
      <c r="Q123">
        <v>0</v>
      </c>
      <c r="R123">
        <v>0</v>
      </c>
      <c r="S123">
        <v>4</v>
      </c>
      <c r="T123">
        <v>8</v>
      </c>
      <c r="U123">
        <v>11.9</v>
      </c>
      <c r="V123">
        <v>0</v>
      </c>
      <c r="W123">
        <v>14.8</v>
      </c>
      <c r="X123">
        <v>3.1</v>
      </c>
      <c r="Y123">
        <v>6.6</v>
      </c>
      <c r="Z123">
        <v>0</v>
      </c>
      <c r="AA123">
        <v>0.1</v>
      </c>
      <c r="AB123">
        <v>0</v>
      </c>
      <c r="AC123">
        <v>0</v>
      </c>
      <c r="AD123">
        <v>0</v>
      </c>
      <c r="AE123">
        <v>7.2</v>
      </c>
      <c r="AF123">
        <v>0</v>
      </c>
      <c r="AG123">
        <v>0</v>
      </c>
      <c r="AH123">
        <v>0</v>
      </c>
      <c r="AI123">
        <v>0</v>
      </c>
      <c r="AJ123">
        <v>12.8</v>
      </c>
      <c r="AK123">
        <f t="shared" si="81"/>
        <v>99.999999999999986</v>
      </c>
      <c r="AL123" s="26">
        <f t="shared" si="82"/>
        <v>45.031685496358321</v>
      </c>
      <c r="AM123" s="26">
        <f t="shared" si="83"/>
        <v>0</v>
      </c>
      <c r="AN123" s="26">
        <f t="shared" si="84"/>
        <v>4.0660664105063953</v>
      </c>
      <c r="AO123" s="26">
        <f t="shared" si="85"/>
        <v>8.1321328210127906</v>
      </c>
      <c r="AP123" s="26">
        <f t="shared" si="86"/>
        <v>12.096547571256526</v>
      </c>
      <c r="AQ123" s="26">
        <f t="shared" si="87"/>
        <v>15.044445718873661</v>
      </c>
      <c r="AR123" s="26">
        <f t="shared" si="88"/>
        <v>0</v>
      </c>
      <c r="AS123" s="26">
        <f t="shared" si="89"/>
        <v>3.1512014681424558</v>
      </c>
      <c r="AT123" s="26">
        <f t="shared" si="90"/>
        <v>6.7090095773355509</v>
      </c>
      <c r="AU123" s="26">
        <f t="shared" si="91"/>
        <v>0.10165166026265988</v>
      </c>
      <c r="AV123" s="26">
        <f t="shared" si="92"/>
        <v>7.3189195389115111</v>
      </c>
      <c r="AW123" s="26">
        <f t="shared" si="93"/>
        <v>101.65166026265987</v>
      </c>
      <c r="AX123" s="26"/>
      <c r="AY123" s="26"/>
      <c r="AZ123">
        <v>15</v>
      </c>
      <c r="BA123">
        <v>169</v>
      </c>
      <c r="BB123">
        <v>0</v>
      </c>
      <c r="BC123">
        <v>0.92</v>
      </c>
      <c r="BD123">
        <f>(BA123/18.02)/((BA123/18.02)+(AZ123/44.01))</f>
        <v>0.96493249212829801</v>
      </c>
      <c r="BE123">
        <f>(AZ123/44.01)/((BA123/18.02)+(AZ123/44.01))</f>
        <v>3.5067507871701965E-2</v>
      </c>
      <c r="BF123">
        <v>0</v>
      </c>
      <c r="BG123">
        <v>0</v>
      </c>
      <c r="BH123">
        <v>0</v>
      </c>
      <c r="BI123">
        <v>0</v>
      </c>
      <c r="BJ123">
        <v>0</v>
      </c>
      <c r="BK123">
        <v>0</v>
      </c>
      <c r="BL123" s="19">
        <v>0</v>
      </c>
      <c r="BM123" s="19">
        <v>0</v>
      </c>
      <c r="BN123" s="19">
        <v>0</v>
      </c>
      <c r="BO123" s="19">
        <v>0</v>
      </c>
      <c r="BP123" s="19">
        <v>0</v>
      </c>
      <c r="BQ123" s="19">
        <v>0</v>
      </c>
      <c r="BR123" s="19">
        <v>0</v>
      </c>
      <c r="BS123" s="19">
        <v>0</v>
      </c>
      <c r="BT123" s="19">
        <v>0</v>
      </c>
      <c r="BU123" s="19">
        <v>0</v>
      </c>
      <c r="BV123" s="19">
        <v>0</v>
      </c>
      <c r="BW123" s="19">
        <v>0</v>
      </c>
      <c r="BX123" s="19">
        <v>0</v>
      </c>
      <c r="BY123" s="19">
        <v>0</v>
      </c>
      <c r="BZ123" s="19">
        <v>0</v>
      </c>
      <c r="CA123" s="19">
        <v>0</v>
      </c>
      <c r="CB123" s="19">
        <v>0</v>
      </c>
      <c r="CC123" s="19">
        <v>0</v>
      </c>
      <c r="CD123" s="19">
        <v>0</v>
      </c>
      <c r="CE123" s="19">
        <v>0</v>
      </c>
      <c r="CF123" s="19">
        <v>0</v>
      </c>
      <c r="CG123" s="19">
        <v>0</v>
      </c>
      <c r="CH123" s="19">
        <v>0</v>
      </c>
      <c r="CI123" s="19">
        <v>0</v>
      </c>
      <c r="CJ123" s="19">
        <v>0</v>
      </c>
      <c r="CK123" s="19">
        <v>0</v>
      </c>
      <c r="CL123" s="19">
        <v>0</v>
      </c>
      <c r="CM123" s="19">
        <v>0</v>
      </c>
      <c r="CN123" s="19">
        <v>0</v>
      </c>
      <c r="CO123" s="19">
        <v>0</v>
      </c>
      <c r="CP123" s="19">
        <v>0</v>
      </c>
      <c r="CQ123" s="19">
        <v>0</v>
      </c>
      <c r="CR123" s="19">
        <v>0</v>
      </c>
      <c r="CS123" s="19">
        <v>0</v>
      </c>
      <c r="CT123" s="19">
        <v>0</v>
      </c>
      <c r="CU123" s="19">
        <v>0</v>
      </c>
      <c r="CV123" s="19">
        <v>0</v>
      </c>
      <c r="CW123" s="19">
        <v>0</v>
      </c>
      <c r="CX123" s="19">
        <v>0</v>
      </c>
      <c r="CY123" s="19">
        <v>0</v>
      </c>
      <c r="CZ123" s="19">
        <v>0</v>
      </c>
      <c r="DA123" s="19">
        <v>0</v>
      </c>
      <c r="DB123" s="19">
        <v>0</v>
      </c>
      <c r="DC123" s="19">
        <v>0</v>
      </c>
      <c r="DD123" s="19">
        <v>0</v>
      </c>
      <c r="DE123" s="19">
        <v>0</v>
      </c>
      <c r="DF123" s="19">
        <v>0</v>
      </c>
      <c r="DG123" s="19">
        <v>0</v>
      </c>
      <c r="DH123" s="19">
        <v>0</v>
      </c>
      <c r="DI123" s="19">
        <v>0</v>
      </c>
      <c r="DJ123" s="19">
        <v>0</v>
      </c>
      <c r="DK123" s="19">
        <v>0</v>
      </c>
      <c r="DL123" s="19">
        <v>0</v>
      </c>
      <c r="DM123" s="19">
        <v>0</v>
      </c>
      <c r="DN123" s="19">
        <v>0</v>
      </c>
      <c r="DO123" s="19">
        <v>0</v>
      </c>
      <c r="DP123" s="19">
        <v>0</v>
      </c>
      <c r="DQ123" s="19">
        <v>0</v>
      </c>
      <c r="DR123" s="19">
        <v>0</v>
      </c>
      <c r="DS123" s="19">
        <v>0</v>
      </c>
      <c r="DT123" s="19">
        <v>0</v>
      </c>
      <c r="DU123" s="19"/>
      <c r="DV123" s="19"/>
      <c r="DW123" s="19"/>
      <c r="DX123" s="19">
        <v>0</v>
      </c>
      <c r="DY123" s="19">
        <v>0</v>
      </c>
      <c r="DZ123" s="19">
        <v>0</v>
      </c>
      <c r="EA123" s="19">
        <v>0</v>
      </c>
      <c r="EB123" s="19">
        <v>0</v>
      </c>
      <c r="EC123" s="19">
        <v>0</v>
      </c>
      <c r="ED123" s="19">
        <v>0</v>
      </c>
      <c r="EE123" s="19">
        <v>0</v>
      </c>
      <c r="EF123" s="19">
        <v>0</v>
      </c>
      <c r="EG123" s="19">
        <v>0</v>
      </c>
      <c r="EH123" s="19">
        <v>0</v>
      </c>
      <c r="EI123" s="19">
        <v>0</v>
      </c>
      <c r="EJ123" s="19">
        <v>0</v>
      </c>
      <c r="EK123" s="19">
        <v>0</v>
      </c>
    </row>
    <row r="124" spans="1:141">
      <c r="A124" t="s">
        <v>845</v>
      </c>
      <c r="B124" t="s">
        <v>1497</v>
      </c>
      <c r="C124" t="s">
        <v>24</v>
      </c>
      <c r="D124" t="str">
        <f t="shared" si="67"/>
        <v>silicic</v>
      </c>
      <c r="E124" t="s">
        <v>110</v>
      </c>
      <c r="F124" t="s">
        <v>1394</v>
      </c>
      <c r="G124" t="s">
        <v>142</v>
      </c>
      <c r="H124" t="s">
        <v>595</v>
      </c>
      <c r="I124">
        <v>90</v>
      </c>
      <c r="J124" t="s">
        <v>1148</v>
      </c>
      <c r="K124">
        <v>0</v>
      </c>
      <c r="L124">
        <v>0</v>
      </c>
      <c r="M124">
        <v>0</v>
      </c>
      <c r="N124" t="s">
        <v>504</v>
      </c>
      <c r="O124">
        <v>17</v>
      </c>
      <c r="P124">
        <v>58.1</v>
      </c>
      <c r="Q124">
        <v>0.6</v>
      </c>
      <c r="R124">
        <v>0</v>
      </c>
      <c r="S124">
        <v>10.5</v>
      </c>
      <c r="T124">
        <v>7.6</v>
      </c>
      <c r="U124">
        <v>9.1</v>
      </c>
      <c r="V124">
        <v>0</v>
      </c>
      <c r="W124">
        <v>1.9</v>
      </c>
      <c r="X124">
        <v>0.7</v>
      </c>
      <c r="Y124">
        <v>10.9</v>
      </c>
      <c r="Z124">
        <v>0</v>
      </c>
      <c r="AA124">
        <v>0.5</v>
      </c>
      <c r="AB124">
        <v>0</v>
      </c>
      <c r="AC124">
        <v>0</v>
      </c>
      <c r="AD124">
        <v>0</v>
      </c>
      <c r="AE124">
        <v>0.2</v>
      </c>
      <c r="AF124">
        <v>0</v>
      </c>
      <c r="AG124">
        <v>0</v>
      </c>
      <c r="AH124">
        <v>0</v>
      </c>
      <c r="AI124">
        <v>0</v>
      </c>
      <c r="AJ124">
        <v>11.9</v>
      </c>
      <c r="AK124">
        <f t="shared" si="81"/>
        <v>100.10000000000001</v>
      </c>
      <c r="AL124" s="26">
        <f t="shared" si="82"/>
        <v>58.068140329212895</v>
      </c>
      <c r="AM124" s="26">
        <f t="shared" si="83"/>
        <v>0.59967098446691447</v>
      </c>
      <c r="AN124" s="26">
        <f t="shared" si="84"/>
        <v>10.494242228171004</v>
      </c>
      <c r="AO124" s="26">
        <f t="shared" si="85"/>
        <v>7.5958324699142503</v>
      </c>
      <c r="AP124" s="26">
        <f t="shared" si="86"/>
        <v>9.0950099310815347</v>
      </c>
      <c r="AQ124" s="26">
        <f t="shared" si="87"/>
        <v>1.8989581174785626</v>
      </c>
      <c r="AR124" s="26">
        <f t="shared" si="88"/>
        <v>0</v>
      </c>
      <c r="AS124" s="26">
        <f t="shared" si="89"/>
        <v>0.69961614854473353</v>
      </c>
      <c r="AT124" s="26">
        <f t="shared" si="90"/>
        <v>10.894022884482279</v>
      </c>
      <c r="AU124" s="26">
        <f t="shared" si="91"/>
        <v>0.49972582038909535</v>
      </c>
      <c r="AV124" s="26">
        <f t="shared" si="92"/>
        <v>0.19989032815563818</v>
      </c>
      <c r="AW124" s="26">
        <f t="shared" si="93"/>
        <v>100.04510924189691</v>
      </c>
      <c r="AX124" s="26"/>
      <c r="AY124" s="26"/>
      <c r="AZ124">
        <v>20</v>
      </c>
      <c r="BA124">
        <v>187</v>
      </c>
      <c r="BB124">
        <v>0</v>
      </c>
      <c r="BC124">
        <v>0.9</v>
      </c>
      <c r="BD124">
        <f>(BA124/18.02)/((BA124/18.02)+(AZ124/44.01))</f>
        <v>0.95804555619322784</v>
      </c>
      <c r="BE124">
        <f>(AZ124/44.01)/((BA124/18.02)+(AZ124/44.01))</f>
        <v>4.1954443806772074E-2</v>
      </c>
      <c r="BF124">
        <v>0</v>
      </c>
      <c r="BG124">
        <v>0</v>
      </c>
      <c r="BH124">
        <v>0</v>
      </c>
      <c r="BI124">
        <v>0</v>
      </c>
      <c r="BJ124">
        <v>0</v>
      </c>
      <c r="BK124">
        <v>0</v>
      </c>
      <c r="BL124" s="19">
        <v>0</v>
      </c>
      <c r="BM124" s="19">
        <v>0</v>
      </c>
      <c r="BN124" s="19">
        <v>0</v>
      </c>
      <c r="BO124" s="19">
        <v>0</v>
      </c>
      <c r="BP124" s="19">
        <v>0</v>
      </c>
      <c r="BQ124" s="19">
        <v>0</v>
      </c>
      <c r="BR124" s="19">
        <v>0</v>
      </c>
      <c r="BS124" s="19">
        <v>0</v>
      </c>
      <c r="BT124" s="19">
        <v>0</v>
      </c>
      <c r="BU124" s="19">
        <v>0</v>
      </c>
      <c r="BV124" s="19">
        <v>0</v>
      </c>
      <c r="BW124" s="19">
        <v>0</v>
      </c>
      <c r="BX124" s="19">
        <v>0</v>
      </c>
      <c r="BY124" s="19">
        <v>0</v>
      </c>
      <c r="BZ124" s="19">
        <v>0</v>
      </c>
      <c r="CA124" s="19">
        <v>0</v>
      </c>
      <c r="CB124" s="19">
        <v>0</v>
      </c>
      <c r="CC124" s="19">
        <v>0</v>
      </c>
      <c r="CD124" s="19">
        <v>0</v>
      </c>
      <c r="CE124" s="19">
        <v>0</v>
      </c>
      <c r="CF124" s="19">
        <v>0</v>
      </c>
      <c r="CG124" s="19">
        <v>0</v>
      </c>
      <c r="CH124" s="19">
        <v>0</v>
      </c>
      <c r="CI124" s="19">
        <v>0</v>
      </c>
      <c r="CJ124" s="19">
        <v>0</v>
      </c>
      <c r="CK124" s="19">
        <v>0</v>
      </c>
      <c r="CL124" s="19">
        <v>0</v>
      </c>
      <c r="CM124" s="19">
        <v>0</v>
      </c>
      <c r="CN124" s="19">
        <v>0</v>
      </c>
      <c r="CO124" s="19">
        <v>0</v>
      </c>
      <c r="CP124" s="19">
        <v>0</v>
      </c>
      <c r="CQ124" s="19">
        <v>0</v>
      </c>
      <c r="CR124" s="19">
        <v>0</v>
      </c>
      <c r="CS124" s="19">
        <v>0</v>
      </c>
      <c r="CT124" s="19">
        <v>0</v>
      </c>
      <c r="CU124" s="19">
        <v>0</v>
      </c>
      <c r="CV124" s="19">
        <v>0</v>
      </c>
      <c r="CW124" s="19">
        <v>0</v>
      </c>
      <c r="CX124" s="19">
        <v>0</v>
      </c>
      <c r="CY124" s="19">
        <v>0</v>
      </c>
      <c r="CZ124" s="19">
        <v>0</v>
      </c>
      <c r="DA124" s="19">
        <v>0</v>
      </c>
      <c r="DB124" s="19">
        <v>0</v>
      </c>
      <c r="DC124" s="19">
        <v>0</v>
      </c>
      <c r="DD124" s="19">
        <v>0</v>
      </c>
      <c r="DE124" s="19">
        <v>0</v>
      </c>
      <c r="DF124" s="19">
        <v>0</v>
      </c>
      <c r="DG124" s="19">
        <v>0</v>
      </c>
      <c r="DH124" s="19">
        <v>0</v>
      </c>
      <c r="DI124" s="19">
        <v>0</v>
      </c>
      <c r="DJ124" s="19">
        <v>0</v>
      </c>
      <c r="DK124" s="19">
        <v>0</v>
      </c>
      <c r="DL124" s="19">
        <v>0</v>
      </c>
      <c r="DM124" s="19">
        <v>0</v>
      </c>
      <c r="DN124" s="19">
        <v>0</v>
      </c>
      <c r="DO124" s="19">
        <v>0</v>
      </c>
      <c r="DP124" s="19">
        <v>0</v>
      </c>
      <c r="DQ124" s="19">
        <v>0</v>
      </c>
      <c r="DR124" s="19">
        <v>0</v>
      </c>
      <c r="DS124" s="19">
        <v>0</v>
      </c>
      <c r="DT124" s="19">
        <v>0</v>
      </c>
      <c r="DU124" s="19"/>
      <c r="DV124" s="19"/>
      <c r="DW124" s="19"/>
      <c r="DX124" s="19">
        <v>0</v>
      </c>
      <c r="DY124" s="19">
        <v>0</v>
      </c>
      <c r="DZ124" s="19">
        <v>0</v>
      </c>
      <c r="EA124" s="19">
        <v>0</v>
      </c>
      <c r="EB124" s="19">
        <v>0</v>
      </c>
      <c r="EC124" s="19">
        <v>0</v>
      </c>
      <c r="ED124" s="19">
        <v>0</v>
      </c>
      <c r="EE124" s="19">
        <v>0</v>
      </c>
      <c r="EF124" s="19">
        <v>0</v>
      </c>
      <c r="EG124" s="19">
        <v>0</v>
      </c>
      <c r="EH124" s="19">
        <v>0</v>
      </c>
      <c r="EI124" s="19">
        <v>0</v>
      </c>
      <c r="EJ124" s="19">
        <v>0</v>
      </c>
      <c r="EK124" s="19">
        <v>0</v>
      </c>
    </row>
    <row r="125" spans="1:141">
      <c r="A125" t="s">
        <v>771</v>
      </c>
      <c r="B125" t="s">
        <v>1497</v>
      </c>
      <c r="C125" t="s">
        <v>24</v>
      </c>
      <c r="D125" t="s">
        <v>1369</v>
      </c>
      <c r="E125" t="s">
        <v>765</v>
      </c>
      <c r="F125" t="s">
        <v>1394</v>
      </c>
      <c r="G125" t="s">
        <v>97</v>
      </c>
      <c r="H125" t="s">
        <v>595</v>
      </c>
      <c r="I125">
        <v>118</v>
      </c>
      <c r="J125" t="s">
        <v>735</v>
      </c>
      <c r="K125" t="s">
        <v>635</v>
      </c>
      <c r="L125" t="s">
        <v>762</v>
      </c>
      <c r="M125" t="s">
        <v>766</v>
      </c>
      <c r="N125" t="s">
        <v>756</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26.1</v>
      </c>
      <c r="AK125">
        <f t="shared" si="81"/>
        <v>0</v>
      </c>
      <c r="AL125" s="26"/>
      <c r="AM125" s="26"/>
      <c r="AN125" s="26"/>
      <c r="AO125" s="26"/>
      <c r="AP125" s="26"/>
      <c r="AQ125" s="26"/>
      <c r="AR125" s="26"/>
      <c r="AS125" s="26"/>
      <c r="AT125" s="26"/>
      <c r="AU125" s="26"/>
      <c r="AV125" s="26"/>
      <c r="AW125" s="26"/>
      <c r="AX125" s="26"/>
      <c r="AY125" s="26"/>
      <c r="AZ125" t="s">
        <v>763</v>
      </c>
      <c r="BA125" t="s">
        <v>763</v>
      </c>
      <c r="BB125" t="s">
        <v>763</v>
      </c>
      <c r="BC125">
        <v>0</v>
      </c>
      <c r="BF125">
        <v>0</v>
      </c>
      <c r="BG125">
        <v>0</v>
      </c>
      <c r="BH125">
        <v>378</v>
      </c>
      <c r="BI125">
        <v>0</v>
      </c>
      <c r="BJ125">
        <v>0</v>
      </c>
      <c r="BK125">
        <v>0</v>
      </c>
      <c r="BL125" s="19">
        <v>0</v>
      </c>
      <c r="BM125" s="19">
        <v>0</v>
      </c>
      <c r="BN125" s="19">
        <v>0</v>
      </c>
      <c r="BO125" s="19">
        <v>0</v>
      </c>
      <c r="BP125" s="19">
        <v>0</v>
      </c>
      <c r="BQ125" s="19">
        <v>0</v>
      </c>
      <c r="BR125" s="19">
        <v>0</v>
      </c>
      <c r="BS125" s="19">
        <v>134</v>
      </c>
      <c r="BT125" s="19">
        <v>0</v>
      </c>
      <c r="BU125" s="19">
        <v>5.7</v>
      </c>
      <c r="BV125" s="19">
        <v>0</v>
      </c>
      <c r="BW125" s="19">
        <v>0</v>
      </c>
      <c r="BX125" s="19">
        <v>0</v>
      </c>
      <c r="BY125" s="19">
        <v>0</v>
      </c>
      <c r="BZ125" s="19">
        <v>0</v>
      </c>
      <c r="CA125" s="19">
        <v>0</v>
      </c>
      <c r="CB125" s="19">
        <v>0</v>
      </c>
      <c r="CC125" s="19">
        <v>0</v>
      </c>
      <c r="CD125" s="19">
        <v>0</v>
      </c>
      <c r="CE125" s="19">
        <v>0</v>
      </c>
      <c r="CF125" s="19">
        <v>0</v>
      </c>
      <c r="CG125" s="19">
        <v>0</v>
      </c>
      <c r="CH125" s="19">
        <v>0</v>
      </c>
      <c r="CI125" s="19">
        <v>0.8</v>
      </c>
      <c r="CJ125" s="19">
        <v>5.8000000000000003E-2</v>
      </c>
      <c r="CK125" s="19">
        <v>2E-3</v>
      </c>
      <c r="CL125" s="19">
        <v>1.6E-2</v>
      </c>
      <c r="CM125" s="19">
        <v>0</v>
      </c>
      <c r="CN125" s="19">
        <v>0.08</v>
      </c>
      <c r="CO125" s="19">
        <v>0</v>
      </c>
      <c r="CP125" s="19">
        <v>0</v>
      </c>
      <c r="CQ125" s="19">
        <v>0</v>
      </c>
      <c r="CR125" s="19">
        <v>0</v>
      </c>
      <c r="CS125" s="19">
        <v>0.01</v>
      </c>
      <c r="CT125" s="19">
        <v>0.75</v>
      </c>
      <c r="CU125" s="19">
        <v>0</v>
      </c>
      <c r="CV125" s="19">
        <v>5.0000000000000001E-3</v>
      </c>
      <c r="CW125" s="19">
        <v>6.0000000000000001E-3</v>
      </c>
      <c r="CX125" s="19">
        <v>2E-3</v>
      </c>
      <c r="CY125" s="19">
        <v>0.03</v>
      </c>
      <c r="CZ125" s="19">
        <v>1.2E-2</v>
      </c>
      <c r="DA125" s="19">
        <v>8.0000000000000002E-3</v>
      </c>
      <c r="DB125" s="19">
        <v>2.7E-2</v>
      </c>
      <c r="DC125" s="19">
        <v>7.0000000000000001E-3</v>
      </c>
      <c r="DD125" s="19">
        <v>1E-3</v>
      </c>
      <c r="DE125" s="19">
        <v>1.4E-2</v>
      </c>
      <c r="DF125" s="19">
        <v>0</v>
      </c>
      <c r="DG125" s="19">
        <v>8.0000000000000002E-3</v>
      </c>
      <c r="DH125" s="19">
        <v>4.0000000000000001E-3</v>
      </c>
      <c r="DI125" s="19">
        <v>1.6E-2</v>
      </c>
      <c r="DJ125" s="19">
        <v>1.2E-2</v>
      </c>
      <c r="DK125" s="19">
        <v>0</v>
      </c>
      <c r="DL125" s="19">
        <v>0</v>
      </c>
      <c r="DM125" s="19">
        <v>0.01</v>
      </c>
      <c r="DN125" s="19">
        <v>3.0000000000000001E-3</v>
      </c>
      <c r="DO125" s="19">
        <v>0</v>
      </c>
      <c r="DP125" s="19">
        <v>0</v>
      </c>
      <c r="DQ125" s="19">
        <v>0</v>
      </c>
      <c r="DR125" s="19">
        <v>0</v>
      </c>
      <c r="DS125" s="19">
        <v>0</v>
      </c>
      <c r="DT125" s="19">
        <v>0</v>
      </c>
      <c r="DU125" s="19">
        <v>26.666666666666668</v>
      </c>
      <c r="DV125" s="19">
        <v>0.9375</v>
      </c>
      <c r="DW125" s="19">
        <v>44666.666666666664</v>
      </c>
      <c r="DX125" s="19">
        <v>0</v>
      </c>
      <c r="DY125" s="19">
        <v>0</v>
      </c>
      <c r="DZ125" s="19">
        <v>0</v>
      </c>
      <c r="EA125" s="19">
        <v>0</v>
      </c>
      <c r="EB125" s="19">
        <v>0</v>
      </c>
      <c r="EC125" s="19">
        <v>0</v>
      </c>
      <c r="ED125" s="19">
        <v>0</v>
      </c>
      <c r="EE125" s="19">
        <v>0</v>
      </c>
      <c r="EF125" s="19">
        <v>0</v>
      </c>
      <c r="EG125" s="19">
        <v>0</v>
      </c>
      <c r="EH125" s="19">
        <v>0</v>
      </c>
      <c r="EI125" s="19">
        <v>0</v>
      </c>
      <c r="EJ125" s="19">
        <v>0</v>
      </c>
      <c r="EK125" s="19">
        <v>0</v>
      </c>
    </row>
    <row r="126" spans="1:141">
      <c r="A126" t="s">
        <v>847</v>
      </c>
      <c r="B126" t="s">
        <v>1497</v>
      </c>
      <c r="C126" t="s">
        <v>24</v>
      </c>
      <c r="D126" t="s">
        <v>1369</v>
      </c>
      <c r="E126" t="s">
        <v>541</v>
      </c>
      <c r="F126" t="s">
        <v>1394</v>
      </c>
      <c r="G126" t="s">
        <v>97</v>
      </c>
      <c r="H126" t="s">
        <v>595</v>
      </c>
      <c r="I126">
        <v>118</v>
      </c>
      <c r="J126" t="s">
        <v>1148</v>
      </c>
      <c r="K126">
        <v>0</v>
      </c>
      <c r="L126">
        <v>0</v>
      </c>
      <c r="M126" t="s">
        <v>571</v>
      </c>
      <c r="N126" t="s">
        <v>539</v>
      </c>
      <c r="O126">
        <v>21</v>
      </c>
      <c r="P126">
        <v>28.98</v>
      </c>
      <c r="Q126">
        <v>4.03</v>
      </c>
      <c r="R126">
        <v>4.4800000000000004</v>
      </c>
      <c r="S126">
        <v>0</v>
      </c>
      <c r="T126">
        <v>19.2</v>
      </c>
      <c r="U126">
        <v>14.65</v>
      </c>
      <c r="V126">
        <v>0</v>
      </c>
      <c r="W126">
        <v>15.74</v>
      </c>
      <c r="X126">
        <v>1.37</v>
      </c>
      <c r="Y126">
        <v>8.8800000000000008</v>
      </c>
      <c r="Z126">
        <v>0</v>
      </c>
      <c r="AA126">
        <v>2.42</v>
      </c>
      <c r="AB126">
        <v>0</v>
      </c>
      <c r="AC126">
        <v>0</v>
      </c>
      <c r="AD126">
        <v>0</v>
      </c>
      <c r="AE126">
        <v>0.26</v>
      </c>
      <c r="AF126">
        <v>0</v>
      </c>
      <c r="AG126">
        <v>0</v>
      </c>
      <c r="AH126">
        <v>0</v>
      </c>
      <c r="AI126">
        <v>0</v>
      </c>
      <c r="AJ126">
        <v>14.19</v>
      </c>
      <c r="AK126">
        <f t="shared" ref="AK126" si="94">SUM(P126:Q126,S126:U126,W126:Y126,AA126,AC126,AE126)</f>
        <v>95.53</v>
      </c>
      <c r="AL126" s="26">
        <f t="shared" ref="AL126" si="95">100*(P126/($AK126-$AE126*8/35.45))</f>
        <v>30.354663825838017</v>
      </c>
      <c r="AM126" s="26">
        <f t="shared" ref="AM126" si="96">100*(Q126/($AK126-$AE126*8/35.45))</f>
        <v>4.221162705939518</v>
      </c>
      <c r="AN126" s="26">
        <f t="shared" ref="AN126" si="97">100*(S126/($AK126-$AE126*8/35.45))</f>
        <v>0</v>
      </c>
      <c r="AO126" s="26">
        <f t="shared" ref="AO126" si="98">100*(T126/($AK126-$AE126*8/35.45))</f>
        <v>20.110750360803657</v>
      </c>
      <c r="AP126" s="26">
        <f t="shared" ref="AP126" si="99">100*(U126/($AK126-$AE126*8/35.45))</f>
        <v>15.344921499259041</v>
      </c>
      <c r="AQ126" s="26">
        <f t="shared" ref="AQ126" si="100">100*(W126/($AK126-$AE126*8/35.45))</f>
        <v>16.486625556200497</v>
      </c>
      <c r="AR126" s="26">
        <f t="shared" ref="AR126" si="101">100*(AC126/($AK126-$AE126*8/35.45))</f>
        <v>0</v>
      </c>
      <c r="AS126" s="26">
        <f t="shared" ref="AS126" si="102">100*(X126/($AK126-$AE126*8/35.45))</f>
        <v>1.4349858330365111</v>
      </c>
      <c r="AT126" s="26">
        <f t="shared" ref="AT126" si="103">100*(Y126/($AK126-$AE126*8/35.45))</f>
        <v>9.3012220418716911</v>
      </c>
      <c r="AU126" s="26">
        <f t="shared" ref="AU126" si="104">100*(AA126/($AK126-$AE126*8/35.45))</f>
        <v>2.5347924933929606</v>
      </c>
      <c r="AV126" s="26">
        <f t="shared" ref="AV126" si="105">100*(AE126/($AK126-$AE126*8/35.45))</f>
        <v>0.27233307780254951</v>
      </c>
      <c r="AW126" s="26">
        <f t="shared" ref="AW126" si="106">SUM(AL126:AV126)</f>
        <v>100.06145739414443</v>
      </c>
      <c r="AX126" s="26"/>
      <c r="AY126" s="26"/>
      <c r="AZ126">
        <v>0</v>
      </c>
      <c r="BA126">
        <v>0</v>
      </c>
      <c r="BB126">
        <v>0</v>
      </c>
      <c r="BC126">
        <v>0</v>
      </c>
      <c r="BF126" t="s">
        <v>1498</v>
      </c>
      <c r="BG126">
        <v>0</v>
      </c>
      <c r="BH126" t="s">
        <v>540</v>
      </c>
      <c r="BI126">
        <v>0</v>
      </c>
      <c r="BJ126">
        <v>0</v>
      </c>
      <c r="BK126">
        <v>0</v>
      </c>
      <c r="BL126" s="19">
        <v>0</v>
      </c>
      <c r="BM126" s="19">
        <v>0</v>
      </c>
      <c r="BN126" s="19">
        <v>0</v>
      </c>
      <c r="BO126" s="19">
        <v>0</v>
      </c>
      <c r="BP126" s="19">
        <v>0</v>
      </c>
      <c r="BQ126" s="19">
        <v>0</v>
      </c>
      <c r="BR126" s="19">
        <v>0</v>
      </c>
      <c r="BS126" s="19">
        <v>0</v>
      </c>
      <c r="BT126" s="19">
        <v>0</v>
      </c>
      <c r="BU126" s="19">
        <v>0</v>
      </c>
      <c r="BV126" s="19">
        <v>0</v>
      </c>
      <c r="BW126" s="19">
        <v>0</v>
      </c>
      <c r="BX126" s="19">
        <v>0</v>
      </c>
      <c r="BY126" s="19">
        <v>0</v>
      </c>
      <c r="BZ126" s="19">
        <v>0</v>
      </c>
      <c r="CA126" s="19">
        <v>0</v>
      </c>
      <c r="CB126" s="19">
        <v>0</v>
      </c>
      <c r="CC126" s="19">
        <v>0</v>
      </c>
      <c r="CD126" s="19">
        <v>0</v>
      </c>
      <c r="CE126" s="19">
        <v>0</v>
      </c>
      <c r="CF126" s="19">
        <v>0</v>
      </c>
      <c r="CG126" s="19">
        <v>0</v>
      </c>
      <c r="CH126" s="19">
        <v>0</v>
      </c>
      <c r="CI126" s="19">
        <v>0</v>
      </c>
      <c r="CJ126" s="19">
        <v>0</v>
      </c>
      <c r="CK126" s="19">
        <v>0</v>
      </c>
      <c r="CL126" s="19">
        <v>0</v>
      </c>
      <c r="CM126" s="19">
        <v>0</v>
      </c>
      <c r="CN126" s="19">
        <v>0</v>
      </c>
      <c r="CO126" s="19">
        <v>0</v>
      </c>
      <c r="CP126" s="19">
        <v>0</v>
      </c>
      <c r="CQ126" s="19">
        <v>0</v>
      </c>
      <c r="CR126" s="19">
        <v>0</v>
      </c>
      <c r="CS126" s="19">
        <v>0</v>
      </c>
      <c r="CT126" s="19">
        <v>0</v>
      </c>
      <c r="CU126" s="19">
        <v>0</v>
      </c>
      <c r="CV126" s="19">
        <v>0</v>
      </c>
      <c r="CW126" s="19">
        <v>0</v>
      </c>
      <c r="CX126" s="19">
        <v>0</v>
      </c>
      <c r="CY126" s="19">
        <v>0</v>
      </c>
      <c r="CZ126" s="19">
        <v>0</v>
      </c>
      <c r="DA126" s="19">
        <v>0</v>
      </c>
      <c r="DB126" s="19">
        <v>0</v>
      </c>
      <c r="DC126" s="19">
        <v>0</v>
      </c>
      <c r="DD126" s="19">
        <v>0</v>
      </c>
      <c r="DE126" s="19">
        <v>0</v>
      </c>
      <c r="DF126" s="19">
        <v>0</v>
      </c>
      <c r="DG126" s="19">
        <v>0</v>
      </c>
      <c r="DH126" s="19">
        <v>0</v>
      </c>
      <c r="DI126" s="19">
        <v>0</v>
      </c>
      <c r="DJ126" s="19">
        <v>0</v>
      </c>
      <c r="DK126" s="19">
        <v>0</v>
      </c>
      <c r="DL126" s="19">
        <v>0</v>
      </c>
      <c r="DM126" s="19">
        <v>0</v>
      </c>
      <c r="DN126" s="19">
        <v>0</v>
      </c>
      <c r="DO126" s="19">
        <v>0</v>
      </c>
      <c r="DP126" s="19">
        <v>0</v>
      </c>
      <c r="DQ126" s="19">
        <v>0</v>
      </c>
      <c r="DR126" s="19">
        <v>0</v>
      </c>
      <c r="DS126" s="19">
        <v>0</v>
      </c>
      <c r="DT126" s="19">
        <v>0</v>
      </c>
      <c r="DU126" s="19"/>
      <c r="DV126" s="19"/>
      <c r="DW126" s="19"/>
      <c r="DX126" s="19">
        <v>0</v>
      </c>
      <c r="DY126" s="19">
        <v>0</v>
      </c>
      <c r="DZ126" s="19">
        <v>0</v>
      </c>
      <c r="EA126" s="19">
        <v>0</v>
      </c>
      <c r="EB126" s="19">
        <v>0</v>
      </c>
      <c r="EC126" s="19">
        <v>0</v>
      </c>
      <c r="ED126" s="19">
        <v>0</v>
      </c>
      <c r="EE126" s="19">
        <v>0</v>
      </c>
      <c r="EF126" s="19">
        <v>0</v>
      </c>
      <c r="EG126" s="19">
        <v>0</v>
      </c>
      <c r="EH126" s="19">
        <v>0</v>
      </c>
      <c r="EI126" s="19">
        <v>0</v>
      </c>
      <c r="EJ126" s="19">
        <v>0</v>
      </c>
      <c r="EK126" s="19">
        <v>0</v>
      </c>
    </row>
    <row r="127" spans="1:141" s="41" customFormat="1" ht="16">
      <c r="A127" s="40" t="s">
        <v>1499</v>
      </c>
      <c r="B127" s="40"/>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42"/>
      <c r="CP127" s="42"/>
      <c r="CQ127" s="42"/>
      <c r="CR127" s="42"/>
      <c r="CS127" s="42"/>
      <c r="CT127" s="42"/>
      <c r="CU127" s="42"/>
      <c r="CV127" s="42"/>
      <c r="CW127" s="42"/>
      <c r="CX127" s="42"/>
      <c r="CY127" s="42"/>
      <c r="CZ127" s="42"/>
      <c r="DA127" s="42"/>
      <c r="DB127" s="42"/>
      <c r="DC127" s="42"/>
      <c r="DD127" s="42"/>
      <c r="DE127" s="42"/>
      <c r="DF127" s="42"/>
      <c r="DG127" s="42"/>
      <c r="DH127" s="42"/>
      <c r="DI127" s="42"/>
      <c r="DJ127" s="42"/>
      <c r="DK127" s="42"/>
      <c r="DL127" s="42"/>
      <c r="DM127" s="42"/>
      <c r="DN127" s="42"/>
      <c r="DO127" s="42"/>
      <c r="DP127" s="42"/>
      <c r="DQ127" s="42"/>
      <c r="DR127" s="42"/>
      <c r="DS127" s="42"/>
      <c r="DT127" s="42"/>
      <c r="DU127" s="42"/>
      <c r="DV127" s="42"/>
      <c r="DW127" s="42"/>
      <c r="DX127" s="42"/>
      <c r="DY127" s="42"/>
      <c r="DZ127" s="42"/>
      <c r="EA127" s="42"/>
      <c r="EB127" s="42"/>
      <c r="EC127" s="42"/>
      <c r="ED127" s="42"/>
      <c r="EE127" s="42"/>
      <c r="EF127" s="42"/>
      <c r="EG127" s="42"/>
      <c r="EH127" s="42"/>
      <c r="EI127" s="42"/>
      <c r="EJ127" s="42"/>
      <c r="EK127" s="42"/>
    </row>
    <row r="128" spans="1:141">
      <c r="A128" t="s">
        <v>842</v>
      </c>
      <c r="B128" t="s">
        <v>1499</v>
      </c>
      <c r="C128" t="s">
        <v>24</v>
      </c>
      <c r="D128" t="str">
        <f t="shared" ref="D128" si="107">_xlfn.IFS(AND(AV128&gt;=15),"saline",AND(AL128&gt;=40,AV128&lt;=15),"silicic",AND(AL128&lt;=40,AL128&gt;=20,AP128&lt;=15,AV128&lt;=15),"silicic - low-Mg carbonatitic",AND(AP128&lt;15,AQ128&gt;=15,AL128&lt;=20,AV128&lt;=15),"low-Mg carbonatitic",AND(AP128&gt;=15,AL128&lt;=20),"high-Mg carbonatitic")</f>
        <v>high-Mg carbonatitic</v>
      </c>
      <c r="E128" t="s">
        <v>25</v>
      </c>
      <c r="F128" t="s">
        <v>237</v>
      </c>
      <c r="G128" t="s">
        <v>29</v>
      </c>
      <c r="H128" t="s">
        <v>595</v>
      </c>
      <c r="I128" s="118">
        <v>360</v>
      </c>
      <c r="J128" t="s">
        <v>712</v>
      </c>
      <c r="K128">
        <v>0</v>
      </c>
      <c r="L128" t="s">
        <v>913</v>
      </c>
      <c r="M128">
        <v>0</v>
      </c>
      <c r="N128" t="s">
        <v>965</v>
      </c>
      <c r="O128" t="s">
        <v>1084</v>
      </c>
      <c r="P128">
        <v>0.4</v>
      </c>
      <c r="Q128">
        <v>0</v>
      </c>
      <c r="R128">
        <v>0</v>
      </c>
      <c r="S128">
        <v>0.2</v>
      </c>
      <c r="T128">
        <v>21.8</v>
      </c>
      <c r="U128">
        <v>6.7</v>
      </c>
      <c r="V128">
        <v>3.2</v>
      </c>
      <c r="W128">
        <v>0.1</v>
      </c>
      <c r="X128">
        <v>0</v>
      </c>
      <c r="Y128">
        <v>3</v>
      </c>
      <c r="Z128">
        <v>0</v>
      </c>
      <c r="AA128">
        <v>0</v>
      </c>
      <c r="AB128">
        <v>0</v>
      </c>
      <c r="AC128">
        <v>0</v>
      </c>
      <c r="AD128">
        <v>0</v>
      </c>
      <c r="AE128">
        <v>0.3</v>
      </c>
      <c r="AF128">
        <v>0</v>
      </c>
      <c r="AG128">
        <v>64.2</v>
      </c>
      <c r="AH128">
        <v>0</v>
      </c>
      <c r="AI128">
        <v>0</v>
      </c>
      <c r="AJ128">
        <v>0</v>
      </c>
      <c r="AK128">
        <f t="shared" ref="AK128" si="108">SUM(P128:Q128,S128:U128,W128:Y128,AA128,AC128,AE128)</f>
        <v>32.5</v>
      </c>
      <c r="AL128" s="26">
        <f t="shared" ref="AL128" si="109">100*(P128/($AK128-$AE128*8/35.45))</f>
        <v>1.2333384070103723</v>
      </c>
      <c r="AM128" s="26">
        <f t="shared" ref="AM128" si="110">100*(Q128/($AK128-$AE128*8/35.45))</f>
        <v>0</v>
      </c>
      <c r="AN128" s="26">
        <f t="shared" ref="AN128" si="111">100*(S128/($AK128-$AE128*8/35.45))</f>
        <v>0.61666920350518617</v>
      </c>
      <c r="AO128" s="26">
        <f t="shared" ref="AO128" si="112">100*(T128/($AK128-$AE128*8/35.45))</f>
        <v>67.216943182065279</v>
      </c>
      <c r="AP128" s="26">
        <f t="shared" ref="AP128" si="113">100*(U128/($AK128-$AE128*8/35.45))</f>
        <v>20.658418317423735</v>
      </c>
      <c r="AQ128" s="26">
        <f t="shared" ref="AQ128" si="114">100*(W128/($AK128-$AE128*8/35.45))</f>
        <v>0.30833460175259308</v>
      </c>
      <c r="AR128" s="26">
        <f t="shared" ref="AR128" si="115">100*(AC128/($AK128-$AE128*8/35.45))</f>
        <v>0</v>
      </c>
      <c r="AS128" s="26">
        <f t="shared" ref="AS128" si="116">100*(X128/($AK128-$AE128*8/35.45))</f>
        <v>0</v>
      </c>
      <c r="AT128" s="26">
        <f t="shared" ref="AT128" si="117">100*(Y128/($AK128-$AE128*8/35.45))</f>
        <v>9.250038052577791</v>
      </c>
      <c r="AU128" s="26">
        <f t="shared" ref="AU128" si="118">100*(AA128/($AK128-$AE128*8/35.45))</f>
        <v>0</v>
      </c>
      <c r="AV128" s="26">
        <f t="shared" ref="AV128" si="119">100*(AE128/($AK128-$AE128*8/35.45))</f>
        <v>0.92500380525777914</v>
      </c>
      <c r="AW128" s="26">
        <f t="shared" ref="AW128" si="120">SUM(AL128:AV128)</f>
        <v>100.20874556959274</v>
      </c>
      <c r="AX128" s="26"/>
      <c r="AY128" s="26"/>
      <c r="AZ128">
        <v>0</v>
      </c>
      <c r="BA128">
        <v>0</v>
      </c>
      <c r="BB128">
        <v>0</v>
      </c>
      <c r="BC128">
        <v>0.3</v>
      </c>
      <c r="BF128">
        <v>0</v>
      </c>
      <c r="BG128">
        <v>0</v>
      </c>
      <c r="BH128">
        <v>0</v>
      </c>
      <c r="BI128">
        <v>0</v>
      </c>
      <c r="BJ128">
        <v>0</v>
      </c>
      <c r="BK128">
        <v>0</v>
      </c>
      <c r="BL128" s="19">
        <v>0</v>
      </c>
      <c r="BM128" s="19">
        <v>0</v>
      </c>
      <c r="BN128" s="19">
        <v>0</v>
      </c>
      <c r="BO128" s="19">
        <v>0</v>
      </c>
      <c r="BP128" s="19">
        <v>0</v>
      </c>
      <c r="BQ128" s="19">
        <v>0</v>
      </c>
      <c r="BR128" s="19">
        <v>0</v>
      </c>
      <c r="BS128" s="19">
        <v>0</v>
      </c>
      <c r="BT128" s="19">
        <v>0</v>
      </c>
      <c r="BU128" s="19">
        <v>0</v>
      </c>
      <c r="BV128" s="19">
        <v>0</v>
      </c>
      <c r="BW128" s="19">
        <v>0</v>
      </c>
      <c r="BX128" s="19">
        <v>0</v>
      </c>
      <c r="BY128" s="19">
        <v>0</v>
      </c>
      <c r="BZ128" s="19">
        <v>0</v>
      </c>
      <c r="CA128" s="19">
        <v>0</v>
      </c>
      <c r="CB128" s="19">
        <v>0</v>
      </c>
      <c r="CC128" s="19">
        <v>0</v>
      </c>
      <c r="CD128" s="19">
        <v>0</v>
      </c>
      <c r="CE128" s="19">
        <v>0</v>
      </c>
      <c r="CF128" s="19">
        <v>0</v>
      </c>
      <c r="CG128" s="19">
        <v>0</v>
      </c>
      <c r="CH128" s="19">
        <v>0</v>
      </c>
      <c r="CI128" s="19">
        <v>0</v>
      </c>
      <c r="CJ128" s="19">
        <v>0</v>
      </c>
      <c r="CK128" s="19">
        <v>0</v>
      </c>
      <c r="CL128" s="19">
        <v>0</v>
      </c>
      <c r="CM128" s="19">
        <v>0</v>
      </c>
      <c r="CN128" s="19">
        <v>0</v>
      </c>
      <c r="CO128" s="19">
        <v>0</v>
      </c>
      <c r="CP128" s="19">
        <v>0</v>
      </c>
      <c r="CQ128" s="19">
        <v>0</v>
      </c>
      <c r="CR128" s="19">
        <v>0</v>
      </c>
      <c r="CS128" s="19">
        <v>0</v>
      </c>
      <c r="CT128" s="19">
        <v>0</v>
      </c>
      <c r="CU128" s="19">
        <v>0</v>
      </c>
      <c r="CV128" s="19">
        <v>0</v>
      </c>
      <c r="CW128" s="19">
        <v>0</v>
      </c>
      <c r="CX128" s="19">
        <v>0</v>
      </c>
      <c r="CY128" s="19">
        <v>0</v>
      </c>
      <c r="CZ128" s="19">
        <v>0</v>
      </c>
      <c r="DA128" s="19">
        <v>0</v>
      </c>
      <c r="DB128" s="19">
        <v>0</v>
      </c>
      <c r="DC128" s="19">
        <v>0</v>
      </c>
      <c r="DD128" s="19">
        <v>0</v>
      </c>
      <c r="DE128" s="19">
        <v>0</v>
      </c>
      <c r="DF128" s="19">
        <v>0</v>
      </c>
      <c r="DG128" s="19">
        <v>0</v>
      </c>
      <c r="DH128" s="19">
        <v>0</v>
      </c>
      <c r="DI128" s="19">
        <v>0</v>
      </c>
      <c r="DJ128" s="19">
        <v>0</v>
      </c>
      <c r="DK128" s="19">
        <v>0</v>
      </c>
      <c r="DL128" s="19">
        <v>0</v>
      </c>
      <c r="DM128" s="19">
        <v>0</v>
      </c>
      <c r="DN128" s="19">
        <v>0</v>
      </c>
      <c r="DO128" s="19">
        <v>0</v>
      </c>
      <c r="DP128" s="19">
        <v>0</v>
      </c>
      <c r="DQ128" s="19">
        <v>0</v>
      </c>
      <c r="DR128" s="19">
        <v>0</v>
      </c>
      <c r="DS128" s="19">
        <v>0</v>
      </c>
      <c r="DT128" s="19">
        <v>0</v>
      </c>
      <c r="DU128" s="19"/>
      <c r="DV128" s="19"/>
      <c r="DW128" s="19"/>
      <c r="DX128" s="19">
        <v>0</v>
      </c>
      <c r="DY128" s="19">
        <v>0</v>
      </c>
      <c r="DZ128" s="19">
        <v>0</v>
      </c>
      <c r="EA128" s="19">
        <v>0</v>
      </c>
      <c r="EB128" s="19">
        <v>0</v>
      </c>
      <c r="EC128" s="19">
        <v>0</v>
      </c>
      <c r="ED128" s="19">
        <v>0</v>
      </c>
      <c r="EE128" s="19">
        <v>0</v>
      </c>
      <c r="EF128" s="19">
        <v>0</v>
      </c>
      <c r="EG128" s="19">
        <v>0</v>
      </c>
      <c r="EH128" s="19">
        <v>0</v>
      </c>
      <c r="EI128" s="19">
        <v>0</v>
      </c>
      <c r="EJ128" s="19">
        <v>0</v>
      </c>
      <c r="EK128" s="19">
        <v>0</v>
      </c>
    </row>
    <row r="129" spans="1:141">
      <c r="A129" t="s">
        <v>832</v>
      </c>
      <c r="B129" t="s">
        <v>1499</v>
      </c>
      <c r="C129" t="s">
        <v>860</v>
      </c>
      <c r="D129" t="s">
        <v>1369</v>
      </c>
      <c r="E129">
        <v>0</v>
      </c>
      <c r="F129" t="s">
        <v>237</v>
      </c>
      <c r="G129" t="s">
        <v>238</v>
      </c>
      <c r="H129" t="s">
        <v>595</v>
      </c>
      <c r="I129">
        <v>355</v>
      </c>
      <c r="J129">
        <v>0</v>
      </c>
      <c r="K129" t="s">
        <v>859</v>
      </c>
      <c r="L129" t="s">
        <v>299</v>
      </c>
      <c r="M129" t="s">
        <v>240</v>
      </c>
      <c r="N129" t="s">
        <v>239</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f t="shared" ref="AK129:AK147" si="121">SUM(P129:Q129,S129:U129,W129:Y129,AA129,AC129,AE129)</f>
        <v>0</v>
      </c>
      <c r="AZ129">
        <v>0</v>
      </c>
      <c r="BA129">
        <v>0</v>
      </c>
      <c r="BC129">
        <v>0</v>
      </c>
      <c r="BF129">
        <v>0</v>
      </c>
      <c r="BG129">
        <v>0</v>
      </c>
      <c r="BH129">
        <v>0</v>
      </c>
      <c r="BI129">
        <v>0</v>
      </c>
      <c r="BJ129">
        <v>0</v>
      </c>
      <c r="BK129">
        <v>0</v>
      </c>
      <c r="BL129" s="19" t="s">
        <v>259</v>
      </c>
      <c r="BM129" s="19" t="s">
        <v>261</v>
      </c>
      <c r="BN129" s="19">
        <v>101</v>
      </c>
      <c r="BO129" s="19">
        <v>0</v>
      </c>
      <c r="BP129" s="19">
        <v>0</v>
      </c>
      <c r="BQ129" s="19">
        <v>0</v>
      </c>
      <c r="BR129" s="19">
        <v>0</v>
      </c>
      <c r="BS129" s="19">
        <v>1970</v>
      </c>
      <c r="BT129" s="19">
        <v>315</v>
      </c>
      <c r="BU129" s="19">
        <v>62</v>
      </c>
      <c r="BV129" s="19">
        <v>26</v>
      </c>
      <c r="BW129" s="19">
        <v>37</v>
      </c>
      <c r="BX129" s="19">
        <v>4900</v>
      </c>
      <c r="BY129" s="19">
        <v>170</v>
      </c>
      <c r="BZ129" s="19">
        <v>380</v>
      </c>
      <c r="CA129" s="19">
        <v>50</v>
      </c>
      <c r="CB129" s="19">
        <v>0</v>
      </c>
      <c r="CC129" s="19">
        <v>0</v>
      </c>
      <c r="CD129" s="19">
        <v>0</v>
      </c>
      <c r="CE129" s="19">
        <v>0</v>
      </c>
      <c r="CF129" s="19">
        <v>0</v>
      </c>
      <c r="CG129" s="19">
        <v>0</v>
      </c>
      <c r="CH129" s="19">
        <v>0</v>
      </c>
      <c r="CI129" s="19">
        <v>100</v>
      </c>
      <c r="CJ129" s="19">
        <v>270</v>
      </c>
      <c r="CK129" s="19" t="s">
        <v>276</v>
      </c>
      <c r="CL129" s="19">
        <v>11</v>
      </c>
      <c r="CM129" s="19">
        <v>0</v>
      </c>
      <c r="CN129" s="19">
        <v>240</v>
      </c>
      <c r="CO129" s="19">
        <v>0</v>
      </c>
      <c r="CP129" s="19">
        <v>0</v>
      </c>
      <c r="CQ129" s="19">
        <v>0</v>
      </c>
      <c r="CR129" s="19">
        <v>0</v>
      </c>
      <c r="CS129" s="19">
        <v>0</v>
      </c>
      <c r="CT129" s="19">
        <v>3110</v>
      </c>
      <c r="CU129" s="19">
        <v>0</v>
      </c>
      <c r="CV129" s="19" t="s">
        <v>286</v>
      </c>
      <c r="CW129" s="19" t="s">
        <v>287</v>
      </c>
      <c r="CX129" s="19">
        <v>0</v>
      </c>
      <c r="CY129" s="19">
        <v>0</v>
      </c>
      <c r="CZ129" s="19">
        <v>0</v>
      </c>
      <c r="DA129" s="19">
        <v>0</v>
      </c>
      <c r="DB129" s="19">
        <v>0</v>
      </c>
      <c r="DC129" s="19">
        <v>0</v>
      </c>
      <c r="DD129" s="19">
        <v>0</v>
      </c>
      <c r="DE129" s="19">
        <v>0</v>
      </c>
      <c r="DF129" s="19">
        <v>0</v>
      </c>
      <c r="DG129" s="19">
        <v>0</v>
      </c>
      <c r="DH129" s="19">
        <v>0</v>
      </c>
      <c r="DI129" s="19">
        <v>0</v>
      </c>
      <c r="DJ129" s="19">
        <v>0</v>
      </c>
      <c r="DK129" s="19">
        <v>0</v>
      </c>
      <c r="DL129" s="19" t="s">
        <v>264</v>
      </c>
      <c r="DM129" s="19">
        <v>13</v>
      </c>
      <c r="DN129" s="19">
        <v>0</v>
      </c>
      <c r="DO129" s="19">
        <v>0</v>
      </c>
      <c r="DP129" s="19">
        <v>0</v>
      </c>
      <c r="DQ129" s="19">
        <v>0</v>
      </c>
      <c r="DR129" s="19">
        <v>0</v>
      </c>
      <c r="DS129" s="19">
        <v>0</v>
      </c>
      <c r="DT129" s="19">
        <v>0</v>
      </c>
      <c r="DU129" s="19"/>
      <c r="DV129" s="19"/>
      <c r="DW129" s="19"/>
      <c r="DX129" s="19">
        <v>0</v>
      </c>
      <c r="DY129" s="19">
        <v>0</v>
      </c>
      <c r="DZ129" s="19">
        <v>0</v>
      </c>
      <c r="EA129" s="19">
        <v>0</v>
      </c>
      <c r="EB129" s="19">
        <v>0</v>
      </c>
      <c r="EC129" s="19">
        <v>0</v>
      </c>
      <c r="ED129" s="19">
        <v>0</v>
      </c>
      <c r="EE129" s="19">
        <v>0</v>
      </c>
      <c r="EF129" s="19">
        <v>0</v>
      </c>
      <c r="EG129" s="19">
        <v>0</v>
      </c>
      <c r="EH129" s="19">
        <v>0</v>
      </c>
      <c r="EI129" s="19">
        <v>0</v>
      </c>
      <c r="EJ129" s="19">
        <v>0</v>
      </c>
      <c r="EK129" s="19">
        <v>0</v>
      </c>
    </row>
    <row r="130" spans="1:141">
      <c r="A130" t="s">
        <v>832</v>
      </c>
      <c r="B130" t="s">
        <v>1499</v>
      </c>
      <c r="C130" t="s">
        <v>860</v>
      </c>
      <c r="D130" t="s">
        <v>1369</v>
      </c>
      <c r="E130">
        <v>0</v>
      </c>
      <c r="F130" t="s">
        <v>237</v>
      </c>
      <c r="G130" t="s">
        <v>238</v>
      </c>
      <c r="H130" t="s">
        <v>595</v>
      </c>
      <c r="I130">
        <v>355</v>
      </c>
      <c r="J130">
        <v>0</v>
      </c>
      <c r="K130" t="s">
        <v>859</v>
      </c>
      <c r="L130" t="s">
        <v>299</v>
      </c>
      <c r="M130" t="s">
        <v>240</v>
      </c>
      <c r="N130" t="s">
        <v>241</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f t="shared" si="121"/>
        <v>0</v>
      </c>
      <c r="AZ130">
        <v>0</v>
      </c>
      <c r="BA130">
        <v>0</v>
      </c>
      <c r="BC130">
        <v>0</v>
      </c>
      <c r="BF130">
        <v>0</v>
      </c>
      <c r="BG130">
        <v>0</v>
      </c>
      <c r="BH130">
        <v>0</v>
      </c>
      <c r="BI130">
        <v>0</v>
      </c>
      <c r="BJ130">
        <v>0</v>
      </c>
      <c r="BK130">
        <v>0</v>
      </c>
      <c r="BL130" s="19">
        <v>300</v>
      </c>
      <c r="BM130" s="19">
        <v>75</v>
      </c>
      <c r="BN130" s="19">
        <v>45</v>
      </c>
      <c r="BO130" s="19">
        <v>0</v>
      </c>
      <c r="BP130" s="19">
        <v>0</v>
      </c>
      <c r="BQ130" s="19">
        <v>0</v>
      </c>
      <c r="BR130" s="19">
        <v>0</v>
      </c>
      <c r="BS130" s="19">
        <v>145</v>
      </c>
      <c r="BT130" s="19">
        <v>97</v>
      </c>
      <c r="BU130" s="19">
        <v>2</v>
      </c>
      <c r="BV130" s="19">
        <v>1.2</v>
      </c>
      <c r="BW130" s="19">
        <v>2</v>
      </c>
      <c r="BX130" s="19">
        <v>1500</v>
      </c>
      <c r="BY130" s="19">
        <v>20</v>
      </c>
      <c r="BZ130" s="19">
        <v>14</v>
      </c>
      <c r="CA130" s="19">
        <v>5</v>
      </c>
      <c r="CB130" s="19">
        <v>0</v>
      </c>
      <c r="CC130" s="19">
        <v>0</v>
      </c>
      <c r="CD130" s="19">
        <v>0</v>
      </c>
      <c r="CE130" s="19">
        <v>0</v>
      </c>
      <c r="CF130" s="19">
        <v>0</v>
      </c>
      <c r="CG130" s="19">
        <v>0</v>
      </c>
      <c r="CH130" s="19">
        <v>0</v>
      </c>
      <c r="CI130" s="19" t="s">
        <v>269</v>
      </c>
      <c r="CJ130" s="19">
        <v>5</v>
      </c>
      <c r="CK130" s="19" t="s">
        <v>269</v>
      </c>
      <c r="CL130" s="19" t="s">
        <v>269</v>
      </c>
      <c r="CM130" s="19">
        <v>0</v>
      </c>
      <c r="CN130" s="19">
        <v>6.5</v>
      </c>
      <c r="CO130" s="19">
        <v>0</v>
      </c>
      <c r="CP130" s="19">
        <v>0</v>
      </c>
      <c r="CQ130" s="19">
        <v>0</v>
      </c>
      <c r="CR130" s="19">
        <v>0</v>
      </c>
      <c r="CS130" s="19">
        <v>0</v>
      </c>
      <c r="CT130" s="19" t="s">
        <v>283</v>
      </c>
      <c r="CU130" s="19">
        <v>0</v>
      </c>
      <c r="CV130" s="19">
        <v>0</v>
      </c>
      <c r="CW130" s="19">
        <v>0</v>
      </c>
      <c r="CX130" s="19">
        <v>0</v>
      </c>
      <c r="CY130" s="19">
        <v>0</v>
      </c>
      <c r="CZ130" s="19">
        <v>0</v>
      </c>
      <c r="DA130" s="19">
        <v>0</v>
      </c>
      <c r="DB130" s="19">
        <v>0</v>
      </c>
      <c r="DC130" s="19">
        <v>0</v>
      </c>
      <c r="DD130" s="19">
        <v>0</v>
      </c>
      <c r="DE130" s="19">
        <v>0</v>
      </c>
      <c r="DF130" s="19">
        <v>0</v>
      </c>
      <c r="DG130" s="19">
        <v>0</v>
      </c>
      <c r="DH130" s="19">
        <v>0</v>
      </c>
      <c r="DI130" s="19">
        <v>0</v>
      </c>
      <c r="DJ130" s="19">
        <v>0</v>
      </c>
      <c r="DK130" s="19">
        <v>0</v>
      </c>
      <c r="DL130" s="19">
        <v>0</v>
      </c>
      <c r="DM130" s="19">
        <v>0</v>
      </c>
      <c r="DN130" s="19">
        <v>0</v>
      </c>
      <c r="DO130" s="19">
        <v>0</v>
      </c>
      <c r="DP130" s="19">
        <v>0</v>
      </c>
      <c r="DQ130" s="19">
        <v>0</v>
      </c>
      <c r="DR130" s="19">
        <v>0</v>
      </c>
      <c r="DS130" s="19">
        <v>0</v>
      </c>
      <c r="DT130" s="19">
        <v>0</v>
      </c>
      <c r="DU130" s="19"/>
      <c r="DV130" s="19"/>
      <c r="DW130" s="19"/>
      <c r="DX130" s="19">
        <v>0</v>
      </c>
      <c r="DY130" s="19">
        <v>0</v>
      </c>
      <c r="DZ130" s="19">
        <v>0</v>
      </c>
      <c r="EA130" s="19">
        <v>0</v>
      </c>
      <c r="EB130" s="19">
        <v>0</v>
      </c>
      <c r="EC130" s="19">
        <v>0</v>
      </c>
      <c r="ED130" s="19">
        <v>0</v>
      </c>
      <c r="EE130" s="19">
        <v>0</v>
      </c>
      <c r="EF130" s="19">
        <v>0</v>
      </c>
      <c r="EG130" s="19">
        <v>0</v>
      </c>
      <c r="EH130" s="19">
        <v>0</v>
      </c>
      <c r="EI130" s="19">
        <v>0</v>
      </c>
      <c r="EJ130" s="19">
        <v>0</v>
      </c>
      <c r="EK130" s="19">
        <v>0</v>
      </c>
    </row>
    <row r="131" spans="1:141">
      <c r="A131" t="s">
        <v>832</v>
      </c>
      <c r="B131" t="s">
        <v>1499</v>
      </c>
      <c r="C131" t="s">
        <v>860</v>
      </c>
      <c r="D131" t="s">
        <v>1369</v>
      </c>
      <c r="E131">
        <v>0</v>
      </c>
      <c r="F131" t="s">
        <v>237</v>
      </c>
      <c r="G131" t="s">
        <v>238</v>
      </c>
      <c r="H131" t="s">
        <v>595</v>
      </c>
      <c r="I131">
        <v>355</v>
      </c>
      <c r="J131">
        <v>0</v>
      </c>
      <c r="K131" t="s">
        <v>859</v>
      </c>
      <c r="L131" t="s">
        <v>576</v>
      </c>
      <c r="M131" t="s">
        <v>242</v>
      </c>
      <c r="N131">
        <v>1142</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f t="shared" si="121"/>
        <v>0</v>
      </c>
      <c r="AZ131">
        <v>0</v>
      </c>
      <c r="BA131">
        <v>0</v>
      </c>
      <c r="BC131">
        <v>0</v>
      </c>
      <c r="BF131">
        <v>0</v>
      </c>
      <c r="BG131">
        <v>0</v>
      </c>
      <c r="BH131">
        <v>0</v>
      </c>
      <c r="BI131">
        <v>0</v>
      </c>
      <c r="BJ131">
        <v>0</v>
      </c>
      <c r="BK131">
        <v>0</v>
      </c>
      <c r="BL131" s="19" t="s">
        <v>260</v>
      </c>
      <c r="BM131" s="19">
        <v>7.4999999999999997E-3</v>
      </c>
      <c r="BN131" s="19" t="s">
        <v>262</v>
      </c>
      <c r="BO131" s="19">
        <v>0</v>
      </c>
      <c r="BP131" s="19">
        <v>0</v>
      </c>
      <c r="BQ131" s="19">
        <v>0</v>
      </c>
      <c r="BR131" s="19">
        <v>0</v>
      </c>
      <c r="BS131" s="19" t="s">
        <v>264</v>
      </c>
      <c r="BT131" s="19">
        <v>30</v>
      </c>
      <c r="BU131" s="19" t="s">
        <v>265</v>
      </c>
      <c r="BV131" s="19" t="s">
        <v>268</v>
      </c>
      <c r="BW131" s="19" t="s">
        <v>267</v>
      </c>
      <c r="BX131" s="19">
        <v>0.01</v>
      </c>
      <c r="BY131" s="19">
        <v>1.6E-2</v>
      </c>
      <c r="BZ131" s="19">
        <v>2E-3</v>
      </c>
      <c r="CA131" s="19" t="s">
        <v>276</v>
      </c>
      <c r="CB131" s="19">
        <v>0</v>
      </c>
      <c r="CC131" s="19">
        <v>0</v>
      </c>
      <c r="CD131" s="19">
        <v>0</v>
      </c>
      <c r="CE131" s="19">
        <v>0</v>
      </c>
      <c r="CF131" s="19">
        <v>0</v>
      </c>
      <c r="CG131" s="19">
        <v>0</v>
      </c>
      <c r="CH131" s="19">
        <v>0</v>
      </c>
      <c r="CI131" s="19">
        <v>0</v>
      </c>
      <c r="CJ131" s="19">
        <v>0</v>
      </c>
      <c r="CK131" s="19">
        <v>0</v>
      </c>
      <c r="CL131" s="19">
        <v>0</v>
      </c>
      <c r="CM131" s="19">
        <v>0</v>
      </c>
      <c r="CN131" s="19">
        <v>0</v>
      </c>
      <c r="CO131" s="19">
        <v>0</v>
      </c>
      <c r="CP131" s="19">
        <v>0</v>
      </c>
      <c r="CQ131" s="19">
        <v>0</v>
      </c>
      <c r="CR131" s="19">
        <v>0</v>
      </c>
      <c r="CS131" s="19">
        <v>0</v>
      </c>
      <c r="CT131" s="19">
        <v>0</v>
      </c>
      <c r="CU131" s="19">
        <v>0</v>
      </c>
      <c r="CV131" s="19">
        <v>0</v>
      </c>
      <c r="CW131" s="19">
        <v>0</v>
      </c>
      <c r="CX131" s="19">
        <v>0</v>
      </c>
      <c r="CY131" s="19">
        <v>0</v>
      </c>
      <c r="CZ131" s="19">
        <v>0</v>
      </c>
      <c r="DA131" s="19">
        <v>0</v>
      </c>
      <c r="DB131" s="19">
        <v>0</v>
      </c>
      <c r="DC131" s="19">
        <v>0</v>
      </c>
      <c r="DD131" s="19">
        <v>0</v>
      </c>
      <c r="DE131" s="19">
        <v>0</v>
      </c>
      <c r="DF131" s="19">
        <v>0</v>
      </c>
      <c r="DG131" s="19">
        <v>0</v>
      </c>
      <c r="DH131" s="19">
        <v>0</v>
      </c>
      <c r="DI131" s="19">
        <v>0</v>
      </c>
      <c r="DJ131" s="19">
        <v>0</v>
      </c>
      <c r="DK131" s="19">
        <v>0</v>
      </c>
      <c r="DL131" s="19">
        <v>0</v>
      </c>
      <c r="DM131" s="19">
        <v>0</v>
      </c>
      <c r="DN131" s="19">
        <v>0</v>
      </c>
      <c r="DO131" s="19">
        <v>0</v>
      </c>
      <c r="DP131" s="19">
        <v>0</v>
      </c>
      <c r="DQ131" s="19">
        <v>0</v>
      </c>
      <c r="DR131" s="19">
        <v>0</v>
      </c>
      <c r="DS131" s="19">
        <v>0</v>
      </c>
      <c r="DT131" s="19">
        <v>0</v>
      </c>
      <c r="DU131" s="19"/>
      <c r="DV131" s="19"/>
      <c r="DW131" s="19"/>
      <c r="DX131" s="19">
        <v>0</v>
      </c>
      <c r="DY131" s="19">
        <v>0</v>
      </c>
      <c r="DZ131" s="19">
        <v>0</v>
      </c>
      <c r="EA131" s="19">
        <v>0</v>
      </c>
      <c r="EB131" s="19">
        <v>0</v>
      </c>
      <c r="EC131" s="19">
        <v>0</v>
      </c>
      <c r="ED131" s="19">
        <v>0</v>
      </c>
      <c r="EE131" s="19">
        <v>0</v>
      </c>
      <c r="EF131" s="19">
        <v>0</v>
      </c>
      <c r="EG131" s="19">
        <v>0</v>
      </c>
      <c r="EH131" s="19">
        <v>0</v>
      </c>
      <c r="EI131" s="19">
        <v>0</v>
      </c>
      <c r="EJ131" s="19">
        <v>0</v>
      </c>
      <c r="EK131" s="19">
        <v>0</v>
      </c>
    </row>
    <row r="132" spans="1:141">
      <c r="A132" t="s">
        <v>832</v>
      </c>
      <c r="B132" t="s">
        <v>1499</v>
      </c>
      <c r="C132" t="s">
        <v>860</v>
      </c>
      <c r="D132" t="s">
        <v>1369</v>
      </c>
      <c r="E132">
        <v>0</v>
      </c>
      <c r="F132" t="s">
        <v>237</v>
      </c>
      <c r="G132" t="s">
        <v>238</v>
      </c>
      <c r="H132" t="s">
        <v>595</v>
      </c>
      <c r="I132">
        <v>355</v>
      </c>
      <c r="J132">
        <v>0</v>
      </c>
      <c r="K132" t="s">
        <v>859</v>
      </c>
      <c r="L132" t="s">
        <v>250</v>
      </c>
      <c r="M132" t="s">
        <v>243</v>
      </c>
      <c r="N132" t="s">
        <v>244</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f t="shared" si="121"/>
        <v>0</v>
      </c>
      <c r="AZ132">
        <v>0</v>
      </c>
      <c r="BA132">
        <v>0</v>
      </c>
      <c r="BC132">
        <v>0</v>
      </c>
      <c r="BF132">
        <v>0</v>
      </c>
      <c r="BG132">
        <v>0</v>
      </c>
      <c r="BH132">
        <v>0</v>
      </c>
      <c r="BI132">
        <v>0</v>
      </c>
      <c r="BJ132">
        <v>0</v>
      </c>
      <c r="BK132">
        <v>0</v>
      </c>
      <c r="BL132" s="19">
        <v>0</v>
      </c>
      <c r="BM132" s="19">
        <v>0</v>
      </c>
      <c r="BN132" s="19">
        <v>6</v>
      </c>
      <c r="BO132" s="19">
        <v>0</v>
      </c>
      <c r="BP132" s="19">
        <v>0</v>
      </c>
      <c r="BQ132" s="19">
        <v>0</v>
      </c>
      <c r="BR132" s="19">
        <v>0</v>
      </c>
      <c r="BS132" s="19">
        <v>47</v>
      </c>
      <c r="BT132" s="19">
        <v>229</v>
      </c>
      <c r="BU132" s="19">
        <v>9</v>
      </c>
      <c r="BV132" s="19">
        <v>1.4</v>
      </c>
      <c r="BW132" s="19" t="s">
        <v>180</v>
      </c>
      <c r="BX132" s="19">
        <v>93</v>
      </c>
      <c r="BY132" s="19">
        <v>1.2</v>
      </c>
      <c r="BZ132" s="19">
        <v>0.8</v>
      </c>
      <c r="CA132" s="19">
        <v>0.6</v>
      </c>
      <c r="CB132" s="19">
        <v>0</v>
      </c>
      <c r="CC132" s="19">
        <v>0</v>
      </c>
      <c r="CD132" s="19">
        <v>0</v>
      </c>
      <c r="CE132" s="19">
        <v>0</v>
      </c>
      <c r="CF132" s="19">
        <v>0</v>
      </c>
      <c r="CG132" s="19">
        <v>0</v>
      </c>
      <c r="CH132" s="19">
        <v>0</v>
      </c>
      <c r="CI132" s="19" t="s">
        <v>273</v>
      </c>
      <c r="CJ132" s="19">
        <v>3.5</v>
      </c>
      <c r="CK132" s="19" t="s">
        <v>274</v>
      </c>
      <c r="CL132" s="19">
        <v>1.5</v>
      </c>
      <c r="CM132" s="19">
        <v>0</v>
      </c>
      <c r="CN132" s="19" t="s">
        <v>269</v>
      </c>
      <c r="CO132" s="19">
        <v>0</v>
      </c>
      <c r="CP132" s="19">
        <v>0</v>
      </c>
      <c r="CQ132" s="19">
        <v>0</v>
      </c>
      <c r="CR132" s="19">
        <v>0</v>
      </c>
      <c r="CS132" s="19">
        <v>0</v>
      </c>
      <c r="CT132" s="19" t="s">
        <v>285</v>
      </c>
      <c r="CU132" s="19">
        <v>0</v>
      </c>
      <c r="CV132" s="19">
        <v>0</v>
      </c>
      <c r="CW132" s="19">
        <v>0</v>
      </c>
      <c r="CX132" s="19">
        <v>0</v>
      </c>
      <c r="CY132" s="19">
        <v>0</v>
      </c>
      <c r="CZ132" s="19">
        <v>0</v>
      </c>
      <c r="DA132" s="19">
        <v>0</v>
      </c>
      <c r="DB132" s="19">
        <v>0</v>
      </c>
      <c r="DC132" s="19">
        <v>0</v>
      </c>
      <c r="DD132" s="19">
        <v>0</v>
      </c>
      <c r="DE132" s="19">
        <v>0</v>
      </c>
      <c r="DF132" s="19">
        <v>0</v>
      </c>
      <c r="DG132" s="19">
        <v>0</v>
      </c>
      <c r="DH132" s="19">
        <v>0</v>
      </c>
      <c r="DI132" s="19">
        <v>0</v>
      </c>
      <c r="DJ132" s="19">
        <v>0</v>
      </c>
      <c r="DK132" s="19">
        <v>0</v>
      </c>
      <c r="DL132" s="19">
        <v>1.6</v>
      </c>
      <c r="DM132" s="19">
        <v>0</v>
      </c>
      <c r="DN132" s="19">
        <v>0</v>
      </c>
      <c r="DO132" s="19">
        <v>0</v>
      </c>
      <c r="DP132" s="19">
        <v>0</v>
      </c>
      <c r="DQ132" s="19">
        <v>0</v>
      </c>
      <c r="DR132" s="19">
        <v>0</v>
      </c>
      <c r="DS132" s="19">
        <v>0</v>
      </c>
      <c r="DT132" s="19">
        <v>0</v>
      </c>
      <c r="DU132" s="19"/>
      <c r="DV132" s="19"/>
      <c r="DW132" s="19"/>
      <c r="DX132" s="19">
        <v>0</v>
      </c>
      <c r="DY132" s="19">
        <v>0</v>
      </c>
      <c r="DZ132" s="19">
        <v>0</v>
      </c>
      <c r="EA132" s="19">
        <v>0</v>
      </c>
      <c r="EB132" s="19">
        <v>0</v>
      </c>
      <c r="EC132" s="19">
        <v>0</v>
      </c>
      <c r="ED132" s="19">
        <v>0</v>
      </c>
      <c r="EE132" s="19">
        <v>0</v>
      </c>
      <c r="EF132" s="19">
        <v>0</v>
      </c>
      <c r="EG132" s="19">
        <v>0</v>
      </c>
      <c r="EH132" s="19">
        <v>0</v>
      </c>
      <c r="EI132" s="19">
        <v>0</v>
      </c>
      <c r="EJ132" s="19">
        <v>0</v>
      </c>
      <c r="EK132" s="19">
        <v>0</v>
      </c>
    </row>
    <row r="133" spans="1:141">
      <c r="A133" t="s">
        <v>832</v>
      </c>
      <c r="B133" t="s">
        <v>1499</v>
      </c>
      <c r="C133" t="s">
        <v>860</v>
      </c>
      <c r="D133" t="s">
        <v>1369</v>
      </c>
      <c r="E133">
        <v>0</v>
      </c>
      <c r="F133" t="s">
        <v>237</v>
      </c>
      <c r="G133" t="s">
        <v>238</v>
      </c>
      <c r="H133" t="s">
        <v>595</v>
      </c>
      <c r="I133">
        <v>355</v>
      </c>
      <c r="J133">
        <v>0</v>
      </c>
      <c r="K133" t="s">
        <v>859</v>
      </c>
      <c r="L133" t="s">
        <v>247</v>
      </c>
      <c r="M133" t="s">
        <v>243</v>
      </c>
      <c r="N133" t="s">
        <v>249</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f t="shared" si="121"/>
        <v>0</v>
      </c>
      <c r="AZ133">
        <v>0</v>
      </c>
      <c r="BA133">
        <v>0</v>
      </c>
      <c r="BC133">
        <v>0</v>
      </c>
      <c r="BF133">
        <v>0</v>
      </c>
      <c r="BG133">
        <v>0</v>
      </c>
      <c r="BH133">
        <v>0</v>
      </c>
      <c r="BI133">
        <v>0</v>
      </c>
      <c r="BJ133">
        <v>0</v>
      </c>
      <c r="BK133">
        <v>0</v>
      </c>
      <c r="BL133" s="19">
        <v>0</v>
      </c>
      <c r="BM133" s="19">
        <v>0</v>
      </c>
      <c r="BN133" s="19" t="s">
        <v>263</v>
      </c>
      <c r="BO133" s="19">
        <v>0</v>
      </c>
      <c r="BP133" s="19">
        <v>0</v>
      </c>
      <c r="BQ133" s="19">
        <v>0</v>
      </c>
      <c r="BR133" s="19">
        <v>0</v>
      </c>
      <c r="BS133" s="19">
        <v>87</v>
      </c>
      <c r="BT133" s="19">
        <v>17</v>
      </c>
      <c r="BU133" s="19">
        <v>5</v>
      </c>
      <c r="BV133" s="19">
        <v>3.5</v>
      </c>
      <c r="BW133" s="19" t="s">
        <v>269</v>
      </c>
      <c r="BX133" s="19">
        <v>305</v>
      </c>
      <c r="BY133" s="19" t="s">
        <v>269</v>
      </c>
      <c r="BZ133" s="19">
        <v>2.4</v>
      </c>
      <c r="CA133" s="19" t="s">
        <v>269</v>
      </c>
      <c r="CB133" s="19">
        <v>0</v>
      </c>
      <c r="CC133" s="19">
        <v>0</v>
      </c>
      <c r="CD133" s="19">
        <v>0</v>
      </c>
      <c r="CE133" s="19">
        <v>0</v>
      </c>
      <c r="CF133" s="19">
        <v>0</v>
      </c>
      <c r="CG133" s="19">
        <v>0</v>
      </c>
      <c r="CH133" s="19">
        <v>0</v>
      </c>
      <c r="CI133" s="19" t="s">
        <v>269</v>
      </c>
      <c r="CJ133" s="19" t="s">
        <v>278</v>
      </c>
      <c r="CK133" s="19" t="s">
        <v>279</v>
      </c>
      <c r="CL133" s="19" t="s">
        <v>267</v>
      </c>
      <c r="CM133" s="19">
        <v>0</v>
      </c>
      <c r="CN133" s="19">
        <v>0</v>
      </c>
      <c r="CO133" s="19">
        <v>0</v>
      </c>
      <c r="CP133" s="19">
        <v>0</v>
      </c>
      <c r="CQ133" s="19">
        <v>0</v>
      </c>
      <c r="CR133" s="19">
        <v>0</v>
      </c>
      <c r="CS133" s="19">
        <v>0</v>
      </c>
      <c r="CT133" s="19">
        <v>0</v>
      </c>
      <c r="CU133" s="19">
        <v>0</v>
      </c>
      <c r="CV133" s="19">
        <v>0</v>
      </c>
      <c r="CW133" s="19">
        <v>0</v>
      </c>
      <c r="CX133" s="19">
        <v>0</v>
      </c>
      <c r="CY133" s="19">
        <v>0</v>
      </c>
      <c r="CZ133" s="19">
        <v>0</v>
      </c>
      <c r="DA133" s="19">
        <v>0</v>
      </c>
      <c r="DB133" s="19">
        <v>0</v>
      </c>
      <c r="DC133" s="19">
        <v>0</v>
      </c>
      <c r="DD133" s="19">
        <v>0</v>
      </c>
      <c r="DE133" s="19">
        <v>0</v>
      </c>
      <c r="DF133" s="19">
        <v>0</v>
      </c>
      <c r="DG133" s="19">
        <v>0</v>
      </c>
      <c r="DH133" s="19">
        <v>0</v>
      </c>
      <c r="DI133" s="19">
        <v>0</v>
      </c>
      <c r="DJ133" s="19">
        <v>0</v>
      </c>
      <c r="DK133" s="19">
        <v>0</v>
      </c>
      <c r="DL133" s="19" t="s">
        <v>288</v>
      </c>
      <c r="DM133" s="19">
        <v>0</v>
      </c>
      <c r="DN133" s="19">
        <v>0</v>
      </c>
      <c r="DO133" s="19">
        <v>0</v>
      </c>
      <c r="DP133" s="19">
        <v>0</v>
      </c>
      <c r="DQ133" s="19">
        <v>0</v>
      </c>
      <c r="DR133" s="19">
        <v>0</v>
      </c>
      <c r="DS133" s="19">
        <v>0</v>
      </c>
      <c r="DT133" s="19">
        <v>0</v>
      </c>
      <c r="DU133" s="19"/>
      <c r="DV133" s="19"/>
      <c r="DW133" s="19"/>
      <c r="DX133" s="19">
        <v>0</v>
      </c>
      <c r="DY133" s="19">
        <v>0</v>
      </c>
      <c r="DZ133" s="19">
        <v>0</v>
      </c>
      <c r="EA133" s="19">
        <v>0</v>
      </c>
      <c r="EB133" s="19">
        <v>0</v>
      </c>
      <c r="EC133" s="19">
        <v>0</v>
      </c>
      <c r="ED133" s="19">
        <v>0</v>
      </c>
      <c r="EE133" s="19">
        <v>0</v>
      </c>
      <c r="EF133" s="19">
        <v>0</v>
      </c>
      <c r="EG133" s="19">
        <v>0</v>
      </c>
      <c r="EH133" s="19">
        <v>0</v>
      </c>
      <c r="EI133" s="19">
        <v>0</v>
      </c>
      <c r="EJ133" s="19">
        <v>0</v>
      </c>
      <c r="EK133" s="19">
        <v>0</v>
      </c>
    </row>
    <row r="134" spans="1:141">
      <c r="A134" t="s">
        <v>832</v>
      </c>
      <c r="B134" t="s">
        <v>1499</v>
      </c>
      <c r="C134" t="s">
        <v>860</v>
      </c>
      <c r="D134" t="s">
        <v>1369</v>
      </c>
      <c r="E134">
        <v>0</v>
      </c>
      <c r="F134" t="s">
        <v>237</v>
      </c>
      <c r="G134" t="s">
        <v>238</v>
      </c>
      <c r="H134" t="s">
        <v>595</v>
      </c>
      <c r="I134">
        <v>355</v>
      </c>
      <c r="J134">
        <v>0</v>
      </c>
      <c r="K134" t="s">
        <v>859</v>
      </c>
      <c r="L134" t="s">
        <v>247</v>
      </c>
      <c r="M134" t="s">
        <v>242</v>
      </c>
      <c r="N134" t="s">
        <v>245</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f t="shared" si="121"/>
        <v>0</v>
      </c>
      <c r="AZ134">
        <v>0</v>
      </c>
      <c r="BA134">
        <v>0</v>
      </c>
      <c r="BC134">
        <v>0</v>
      </c>
      <c r="BF134">
        <v>0</v>
      </c>
      <c r="BG134">
        <v>0</v>
      </c>
      <c r="BH134">
        <v>0</v>
      </c>
      <c r="BI134">
        <v>0</v>
      </c>
      <c r="BJ134">
        <v>0</v>
      </c>
      <c r="BK134">
        <v>0</v>
      </c>
      <c r="BL134" s="19">
        <v>0</v>
      </c>
      <c r="BM134" s="19">
        <v>0</v>
      </c>
      <c r="BN134" s="19" t="s">
        <v>264</v>
      </c>
      <c r="BO134" s="19">
        <v>0</v>
      </c>
      <c r="BP134" s="19">
        <v>0</v>
      </c>
      <c r="BQ134" s="19">
        <v>0</v>
      </c>
      <c r="BR134" s="19">
        <v>0</v>
      </c>
      <c r="BS134" s="19">
        <v>117</v>
      </c>
      <c r="BT134" s="19">
        <v>20</v>
      </c>
      <c r="BU134" s="19">
        <v>2.9</v>
      </c>
      <c r="BV134" s="19">
        <v>11</v>
      </c>
      <c r="BW134" s="19">
        <v>3</v>
      </c>
      <c r="BX134" s="19">
        <v>238</v>
      </c>
      <c r="BY134" s="19">
        <v>14</v>
      </c>
      <c r="BZ134" s="19" t="s">
        <v>272</v>
      </c>
      <c r="CA134" s="19">
        <v>0.9</v>
      </c>
      <c r="CB134" s="19">
        <v>0</v>
      </c>
      <c r="CC134" s="19">
        <v>0</v>
      </c>
      <c r="CD134" s="19">
        <v>0</v>
      </c>
      <c r="CE134" s="19">
        <v>0</v>
      </c>
      <c r="CF134" s="19">
        <v>0</v>
      </c>
      <c r="CG134" s="19">
        <v>0</v>
      </c>
      <c r="CH134" s="19">
        <v>0</v>
      </c>
      <c r="CI134" s="19" t="s">
        <v>269</v>
      </c>
      <c r="CJ134" s="19">
        <v>1.8</v>
      </c>
      <c r="CK134" s="19" t="s">
        <v>269</v>
      </c>
      <c r="CL134" s="19" t="s">
        <v>269</v>
      </c>
      <c r="CM134" s="19">
        <v>0</v>
      </c>
      <c r="CN134" s="19" t="s">
        <v>280</v>
      </c>
      <c r="CO134" s="19">
        <v>0</v>
      </c>
      <c r="CP134" s="19">
        <v>0</v>
      </c>
      <c r="CQ134" s="19">
        <v>0</v>
      </c>
      <c r="CR134" s="19">
        <v>0</v>
      </c>
      <c r="CS134" s="19">
        <v>0</v>
      </c>
      <c r="CT134" s="19">
        <v>39</v>
      </c>
      <c r="CU134" s="19">
        <v>0</v>
      </c>
      <c r="CV134" s="19">
        <v>0</v>
      </c>
      <c r="CW134" s="19">
        <v>0</v>
      </c>
      <c r="CX134" s="19">
        <v>0</v>
      </c>
      <c r="CY134" s="19">
        <v>0</v>
      </c>
      <c r="CZ134" s="19">
        <v>0</v>
      </c>
      <c r="DA134" s="19">
        <v>0</v>
      </c>
      <c r="DB134" s="19">
        <v>0</v>
      </c>
      <c r="DC134" s="19">
        <v>0</v>
      </c>
      <c r="DD134" s="19">
        <v>0</v>
      </c>
      <c r="DE134" s="19">
        <v>0</v>
      </c>
      <c r="DF134" s="19">
        <v>0</v>
      </c>
      <c r="DG134" s="19">
        <v>0</v>
      </c>
      <c r="DH134" s="19">
        <v>0</v>
      </c>
      <c r="DI134" s="19">
        <v>0</v>
      </c>
      <c r="DJ134" s="19">
        <v>0</v>
      </c>
      <c r="DK134" s="19">
        <v>0</v>
      </c>
      <c r="DL134" s="19" t="s">
        <v>276</v>
      </c>
      <c r="DM134" s="19">
        <v>0</v>
      </c>
      <c r="DN134" s="19">
        <v>0</v>
      </c>
      <c r="DO134" s="19">
        <v>0</v>
      </c>
      <c r="DP134" s="19">
        <v>0</v>
      </c>
      <c r="DQ134" s="19">
        <v>0</v>
      </c>
      <c r="DR134" s="19">
        <v>0</v>
      </c>
      <c r="DS134" s="19">
        <v>0</v>
      </c>
      <c r="DT134" s="19">
        <v>0</v>
      </c>
      <c r="DU134" s="19"/>
      <c r="DV134" s="19"/>
      <c r="DW134" s="19"/>
      <c r="DX134" s="19">
        <v>0</v>
      </c>
      <c r="DY134" s="19">
        <v>0</v>
      </c>
      <c r="DZ134" s="19">
        <v>0</v>
      </c>
      <c r="EA134" s="19">
        <v>0</v>
      </c>
      <c r="EB134" s="19">
        <v>0</v>
      </c>
      <c r="EC134" s="19">
        <v>0</v>
      </c>
      <c r="ED134" s="19">
        <v>0</v>
      </c>
      <c r="EE134" s="19">
        <v>0</v>
      </c>
      <c r="EF134" s="19">
        <v>0</v>
      </c>
      <c r="EG134" s="19">
        <v>0</v>
      </c>
      <c r="EH134" s="19">
        <v>0</v>
      </c>
      <c r="EI134" s="19">
        <v>0</v>
      </c>
      <c r="EJ134" s="19">
        <v>0</v>
      </c>
      <c r="EK134" s="19">
        <v>0</v>
      </c>
    </row>
    <row r="135" spans="1:141">
      <c r="A135" t="s">
        <v>832</v>
      </c>
      <c r="B135" t="s">
        <v>1499</v>
      </c>
      <c r="C135" t="s">
        <v>860</v>
      </c>
      <c r="D135" t="s">
        <v>1369</v>
      </c>
      <c r="E135">
        <v>0</v>
      </c>
      <c r="F135" t="s">
        <v>237</v>
      </c>
      <c r="G135" t="s">
        <v>238</v>
      </c>
      <c r="H135" t="s">
        <v>595</v>
      </c>
      <c r="I135">
        <v>355</v>
      </c>
      <c r="J135">
        <v>0</v>
      </c>
      <c r="K135" t="s">
        <v>859</v>
      </c>
      <c r="L135" t="s">
        <v>247</v>
      </c>
      <c r="M135" t="s">
        <v>242</v>
      </c>
      <c r="N135" t="s">
        <v>246</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f t="shared" si="121"/>
        <v>0</v>
      </c>
      <c r="AZ135">
        <v>0</v>
      </c>
      <c r="BA135">
        <v>0</v>
      </c>
      <c r="BC135">
        <v>0</v>
      </c>
      <c r="BF135">
        <v>0</v>
      </c>
      <c r="BG135">
        <v>0</v>
      </c>
      <c r="BH135">
        <v>0</v>
      </c>
      <c r="BI135">
        <v>0</v>
      </c>
      <c r="BJ135">
        <v>0</v>
      </c>
      <c r="BK135">
        <v>0</v>
      </c>
      <c r="BL135" s="19">
        <v>0</v>
      </c>
      <c r="BM135" s="19">
        <v>0</v>
      </c>
      <c r="BN135" s="19" t="s">
        <v>265</v>
      </c>
      <c r="BO135" s="19">
        <v>0</v>
      </c>
      <c r="BP135" s="19">
        <v>0</v>
      </c>
      <c r="BQ135" s="19">
        <v>0</v>
      </c>
      <c r="BR135" s="19">
        <v>0</v>
      </c>
      <c r="BS135" s="19">
        <v>199</v>
      </c>
      <c r="BT135" s="19">
        <v>51</v>
      </c>
      <c r="BU135" s="19">
        <v>3</v>
      </c>
      <c r="BV135" s="19">
        <v>12</v>
      </c>
      <c r="BW135" s="19">
        <v>3.8</v>
      </c>
      <c r="BX135" s="19">
        <v>153</v>
      </c>
      <c r="BY135" s="19">
        <v>3.6</v>
      </c>
      <c r="BZ135" s="19" t="s">
        <v>273</v>
      </c>
      <c r="CA135" s="19">
        <v>0.7</v>
      </c>
      <c r="CB135" s="19">
        <v>0</v>
      </c>
      <c r="CC135" s="19">
        <v>0</v>
      </c>
      <c r="CD135" s="19">
        <v>0</v>
      </c>
      <c r="CE135" s="19">
        <v>0</v>
      </c>
      <c r="CF135" s="19">
        <v>0</v>
      </c>
      <c r="CG135" s="19">
        <v>0</v>
      </c>
      <c r="CH135" s="19">
        <v>0</v>
      </c>
      <c r="CI135" s="19">
        <v>0.7</v>
      </c>
      <c r="CJ135" s="19">
        <v>4.7</v>
      </c>
      <c r="CK135" s="19" t="s">
        <v>274</v>
      </c>
      <c r="CL135" s="19" t="s">
        <v>269</v>
      </c>
      <c r="CM135" s="19">
        <v>0</v>
      </c>
      <c r="CN135" s="19">
        <v>0</v>
      </c>
      <c r="CO135" s="19">
        <v>0</v>
      </c>
      <c r="CP135" s="19">
        <v>0</v>
      </c>
      <c r="CQ135" s="19">
        <v>0</v>
      </c>
      <c r="CR135" s="19">
        <v>0</v>
      </c>
      <c r="CS135" s="19">
        <v>0</v>
      </c>
      <c r="CT135" s="19">
        <v>0</v>
      </c>
      <c r="CU135" s="19">
        <v>0</v>
      </c>
      <c r="CV135" s="19">
        <v>0</v>
      </c>
      <c r="CW135" s="19">
        <v>0</v>
      </c>
      <c r="CX135" s="19">
        <v>0</v>
      </c>
      <c r="CY135" s="19">
        <v>0</v>
      </c>
      <c r="CZ135" s="19">
        <v>0</v>
      </c>
      <c r="DA135" s="19">
        <v>0</v>
      </c>
      <c r="DB135" s="19">
        <v>0</v>
      </c>
      <c r="DC135" s="19">
        <v>0</v>
      </c>
      <c r="DD135" s="19">
        <v>0</v>
      </c>
      <c r="DE135" s="19">
        <v>0</v>
      </c>
      <c r="DF135" s="19">
        <v>0</v>
      </c>
      <c r="DG135" s="19">
        <v>0</v>
      </c>
      <c r="DH135" s="19">
        <v>0</v>
      </c>
      <c r="DI135" s="19">
        <v>0</v>
      </c>
      <c r="DJ135" s="19">
        <v>0</v>
      </c>
      <c r="DK135" s="19">
        <v>0</v>
      </c>
      <c r="DL135" s="19" t="s">
        <v>269</v>
      </c>
      <c r="DM135" s="19">
        <v>0</v>
      </c>
      <c r="DN135" s="19">
        <v>0</v>
      </c>
      <c r="DO135" s="19">
        <v>0</v>
      </c>
      <c r="DP135" s="19">
        <v>0</v>
      </c>
      <c r="DQ135" s="19">
        <v>0</v>
      </c>
      <c r="DR135" s="19">
        <v>0</v>
      </c>
      <c r="DS135" s="19">
        <v>0</v>
      </c>
      <c r="DT135" s="19">
        <v>0</v>
      </c>
      <c r="DU135" s="19"/>
      <c r="DV135" s="19"/>
      <c r="DW135" s="19"/>
      <c r="DX135" s="19">
        <v>0</v>
      </c>
      <c r="DY135" s="19">
        <v>0</v>
      </c>
      <c r="DZ135" s="19">
        <v>0</v>
      </c>
      <c r="EA135" s="19">
        <v>0</v>
      </c>
      <c r="EB135" s="19">
        <v>0</v>
      </c>
      <c r="EC135" s="19">
        <v>0</v>
      </c>
      <c r="ED135" s="19">
        <v>0</v>
      </c>
      <c r="EE135" s="19">
        <v>0</v>
      </c>
      <c r="EF135" s="19">
        <v>0</v>
      </c>
      <c r="EG135" s="19">
        <v>0</v>
      </c>
      <c r="EH135" s="19">
        <v>0</v>
      </c>
      <c r="EI135" s="19">
        <v>0</v>
      </c>
      <c r="EJ135" s="19">
        <v>0</v>
      </c>
      <c r="EK135" s="19">
        <v>0</v>
      </c>
    </row>
    <row r="136" spans="1:141">
      <c r="A136" t="s">
        <v>832</v>
      </c>
      <c r="B136" t="s">
        <v>1499</v>
      </c>
      <c r="C136" t="s">
        <v>860</v>
      </c>
      <c r="D136" t="s">
        <v>1369</v>
      </c>
      <c r="E136">
        <v>0</v>
      </c>
      <c r="F136" t="s">
        <v>237</v>
      </c>
      <c r="G136" t="s">
        <v>238</v>
      </c>
      <c r="H136" t="s">
        <v>595</v>
      </c>
      <c r="I136">
        <v>355</v>
      </c>
      <c r="J136">
        <v>0</v>
      </c>
      <c r="K136" t="s">
        <v>859</v>
      </c>
      <c r="L136" t="s">
        <v>292</v>
      </c>
      <c r="M136" t="s">
        <v>294</v>
      </c>
      <c r="N136">
        <v>1011</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f t="shared" si="121"/>
        <v>0</v>
      </c>
      <c r="AZ136">
        <v>0</v>
      </c>
      <c r="BA136">
        <v>0</v>
      </c>
      <c r="BC136">
        <v>0</v>
      </c>
      <c r="BF136">
        <v>0</v>
      </c>
      <c r="BG136">
        <v>0</v>
      </c>
      <c r="BH136">
        <v>0</v>
      </c>
      <c r="BI136">
        <v>0</v>
      </c>
      <c r="BJ136">
        <v>0</v>
      </c>
      <c r="BK136">
        <v>0</v>
      </c>
      <c r="BL136" s="19">
        <v>0.01</v>
      </c>
      <c r="BM136" s="19" t="s">
        <v>262</v>
      </c>
      <c r="BN136" s="19">
        <v>60</v>
      </c>
      <c r="BO136" s="19">
        <v>0</v>
      </c>
      <c r="BP136" s="19">
        <v>0</v>
      </c>
      <c r="BQ136" s="19">
        <v>0</v>
      </c>
      <c r="BR136" s="19">
        <v>0</v>
      </c>
      <c r="BS136" s="19">
        <v>2830</v>
      </c>
      <c r="BT136" s="19">
        <v>615</v>
      </c>
      <c r="BU136" s="19">
        <v>810</v>
      </c>
      <c r="BV136" s="19">
        <v>4</v>
      </c>
      <c r="BW136" s="19">
        <v>2.5</v>
      </c>
      <c r="BX136" s="19">
        <v>500</v>
      </c>
      <c r="BY136" s="19">
        <v>2.5</v>
      </c>
      <c r="BZ136" s="19">
        <v>102</v>
      </c>
      <c r="CA136" s="19">
        <v>109</v>
      </c>
      <c r="CB136" s="19">
        <v>0</v>
      </c>
      <c r="CC136" s="19">
        <v>0</v>
      </c>
      <c r="CD136" s="19">
        <v>0</v>
      </c>
      <c r="CE136" s="19">
        <v>0</v>
      </c>
      <c r="CF136" s="19">
        <v>0</v>
      </c>
      <c r="CG136" s="19">
        <v>0</v>
      </c>
      <c r="CH136" s="19">
        <v>0</v>
      </c>
      <c r="CI136" s="19">
        <v>2.5</v>
      </c>
      <c r="CJ136" s="19">
        <v>26</v>
      </c>
      <c r="CK136" s="19">
        <v>4</v>
      </c>
      <c r="CL136" s="19">
        <v>13</v>
      </c>
      <c r="CM136" s="19">
        <v>0</v>
      </c>
      <c r="CN136" s="19" t="s">
        <v>267</v>
      </c>
      <c r="CO136" s="19">
        <v>0</v>
      </c>
      <c r="CP136" s="19">
        <v>0</v>
      </c>
      <c r="CQ136" s="19">
        <v>0</v>
      </c>
      <c r="CR136" s="19">
        <v>0</v>
      </c>
      <c r="CS136" s="19">
        <v>0</v>
      </c>
      <c r="CT136" s="19" t="s">
        <v>308</v>
      </c>
      <c r="CU136" s="19">
        <v>0</v>
      </c>
      <c r="CV136" s="19">
        <v>0</v>
      </c>
      <c r="CW136" s="19">
        <v>0</v>
      </c>
      <c r="CX136" s="19">
        <v>0</v>
      </c>
      <c r="CY136" s="19">
        <v>0</v>
      </c>
      <c r="CZ136" s="19">
        <v>0</v>
      </c>
      <c r="DA136" s="19">
        <v>0</v>
      </c>
      <c r="DB136" s="19">
        <v>0</v>
      </c>
      <c r="DC136" s="19">
        <v>0</v>
      </c>
      <c r="DD136" s="19">
        <v>0</v>
      </c>
      <c r="DE136" s="19">
        <v>0</v>
      </c>
      <c r="DF136" s="19">
        <v>0</v>
      </c>
      <c r="DG136" s="19">
        <v>0</v>
      </c>
      <c r="DH136" s="19">
        <v>0</v>
      </c>
      <c r="DI136" s="19">
        <v>0</v>
      </c>
      <c r="DJ136" s="19">
        <v>0</v>
      </c>
      <c r="DK136" s="19">
        <v>0</v>
      </c>
      <c r="DL136" s="19">
        <v>0</v>
      </c>
      <c r="DM136" s="19">
        <v>0</v>
      </c>
      <c r="DN136" s="19">
        <v>0</v>
      </c>
      <c r="DO136" s="19">
        <v>0</v>
      </c>
      <c r="DP136" s="19">
        <v>0</v>
      </c>
      <c r="DQ136" s="19">
        <v>0</v>
      </c>
      <c r="DR136" s="19">
        <v>0</v>
      </c>
      <c r="DS136" s="19">
        <v>0</v>
      </c>
      <c r="DT136" s="19">
        <v>0</v>
      </c>
      <c r="DU136" s="19"/>
      <c r="DV136" s="19"/>
      <c r="DW136" s="19"/>
      <c r="DX136" s="19">
        <v>0</v>
      </c>
      <c r="DY136" s="19">
        <v>0</v>
      </c>
      <c r="DZ136" s="19">
        <v>0</v>
      </c>
      <c r="EA136" s="19">
        <v>0</v>
      </c>
      <c r="EB136" s="19">
        <v>0</v>
      </c>
      <c r="EC136" s="19">
        <v>0</v>
      </c>
      <c r="ED136" s="19">
        <v>0</v>
      </c>
      <c r="EE136" s="19">
        <v>0</v>
      </c>
      <c r="EF136" s="19">
        <v>0</v>
      </c>
      <c r="EG136" s="19">
        <v>0</v>
      </c>
      <c r="EH136" s="19">
        <v>0</v>
      </c>
      <c r="EI136" s="19">
        <v>0</v>
      </c>
      <c r="EJ136" s="19">
        <v>0</v>
      </c>
      <c r="EK136" s="19">
        <v>0</v>
      </c>
    </row>
    <row r="137" spans="1:141">
      <c r="A137" t="s">
        <v>832</v>
      </c>
      <c r="B137" t="s">
        <v>1499</v>
      </c>
      <c r="C137" t="s">
        <v>860</v>
      </c>
      <c r="D137" t="s">
        <v>1369</v>
      </c>
      <c r="E137">
        <v>0</v>
      </c>
      <c r="F137" t="s">
        <v>237</v>
      </c>
      <c r="G137" t="s">
        <v>238</v>
      </c>
      <c r="H137" t="s">
        <v>595</v>
      </c>
      <c r="I137">
        <v>355</v>
      </c>
      <c r="J137">
        <v>0</v>
      </c>
      <c r="K137" t="s">
        <v>859</v>
      </c>
      <c r="L137" t="s">
        <v>295</v>
      </c>
      <c r="M137" t="s">
        <v>297</v>
      </c>
      <c r="N137" t="s">
        <v>293</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f t="shared" si="121"/>
        <v>0</v>
      </c>
      <c r="AZ137">
        <v>0</v>
      </c>
      <c r="BA137">
        <v>0</v>
      </c>
      <c r="BC137">
        <v>0</v>
      </c>
      <c r="BF137">
        <v>0</v>
      </c>
      <c r="BG137">
        <v>0</v>
      </c>
      <c r="BH137">
        <v>0</v>
      </c>
      <c r="BI137">
        <v>0</v>
      </c>
      <c r="BJ137">
        <v>0</v>
      </c>
      <c r="BK137">
        <v>0</v>
      </c>
      <c r="BL137" s="19">
        <v>0</v>
      </c>
      <c r="BM137" s="19">
        <v>0</v>
      </c>
      <c r="BN137" s="19">
        <v>0</v>
      </c>
      <c r="BO137" s="19">
        <v>0</v>
      </c>
      <c r="BP137" s="19">
        <v>0</v>
      </c>
      <c r="BQ137" s="19">
        <v>0</v>
      </c>
      <c r="BR137" s="19">
        <v>0</v>
      </c>
      <c r="BS137" s="19">
        <v>0</v>
      </c>
      <c r="BT137" s="19">
        <v>0</v>
      </c>
      <c r="BU137" s="19">
        <v>0</v>
      </c>
      <c r="BV137" s="19">
        <v>0</v>
      </c>
      <c r="BW137" s="19">
        <v>2.2000000000000001E-3</v>
      </c>
      <c r="BX137" s="19">
        <v>2.8000000000000001E-2</v>
      </c>
      <c r="BY137" s="19">
        <v>17</v>
      </c>
      <c r="BZ137" s="19">
        <v>18</v>
      </c>
      <c r="CA137" s="19">
        <v>630</v>
      </c>
      <c r="CB137" s="19">
        <v>0</v>
      </c>
      <c r="CC137" s="19">
        <v>0</v>
      </c>
      <c r="CD137" s="19">
        <v>0</v>
      </c>
      <c r="CE137" s="19">
        <v>0</v>
      </c>
      <c r="CF137" s="19">
        <v>0</v>
      </c>
      <c r="CG137" s="19">
        <v>0</v>
      </c>
      <c r="CH137" s="19">
        <v>0</v>
      </c>
      <c r="CI137" s="19">
        <v>140</v>
      </c>
      <c r="CJ137" s="19">
        <v>6.8999999999999999E-3</v>
      </c>
      <c r="CK137" s="19">
        <v>100</v>
      </c>
      <c r="CL137" s="19">
        <v>360</v>
      </c>
      <c r="CM137" s="19">
        <v>0</v>
      </c>
      <c r="CN137" s="19">
        <v>290</v>
      </c>
      <c r="CO137" s="19">
        <v>0</v>
      </c>
      <c r="CP137" s="19">
        <v>0</v>
      </c>
      <c r="CQ137" s="19">
        <v>0</v>
      </c>
      <c r="CR137" s="19">
        <v>0</v>
      </c>
      <c r="CS137" s="19">
        <v>0</v>
      </c>
      <c r="CT137" s="19">
        <v>2.5000000000000001E-3</v>
      </c>
      <c r="CU137" s="19">
        <v>0</v>
      </c>
      <c r="CV137" s="19">
        <v>530</v>
      </c>
      <c r="CW137" s="19">
        <v>980</v>
      </c>
      <c r="CX137" s="19">
        <v>0</v>
      </c>
      <c r="CY137" s="19">
        <v>0</v>
      </c>
      <c r="CZ137" s="19">
        <v>0</v>
      </c>
      <c r="DA137" s="19">
        <v>0</v>
      </c>
      <c r="DB137" s="19">
        <v>0</v>
      </c>
      <c r="DC137" s="19">
        <v>0</v>
      </c>
      <c r="DD137" s="19">
        <v>0</v>
      </c>
      <c r="DE137" s="19">
        <v>0</v>
      </c>
      <c r="DF137" s="19">
        <v>0</v>
      </c>
      <c r="DG137" s="19">
        <v>0</v>
      </c>
      <c r="DH137" s="19">
        <v>0</v>
      </c>
      <c r="DI137" s="19">
        <v>0</v>
      </c>
      <c r="DJ137" s="19">
        <v>0</v>
      </c>
      <c r="DK137" s="19">
        <v>0</v>
      </c>
      <c r="DL137" s="19">
        <v>1E-3</v>
      </c>
      <c r="DM137" s="19">
        <v>60</v>
      </c>
      <c r="DN137" s="19">
        <v>0</v>
      </c>
      <c r="DO137" s="19">
        <v>0</v>
      </c>
      <c r="DP137" s="19">
        <v>0</v>
      </c>
      <c r="DQ137" s="19">
        <v>0</v>
      </c>
      <c r="DR137" s="19">
        <v>0</v>
      </c>
      <c r="DS137" s="19">
        <v>0</v>
      </c>
      <c r="DT137" s="19">
        <v>0</v>
      </c>
      <c r="DU137" s="19"/>
      <c r="DV137" s="19"/>
      <c r="DW137" s="19"/>
      <c r="DX137" s="19">
        <v>0</v>
      </c>
      <c r="DY137" s="19">
        <v>0</v>
      </c>
      <c r="DZ137" s="19">
        <v>0</v>
      </c>
      <c r="EA137" s="19">
        <v>0</v>
      </c>
      <c r="EB137" s="19">
        <v>0</v>
      </c>
      <c r="EC137" s="19">
        <v>0</v>
      </c>
      <c r="ED137" s="19">
        <v>0</v>
      </c>
      <c r="EE137" s="19">
        <v>0</v>
      </c>
      <c r="EF137" s="19">
        <v>0</v>
      </c>
      <c r="EG137" s="19">
        <v>0</v>
      </c>
      <c r="EH137" s="19">
        <v>0</v>
      </c>
      <c r="EI137" s="19">
        <v>0</v>
      </c>
      <c r="EJ137" s="19">
        <v>0</v>
      </c>
      <c r="EK137" s="19">
        <v>0</v>
      </c>
    </row>
    <row r="138" spans="1:141">
      <c r="A138" t="s">
        <v>832</v>
      </c>
      <c r="B138" t="s">
        <v>1499</v>
      </c>
      <c r="C138" t="s">
        <v>860</v>
      </c>
      <c r="D138" t="s">
        <v>1369</v>
      </c>
      <c r="E138">
        <v>0</v>
      </c>
      <c r="F138" t="s">
        <v>237</v>
      </c>
      <c r="G138" t="s">
        <v>238</v>
      </c>
      <c r="H138" t="s">
        <v>595</v>
      </c>
      <c r="I138">
        <v>355</v>
      </c>
      <c r="J138">
        <v>0</v>
      </c>
      <c r="K138" t="s">
        <v>859</v>
      </c>
      <c r="L138" t="s">
        <v>299</v>
      </c>
      <c r="M138" t="s">
        <v>298</v>
      </c>
      <c r="N138" t="s">
        <v>300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f t="shared" si="121"/>
        <v>0</v>
      </c>
      <c r="AZ138">
        <v>0</v>
      </c>
      <c r="BA138">
        <v>0</v>
      </c>
      <c r="BC138">
        <v>0</v>
      </c>
      <c r="BF138">
        <v>0</v>
      </c>
      <c r="BG138">
        <v>0</v>
      </c>
      <c r="BH138">
        <v>0</v>
      </c>
      <c r="BI138">
        <v>0</v>
      </c>
      <c r="BJ138">
        <v>0</v>
      </c>
      <c r="BK138">
        <v>0</v>
      </c>
      <c r="BL138" s="19">
        <v>0</v>
      </c>
      <c r="BM138" s="19">
        <v>0</v>
      </c>
      <c r="BN138" s="19" t="s">
        <v>306</v>
      </c>
      <c r="BO138" s="19">
        <v>0</v>
      </c>
      <c r="BP138" s="19">
        <v>0</v>
      </c>
      <c r="BQ138" s="19">
        <v>0</v>
      </c>
      <c r="BR138" s="19">
        <v>0</v>
      </c>
      <c r="BS138" s="19">
        <v>641</v>
      </c>
      <c r="BT138" s="19">
        <v>26</v>
      </c>
      <c r="BU138" s="19">
        <v>4.5</v>
      </c>
      <c r="BV138" s="19">
        <v>2.5</v>
      </c>
      <c r="BW138" s="19">
        <v>1</v>
      </c>
      <c r="BX138" s="19">
        <v>35</v>
      </c>
      <c r="BY138" s="19">
        <v>30</v>
      </c>
      <c r="BZ138" s="19" t="s">
        <v>277</v>
      </c>
      <c r="CA138" s="19" t="s">
        <v>277</v>
      </c>
      <c r="CB138" s="19">
        <v>0</v>
      </c>
      <c r="CC138" s="19">
        <v>0</v>
      </c>
      <c r="CD138" s="19">
        <v>0</v>
      </c>
      <c r="CE138" s="19">
        <v>0</v>
      </c>
      <c r="CF138" s="19">
        <v>0</v>
      </c>
      <c r="CG138" s="19">
        <v>0</v>
      </c>
      <c r="CH138" s="19">
        <v>0</v>
      </c>
      <c r="CI138" s="19">
        <v>1.5</v>
      </c>
      <c r="CJ138" s="19">
        <v>1.5</v>
      </c>
      <c r="CK138" s="19" t="s">
        <v>269</v>
      </c>
      <c r="CL138" s="19" t="s">
        <v>281</v>
      </c>
      <c r="CM138" s="19">
        <v>0</v>
      </c>
      <c r="CN138" s="19">
        <v>0</v>
      </c>
      <c r="CO138" s="19">
        <v>0</v>
      </c>
      <c r="CP138" s="19">
        <v>0</v>
      </c>
      <c r="CQ138" s="19">
        <v>0</v>
      </c>
      <c r="CR138" s="19">
        <v>0</v>
      </c>
      <c r="CS138" s="19">
        <v>0</v>
      </c>
      <c r="CT138" s="19" t="s">
        <v>311</v>
      </c>
      <c r="CU138" s="19">
        <v>0</v>
      </c>
      <c r="CV138" s="19">
        <v>0</v>
      </c>
      <c r="CW138" s="19">
        <v>0</v>
      </c>
      <c r="CX138" s="19">
        <v>0</v>
      </c>
      <c r="CY138" s="19">
        <v>0</v>
      </c>
      <c r="CZ138" s="19">
        <v>0</v>
      </c>
      <c r="DA138" s="19">
        <v>0</v>
      </c>
      <c r="DB138" s="19">
        <v>0</v>
      </c>
      <c r="DC138" s="19">
        <v>0</v>
      </c>
      <c r="DD138" s="19">
        <v>0</v>
      </c>
      <c r="DE138" s="19">
        <v>0</v>
      </c>
      <c r="DF138" s="19">
        <v>0</v>
      </c>
      <c r="DG138" s="19">
        <v>0</v>
      </c>
      <c r="DH138" s="19">
        <v>0</v>
      </c>
      <c r="DI138" s="19">
        <v>0</v>
      </c>
      <c r="DJ138" s="19">
        <v>0</v>
      </c>
      <c r="DK138" s="19">
        <v>0</v>
      </c>
      <c r="DL138" s="19">
        <v>0</v>
      </c>
      <c r="DM138" s="19">
        <v>0</v>
      </c>
      <c r="DN138" s="19">
        <v>0</v>
      </c>
      <c r="DO138" s="19">
        <v>0</v>
      </c>
      <c r="DP138" s="19">
        <v>0</v>
      </c>
      <c r="DQ138" s="19">
        <v>0</v>
      </c>
      <c r="DR138" s="19">
        <v>0</v>
      </c>
      <c r="DS138" s="19">
        <v>0</v>
      </c>
      <c r="DT138" s="19">
        <v>0</v>
      </c>
      <c r="DU138" s="19"/>
      <c r="DV138" s="19"/>
      <c r="DW138" s="19"/>
      <c r="DX138" s="19">
        <v>0</v>
      </c>
      <c r="DY138" s="19">
        <v>0</v>
      </c>
      <c r="DZ138" s="19">
        <v>0</v>
      </c>
      <c r="EA138" s="19">
        <v>0</v>
      </c>
      <c r="EB138" s="19">
        <v>0</v>
      </c>
      <c r="EC138" s="19">
        <v>0</v>
      </c>
      <c r="ED138" s="19">
        <v>0</v>
      </c>
      <c r="EE138" s="19">
        <v>0</v>
      </c>
      <c r="EF138" s="19">
        <v>0</v>
      </c>
      <c r="EG138" s="19">
        <v>0</v>
      </c>
      <c r="EH138" s="19">
        <v>0</v>
      </c>
      <c r="EI138" s="19">
        <v>0</v>
      </c>
      <c r="EJ138" s="19">
        <v>0</v>
      </c>
      <c r="EK138" s="19">
        <v>0</v>
      </c>
    </row>
    <row r="139" spans="1:141">
      <c r="A139" t="s">
        <v>832</v>
      </c>
      <c r="B139" t="s">
        <v>1499</v>
      </c>
      <c r="C139" t="s">
        <v>860</v>
      </c>
      <c r="D139" t="s">
        <v>1369</v>
      </c>
      <c r="E139">
        <v>0</v>
      </c>
      <c r="F139" t="s">
        <v>237</v>
      </c>
      <c r="G139" t="s">
        <v>238</v>
      </c>
      <c r="H139" t="s">
        <v>595</v>
      </c>
      <c r="I139">
        <v>355</v>
      </c>
      <c r="J139">
        <v>0</v>
      </c>
      <c r="K139" t="s">
        <v>859</v>
      </c>
      <c r="L139" t="s">
        <v>299</v>
      </c>
      <c r="M139" t="s">
        <v>302</v>
      </c>
      <c r="N139" t="s">
        <v>301</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f t="shared" si="121"/>
        <v>0</v>
      </c>
      <c r="AZ139">
        <v>0</v>
      </c>
      <c r="BA139">
        <v>0</v>
      </c>
      <c r="BC139">
        <v>0</v>
      </c>
      <c r="BF139">
        <v>0</v>
      </c>
      <c r="BG139">
        <v>0</v>
      </c>
      <c r="BH139">
        <v>0</v>
      </c>
      <c r="BI139">
        <v>0</v>
      </c>
      <c r="BJ139">
        <v>0</v>
      </c>
      <c r="BK139">
        <v>0</v>
      </c>
      <c r="BL139" s="19">
        <v>0</v>
      </c>
      <c r="BM139" s="19">
        <v>0</v>
      </c>
      <c r="BN139" s="19">
        <v>83</v>
      </c>
      <c r="BO139" s="19">
        <v>0</v>
      </c>
      <c r="BP139" s="19">
        <v>0</v>
      </c>
      <c r="BQ139" s="19">
        <v>0</v>
      </c>
      <c r="BR139" s="19">
        <v>0</v>
      </c>
      <c r="BS139" s="19">
        <v>1010</v>
      </c>
      <c r="BT139" s="19">
        <v>56</v>
      </c>
      <c r="BU139" s="19">
        <v>42</v>
      </c>
      <c r="BV139" s="19">
        <v>13</v>
      </c>
      <c r="BW139" s="19">
        <v>3.4</v>
      </c>
      <c r="BX139" s="19">
        <v>112</v>
      </c>
      <c r="BY139" s="19">
        <v>2.6</v>
      </c>
      <c r="BZ139" s="19">
        <v>1</v>
      </c>
      <c r="CA139" s="19" t="s">
        <v>274</v>
      </c>
      <c r="CB139" s="19">
        <v>0</v>
      </c>
      <c r="CC139" s="19">
        <v>0</v>
      </c>
      <c r="CD139" s="19">
        <v>0</v>
      </c>
      <c r="CE139" s="19">
        <v>0</v>
      </c>
      <c r="CF139" s="19">
        <v>0</v>
      </c>
      <c r="CG139" s="19">
        <v>0</v>
      </c>
      <c r="CH139" s="19">
        <v>0</v>
      </c>
      <c r="CI139" s="19">
        <v>3.2</v>
      </c>
      <c r="CJ139" s="19">
        <v>46</v>
      </c>
      <c r="CK139" s="19" t="s">
        <v>282</v>
      </c>
      <c r="CL139" s="19" t="s">
        <v>307</v>
      </c>
      <c r="CM139" s="19">
        <v>0</v>
      </c>
      <c r="CN139" s="19">
        <v>0</v>
      </c>
      <c r="CO139" s="19">
        <v>0</v>
      </c>
      <c r="CP139" s="19">
        <v>0</v>
      </c>
      <c r="CQ139" s="19">
        <v>0</v>
      </c>
      <c r="CR139" s="19">
        <v>0</v>
      </c>
      <c r="CS139" s="19">
        <v>0</v>
      </c>
      <c r="CT139" s="19" t="s">
        <v>311</v>
      </c>
      <c r="CU139" s="19">
        <v>0</v>
      </c>
      <c r="CV139" s="19">
        <v>0</v>
      </c>
      <c r="CW139" s="19">
        <v>0</v>
      </c>
      <c r="CX139" s="19">
        <v>0</v>
      </c>
      <c r="CY139" s="19">
        <v>0</v>
      </c>
      <c r="CZ139" s="19">
        <v>0</v>
      </c>
      <c r="DA139" s="19">
        <v>0</v>
      </c>
      <c r="DB139" s="19">
        <v>0</v>
      </c>
      <c r="DC139" s="19">
        <v>0</v>
      </c>
      <c r="DD139" s="19">
        <v>0</v>
      </c>
      <c r="DE139" s="19">
        <v>0</v>
      </c>
      <c r="DF139" s="19">
        <v>0</v>
      </c>
      <c r="DG139" s="19">
        <v>0</v>
      </c>
      <c r="DH139" s="19">
        <v>0</v>
      </c>
      <c r="DI139" s="19">
        <v>0</v>
      </c>
      <c r="DJ139" s="19">
        <v>0</v>
      </c>
      <c r="DK139" s="19">
        <v>0</v>
      </c>
      <c r="DL139" s="19" t="s">
        <v>307</v>
      </c>
      <c r="DM139" s="19">
        <v>0</v>
      </c>
      <c r="DN139" s="19">
        <v>0</v>
      </c>
      <c r="DO139" s="19">
        <v>0</v>
      </c>
      <c r="DP139" s="19">
        <v>0</v>
      </c>
      <c r="DQ139" s="19">
        <v>0</v>
      </c>
      <c r="DR139" s="19">
        <v>0</v>
      </c>
      <c r="DS139" s="19">
        <v>0</v>
      </c>
      <c r="DT139" s="19">
        <v>0</v>
      </c>
      <c r="DU139" s="19"/>
      <c r="DV139" s="19"/>
      <c r="DW139" s="19"/>
      <c r="DX139" s="19">
        <v>0</v>
      </c>
      <c r="DY139" s="19">
        <v>0</v>
      </c>
      <c r="DZ139" s="19">
        <v>0</v>
      </c>
      <c r="EA139" s="19">
        <v>0</v>
      </c>
      <c r="EB139" s="19">
        <v>0</v>
      </c>
      <c r="EC139" s="19">
        <v>0</v>
      </c>
      <c r="ED139" s="19">
        <v>0</v>
      </c>
      <c r="EE139" s="19">
        <v>0</v>
      </c>
      <c r="EF139" s="19">
        <v>0</v>
      </c>
      <c r="EG139" s="19">
        <v>0</v>
      </c>
      <c r="EH139" s="19">
        <v>0</v>
      </c>
      <c r="EI139" s="19">
        <v>0</v>
      </c>
      <c r="EJ139" s="19">
        <v>0</v>
      </c>
      <c r="EK139" s="19">
        <v>0</v>
      </c>
    </row>
    <row r="140" spans="1:141">
      <c r="A140" t="s">
        <v>832</v>
      </c>
      <c r="B140" t="s">
        <v>1499</v>
      </c>
      <c r="C140" t="s">
        <v>860</v>
      </c>
      <c r="D140" t="s">
        <v>1369</v>
      </c>
      <c r="E140">
        <v>0</v>
      </c>
      <c r="F140" t="s">
        <v>237</v>
      </c>
      <c r="G140" t="s">
        <v>238</v>
      </c>
      <c r="H140" t="s">
        <v>595</v>
      </c>
      <c r="I140">
        <v>355</v>
      </c>
      <c r="J140">
        <v>0</v>
      </c>
      <c r="K140" t="s">
        <v>859</v>
      </c>
      <c r="L140" t="s">
        <v>247</v>
      </c>
      <c r="M140" t="s">
        <v>298</v>
      </c>
      <c r="N140" t="s">
        <v>303</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f t="shared" si="121"/>
        <v>0</v>
      </c>
      <c r="AZ140">
        <v>0</v>
      </c>
      <c r="BA140">
        <v>0</v>
      </c>
      <c r="BC140">
        <v>0</v>
      </c>
      <c r="BF140">
        <v>0</v>
      </c>
      <c r="BG140">
        <v>0</v>
      </c>
      <c r="BH140">
        <v>0</v>
      </c>
      <c r="BI140">
        <v>0</v>
      </c>
      <c r="BJ140">
        <v>0</v>
      </c>
      <c r="BK140">
        <v>0</v>
      </c>
      <c r="BL140" s="19" t="s">
        <v>260</v>
      </c>
      <c r="BM140" s="19" t="s">
        <v>305</v>
      </c>
      <c r="BN140" s="19">
        <v>50</v>
      </c>
      <c r="BO140" s="19">
        <v>0</v>
      </c>
      <c r="BP140" s="19">
        <v>0</v>
      </c>
      <c r="BQ140" s="19">
        <v>0</v>
      </c>
      <c r="BR140" s="19">
        <v>0</v>
      </c>
      <c r="BS140" s="19">
        <v>75</v>
      </c>
      <c r="BT140" s="19">
        <v>80</v>
      </c>
      <c r="BU140" s="19">
        <v>9</v>
      </c>
      <c r="BV140" s="19">
        <v>2</v>
      </c>
      <c r="BW140" s="19" t="s">
        <v>269</v>
      </c>
      <c r="BX140" s="19">
        <v>23</v>
      </c>
      <c r="BY140" s="19">
        <v>2</v>
      </c>
      <c r="BZ140" s="19">
        <v>2</v>
      </c>
      <c r="CA140" s="19" t="s">
        <v>272</v>
      </c>
      <c r="CB140" s="19">
        <v>0</v>
      </c>
      <c r="CC140" s="19">
        <v>0</v>
      </c>
      <c r="CD140" s="19">
        <v>0</v>
      </c>
      <c r="CE140" s="19">
        <v>0</v>
      </c>
      <c r="CF140" s="19">
        <v>0</v>
      </c>
      <c r="CG140" s="19">
        <v>0</v>
      </c>
      <c r="CH140" s="19">
        <v>0</v>
      </c>
      <c r="CI140" s="19">
        <v>1</v>
      </c>
      <c r="CJ140" s="19">
        <v>1.2</v>
      </c>
      <c r="CK140" s="19" t="s">
        <v>269</v>
      </c>
      <c r="CL140" s="19" t="s">
        <v>280</v>
      </c>
      <c r="CM140" s="19">
        <v>0</v>
      </c>
      <c r="CN140" s="19" t="s">
        <v>282</v>
      </c>
      <c r="CO140" s="19">
        <v>0</v>
      </c>
      <c r="CP140" s="19">
        <v>0</v>
      </c>
      <c r="CQ140" s="19">
        <v>0</v>
      </c>
      <c r="CR140" s="19">
        <v>0</v>
      </c>
      <c r="CS140" s="19">
        <v>0</v>
      </c>
      <c r="CT140" s="19" t="s">
        <v>308</v>
      </c>
      <c r="CU140" s="19">
        <v>0</v>
      </c>
      <c r="CV140" s="19">
        <v>0</v>
      </c>
      <c r="CW140" s="19">
        <v>0</v>
      </c>
      <c r="CX140" s="19">
        <v>0</v>
      </c>
      <c r="CY140" s="19">
        <v>0</v>
      </c>
      <c r="CZ140" s="19">
        <v>0</v>
      </c>
      <c r="DA140" s="19">
        <v>0</v>
      </c>
      <c r="DB140" s="19">
        <v>0</v>
      </c>
      <c r="DC140" s="19">
        <v>0</v>
      </c>
      <c r="DD140" s="19">
        <v>0</v>
      </c>
      <c r="DE140" s="19">
        <v>0</v>
      </c>
      <c r="DF140" s="19">
        <v>0</v>
      </c>
      <c r="DG140" s="19">
        <v>0</v>
      </c>
      <c r="DH140" s="19">
        <v>0</v>
      </c>
      <c r="DI140" s="19">
        <v>0</v>
      </c>
      <c r="DJ140" s="19">
        <v>0</v>
      </c>
      <c r="DK140" s="19">
        <v>0</v>
      </c>
      <c r="DL140" s="19">
        <v>0</v>
      </c>
      <c r="DM140" s="19">
        <v>0</v>
      </c>
      <c r="DN140" s="19">
        <v>0</v>
      </c>
      <c r="DO140" s="19">
        <v>0</v>
      </c>
      <c r="DP140" s="19">
        <v>0</v>
      </c>
      <c r="DQ140" s="19">
        <v>0</v>
      </c>
      <c r="DR140" s="19">
        <v>0</v>
      </c>
      <c r="DS140" s="19">
        <v>0</v>
      </c>
      <c r="DT140" s="19">
        <v>0</v>
      </c>
      <c r="DU140" s="19"/>
      <c r="DV140" s="19"/>
      <c r="DW140" s="19"/>
      <c r="DX140" s="19">
        <v>0</v>
      </c>
      <c r="DY140" s="19">
        <v>0</v>
      </c>
      <c r="DZ140" s="19">
        <v>0</v>
      </c>
      <c r="EA140" s="19">
        <v>0</v>
      </c>
      <c r="EB140" s="19">
        <v>0</v>
      </c>
      <c r="EC140" s="19">
        <v>0</v>
      </c>
      <c r="ED140" s="19">
        <v>0</v>
      </c>
      <c r="EE140" s="19">
        <v>0</v>
      </c>
      <c r="EF140" s="19">
        <v>0</v>
      </c>
      <c r="EG140" s="19">
        <v>0</v>
      </c>
      <c r="EH140" s="19">
        <v>0</v>
      </c>
      <c r="EI140" s="19">
        <v>0</v>
      </c>
      <c r="EJ140" s="19">
        <v>0</v>
      </c>
      <c r="EK140" s="19">
        <v>0</v>
      </c>
    </row>
    <row r="141" spans="1:141">
      <c r="A141" t="s">
        <v>832</v>
      </c>
      <c r="B141" t="s">
        <v>1499</v>
      </c>
      <c r="C141" t="s">
        <v>860</v>
      </c>
      <c r="D141" t="s">
        <v>1369</v>
      </c>
      <c r="E141">
        <v>0</v>
      </c>
      <c r="F141" t="s">
        <v>237</v>
      </c>
      <c r="G141" t="s">
        <v>238</v>
      </c>
      <c r="H141" t="s">
        <v>595</v>
      </c>
      <c r="I141">
        <v>355</v>
      </c>
      <c r="J141">
        <v>0</v>
      </c>
      <c r="K141" t="s">
        <v>859</v>
      </c>
      <c r="L141" t="s">
        <v>247</v>
      </c>
      <c r="M141" t="s">
        <v>302</v>
      </c>
      <c r="N141" t="s">
        <v>304</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f t="shared" si="121"/>
        <v>0</v>
      </c>
      <c r="AZ141">
        <v>0</v>
      </c>
      <c r="BA141">
        <v>0</v>
      </c>
      <c r="BC141">
        <v>0</v>
      </c>
      <c r="BF141">
        <v>0</v>
      </c>
      <c r="BG141">
        <v>0</v>
      </c>
      <c r="BH141">
        <v>0</v>
      </c>
      <c r="BI141">
        <v>0</v>
      </c>
      <c r="BJ141">
        <v>0</v>
      </c>
      <c r="BK141">
        <v>0</v>
      </c>
      <c r="BL141" s="19">
        <v>2.5999999999999999E-2</v>
      </c>
      <c r="BM141" s="19" t="s">
        <v>305</v>
      </c>
      <c r="BN141" s="19">
        <v>70</v>
      </c>
      <c r="BO141" s="19">
        <v>0</v>
      </c>
      <c r="BP141" s="19">
        <v>0</v>
      </c>
      <c r="BQ141" s="19">
        <v>0</v>
      </c>
      <c r="BR141" s="19">
        <v>0</v>
      </c>
      <c r="BS141" s="19">
        <v>190</v>
      </c>
      <c r="BT141" s="19">
        <v>235</v>
      </c>
      <c r="BU141" s="19">
        <v>9</v>
      </c>
      <c r="BV141" s="19">
        <v>450</v>
      </c>
      <c r="BW141" s="19">
        <v>395</v>
      </c>
      <c r="BX141" s="19">
        <v>3.1E-2</v>
      </c>
      <c r="BY141" s="19">
        <v>2.0999999999999999E-3</v>
      </c>
      <c r="BZ141" s="19" t="s">
        <v>266</v>
      </c>
      <c r="CA141" s="19" t="s">
        <v>266</v>
      </c>
      <c r="CB141" s="19">
        <v>0</v>
      </c>
      <c r="CC141" s="19">
        <v>0</v>
      </c>
      <c r="CD141" s="19">
        <v>0</v>
      </c>
      <c r="CE141" s="19">
        <v>0</v>
      </c>
      <c r="CF141" s="19">
        <v>0</v>
      </c>
      <c r="CG141" s="19">
        <v>0</v>
      </c>
      <c r="CH141" s="19">
        <v>0</v>
      </c>
      <c r="CI141" s="19">
        <v>0</v>
      </c>
      <c r="CJ141" s="19">
        <v>0</v>
      </c>
      <c r="CK141" s="19">
        <v>0</v>
      </c>
      <c r="CL141" s="19">
        <v>0</v>
      </c>
      <c r="CM141" s="19">
        <v>0</v>
      </c>
      <c r="CN141" s="19">
        <v>0</v>
      </c>
      <c r="CO141" s="19">
        <v>0</v>
      </c>
      <c r="CP141" s="19">
        <v>0</v>
      </c>
      <c r="CQ141" s="19">
        <v>0</v>
      </c>
      <c r="CR141" s="19">
        <v>0</v>
      </c>
      <c r="CS141" s="19">
        <v>0</v>
      </c>
      <c r="CT141" s="19">
        <v>0</v>
      </c>
      <c r="CU141" s="19">
        <v>0</v>
      </c>
      <c r="CV141" s="19">
        <v>0</v>
      </c>
      <c r="CW141" s="19">
        <v>0</v>
      </c>
      <c r="CX141" s="19">
        <v>0</v>
      </c>
      <c r="CY141" s="19">
        <v>0</v>
      </c>
      <c r="CZ141" s="19">
        <v>0</v>
      </c>
      <c r="DA141" s="19">
        <v>0</v>
      </c>
      <c r="DB141" s="19">
        <v>0</v>
      </c>
      <c r="DC141" s="19">
        <v>0</v>
      </c>
      <c r="DD141" s="19">
        <v>0</v>
      </c>
      <c r="DE141" s="19">
        <v>0</v>
      </c>
      <c r="DF141" s="19">
        <v>0</v>
      </c>
      <c r="DG141" s="19">
        <v>0</v>
      </c>
      <c r="DH141" s="19">
        <v>0</v>
      </c>
      <c r="DI141" s="19">
        <v>0</v>
      </c>
      <c r="DJ141" s="19">
        <v>0</v>
      </c>
      <c r="DK141" s="19">
        <v>0</v>
      </c>
      <c r="DL141" s="19">
        <v>0</v>
      </c>
      <c r="DM141" s="19">
        <v>0</v>
      </c>
      <c r="DN141" s="19">
        <v>0</v>
      </c>
      <c r="DO141" s="19">
        <v>0</v>
      </c>
      <c r="DP141" s="19">
        <v>0</v>
      </c>
      <c r="DQ141" s="19">
        <v>0</v>
      </c>
      <c r="DR141" s="19">
        <v>0</v>
      </c>
      <c r="DS141" s="19">
        <v>0</v>
      </c>
      <c r="DT141" s="19">
        <v>0</v>
      </c>
      <c r="DU141" s="19"/>
      <c r="DV141" s="19"/>
      <c r="DW141" s="19"/>
      <c r="DX141" s="19">
        <v>0</v>
      </c>
      <c r="DY141" s="19">
        <v>0</v>
      </c>
      <c r="DZ141" s="19">
        <v>0</v>
      </c>
      <c r="EA141" s="19">
        <v>0</v>
      </c>
      <c r="EB141" s="19">
        <v>0</v>
      </c>
      <c r="EC141" s="19">
        <v>0</v>
      </c>
      <c r="ED141" s="19">
        <v>0</v>
      </c>
      <c r="EE141" s="19">
        <v>0</v>
      </c>
      <c r="EF141" s="19">
        <v>0</v>
      </c>
      <c r="EG141" s="19">
        <v>0</v>
      </c>
      <c r="EH141" s="19">
        <v>0</v>
      </c>
      <c r="EI141" s="19">
        <v>0</v>
      </c>
      <c r="EJ141" s="19">
        <v>0</v>
      </c>
      <c r="EK141" s="19">
        <v>0</v>
      </c>
    </row>
    <row r="142" spans="1:141">
      <c r="A142" t="s">
        <v>832</v>
      </c>
      <c r="B142" t="s">
        <v>1499</v>
      </c>
      <c r="C142" t="s">
        <v>860</v>
      </c>
      <c r="D142" t="s">
        <v>1369</v>
      </c>
      <c r="E142">
        <v>0</v>
      </c>
      <c r="F142" t="s">
        <v>237</v>
      </c>
      <c r="G142" t="s">
        <v>163</v>
      </c>
      <c r="H142" t="s">
        <v>595</v>
      </c>
      <c r="I142">
        <v>355</v>
      </c>
      <c r="J142">
        <v>0</v>
      </c>
      <c r="K142" t="s">
        <v>859</v>
      </c>
      <c r="L142" t="s">
        <v>248</v>
      </c>
      <c r="M142" t="s">
        <v>242</v>
      </c>
      <c r="N142">
        <v>3615</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f t="shared" si="121"/>
        <v>0</v>
      </c>
      <c r="AZ142">
        <v>0</v>
      </c>
      <c r="BA142">
        <v>0</v>
      </c>
      <c r="BC142">
        <v>0</v>
      </c>
      <c r="BF142">
        <v>0</v>
      </c>
      <c r="BG142">
        <v>0</v>
      </c>
      <c r="BH142">
        <v>0</v>
      </c>
      <c r="BI142">
        <v>0</v>
      </c>
      <c r="BJ142">
        <v>0</v>
      </c>
      <c r="BK142">
        <v>0</v>
      </c>
      <c r="BL142" s="19">
        <v>650</v>
      </c>
      <c r="BM142" s="19">
        <v>580</v>
      </c>
      <c r="BN142" s="19">
        <v>920</v>
      </c>
      <c r="BO142" s="19">
        <v>0</v>
      </c>
      <c r="BP142" s="19">
        <v>0</v>
      </c>
      <c r="BQ142" s="19">
        <v>0</v>
      </c>
      <c r="BR142" s="19">
        <v>0</v>
      </c>
      <c r="BS142" s="19">
        <v>330</v>
      </c>
      <c r="BT142" s="19">
        <v>180</v>
      </c>
      <c r="BU142" s="19">
        <v>22</v>
      </c>
      <c r="BV142" s="19">
        <v>3</v>
      </c>
      <c r="BW142" s="19">
        <v>3</v>
      </c>
      <c r="BX142" s="19">
        <v>78</v>
      </c>
      <c r="BY142" s="19">
        <v>41</v>
      </c>
      <c r="BZ142" s="19">
        <v>10</v>
      </c>
      <c r="CA142" s="19">
        <v>13</v>
      </c>
      <c r="CB142" s="19">
        <v>0</v>
      </c>
      <c r="CC142" s="19">
        <v>0</v>
      </c>
      <c r="CD142" s="19">
        <v>0</v>
      </c>
      <c r="CE142" s="19">
        <v>0</v>
      </c>
      <c r="CF142" s="19">
        <v>0</v>
      </c>
      <c r="CG142" s="19">
        <v>0</v>
      </c>
      <c r="CH142" s="19">
        <v>0</v>
      </c>
      <c r="CI142" s="19">
        <v>1</v>
      </c>
      <c r="CJ142" s="19" t="s">
        <v>269</v>
      </c>
      <c r="CK142" s="19" t="s">
        <v>269</v>
      </c>
      <c r="CL142" s="19" t="s">
        <v>269</v>
      </c>
      <c r="CM142" s="19">
        <v>0</v>
      </c>
      <c r="CN142" s="19" t="s">
        <v>282</v>
      </c>
      <c r="CO142" s="19">
        <v>0</v>
      </c>
      <c r="CP142" s="19">
        <v>0</v>
      </c>
      <c r="CQ142" s="19">
        <v>0</v>
      </c>
      <c r="CR142" s="19">
        <v>0</v>
      </c>
      <c r="CS142" s="19">
        <v>0</v>
      </c>
      <c r="CT142" s="19" t="s">
        <v>284</v>
      </c>
      <c r="CU142" s="19">
        <v>0</v>
      </c>
      <c r="CV142" s="19">
        <v>0</v>
      </c>
      <c r="CW142" s="19">
        <v>0</v>
      </c>
      <c r="CX142" s="19">
        <v>0</v>
      </c>
      <c r="CY142" s="19">
        <v>0</v>
      </c>
      <c r="CZ142" s="19">
        <v>0</v>
      </c>
      <c r="DA142" s="19">
        <v>0</v>
      </c>
      <c r="DB142" s="19">
        <v>0</v>
      </c>
      <c r="DC142" s="19">
        <v>0</v>
      </c>
      <c r="DD142" s="19">
        <v>0</v>
      </c>
      <c r="DE142" s="19">
        <v>0</v>
      </c>
      <c r="DF142" s="19">
        <v>0</v>
      </c>
      <c r="DG142" s="19">
        <v>0</v>
      </c>
      <c r="DH142" s="19">
        <v>0</v>
      </c>
      <c r="DI142" s="19">
        <v>0</v>
      </c>
      <c r="DJ142" s="19">
        <v>0</v>
      </c>
      <c r="DK142" s="19">
        <v>0</v>
      </c>
      <c r="DL142" s="19">
        <v>0</v>
      </c>
      <c r="DM142" s="19">
        <v>0</v>
      </c>
      <c r="DN142" s="19">
        <v>0</v>
      </c>
      <c r="DO142" s="19">
        <v>0</v>
      </c>
      <c r="DP142" s="19">
        <v>0</v>
      </c>
      <c r="DQ142" s="19">
        <v>0</v>
      </c>
      <c r="DR142" s="19">
        <v>0</v>
      </c>
      <c r="DS142" s="19">
        <v>0</v>
      </c>
      <c r="DT142" s="19">
        <v>0</v>
      </c>
      <c r="DU142" s="19"/>
      <c r="DV142" s="19"/>
      <c r="DW142" s="19"/>
      <c r="DX142" s="19">
        <v>0</v>
      </c>
      <c r="DY142" s="19">
        <v>0</v>
      </c>
      <c r="DZ142" s="19">
        <v>0</v>
      </c>
      <c r="EA142" s="19">
        <v>0</v>
      </c>
      <c r="EB142" s="19">
        <v>0</v>
      </c>
      <c r="EC142" s="19">
        <v>0</v>
      </c>
      <c r="ED142" s="19">
        <v>0</v>
      </c>
      <c r="EE142" s="19">
        <v>0</v>
      </c>
      <c r="EF142" s="19">
        <v>0</v>
      </c>
      <c r="EG142" s="19">
        <v>0</v>
      </c>
      <c r="EH142" s="19">
        <v>0</v>
      </c>
      <c r="EI142" s="19">
        <v>0</v>
      </c>
      <c r="EJ142" s="19">
        <v>0</v>
      </c>
      <c r="EK142" s="19">
        <v>0</v>
      </c>
    </row>
    <row r="143" spans="1:141">
      <c r="A143" t="s">
        <v>832</v>
      </c>
      <c r="B143" t="s">
        <v>1499</v>
      </c>
      <c r="C143" t="s">
        <v>860</v>
      </c>
      <c r="D143" t="s">
        <v>1369</v>
      </c>
      <c r="E143">
        <v>0</v>
      </c>
      <c r="F143" t="s">
        <v>237</v>
      </c>
      <c r="G143" t="s">
        <v>163</v>
      </c>
      <c r="H143" t="s">
        <v>595</v>
      </c>
      <c r="I143">
        <v>355</v>
      </c>
      <c r="J143">
        <v>0</v>
      </c>
      <c r="K143" t="s">
        <v>859</v>
      </c>
      <c r="L143" t="s">
        <v>247</v>
      </c>
      <c r="M143" t="s">
        <v>242</v>
      </c>
      <c r="N143" t="s">
        <v>251</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f t="shared" si="121"/>
        <v>0</v>
      </c>
      <c r="AZ143">
        <v>0</v>
      </c>
      <c r="BA143">
        <v>0</v>
      </c>
      <c r="BC143">
        <v>0</v>
      </c>
      <c r="BF143">
        <v>0</v>
      </c>
      <c r="BG143">
        <v>0</v>
      </c>
      <c r="BH143">
        <v>0</v>
      </c>
      <c r="BI143">
        <v>0</v>
      </c>
      <c r="BJ143">
        <v>0</v>
      </c>
      <c r="BK143">
        <v>0</v>
      </c>
      <c r="BL143" s="19">
        <v>0</v>
      </c>
      <c r="BM143" s="19">
        <v>0</v>
      </c>
      <c r="BN143" s="19">
        <v>0</v>
      </c>
      <c r="BO143" s="19">
        <v>0</v>
      </c>
      <c r="BP143" s="19">
        <v>0</v>
      </c>
      <c r="BQ143" s="19">
        <v>0</v>
      </c>
      <c r="BR143" s="19">
        <v>0</v>
      </c>
      <c r="BS143" s="19" t="s">
        <v>266</v>
      </c>
      <c r="BT143" s="19">
        <v>5.5</v>
      </c>
      <c r="BU143" s="19">
        <v>3</v>
      </c>
      <c r="BV143" s="19">
        <v>1</v>
      </c>
      <c r="BW143" s="19">
        <v>1.1000000000000001</v>
      </c>
      <c r="BX143" s="19">
        <v>1</v>
      </c>
      <c r="BY143" s="19">
        <v>5.3</v>
      </c>
      <c r="BZ143" s="19" t="s">
        <v>274</v>
      </c>
      <c r="CA143" s="19" t="s">
        <v>277</v>
      </c>
      <c r="CB143" s="19">
        <v>0</v>
      </c>
      <c r="CC143" s="19">
        <v>0</v>
      </c>
      <c r="CD143" s="19">
        <v>0</v>
      </c>
      <c r="CE143" s="19">
        <v>0</v>
      </c>
      <c r="CF143" s="19">
        <v>0</v>
      </c>
      <c r="CG143" s="19">
        <v>0</v>
      </c>
      <c r="CH143" s="19">
        <v>0</v>
      </c>
      <c r="CI143" s="19" t="s">
        <v>274</v>
      </c>
      <c r="CJ143" s="19" t="s">
        <v>274</v>
      </c>
      <c r="CK143" s="19" t="s">
        <v>269</v>
      </c>
      <c r="CL143" s="19" t="s">
        <v>280</v>
      </c>
      <c r="CM143" s="19">
        <v>0</v>
      </c>
      <c r="CN143" s="19">
        <v>0</v>
      </c>
      <c r="CO143" s="19">
        <v>0</v>
      </c>
      <c r="CP143" s="19">
        <v>0</v>
      </c>
      <c r="CQ143" s="19">
        <v>0</v>
      </c>
      <c r="CR143" s="19">
        <v>0</v>
      </c>
      <c r="CS143" s="19">
        <v>0</v>
      </c>
      <c r="CT143" s="19">
        <v>0</v>
      </c>
      <c r="CU143" s="19">
        <v>0</v>
      </c>
      <c r="CV143" s="19">
        <v>0</v>
      </c>
      <c r="CW143" s="19">
        <v>0</v>
      </c>
      <c r="CX143" s="19">
        <v>0</v>
      </c>
      <c r="CY143" s="19">
        <v>0</v>
      </c>
      <c r="CZ143" s="19">
        <v>0</v>
      </c>
      <c r="DA143" s="19">
        <v>0</v>
      </c>
      <c r="DB143" s="19">
        <v>0</v>
      </c>
      <c r="DC143" s="19">
        <v>0</v>
      </c>
      <c r="DD143" s="19">
        <v>0</v>
      </c>
      <c r="DE143" s="19">
        <v>0</v>
      </c>
      <c r="DF143" s="19">
        <v>0</v>
      </c>
      <c r="DG143" s="19">
        <v>0</v>
      </c>
      <c r="DH143" s="19">
        <v>0</v>
      </c>
      <c r="DI143" s="19">
        <v>0</v>
      </c>
      <c r="DJ143" s="19">
        <v>0</v>
      </c>
      <c r="DK143" s="19">
        <v>0</v>
      </c>
      <c r="DL143" s="19">
        <v>0</v>
      </c>
      <c r="DM143" s="19">
        <v>0</v>
      </c>
      <c r="DN143" s="19">
        <v>0</v>
      </c>
      <c r="DO143" s="19">
        <v>0</v>
      </c>
      <c r="DP143" s="19">
        <v>0</v>
      </c>
      <c r="DQ143" s="19">
        <v>0</v>
      </c>
      <c r="DR143" s="19">
        <v>0</v>
      </c>
      <c r="DS143" s="19">
        <v>0</v>
      </c>
      <c r="DT143" s="19">
        <v>0</v>
      </c>
      <c r="DU143" s="19"/>
      <c r="DV143" s="19"/>
      <c r="DW143" s="19"/>
      <c r="DX143" s="19">
        <v>0</v>
      </c>
      <c r="DY143" s="19">
        <v>0</v>
      </c>
      <c r="DZ143" s="19">
        <v>0</v>
      </c>
      <c r="EA143" s="19">
        <v>0</v>
      </c>
      <c r="EB143" s="19">
        <v>0</v>
      </c>
      <c r="EC143" s="19">
        <v>0</v>
      </c>
      <c r="ED143" s="19">
        <v>0</v>
      </c>
      <c r="EE143" s="19">
        <v>0</v>
      </c>
      <c r="EF143" s="19">
        <v>0</v>
      </c>
      <c r="EG143" s="19">
        <v>0</v>
      </c>
      <c r="EH143" s="19">
        <v>0</v>
      </c>
      <c r="EI143" s="19">
        <v>0</v>
      </c>
      <c r="EJ143" s="19">
        <v>0</v>
      </c>
      <c r="EK143" s="19">
        <v>0</v>
      </c>
    </row>
    <row r="144" spans="1:141">
      <c r="A144" t="s">
        <v>832</v>
      </c>
      <c r="B144" t="s">
        <v>1499</v>
      </c>
      <c r="C144" t="s">
        <v>860</v>
      </c>
      <c r="D144" t="s">
        <v>1369</v>
      </c>
      <c r="E144">
        <v>0</v>
      </c>
      <c r="F144" t="s">
        <v>237</v>
      </c>
      <c r="G144" t="s">
        <v>163</v>
      </c>
      <c r="H144" t="s">
        <v>595</v>
      </c>
      <c r="I144">
        <v>355</v>
      </c>
      <c r="J144">
        <v>0</v>
      </c>
      <c r="K144" t="s">
        <v>859</v>
      </c>
      <c r="L144" t="s">
        <v>247</v>
      </c>
      <c r="M144" t="s">
        <v>242</v>
      </c>
      <c r="N144" t="s">
        <v>252</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f t="shared" si="121"/>
        <v>0</v>
      </c>
      <c r="AZ144">
        <v>0</v>
      </c>
      <c r="BA144">
        <v>0</v>
      </c>
      <c r="BC144">
        <v>0</v>
      </c>
      <c r="BF144">
        <v>0</v>
      </c>
      <c r="BG144">
        <v>0</v>
      </c>
      <c r="BH144">
        <v>0</v>
      </c>
      <c r="BI144">
        <v>0</v>
      </c>
      <c r="BJ144">
        <v>0</v>
      </c>
      <c r="BK144">
        <v>0</v>
      </c>
      <c r="BL144" s="19">
        <v>0</v>
      </c>
      <c r="BM144" s="19">
        <v>0</v>
      </c>
      <c r="BN144" s="19">
        <v>0</v>
      </c>
      <c r="BO144" s="19">
        <v>0</v>
      </c>
      <c r="BP144" s="19">
        <v>0</v>
      </c>
      <c r="BQ144" s="19">
        <v>0</v>
      </c>
      <c r="BR144" s="19">
        <v>0</v>
      </c>
      <c r="BS144" s="19" t="s">
        <v>266</v>
      </c>
      <c r="BT144" s="19">
        <v>6</v>
      </c>
      <c r="BU144" s="19">
        <v>2</v>
      </c>
      <c r="BV144" s="19">
        <v>1.3</v>
      </c>
      <c r="BW144" s="19">
        <v>0.8</v>
      </c>
      <c r="BX144" s="19">
        <v>1.8</v>
      </c>
      <c r="BY144" s="19">
        <v>5.3</v>
      </c>
      <c r="BZ144" s="19" t="s">
        <v>273</v>
      </c>
      <c r="CA144" s="19" t="s">
        <v>273</v>
      </c>
      <c r="CB144" s="19">
        <v>0</v>
      </c>
      <c r="CC144" s="19">
        <v>0</v>
      </c>
      <c r="CD144" s="19">
        <v>0</v>
      </c>
      <c r="CE144" s="19">
        <v>0</v>
      </c>
      <c r="CF144" s="19">
        <v>0</v>
      </c>
      <c r="CG144" s="19">
        <v>0</v>
      </c>
      <c r="CH144" s="19">
        <v>0</v>
      </c>
      <c r="CI144" s="19" t="s">
        <v>272</v>
      </c>
      <c r="CJ144" s="19" t="s">
        <v>274</v>
      </c>
      <c r="CK144" s="19" t="s">
        <v>269</v>
      </c>
      <c r="CL144" s="19" t="s">
        <v>281</v>
      </c>
      <c r="CM144" s="19">
        <v>0</v>
      </c>
      <c r="CN144" s="19">
        <v>0</v>
      </c>
      <c r="CO144" s="19">
        <v>0</v>
      </c>
      <c r="CP144" s="19">
        <v>0</v>
      </c>
      <c r="CQ144" s="19">
        <v>0</v>
      </c>
      <c r="CR144" s="19">
        <v>0</v>
      </c>
      <c r="CS144" s="19">
        <v>0</v>
      </c>
      <c r="CT144" s="19">
        <v>0</v>
      </c>
      <c r="CU144" s="19">
        <v>0</v>
      </c>
      <c r="CV144" s="19">
        <v>0</v>
      </c>
      <c r="CW144" s="19">
        <v>0</v>
      </c>
      <c r="CX144" s="19">
        <v>0</v>
      </c>
      <c r="CY144" s="19">
        <v>0</v>
      </c>
      <c r="CZ144" s="19">
        <v>0</v>
      </c>
      <c r="DA144" s="19">
        <v>0</v>
      </c>
      <c r="DB144" s="19">
        <v>0</v>
      </c>
      <c r="DC144" s="19">
        <v>0</v>
      </c>
      <c r="DD144" s="19">
        <v>0</v>
      </c>
      <c r="DE144" s="19">
        <v>0</v>
      </c>
      <c r="DF144" s="19">
        <v>0</v>
      </c>
      <c r="DG144" s="19">
        <v>0</v>
      </c>
      <c r="DH144" s="19">
        <v>0</v>
      </c>
      <c r="DI144" s="19">
        <v>0</v>
      </c>
      <c r="DJ144" s="19">
        <v>0</v>
      </c>
      <c r="DK144" s="19">
        <v>0</v>
      </c>
      <c r="DL144" s="19">
        <v>0</v>
      </c>
      <c r="DM144" s="19">
        <v>0</v>
      </c>
      <c r="DN144" s="19">
        <v>0</v>
      </c>
      <c r="DO144" s="19">
        <v>0</v>
      </c>
      <c r="DP144" s="19">
        <v>0</v>
      </c>
      <c r="DQ144" s="19">
        <v>0</v>
      </c>
      <c r="DR144" s="19">
        <v>0</v>
      </c>
      <c r="DS144" s="19">
        <v>0</v>
      </c>
      <c r="DT144" s="19">
        <v>0</v>
      </c>
      <c r="DU144" s="19"/>
      <c r="DV144" s="19"/>
      <c r="DW144" s="19"/>
      <c r="DX144" s="19">
        <v>0</v>
      </c>
      <c r="DY144" s="19">
        <v>0</v>
      </c>
      <c r="DZ144" s="19">
        <v>0</v>
      </c>
      <c r="EA144" s="19">
        <v>0</v>
      </c>
      <c r="EB144" s="19">
        <v>0</v>
      </c>
      <c r="EC144" s="19">
        <v>0</v>
      </c>
      <c r="ED144" s="19">
        <v>0</v>
      </c>
      <c r="EE144" s="19">
        <v>0</v>
      </c>
      <c r="EF144" s="19">
        <v>0</v>
      </c>
      <c r="EG144" s="19">
        <v>0</v>
      </c>
      <c r="EH144" s="19">
        <v>0</v>
      </c>
      <c r="EI144" s="19">
        <v>0</v>
      </c>
      <c r="EJ144" s="19">
        <v>0</v>
      </c>
      <c r="EK144" s="19">
        <v>0</v>
      </c>
    </row>
    <row r="145" spans="1:258">
      <c r="A145" t="s">
        <v>832</v>
      </c>
      <c r="B145" t="s">
        <v>1499</v>
      </c>
      <c r="C145" t="s">
        <v>860</v>
      </c>
      <c r="D145" t="s">
        <v>1369</v>
      </c>
      <c r="E145">
        <v>0</v>
      </c>
      <c r="F145" t="s">
        <v>237</v>
      </c>
      <c r="G145" t="s">
        <v>163</v>
      </c>
      <c r="H145" t="s">
        <v>595</v>
      </c>
      <c r="I145">
        <v>355</v>
      </c>
      <c r="J145">
        <v>0</v>
      </c>
      <c r="K145" t="s">
        <v>859</v>
      </c>
      <c r="L145" t="s">
        <v>247</v>
      </c>
      <c r="M145" t="s">
        <v>291</v>
      </c>
      <c r="N145" t="s">
        <v>289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f t="shared" si="121"/>
        <v>0</v>
      </c>
      <c r="AZ145">
        <v>0</v>
      </c>
      <c r="BA145">
        <v>0</v>
      </c>
      <c r="BC145">
        <v>0</v>
      </c>
      <c r="BF145">
        <v>0</v>
      </c>
      <c r="BG145">
        <v>0</v>
      </c>
      <c r="BH145">
        <v>0</v>
      </c>
      <c r="BI145">
        <v>0</v>
      </c>
      <c r="BJ145">
        <v>0</v>
      </c>
      <c r="BK145">
        <v>0</v>
      </c>
      <c r="BL145" s="19">
        <v>0</v>
      </c>
      <c r="BM145" s="19">
        <v>0</v>
      </c>
      <c r="BN145" s="19">
        <v>0</v>
      </c>
      <c r="BO145" s="19">
        <v>0</v>
      </c>
      <c r="BP145" s="19">
        <v>0</v>
      </c>
      <c r="BQ145" s="19">
        <v>0</v>
      </c>
      <c r="BR145" s="19">
        <v>0</v>
      </c>
      <c r="BS145" s="19">
        <v>317</v>
      </c>
      <c r="BT145" s="19">
        <v>56</v>
      </c>
      <c r="BU145" s="19">
        <v>6</v>
      </c>
      <c r="BV145" s="19">
        <v>2.8</v>
      </c>
      <c r="BW145" s="19">
        <v>1.4</v>
      </c>
      <c r="BX145" s="19">
        <v>55</v>
      </c>
      <c r="BY145" s="19">
        <v>3.5</v>
      </c>
      <c r="BZ145" s="19" t="s">
        <v>277</v>
      </c>
      <c r="CA145" s="19">
        <v>0.8</v>
      </c>
      <c r="CB145" s="19">
        <v>0</v>
      </c>
      <c r="CC145" s="19">
        <v>0</v>
      </c>
      <c r="CD145" s="19">
        <v>0</v>
      </c>
      <c r="CE145" s="19">
        <v>0</v>
      </c>
      <c r="CF145" s="19">
        <v>0</v>
      </c>
      <c r="CG145" s="19">
        <v>0</v>
      </c>
      <c r="CH145" s="19">
        <v>0</v>
      </c>
      <c r="CI145" s="19" t="s">
        <v>277</v>
      </c>
      <c r="CJ145" s="19">
        <v>13</v>
      </c>
      <c r="CK145" s="19" t="s">
        <v>269</v>
      </c>
      <c r="CL145" s="19" t="s">
        <v>281</v>
      </c>
      <c r="CM145" s="19">
        <v>0</v>
      </c>
      <c r="CN145" s="19">
        <v>0</v>
      </c>
      <c r="CO145" s="19">
        <v>0</v>
      </c>
      <c r="CP145" s="19">
        <v>0</v>
      </c>
      <c r="CQ145" s="19">
        <v>0</v>
      </c>
      <c r="CR145" s="19">
        <v>0</v>
      </c>
      <c r="CS145" s="19">
        <v>0</v>
      </c>
      <c r="CT145" s="19" t="s">
        <v>309</v>
      </c>
      <c r="CU145" s="19">
        <v>0</v>
      </c>
      <c r="CV145" s="19">
        <v>0</v>
      </c>
      <c r="CW145" s="19">
        <v>0</v>
      </c>
      <c r="CX145" s="19">
        <v>0</v>
      </c>
      <c r="CY145" s="19">
        <v>0</v>
      </c>
      <c r="CZ145" s="19">
        <v>0</v>
      </c>
      <c r="DA145" s="19">
        <v>0</v>
      </c>
      <c r="DB145" s="19">
        <v>0</v>
      </c>
      <c r="DC145" s="19">
        <v>0</v>
      </c>
      <c r="DD145" s="19">
        <v>0</v>
      </c>
      <c r="DE145" s="19">
        <v>0</v>
      </c>
      <c r="DF145" s="19">
        <v>0</v>
      </c>
      <c r="DG145" s="19">
        <v>0</v>
      </c>
      <c r="DH145" s="19">
        <v>0</v>
      </c>
      <c r="DI145" s="19">
        <v>0</v>
      </c>
      <c r="DJ145" s="19">
        <v>0</v>
      </c>
      <c r="DK145" s="19">
        <v>0</v>
      </c>
      <c r="DL145" s="19" t="s">
        <v>269</v>
      </c>
      <c r="DM145" s="19">
        <v>0</v>
      </c>
      <c r="DN145" s="19">
        <v>0</v>
      </c>
      <c r="DO145" s="19">
        <v>0</v>
      </c>
      <c r="DP145" s="19">
        <v>0</v>
      </c>
      <c r="DQ145" s="19">
        <v>0</v>
      </c>
      <c r="DR145" s="19">
        <v>0</v>
      </c>
      <c r="DS145" s="19">
        <v>0</v>
      </c>
      <c r="DT145" s="19">
        <v>0</v>
      </c>
      <c r="DU145" s="19"/>
      <c r="DV145" s="19"/>
      <c r="DW145" s="19"/>
      <c r="DX145" s="19">
        <v>0</v>
      </c>
      <c r="DY145" s="19">
        <v>0</v>
      </c>
      <c r="DZ145" s="19">
        <v>0</v>
      </c>
      <c r="EA145" s="19">
        <v>0</v>
      </c>
      <c r="EB145" s="19">
        <v>0</v>
      </c>
      <c r="EC145" s="19">
        <v>0</v>
      </c>
      <c r="ED145" s="19">
        <v>0</v>
      </c>
      <c r="EE145" s="19">
        <v>0</v>
      </c>
      <c r="EF145" s="19">
        <v>0</v>
      </c>
      <c r="EG145" s="19">
        <v>0</v>
      </c>
      <c r="EH145" s="19">
        <v>0</v>
      </c>
      <c r="EI145" s="19">
        <v>0</v>
      </c>
      <c r="EJ145" s="19">
        <v>0</v>
      </c>
      <c r="EK145" s="19">
        <v>0</v>
      </c>
    </row>
    <row r="146" spans="1:258">
      <c r="A146" t="s">
        <v>832</v>
      </c>
      <c r="B146" t="s">
        <v>1499</v>
      </c>
      <c r="C146" t="s">
        <v>860</v>
      </c>
      <c r="D146" t="s">
        <v>1369</v>
      </c>
      <c r="E146">
        <v>0</v>
      </c>
      <c r="F146" t="s">
        <v>237</v>
      </c>
      <c r="G146" t="s">
        <v>163</v>
      </c>
      <c r="H146" t="s">
        <v>595</v>
      </c>
      <c r="I146">
        <v>355</v>
      </c>
      <c r="J146">
        <v>0</v>
      </c>
      <c r="K146" t="s">
        <v>859</v>
      </c>
      <c r="L146" t="s">
        <v>247</v>
      </c>
      <c r="M146" t="s">
        <v>242</v>
      </c>
      <c r="N146" t="s">
        <v>290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f t="shared" si="121"/>
        <v>0</v>
      </c>
      <c r="AZ146">
        <v>0</v>
      </c>
      <c r="BA146">
        <v>0</v>
      </c>
      <c r="BC146">
        <v>0</v>
      </c>
      <c r="BF146">
        <v>0</v>
      </c>
      <c r="BG146">
        <v>0</v>
      </c>
      <c r="BH146">
        <v>0</v>
      </c>
      <c r="BI146">
        <v>0</v>
      </c>
      <c r="BJ146">
        <v>0</v>
      </c>
      <c r="BK146">
        <v>0</v>
      </c>
      <c r="BL146" s="19">
        <v>0</v>
      </c>
      <c r="BM146" s="19">
        <v>0</v>
      </c>
      <c r="BN146" s="19">
        <v>0</v>
      </c>
      <c r="BO146" s="19">
        <v>0</v>
      </c>
      <c r="BP146" s="19">
        <v>0</v>
      </c>
      <c r="BQ146" s="19">
        <v>0</v>
      </c>
      <c r="BR146" s="19">
        <v>0</v>
      </c>
      <c r="BS146" s="19" t="s">
        <v>266</v>
      </c>
      <c r="BT146" s="19">
        <v>5</v>
      </c>
      <c r="BU146" s="19">
        <v>3</v>
      </c>
      <c r="BV146" s="19">
        <v>0.9</v>
      </c>
      <c r="BW146" s="19">
        <v>1</v>
      </c>
      <c r="BX146" s="19">
        <v>0.9</v>
      </c>
      <c r="BY146" s="19">
        <v>5.7</v>
      </c>
      <c r="BZ146" s="19" t="s">
        <v>272</v>
      </c>
      <c r="CA146" s="19" t="s">
        <v>273</v>
      </c>
      <c r="CB146" s="19">
        <v>0</v>
      </c>
      <c r="CC146" s="19">
        <v>0</v>
      </c>
      <c r="CD146" s="19">
        <v>0</v>
      </c>
      <c r="CE146" s="19">
        <v>0</v>
      </c>
      <c r="CF146" s="19">
        <v>0</v>
      </c>
      <c r="CG146" s="19">
        <v>0</v>
      </c>
      <c r="CH146" s="19">
        <v>0</v>
      </c>
      <c r="CI146" s="19" t="s">
        <v>272</v>
      </c>
      <c r="CJ146" s="19" t="s">
        <v>277</v>
      </c>
      <c r="CK146" s="19" t="s">
        <v>269</v>
      </c>
      <c r="CL146" s="19" t="s">
        <v>269</v>
      </c>
      <c r="CM146" s="19">
        <v>0</v>
      </c>
      <c r="CN146" s="19">
        <v>0</v>
      </c>
      <c r="CO146" s="19">
        <v>0</v>
      </c>
      <c r="CP146" s="19">
        <v>0</v>
      </c>
      <c r="CQ146" s="19">
        <v>0</v>
      </c>
      <c r="CR146" s="19">
        <v>0</v>
      </c>
      <c r="CS146" s="19">
        <v>0</v>
      </c>
      <c r="CT146" s="19">
        <v>0</v>
      </c>
      <c r="CU146" s="19">
        <v>0</v>
      </c>
      <c r="CV146" s="19">
        <v>0</v>
      </c>
      <c r="CW146" s="19">
        <v>0</v>
      </c>
      <c r="CX146" s="19">
        <v>0</v>
      </c>
      <c r="CY146" s="19">
        <v>0</v>
      </c>
      <c r="CZ146" s="19">
        <v>0</v>
      </c>
      <c r="DA146" s="19">
        <v>0</v>
      </c>
      <c r="DB146" s="19">
        <v>0</v>
      </c>
      <c r="DC146" s="19">
        <v>0</v>
      </c>
      <c r="DD146" s="19">
        <v>0</v>
      </c>
      <c r="DE146" s="19">
        <v>0</v>
      </c>
      <c r="DF146" s="19">
        <v>0</v>
      </c>
      <c r="DG146" s="19">
        <v>0</v>
      </c>
      <c r="DH146" s="19">
        <v>0</v>
      </c>
      <c r="DI146" s="19">
        <v>0</v>
      </c>
      <c r="DJ146" s="19">
        <v>0</v>
      </c>
      <c r="DK146" s="19">
        <v>0</v>
      </c>
      <c r="DL146" s="19">
        <v>0</v>
      </c>
      <c r="DM146" s="19">
        <v>0</v>
      </c>
      <c r="DN146" s="19">
        <v>0</v>
      </c>
      <c r="DO146" s="19">
        <v>0</v>
      </c>
      <c r="DP146" s="19">
        <v>0</v>
      </c>
      <c r="DQ146" s="19">
        <v>0</v>
      </c>
      <c r="DR146" s="19">
        <v>0</v>
      </c>
      <c r="DS146" s="19">
        <v>0</v>
      </c>
      <c r="DT146" s="19">
        <v>0</v>
      </c>
      <c r="DU146" s="19"/>
      <c r="DV146" s="19"/>
      <c r="DW146" s="19"/>
      <c r="DX146" s="19">
        <v>0</v>
      </c>
      <c r="DY146" s="19">
        <v>0</v>
      </c>
      <c r="DZ146" s="19">
        <v>0</v>
      </c>
      <c r="EA146" s="19">
        <v>0</v>
      </c>
      <c r="EB146" s="19">
        <v>0</v>
      </c>
      <c r="EC146" s="19">
        <v>0</v>
      </c>
      <c r="ED146" s="19">
        <v>0</v>
      </c>
      <c r="EE146" s="19">
        <v>0</v>
      </c>
      <c r="EF146" s="19">
        <v>0</v>
      </c>
      <c r="EG146" s="19">
        <v>0</v>
      </c>
      <c r="EH146" s="19">
        <v>0</v>
      </c>
      <c r="EI146" s="19">
        <v>0</v>
      </c>
      <c r="EJ146" s="19">
        <v>0</v>
      </c>
      <c r="EK146" s="19">
        <v>0</v>
      </c>
    </row>
    <row r="147" spans="1:258">
      <c r="A147" t="s">
        <v>832</v>
      </c>
      <c r="B147" t="s">
        <v>1499</v>
      </c>
      <c r="C147" t="s">
        <v>860</v>
      </c>
      <c r="D147" t="s">
        <v>1369</v>
      </c>
      <c r="E147">
        <v>0</v>
      </c>
      <c r="F147" t="s">
        <v>237</v>
      </c>
      <c r="G147" t="s">
        <v>163</v>
      </c>
      <c r="H147" t="s">
        <v>595</v>
      </c>
      <c r="I147">
        <v>355</v>
      </c>
      <c r="J147">
        <v>0</v>
      </c>
      <c r="K147" t="s">
        <v>859</v>
      </c>
      <c r="L147" t="s">
        <v>296</v>
      </c>
      <c r="M147" t="s">
        <v>298</v>
      </c>
      <c r="N147">
        <v>3064</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f t="shared" si="121"/>
        <v>0</v>
      </c>
      <c r="AZ147">
        <v>0</v>
      </c>
      <c r="BA147">
        <v>0</v>
      </c>
      <c r="BC147">
        <v>0</v>
      </c>
      <c r="BF147">
        <v>0</v>
      </c>
      <c r="BG147">
        <v>0</v>
      </c>
      <c r="BH147">
        <v>0</v>
      </c>
      <c r="BI147">
        <v>0</v>
      </c>
      <c r="BJ147">
        <v>0</v>
      </c>
      <c r="BK147">
        <v>0</v>
      </c>
      <c r="BL147" s="19">
        <v>800</v>
      </c>
      <c r="BM147" s="19">
        <v>150</v>
      </c>
      <c r="BN147" s="19">
        <v>290</v>
      </c>
      <c r="BO147" s="19">
        <v>0</v>
      </c>
      <c r="BP147" s="19">
        <v>0</v>
      </c>
      <c r="BQ147" s="19">
        <v>0</v>
      </c>
      <c r="BR147" s="19">
        <v>0</v>
      </c>
      <c r="BS147" s="19">
        <v>75</v>
      </c>
      <c r="BT147" s="19">
        <v>155</v>
      </c>
      <c r="BU147" s="19">
        <v>28</v>
      </c>
      <c r="BV147" s="19">
        <v>2</v>
      </c>
      <c r="BW147" s="19" t="s">
        <v>269</v>
      </c>
      <c r="BX147" s="19">
        <v>40</v>
      </c>
      <c r="BY147" s="19">
        <v>2</v>
      </c>
      <c r="BZ147" s="19">
        <v>5</v>
      </c>
      <c r="CA147" s="19">
        <v>14</v>
      </c>
      <c r="CB147" s="19">
        <v>0</v>
      </c>
      <c r="CC147" s="19">
        <v>0</v>
      </c>
      <c r="CD147" s="19">
        <v>0</v>
      </c>
      <c r="CE147" s="19">
        <v>0</v>
      </c>
      <c r="CF147" s="19">
        <v>0</v>
      </c>
      <c r="CG147" s="19">
        <v>0</v>
      </c>
      <c r="CH147" s="19">
        <v>0</v>
      </c>
      <c r="CI147" s="19" t="s">
        <v>269</v>
      </c>
      <c r="CJ147" s="19" t="s">
        <v>269</v>
      </c>
      <c r="CK147" s="19" t="s">
        <v>269</v>
      </c>
      <c r="CL147" s="19" t="s">
        <v>269</v>
      </c>
      <c r="CM147" s="19">
        <v>0</v>
      </c>
      <c r="CN147" s="19" t="s">
        <v>282</v>
      </c>
      <c r="CO147" s="19">
        <v>0</v>
      </c>
      <c r="CP147" s="19">
        <v>0</v>
      </c>
      <c r="CQ147" s="19">
        <v>0</v>
      </c>
      <c r="CR147" s="19">
        <v>0</v>
      </c>
      <c r="CS147" s="19">
        <v>0</v>
      </c>
      <c r="CT147" s="19" t="s">
        <v>310</v>
      </c>
      <c r="CU147" s="19">
        <v>0</v>
      </c>
      <c r="CV147" s="19">
        <v>0</v>
      </c>
      <c r="CW147" s="19">
        <v>0</v>
      </c>
      <c r="CX147" s="19">
        <v>0</v>
      </c>
      <c r="CY147" s="19">
        <v>0</v>
      </c>
      <c r="CZ147" s="19">
        <v>0</v>
      </c>
      <c r="DA147" s="19">
        <v>0</v>
      </c>
      <c r="DB147" s="19">
        <v>0</v>
      </c>
      <c r="DC147" s="19">
        <v>0</v>
      </c>
      <c r="DD147" s="19">
        <v>0</v>
      </c>
      <c r="DE147" s="19">
        <v>0</v>
      </c>
      <c r="DF147" s="19">
        <v>0</v>
      </c>
      <c r="DG147" s="19">
        <v>0</v>
      </c>
      <c r="DH147" s="19">
        <v>0</v>
      </c>
      <c r="DI147" s="19">
        <v>0</v>
      </c>
      <c r="DJ147" s="19">
        <v>0</v>
      </c>
      <c r="DK147" s="19">
        <v>0</v>
      </c>
      <c r="DL147" s="19">
        <v>0</v>
      </c>
      <c r="DM147" s="19">
        <v>0</v>
      </c>
      <c r="DN147" s="19">
        <v>0</v>
      </c>
      <c r="DO147" s="19">
        <v>0</v>
      </c>
      <c r="DP147" s="19">
        <v>0</v>
      </c>
      <c r="DQ147" s="19">
        <v>0</v>
      </c>
      <c r="DR147" s="19">
        <v>0</v>
      </c>
      <c r="DS147" s="19">
        <v>0</v>
      </c>
      <c r="DT147" s="19">
        <v>0</v>
      </c>
      <c r="DU147" s="19"/>
      <c r="DV147" s="19"/>
      <c r="DW147" s="19"/>
      <c r="DX147" s="19">
        <v>0</v>
      </c>
      <c r="DY147" s="19">
        <v>0</v>
      </c>
      <c r="DZ147" s="19">
        <v>0</v>
      </c>
      <c r="EA147" s="19">
        <v>0</v>
      </c>
      <c r="EB147" s="19">
        <v>0</v>
      </c>
      <c r="EC147" s="19">
        <v>0</v>
      </c>
      <c r="ED147" s="19">
        <v>0</v>
      </c>
      <c r="EE147" s="19">
        <v>0</v>
      </c>
      <c r="EF147" s="19">
        <v>0</v>
      </c>
      <c r="EG147" s="19">
        <v>0</v>
      </c>
      <c r="EH147" s="19">
        <v>0</v>
      </c>
      <c r="EI147" s="19">
        <v>0</v>
      </c>
      <c r="EJ147" s="19">
        <v>0</v>
      </c>
      <c r="EK147" s="19">
        <v>0</v>
      </c>
    </row>
    <row r="148" spans="1:258" s="69" customFormat="1" ht="16">
      <c r="A148" s="68" t="s">
        <v>1471</v>
      </c>
      <c r="B148" s="68"/>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0"/>
      <c r="DD148" s="70"/>
      <c r="DE148" s="70"/>
      <c r="DF148" s="70"/>
      <c r="DG148" s="70"/>
      <c r="DH148" s="70"/>
      <c r="DI148" s="70"/>
      <c r="DJ148" s="70"/>
      <c r="DK148" s="70"/>
      <c r="DL148" s="70"/>
      <c r="DM148" s="70"/>
      <c r="DN148" s="70"/>
      <c r="DO148" s="70"/>
      <c r="DP148" s="70"/>
      <c r="DQ148" s="70"/>
      <c r="DR148" s="70"/>
      <c r="DS148" s="70"/>
      <c r="DT148" s="70"/>
      <c r="DU148" s="70"/>
      <c r="DV148" s="70"/>
      <c r="DW148" s="71"/>
      <c r="DX148" s="71"/>
      <c r="DY148" s="71"/>
      <c r="DZ148" s="71"/>
      <c r="EA148" s="71"/>
      <c r="EB148" s="71"/>
      <c r="EC148" s="71"/>
      <c r="ED148" s="71"/>
      <c r="EE148" s="71"/>
      <c r="EF148" s="71"/>
      <c r="EG148" s="71"/>
      <c r="EH148" s="71"/>
      <c r="EI148" s="71"/>
      <c r="EJ148" s="71"/>
      <c r="EK148" s="70"/>
      <c r="EL148" s="70"/>
      <c r="EM148" s="70"/>
      <c r="EN148" s="70"/>
      <c r="EO148" s="70"/>
    </row>
    <row r="149" spans="1:258">
      <c r="A149" t="s">
        <v>1182</v>
      </c>
      <c r="B149" t="s">
        <v>1471</v>
      </c>
      <c r="C149" t="s">
        <v>24</v>
      </c>
      <c r="D149" t="str">
        <f t="shared" ref="D149:D211" si="122">_xlfn.IFS(AND(AV149&gt;=15),"saline",AND(AL149&gt;=40,AV149&lt;=15),"silicic",AND(AL149&lt;=40,AL149&gt;=20,AP149&lt;=15,AV149&lt;=15),"silicic - low-Mg carbonatitic",AND(AP149&lt;15,AQ149&gt;=15,AL149&lt;=20,AV149&lt;=15),"low-Mg carbonatitic",AND(AP149&gt;=15,AL149&lt;=20),"high-Mg carbonatitic")</f>
        <v>high-Mg carbonatitic</v>
      </c>
      <c r="E149">
        <v>0</v>
      </c>
      <c r="F149">
        <v>0</v>
      </c>
      <c r="G149" t="s">
        <v>703</v>
      </c>
      <c r="H149">
        <v>0</v>
      </c>
      <c r="I149">
        <v>0</v>
      </c>
      <c r="J149" t="s">
        <v>1148</v>
      </c>
      <c r="K149">
        <v>0</v>
      </c>
      <c r="L149" t="s">
        <v>1183</v>
      </c>
      <c r="M149">
        <v>0</v>
      </c>
      <c r="N149">
        <v>0</v>
      </c>
      <c r="O149">
        <v>11</v>
      </c>
      <c r="P149">
        <v>10.905946091927065</v>
      </c>
      <c r="Q149">
        <v>0</v>
      </c>
      <c r="R149">
        <v>0</v>
      </c>
      <c r="S149">
        <v>4.9148346920647388</v>
      </c>
      <c r="T149">
        <v>9.4892846618032802</v>
      </c>
      <c r="U149">
        <v>24.194279522671419</v>
      </c>
      <c r="V149">
        <v>0</v>
      </c>
      <c r="W149">
        <v>21.46401026704963</v>
      </c>
      <c r="X149">
        <v>7.9531026886873661</v>
      </c>
      <c r="Y149">
        <v>10.173590836637455</v>
      </c>
      <c r="Z149">
        <v>0</v>
      </c>
      <c r="AA149">
        <v>6.5458500400614188</v>
      </c>
      <c r="AB149">
        <v>0</v>
      </c>
      <c r="AC149">
        <v>0.70851117297451272</v>
      </c>
      <c r="AD149">
        <v>0</v>
      </c>
      <c r="AE149">
        <v>3.6505900261231052</v>
      </c>
      <c r="AF149">
        <v>0</v>
      </c>
      <c r="AG149">
        <v>0</v>
      </c>
      <c r="AH149">
        <v>0</v>
      </c>
      <c r="AI149">
        <v>0</v>
      </c>
      <c r="AJ149">
        <v>0</v>
      </c>
      <c r="AK149">
        <f t="shared" ref="AK149" si="123">SUM(P149:Q149,S149:U149,W149:Y149,AA149,AC149,AE149)</f>
        <v>100</v>
      </c>
      <c r="AL149" s="26">
        <f t="shared" ref="AL149" si="124">100*(P149/($AK149-$AE149*8/35.45))</f>
        <v>10.996538711485943</v>
      </c>
      <c r="AM149" s="26">
        <f t="shared" ref="AM149" si="125">100*(Q149/($AK149-$AE149*8/35.45))</f>
        <v>0</v>
      </c>
      <c r="AN149" s="26">
        <f t="shared" ref="AN149" si="126">100*(S149/($AK149-$AE149*8/35.45))</f>
        <v>4.9556608382514122</v>
      </c>
      <c r="AO149" s="26">
        <f t="shared" ref="AO149" si="127">100*(T149/($AK149-$AE149*8/35.45))</f>
        <v>9.5681094742502228</v>
      </c>
      <c r="AP149" s="26">
        <f t="shared" ref="AP149" si="128">100*(U149/($AK149-$AE149*8/35.45))</f>
        <v>24.395254581765187</v>
      </c>
      <c r="AQ149" s="26">
        <f t="shared" ref="AQ149" si="129">100*(W149/($AK149-$AE149*8/35.45))</f>
        <v>21.642305749160073</v>
      </c>
      <c r="AR149" s="26">
        <f t="shared" ref="AR149" si="130">100*(AC149/($AK149-$AE149*8/35.45))</f>
        <v>0.71439657554348435</v>
      </c>
      <c r="AS149" s="26">
        <f t="shared" ref="AS149" si="131">100*(X149/($AK149-$AE149*8/35.45))</f>
        <v>8.0191668705672186</v>
      </c>
      <c r="AT149" s="26">
        <f t="shared" ref="AT149" si="132">100*(Y149/($AK149-$AE149*8/35.45))</f>
        <v>10.258099987557742</v>
      </c>
      <c r="AU149" s="26">
        <f t="shared" ref="AU149" si="133">100*(AA149/($AK149-$AE149*8/35.45))</f>
        <v>6.6002245709246985</v>
      </c>
      <c r="AV149" s="26">
        <f t="shared" ref="AV149" si="134">100*(AE149/($AK149-$AE149*8/35.45))</f>
        <v>3.6809144482882585</v>
      </c>
      <c r="AW149" s="26">
        <f t="shared" ref="AW149" si="135">SUM(AL149:AV149)</f>
        <v>100.83067180779425</v>
      </c>
      <c r="AX149" s="26"/>
      <c r="AY149" s="26"/>
      <c r="AZ149">
        <v>0</v>
      </c>
      <c r="BA149">
        <v>0</v>
      </c>
      <c r="BB149">
        <v>0</v>
      </c>
      <c r="BC149">
        <v>0</v>
      </c>
      <c r="BF149">
        <v>0</v>
      </c>
      <c r="BG149">
        <v>0</v>
      </c>
      <c r="BH149">
        <v>0</v>
      </c>
      <c r="BI149">
        <v>0</v>
      </c>
      <c r="BJ149">
        <v>0</v>
      </c>
      <c r="BK149">
        <v>0</v>
      </c>
      <c r="BL149" s="19">
        <v>0</v>
      </c>
      <c r="BM149" s="19">
        <v>0</v>
      </c>
      <c r="BN149" s="19">
        <v>0</v>
      </c>
      <c r="BO149" s="19">
        <v>0</v>
      </c>
      <c r="BP149" s="19">
        <v>0</v>
      </c>
      <c r="BQ149" s="19">
        <v>0</v>
      </c>
      <c r="BR149" s="19">
        <v>0</v>
      </c>
      <c r="BS149" s="19">
        <v>0</v>
      </c>
      <c r="BT149" s="19">
        <v>0</v>
      </c>
      <c r="BU149" s="19">
        <v>0</v>
      </c>
      <c r="BV149" s="19">
        <v>0</v>
      </c>
      <c r="BW149" s="19">
        <v>0</v>
      </c>
      <c r="BX149" s="19">
        <v>0</v>
      </c>
      <c r="BY149" s="19">
        <v>0</v>
      </c>
      <c r="BZ149" s="19">
        <v>0</v>
      </c>
      <c r="CA149" s="19">
        <v>0</v>
      </c>
      <c r="CB149" s="19">
        <v>0</v>
      </c>
      <c r="CC149" s="19">
        <v>0</v>
      </c>
      <c r="CD149" s="19">
        <v>0</v>
      </c>
      <c r="CE149" s="19">
        <v>0</v>
      </c>
      <c r="CF149" s="19">
        <v>0</v>
      </c>
      <c r="CG149" s="19">
        <v>0</v>
      </c>
      <c r="CH149" s="19">
        <v>0</v>
      </c>
      <c r="CI149" s="19">
        <v>0</v>
      </c>
      <c r="CJ149" s="19">
        <v>0</v>
      </c>
      <c r="CK149" s="19">
        <v>0</v>
      </c>
      <c r="CL149" s="19">
        <v>0</v>
      </c>
      <c r="CM149" s="19">
        <v>0</v>
      </c>
      <c r="CN149" s="19">
        <v>0</v>
      </c>
      <c r="CO149" s="19">
        <v>0</v>
      </c>
      <c r="CP149" s="19">
        <v>0</v>
      </c>
      <c r="CQ149" s="19">
        <v>0</v>
      </c>
      <c r="CR149" s="19">
        <v>0</v>
      </c>
      <c r="CS149" s="19">
        <v>0</v>
      </c>
      <c r="CT149" s="19">
        <v>0</v>
      </c>
      <c r="CU149" s="19">
        <v>0</v>
      </c>
      <c r="CV149" s="19">
        <v>0</v>
      </c>
      <c r="CW149" s="19">
        <v>0</v>
      </c>
      <c r="CX149" s="19">
        <v>0</v>
      </c>
      <c r="CY149" s="19">
        <v>0</v>
      </c>
      <c r="CZ149" s="19">
        <v>0</v>
      </c>
      <c r="DA149" s="19">
        <v>0</v>
      </c>
      <c r="DB149" s="19">
        <v>0</v>
      </c>
      <c r="DC149" s="19">
        <v>0</v>
      </c>
      <c r="DD149" s="19">
        <v>0</v>
      </c>
      <c r="DE149" s="19">
        <v>0</v>
      </c>
      <c r="DF149" s="19">
        <v>0</v>
      </c>
      <c r="DG149" s="19">
        <v>0</v>
      </c>
      <c r="DH149" s="19">
        <v>0</v>
      </c>
      <c r="DI149" s="19">
        <v>0</v>
      </c>
      <c r="DJ149" s="19">
        <v>0</v>
      </c>
      <c r="DK149" s="19">
        <v>0</v>
      </c>
      <c r="DL149" s="19">
        <v>0</v>
      </c>
      <c r="DM149" s="19">
        <v>0</v>
      </c>
      <c r="DN149" s="19">
        <v>0</v>
      </c>
      <c r="DO149" s="19">
        <v>0</v>
      </c>
      <c r="DP149" s="19">
        <v>0</v>
      </c>
      <c r="DQ149" s="19">
        <v>0</v>
      </c>
      <c r="DR149" s="19">
        <v>0</v>
      </c>
      <c r="DS149" s="19">
        <v>0</v>
      </c>
      <c r="DT149" s="19">
        <v>0</v>
      </c>
      <c r="DU149" s="19">
        <v>0</v>
      </c>
      <c r="DV149" s="19">
        <v>0</v>
      </c>
      <c r="DW149" s="29">
        <v>0</v>
      </c>
      <c r="DX149" s="29">
        <v>0</v>
      </c>
      <c r="DY149" s="29">
        <v>0</v>
      </c>
      <c r="DZ149" s="29">
        <v>0</v>
      </c>
      <c r="EA149" s="29">
        <v>0</v>
      </c>
      <c r="EB149" s="29">
        <v>0</v>
      </c>
      <c r="EC149" s="29">
        <v>0</v>
      </c>
      <c r="ED149" s="29">
        <v>0</v>
      </c>
      <c r="EE149" s="29">
        <v>0</v>
      </c>
      <c r="EF149" s="29">
        <v>0</v>
      </c>
      <c r="EG149" s="29">
        <v>0</v>
      </c>
      <c r="EH149" s="29">
        <v>0</v>
      </c>
      <c r="EI149" s="29">
        <v>0</v>
      </c>
      <c r="EJ149" s="29">
        <v>0</v>
      </c>
      <c r="EK149" s="19">
        <v>0</v>
      </c>
      <c r="EL149" s="19"/>
      <c r="EM149" s="19"/>
      <c r="EN149" s="19"/>
      <c r="EO149" s="19"/>
    </row>
    <row r="150" spans="1:258" s="4" customFormat="1">
      <c r="A150" s="16" t="s">
        <v>732</v>
      </c>
      <c r="B150" t="s">
        <v>1471</v>
      </c>
      <c r="C150" s="16" t="s">
        <v>24</v>
      </c>
      <c r="D150" t="str">
        <f t="shared" si="122"/>
        <v>silicic</v>
      </c>
      <c r="E150" s="16" t="s">
        <v>110</v>
      </c>
      <c r="F150" s="16">
        <v>0</v>
      </c>
      <c r="G150" s="16" t="s">
        <v>703</v>
      </c>
      <c r="H150" s="16">
        <v>0</v>
      </c>
      <c r="I150" s="16">
        <v>0</v>
      </c>
      <c r="J150" s="16" t="s">
        <v>716</v>
      </c>
      <c r="K150" s="16">
        <v>0</v>
      </c>
      <c r="L150" s="16" t="s">
        <v>48</v>
      </c>
      <c r="M150" s="16">
        <v>0</v>
      </c>
      <c r="N150" s="16" t="s">
        <v>727</v>
      </c>
      <c r="O150" s="16">
        <v>10</v>
      </c>
      <c r="P150" s="26">
        <v>53.6</v>
      </c>
      <c r="Q150" s="26">
        <v>4</v>
      </c>
      <c r="R150" s="26"/>
      <c r="S150" s="26">
        <v>4.3</v>
      </c>
      <c r="T150" s="26">
        <v>6.6</v>
      </c>
      <c r="U150" s="26">
        <v>2.6</v>
      </c>
      <c r="V150" s="26"/>
      <c r="W150" s="26">
        <v>7.2</v>
      </c>
      <c r="X150" s="26">
        <v>1</v>
      </c>
      <c r="Y150" s="26">
        <v>15.5</v>
      </c>
      <c r="Z150" s="26"/>
      <c r="AA150" s="26"/>
      <c r="AB150" s="26"/>
      <c r="AC150" s="26"/>
      <c r="AD150" s="26"/>
      <c r="AE150" s="26"/>
      <c r="AF150" s="26"/>
      <c r="AG150" s="26"/>
      <c r="AH150" s="26"/>
      <c r="AI150" s="26"/>
      <c r="AJ150" s="26"/>
      <c r="AK150">
        <f t="shared" ref="AK150:AK151" si="136">SUM(P150:Q150,S150:U150,W150:Y150,AA150,AC150,AE150)</f>
        <v>94.8</v>
      </c>
      <c r="AL150" s="26">
        <f t="shared" ref="AL150:AL151" si="137">100*(P150/($AK150-$AE150*8/35.45))</f>
        <v>56.540084388185655</v>
      </c>
      <c r="AM150" s="26">
        <f t="shared" ref="AM150:AM151" si="138">100*(Q150/($AK150-$AE150*8/35.45))</f>
        <v>4.2194092827004219</v>
      </c>
      <c r="AN150" s="26">
        <f t="shared" ref="AN150:AN151" si="139">100*(S150/($AK150-$AE150*8/35.45))</f>
        <v>4.5358649789029535</v>
      </c>
      <c r="AO150" s="26">
        <f t="shared" ref="AO150:AO151" si="140">100*(T150/($AK150-$AE150*8/35.45))</f>
        <v>6.962025316455696</v>
      </c>
      <c r="AP150" s="26">
        <f t="shared" ref="AP150:AP151" si="141">100*(U150/($AK150-$AE150*8/35.45))</f>
        <v>2.7426160337552745</v>
      </c>
      <c r="AQ150" s="26">
        <f t="shared" ref="AQ150:AQ151" si="142">100*(W150/($AK150-$AE150*8/35.45))</f>
        <v>7.59493670886076</v>
      </c>
      <c r="AR150" s="26">
        <f t="shared" ref="AR150:AR151" si="143">100*(AC150/($AK150-$AE150*8/35.45))</f>
        <v>0</v>
      </c>
      <c r="AS150" s="26">
        <f t="shared" ref="AS150:AS151" si="144">100*(X150/($AK150-$AE150*8/35.45))</f>
        <v>1.0548523206751055</v>
      </c>
      <c r="AT150" s="26">
        <f t="shared" ref="AT150:AT151" si="145">100*(Y150/($AK150-$AE150*8/35.45))</f>
        <v>16.350210970464136</v>
      </c>
      <c r="AU150" s="26">
        <f t="shared" ref="AU150:AU151" si="146">100*(AA150/($AK150-$AE150*8/35.45))</f>
        <v>0</v>
      </c>
      <c r="AV150" s="26">
        <f t="shared" ref="AV150:AV151" si="147">100*(AE150/($AK150-$AE150*8/35.45))</f>
        <v>0</v>
      </c>
      <c r="AW150" s="26">
        <f t="shared" ref="AW150:AW151" si="148">SUM(AL150:AV150)</f>
        <v>99.999999999999986</v>
      </c>
      <c r="AX150" s="16">
        <v>173</v>
      </c>
      <c r="AY150" s="16">
        <v>168</v>
      </c>
      <c r="BB150" s="16"/>
      <c r="BC150" s="16">
        <v>0.7</v>
      </c>
      <c r="BD150" s="16"/>
      <c r="BE150" s="16"/>
      <c r="BF150" s="16"/>
      <c r="BG150" s="16"/>
      <c r="BH150" s="16">
        <v>0</v>
      </c>
      <c r="BI150" s="16"/>
      <c r="BJ150" s="16"/>
      <c r="BK150" s="16"/>
      <c r="BL150" s="18">
        <v>0</v>
      </c>
      <c r="BM150" s="18">
        <v>0</v>
      </c>
      <c r="BN150" s="18">
        <v>0</v>
      </c>
      <c r="BO150" s="18">
        <v>0</v>
      </c>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c r="DV150" s="18"/>
      <c r="DW150" s="28"/>
      <c r="DX150" s="28"/>
      <c r="DY150" s="28"/>
      <c r="DZ150" s="28"/>
      <c r="EA150" s="28"/>
      <c r="EB150" s="28"/>
      <c r="EC150" s="28"/>
      <c r="ED150" s="28"/>
      <c r="EE150" s="28"/>
      <c r="EF150" s="28"/>
      <c r="EG150" s="28"/>
      <c r="EH150" s="28"/>
      <c r="EI150" s="28"/>
      <c r="EJ150" s="28"/>
      <c r="EK150" s="18"/>
      <c r="EL150" s="28"/>
      <c r="EM150" s="28"/>
      <c r="EN150" s="28"/>
      <c r="EO150" s="28"/>
      <c r="EP150" s="18"/>
      <c r="EQ150" s="18"/>
      <c r="ER150" s="18"/>
      <c r="ES150" s="18"/>
      <c r="ET150" s="18"/>
      <c r="EU150" s="18"/>
      <c r="EV150" s="18"/>
      <c r="EW150" s="18"/>
      <c r="EX150" s="18"/>
      <c r="EY150" s="18"/>
      <c r="EZ150" s="18"/>
      <c r="FA150" s="18"/>
      <c r="FB150" s="18"/>
      <c r="FC150" s="18"/>
      <c r="FD150" s="18"/>
      <c r="FE150" s="18"/>
      <c r="FF150" s="18"/>
      <c r="FG150" s="18"/>
      <c r="FH150" s="18"/>
      <c r="FI150" s="18"/>
      <c r="FJ150" s="18"/>
      <c r="FK150" s="18"/>
      <c r="FL150" s="18"/>
      <c r="FM150" s="18"/>
      <c r="FN150" s="18"/>
      <c r="FO150" s="18"/>
      <c r="FP150" s="18"/>
      <c r="FQ150" s="18"/>
      <c r="GU150" s="27"/>
      <c r="GV150" s="28"/>
      <c r="GW150" s="28"/>
      <c r="GX150" s="28"/>
      <c r="GY150" s="28"/>
      <c r="GZ150" s="28"/>
      <c r="HA150" s="28"/>
      <c r="HB150" s="28"/>
      <c r="HC150" s="28"/>
      <c r="HD150" s="28"/>
      <c r="HE150" s="28"/>
      <c r="HF150" s="28"/>
      <c r="HG150" s="28"/>
      <c r="HH150" s="28"/>
      <c r="HI150" s="28"/>
      <c r="HJ150" s="28"/>
      <c r="HK150" s="28"/>
      <c r="HL150" s="28"/>
      <c r="HM150" s="28"/>
      <c r="HN150" s="28"/>
      <c r="HO150" s="28"/>
      <c r="HP150" s="28"/>
      <c r="HQ150" s="28"/>
      <c r="HR150" s="28"/>
      <c r="HS150" s="28"/>
      <c r="HT150" s="28" t="str">
        <f>IFERROR(DF150/$BS150*$GU150,"")</f>
        <v/>
      </c>
      <c r="HU150" s="28" t="str">
        <f>IFERROR(DG150/$BS150*$GU150,"")</f>
        <v/>
      </c>
      <c r="HV150" s="28" t="str">
        <f>IFERROR(DH150/$BS150*$GU150,"")</f>
        <v/>
      </c>
      <c r="HX150" s="4">
        <f>IFERROR(GV150/'McDonough &amp; Sun 1995 values'!C$2,)</f>
        <v>0</v>
      </c>
      <c r="HY150" s="4">
        <f>IFERROR(GW150/'McDonough &amp; Sun 1995 values'!D$2,)</f>
        <v>0</v>
      </c>
      <c r="HZ150" s="4">
        <f>IFERROR(GX150/'McDonough &amp; Sun 1995 values'!E$2,)</f>
        <v>0</v>
      </c>
      <c r="IA150" s="4">
        <f>IFERROR(GY150/'McDonough &amp; Sun 1995 values'!F$2,)</f>
        <v>0</v>
      </c>
      <c r="IB150" s="4">
        <f>IFERROR(GZ150/'McDonough &amp; Sun 1995 values'!G$2,)</f>
        <v>0</v>
      </c>
      <c r="IC150" s="4">
        <f>IFERROR(HA150/'McDonough &amp; Sun 1995 values'!H$2,)</f>
        <v>0</v>
      </c>
      <c r="ID150" s="4">
        <f>IFERROR(HB150/'McDonough &amp; Sun 1995 values'!I$2,)</f>
        <v>0</v>
      </c>
      <c r="IE150" s="4">
        <f>IFERROR(HC150/'McDonough &amp; Sun 1995 values'!J$2,)</f>
        <v>0</v>
      </c>
      <c r="IF150" s="4">
        <f>IFERROR(HD150/'McDonough &amp; Sun 1995 values'!K$2,)</f>
        <v>0</v>
      </c>
      <c r="IG150" s="4">
        <f>IFERROR(HE150/'McDonough &amp; Sun 1995 values'!L$2,)</f>
        <v>0</v>
      </c>
      <c r="IH150" s="4">
        <f>IFERROR(HF150/'McDonough &amp; Sun 1995 values'!M$2,)</f>
        <v>0</v>
      </c>
      <c r="II150" s="4">
        <f>IFERROR(HG150/'McDonough &amp; Sun 1995 values'!N$2,)</f>
        <v>0</v>
      </c>
      <c r="IJ150" s="4">
        <f>IFERROR(HH150/'McDonough &amp; Sun 1995 values'!O$2,)</f>
        <v>0</v>
      </c>
      <c r="IK150" s="4">
        <f>IFERROR(HI150/'McDonough &amp; Sun 1995 values'!P$2,)</f>
        <v>0</v>
      </c>
      <c r="IL150" s="4">
        <f>IFERROR(HJ150/'McDonough &amp; Sun 1995 values'!Q$2,)</f>
        <v>0</v>
      </c>
      <c r="IM150" s="4">
        <f>IFERROR(HK150/'McDonough &amp; Sun 1995 values'!R$2,)</f>
        <v>0</v>
      </c>
      <c r="IN150" s="4">
        <f>IFERROR(HL150/'McDonough &amp; Sun 1995 values'!S$2,)</f>
        <v>0</v>
      </c>
      <c r="IO150" s="4">
        <f>IFERROR(HM150/'McDonough &amp; Sun 1995 values'!T$2,)</f>
        <v>0</v>
      </c>
      <c r="IP150" s="4">
        <f>IFERROR(HN150/'McDonough &amp; Sun 1995 values'!U$2,)</f>
        <v>0</v>
      </c>
      <c r="IQ150" s="4">
        <f>IFERROR(HO150/'McDonough &amp; Sun 1995 values'!V$2,)</f>
        <v>0</v>
      </c>
      <c r="IR150" s="4">
        <f>IFERROR(HP150/'McDonough &amp; Sun 1995 values'!W$2,)</f>
        <v>0</v>
      </c>
      <c r="IS150" s="4">
        <f>IFERROR(HQ150/'McDonough &amp; Sun 1995 values'!X$2,)</f>
        <v>0</v>
      </c>
      <c r="IT150" s="4">
        <f>IFERROR(HR150/'McDonough &amp; Sun 1995 values'!Y$2,)</f>
        <v>0</v>
      </c>
      <c r="IU150" s="4">
        <f>IFERROR(HS150/'McDonough &amp; Sun 1995 values'!Z$2,)</f>
        <v>0</v>
      </c>
      <c r="IV150" s="4">
        <f>IFERROR(HT150/'McDonough &amp; Sun 1995 values'!AA$2,)</f>
        <v>0</v>
      </c>
      <c r="IW150" s="4">
        <f>IFERROR(HU150/'McDonough &amp; Sun 1995 values'!AB$2,)</f>
        <v>0</v>
      </c>
      <c r="IX150" s="4">
        <f>IFERROR(HV150/'McDonough &amp; Sun 1995 values'!AC$2,)</f>
        <v>0</v>
      </c>
    </row>
    <row r="151" spans="1:258" s="4" customFormat="1">
      <c r="A151" s="16" t="s">
        <v>1177</v>
      </c>
      <c r="B151" t="s">
        <v>1471</v>
      </c>
      <c r="C151" s="16" t="s">
        <v>24</v>
      </c>
      <c r="D151" t="str">
        <f t="shared" si="122"/>
        <v>silicic</v>
      </c>
      <c r="E151" s="16" t="s">
        <v>71</v>
      </c>
      <c r="F151" s="16">
        <v>0</v>
      </c>
      <c r="G151" s="16" t="s">
        <v>1788</v>
      </c>
      <c r="H151" s="16">
        <v>0</v>
      </c>
      <c r="I151" s="16">
        <v>0</v>
      </c>
      <c r="J151" s="16" t="s">
        <v>716</v>
      </c>
      <c r="K151" s="16" t="s">
        <v>596</v>
      </c>
      <c r="L151" s="16" t="s">
        <v>172</v>
      </c>
      <c r="M151" s="16" t="s">
        <v>979</v>
      </c>
      <c r="N151" s="16" t="s">
        <v>725</v>
      </c>
      <c r="O151" s="16">
        <v>10</v>
      </c>
      <c r="P151" s="26">
        <v>42.4</v>
      </c>
      <c r="Q151" s="26">
        <v>2.7</v>
      </c>
      <c r="R151" s="26"/>
      <c r="S151" s="26">
        <v>4.9000000000000004</v>
      </c>
      <c r="T151" s="26">
        <v>6.1</v>
      </c>
      <c r="U151" s="26">
        <v>3.6</v>
      </c>
      <c r="V151" s="26"/>
      <c r="W151" s="26">
        <v>11.9</v>
      </c>
      <c r="X151" s="26">
        <v>2.4</v>
      </c>
      <c r="Y151" s="26">
        <v>21.1</v>
      </c>
      <c r="Z151" s="26"/>
      <c r="AA151" s="26"/>
      <c r="AB151" s="26"/>
      <c r="AC151" s="26"/>
      <c r="AD151" s="26"/>
      <c r="AE151" s="26"/>
      <c r="AF151" s="26"/>
      <c r="AG151" s="26"/>
      <c r="AH151" s="26"/>
      <c r="AI151" s="26"/>
      <c r="AJ151" s="26"/>
      <c r="AK151">
        <f t="shared" si="136"/>
        <v>95.100000000000023</v>
      </c>
      <c r="AL151" s="26">
        <f t="shared" si="137"/>
        <v>44.584647739221865</v>
      </c>
      <c r="AM151" s="26">
        <f t="shared" si="138"/>
        <v>2.8391167192429014</v>
      </c>
      <c r="AN151" s="26">
        <f t="shared" si="139"/>
        <v>5.1524710830704512</v>
      </c>
      <c r="AO151" s="26">
        <f t="shared" si="140"/>
        <v>6.414300736067295</v>
      </c>
      <c r="AP151" s="26">
        <f t="shared" si="141"/>
        <v>3.7854889589905358</v>
      </c>
      <c r="AQ151" s="26">
        <f t="shared" si="142"/>
        <v>12.513144058885381</v>
      </c>
      <c r="AR151" s="26">
        <f t="shared" si="143"/>
        <v>0</v>
      </c>
      <c r="AS151" s="26">
        <f t="shared" si="144"/>
        <v>2.5236593059936903</v>
      </c>
      <c r="AT151" s="26">
        <f t="shared" si="145"/>
        <v>22.187171398527859</v>
      </c>
      <c r="AU151" s="26">
        <f t="shared" si="146"/>
        <v>0</v>
      </c>
      <c r="AV151" s="26">
        <f t="shared" si="147"/>
        <v>0</v>
      </c>
      <c r="AW151" s="26">
        <f t="shared" si="148"/>
        <v>99.999999999999972</v>
      </c>
      <c r="AX151" s="16">
        <v>133</v>
      </c>
      <c r="AY151" s="16">
        <v>269</v>
      </c>
      <c r="BB151" s="16"/>
      <c r="BC151" s="16">
        <v>0.7</v>
      </c>
      <c r="BD151" s="16"/>
      <c r="BE151" s="16"/>
      <c r="BF151" s="16"/>
      <c r="BG151" s="16"/>
      <c r="BH151" s="16">
        <v>0</v>
      </c>
      <c r="BI151" s="16"/>
      <c r="BJ151" s="16">
        <v>0</v>
      </c>
      <c r="BK151" s="16">
        <v>12.207000000000001</v>
      </c>
      <c r="BL151" s="18">
        <v>0</v>
      </c>
      <c r="BM151" s="18">
        <v>0</v>
      </c>
      <c r="BN151" s="18">
        <v>23.7</v>
      </c>
      <c r="BO151" s="18">
        <v>4.12</v>
      </c>
      <c r="BP151" s="18"/>
      <c r="BQ151" s="18"/>
      <c r="BR151" s="18"/>
      <c r="BS151" s="18">
        <v>29.9</v>
      </c>
      <c r="BT151" s="18" t="s">
        <v>1016</v>
      </c>
      <c r="BU151" s="18" t="s">
        <v>217</v>
      </c>
      <c r="BV151" s="18" t="s">
        <v>1040</v>
      </c>
      <c r="BW151" s="18">
        <v>0.13600000000000001</v>
      </c>
      <c r="BX151" s="18" t="s">
        <v>220</v>
      </c>
      <c r="BY151" s="18" t="s">
        <v>1042</v>
      </c>
      <c r="BZ151" s="18" t="s">
        <v>180</v>
      </c>
      <c r="CA151" s="18" t="s">
        <v>273</v>
      </c>
      <c r="CB151" s="18" t="s">
        <v>1041</v>
      </c>
      <c r="CC151" s="18" t="s">
        <v>227</v>
      </c>
      <c r="CD151" s="18">
        <v>3.8999999999999998E-3</v>
      </c>
      <c r="CE151" s="18" t="s">
        <v>1040</v>
      </c>
      <c r="CF151" s="18">
        <v>4.4999999999999997E-3</v>
      </c>
      <c r="CG151" s="18">
        <v>0</v>
      </c>
      <c r="CH151" s="18">
        <v>3.1399999999999997E-2</v>
      </c>
      <c r="CI151" s="18" t="s">
        <v>269</v>
      </c>
      <c r="CJ151" s="18">
        <v>1.0900000000000001</v>
      </c>
      <c r="CK151" s="18" t="s">
        <v>306</v>
      </c>
      <c r="CL151" s="18"/>
      <c r="CM151" s="18" t="s">
        <v>220</v>
      </c>
      <c r="CN151" s="18"/>
      <c r="CO151" s="18" t="s">
        <v>987</v>
      </c>
      <c r="CP151" s="18" t="s">
        <v>180</v>
      </c>
      <c r="CQ151" s="18"/>
      <c r="CR151" s="18" t="s">
        <v>230</v>
      </c>
      <c r="CS151" s="18" t="s">
        <v>986</v>
      </c>
      <c r="CT151" s="18">
        <v>7.34</v>
      </c>
      <c r="CU151" s="18"/>
      <c r="CV151" s="18">
        <v>0.34</v>
      </c>
      <c r="CW151" s="18">
        <v>0.65</v>
      </c>
      <c r="CX151" s="18">
        <v>0.17</v>
      </c>
      <c r="CY151" s="18">
        <v>0.32</v>
      </c>
      <c r="CZ151" s="18">
        <v>2.0799999999999999E-2</v>
      </c>
      <c r="DA151" s="18">
        <v>4.5499999999999999E-2</v>
      </c>
      <c r="DB151" s="18">
        <v>0</v>
      </c>
      <c r="DC151" s="18">
        <v>3.5899999999999999E-3</v>
      </c>
      <c r="DD151" s="18" t="s">
        <v>217</v>
      </c>
      <c r="DE151" s="18"/>
      <c r="DF151" s="18"/>
      <c r="DG151" s="18" t="s">
        <v>214</v>
      </c>
      <c r="DH151" s="18" t="s">
        <v>1044</v>
      </c>
      <c r="DI151" s="18" t="s">
        <v>216</v>
      </c>
      <c r="DJ151" s="18" t="s">
        <v>226</v>
      </c>
      <c r="DK151" s="18">
        <v>9.4000000000000004E-3</v>
      </c>
      <c r="DL151" s="18">
        <v>0</v>
      </c>
      <c r="DM151" s="18" t="s">
        <v>986</v>
      </c>
      <c r="DN151" s="18">
        <v>8.6999999999999994E-3</v>
      </c>
      <c r="DO151" s="18" t="s">
        <v>1043</v>
      </c>
      <c r="DP151" s="18" t="s">
        <v>1045</v>
      </c>
      <c r="DQ151" s="18" t="s">
        <v>1038</v>
      </c>
      <c r="DR151" s="18" t="s">
        <v>1046</v>
      </c>
      <c r="DS151" s="18">
        <v>9.8600000000000007E-3</v>
      </c>
      <c r="DT151" s="18">
        <v>0</v>
      </c>
      <c r="DU151" s="18"/>
      <c r="DV151" s="18"/>
      <c r="DW151" s="28"/>
      <c r="DX151" s="28"/>
      <c r="DY151" s="28"/>
      <c r="DZ151" s="28"/>
      <c r="EA151" s="28"/>
      <c r="EB151" s="28"/>
      <c r="EC151" s="28"/>
      <c r="ED151" s="28"/>
      <c r="EE151" s="28"/>
      <c r="EF151" s="28"/>
      <c r="EG151" s="28"/>
      <c r="EH151" s="28"/>
      <c r="EI151" s="28"/>
      <c r="EJ151" s="28"/>
      <c r="EK151" s="18"/>
      <c r="EL151" s="28"/>
      <c r="EM151" s="28"/>
      <c r="EN151" s="28"/>
      <c r="EO151" s="28"/>
      <c r="EP151" s="18"/>
      <c r="EQ151" s="18"/>
      <c r="ER151" s="18"/>
      <c r="ES151" s="18"/>
      <c r="ET151" s="18"/>
      <c r="EU151" s="18"/>
      <c r="EV151" s="18"/>
      <c r="EW151" s="18"/>
      <c r="EX151" s="18"/>
      <c r="EY151" s="18"/>
      <c r="EZ151" s="18"/>
      <c r="FA151" s="18"/>
      <c r="FB151" s="18"/>
      <c r="FC151" s="18"/>
      <c r="FD151" s="18"/>
      <c r="FE151" s="18"/>
      <c r="FF151" s="18"/>
      <c r="FG151" s="18"/>
      <c r="FH151" s="18"/>
      <c r="FI151" s="18"/>
      <c r="FJ151" s="18"/>
      <c r="FK151" s="18"/>
      <c r="FL151" s="18"/>
      <c r="FM151" s="18"/>
      <c r="FN151" s="18"/>
      <c r="FO151" s="18"/>
      <c r="FP151" s="18"/>
      <c r="FQ151" s="18"/>
      <c r="GU151" s="27"/>
      <c r="GV151" s="28"/>
      <c r="GW151" s="28"/>
      <c r="GX151" s="28"/>
      <c r="GY151" s="28"/>
      <c r="GZ151" s="28"/>
      <c r="HA151" s="28"/>
      <c r="HB151" s="28"/>
      <c r="HC151" s="28"/>
      <c r="HD151" s="28"/>
      <c r="HE151" s="28"/>
      <c r="HF151" s="28"/>
      <c r="HG151" s="28"/>
      <c r="HH151" s="28"/>
      <c r="HI151" s="28"/>
      <c r="HJ151" s="28"/>
      <c r="HK151" s="28"/>
      <c r="HL151" s="28"/>
      <c r="HM151" s="28"/>
      <c r="HN151" s="28"/>
      <c r="HO151" s="28"/>
      <c r="HP151" s="28"/>
      <c r="HQ151" s="28"/>
      <c r="HR151" s="28"/>
      <c r="HS151" s="28"/>
      <c r="HT151" s="28"/>
      <c r="HU151" s="28"/>
      <c r="HV151" s="28"/>
    </row>
    <row r="152" spans="1:258" s="72" customFormat="1" ht="16">
      <c r="A152" s="72" t="s">
        <v>1468</v>
      </c>
      <c r="BL152" s="73"/>
      <c r="BM152" s="73"/>
      <c r="BN152" s="73"/>
      <c r="BO152" s="73"/>
      <c r="BP152" s="73"/>
      <c r="BQ152" s="73"/>
      <c r="BR152" s="73"/>
      <c r="BS152" s="73"/>
      <c r="BT152" s="73"/>
      <c r="BU152" s="73"/>
      <c r="BV152" s="73"/>
      <c r="BW152" s="73"/>
      <c r="BX152" s="73"/>
      <c r="BY152" s="73"/>
      <c r="BZ152" s="73"/>
      <c r="CA152" s="73"/>
      <c r="CB152" s="73"/>
      <c r="CC152" s="73"/>
      <c r="CD152" s="73"/>
      <c r="CE152" s="73"/>
      <c r="CF152" s="73"/>
      <c r="CG152" s="73"/>
      <c r="CH152" s="73"/>
      <c r="CI152" s="73"/>
      <c r="CJ152" s="73"/>
      <c r="CK152" s="73"/>
      <c r="CL152" s="73"/>
      <c r="CM152" s="73"/>
      <c r="CN152" s="73"/>
      <c r="CO152" s="73"/>
      <c r="CP152" s="73"/>
      <c r="CQ152" s="73"/>
      <c r="CR152" s="73"/>
      <c r="CS152" s="73"/>
      <c r="CT152" s="73"/>
      <c r="CU152" s="73"/>
      <c r="CV152" s="73"/>
      <c r="CW152" s="73"/>
      <c r="CX152" s="73"/>
      <c r="CY152" s="73"/>
      <c r="CZ152" s="73"/>
      <c r="DA152" s="73"/>
      <c r="DB152" s="73"/>
      <c r="DC152" s="73"/>
      <c r="DD152" s="73"/>
      <c r="DE152" s="73"/>
      <c r="DF152" s="73"/>
      <c r="DG152" s="73"/>
      <c r="DH152" s="73"/>
      <c r="DI152" s="73"/>
      <c r="DJ152" s="73"/>
      <c r="DK152" s="73"/>
      <c r="DL152" s="73"/>
      <c r="DM152" s="73"/>
      <c r="DN152" s="73"/>
      <c r="DO152" s="73"/>
      <c r="DP152" s="73"/>
      <c r="DQ152" s="73"/>
      <c r="DR152" s="73"/>
      <c r="DS152" s="73"/>
      <c r="DT152" s="73"/>
      <c r="DU152" s="73"/>
      <c r="DV152" s="73"/>
      <c r="DW152" s="74"/>
      <c r="DX152" s="74"/>
      <c r="DY152" s="74"/>
      <c r="DZ152" s="74"/>
      <c r="EA152" s="74"/>
      <c r="EB152" s="74"/>
      <c r="EC152" s="74"/>
      <c r="ED152" s="74"/>
      <c r="EE152" s="74"/>
      <c r="EF152" s="74"/>
      <c r="EG152" s="74"/>
      <c r="EH152" s="74"/>
      <c r="EI152" s="74"/>
      <c r="EJ152" s="74"/>
      <c r="EK152" s="73"/>
      <c r="EL152" s="74"/>
      <c r="EM152" s="74"/>
      <c r="EN152" s="74"/>
      <c r="EO152" s="74"/>
      <c r="GU152" s="74"/>
      <c r="GV152" s="74"/>
      <c r="GW152" s="74"/>
      <c r="GX152" s="74"/>
      <c r="GY152" s="74"/>
      <c r="GZ152" s="74"/>
      <c r="HA152" s="74"/>
      <c r="HB152" s="74"/>
      <c r="HC152" s="74"/>
      <c r="HD152" s="74"/>
      <c r="HE152" s="74"/>
      <c r="HF152" s="74"/>
      <c r="HG152" s="74"/>
      <c r="HH152" s="74"/>
      <c r="HI152" s="74"/>
      <c r="HJ152" s="74"/>
      <c r="HK152" s="74"/>
      <c r="HL152" s="74"/>
      <c r="HM152" s="74"/>
      <c r="HN152" s="74"/>
      <c r="HO152" s="74"/>
      <c r="HP152" s="74"/>
      <c r="HQ152" s="74"/>
      <c r="HR152" s="74"/>
      <c r="HS152" s="74"/>
      <c r="HT152" s="74"/>
      <c r="HU152" s="74"/>
      <c r="HV152" s="74"/>
    </row>
    <row r="153" spans="1:258" s="4" customFormat="1">
      <c r="A153" s="4" t="s">
        <v>847</v>
      </c>
      <c r="B153" s="4" t="s">
        <v>1468</v>
      </c>
      <c r="C153" s="4" t="s">
        <v>24</v>
      </c>
      <c r="D153" t="str">
        <f t="shared" si="122"/>
        <v>high-Mg carbonatitic</v>
      </c>
      <c r="E153" s="4" t="s">
        <v>536</v>
      </c>
      <c r="F153" s="4" t="s">
        <v>1394</v>
      </c>
      <c r="G153" s="4" t="s">
        <v>97</v>
      </c>
      <c r="H153" s="4" t="s">
        <v>595</v>
      </c>
      <c r="I153" s="4">
        <v>118</v>
      </c>
      <c r="J153" s="4" t="s">
        <v>1148</v>
      </c>
      <c r="M153" s="4" t="s">
        <v>535</v>
      </c>
      <c r="N153" s="4" t="s">
        <v>534</v>
      </c>
      <c r="O153" s="4">
        <v>8</v>
      </c>
      <c r="P153" s="4">
        <v>11.38</v>
      </c>
      <c r="Q153" s="4">
        <v>0.52</v>
      </c>
      <c r="R153" s="4">
        <v>2.79</v>
      </c>
      <c r="T153" s="4">
        <v>10.23</v>
      </c>
      <c r="U153" s="4">
        <v>31.24</v>
      </c>
      <c r="W153" s="4">
        <v>25.03</v>
      </c>
      <c r="X153" s="4">
        <v>8.08</v>
      </c>
      <c r="Y153" s="4">
        <v>8.83</v>
      </c>
      <c r="AA153" s="4">
        <v>1.49</v>
      </c>
      <c r="AE153" s="4">
        <v>0.41</v>
      </c>
      <c r="AJ153" s="4">
        <v>5.93</v>
      </c>
      <c r="AK153">
        <f t="shared" ref="AK153" si="149">SUM(P153:Q153,S153:U153,W153:Y153,AA153,AC153,AE153)</f>
        <v>97.21</v>
      </c>
      <c r="AL153" s="26">
        <f t="shared" ref="AL153" si="150">100*(P153/($AK153-$AE153*8/35.45))</f>
        <v>11.717767541643621</v>
      </c>
      <c r="AM153" s="26">
        <f t="shared" ref="AM153" si="151">100*(Q153/($AK153-$AE153*8/35.45))</f>
        <v>0.53543401772009513</v>
      </c>
      <c r="AN153" s="26">
        <f t="shared" ref="AN153" si="152">100*(S153/($AK153-$AE153*8/35.45))</f>
        <v>0</v>
      </c>
      <c r="AO153" s="26">
        <f t="shared" ref="AO153" si="153">100*(T153/($AK153-$AE153*8/35.45))</f>
        <v>10.533634617839564</v>
      </c>
      <c r="AP153" s="26">
        <f t="shared" ref="AP153" si="154">100*(U153/($AK153-$AE153*8/35.45))</f>
        <v>32.16722829533802</v>
      </c>
      <c r="AQ153" s="26">
        <f t="shared" ref="AQ153" si="155">100*(W153/($AK153-$AE153*8/35.45))</f>
        <v>25.772910506796116</v>
      </c>
      <c r="AR153" s="26">
        <f t="shared" ref="AR153" si="156">100*(AC153/($AK153-$AE153*8/35.45))</f>
        <v>0</v>
      </c>
      <c r="AS153" s="26">
        <f t="shared" ref="AS153" si="157">100*(X153/($AK153-$AE153*8/35.45))</f>
        <v>8.3198208907276303</v>
      </c>
      <c r="AT153" s="26">
        <f t="shared" ref="AT153" si="158">100*(Y153/($AK153-$AE153*8/35.45))</f>
        <v>9.0920814932085374</v>
      </c>
      <c r="AU153" s="26">
        <f t="shared" ref="AU153" si="159">100*(AA153/($AK153-$AE153*8/35.45))</f>
        <v>1.5342243969287339</v>
      </c>
      <c r="AV153" s="26">
        <f t="shared" ref="AV153" si="160">100*(AE153/($AK153-$AE153*8/35.45))</f>
        <v>0.4221691293562288</v>
      </c>
      <c r="AW153" s="26">
        <f t="shared" ref="AW153" si="161">SUM(AL153:AV153)</f>
        <v>100.09527088955856</v>
      </c>
      <c r="AX153" s="26"/>
      <c r="AY153" s="26"/>
      <c r="BF153" s="4">
        <v>-6.29</v>
      </c>
      <c r="BH153" s="4">
        <v>640</v>
      </c>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5"/>
      <c r="DX153" s="45"/>
      <c r="DY153" s="45"/>
      <c r="DZ153" s="45"/>
      <c r="EA153" s="45"/>
      <c r="EB153" s="45"/>
      <c r="EC153" s="45"/>
      <c r="ED153" s="45"/>
      <c r="EE153" s="45"/>
      <c r="EF153" s="45"/>
      <c r="EG153" s="45"/>
      <c r="EH153" s="45"/>
      <c r="EI153" s="45"/>
      <c r="EJ153" s="45"/>
      <c r="EK153" s="44"/>
      <c r="EL153" s="45"/>
      <c r="EM153" s="45"/>
      <c r="EN153" s="45"/>
      <c r="EO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row>
    <row r="154" spans="1:258" s="4" customFormat="1">
      <c r="A154" s="4" t="s">
        <v>847</v>
      </c>
      <c r="B154" s="4" t="s">
        <v>1468</v>
      </c>
      <c r="C154" s="4" t="s">
        <v>24</v>
      </c>
      <c r="D154" t="str">
        <f t="shared" si="122"/>
        <v>high-Mg carbonatitic</v>
      </c>
      <c r="E154" s="4" t="s">
        <v>536</v>
      </c>
      <c r="F154" s="4" t="s">
        <v>1394</v>
      </c>
      <c r="G154" s="4" t="s">
        <v>97</v>
      </c>
      <c r="H154" s="4" t="s">
        <v>595</v>
      </c>
      <c r="I154" s="4">
        <v>118</v>
      </c>
      <c r="J154" s="4" t="s">
        <v>1148</v>
      </c>
      <c r="M154" s="4" t="s">
        <v>538</v>
      </c>
      <c r="N154" s="4" t="s">
        <v>537</v>
      </c>
      <c r="O154" s="4">
        <v>25</v>
      </c>
      <c r="P154" s="4">
        <v>11.91</v>
      </c>
      <c r="Q154" s="4">
        <v>1.42</v>
      </c>
      <c r="R154" s="4">
        <v>2.2799999999999998</v>
      </c>
      <c r="T154" s="4">
        <v>13.79</v>
      </c>
      <c r="U154" s="4">
        <v>27.77</v>
      </c>
      <c r="W154" s="4">
        <v>21.79</v>
      </c>
      <c r="X154" s="4">
        <v>6.98</v>
      </c>
      <c r="Y154" s="4">
        <v>9.8699999999999992</v>
      </c>
      <c r="AA154" s="4">
        <v>3.24</v>
      </c>
      <c r="AE154" s="4">
        <v>0.95</v>
      </c>
      <c r="AJ154" s="4">
        <v>7.05</v>
      </c>
      <c r="AK154">
        <f t="shared" ref="AK154:AK217" si="162">SUM(P154:Q154,S154:U154,W154:Y154,AA154,AC154,AE154)</f>
        <v>97.720000000000013</v>
      </c>
      <c r="AL154" s="26">
        <f t="shared" ref="AL154:AL217" si="163">100*(P154/($AK154-$AE154*8/35.45))</f>
        <v>12.214681357899467</v>
      </c>
      <c r="AM154" s="26">
        <f t="shared" ref="AM154:AM217" si="164">100*(Q154/($AK154-$AE154*8/35.45))</f>
        <v>1.4563264087503982</v>
      </c>
      <c r="AN154" s="26">
        <f t="shared" ref="AN154:AN217" si="165">100*(S154/($AK154-$AE154*8/35.45))</f>
        <v>0</v>
      </c>
      <c r="AO154" s="26">
        <f t="shared" ref="AO154:AO217" si="166">100*(T154/($AK154-$AE154*8/35.45))</f>
        <v>14.142775476526756</v>
      </c>
      <c r="AP154" s="26">
        <f t="shared" ref="AP154:AP217" si="167">100*(U154/($AK154-$AE154*8/35.45))</f>
        <v>28.480411528872224</v>
      </c>
      <c r="AQ154" s="26">
        <f t="shared" ref="AQ154:AQ217" si="168">100*(W154/($AK154-$AE154*8/35.45))</f>
        <v>22.34743130047266</v>
      </c>
      <c r="AR154" s="26">
        <f t="shared" ref="AR154:AR217" si="169">100*(AC154/($AK154-$AE154*8/35.45))</f>
        <v>0</v>
      </c>
      <c r="AS154" s="26">
        <f t="shared" ref="AS154:AS217" si="170">100*(X154/($AK154-$AE154*8/35.45))</f>
        <v>7.1585622063928032</v>
      </c>
      <c r="AT154" s="26">
        <f t="shared" ref="AT154:AT217" si="171">100*(Y154/($AK154-$AE154*8/35.45))</f>
        <v>10.122494122793261</v>
      </c>
      <c r="AU154" s="26">
        <f t="shared" ref="AU154:AU217" si="172">100*(AA154/($AK154-$AE154*8/35.45))</f>
        <v>3.3228856086980922</v>
      </c>
      <c r="AV154" s="26">
        <f t="shared" ref="AV154:AV217" si="173">100*(AE154/($AK154-$AE154*8/35.45))</f>
        <v>0.97430287909357638</v>
      </c>
      <c r="AW154" s="26">
        <f t="shared" ref="AW154:AW217" si="174">SUM(AL154:AV154)</f>
        <v>100.21987088949922</v>
      </c>
      <c r="AX154" s="26"/>
      <c r="AY154" s="26"/>
      <c r="BF154" s="4">
        <v>-6.2</v>
      </c>
      <c r="BH154" s="4">
        <v>750</v>
      </c>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CV154" s="44"/>
      <c r="CW154" s="44"/>
      <c r="CX154" s="44"/>
      <c r="CY154" s="44"/>
      <c r="CZ154" s="44"/>
      <c r="DA154" s="44"/>
      <c r="DB154" s="44"/>
      <c r="DC154" s="44"/>
      <c r="DD154" s="44"/>
      <c r="DE154" s="44"/>
      <c r="DF154" s="44"/>
      <c r="DG154" s="44"/>
      <c r="DH154" s="44"/>
      <c r="DI154" s="44"/>
      <c r="DJ154" s="44"/>
      <c r="DK154" s="44"/>
      <c r="DL154" s="44"/>
      <c r="DM154" s="44"/>
      <c r="DN154" s="44"/>
      <c r="DO154" s="44"/>
      <c r="DP154" s="44"/>
      <c r="DQ154" s="44"/>
      <c r="DR154" s="44"/>
      <c r="DS154" s="44"/>
      <c r="DT154" s="44"/>
      <c r="DU154" s="44"/>
      <c r="DV154" s="44"/>
      <c r="DW154" s="45"/>
      <c r="DX154" s="45"/>
      <c r="DY154" s="45"/>
      <c r="DZ154" s="45"/>
      <c r="EA154" s="45"/>
      <c r="EB154" s="45"/>
      <c r="EC154" s="45"/>
      <c r="ED154" s="45"/>
      <c r="EE154" s="45"/>
      <c r="EF154" s="45"/>
      <c r="EG154" s="45"/>
      <c r="EH154" s="45"/>
      <c r="EI154" s="45"/>
      <c r="EJ154" s="45"/>
      <c r="EK154" s="44"/>
      <c r="EL154" s="45"/>
      <c r="EM154" s="45"/>
      <c r="EN154" s="45"/>
      <c r="EO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row>
    <row r="155" spans="1:258" s="4" customFormat="1">
      <c r="A155" s="4" t="s">
        <v>847</v>
      </c>
      <c r="B155" s="4" t="s">
        <v>1468</v>
      </c>
      <c r="C155" s="4" t="s">
        <v>24</v>
      </c>
      <c r="D155" t="str">
        <f t="shared" si="122"/>
        <v>high-Mg carbonatitic</v>
      </c>
      <c r="E155" s="4" t="s">
        <v>536</v>
      </c>
      <c r="F155" s="4" t="s">
        <v>1394</v>
      </c>
      <c r="G155" s="4" t="s">
        <v>142</v>
      </c>
      <c r="H155" s="4" t="s">
        <v>595</v>
      </c>
      <c r="I155" s="4">
        <v>90</v>
      </c>
      <c r="J155" s="4" t="s">
        <v>1148</v>
      </c>
      <c r="M155" s="4" t="s">
        <v>161</v>
      </c>
      <c r="N155" s="4" t="s">
        <v>563</v>
      </c>
      <c r="O155" s="4">
        <v>20</v>
      </c>
      <c r="P155" s="4">
        <v>4.55</v>
      </c>
      <c r="Q155" s="4">
        <v>0.62</v>
      </c>
      <c r="R155" s="4">
        <v>1.71</v>
      </c>
      <c r="T155" s="4">
        <v>8.4499999999999993</v>
      </c>
      <c r="U155" s="4">
        <v>23.01</v>
      </c>
      <c r="W155" s="4">
        <v>25.12</v>
      </c>
      <c r="X155" s="4">
        <v>6.61</v>
      </c>
      <c r="Y155" s="4">
        <v>22.3</v>
      </c>
      <c r="AA155" s="4">
        <v>0.56999999999999995</v>
      </c>
      <c r="AE155" s="4">
        <v>7.07</v>
      </c>
      <c r="AJ155" s="4">
        <v>9.15</v>
      </c>
      <c r="AK155">
        <f t="shared" si="162"/>
        <v>98.299999999999983</v>
      </c>
      <c r="AL155" s="26">
        <f t="shared" si="163"/>
        <v>4.7050544385861288</v>
      </c>
      <c r="AM155" s="26">
        <f t="shared" si="164"/>
        <v>0.64112829712602193</v>
      </c>
      <c r="AN155" s="26">
        <f t="shared" si="165"/>
        <v>0</v>
      </c>
      <c r="AO155" s="26">
        <f t="shared" si="166"/>
        <v>8.7379582430885243</v>
      </c>
      <c r="AP155" s="26">
        <f t="shared" si="167"/>
        <v>23.794132446564138</v>
      </c>
      <c r="AQ155" s="26">
        <f t="shared" si="168"/>
        <v>25.976036812589793</v>
      </c>
      <c r="AR155" s="26">
        <f t="shared" si="169"/>
        <v>0</v>
      </c>
      <c r="AS155" s="26">
        <f t="shared" si="170"/>
        <v>6.8352549096822663</v>
      </c>
      <c r="AT155" s="26">
        <f t="shared" si="171"/>
        <v>23.059937138564983</v>
      </c>
      <c r="AU155" s="26">
        <f t="shared" si="172"/>
        <v>0.58942440219650394</v>
      </c>
      <c r="AV155" s="26">
        <f t="shared" si="173"/>
        <v>7.3109307430338308</v>
      </c>
      <c r="AW155" s="26">
        <f t="shared" si="174"/>
        <v>101.64985743143218</v>
      </c>
      <c r="AX155" s="26"/>
      <c r="AY155" s="26"/>
      <c r="BF155" s="4">
        <v>-4.9400000000000004</v>
      </c>
      <c r="BH155" s="4">
        <v>800</v>
      </c>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5"/>
      <c r="DX155" s="45"/>
      <c r="DY155" s="45"/>
      <c r="DZ155" s="45"/>
      <c r="EA155" s="45"/>
      <c r="EB155" s="45"/>
      <c r="EC155" s="45"/>
      <c r="ED155" s="45"/>
      <c r="EE155" s="45"/>
      <c r="EF155" s="45"/>
      <c r="EG155" s="45"/>
      <c r="EH155" s="45"/>
      <c r="EI155" s="45"/>
      <c r="EJ155" s="45"/>
      <c r="EK155" s="44"/>
      <c r="EL155" s="45"/>
      <c r="EM155" s="45"/>
      <c r="EN155" s="45"/>
      <c r="EO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row>
    <row r="156" spans="1:258" s="4" customFormat="1">
      <c r="A156" s="4" t="s">
        <v>847</v>
      </c>
      <c r="B156" s="4" t="s">
        <v>1468</v>
      </c>
      <c r="C156" s="4" t="s">
        <v>24</v>
      </c>
      <c r="D156" t="str">
        <f t="shared" si="122"/>
        <v>high-Mg carbonatitic</v>
      </c>
      <c r="E156" s="4" t="s">
        <v>536</v>
      </c>
      <c r="F156" s="4" t="s">
        <v>1394</v>
      </c>
      <c r="G156" s="4" t="s">
        <v>142</v>
      </c>
      <c r="H156" s="4" t="s">
        <v>595</v>
      </c>
      <c r="I156" s="4">
        <v>90</v>
      </c>
      <c r="J156" s="4" t="s">
        <v>1148</v>
      </c>
      <c r="M156" s="4" t="s">
        <v>160</v>
      </c>
      <c r="N156" s="4" t="s">
        <v>564</v>
      </c>
      <c r="O156" s="4">
        <v>18</v>
      </c>
      <c r="P156" s="4">
        <v>4.93</v>
      </c>
      <c r="Q156" s="4">
        <v>0.92</v>
      </c>
      <c r="R156" s="4">
        <v>1.7</v>
      </c>
      <c r="T156" s="4">
        <v>11.84</v>
      </c>
      <c r="U156" s="4">
        <v>20.97</v>
      </c>
      <c r="W156" s="4">
        <v>20.77</v>
      </c>
      <c r="X156" s="4">
        <v>7.45</v>
      </c>
      <c r="Y156" s="4">
        <v>23.77</v>
      </c>
      <c r="AA156" s="4">
        <v>0.34</v>
      </c>
      <c r="AE156" s="4">
        <v>7.3</v>
      </c>
      <c r="AJ156" s="4">
        <v>9.17</v>
      </c>
      <c r="AK156">
        <f t="shared" si="162"/>
        <v>98.289999999999992</v>
      </c>
      <c r="AL156" s="26">
        <f t="shared" si="163"/>
        <v>5.1012695489656172</v>
      </c>
      <c r="AM156" s="26">
        <f t="shared" si="164"/>
        <v>0.95196105173394885</v>
      </c>
      <c r="AN156" s="26">
        <f t="shared" si="165"/>
        <v>0</v>
      </c>
      <c r="AO156" s="26">
        <f t="shared" si="166"/>
        <v>12.251324839706472</v>
      </c>
      <c r="AP156" s="26">
        <f t="shared" si="167"/>
        <v>21.698503537892293</v>
      </c>
      <c r="AQ156" s="26">
        <f t="shared" si="168"/>
        <v>21.491555483167517</v>
      </c>
      <c r="AR156" s="26">
        <f t="shared" si="169"/>
        <v>0</v>
      </c>
      <c r="AS156" s="26">
        <f t="shared" si="170"/>
        <v>7.7088150384977379</v>
      </c>
      <c r="AT156" s="26">
        <f t="shared" si="171"/>
        <v>24.595776304039092</v>
      </c>
      <c r="AU156" s="26">
        <f t="shared" si="172"/>
        <v>0.35181169303211157</v>
      </c>
      <c r="AV156" s="26">
        <f t="shared" si="173"/>
        <v>7.55360399745416</v>
      </c>
      <c r="AW156" s="26">
        <f t="shared" si="174"/>
        <v>101.70462149448895</v>
      </c>
      <c r="AX156" s="26"/>
      <c r="AY156" s="26"/>
      <c r="BF156" s="4">
        <v>-4.8899999999999997</v>
      </c>
      <c r="BH156" s="4">
        <v>500</v>
      </c>
      <c r="BL156" s="44"/>
      <c r="BM156" s="44"/>
      <c r="BN156" s="44"/>
      <c r="BO156" s="44"/>
      <c r="BP156" s="44"/>
      <c r="BQ156" s="44"/>
      <c r="BR156" s="44"/>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CV156" s="44"/>
      <c r="CW156" s="44"/>
      <c r="CX156" s="44"/>
      <c r="CY156" s="44"/>
      <c r="CZ156" s="44"/>
      <c r="DA156" s="44"/>
      <c r="DB156" s="44"/>
      <c r="DC156" s="44"/>
      <c r="DD156" s="44"/>
      <c r="DE156" s="44"/>
      <c r="DF156" s="44"/>
      <c r="DG156" s="44"/>
      <c r="DH156" s="44"/>
      <c r="DI156" s="44"/>
      <c r="DJ156" s="44"/>
      <c r="DK156" s="44"/>
      <c r="DL156" s="44"/>
      <c r="DM156" s="44"/>
      <c r="DN156" s="44"/>
      <c r="DO156" s="44"/>
      <c r="DP156" s="44"/>
      <c r="DQ156" s="44"/>
      <c r="DR156" s="44"/>
      <c r="DS156" s="44"/>
      <c r="DT156" s="44"/>
      <c r="DU156" s="44"/>
      <c r="DV156" s="44"/>
      <c r="DW156" s="45"/>
      <c r="DX156" s="45"/>
      <c r="DY156" s="45"/>
      <c r="DZ156" s="45"/>
      <c r="EA156" s="45"/>
      <c r="EB156" s="45"/>
      <c r="EC156" s="45"/>
      <c r="ED156" s="45"/>
      <c r="EE156" s="45"/>
      <c r="EF156" s="45"/>
      <c r="EG156" s="45"/>
      <c r="EH156" s="45"/>
      <c r="EI156" s="45"/>
      <c r="EJ156" s="45"/>
      <c r="EK156" s="44"/>
      <c r="EL156" s="45"/>
      <c r="EM156" s="45"/>
      <c r="EN156" s="45"/>
      <c r="EO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row>
    <row r="157" spans="1:258" s="4" customFormat="1">
      <c r="A157" s="4" t="s">
        <v>641</v>
      </c>
      <c r="B157" s="4" t="s">
        <v>1468</v>
      </c>
      <c r="C157" s="4" t="s">
        <v>24</v>
      </c>
      <c r="D157" t="str">
        <f t="shared" si="122"/>
        <v>high-Mg carbonatitic</v>
      </c>
      <c r="E157" s="4" t="s">
        <v>1707</v>
      </c>
      <c r="F157" s="4" t="s">
        <v>237</v>
      </c>
      <c r="G157" s="4" t="s">
        <v>639</v>
      </c>
      <c r="H157" s="4" t="s">
        <v>640</v>
      </c>
      <c r="J157" s="4" t="s">
        <v>712</v>
      </c>
      <c r="K157" s="4" t="s">
        <v>635</v>
      </c>
      <c r="L157" s="4" t="s">
        <v>642</v>
      </c>
      <c r="M157" s="4" t="s">
        <v>161</v>
      </c>
      <c r="N157" s="4" t="s">
        <v>616</v>
      </c>
      <c r="O157" s="4" t="s">
        <v>1084</v>
      </c>
      <c r="P157" s="4">
        <v>7.43</v>
      </c>
      <c r="Q157" s="4">
        <v>2.56</v>
      </c>
      <c r="S157" s="4">
        <v>1.19</v>
      </c>
      <c r="T157" s="4">
        <v>4.96</v>
      </c>
      <c r="U157" s="4">
        <v>19.3</v>
      </c>
      <c r="W157" s="4">
        <v>28.1</v>
      </c>
      <c r="X157" s="4">
        <v>7.74</v>
      </c>
      <c r="Y157" s="4">
        <v>14.6</v>
      </c>
      <c r="AA157" s="4">
        <v>8.69</v>
      </c>
      <c r="AC157" s="4">
        <v>0.28999999999999998</v>
      </c>
      <c r="AE157" s="4">
        <v>5.08</v>
      </c>
      <c r="AK157">
        <f t="shared" si="162"/>
        <v>99.94</v>
      </c>
      <c r="AL157" s="26">
        <f t="shared" si="163"/>
        <v>7.5207303454681629</v>
      </c>
      <c r="AM157" s="26">
        <f t="shared" si="164"/>
        <v>2.5912610611572675</v>
      </c>
      <c r="AN157" s="26">
        <f t="shared" si="165"/>
        <v>1.2045315088973236</v>
      </c>
      <c r="AO157" s="26">
        <f t="shared" si="166"/>
        <v>5.0205683059922057</v>
      </c>
      <c r="AP157" s="26">
        <f t="shared" si="167"/>
        <v>19.535679093880962</v>
      </c>
      <c r="AQ157" s="26">
        <f t="shared" si="168"/>
        <v>28.443138991609068</v>
      </c>
      <c r="AR157" s="26">
        <f t="shared" si="169"/>
        <v>0.29354129208422169</v>
      </c>
      <c r="AS157" s="26">
        <f t="shared" si="170"/>
        <v>7.8345158645926771</v>
      </c>
      <c r="AT157" s="26">
        <f t="shared" si="171"/>
        <v>14.778285739412542</v>
      </c>
      <c r="AU157" s="26">
        <f t="shared" si="172"/>
        <v>8.796116649006505</v>
      </c>
      <c r="AV157" s="26">
        <f t="shared" si="173"/>
        <v>5.1420336682339531</v>
      </c>
      <c r="AW157" s="26">
        <f t="shared" si="174"/>
        <v>101.1604025203349</v>
      </c>
      <c r="AX157" s="26"/>
      <c r="AY157" s="26"/>
      <c r="BC157" s="4">
        <v>0.08</v>
      </c>
      <c r="BF157" s="4" t="s">
        <v>614</v>
      </c>
      <c r="BH157" s="4" t="s">
        <v>612</v>
      </c>
      <c r="BI157" s="4" t="s">
        <v>613</v>
      </c>
      <c r="BJ157" s="4">
        <v>0.7</v>
      </c>
      <c r="BL157" s="44"/>
      <c r="BM157" s="44"/>
      <c r="BN157" s="44"/>
      <c r="BO157" s="44">
        <v>42.51</v>
      </c>
      <c r="BP157" s="44">
        <v>70.75</v>
      </c>
      <c r="BQ157" s="44">
        <v>37.18</v>
      </c>
      <c r="BR157" s="44">
        <v>7.88</v>
      </c>
      <c r="BS157" s="44">
        <v>45.88</v>
      </c>
      <c r="BT157" s="44">
        <v>131.97</v>
      </c>
      <c r="BU157" s="44">
        <v>6.86</v>
      </c>
      <c r="BV157" s="44">
        <v>2.06</v>
      </c>
      <c r="BW157" s="44">
        <v>1.1100000000000001</v>
      </c>
      <c r="BX157" s="44">
        <v>14.9</v>
      </c>
      <c r="BY157" s="44">
        <v>2.1999999999999999E-2</v>
      </c>
      <c r="BZ157" s="44">
        <v>9.5000000000000001E-2</v>
      </c>
      <c r="CA157" s="44">
        <v>0.64</v>
      </c>
      <c r="CB157" s="44">
        <v>1.9E-2</v>
      </c>
      <c r="CC157" s="44">
        <v>3.1E-2</v>
      </c>
      <c r="CD157" s="44"/>
      <c r="CE157" s="44"/>
      <c r="CF157" s="44"/>
      <c r="CG157" s="44"/>
      <c r="CH157" s="44"/>
      <c r="CI157" s="44">
        <v>0.14899999999999999</v>
      </c>
      <c r="CJ157" s="44">
        <v>1.236</v>
      </c>
      <c r="CK157" s="44">
        <v>0.01</v>
      </c>
      <c r="CL157" s="44">
        <v>9.8000000000000004E-2</v>
      </c>
      <c r="CM157" s="44"/>
      <c r="CN157" s="44">
        <v>0.19600000000000001</v>
      </c>
      <c r="CO157" s="44"/>
      <c r="CP157" s="44"/>
      <c r="CQ157" s="44"/>
      <c r="CR157" s="44"/>
      <c r="CS157" s="44">
        <v>3.0000000000000001E-3</v>
      </c>
      <c r="CT157" s="44">
        <v>8.56</v>
      </c>
      <c r="CU157" s="44">
        <v>0.26</v>
      </c>
      <c r="CV157" s="44">
        <v>0.44600000000000001</v>
      </c>
      <c r="CW157" s="44">
        <v>0.51</v>
      </c>
      <c r="CX157" s="44">
        <v>4.8000000000000001E-2</v>
      </c>
      <c r="CY157" s="44">
        <v>0.155</v>
      </c>
      <c r="CZ157" s="44">
        <v>2.1999999999999999E-2</v>
      </c>
      <c r="DA157" s="44">
        <v>5.0000000000000001E-3</v>
      </c>
      <c r="DB157" s="44">
        <v>1.4999999999999999E-2</v>
      </c>
      <c r="DC157" s="44">
        <v>1.0999999999999999E-2</v>
      </c>
      <c r="DD157" s="44">
        <v>3.0000000000000001E-3</v>
      </c>
      <c r="DE157" s="44">
        <v>8.9999999999999993E-3</v>
      </c>
      <c r="DF157" s="44"/>
      <c r="DG157" s="44">
        <v>1.4E-2</v>
      </c>
      <c r="DH157" s="44">
        <v>3.0000000000000001E-3</v>
      </c>
      <c r="DI157" s="44">
        <v>8.9999999999999993E-3</v>
      </c>
      <c r="DJ157" s="44">
        <v>3.0000000000000001E-3</v>
      </c>
      <c r="DK157" s="44">
        <v>0.02</v>
      </c>
      <c r="DL157" s="44">
        <v>3.7999999999999999E-2</v>
      </c>
      <c r="DM157" s="44">
        <v>0.09</v>
      </c>
      <c r="DN157" s="44">
        <v>1.2999999999999999E-2</v>
      </c>
      <c r="DO157" s="44"/>
      <c r="DP157" s="44"/>
      <c r="DQ157" s="44"/>
      <c r="DR157" s="44"/>
      <c r="DS157" s="44"/>
      <c r="DT157" s="44"/>
      <c r="DU157" s="44"/>
      <c r="DV157" s="44"/>
      <c r="DW157" s="45"/>
      <c r="DX157" s="45"/>
      <c r="DY157" s="45"/>
      <c r="DZ157" s="45"/>
      <c r="EA157" s="45"/>
      <c r="EB157" s="45"/>
      <c r="EC157" s="45"/>
      <c r="ED157" s="45"/>
      <c r="EE157" s="45"/>
      <c r="EF157" s="45"/>
      <c r="EG157" s="45"/>
      <c r="EH157" s="45"/>
      <c r="EI157" s="45"/>
      <c r="EJ157" s="45"/>
      <c r="EK157" s="44"/>
      <c r="EL157" s="45"/>
      <c r="EM157" s="45"/>
      <c r="EN157" s="45"/>
      <c r="EO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row>
    <row r="158" spans="1:258" s="4" customFormat="1">
      <c r="A158" s="4" t="s">
        <v>641</v>
      </c>
      <c r="B158" s="4" t="s">
        <v>1468</v>
      </c>
      <c r="C158" s="4" t="s">
        <v>24</v>
      </c>
      <c r="D158" t="str">
        <f t="shared" si="122"/>
        <v>high-Mg carbonatitic</v>
      </c>
      <c r="E158" s="4" t="s">
        <v>1707</v>
      </c>
      <c r="F158" s="4" t="s">
        <v>237</v>
      </c>
      <c r="G158" s="4" t="s">
        <v>639</v>
      </c>
      <c r="H158" s="4" t="s">
        <v>640</v>
      </c>
      <c r="J158" s="4" t="s">
        <v>712</v>
      </c>
      <c r="K158" s="4" t="s">
        <v>635</v>
      </c>
      <c r="L158" s="4" t="s">
        <v>642</v>
      </c>
      <c r="M158" s="4" t="s">
        <v>160</v>
      </c>
      <c r="N158" s="4" t="s">
        <v>616</v>
      </c>
      <c r="O158" s="4" t="s">
        <v>1084</v>
      </c>
      <c r="P158" s="4">
        <v>12.1</v>
      </c>
      <c r="Q158" s="4">
        <v>3.13</v>
      </c>
      <c r="S158" s="4">
        <v>2.89</v>
      </c>
      <c r="T158" s="4">
        <v>7.75</v>
      </c>
      <c r="U158" s="4">
        <v>19.899999999999999</v>
      </c>
      <c r="W158" s="4">
        <v>27.5</v>
      </c>
      <c r="X158" s="4">
        <v>5.65</v>
      </c>
      <c r="Y158" s="4">
        <v>8.2799999999999994</v>
      </c>
      <c r="AA158" s="4">
        <v>9.44</v>
      </c>
      <c r="AC158" s="4">
        <v>1.55</v>
      </c>
      <c r="AE158" s="4">
        <v>1.8</v>
      </c>
      <c r="AK158">
        <f t="shared" si="162"/>
        <v>99.99</v>
      </c>
      <c r="AL158" s="26">
        <f t="shared" si="163"/>
        <v>12.15057139793819</v>
      </c>
      <c r="AM158" s="26">
        <f t="shared" si="164"/>
        <v>3.1430816921939284</v>
      </c>
      <c r="AN158" s="26">
        <f t="shared" si="165"/>
        <v>2.9020786231439151</v>
      </c>
      <c r="AO158" s="26">
        <f t="shared" si="166"/>
        <v>7.7823907714066918</v>
      </c>
      <c r="AP158" s="26">
        <f t="shared" si="167"/>
        <v>19.983171142063632</v>
      </c>
      <c r="AQ158" s="26">
        <f t="shared" si="168"/>
        <v>27.614934995314066</v>
      </c>
      <c r="AR158" s="26">
        <f t="shared" si="169"/>
        <v>1.5564781542813384</v>
      </c>
      <c r="AS158" s="26">
        <f t="shared" si="170"/>
        <v>5.6736139172190727</v>
      </c>
      <c r="AT158" s="26">
        <f t="shared" si="171"/>
        <v>8.3146058822254716</v>
      </c>
      <c r="AU158" s="26">
        <f t="shared" si="172"/>
        <v>9.4794540493005375</v>
      </c>
      <c r="AV158" s="26">
        <f t="shared" si="173"/>
        <v>1.8075230178751025</v>
      </c>
      <c r="AW158" s="26">
        <f t="shared" si="174"/>
        <v>100.40790364296195</v>
      </c>
      <c r="AX158" s="26"/>
      <c r="AY158" s="26"/>
      <c r="BC158" s="4">
        <v>0.06</v>
      </c>
      <c r="BF158" s="4" t="s">
        <v>614</v>
      </c>
      <c r="BH158" s="4" t="s">
        <v>612</v>
      </c>
      <c r="BI158" s="4" t="s">
        <v>613</v>
      </c>
      <c r="BJ158" s="4">
        <v>0.7</v>
      </c>
      <c r="BL158" s="44"/>
      <c r="BM158" s="44"/>
      <c r="BN158" s="44"/>
      <c r="BO158" s="44">
        <v>105.94</v>
      </c>
      <c r="BP158" s="44">
        <v>147.99</v>
      </c>
      <c r="BQ158" s="44">
        <v>15.82</v>
      </c>
      <c r="BR158" s="44">
        <v>34</v>
      </c>
      <c r="BS158" s="44">
        <v>305.64</v>
      </c>
      <c r="BT158" s="44">
        <v>257.17</v>
      </c>
      <c r="BU158" s="44">
        <v>22.11</v>
      </c>
      <c r="BV158" s="44">
        <v>1.84</v>
      </c>
      <c r="BW158" s="44">
        <v>4.1100000000000003</v>
      </c>
      <c r="BX158" s="44">
        <v>59.5</v>
      </c>
      <c r="BY158" s="44">
        <v>3.7999999999999999E-2</v>
      </c>
      <c r="BZ158" s="44">
        <v>0.184</v>
      </c>
      <c r="CA158" s="44">
        <v>1.1399999999999999</v>
      </c>
      <c r="CB158" s="44">
        <v>5.8999999999999997E-2</v>
      </c>
      <c r="CC158" s="44">
        <v>4.4999999999999998E-2</v>
      </c>
      <c r="CD158" s="44"/>
      <c r="CE158" s="44"/>
      <c r="CF158" s="44"/>
      <c r="CG158" s="44"/>
      <c r="CH158" s="44"/>
      <c r="CI158" s="44">
        <v>0.97899999999999998</v>
      </c>
      <c r="CJ158" s="44">
        <v>7.95</v>
      </c>
      <c r="CK158" s="44">
        <v>5.7000000000000002E-2</v>
      </c>
      <c r="CL158" s="44">
        <v>0.53300000000000003</v>
      </c>
      <c r="CM158" s="44"/>
      <c r="CN158" s="44">
        <v>1.42</v>
      </c>
      <c r="CO158" s="44"/>
      <c r="CP158" s="44"/>
      <c r="CQ158" s="44"/>
      <c r="CR158" s="44"/>
      <c r="CS158" s="44">
        <v>2.5999999999999999E-2</v>
      </c>
      <c r="CT158" s="44">
        <v>59.48</v>
      </c>
      <c r="CU158" s="44">
        <v>0.16</v>
      </c>
      <c r="CV158" s="44">
        <v>3.06</v>
      </c>
      <c r="CW158" s="44">
        <v>3.43</v>
      </c>
      <c r="CX158" s="44">
        <v>0.32300000000000001</v>
      </c>
      <c r="CY158" s="44">
        <v>0.98799999999999999</v>
      </c>
      <c r="CZ158" s="44">
        <v>0.10100000000000001</v>
      </c>
      <c r="DA158" s="44">
        <v>1.7999999999999999E-2</v>
      </c>
      <c r="DB158" s="44">
        <v>4.2999999999999997E-2</v>
      </c>
      <c r="DC158" s="44">
        <v>1.6E-2</v>
      </c>
      <c r="DD158" s="44">
        <v>4.0000000000000001E-3</v>
      </c>
      <c r="DE158" s="44">
        <v>8.9999999999999993E-3</v>
      </c>
      <c r="DF158" s="44"/>
      <c r="DG158" s="44">
        <v>1.2E-2</v>
      </c>
      <c r="DH158" s="44">
        <v>2E-3</v>
      </c>
      <c r="DI158" s="44">
        <v>1.7000000000000001E-2</v>
      </c>
      <c r="DJ158" s="44">
        <v>1.7999999999999999E-2</v>
      </c>
      <c r="DK158" s="44">
        <v>0.157</v>
      </c>
      <c r="DL158" s="44">
        <v>0.20699999999999999</v>
      </c>
      <c r="DM158" s="44">
        <v>0.622</v>
      </c>
      <c r="DN158" s="44">
        <v>0.1</v>
      </c>
      <c r="DO158" s="44"/>
      <c r="DP158" s="44"/>
      <c r="DQ158" s="44"/>
      <c r="DR158" s="44"/>
      <c r="DS158" s="44"/>
      <c r="DT158" s="44"/>
      <c r="DU158" s="44"/>
      <c r="DV158" s="44"/>
      <c r="DW158" s="45"/>
      <c r="DX158" s="45"/>
      <c r="DY158" s="45"/>
      <c r="DZ158" s="45"/>
      <c r="EA158" s="45"/>
      <c r="EB158" s="45"/>
      <c r="EC158" s="45"/>
      <c r="ED158" s="45"/>
      <c r="EE158" s="45"/>
      <c r="EF158" s="45"/>
      <c r="EG158" s="45"/>
      <c r="EH158" s="45"/>
      <c r="EI158" s="45"/>
      <c r="EJ158" s="45"/>
      <c r="EK158" s="44"/>
      <c r="EL158" s="45"/>
      <c r="EM158" s="45"/>
      <c r="EN158" s="45"/>
      <c r="EO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row>
    <row r="159" spans="1:258" s="4" customFormat="1">
      <c r="A159" s="4" t="s">
        <v>1320</v>
      </c>
      <c r="B159" s="4" t="s">
        <v>1468</v>
      </c>
      <c r="C159" s="4" t="s">
        <v>24</v>
      </c>
      <c r="D159" t="str">
        <f t="shared" si="122"/>
        <v>high-Mg carbonatitic</v>
      </c>
      <c r="E159" s="4" t="s">
        <v>1204</v>
      </c>
      <c r="F159" s="4" t="s">
        <v>237</v>
      </c>
      <c r="G159" s="4" t="s">
        <v>163</v>
      </c>
      <c r="H159" s="4" t="s">
        <v>595</v>
      </c>
      <c r="I159" s="4">
        <v>355</v>
      </c>
      <c r="J159" s="4" t="s">
        <v>735</v>
      </c>
      <c r="K159" s="4" t="s">
        <v>1311</v>
      </c>
      <c r="L159" s="4" t="s">
        <v>1276</v>
      </c>
      <c r="N159" s="4" t="s">
        <v>1417</v>
      </c>
      <c r="O159" s="4">
        <v>35</v>
      </c>
      <c r="P159" s="4">
        <v>8.5</v>
      </c>
      <c r="Q159" s="4">
        <v>1.7</v>
      </c>
      <c r="R159" s="4">
        <v>0.4</v>
      </c>
      <c r="S159" s="4">
        <v>0.6</v>
      </c>
      <c r="T159" s="4">
        <v>7.9</v>
      </c>
      <c r="U159" s="4">
        <v>19.100000000000001</v>
      </c>
      <c r="W159" s="4">
        <v>17.7</v>
      </c>
      <c r="X159" s="4">
        <v>10.5</v>
      </c>
      <c r="Y159" s="4">
        <v>24</v>
      </c>
      <c r="AA159" s="4">
        <v>2.5</v>
      </c>
      <c r="AC159" s="4">
        <v>2.7</v>
      </c>
      <c r="AE159" s="4">
        <v>5.4</v>
      </c>
      <c r="AJ159" s="4">
        <v>4.4000000000000004</v>
      </c>
      <c r="AK159">
        <f t="shared" si="162"/>
        <v>100.60000000000001</v>
      </c>
      <c r="AL159" s="26">
        <f t="shared" si="163"/>
        <v>8.5529098201284661</v>
      </c>
      <c r="AM159" s="26">
        <f t="shared" si="164"/>
        <v>1.7105819640256936</v>
      </c>
      <c r="AN159" s="26">
        <f t="shared" si="165"/>
        <v>0.60373481083259761</v>
      </c>
      <c r="AO159" s="26">
        <f t="shared" si="166"/>
        <v>7.9491750092958693</v>
      </c>
      <c r="AP159" s="26">
        <f t="shared" si="167"/>
        <v>19.218891478171027</v>
      </c>
      <c r="AQ159" s="26">
        <f t="shared" si="168"/>
        <v>17.810176919561631</v>
      </c>
      <c r="AR159" s="26">
        <f t="shared" si="169"/>
        <v>2.7168066487466898</v>
      </c>
      <c r="AS159" s="26">
        <f t="shared" si="170"/>
        <v>10.56535918957046</v>
      </c>
      <c r="AT159" s="26">
        <f t="shared" si="171"/>
        <v>24.149392433303905</v>
      </c>
      <c r="AU159" s="26">
        <f t="shared" si="172"/>
        <v>2.5155617118024902</v>
      </c>
      <c r="AV159" s="26">
        <f t="shared" si="173"/>
        <v>5.4336132974933795</v>
      </c>
      <c r="AW159" s="26">
        <f t="shared" si="174"/>
        <v>101.2262032829322</v>
      </c>
      <c r="AX159" s="26"/>
      <c r="AY159" s="26"/>
      <c r="BC159" s="4">
        <v>0.64</v>
      </c>
      <c r="BL159" s="44"/>
      <c r="BM159" s="44"/>
      <c r="BN159" s="44"/>
      <c r="BO159" s="44"/>
      <c r="BP159" s="44"/>
      <c r="BQ159" s="44"/>
      <c r="BR159" s="44"/>
      <c r="BS159" s="44"/>
      <c r="BT159" s="44"/>
      <c r="BU159" s="44" t="s">
        <v>1192</v>
      </c>
      <c r="BV159" s="44"/>
      <c r="BW159" s="44"/>
      <c r="BX159" s="44"/>
      <c r="BY159" s="44"/>
      <c r="BZ159" s="44"/>
      <c r="CA159" s="44"/>
      <c r="CB159" s="44"/>
      <c r="CC159" s="44"/>
      <c r="CD159" s="44"/>
      <c r="CE159" s="44"/>
      <c r="CF159" s="44"/>
      <c r="CG159" s="44"/>
      <c r="CH159" s="44"/>
      <c r="CI159" s="44">
        <v>0.81</v>
      </c>
      <c r="CJ159" s="44">
        <v>9.2070000000000007</v>
      </c>
      <c r="CK159" s="44">
        <v>3.2000000000000001E-2</v>
      </c>
      <c r="CL159" s="44">
        <v>0.47</v>
      </c>
      <c r="CM159" s="44"/>
      <c r="CN159" s="44">
        <v>1.6819999999999999</v>
      </c>
      <c r="CO159" s="44"/>
      <c r="CP159" s="44"/>
      <c r="CQ159" s="44"/>
      <c r="CR159" s="44"/>
      <c r="CS159" s="44"/>
      <c r="CT159" s="44" t="s">
        <v>1191</v>
      </c>
      <c r="CU159" s="44"/>
      <c r="CV159" s="44">
        <v>1.0289999999999999</v>
      </c>
      <c r="CW159" s="44">
        <v>1.6850000000000001</v>
      </c>
      <c r="CX159" s="44"/>
      <c r="CY159" s="44">
        <v>0.48099999999999998</v>
      </c>
      <c r="CZ159" s="44">
        <v>4.1000000000000002E-2</v>
      </c>
      <c r="DA159" s="44">
        <v>1.2999999999999999E-2</v>
      </c>
      <c r="DB159" s="44">
        <v>2.5999999999999999E-2</v>
      </c>
      <c r="DC159" s="44" t="s">
        <v>1192</v>
      </c>
      <c r="DD159" s="44"/>
      <c r="DE159" s="44" t="s">
        <v>1192</v>
      </c>
      <c r="DF159" s="44"/>
      <c r="DG159" s="44" t="s">
        <v>1192</v>
      </c>
      <c r="DH159" s="44" t="s">
        <v>1192</v>
      </c>
      <c r="DI159" s="44"/>
      <c r="DJ159" s="44"/>
      <c r="DK159" s="44"/>
      <c r="DL159" s="44">
        <v>7.3999999999999996E-2</v>
      </c>
      <c r="DM159" s="44">
        <v>0.26300000000000001</v>
      </c>
      <c r="DN159" s="44">
        <v>3.3000000000000002E-2</v>
      </c>
      <c r="DO159" s="44" t="s">
        <v>1192</v>
      </c>
      <c r="DP159" s="44"/>
      <c r="DQ159" s="44"/>
      <c r="DR159" s="44"/>
      <c r="DS159" s="44"/>
      <c r="DT159" s="44"/>
      <c r="DU159" s="44"/>
      <c r="DV159" s="44"/>
      <c r="DW159" s="51">
        <v>0.70430999999999999</v>
      </c>
      <c r="DX159" s="51">
        <v>1.6000000000000001E-4</v>
      </c>
      <c r="DY159" s="51">
        <v>0.70299999999999996</v>
      </c>
      <c r="DZ159" s="51"/>
      <c r="EA159" s="45">
        <v>-15.36</v>
      </c>
      <c r="EB159" s="45"/>
      <c r="EC159" s="45"/>
      <c r="ED159" s="45"/>
      <c r="EE159" s="45"/>
      <c r="EF159" s="45"/>
      <c r="EG159" s="45"/>
      <c r="EH159" s="45"/>
      <c r="EI159" s="45"/>
      <c r="EJ159" s="45"/>
      <c r="EK159" s="44"/>
      <c r="EL159" s="45"/>
      <c r="EM159" s="45"/>
      <c r="EN159" s="45"/>
      <c r="EO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row>
    <row r="160" spans="1:258" s="4" customFormat="1">
      <c r="A160" s="4" t="s">
        <v>1320</v>
      </c>
      <c r="B160" s="4" t="s">
        <v>1468</v>
      </c>
      <c r="C160" s="4" t="s">
        <v>24</v>
      </c>
      <c r="D160" t="str">
        <f t="shared" si="122"/>
        <v>high-Mg carbonatitic</v>
      </c>
      <c r="E160" s="4" t="s">
        <v>1204</v>
      </c>
      <c r="F160" s="4" t="s">
        <v>237</v>
      </c>
      <c r="G160" s="4" t="s">
        <v>163</v>
      </c>
      <c r="H160" s="4" t="s">
        <v>595</v>
      </c>
      <c r="I160" s="4">
        <v>355</v>
      </c>
      <c r="J160" s="4" t="s">
        <v>735</v>
      </c>
      <c r="K160" s="4" t="s">
        <v>1311</v>
      </c>
      <c r="L160" s="4" t="s">
        <v>1276</v>
      </c>
      <c r="N160" s="4" t="s">
        <v>1418</v>
      </c>
      <c r="O160" s="4">
        <v>35</v>
      </c>
      <c r="P160" s="4">
        <v>8.5</v>
      </c>
      <c r="Q160" s="4">
        <v>1.7</v>
      </c>
      <c r="R160" s="4">
        <v>0.4</v>
      </c>
      <c r="S160" s="4">
        <v>0.6</v>
      </c>
      <c r="T160" s="4">
        <v>7.9</v>
      </c>
      <c r="U160" s="4">
        <v>19.100000000000001</v>
      </c>
      <c r="W160" s="4">
        <v>17.7</v>
      </c>
      <c r="X160" s="4">
        <v>10.5</v>
      </c>
      <c r="Y160" s="4">
        <v>24</v>
      </c>
      <c r="AA160" s="4">
        <v>2.5</v>
      </c>
      <c r="AC160" s="4">
        <v>2.7</v>
      </c>
      <c r="AE160" s="4">
        <v>5.4</v>
      </c>
      <c r="AJ160" s="4">
        <v>4.4000000000000004</v>
      </c>
      <c r="AK160">
        <f t="shared" si="162"/>
        <v>100.60000000000001</v>
      </c>
      <c r="AL160" s="26">
        <f t="shared" si="163"/>
        <v>8.5529098201284661</v>
      </c>
      <c r="AM160" s="26">
        <f t="shared" si="164"/>
        <v>1.7105819640256936</v>
      </c>
      <c r="AN160" s="26">
        <f t="shared" si="165"/>
        <v>0.60373481083259761</v>
      </c>
      <c r="AO160" s="26">
        <f t="shared" si="166"/>
        <v>7.9491750092958693</v>
      </c>
      <c r="AP160" s="26">
        <f t="shared" si="167"/>
        <v>19.218891478171027</v>
      </c>
      <c r="AQ160" s="26">
        <f t="shared" si="168"/>
        <v>17.810176919561631</v>
      </c>
      <c r="AR160" s="26">
        <f t="shared" si="169"/>
        <v>2.7168066487466898</v>
      </c>
      <c r="AS160" s="26">
        <f t="shared" si="170"/>
        <v>10.56535918957046</v>
      </c>
      <c r="AT160" s="26">
        <f t="shared" si="171"/>
        <v>24.149392433303905</v>
      </c>
      <c r="AU160" s="26">
        <f t="shared" si="172"/>
        <v>2.5155617118024902</v>
      </c>
      <c r="AV160" s="26">
        <f t="shared" si="173"/>
        <v>5.4336132974933795</v>
      </c>
      <c r="AW160" s="26">
        <f t="shared" si="174"/>
        <v>101.2262032829322</v>
      </c>
      <c r="AX160" s="26"/>
      <c r="AY160" s="26"/>
      <c r="BC160" s="4">
        <v>0.64</v>
      </c>
      <c r="BL160" s="44"/>
      <c r="BM160" s="44"/>
      <c r="BN160" s="44"/>
      <c r="BO160" s="44"/>
      <c r="BP160" s="44"/>
      <c r="BQ160" s="44"/>
      <c r="BR160" s="44"/>
      <c r="BS160" s="44"/>
      <c r="BT160" s="44"/>
      <c r="BU160" s="44" t="s">
        <v>1192</v>
      </c>
      <c r="BV160" s="44"/>
      <c r="BW160" s="44"/>
      <c r="BX160" s="44"/>
      <c r="BY160" s="44"/>
      <c r="BZ160" s="44"/>
      <c r="CA160" s="44"/>
      <c r="CB160" s="44"/>
      <c r="CC160" s="44"/>
      <c r="CD160" s="44"/>
      <c r="CE160" s="44"/>
      <c r="CF160" s="44"/>
      <c r="CG160" s="44"/>
      <c r="CH160" s="44"/>
      <c r="CI160" s="44">
        <v>1.9370000000000001</v>
      </c>
      <c r="CJ160" s="44">
        <v>23.15</v>
      </c>
      <c r="CK160" s="44">
        <v>5.7000000000000002E-2</v>
      </c>
      <c r="CL160" s="44">
        <v>0.49399999999999999</v>
      </c>
      <c r="CM160" s="44"/>
      <c r="CN160" s="44">
        <v>2.2610000000000001</v>
      </c>
      <c r="CO160" s="44"/>
      <c r="CP160" s="44"/>
      <c r="CQ160" s="44"/>
      <c r="CR160" s="44"/>
      <c r="CS160" s="44"/>
      <c r="CT160" s="44">
        <v>35.340000000000003</v>
      </c>
      <c r="CU160" s="44"/>
      <c r="CV160" s="44">
        <v>1.6859999999999999</v>
      </c>
      <c r="CW160" s="44">
        <v>2.8759999999999999</v>
      </c>
      <c r="CX160" s="44">
        <v>0.21099999999999999</v>
      </c>
      <c r="CY160" s="44">
        <v>0.58099999999999996</v>
      </c>
      <c r="CZ160" s="44">
        <v>6.3E-2</v>
      </c>
      <c r="DA160" s="44">
        <v>0.01</v>
      </c>
      <c r="DB160" s="44">
        <v>2.4E-2</v>
      </c>
      <c r="DC160" s="44">
        <v>2.1000000000000001E-2</v>
      </c>
      <c r="DD160" s="44"/>
      <c r="DE160" s="44" t="s">
        <v>1192</v>
      </c>
      <c r="DF160" s="44"/>
      <c r="DG160" s="44" t="s">
        <v>1192</v>
      </c>
      <c r="DH160" s="44" t="s">
        <v>1192</v>
      </c>
      <c r="DI160" s="44"/>
      <c r="DJ160" s="44"/>
      <c r="DK160" s="44"/>
      <c r="DL160" s="44" t="s">
        <v>1192</v>
      </c>
      <c r="DM160" s="44">
        <v>0.22900000000000001</v>
      </c>
      <c r="DN160" s="44">
        <v>4.9000000000000002E-2</v>
      </c>
      <c r="DO160" s="44">
        <v>4.0000000000000001E-3</v>
      </c>
      <c r="DP160" s="44"/>
      <c r="DQ160" s="44"/>
      <c r="DR160" s="44"/>
      <c r="DS160" s="44"/>
      <c r="DT160" s="44"/>
      <c r="DU160" s="44"/>
      <c r="DV160" s="44"/>
      <c r="DW160" s="51"/>
      <c r="DX160" s="51"/>
      <c r="DY160" s="51"/>
      <c r="DZ160" s="51"/>
      <c r="EA160" s="45"/>
      <c r="EB160" s="45"/>
      <c r="EC160" s="45"/>
      <c r="ED160" s="45"/>
      <c r="EE160" s="45"/>
      <c r="EF160" s="45"/>
      <c r="EG160" s="45"/>
      <c r="EH160" s="45"/>
      <c r="EI160" s="45"/>
      <c r="EJ160" s="45"/>
      <c r="EK160" s="44"/>
      <c r="EL160" s="45"/>
      <c r="EM160" s="45"/>
      <c r="EN160" s="45"/>
      <c r="EO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row>
    <row r="161" spans="1:230" s="4" customFormat="1">
      <c r="A161" s="4" t="s">
        <v>1320</v>
      </c>
      <c r="B161" s="4" t="s">
        <v>1468</v>
      </c>
      <c r="C161" s="4" t="s">
        <v>24</v>
      </c>
      <c r="D161" t="str">
        <f t="shared" si="122"/>
        <v>high-Mg carbonatitic</v>
      </c>
      <c r="E161" s="4" t="s">
        <v>1204</v>
      </c>
      <c r="F161" s="4" t="s">
        <v>237</v>
      </c>
      <c r="G161" s="4" t="s">
        <v>163</v>
      </c>
      <c r="H161" s="4" t="s">
        <v>595</v>
      </c>
      <c r="I161" s="4">
        <v>355</v>
      </c>
      <c r="J161" s="4" t="s">
        <v>735</v>
      </c>
      <c r="K161" s="4" t="s">
        <v>1311</v>
      </c>
      <c r="L161" s="4" t="s">
        <v>1276</v>
      </c>
      <c r="N161" s="4" t="s">
        <v>1419</v>
      </c>
      <c r="O161" s="4">
        <v>28</v>
      </c>
      <c r="P161" s="4">
        <v>8</v>
      </c>
      <c r="Q161" s="4">
        <v>0.6</v>
      </c>
      <c r="R161" s="4">
        <v>0.3</v>
      </c>
      <c r="S161" s="4">
        <v>0.6</v>
      </c>
      <c r="T161" s="4">
        <v>8.5</v>
      </c>
      <c r="U161" s="4">
        <v>22</v>
      </c>
      <c r="W161" s="4">
        <v>20.6</v>
      </c>
      <c r="X161" s="4">
        <v>8.1999999999999993</v>
      </c>
      <c r="Y161" s="4">
        <v>23.5</v>
      </c>
      <c r="AA161" s="4">
        <v>3.1</v>
      </c>
      <c r="AC161" s="4">
        <v>1.5</v>
      </c>
      <c r="AE161" s="4">
        <v>4</v>
      </c>
      <c r="AJ161" s="4">
        <v>4.3</v>
      </c>
      <c r="AK161">
        <f t="shared" si="162"/>
        <v>100.6</v>
      </c>
      <c r="AL161" s="26">
        <f t="shared" si="163"/>
        <v>8.024287901037555</v>
      </c>
      <c r="AM161" s="26">
        <f t="shared" si="164"/>
        <v>0.60182159257781664</v>
      </c>
      <c r="AN161" s="26">
        <f t="shared" si="165"/>
        <v>0.60182159257781664</v>
      </c>
      <c r="AO161" s="26">
        <f t="shared" si="166"/>
        <v>8.525805894852402</v>
      </c>
      <c r="AP161" s="26">
        <f t="shared" si="167"/>
        <v>22.066791727853278</v>
      </c>
      <c r="AQ161" s="26">
        <f t="shared" si="168"/>
        <v>20.662541345171707</v>
      </c>
      <c r="AR161" s="26">
        <f t="shared" si="169"/>
        <v>1.5045539814445417</v>
      </c>
      <c r="AS161" s="26">
        <f t="shared" si="170"/>
        <v>8.2248950985634934</v>
      </c>
      <c r="AT161" s="26">
        <f t="shared" si="171"/>
        <v>23.57134570929782</v>
      </c>
      <c r="AU161" s="26">
        <f t="shared" si="172"/>
        <v>3.1094115616520526</v>
      </c>
      <c r="AV161" s="26">
        <f t="shared" si="173"/>
        <v>4.0121439505187775</v>
      </c>
      <c r="AW161" s="26">
        <f t="shared" si="174"/>
        <v>100.90542035554726</v>
      </c>
      <c r="AX161" s="26"/>
      <c r="AY161" s="26"/>
      <c r="BC161" s="4">
        <v>0.66</v>
      </c>
      <c r="BL161" s="44"/>
      <c r="BM161" s="44"/>
      <c r="BN161" s="44"/>
      <c r="BO161" s="44"/>
      <c r="BP161" s="44"/>
      <c r="BQ161" s="44"/>
      <c r="BR161" s="44"/>
      <c r="BS161" s="44"/>
      <c r="BT161" s="44"/>
      <c r="BU161" s="44" t="s">
        <v>1192</v>
      </c>
      <c r="BV161" s="44"/>
      <c r="BW161" s="44"/>
      <c r="BX161" s="44"/>
      <c r="BY161" s="44"/>
      <c r="BZ161" s="44"/>
      <c r="CA161" s="44"/>
      <c r="CB161" s="44"/>
      <c r="CC161" s="44"/>
      <c r="CD161" s="44"/>
      <c r="CE161" s="44"/>
      <c r="CF161" s="44"/>
      <c r="CG161" s="44"/>
      <c r="CH161" s="44"/>
      <c r="CI161" s="44">
        <v>0.67100000000000004</v>
      </c>
      <c r="CJ161" s="44">
        <v>9.8919999999999995</v>
      </c>
      <c r="CK161" s="44">
        <v>3.9E-2</v>
      </c>
      <c r="CL161" s="44">
        <v>0.42499999999999999</v>
      </c>
      <c r="CM161" s="44"/>
      <c r="CN161" s="44">
        <v>1.18</v>
      </c>
      <c r="CO161" s="44"/>
      <c r="CP161" s="44"/>
      <c r="CQ161" s="44"/>
      <c r="CR161" s="44"/>
      <c r="CS161" s="44"/>
      <c r="CT161" s="44" t="s">
        <v>1191</v>
      </c>
      <c r="CU161" s="44"/>
      <c r="CV161" s="44">
        <v>1.8440000000000001</v>
      </c>
      <c r="CW161" s="44">
        <v>2.7610000000000001</v>
      </c>
      <c r="CX161" s="44">
        <v>0.23</v>
      </c>
      <c r="CY161" s="44">
        <v>0.749</v>
      </c>
      <c r="CZ161" s="44">
        <v>8.1000000000000003E-2</v>
      </c>
      <c r="DA161" s="44">
        <v>1.6E-2</v>
      </c>
      <c r="DB161" s="44">
        <v>0.04</v>
      </c>
      <c r="DC161" s="44">
        <v>8.9999999999999993E-3</v>
      </c>
      <c r="DD161" s="44"/>
      <c r="DE161" s="44" t="s">
        <v>1192</v>
      </c>
      <c r="DF161" s="44"/>
      <c r="DG161" s="44" t="s">
        <v>1192</v>
      </c>
      <c r="DH161" s="44" t="s">
        <v>1192</v>
      </c>
      <c r="DI161" s="44"/>
      <c r="DJ161" s="44"/>
      <c r="DK161" s="44"/>
      <c r="DL161" s="44">
        <v>0.17299999999999999</v>
      </c>
      <c r="DM161" s="44">
        <v>0.36399999999999999</v>
      </c>
      <c r="DN161" s="44">
        <v>4.2000000000000003E-2</v>
      </c>
      <c r="DO161" s="44" t="s">
        <v>1192</v>
      </c>
      <c r="DP161" s="44"/>
      <c r="DQ161" s="44"/>
      <c r="DR161" s="44"/>
      <c r="DS161" s="44"/>
      <c r="DT161" s="44"/>
      <c r="DU161" s="44"/>
      <c r="DV161" s="44"/>
      <c r="DW161" s="51"/>
      <c r="DX161" s="51"/>
      <c r="DY161" s="51"/>
      <c r="DZ161" s="51"/>
      <c r="EA161" s="45"/>
      <c r="EB161" s="45"/>
      <c r="EC161" s="45"/>
      <c r="ED161" s="45"/>
      <c r="EE161" s="45"/>
      <c r="EF161" s="45"/>
      <c r="EG161" s="45"/>
      <c r="EH161" s="45"/>
      <c r="EI161" s="45"/>
      <c r="EJ161" s="45"/>
      <c r="EK161" s="44"/>
      <c r="EL161" s="45"/>
      <c r="EM161" s="45"/>
      <c r="EN161" s="45"/>
      <c r="EO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row>
    <row r="162" spans="1:230" s="4" customFormat="1">
      <c r="A162" s="4" t="s">
        <v>1320</v>
      </c>
      <c r="B162" s="4" t="s">
        <v>1468</v>
      </c>
      <c r="C162" s="4" t="s">
        <v>24</v>
      </c>
      <c r="D162" t="str">
        <f t="shared" si="122"/>
        <v>high-Mg carbonatitic</v>
      </c>
      <c r="E162" s="4" t="s">
        <v>1204</v>
      </c>
      <c r="F162" s="4" t="s">
        <v>237</v>
      </c>
      <c r="G162" s="4" t="s">
        <v>163</v>
      </c>
      <c r="H162" s="4" t="s">
        <v>595</v>
      </c>
      <c r="I162" s="4">
        <v>355</v>
      </c>
      <c r="J162" s="4" t="s">
        <v>735</v>
      </c>
      <c r="K162" s="4" t="s">
        <v>1311</v>
      </c>
      <c r="L162" s="4" t="s">
        <v>1276</v>
      </c>
      <c r="N162" s="4" t="s">
        <v>1420</v>
      </c>
      <c r="O162" s="4">
        <v>28</v>
      </c>
      <c r="P162" s="4">
        <v>8</v>
      </c>
      <c r="Q162" s="4">
        <v>0.6</v>
      </c>
      <c r="R162" s="4">
        <v>0.3</v>
      </c>
      <c r="S162" s="4">
        <v>0.6</v>
      </c>
      <c r="T162" s="4">
        <v>8.5</v>
      </c>
      <c r="U162" s="4">
        <v>22</v>
      </c>
      <c r="W162" s="4">
        <v>20.6</v>
      </c>
      <c r="X162" s="4">
        <v>8.1999999999999993</v>
      </c>
      <c r="Y162" s="4">
        <v>23.5</v>
      </c>
      <c r="AA162" s="4">
        <v>3.1</v>
      </c>
      <c r="AC162" s="4">
        <v>1.5</v>
      </c>
      <c r="AE162" s="4">
        <v>4</v>
      </c>
      <c r="AJ162" s="4">
        <v>4.3</v>
      </c>
      <c r="AK162">
        <f t="shared" si="162"/>
        <v>100.6</v>
      </c>
      <c r="AL162" s="26">
        <f t="shared" si="163"/>
        <v>8.024287901037555</v>
      </c>
      <c r="AM162" s="26">
        <f t="shared" si="164"/>
        <v>0.60182159257781664</v>
      </c>
      <c r="AN162" s="26">
        <f t="shared" si="165"/>
        <v>0.60182159257781664</v>
      </c>
      <c r="AO162" s="26">
        <f t="shared" si="166"/>
        <v>8.525805894852402</v>
      </c>
      <c r="AP162" s="26">
        <f t="shared" si="167"/>
        <v>22.066791727853278</v>
      </c>
      <c r="AQ162" s="26">
        <f t="shared" si="168"/>
        <v>20.662541345171707</v>
      </c>
      <c r="AR162" s="26">
        <f t="shared" si="169"/>
        <v>1.5045539814445417</v>
      </c>
      <c r="AS162" s="26">
        <f t="shared" si="170"/>
        <v>8.2248950985634934</v>
      </c>
      <c r="AT162" s="26">
        <f t="shared" si="171"/>
        <v>23.57134570929782</v>
      </c>
      <c r="AU162" s="26">
        <f t="shared" si="172"/>
        <v>3.1094115616520526</v>
      </c>
      <c r="AV162" s="26">
        <f t="shared" si="173"/>
        <v>4.0121439505187775</v>
      </c>
      <c r="AW162" s="26">
        <f t="shared" si="174"/>
        <v>100.90542035554726</v>
      </c>
      <c r="AX162" s="26"/>
      <c r="AY162" s="26"/>
      <c r="BC162" s="4">
        <v>0.66</v>
      </c>
      <c r="BL162" s="44"/>
      <c r="BM162" s="44"/>
      <c r="BN162" s="44"/>
      <c r="BO162" s="44"/>
      <c r="BP162" s="44"/>
      <c r="BQ162" s="44"/>
      <c r="BR162" s="44"/>
      <c r="BS162" s="44"/>
      <c r="BT162" s="44"/>
      <c r="BU162" s="44">
        <v>68.2</v>
      </c>
      <c r="BV162" s="44"/>
      <c r="BW162" s="44"/>
      <c r="BX162" s="44"/>
      <c r="BY162" s="44"/>
      <c r="BZ162" s="44"/>
      <c r="CA162" s="44"/>
      <c r="CB162" s="44"/>
      <c r="CC162" s="44"/>
      <c r="CD162" s="44"/>
      <c r="CE162" s="44"/>
      <c r="CF162" s="44"/>
      <c r="CG162" s="44"/>
      <c r="CH162" s="44"/>
      <c r="CI162" s="44">
        <v>1.02</v>
      </c>
      <c r="CJ162" s="44">
        <v>10.98</v>
      </c>
      <c r="CK162" s="44">
        <v>2.1000000000000001E-2</v>
      </c>
      <c r="CL162" s="44">
        <v>0.73199999999999998</v>
      </c>
      <c r="CM162" s="44"/>
      <c r="CN162" s="44">
        <v>2.2999999999999998</v>
      </c>
      <c r="CO162" s="44"/>
      <c r="CP162" s="44"/>
      <c r="CQ162" s="44"/>
      <c r="CR162" s="44"/>
      <c r="CS162" s="44"/>
      <c r="CT162" s="44">
        <v>21.94</v>
      </c>
      <c r="CU162" s="44"/>
      <c r="CV162" s="44">
        <v>1.7410000000000001</v>
      </c>
      <c r="CW162" s="44">
        <v>2.681</v>
      </c>
      <c r="CX162" s="44">
        <v>0.26900000000000002</v>
      </c>
      <c r="CY162" s="44">
        <v>0.78900000000000003</v>
      </c>
      <c r="CZ162" s="44">
        <v>7.6999999999999999E-2</v>
      </c>
      <c r="DA162" s="44">
        <v>1.4E-2</v>
      </c>
      <c r="DB162" s="44">
        <v>1.4999999999999999E-2</v>
      </c>
      <c r="DC162" s="44" t="s">
        <v>1192</v>
      </c>
      <c r="DD162" s="44"/>
      <c r="DE162" s="44" t="s">
        <v>1192</v>
      </c>
      <c r="DF162" s="44"/>
      <c r="DG162" s="44" t="s">
        <v>1192</v>
      </c>
      <c r="DH162" s="44" t="s">
        <v>1192</v>
      </c>
      <c r="DI162" s="44"/>
      <c r="DJ162" s="44"/>
      <c r="DK162" s="44"/>
      <c r="DL162" s="44" t="s">
        <v>1192</v>
      </c>
      <c r="DM162" s="44">
        <v>0.248</v>
      </c>
      <c r="DN162" s="44">
        <v>4.1000000000000002E-2</v>
      </c>
      <c r="DO162" s="44">
        <v>3.0000000000000001E-3</v>
      </c>
      <c r="DP162" s="44"/>
      <c r="DQ162" s="44"/>
      <c r="DR162" s="44"/>
      <c r="DS162" s="44"/>
      <c r="DT162" s="44"/>
      <c r="DU162" s="44"/>
      <c r="DV162" s="44"/>
      <c r="DW162" s="51">
        <v>0.70477000000000001</v>
      </c>
      <c r="DX162" s="51">
        <v>6.0000000000000002E-5</v>
      </c>
      <c r="DY162" s="51">
        <v>0.70338999999999996</v>
      </c>
      <c r="DZ162" s="51"/>
      <c r="EA162" s="45">
        <v>-9.843</v>
      </c>
      <c r="EB162" s="45"/>
      <c r="EC162" s="45"/>
      <c r="ED162" s="45"/>
      <c r="EE162" s="45"/>
      <c r="EF162" s="45"/>
      <c r="EG162" s="45"/>
      <c r="EH162" s="45"/>
      <c r="EI162" s="45"/>
      <c r="EJ162" s="45"/>
      <c r="EK162" s="44"/>
      <c r="EL162" s="45"/>
      <c r="EM162" s="45"/>
      <c r="EN162" s="45"/>
      <c r="EO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row>
    <row r="163" spans="1:230" s="4" customFormat="1">
      <c r="A163" s="4" t="s">
        <v>1320</v>
      </c>
      <c r="B163" s="4" t="s">
        <v>1468</v>
      </c>
      <c r="C163" s="4" t="s">
        <v>24</v>
      </c>
      <c r="D163" t="str">
        <f t="shared" si="122"/>
        <v>high-Mg carbonatitic</v>
      </c>
      <c r="E163" s="4" t="s">
        <v>1204</v>
      </c>
      <c r="F163" s="4" t="s">
        <v>237</v>
      </c>
      <c r="G163" s="4" t="s">
        <v>163</v>
      </c>
      <c r="H163" s="4" t="s">
        <v>595</v>
      </c>
      <c r="I163" s="4">
        <v>355</v>
      </c>
      <c r="J163" s="4" t="s">
        <v>735</v>
      </c>
      <c r="K163" s="4" t="s">
        <v>1311</v>
      </c>
      <c r="L163" s="4" t="s">
        <v>1276</v>
      </c>
      <c r="N163" s="4" t="s">
        <v>1421</v>
      </c>
      <c r="O163" s="4">
        <v>28</v>
      </c>
      <c r="P163" s="4">
        <v>8</v>
      </c>
      <c r="Q163" s="4">
        <v>0.6</v>
      </c>
      <c r="R163" s="4">
        <v>0.3</v>
      </c>
      <c r="S163" s="4">
        <v>0.6</v>
      </c>
      <c r="T163" s="4">
        <v>8.5</v>
      </c>
      <c r="U163" s="4">
        <v>22</v>
      </c>
      <c r="W163" s="4">
        <v>20.6</v>
      </c>
      <c r="X163" s="4">
        <v>8.1999999999999993</v>
      </c>
      <c r="Y163" s="4">
        <v>23.5</v>
      </c>
      <c r="AA163" s="4">
        <v>3.1</v>
      </c>
      <c r="AC163" s="4">
        <v>1.5</v>
      </c>
      <c r="AE163" s="4">
        <v>4</v>
      </c>
      <c r="AJ163" s="4">
        <v>4.3</v>
      </c>
      <c r="AK163">
        <f t="shared" si="162"/>
        <v>100.6</v>
      </c>
      <c r="AL163" s="26">
        <f t="shared" si="163"/>
        <v>8.024287901037555</v>
      </c>
      <c r="AM163" s="26">
        <f t="shared" si="164"/>
        <v>0.60182159257781664</v>
      </c>
      <c r="AN163" s="26">
        <f t="shared" si="165"/>
        <v>0.60182159257781664</v>
      </c>
      <c r="AO163" s="26">
        <f t="shared" si="166"/>
        <v>8.525805894852402</v>
      </c>
      <c r="AP163" s="26">
        <f t="shared" si="167"/>
        <v>22.066791727853278</v>
      </c>
      <c r="AQ163" s="26">
        <f t="shared" si="168"/>
        <v>20.662541345171707</v>
      </c>
      <c r="AR163" s="26">
        <f t="shared" si="169"/>
        <v>1.5045539814445417</v>
      </c>
      <c r="AS163" s="26">
        <f t="shared" si="170"/>
        <v>8.2248950985634934</v>
      </c>
      <c r="AT163" s="26">
        <f t="shared" si="171"/>
        <v>23.57134570929782</v>
      </c>
      <c r="AU163" s="26">
        <f t="shared" si="172"/>
        <v>3.1094115616520526</v>
      </c>
      <c r="AV163" s="26">
        <f t="shared" si="173"/>
        <v>4.0121439505187775</v>
      </c>
      <c r="AW163" s="26">
        <f t="shared" si="174"/>
        <v>100.90542035554726</v>
      </c>
      <c r="AX163" s="26"/>
      <c r="AY163" s="26"/>
      <c r="BC163" s="4">
        <v>0.66</v>
      </c>
      <c r="BL163" s="44"/>
      <c r="BM163" s="44"/>
      <c r="BN163" s="44"/>
      <c r="BO163" s="44"/>
      <c r="BP163" s="44"/>
      <c r="BQ163" s="44"/>
      <c r="BR163" s="44"/>
      <c r="BS163" s="44"/>
      <c r="BT163" s="44"/>
      <c r="BU163" s="44">
        <v>9.26</v>
      </c>
      <c r="BV163" s="44"/>
      <c r="BW163" s="44"/>
      <c r="BX163" s="44"/>
      <c r="BY163" s="44"/>
      <c r="BZ163" s="44"/>
      <c r="CA163" s="44"/>
      <c r="CB163" s="44"/>
      <c r="CC163" s="44"/>
      <c r="CD163" s="44"/>
      <c r="CE163" s="44"/>
      <c r="CF163" s="44"/>
      <c r="CG163" s="44"/>
      <c r="CH163" s="44"/>
      <c r="CI163" s="44">
        <v>1.43</v>
      </c>
      <c r="CJ163" s="44">
        <v>15.42</v>
      </c>
      <c r="CK163" s="44">
        <v>0.03</v>
      </c>
      <c r="CL163" s="44">
        <v>0.29099999999999998</v>
      </c>
      <c r="CM163" s="44"/>
      <c r="CN163" s="44">
        <v>3.0489999999999999</v>
      </c>
      <c r="CO163" s="44"/>
      <c r="CP163" s="44"/>
      <c r="CQ163" s="44"/>
      <c r="CR163" s="44"/>
      <c r="CS163" s="44"/>
      <c r="CT163" s="44">
        <v>33.35</v>
      </c>
      <c r="CU163" s="44"/>
      <c r="CV163" s="44">
        <v>2.5649999999999999</v>
      </c>
      <c r="CW163" s="44">
        <v>4.117</v>
      </c>
      <c r="CX163" s="44">
        <v>0.41099999999999998</v>
      </c>
      <c r="CY163" s="44">
        <v>1.1659999999999999</v>
      </c>
      <c r="CZ163" s="44">
        <v>0.115</v>
      </c>
      <c r="DA163" s="44">
        <v>2.5000000000000001E-2</v>
      </c>
      <c r="DB163" s="44">
        <v>4.8000000000000001E-2</v>
      </c>
      <c r="DC163" s="44">
        <v>0.01</v>
      </c>
      <c r="DD163" s="44"/>
      <c r="DE163" s="44">
        <v>2E-3</v>
      </c>
      <c r="DF163" s="44"/>
      <c r="DG163" s="44" t="s">
        <v>1192</v>
      </c>
      <c r="DH163" s="44" t="s">
        <v>1192</v>
      </c>
      <c r="DI163" s="44"/>
      <c r="DJ163" s="44"/>
      <c r="DK163" s="44"/>
      <c r="DL163" s="44">
        <v>0.219</v>
      </c>
      <c r="DM163" s="44">
        <v>0.13600000000000001</v>
      </c>
      <c r="DN163" s="44">
        <v>0.06</v>
      </c>
      <c r="DO163" s="44">
        <v>6.0000000000000001E-3</v>
      </c>
      <c r="DP163" s="44"/>
      <c r="DQ163" s="44"/>
      <c r="DR163" s="44"/>
      <c r="DS163" s="44"/>
      <c r="DT163" s="44"/>
      <c r="DU163" s="44"/>
      <c r="DV163" s="44"/>
      <c r="DW163" s="51"/>
      <c r="DX163" s="51"/>
      <c r="DY163" s="51"/>
      <c r="DZ163" s="51"/>
      <c r="EA163" s="45"/>
      <c r="EB163" s="45"/>
      <c r="EC163" s="45"/>
      <c r="ED163" s="45"/>
      <c r="EE163" s="45"/>
      <c r="EF163" s="45"/>
      <c r="EG163" s="45"/>
      <c r="EH163" s="45"/>
      <c r="EI163" s="45"/>
      <c r="EJ163" s="45"/>
      <c r="EK163" s="44"/>
      <c r="EL163" s="45"/>
      <c r="EM163" s="45"/>
      <c r="EN163" s="45"/>
      <c r="EO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row>
    <row r="164" spans="1:230" s="4" customFormat="1">
      <c r="A164" s="4" t="s">
        <v>1212</v>
      </c>
      <c r="B164" s="4" t="s">
        <v>1468</v>
      </c>
      <c r="C164" s="4" t="s">
        <v>24</v>
      </c>
      <c r="D164" t="str">
        <f t="shared" si="122"/>
        <v>high-Mg carbonatitic</v>
      </c>
      <c r="E164" s="4" t="s">
        <v>831</v>
      </c>
      <c r="F164" s="4" t="s">
        <v>801</v>
      </c>
      <c r="G164" s="4" t="s">
        <v>800</v>
      </c>
      <c r="H164" s="4" t="s">
        <v>829</v>
      </c>
      <c r="I164" s="49"/>
      <c r="J164" s="4" t="s">
        <v>712</v>
      </c>
      <c r="K164" s="4" t="s">
        <v>1311</v>
      </c>
      <c r="L164" s="4" t="s">
        <v>1169</v>
      </c>
      <c r="N164" s="4" t="s">
        <v>1205</v>
      </c>
      <c r="O164" s="4">
        <v>51</v>
      </c>
      <c r="P164" s="4">
        <v>8.3918571309263577</v>
      </c>
      <c r="Q164" s="4">
        <v>0.56313184980744257</v>
      </c>
      <c r="R164" s="4">
        <v>0.56615408201175299</v>
      </c>
      <c r="S164" s="4">
        <v>1.6596527331062942</v>
      </c>
      <c r="T164" s="4">
        <v>9.4729007874783537</v>
      </c>
      <c r="U164" s="4">
        <v>23.669895655667023</v>
      </c>
      <c r="V164" s="4">
        <v>0.3687583589070732</v>
      </c>
      <c r="W164" s="4">
        <v>20.83638726029664</v>
      </c>
      <c r="X164" s="4">
        <v>11.04258364775243</v>
      </c>
      <c r="Y164" s="4">
        <v>10.938988832758829</v>
      </c>
      <c r="AA164" s="4">
        <v>6.1695017465472644</v>
      </c>
      <c r="AB164" s="4">
        <v>1.4827649715906785</v>
      </c>
      <c r="AC164" s="4">
        <v>4.8605727187634251</v>
      </c>
      <c r="AE164" s="4">
        <v>3.0911174949020301</v>
      </c>
      <c r="AJ164" s="4">
        <v>7.8</v>
      </c>
      <c r="AK164">
        <f t="shared" si="162"/>
        <v>100.69658985800609</v>
      </c>
      <c r="AL164" s="26">
        <f t="shared" si="163"/>
        <v>8.391939581420031</v>
      </c>
      <c r="AM164" s="26">
        <f t="shared" si="164"/>
        <v>0.56313738261124213</v>
      </c>
      <c r="AN164" s="26">
        <f t="shared" si="165"/>
        <v>1.65966903929276</v>
      </c>
      <c r="AO164" s="26">
        <f t="shared" si="166"/>
        <v>9.4729938592900229</v>
      </c>
      <c r="AP164" s="26">
        <f t="shared" si="167"/>
        <v>23.67012821379469</v>
      </c>
      <c r="AQ164" s="26">
        <f t="shared" si="168"/>
        <v>20.836591979036388</v>
      </c>
      <c r="AR164" s="26">
        <f t="shared" si="169"/>
        <v>4.8606204741784591</v>
      </c>
      <c r="AS164" s="26">
        <f t="shared" si="170"/>
        <v>11.042692141791232</v>
      </c>
      <c r="AT164" s="26">
        <f t="shared" si="171"/>
        <v>10.939096308972434</v>
      </c>
      <c r="AU164" s="26">
        <f t="shared" si="172"/>
        <v>6.1695623622675733</v>
      </c>
      <c r="AV164" s="26">
        <f t="shared" si="173"/>
        <v>3.0911478653146194</v>
      </c>
      <c r="AW164" s="26">
        <f t="shared" si="174"/>
        <v>100.69757920796947</v>
      </c>
      <c r="AX164" s="53">
        <v>23.4</v>
      </c>
      <c r="AY164" s="53">
        <v>5.9</v>
      </c>
      <c r="BB164" s="53">
        <v>0.62</v>
      </c>
      <c r="BC164" s="53"/>
      <c r="BD164">
        <f>(AY164/18.02)/((AY164/18.02)+(AX164/44.01))</f>
        <v>0.3811077500231167</v>
      </c>
      <c r="BE164">
        <f>(AX164/44.01)/((AY164/18.02)+(AX164/44.01))</f>
        <v>0.6188922499768833</v>
      </c>
      <c r="BL164" s="44"/>
      <c r="BM164" s="44"/>
      <c r="BN164" s="44"/>
      <c r="BO164" s="44"/>
      <c r="BP164" s="44"/>
      <c r="BQ164" s="44"/>
      <c r="BR164" s="44"/>
      <c r="BS164" s="44"/>
      <c r="BT164" s="44"/>
      <c r="BU164" s="44"/>
      <c r="BV164" s="44"/>
      <c r="BW164" s="44"/>
      <c r="BX164" s="44"/>
      <c r="BY164" s="44"/>
      <c r="BZ164" s="44"/>
      <c r="CA164" s="44"/>
      <c r="CB164" s="44"/>
      <c r="CC164" s="44"/>
      <c r="CD164" s="44"/>
      <c r="CE164" s="44"/>
      <c r="CF164" s="44"/>
      <c r="CG164" s="44"/>
      <c r="CH164" s="44"/>
      <c r="CI164" s="44">
        <v>0.113</v>
      </c>
      <c r="CJ164" s="44">
        <v>2.6454999999999997</v>
      </c>
      <c r="CK164" s="44">
        <v>1.55E-2</v>
      </c>
      <c r="CL164" s="44">
        <v>0.16549999999999998</v>
      </c>
      <c r="CM164" s="44"/>
      <c r="CN164" s="44">
        <v>0.42749999999999999</v>
      </c>
      <c r="CO164" s="44"/>
      <c r="CP164" s="44"/>
      <c r="CQ164" s="44"/>
      <c r="CR164" s="44"/>
      <c r="CS164" s="44"/>
      <c r="CT164" s="44">
        <v>10.7525</v>
      </c>
      <c r="CU164" s="44"/>
      <c r="CV164" s="44">
        <v>0.69799999999999995</v>
      </c>
      <c r="CW164" s="44">
        <v>0.89050000000000007</v>
      </c>
      <c r="CX164" s="44">
        <v>7.3999999999999996E-2</v>
      </c>
      <c r="CY164" s="44">
        <v>0.21849999999999997</v>
      </c>
      <c r="CZ164" s="44">
        <v>2.2499999999999999E-2</v>
      </c>
      <c r="DA164" s="44">
        <v>4.5000000000000005E-3</v>
      </c>
      <c r="DB164" s="44">
        <v>5.4999999999999997E-3</v>
      </c>
      <c r="DC164" s="44">
        <v>4.0000000000000001E-3</v>
      </c>
      <c r="DD164" s="44"/>
      <c r="DE164" s="44">
        <v>2E-3</v>
      </c>
      <c r="DF164" s="44"/>
      <c r="DG164" s="44"/>
      <c r="DH164" s="44"/>
      <c r="DI164" s="44">
        <v>4.0000000000000001E-3</v>
      </c>
      <c r="DJ164" s="44"/>
      <c r="DK164" s="44"/>
      <c r="DL164" s="44">
        <v>2.181</v>
      </c>
      <c r="DM164" s="44">
        <v>0.126</v>
      </c>
      <c r="DN164" s="44">
        <v>2.4500000000000001E-2</v>
      </c>
      <c r="DO164" s="44">
        <v>1E-3</v>
      </c>
      <c r="DP164" s="44"/>
      <c r="DQ164" s="44"/>
      <c r="DR164" s="44"/>
      <c r="DS164" s="44"/>
      <c r="DT164" s="44"/>
      <c r="DU164" s="44"/>
      <c r="DV164" s="44"/>
      <c r="DW164" s="51">
        <v>0.70792999999999995</v>
      </c>
      <c r="DX164" s="51">
        <v>4.0000000000000003E-5</v>
      </c>
      <c r="DY164" s="51">
        <v>0.70792999999999995</v>
      </c>
      <c r="DZ164" s="51"/>
      <c r="EA164" s="45">
        <v>48.73</v>
      </c>
      <c r="EB164" s="45"/>
      <c r="EC164" s="45"/>
      <c r="ED164" s="45"/>
      <c r="EE164" s="45"/>
      <c r="EF164" s="45"/>
      <c r="EG164" s="45"/>
      <c r="EH164" s="45"/>
      <c r="EI164" s="45"/>
      <c r="EJ164" s="45"/>
      <c r="EK164" s="44"/>
      <c r="EL164" s="45"/>
      <c r="EM164" s="45"/>
      <c r="EN164" s="45"/>
      <c r="EO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row>
    <row r="165" spans="1:230" s="4" customFormat="1">
      <c r="A165" s="4" t="s">
        <v>1212</v>
      </c>
      <c r="B165" s="4" t="s">
        <v>1468</v>
      </c>
      <c r="C165" s="4" t="s">
        <v>24</v>
      </c>
      <c r="D165" t="str">
        <f t="shared" si="122"/>
        <v>high-Mg carbonatitic</v>
      </c>
      <c r="E165" s="4" t="s">
        <v>831</v>
      </c>
      <c r="F165" s="4" t="s">
        <v>801</v>
      </c>
      <c r="G165" s="4" t="s">
        <v>800</v>
      </c>
      <c r="H165" s="4" t="s">
        <v>829</v>
      </c>
      <c r="I165" s="49"/>
      <c r="J165" s="4" t="s">
        <v>712</v>
      </c>
      <c r="K165" s="4" t="s">
        <v>1311</v>
      </c>
      <c r="N165" s="4" t="s">
        <v>1206</v>
      </c>
      <c r="O165" s="4">
        <v>51</v>
      </c>
      <c r="P165" s="4">
        <v>8.3918571309263577</v>
      </c>
      <c r="Q165" s="4">
        <v>0.56313184980744257</v>
      </c>
      <c r="R165" s="4">
        <v>0.56615408201175299</v>
      </c>
      <c r="S165" s="4">
        <v>1.6596527331062942</v>
      </c>
      <c r="T165" s="4">
        <v>9.4729007874783537</v>
      </c>
      <c r="U165" s="4">
        <v>23.669895655667023</v>
      </c>
      <c r="V165" s="4">
        <v>0.3687583589070732</v>
      </c>
      <c r="W165" s="4">
        <v>20.83638726029664</v>
      </c>
      <c r="X165" s="4">
        <v>11.04258364775243</v>
      </c>
      <c r="Y165" s="4">
        <v>10.938988832758829</v>
      </c>
      <c r="AA165" s="4">
        <v>6.1695017465472644</v>
      </c>
      <c r="AB165" s="4">
        <v>1.4827649715906785</v>
      </c>
      <c r="AC165" s="4">
        <v>4.8605727187634251</v>
      </c>
      <c r="AE165" s="4">
        <v>3.0911174949020301</v>
      </c>
      <c r="AJ165" s="4">
        <v>7.8</v>
      </c>
      <c r="AK165">
        <f t="shared" si="162"/>
        <v>100.69658985800609</v>
      </c>
      <c r="AL165" s="26">
        <f t="shared" si="163"/>
        <v>8.391939581420031</v>
      </c>
      <c r="AM165" s="26">
        <f t="shared" si="164"/>
        <v>0.56313738261124213</v>
      </c>
      <c r="AN165" s="26">
        <f t="shared" si="165"/>
        <v>1.65966903929276</v>
      </c>
      <c r="AO165" s="26">
        <f t="shared" si="166"/>
        <v>9.4729938592900229</v>
      </c>
      <c r="AP165" s="26">
        <f t="shared" si="167"/>
        <v>23.67012821379469</v>
      </c>
      <c r="AQ165" s="26">
        <f t="shared" si="168"/>
        <v>20.836591979036388</v>
      </c>
      <c r="AR165" s="26">
        <f t="shared" si="169"/>
        <v>4.8606204741784591</v>
      </c>
      <c r="AS165" s="26">
        <f t="shared" si="170"/>
        <v>11.042692141791232</v>
      </c>
      <c r="AT165" s="26">
        <f t="shared" si="171"/>
        <v>10.939096308972434</v>
      </c>
      <c r="AU165" s="26">
        <f t="shared" si="172"/>
        <v>6.1695623622675733</v>
      </c>
      <c r="AV165" s="26">
        <f t="shared" si="173"/>
        <v>3.0911478653146194</v>
      </c>
      <c r="AW165" s="26">
        <f t="shared" si="174"/>
        <v>100.69757920796947</v>
      </c>
      <c r="AX165" s="53">
        <v>23.4</v>
      </c>
      <c r="AY165" s="53">
        <v>5.9</v>
      </c>
      <c r="BB165" s="53">
        <v>0.62</v>
      </c>
      <c r="BC165" s="53"/>
      <c r="BD165">
        <f t="shared" ref="BD165:BD189" si="175">(AY165/18.02)/((AY165/18.02)+(AX165/44.01))</f>
        <v>0.3811077500231167</v>
      </c>
      <c r="BE165">
        <f t="shared" ref="BE165:BE189" si="176">(AX165/44.01)/((AY165/18.02)+(AX165/44.01))</f>
        <v>0.6188922499768833</v>
      </c>
      <c r="BL165" s="44"/>
      <c r="BM165" s="44"/>
      <c r="BN165" s="44"/>
      <c r="BO165" s="44"/>
      <c r="BP165" s="44"/>
      <c r="BQ165" s="44"/>
      <c r="BR165" s="44"/>
      <c r="BS165" s="44"/>
      <c r="BT165" s="44"/>
      <c r="BU165" s="44"/>
      <c r="BV165" s="44"/>
      <c r="BW165" s="44"/>
      <c r="BX165" s="44"/>
      <c r="BY165" s="44"/>
      <c r="BZ165" s="44"/>
      <c r="CA165" s="44"/>
      <c r="CB165" s="44"/>
      <c r="CC165" s="44"/>
      <c r="CD165" s="44"/>
      <c r="CE165" s="44"/>
      <c r="CF165" s="44"/>
      <c r="CG165" s="44"/>
      <c r="CH165" s="44"/>
      <c r="CI165" s="44">
        <v>0.127</v>
      </c>
      <c r="CJ165" s="44">
        <v>1.2889999999999999</v>
      </c>
      <c r="CK165" s="44">
        <v>1.6E-2</v>
      </c>
      <c r="CL165" s="44">
        <v>9.2999999999999999E-2</v>
      </c>
      <c r="CM165" s="44"/>
      <c r="CN165" s="44">
        <v>0.26600000000000001</v>
      </c>
      <c r="CO165" s="44"/>
      <c r="CP165" s="44"/>
      <c r="CQ165" s="44"/>
      <c r="CR165" s="44"/>
      <c r="CS165" s="44"/>
      <c r="CT165" s="44">
        <v>6.7450000000000001</v>
      </c>
      <c r="CU165" s="44"/>
      <c r="CV165" s="44">
        <v>0.443</v>
      </c>
      <c r="CW165" s="44">
        <v>0.55600000000000005</v>
      </c>
      <c r="CX165" s="44">
        <v>5.1999999999999998E-2</v>
      </c>
      <c r="CY165" s="44">
        <v>0.14399999999999999</v>
      </c>
      <c r="CZ165" s="44">
        <v>1.7000000000000001E-2</v>
      </c>
      <c r="DA165" s="44">
        <v>3.0000000000000001E-3</v>
      </c>
      <c r="DB165" s="44">
        <v>0.01</v>
      </c>
      <c r="DC165" s="44">
        <v>4.0000000000000001E-3</v>
      </c>
      <c r="DD165" s="44"/>
      <c r="DE165" s="44">
        <v>2E-3</v>
      </c>
      <c r="DF165" s="44"/>
      <c r="DG165" s="44" t="s">
        <v>1192</v>
      </c>
      <c r="DH165" s="44" t="s">
        <v>1192</v>
      </c>
      <c r="DI165" s="44">
        <v>4.0000000000000001E-3</v>
      </c>
      <c r="DJ165" s="44"/>
      <c r="DK165" s="44"/>
      <c r="DL165" s="44">
        <v>1.0149999999999999</v>
      </c>
      <c r="DM165" s="44">
        <v>8.5999999999999993E-2</v>
      </c>
      <c r="DN165" s="44">
        <v>1.4E-2</v>
      </c>
      <c r="DO165" s="44">
        <v>1E-3</v>
      </c>
      <c r="DP165" s="44"/>
      <c r="DQ165" s="44"/>
      <c r="DR165" s="44"/>
      <c r="DS165" s="44"/>
      <c r="DT165" s="44"/>
      <c r="DU165" s="44"/>
      <c r="DV165" s="44"/>
      <c r="DW165" s="51"/>
      <c r="DX165" s="51"/>
      <c r="DY165" s="51"/>
      <c r="DZ165" s="51"/>
      <c r="EA165" s="45"/>
      <c r="EB165" s="45"/>
      <c r="EC165" s="45"/>
      <c r="ED165" s="45"/>
      <c r="EE165" s="45"/>
      <c r="EF165" s="45"/>
      <c r="EG165" s="45"/>
      <c r="EH165" s="45"/>
      <c r="EI165" s="45"/>
      <c r="EJ165" s="45"/>
      <c r="EK165" s="44"/>
      <c r="EL165" s="45"/>
      <c r="EM165" s="45"/>
      <c r="EN165" s="45"/>
      <c r="EO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row>
    <row r="166" spans="1:230" s="4" customFormat="1">
      <c r="A166" s="4" t="s">
        <v>1212</v>
      </c>
      <c r="B166" s="4" t="s">
        <v>1468</v>
      </c>
      <c r="C166" s="4" t="s">
        <v>24</v>
      </c>
      <c r="D166" t="str">
        <f t="shared" si="122"/>
        <v>high-Mg carbonatitic</v>
      </c>
      <c r="E166" s="4" t="s">
        <v>831</v>
      </c>
      <c r="F166" s="4" t="s">
        <v>801</v>
      </c>
      <c r="G166" s="4" t="s">
        <v>800</v>
      </c>
      <c r="H166" s="4" t="s">
        <v>829</v>
      </c>
      <c r="I166" s="49"/>
      <c r="J166" s="4" t="s">
        <v>712</v>
      </c>
      <c r="K166" s="4" t="s">
        <v>1311</v>
      </c>
      <c r="N166" s="4" t="s">
        <v>1208</v>
      </c>
      <c r="O166" s="4">
        <v>46</v>
      </c>
      <c r="P166" s="4">
        <v>9.7425891864061249</v>
      </c>
      <c r="Q166" s="4">
        <v>1.3140700197810151</v>
      </c>
      <c r="R166" s="4">
        <v>0.44433851563340054</v>
      </c>
      <c r="S166" s="4">
        <v>1.8255084987250505</v>
      </c>
      <c r="T166" s="4">
        <v>13.194546124752661</v>
      </c>
      <c r="U166" s="4">
        <v>22.833600617353394</v>
      </c>
      <c r="V166" s="4">
        <v>0.54272016859155703</v>
      </c>
      <c r="W166" s="4">
        <v>21.321054087401823</v>
      </c>
      <c r="X166" s="4">
        <v>10.331197725736939</v>
      </c>
      <c r="Y166" s="4">
        <v>9.6753055883217662</v>
      </c>
      <c r="AA166" s="4">
        <v>4.0447208985702723</v>
      </c>
      <c r="AB166" s="4">
        <v>1.5229472234724302</v>
      </c>
      <c r="AC166" s="4">
        <v>4.0696024843405407</v>
      </c>
      <c r="AE166" s="4">
        <v>2.1271661558425308</v>
      </c>
      <c r="AJ166" s="4">
        <v>8.3000000000000007</v>
      </c>
      <c r="AK166">
        <f t="shared" si="162"/>
        <v>100.47936138723212</v>
      </c>
      <c r="AL166" s="26">
        <f t="shared" si="163"/>
        <v>9.7426550573884043</v>
      </c>
      <c r="AM166" s="26">
        <f t="shared" si="164"/>
        <v>1.3140789043887238</v>
      </c>
      <c r="AN166" s="26">
        <f t="shared" si="165"/>
        <v>1.8255208412384902</v>
      </c>
      <c r="AO166" s="26">
        <f t="shared" si="166"/>
        <v>13.194635334889448</v>
      </c>
      <c r="AP166" s="26">
        <f t="shared" si="167"/>
        <v>22.83375499846019</v>
      </c>
      <c r="AQ166" s="26">
        <f t="shared" si="168"/>
        <v>21.321198241973992</v>
      </c>
      <c r="AR166" s="26">
        <f t="shared" si="169"/>
        <v>4.0696299994813323</v>
      </c>
      <c r="AS166" s="26">
        <f t="shared" si="170"/>
        <v>10.331267576382317</v>
      </c>
      <c r="AT166" s="26">
        <f t="shared" si="171"/>
        <v>9.6753710043904082</v>
      </c>
      <c r="AU166" s="26">
        <f t="shared" si="172"/>
        <v>4.0447482454832473</v>
      </c>
      <c r="AV166" s="26">
        <f t="shared" si="173"/>
        <v>2.1271805379047812</v>
      </c>
      <c r="AW166" s="26">
        <f t="shared" si="174"/>
        <v>100.48004074198134</v>
      </c>
      <c r="AX166" s="53">
        <v>25.3</v>
      </c>
      <c r="AY166" s="53">
        <v>6.4</v>
      </c>
      <c r="BB166" s="53">
        <v>0.62</v>
      </c>
      <c r="BC166" s="53"/>
      <c r="BD166">
        <f t="shared" si="175"/>
        <v>0.38188104179942239</v>
      </c>
      <c r="BE166">
        <f t="shared" si="176"/>
        <v>0.6181189582005775</v>
      </c>
      <c r="BL166" s="44"/>
      <c r="BM166" s="44"/>
      <c r="BN166" s="44"/>
      <c r="BO166" s="44"/>
      <c r="BP166" s="44"/>
      <c r="BQ166" s="44"/>
      <c r="BR166" s="44"/>
      <c r="BS166" s="44"/>
      <c r="BT166" s="44"/>
      <c r="BU166" s="44"/>
      <c r="BV166" s="44"/>
      <c r="BW166" s="44"/>
      <c r="BX166" s="44"/>
      <c r="BY166" s="44"/>
      <c r="BZ166" s="44"/>
      <c r="CA166" s="44"/>
      <c r="CB166" s="44"/>
      <c r="CC166" s="44"/>
      <c r="CD166" s="44"/>
      <c r="CE166" s="44"/>
      <c r="CF166" s="44"/>
      <c r="CG166" s="44"/>
      <c r="CH166" s="44"/>
      <c r="CI166" s="44">
        <v>4.9000000000000002E-2</v>
      </c>
      <c r="CJ166" s="44">
        <v>1.75</v>
      </c>
      <c r="CK166" s="44">
        <v>5.0000000000000001E-3</v>
      </c>
      <c r="CL166" s="44">
        <v>6.6000000000000003E-2</v>
      </c>
      <c r="CM166" s="44"/>
      <c r="CN166" s="44">
        <v>0.151</v>
      </c>
      <c r="CO166" s="44"/>
      <c r="CP166" s="44"/>
      <c r="CQ166" s="44"/>
      <c r="CR166" s="44"/>
      <c r="CS166" s="44"/>
      <c r="CT166" s="44">
        <v>2.7349999999999999</v>
      </c>
      <c r="CU166" s="44"/>
      <c r="CV166" s="44" t="s">
        <v>1192</v>
      </c>
      <c r="CW166" s="44" t="s">
        <v>1192</v>
      </c>
      <c r="CX166" s="44">
        <v>1.9E-2</v>
      </c>
      <c r="CY166" s="44">
        <v>6.5000000000000002E-2</v>
      </c>
      <c r="CZ166" s="44">
        <v>7.0000000000000001E-3</v>
      </c>
      <c r="DA166" s="44">
        <v>2E-3</v>
      </c>
      <c r="DB166" s="44">
        <v>3.0000000000000001E-3</v>
      </c>
      <c r="DC166" s="44">
        <v>1E-3</v>
      </c>
      <c r="DD166" s="44"/>
      <c r="DE166" s="44" t="s">
        <v>1192</v>
      </c>
      <c r="DF166" s="44"/>
      <c r="DG166" s="44" t="s">
        <v>1192</v>
      </c>
      <c r="DH166" s="44" t="s">
        <v>1192</v>
      </c>
      <c r="DI166" s="44" t="s">
        <v>1192</v>
      </c>
      <c r="DJ166" s="44"/>
      <c r="DK166" s="44"/>
      <c r="DL166" s="44">
        <v>0.27800000000000002</v>
      </c>
      <c r="DM166" s="44">
        <v>3.6999999999999998E-2</v>
      </c>
      <c r="DN166" s="44">
        <v>8.0000000000000002E-3</v>
      </c>
      <c r="DO166" s="44" t="s">
        <v>1192</v>
      </c>
      <c r="DP166" s="44"/>
      <c r="DQ166" s="44"/>
      <c r="DR166" s="44"/>
      <c r="DS166" s="44"/>
      <c r="DT166" s="44"/>
      <c r="DU166" s="44"/>
      <c r="DV166" s="44"/>
      <c r="DW166" s="45"/>
      <c r="DX166" s="45"/>
      <c r="DY166" s="45"/>
      <c r="DZ166" s="45"/>
      <c r="EA166" s="45"/>
      <c r="EB166" s="45"/>
      <c r="EC166" s="45"/>
      <c r="ED166" s="45"/>
      <c r="EE166" s="45"/>
      <c r="EF166" s="45"/>
      <c r="EG166" s="45"/>
      <c r="EH166" s="45"/>
      <c r="EI166" s="45"/>
      <c r="EJ166" s="45"/>
      <c r="EK166" s="44"/>
      <c r="EL166" s="45"/>
      <c r="EM166" s="45"/>
      <c r="EN166" s="45"/>
      <c r="EO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row>
    <row r="167" spans="1:230" s="4" customFormat="1">
      <c r="A167" s="4" t="s">
        <v>1212</v>
      </c>
      <c r="B167" s="4" t="s">
        <v>1468</v>
      </c>
      <c r="C167" s="4" t="s">
        <v>24</v>
      </c>
      <c r="D167" t="str">
        <f t="shared" si="122"/>
        <v>high-Mg carbonatitic</v>
      </c>
      <c r="E167" s="4" t="s">
        <v>831</v>
      </c>
      <c r="F167" s="4" t="s">
        <v>801</v>
      </c>
      <c r="G167" s="4" t="s">
        <v>800</v>
      </c>
      <c r="H167" s="4" t="s">
        <v>829</v>
      </c>
      <c r="I167" s="49"/>
      <c r="J167" s="4" t="s">
        <v>712</v>
      </c>
      <c r="K167" s="4" t="s">
        <v>1311</v>
      </c>
      <c r="N167" s="4" t="s">
        <v>1209</v>
      </c>
      <c r="O167" s="4">
        <v>46</v>
      </c>
      <c r="P167" s="4">
        <v>9.7425891864061249</v>
      </c>
      <c r="Q167" s="4">
        <v>1.3140700197810151</v>
      </c>
      <c r="R167" s="4">
        <v>0.44433851563340054</v>
      </c>
      <c r="S167" s="4">
        <v>1.8255084987250505</v>
      </c>
      <c r="T167" s="4">
        <v>13.194546124752661</v>
      </c>
      <c r="U167" s="4">
        <v>22.833600617353394</v>
      </c>
      <c r="V167" s="4">
        <v>0.54272016859155703</v>
      </c>
      <c r="W167" s="4">
        <v>21.321054087401823</v>
      </c>
      <c r="X167" s="4">
        <v>10.331197725736939</v>
      </c>
      <c r="Y167" s="4">
        <v>9.6753055883217662</v>
      </c>
      <c r="AA167" s="4">
        <v>4.0447208985702723</v>
      </c>
      <c r="AB167" s="4">
        <v>1.5229472234724302</v>
      </c>
      <c r="AC167" s="4">
        <v>4.0696024843405407</v>
      </c>
      <c r="AE167" s="4">
        <v>2.1271661558425308</v>
      </c>
      <c r="AJ167" s="4">
        <v>8.3000000000000007</v>
      </c>
      <c r="AK167">
        <f t="shared" si="162"/>
        <v>100.47936138723212</v>
      </c>
      <c r="AL167" s="26">
        <f t="shared" si="163"/>
        <v>9.7426550573884043</v>
      </c>
      <c r="AM167" s="26">
        <f t="shared" si="164"/>
        <v>1.3140789043887238</v>
      </c>
      <c r="AN167" s="26">
        <f t="shared" si="165"/>
        <v>1.8255208412384902</v>
      </c>
      <c r="AO167" s="26">
        <f t="shared" si="166"/>
        <v>13.194635334889448</v>
      </c>
      <c r="AP167" s="26">
        <f t="shared" si="167"/>
        <v>22.83375499846019</v>
      </c>
      <c r="AQ167" s="26">
        <f t="shared" si="168"/>
        <v>21.321198241973992</v>
      </c>
      <c r="AR167" s="26">
        <f t="shared" si="169"/>
        <v>4.0696299994813323</v>
      </c>
      <c r="AS167" s="26">
        <f t="shared" si="170"/>
        <v>10.331267576382317</v>
      </c>
      <c r="AT167" s="26">
        <f t="shared" si="171"/>
        <v>9.6753710043904082</v>
      </c>
      <c r="AU167" s="26">
        <f t="shared" si="172"/>
        <v>4.0447482454832473</v>
      </c>
      <c r="AV167" s="26">
        <f t="shared" si="173"/>
        <v>2.1271805379047812</v>
      </c>
      <c r="AW167" s="26">
        <f t="shared" si="174"/>
        <v>100.48004074198134</v>
      </c>
      <c r="AX167" s="53">
        <v>25.3</v>
      </c>
      <c r="AY167" s="53">
        <v>6.4</v>
      </c>
      <c r="BB167" s="53">
        <v>0.62</v>
      </c>
      <c r="BC167" s="53"/>
      <c r="BD167">
        <f t="shared" si="175"/>
        <v>0.38188104179942239</v>
      </c>
      <c r="BE167">
        <f t="shared" si="176"/>
        <v>0.6181189582005775</v>
      </c>
      <c r="BL167" s="44"/>
      <c r="BM167" s="44"/>
      <c r="BN167" s="44"/>
      <c r="BO167" s="44"/>
      <c r="BP167" s="44"/>
      <c r="BQ167" s="44"/>
      <c r="BR167" s="44"/>
      <c r="BS167" s="44"/>
      <c r="BT167" s="44"/>
      <c r="BU167" s="44"/>
      <c r="BV167" s="44"/>
      <c r="BW167" s="44"/>
      <c r="BX167" s="44"/>
      <c r="BY167" s="44"/>
      <c r="BZ167" s="44"/>
      <c r="CA167" s="44"/>
      <c r="CB167" s="44"/>
      <c r="CC167" s="44"/>
      <c r="CD167" s="44"/>
      <c r="CE167" s="44"/>
      <c r="CF167" s="44"/>
      <c r="CG167" s="44"/>
      <c r="CH167" s="44"/>
      <c r="CI167" s="44">
        <v>0.29499999999999998</v>
      </c>
      <c r="CJ167" s="44">
        <v>4.7590000000000003</v>
      </c>
      <c r="CK167" s="44">
        <v>4.2999999999999997E-2</v>
      </c>
      <c r="CL167" s="44">
        <v>1.7889999999999999</v>
      </c>
      <c r="CM167" s="44"/>
      <c r="CN167" s="44">
        <v>0.91</v>
      </c>
      <c r="CO167" s="44"/>
      <c r="CP167" s="44"/>
      <c r="CQ167" s="44"/>
      <c r="CR167" s="44"/>
      <c r="CS167" s="44"/>
      <c r="CT167" s="44">
        <v>17.75</v>
      </c>
      <c r="CU167" s="44"/>
      <c r="CV167" s="44">
        <v>1.1200000000000001</v>
      </c>
      <c r="CW167" s="44">
        <v>1.5940000000000001</v>
      </c>
      <c r="CX167" s="44">
        <v>0.14799999999999999</v>
      </c>
      <c r="CY167" s="44">
        <v>0.42199999999999999</v>
      </c>
      <c r="CZ167" s="44">
        <v>4.2000000000000003E-2</v>
      </c>
      <c r="DA167" s="44">
        <v>8.9999999999999993E-3</v>
      </c>
      <c r="DB167" s="44">
        <v>1.6E-2</v>
      </c>
      <c r="DC167" s="44">
        <v>8.9999999999999993E-3</v>
      </c>
      <c r="DD167" s="44"/>
      <c r="DE167" s="44">
        <v>3.0000000000000001E-3</v>
      </c>
      <c r="DF167" s="44"/>
      <c r="DG167" s="44" t="s">
        <v>1192</v>
      </c>
      <c r="DH167" s="44" t="s">
        <v>1192</v>
      </c>
      <c r="DI167" s="44">
        <v>0.03</v>
      </c>
      <c r="DJ167" s="44"/>
      <c r="DK167" s="44"/>
      <c r="DL167" s="44">
        <v>2.3849999999999998</v>
      </c>
      <c r="DM167" s="44">
        <v>0.158</v>
      </c>
      <c r="DN167" s="44">
        <v>3.5000000000000003E-2</v>
      </c>
      <c r="DO167" s="44">
        <v>3.0000000000000001E-3</v>
      </c>
      <c r="DP167" s="44"/>
      <c r="DQ167" s="44"/>
      <c r="DR167" s="44"/>
      <c r="DS167" s="44"/>
      <c r="DT167" s="44"/>
      <c r="DU167" s="44"/>
      <c r="DV167" s="44"/>
      <c r="DW167" s="45"/>
      <c r="DX167" s="45"/>
      <c r="DY167" s="45"/>
      <c r="DZ167" s="45"/>
      <c r="EA167" s="45"/>
      <c r="EB167" s="45"/>
      <c r="EC167" s="45"/>
      <c r="ED167" s="45"/>
      <c r="EE167" s="45"/>
      <c r="EF167" s="45"/>
      <c r="EG167" s="45"/>
      <c r="EH167" s="45"/>
      <c r="EI167" s="45"/>
      <c r="EJ167" s="45"/>
      <c r="EK167" s="44"/>
      <c r="EL167" s="45"/>
      <c r="EM167" s="45"/>
      <c r="EN167" s="45"/>
      <c r="EO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row>
    <row r="168" spans="1:230" s="4" customFormat="1">
      <c r="A168" s="4" t="s">
        <v>847</v>
      </c>
      <c r="B168" s="4" t="s">
        <v>1468</v>
      </c>
      <c r="C168" s="4" t="s">
        <v>24</v>
      </c>
      <c r="D168" t="str">
        <f t="shared" si="122"/>
        <v>saline</v>
      </c>
      <c r="E168" s="4" t="s">
        <v>546</v>
      </c>
      <c r="F168" s="4" t="s">
        <v>1394</v>
      </c>
      <c r="G168" s="4" t="s">
        <v>1728</v>
      </c>
      <c r="H168" s="4" t="s">
        <v>595</v>
      </c>
      <c r="I168" s="4">
        <v>84</v>
      </c>
      <c r="J168" s="4" t="s">
        <v>1148</v>
      </c>
      <c r="M168" s="4" t="s">
        <v>535</v>
      </c>
      <c r="N168" s="4" t="s">
        <v>548</v>
      </c>
      <c r="O168" s="4">
        <v>12</v>
      </c>
      <c r="P168" s="4">
        <v>1.44</v>
      </c>
      <c r="R168" s="4">
        <v>0.08</v>
      </c>
      <c r="T168" s="4">
        <v>7.29</v>
      </c>
      <c r="U168" s="4">
        <v>4.79</v>
      </c>
      <c r="W168" s="4">
        <v>6.01</v>
      </c>
      <c r="X168" s="4">
        <v>23.78</v>
      </c>
      <c r="Y168" s="4">
        <v>31.09</v>
      </c>
      <c r="AA168" s="4">
        <v>0.39</v>
      </c>
      <c r="AE168" s="4">
        <v>25.13</v>
      </c>
      <c r="AJ168" s="4">
        <v>10.87</v>
      </c>
      <c r="AK168">
        <f t="shared" si="162"/>
        <v>99.92</v>
      </c>
      <c r="AL168" s="26">
        <f t="shared" si="163"/>
        <v>1.5278690644226314</v>
      </c>
      <c r="AM168" s="26">
        <f t="shared" si="164"/>
        <v>0</v>
      </c>
      <c r="AN168" s="26">
        <f t="shared" si="165"/>
        <v>0</v>
      </c>
      <c r="AO168" s="26">
        <f t="shared" si="166"/>
        <v>7.7348371386395716</v>
      </c>
      <c r="AP168" s="26">
        <f t="shared" si="167"/>
        <v>5.082286679572503</v>
      </c>
      <c r="AQ168" s="26">
        <f t="shared" si="168"/>
        <v>6.3767313035972331</v>
      </c>
      <c r="AR168" s="26">
        <f t="shared" si="169"/>
        <v>0</v>
      </c>
      <c r="AS168" s="26">
        <f t="shared" si="170"/>
        <v>25.231059966645958</v>
      </c>
      <c r="AT168" s="26">
        <f t="shared" si="171"/>
        <v>32.987117508958065</v>
      </c>
      <c r="AU168" s="26">
        <f t="shared" si="172"/>
        <v>0.41379787161446269</v>
      </c>
      <c r="AV168" s="26">
        <f t="shared" si="173"/>
        <v>26.663437214542167</v>
      </c>
      <c r="AW168" s="26">
        <f t="shared" si="174"/>
        <v>106.01713674799259</v>
      </c>
      <c r="AX168" s="26"/>
      <c r="AY168" s="26"/>
      <c r="BD168"/>
      <c r="BE168"/>
      <c r="BF168" s="4">
        <v>-7.08</v>
      </c>
      <c r="BH168" s="4" t="s">
        <v>540</v>
      </c>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CV168" s="44"/>
      <c r="CW168" s="44"/>
      <c r="CX168" s="44"/>
      <c r="CY168" s="44"/>
      <c r="CZ168" s="44"/>
      <c r="DA168" s="44"/>
      <c r="DB168" s="44"/>
      <c r="DC168" s="44"/>
      <c r="DD168" s="44"/>
      <c r="DE168" s="44"/>
      <c r="DF168" s="44"/>
      <c r="DG168" s="44"/>
      <c r="DH168" s="44"/>
      <c r="DI168" s="44"/>
      <c r="DJ168" s="44"/>
      <c r="DK168" s="44"/>
      <c r="DL168" s="44"/>
      <c r="DM168" s="44"/>
      <c r="DN168" s="44"/>
      <c r="DO168" s="44"/>
      <c r="DP168" s="44"/>
      <c r="DQ168" s="44"/>
      <c r="DR168" s="44"/>
      <c r="DS168" s="44"/>
      <c r="DT168" s="44"/>
      <c r="DU168" s="44"/>
      <c r="DV168" s="44"/>
      <c r="DW168" s="45"/>
      <c r="DX168" s="45"/>
      <c r="DY168" s="45"/>
      <c r="DZ168" s="45"/>
      <c r="EA168" s="45"/>
      <c r="EB168" s="45"/>
      <c r="EC168" s="45"/>
      <c r="ED168" s="45"/>
      <c r="EE168" s="45"/>
      <c r="EF168" s="45"/>
      <c r="EG168" s="45"/>
      <c r="EH168" s="45"/>
      <c r="EI168" s="45"/>
      <c r="EJ168" s="45"/>
      <c r="EK168" s="44"/>
      <c r="EL168" s="45"/>
      <c r="EM168" s="45"/>
      <c r="EN168" s="45"/>
      <c r="EO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row>
    <row r="169" spans="1:230" s="4" customFormat="1">
      <c r="A169" s="4" t="s">
        <v>847</v>
      </c>
      <c r="B169" s="4" t="s">
        <v>1468</v>
      </c>
      <c r="C169" s="4" t="s">
        <v>24</v>
      </c>
      <c r="D169" t="str">
        <f t="shared" si="122"/>
        <v>saline</v>
      </c>
      <c r="E169" s="4" t="s">
        <v>546</v>
      </c>
      <c r="F169" s="4" t="s">
        <v>1394</v>
      </c>
      <c r="G169" s="4" t="s">
        <v>1728</v>
      </c>
      <c r="H169" s="4" t="s">
        <v>595</v>
      </c>
      <c r="I169" s="4">
        <v>84</v>
      </c>
      <c r="J169" s="4" t="s">
        <v>1148</v>
      </c>
      <c r="M169" s="4" t="s">
        <v>550</v>
      </c>
      <c r="N169" s="4" t="s">
        <v>549</v>
      </c>
      <c r="O169" s="4">
        <v>11</v>
      </c>
      <c r="P169" s="4">
        <v>1.65</v>
      </c>
      <c r="Q169" s="4">
        <v>0.13</v>
      </c>
      <c r="R169" s="4">
        <v>0.13</v>
      </c>
      <c r="T169" s="4">
        <v>8.1999999999999993</v>
      </c>
      <c r="U169" s="4">
        <v>4.63</v>
      </c>
      <c r="W169" s="4">
        <v>6.68</v>
      </c>
      <c r="X169" s="4">
        <v>20.14</v>
      </c>
      <c r="Y169" s="4">
        <v>33.35</v>
      </c>
      <c r="AA169" s="4">
        <v>0.31</v>
      </c>
      <c r="AE169" s="4">
        <v>24.79</v>
      </c>
      <c r="AJ169" s="4">
        <v>13.66</v>
      </c>
      <c r="AK169">
        <f t="shared" si="162"/>
        <v>99.88</v>
      </c>
      <c r="AL169" s="26">
        <f t="shared" si="163"/>
        <v>1.7500013463274879</v>
      </c>
      <c r="AM169" s="26">
        <f t="shared" si="164"/>
        <v>0.13787889395307482</v>
      </c>
      <c r="AN169" s="26">
        <f t="shared" si="165"/>
        <v>0</v>
      </c>
      <c r="AO169" s="26">
        <f t="shared" si="166"/>
        <v>8.6969763878093325</v>
      </c>
      <c r="AP169" s="26">
        <f t="shared" si="167"/>
        <v>4.9106098384825874</v>
      </c>
      <c r="AQ169" s="26">
        <f t="shared" si="168"/>
        <v>7.0848539354349205</v>
      </c>
      <c r="AR169" s="26">
        <f t="shared" si="169"/>
        <v>0</v>
      </c>
      <c r="AS169" s="26">
        <f t="shared" si="170"/>
        <v>21.360622493960975</v>
      </c>
      <c r="AT169" s="26">
        <f t="shared" si="171"/>
        <v>35.371239333346502</v>
      </c>
      <c r="AU169" s="26">
        <f t="shared" si="172"/>
        <v>0.32878813173425531</v>
      </c>
      <c r="AV169" s="26">
        <f t="shared" si="173"/>
        <v>26.2924444699748</v>
      </c>
      <c r="AW169" s="26">
        <f t="shared" si="174"/>
        <v>105.93341483102394</v>
      </c>
      <c r="AX169" s="26"/>
      <c r="AY169" s="26"/>
      <c r="BD169"/>
      <c r="BE169"/>
      <c r="BF169" s="4">
        <v>-7.63</v>
      </c>
      <c r="BH169" s="4" t="s">
        <v>540</v>
      </c>
      <c r="BL169" s="44"/>
      <c r="BM169" s="44"/>
      <c r="BN169" s="44"/>
      <c r="BO169" s="44"/>
      <c r="BP169" s="44"/>
      <c r="BQ169" s="44"/>
      <c r="BR169" s="44"/>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44"/>
      <c r="CO169" s="44"/>
      <c r="CP169" s="44"/>
      <c r="CQ169" s="44"/>
      <c r="CR169" s="44"/>
      <c r="CS169" s="44"/>
      <c r="CT169" s="44"/>
      <c r="CU169" s="44"/>
      <c r="CV169" s="44"/>
      <c r="CW169" s="44"/>
      <c r="CX169" s="44"/>
      <c r="CY169" s="44"/>
      <c r="CZ169" s="44"/>
      <c r="DA169" s="44"/>
      <c r="DB169" s="44"/>
      <c r="DC169" s="44"/>
      <c r="DD169" s="44"/>
      <c r="DE169" s="44"/>
      <c r="DF169" s="44"/>
      <c r="DG169" s="44"/>
      <c r="DH169" s="44"/>
      <c r="DI169" s="44"/>
      <c r="DJ169" s="44"/>
      <c r="DK169" s="44"/>
      <c r="DL169" s="44"/>
      <c r="DM169" s="44"/>
      <c r="DN169" s="44"/>
      <c r="DO169" s="44"/>
      <c r="DP169" s="44"/>
      <c r="DQ169" s="44"/>
      <c r="DR169" s="44"/>
      <c r="DS169" s="44"/>
      <c r="DT169" s="44"/>
      <c r="DU169" s="44"/>
      <c r="DV169" s="44"/>
      <c r="DW169" s="45"/>
      <c r="DX169" s="45"/>
      <c r="DY169" s="45"/>
      <c r="DZ169" s="45"/>
      <c r="EA169" s="45"/>
      <c r="EB169" s="45"/>
      <c r="EC169" s="45"/>
      <c r="ED169" s="45"/>
      <c r="EE169" s="45"/>
      <c r="EF169" s="45"/>
      <c r="EG169" s="45"/>
      <c r="EH169" s="45"/>
      <c r="EI169" s="45"/>
      <c r="EJ169" s="45"/>
      <c r="EK169" s="44"/>
      <c r="EL169" s="45"/>
      <c r="EM169" s="45"/>
      <c r="EN169" s="45"/>
      <c r="EO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row>
    <row r="170" spans="1:230" s="4" customFormat="1">
      <c r="A170" s="4" t="s">
        <v>847</v>
      </c>
      <c r="B170" s="4" t="s">
        <v>1468</v>
      </c>
      <c r="C170" s="4" t="s">
        <v>24</v>
      </c>
      <c r="D170" t="str">
        <f t="shared" si="122"/>
        <v>saline</v>
      </c>
      <c r="E170" s="4" t="s">
        <v>546</v>
      </c>
      <c r="F170" s="4" t="s">
        <v>1394</v>
      </c>
      <c r="G170" s="4" t="s">
        <v>1728</v>
      </c>
      <c r="H170" s="4" t="s">
        <v>595</v>
      </c>
      <c r="I170" s="4">
        <v>84</v>
      </c>
      <c r="J170" s="4" t="s">
        <v>1148</v>
      </c>
      <c r="M170" s="4" t="s">
        <v>161</v>
      </c>
      <c r="N170" s="4" t="s">
        <v>551</v>
      </c>
      <c r="O170" s="4">
        <v>10</v>
      </c>
      <c r="P170" s="4">
        <v>1</v>
      </c>
      <c r="T170" s="4">
        <v>9.18</v>
      </c>
      <c r="U170" s="4">
        <v>6.33</v>
      </c>
      <c r="W170" s="4">
        <v>9.7100000000000009</v>
      </c>
      <c r="X170" s="4">
        <v>19.46</v>
      </c>
      <c r="Y170" s="4">
        <v>31.83</v>
      </c>
      <c r="AE170" s="4">
        <v>22.48</v>
      </c>
      <c r="AJ170" s="4">
        <v>8.66</v>
      </c>
      <c r="AK170">
        <f t="shared" si="162"/>
        <v>99.99</v>
      </c>
      <c r="AL170" s="26">
        <f t="shared" si="163"/>
        <v>1.0535527239241615</v>
      </c>
      <c r="AM170" s="26">
        <f t="shared" si="164"/>
        <v>0</v>
      </c>
      <c r="AN170" s="26">
        <f t="shared" si="165"/>
        <v>0</v>
      </c>
      <c r="AO170" s="26">
        <f t="shared" si="166"/>
        <v>9.6716140056238018</v>
      </c>
      <c r="AP170" s="26">
        <f t="shared" si="167"/>
        <v>6.6689887424399421</v>
      </c>
      <c r="AQ170" s="26">
        <f t="shared" si="168"/>
        <v>10.229996949303608</v>
      </c>
      <c r="AR170" s="26">
        <f t="shared" si="169"/>
        <v>0</v>
      </c>
      <c r="AS170" s="26">
        <f t="shared" si="170"/>
        <v>20.502136007564182</v>
      </c>
      <c r="AT170" s="26">
        <f t="shared" si="171"/>
        <v>33.534583202506056</v>
      </c>
      <c r="AU170" s="26">
        <f t="shared" si="172"/>
        <v>0</v>
      </c>
      <c r="AV170" s="26">
        <f t="shared" si="173"/>
        <v>23.683865233815151</v>
      </c>
      <c r="AW170" s="26">
        <f t="shared" si="174"/>
        <v>105.3447368651769</v>
      </c>
      <c r="AX170" s="26"/>
      <c r="AY170" s="26"/>
      <c r="BD170"/>
      <c r="BE170"/>
      <c r="BF170" s="4">
        <v>-6.56</v>
      </c>
      <c r="BH170" s="4" t="s">
        <v>540</v>
      </c>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4"/>
      <c r="CO170" s="44"/>
      <c r="CP170" s="44"/>
      <c r="CQ170" s="44"/>
      <c r="CR170" s="44"/>
      <c r="CS170" s="44"/>
      <c r="CT170" s="44"/>
      <c r="CU170" s="44"/>
      <c r="CV170" s="44"/>
      <c r="CW170" s="44"/>
      <c r="CX170" s="44"/>
      <c r="CY170" s="44"/>
      <c r="CZ170" s="44"/>
      <c r="DA170" s="44"/>
      <c r="DB170" s="44"/>
      <c r="DC170" s="44"/>
      <c r="DD170" s="44"/>
      <c r="DE170" s="44"/>
      <c r="DF170" s="44"/>
      <c r="DG170" s="44"/>
      <c r="DH170" s="44"/>
      <c r="DI170" s="44"/>
      <c r="DJ170" s="44"/>
      <c r="DK170" s="44"/>
      <c r="DL170" s="44"/>
      <c r="DM170" s="44"/>
      <c r="DN170" s="44"/>
      <c r="DO170" s="44"/>
      <c r="DP170" s="44"/>
      <c r="DQ170" s="44"/>
      <c r="DR170" s="44"/>
      <c r="DS170" s="44"/>
      <c r="DT170" s="44"/>
      <c r="DU170" s="44"/>
      <c r="DV170" s="44"/>
      <c r="DW170" s="45"/>
      <c r="DX170" s="45"/>
      <c r="DY170" s="45"/>
      <c r="DZ170" s="45"/>
      <c r="EA170" s="45"/>
      <c r="EB170" s="45"/>
      <c r="EC170" s="45"/>
      <c r="ED170" s="45"/>
      <c r="EE170" s="45"/>
      <c r="EF170" s="45"/>
      <c r="EG170" s="45"/>
      <c r="EH170" s="45"/>
      <c r="EI170" s="45"/>
      <c r="EJ170" s="45"/>
      <c r="EK170" s="44"/>
      <c r="EL170" s="45"/>
      <c r="EM170" s="45"/>
      <c r="EN170" s="45"/>
      <c r="EO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row>
    <row r="171" spans="1:230" s="4" customFormat="1">
      <c r="A171" s="4" t="s">
        <v>847</v>
      </c>
      <c r="B171" s="4" t="s">
        <v>1468</v>
      </c>
      <c r="C171" s="4" t="s">
        <v>24</v>
      </c>
      <c r="D171" t="str">
        <f t="shared" si="122"/>
        <v>saline</v>
      </c>
      <c r="E171" s="4" t="s">
        <v>546</v>
      </c>
      <c r="F171" s="4" t="s">
        <v>1394</v>
      </c>
      <c r="G171" s="4" t="s">
        <v>1728</v>
      </c>
      <c r="H171" s="4" t="s">
        <v>595</v>
      </c>
      <c r="I171" s="4">
        <v>84</v>
      </c>
      <c r="J171" s="4" t="s">
        <v>1148</v>
      </c>
      <c r="M171" s="4" t="s">
        <v>550</v>
      </c>
      <c r="N171" s="4" t="s">
        <v>552</v>
      </c>
      <c r="O171" s="4">
        <v>12</v>
      </c>
      <c r="P171" s="4">
        <v>1.1100000000000001</v>
      </c>
      <c r="R171" s="4">
        <v>0.17</v>
      </c>
      <c r="T171" s="4">
        <v>6.42</v>
      </c>
      <c r="U171" s="4">
        <v>4.24</v>
      </c>
      <c r="W171" s="4">
        <v>6.85</v>
      </c>
      <c r="X171" s="4">
        <v>18.760000000000002</v>
      </c>
      <c r="Y171" s="4">
        <v>37.270000000000003</v>
      </c>
      <c r="AE171" s="4">
        <v>25.18</v>
      </c>
      <c r="AJ171" s="4">
        <v>12.58</v>
      </c>
      <c r="AK171">
        <f t="shared" si="162"/>
        <v>99.830000000000013</v>
      </c>
      <c r="AL171" s="26">
        <f t="shared" si="163"/>
        <v>1.1789994018037571</v>
      </c>
      <c r="AM171" s="26">
        <f t="shared" si="164"/>
        <v>0</v>
      </c>
      <c r="AN171" s="26">
        <f t="shared" si="165"/>
        <v>0</v>
      </c>
      <c r="AO171" s="26">
        <f t="shared" si="166"/>
        <v>6.8190776212433519</v>
      </c>
      <c r="AP171" s="26">
        <f t="shared" si="167"/>
        <v>4.5035652825657033</v>
      </c>
      <c r="AQ171" s="26">
        <f t="shared" si="168"/>
        <v>7.2758071192394009</v>
      </c>
      <c r="AR171" s="26">
        <f t="shared" si="169"/>
        <v>0</v>
      </c>
      <c r="AS171" s="26">
        <f t="shared" si="170"/>
        <v>19.926152052106744</v>
      </c>
      <c r="AT171" s="26">
        <f t="shared" si="171"/>
        <v>39.586763698401825</v>
      </c>
      <c r="AU171" s="26">
        <f t="shared" si="172"/>
        <v>0</v>
      </c>
      <c r="AV171" s="26">
        <f t="shared" si="173"/>
        <v>26.745229673350089</v>
      </c>
      <c r="AW171" s="26">
        <f t="shared" si="174"/>
        <v>106.03559484871087</v>
      </c>
      <c r="AX171" s="26"/>
      <c r="AY171" s="26"/>
      <c r="BD171"/>
      <c r="BE171"/>
      <c r="BF171" s="4">
        <v>-6.44</v>
      </c>
      <c r="BH171" s="4" t="s">
        <v>540</v>
      </c>
      <c r="BL171" s="44"/>
      <c r="BM171" s="44"/>
      <c r="BN171" s="44"/>
      <c r="BO171" s="44"/>
      <c r="BP171" s="44"/>
      <c r="BQ171" s="44"/>
      <c r="BR171" s="44"/>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44"/>
      <c r="CO171" s="44"/>
      <c r="CP171" s="44"/>
      <c r="CQ171" s="44"/>
      <c r="CR171" s="44"/>
      <c r="CS171" s="44"/>
      <c r="CT171" s="44"/>
      <c r="CU171" s="44"/>
      <c r="CV171" s="44"/>
      <c r="CW171" s="44"/>
      <c r="CX171" s="44"/>
      <c r="CY171" s="44"/>
      <c r="CZ171" s="44"/>
      <c r="DA171" s="44"/>
      <c r="DB171" s="44"/>
      <c r="DC171" s="44"/>
      <c r="DD171" s="44"/>
      <c r="DE171" s="44"/>
      <c r="DF171" s="44"/>
      <c r="DG171" s="44"/>
      <c r="DH171" s="44"/>
      <c r="DI171" s="44"/>
      <c r="DJ171" s="44"/>
      <c r="DK171" s="44"/>
      <c r="DL171" s="44"/>
      <c r="DM171" s="44"/>
      <c r="DN171" s="44"/>
      <c r="DO171" s="44"/>
      <c r="DP171" s="44"/>
      <c r="DQ171" s="44"/>
      <c r="DR171" s="44"/>
      <c r="DS171" s="44"/>
      <c r="DT171" s="44"/>
      <c r="DU171" s="44"/>
      <c r="DV171" s="44"/>
      <c r="DW171" s="45"/>
      <c r="DX171" s="45"/>
      <c r="DY171" s="45"/>
      <c r="DZ171" s="45"/>
      <c r="EA171" s="45"/>
      <c r="EB171" s="45"/>
      <c r="EC171" s="45"/>
      <c r="ED171" s="45"/>
      <c r="EE171" s="45"/>
      <c r="EF171" s="45"/>
      <c r="EG171" s="45"/>
      <c r="EH171" s="45"/>
      <c r="EI171" s="45"/>
      <c r="EJ171" s="45"/>
      <c r="EK171" s="44"/>
      <c r="EL171" s="45"/>
      <c r="EM171" s="45"/>
      <c r="EN171" s="45"/>
      <c r="EO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row>
    <row r="172" spans="1:230" s="4" customFormat="1">
      <c r="A172" s="4" t="s">
        <v>847</v>
      </c>
      <c r="B172" s="4" t="s">
        <v>1468</v>
      </c>
      <c r="C172" s="4" t="s">
        <v>24</v>
      </c>
      <c r="D172" t="str">
        <f t="shared" si="122"/>
        <v>saline</v>
      </c>
      <c r="E172" s="4" t="s">
        <v>546</v>
      </c>
      <c r="F172" s="4" t="s">
        <v>1394</v>
      </c>
      <c r="G172" s="4" t="s">
        <v>1728</v>
      </c>
      <c r="H172" s="4" t="s">
        <v>595</v>
      </c>
      <c r="I172" s="4">
        <v>84</v>
      </c>
      <c r="J172" s="4" t="s">
        <v>1148</v>
      </c>
      <c r="M172" s="4" t="s">
        <v>160</v>
      </c>
      <c r="N172" s="4" t="s">
        <v>553</v>
      </c>
      <c r="O172" s="4">
        <v>18</v>
      </c>
      <c r="P172" s="4">
        <v>1.92</v>
      </c>
      <c r="R172" s="4">
        <v>7.0000000000000007E-2</v>
      </c>
      <c r="T172" s="4">
        <v>5.31</v>
      </c>
      <c r="U172" s="4">
        <v>4.2300000000000004</v>
      </c>
      <c r="W172" s="4">
        <v>5.31</v>
      </c>
      <c r="X172" s="4">
        <v>18.489999999999998</v>
      </c>
      <c r="Y172" s="4">
        <v>38.119999999999997</v>
      </c>
      <c r="AA172" s="4">
        <v>7.0000000000000007E-2</v>
      </c>
      <c r="AE172" s="4">
        <v>26.49</v>
      </c>
      <c r="AJ172" s="4">
        <v>12.42</v>
      </c>
      <c r="AK172">
        <f t="shared" si="162"/>
        <v>99.939999999999984</v>
      </c>
      <c r="AL172" s="26">
        <f t="shared" si="163"/>
        <v>2.0433791770703462</v>
      </c>
      <c r="AM172" s="26">
        <f t="shared" si="164"/>
        <v>0</v>
      </c>
      <c r="AN172" s="26">
        <f t="shared" si="165"/>
        <v>0</v>
      </c>
      <c r="AO172" s="26">
        <f t="shared" si="166"/>
        <v>5.6512205365851758</v>
      </c>
      <c r="AP172" s="26">
        <f t="shared" si="167"/>
        <v>4.5018197494831069</v>
      </c>
      <c r="AQ172" s="26">
        <f t="shared" si="168"/>
        <v>5.6512205365851758</v>
      </c>
      <c r="AR172" s="26">
        <f t="shared" si="169"/>
        <v>0</v>
      </c>
      <c r="AS172" s="26">
        <f t="shared" si="170"/>
        <v>19.678167179182655</v>
      </c>
      <c r="AT172" s="26">
        <f t="shared" si="171"/>
        <v>40.569590744750826</v>
      </c>
      <c r="AU172" s="26">
        <f t="shared" si="172"/>
        <v>7.4498199164023046E-2</v>
      </c>
      <c r="AV172" s="26">
        <f t="shared" si="173"/>
        <v>28.192247083642428</v>
      </c>
      <c r="AW172" s="26">
        <f t="shared" si="174"/>
        <v>106.36214320646374</v>
      </c>
      <c r="AX172" s="26"/>
      <c r="AY172" s="26"/>
      <c r="BD172"/>
      <c r="BE172"/>
      <c r="BF172" s="4">
        <v>-6.59</v>
      </c>
      <c r="BH172" s="4" t="s">
        <v>540</v>
      </c>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c r="CQ172" s="44"/>
      <c r="CR172" s="44"/>
      <c r="CS172" s="44"/>
      <c r="CT172" s="44"/>
      <c r="CU172" s="44"/>
      <c r="CV172" s="44"/>
      <c r="CW172" s="44"/>
      <c r="CX172" s="44"/>
      <c r="CY172" s="44"/>
      <c r="CZ172" s="44"/>
      <c r="DA172" s="44"/>
      <c r="DB172" s="44"/>
      <c r="DC172" s="44"/>
      <c r="DD172" s="44"/>
      <c r="DE172" s="44"/>
      <c r="DF172" s="44"/>
      <c r="DG172" s="44"/>
      <c r="DH172" s="44"/>
      <c r="DI172" s="44"/>
      <c r="DJ172" s="44"/>
      <c r="DK172" s="44"/>
      <c r="DL172" s="44"/>
      <c r="DM172" s="44"/>
      <c r="DN172" s="44"/>
      <c r="DO172" s="44"/>
      <c r="DP172" s="44"/>
      <c r="DQ172" s="44"/>
      <c r="DR172" s="44"/>
      <c r="DS172" s="44"/>
      <c r="DT172" s="44"/>
      <c r="DU172" s="44"/>
      <c r="DV172" s="44"/>
      <c r="DW172" s="45"/>
      <c r="DX172" s="45"/>
      <c r="DY172" s="45"/>
      <c r="DZ172" s="45"/>
      <c r="EA172" s="45"/>
      <c r="EB172" s="45"/>
      <c r="EC172" s="45"/>
      <c r="ED172" s="45"/>
      <c r="EE172" s="45"/>
      <c r="EF172" s="45"/>
      <c r="EG172" s="45"/>
      <c r="EH172" s="45"/>
      <c r="EI172" s="45"/>
      <c r="EJ172" s="45"/>
      <c r="EK172" s="44"/>
      <c r="EL172" s="45"/>
      <c r="EM172" s="45"/>
      <c r="EN172" s="45"/>
      <c r="EO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row>
    <row r="173" spans="1:230" s="4" customFormat="1">
      <c r="A173" s="4" t="s">
        <v>847</v>
      </c>
      <c r="B173" s="4" t="s">
        <v>1468</v>
      </c>
      <c r="C173" s="4" t="s">
        <v>24</v>
      </c>
      <c r="D173" t="str">
        <f t="shared" si="122"/>
        <v>saline</v>
      </c>
      <c r="E173" s="4" t="s">
        <v>546</v>
      </c>
      <c r="F173" s="4" t="s">
        <v>1394</v>
      </c>
      <c r="G173" s="4" t="s">
        <v>1728</v>
      </c>
      <c r="H173" s="4" t="s">
        <v>595</v>
      </c>
      <c r="I173" s="4">
        <v>84</v>
      </c>
      <c r="J173" s="4" t="s">
        <v>1148</v>
      </c>
      <c r="M173" s="4" t="s">
        <v>161</v>
      </c>
      <c r="N173" s="4" t="s">
        <v>554</v>
      </c>
      <c r="O173" s="4">
        <v>10</v>
      </c>
      <c r="P173" s="4">
        <v>1.93</v>
      </c>
      <c r="R173" s="4">
        <v>0.16</v>
      </c>
      <c r="T173" s="4">
        <v>6.45</v>
      </c>
      <c r="U173" s="4">
        <v>5.59</v>
      </c>
      <c r="W173" s="4">
        <v>6.96</v>
      </c>
      <c r="X173" s="4">
        <v>15.38</v>
      </c>
      <c r="Y173" s="4">
        <v>30.5</v>
      </c>
      <c r="AA173" s="4">
        <v>0.64</v>
      </c>
      <c r="AE173" s="4">
        <v>32.39</v>
      </c>
      <c r="AJ173" s="4">
        <v>14.62</v>
      </c>
      <c r="AK173">
        <f t="shared" si="162"/>
        <v>99.84</v>
      </c>
      <c r="AL173" s="26">
        <f t="shared" si="163"/>
        <v>2.0857976079565685</v>
      </c>
      <c r="AM173" s="26">
        <f t="shared" si="164"/>
        <v>0</v>
      </c>
      <c r="AN173" s="26">
        <f t="shared" si="165"/>
        <v>0</v>
      </c>
      <c r="AO173" s="26">
        <f t="shared" si="166"/>
        <v>6.9706707623419</v>
      </c>
      <c r="AP173" s="26">
        <f t="shared" si="167"/>
        <v>6.0412479940296464</v>
      </c>
      <c r="AQ173" s="26">
        <f t="shared" si="168"/>
        <v>7.5218400784340496</v>
      </c>
      <c r="AR173" s="26">
        <f t="shared" si="169"/>
        <v>0</v>
      </c>
      <c r="AS173" s="26">
        <f t="shared" si="170"/>
        <v>16.62153741470053</v>
      </c>
      <c r="AT173" s="26">
        <f t="shared" si="171"/>
        <v>32.96208655060898</v>
      </c>
      <c r="AU173" s="26">
        <f t="shared" si="172"/>
        <v>0.69166345548818853</v>
      </c>
      <c r="AV173" s="26">
        <f t="shared" si="173"/>
        <v>35.004655192597539</v>
      </c>
      <c r="AW173" s="26">
        <f t="shared" si="174"/>
        <v>107.8994990561574</v>
      </c>
      <c r="AX173" s="26"/>
      <c r="AY173" s="26"/>
      <c r="BD173"/>
      <c r="BE173"/>
      <c r="BF173" s="4">
        <v>-5.08</v>
      </c>
      <c r="BH173" s="4">
        <v>470</v>
      </c>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c r="CX173" s="44"/>
      <c r="CY173" s="44"/>
      <c r="CZ173" s="44"/>
      <c r="DA173" s="44"/>
      <c r="DB173" s="44"/>
      <c r="DC173" s="44"/>
      <c r="DD173" s="44"/>
      <c r="DE173" s="44"/>
      <c r="DF173" s="44"/>
      <c r="DG173" s="44"/>
      <c r="DH173" s="44"/>
      <c r="DI173" s="44"/>
      <c r="DJ173" s="44"/>
      <c r="DK173" s="44"/>
      <c r="DL173" s="44"/>
      <c r="DM173" s="44"/>
      <c r="DN173" s="44"/>
      <c r="DO173" s="44"/>
      <c r="DP173" s="44"/>
      <c r="DQ173" s="44"/>
      <c r="DR173" s="44"/>
      <c r="DS173" s="44"/>
      <c r="DT173" s="44"/>
      <c r="DU173" s="44"/>
      <c r="DV173" s="44"/>
      <c r="DW173" s="45"/>
      <c r="DX173" s="45"/>
      <c r="DY173" s="45"/>
      <c r="DZ173" s="45"/>
      <c r="EA173" s="45"/>
      <c r="EB173" s="45"/>
      <c r="EC173" s="45"/>
      <c r="ED173" s="45"/>
      <c r="EE173" s="45"/>
      <c r="EF173" s="45"/>
      <c r="EG173" s="45"/>
      <c r="EH173" s="45"/>
      <c r="EI173" s="45"/>
      <c r="EJ173" s="45"/>
      <c r="EK173" s="44"/>
      <c r="EL173" s="45"/>
      <c r="EM173" s="45"/>
      <c r="EN173" s="45"/>
      <c r="EO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row>
    <row r="174" spans="1:230" s="4" customFormat="1">
      <c r="A174" s="4" t="s">
        <v>847</v>
      </c>
      <c r="B174" s="4" t="s">
        <v>1468</v>
      </c>
      <c r="C174" s="4" t="s">
        <v>24</v>
      </c>
      <c r="D174" t="str">
        <f t="shared" si="122"/>
        <v>saline</v>
      </c>
      <c r="E174" s="4" t="s">
        <v>546</v>
      </c>
      <c r="F174" s="4" t="s">
        <v>1394</v>
      </c>
      <c r="G174" s="4" t="s">
        <v>1728</v>
      </c>
      <c r="H174" s="4" t="s">
        <v>595</v>
      </c>
      <c r="I174" s="4">
        <v>84</v>
      </c>
      <c r="J174" s="4" t="s">
        <v>1148</v>
      </c>
      <c r="M174" s="4" t="s">
        <v>556</v>
      </c>
      <c r="N174" s="4" t="s">
        <v>555</v>
      </c>
      <c r="O174" s="4">
        <v>10</v>
      </c>
      <c r="P174" s="4">
        <v>1.93</v>
      </c>
      <c r="R174" s="4">
        <v>0.16</v>
      </c>
      <c r="T174" s="4">
        <v>6.45</v>
      </c>
      <c r="U174" s="4">
        <v>5.59</v>
      </c>
      <c r="W174" s="4">
        <v>6.96</v>
      </c>
      <c r="X174" s="4">
        <v>15.38</v>
      </c>
      <c r="Y174" s="4">
        <v>30.5</v>
      </c>
      <c r="AA174" s="4">
        <v>0.64</v>
      </c>
      <c r="AE174" s="4">
        <v>32.39</v>
      </c>
      <c r="AJ174" s="4">
        <v>14.62</v>
      </c>
      <c r="AK174">
        <f t="shared" si="162"/>
        <v>99.84</v>
      </c>
      <c r="AL174" s="26">
        <f t="shared" si="163"/>
        <v>2.0857976079565685</v>
      </c>
      <c r="AM174" s="26">
        <f t="shared" si="164"/>
        <v>0</v>
      </c>
      <c r="AN174" s="26">
        <f t="shared" si="165"/>
        <v>0</v>
      </c>
      <c r="AO174" s="26">
        <f t="shared" si="166"/>
        <v>6.9706707623419</v>
      </c>
      <c r="AP174" s="26">
        <f t="shared" si="167"/>
        <v>6.0412479940296464</v>
      </c>
      <c r="AQ174" s="26">
        <f t="shared" si="168"/>
        <v>7.5218400784340496</v>
      </c>
      <c r="AR174" s="26">
        <f t="shared" si="169"/>
        <v>0</v>
      </c>
      <c r="AS174" s="26">
        <f t="shared" si="170"/>
        <v>16.62153741470053</v>
      </c>
      <c r="AT174" s="26">
        <f t="shared" si="171"/>
        <v>32.96208655060898</v>
      </c>
      <c r="AU174" s="26">
        <f t="shared" si="172"/>
        <v>0.69166345548818853</v>
      </c>
      <c r="AV174" s="26">
        <f t="shared" si="173"/>
        <v>35.004655192597539</v>
      </c>
      <c r="AW174" s="26">
        <f t="shared" si="174"/>
        <v>107.8994990561574</v>
      </c>
      <c r="AX174" s="26"/>
      <c r="AY174" s="26"/>
      <c r="BD174"/>
      <c r="BE174"/>
      <c r="BF174" s="4">
        <v>-8.0500000000000007</v>
      </c>
      <c r="BH174" s="4">
        <v>520</v>
      </c>
      <c r="BL174" s="44"/>
      <c r="BM174" s="44"/>
      <c r="BN174" s="44"/>
      <c r="BO174" s="44"/>
      <c r="BP174" s="44"/>
      <c r="BQ174" s="44"/>
      <c r="BR174" s="44"/>
      <c r="BS174" s="44"/>
      <c r="BT174" s="44"/>
      <c r="BU174" s="44"/>
      <c r="BV174" s="44"/>
      <c r="BW174" s="44"/>
      <c r="BX174" s="44"/>
      <c r="BY174" s="44"/>
      <c r="BZ174" s="44"/>
      <c r="CA174" s="44"/>
      <c r="CB174" s="44"/>
      <c r="CC174" s="44"/>
      <c r="CD174" s="44"/>
      <c r="CE174" s="44"/>
      <c r="CF174" s="44"/>
      <c r="CG174" s="44"/>
      <c r="CH174" s="44"/>
      <c r="CI174" s="44"/>
      <c r="CJ174" s="44"/>
      <c r="CK174" s="44"/>
      <c r="CL174" s="44"/>
      <c r="CM174" s="44"/>
      <c r="CN174" s="44"/>
      <c r="CO174" s="44"/>
      <c r="CP174" s="44"/>
      <c r="CQ174" s="44"/>
      <c r="CR174" s="44"/>
      <c r="CS174" s="44"/>
      <c r="CT174" s="44"/>
      <c r="CU174" s="44"/>
      <c r="CV174" s="44"/>
      <c r="CW174" s="44"/>
      <c r="CX174" s="44"/>
      <c r="CY174" s="44"/>
      <c r="CZ174" s="44"/>
      <c r="DA174" s="44"/>
      <c r="DB174" s="44"/>
      <c r="DC174" s="44"/>
      <c r="DD174" s="44"/>
      <c r="DE174" s="44"/>
      <c r="DF174" s="44"/>
      <c r="DG174" s="44"/>
      <c r="DH174" s="44"/>
      <c r="DI174" s="44"/>
      <c r="DJ174" s="44"/>
      <c r="DK174" s="44"/>
      <c r="DL174" s="44"/>
      <c r="DM174" s="44"/>
      <c r="DN174" s="44"/>
      <c r="DO174" s="44"/>
      <c r="DP174" s="44"/>
      <c r="DQ174" s="44"/>
      <c r="DR174" s="44"/>
      <c r="DS174" s="44"/>
      <c r="DT174" s="44"/>
      <c r="DU174" s="44"/>
      <c r="DV174" s="44"/>
      <c r="DW174" s="45"/>
      <c r="DX174" s="45"/>
      <c r="DY174" s="45"/>
      <c r="DZ174" s="45"/>
      <c r="EA174" s="45"/>
      <c r="EB174" s="45"/>
      <c r="EC174" s="45"/>
      <c r="ED174" s="45"/>
      <c r="EE174" s="45"/>
      <c r="EF174" s="45"/>
      <c r="EG174" s="45"/>
      <c r="EH174" s="45"/>
      <c r="EI174" s="45"/>
      <c r="EJ174" s="45"/>
      <c r="EK174" s="44"/>
      <c r="EL174" s="45"/>
      <c r="EM174" s="45"/>
      <c r="EN174" s="45"/>
      <c r="EO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row>
    <row r="175" spans="1:230" s="4" customFormat="1">
      <c r="A175" s="4" t="s">
        <v>847</v>
      </c>
      <c r="B175" s="4" t="s">
        <v>1468</v>
      </c>
      <c r="C175" s="4" t="s">
        <v>24</v>
      </c>
      <c r="D175" t="str">
        <f t="shared" si="122"/>
        <v>saline</v>
      </c>
      <c r="E175" s="4" t="s">
        <v>546</v>
      </c>
      <c r="F175" s="4" t="s">
        <v>1394</v>
      </c>
      <c r="G175" s="4" t="s">
        <v>1728</v>
      </c>
      <c r="H175" s="4" t="s">
        <v>595</v>
      </c>
      <c r="I175" s="4">
        <v>84</v>
      </c>
      <c r="J175" s="4" t="s">
        <v>1148</v>
      </c>
      <c r="M175" s="4" t="s">
        <v>559</v>
      </c>
      <c r="N175" s="4" t="s">
        <v>558</v>
      </c>
      <c r="O175" s="4">
        <v>14</v>
      </c>
      <c r="P175" s="4">
        <v>1.1200000000000001</v>
      </c>
      <c r="T175" s="4">
        <v>17.36</v>
      </c>
      <c r="U175" s="4">
        <v>2.2000000000000002</v>
      </c>
      <c r="W175" s="4">
        <v>7.14</v>
      </c>
      <c r="X175" s="4">
        <v>10.32</v>
      </c>
      <c r="Y175" s="4">
        <v>30.03</v>
      </c>
      <c r="AA175" s="4">
        <v>0.44</v>
      </c>
      <c r="AE175" s="4">
        <v>31.38</v>
      </c>
      <c r="AJ175" s="4">
        <v>11.55</v>
      </c>
      <c r="AK175">
        <f t="shared" si="162"/>
        <v>99.99</v>
      </c>
      <c r="AL175" s="26">
        <f t="shared" si="163"/>
        <v>1.2054874210041246</v>
      </c>
      <c r="AM175" s="26">
        <f t="shared" si="164"/>
        <v>0</v>
      </c>
      <c r="AN175" s="26">
        <f t="shared" si="165"/>
        <v>0</v>
      </c>
      <c r="AO175" s="26">
        <f t="shared" si="166"/>
        <v>18.68505502556393</v>
      </c>
      <c r="AP175" s="26">
        <f t="shared" si="167"/>
        <v>2.3679217198295306</v>
      </c>
      <c r="AQ175" s="26">
        <f t="shared" si="168"/>
        <v>7.6849823089012936</v>
      </c>
      <c r="AR175" s="26">
        <f t="shared" si="169"/>
        <v>0</v>
      </c>
      <c r="AS175" s="26">
        <f t="shared" si="170"/>
        <v>11.107705522109432</v>
      </c>
      <c r="AT175" s="26">
        <f t="shared" si="171"/>
        <v>32.322131475673089</v>
      </c>
      <c r="AU175" s="26">
        <f t="shared" si="172"/>
        <v>0.4735843439659061</v>
      </c>
      <c r="AV175" s="26">
        <f t="shared" si="173"/>
        <v>33.775174349204846</v>
      </c>
      <c r="AW175" s="26">
        <f t="shared" si="174"/>
        <v>107.62204216625216</v>
      </c>
      <c r="AX175" s="26"/>
      <c r="AY175" s="26"/>
      <c r="BD175"/>
      <c r="BE175"/>
      <c r="BF175" s="4">
        <v>-5.9</v>
      </c>
      <c r="BH175" s="4" t="s">
        <v>540</v>
      </c>
      <c r="BL175" s="44"/>
      <c r="BM175" s="44"/>
      <c r="BN175" s="44"/>
      <c r="BO175" s="44"/>
      <c r="BP175" s="44"/>
      <c r="BQ175" s="44"/>
      <c r="BR175" s="44"/>
      <c r="BS175" s="44"/>
      <c r="BT175" s="44"/>
      <c r="BU175" s="44"/>
      <c r="BV175" s="44"/>
      <c r="BW175" s="44"/>
      <c r="BX175" s="44"/>
      <c r="BY175" s="44"/>
      <c r="BZ175" s="44"/>
      <c r="CA175" s="44"/>
      <c r="CB175" s="44"/>
      <c r="CC175" s="44"/>
      <c r="CD175" s="44"/>
      <c r="CE175" s="44"/>
      <c r="CF175" s="44"/>
      <c r="CG175" s="44"/>
      <c r="CH175" s="44"/>
      <c r="CI175" s="44"/>
      <c r="CJ175" s="44"/>
      <c r="CK175" s="44"/>
      <c r="CL175" s="44"/>
      <c r="CM175" s="44"/>
      <c r="CN175" s="44"/>
      <c r="CO175" s="44"/>
      <c r="CP175" s="44"/>
      <c r="CQ175" s="44"/>
      <c r="CR175" s="44"/>
      <c r="CS175" s="44"/>
      <c r="CT175" s="44"/>
      <c r="CU175" s="44"/>
      <c r="CV175" s="44"/>
      <c r="CW175" s="44"/>
      <c r="CX175" s="44"/>
      <c r="CY175" s="44"/>
      <c r="CZ175" s="44"/>
      <c r="DA175" s="44"/>
      <c r="DB175" s="44"/>
      <c r="DC175" s="44"/>
      <c r="DD175" s="44"/>
      <c r="DE175" s="44"/>
      <c r="DF175" s="44"/>
      <c r="DG175" s="44"/>
      <c r="DH175" s="44"/>
      <c r="DI175" s="44"/>
      <c r="DJ175" s="44"/>
      <c r="DK175" s="44"/>
      <c r="DL175" s="44"/>
      <c r="DM175" s="44"/>
      <c r="DN175" s="44"/>
      <c r="DO175" s="44"/>
      <c r="DP175" s="44"/>
      <c r="DQ175" s="44"/>
      <c r="DR175" s="44"/>
      <c r="DS175" s="44"/>
      <c r="DT175" s="44"/>
      <c r="DU175" s="44"/>
      <c r="DV175" s="44"/>
      <c r="DW175" s="45"/>
      <c r="DX175" s="45"/>
      <c r="DY175" s="45"/>
      <c r="DZ175" s="45"/>
      <c r="EA175" s="45"/>
      <c r="EB175" s="45"/>
      <c r="EC175" s="45"/>
      <c r="ED175" s="45"/>
      <c r="EE175" s="45"/>
      <c r="EF175" s="45"/>
      <c r="EG175" s="45"/>
      <c r="EH175" s="45"/>
      <c r="EI175" s="45"/>
      <c r="EJ175" s="45"/>
      <c r="EK175" s="44"/>
      <c r="EL175" s="45"/>
      <c r="EM175" s="45"/>
      <c r="EN175" s="45"/>
      <c r="EO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row>
    <row r="176" spans="1:230" s="4" customFormat="1">
      <c r="A176" s="4" t="s">
        <v>847</v>
      </c>
      <c r="B176" s="4" t="s">
        <v>1468</v>
      </c>
      <c r="C176" s="4" t="s">
        <v>24</v>
      </c>
      <c r="D176" t="str">
        <f t="shared" si="122"/>
        <v>saline</v>
      </c>
      <c r="E176" s="4" t="s">
        <v>546</v>
      </c>
      <c r="F176" s="4" t="s">
        <v>1394</v>
      </c>
      <c r="G176" s="4" t="s">
        <v>1728</v>
      </c>
      <c r="H176" s="4" t="s">
        <v>595</v>
      </c>
      <c r="I176" s="4">
        <v>84</v>
      </c>
      <c r="J176" s="4" t="s">
        <v>1148</v>
      </c>
      <c r="M176" s="4" t="s">
        <v>561</v>
      </c>
      <c r="N176" s="4" t="s">
        <v>560</v>
      </c>
      <c r="O176" s="4">
        <v>11</v>
      </c>
      <c r="P176" s="4">
        <v>1.46</v>
      </c>
      <c r="Q176" s="4">
        <v>0.2</v>
      </c>
      <c r="T176" s="4">
        <v>21.21</v>
      </c>
      <c r="U176" s="4">
        <v>2.83</v>
      </c>
      <c r="W176" s="4">
        <v>5.89</v>
      </c>
      <c r="X176" s="4">
        <v>11.83</v>
      </c>
      <c r="Y176" s="4">
        <v>26.15</v>
      </c>
      <c r="AE176" s="4">
        <v>30.43</v>
      </c>
      <c r="AJ176" s="4">
        <v>11.19</v>
      </c>
      <c r="AK176">
        <f t="shared" si="162"/>
        <v>100</v>
      </c>
      <c r="AL176" s="26">
        <f t="shared" si="163"/>
        <v>1.5676528671294783</v>
      </c>
      <c r="AM176" s="26">
        <f t="shared" si="164"/>
        <v>0.21474696809992852</v>
      </c>
      <c r="AN176" s="26">
        <f t="shared" si="165"/>
        <v>0</v>
      </c>
      <c r="AO176" s="26">
        <f t="shared" si="166"/>
        <v>22.773915966997418</v>
      </c>
      <c r="AP176" s="26">
        <f t="shared" si="167"/>
        <v>3.0386695986139882</v>
      </c>
      <c r="AQ176" s="26">
        <f t="shared" si="168"/>
        <v>6.3242982105428949</v>
      </c>
      <c r="AR176" s="26">
        <f t="shared" si="169"/>
        <v>0</v>
      </c>
      <c r="AS176" s="26">
        <f t="shared" si="170"/>
        <v>12.702283163110772</v>
      </c>
      <c r="AT176" s="26">
        <f t="shared" si="171"/>
        <v>28.078166079065653</v>
      </c>
      <c r="AU176" s="26">
        <f t="shared" si="172"/>
        <v>0</v>
      </c>
      <c r="AV176" s="26">
        <f t="shared" si="173"/>
        <v>32.673751196404119</v>
      </c>
      <c r="AW176" s="26">
        <f t="shared" si="174"/>
        <v>107.37348404996425</v>
      </c>
      <c r="AX176" s="26"/>
      <c r="AY176" s="26"/>
      <c r="BD176"/>
      <c r="BE176"/>
      <c r="BF176" s="4">
        <v>-6.3</v>
      </c>
      <c r="BH176" s="4" t="s">
        <v>540</v>
      </c>
      <c r="BL176" s="44"/>
      <c r="BM176" s="44"/>
      <c r="BN176" s="44"/>
      <c r="BO176" s="44"/>
      <c r="BP176" s="44"/>
      <c r="BQ176" s="44"/>
      <c r="BR176" s="44"/>
      <c r="BS176" s="44"/>
      <c r="BT176" s="44"/>
      <c r="BU176" s="44"/>
      <c r="BV176" s="44"/>
      <c r="BW176" s="44"/>
      <c r="BX176" s="44"/>
      <c r="BY176" s="44"/>
      <c r="BZ176" s="44"/>
      <c r="CA176" s="44"/>
      <c r="CB176" s="44"/>
      <c r="CC176" s="44"/>
      <c r="CD176" s="44"/>
      <c r="CE176" s="44"/>
      <c r="CF176" s="44"/>
      <c r="CG176" s="44"/>
      <c r="CH176" s="44"/>
      <c r="CI176" s="44"/>
      <c r="CJ176" s="44"/>
      <c r="CK176" s="44"/>
      <c r="CL176" s="44"/>
      <c r="CM176" s="44"/>
      <c r="CN176" s="44"/>
      <c r="CO176" s="44"/>
      <c r="CP176" s="44"/>
      <c r="CQ176" s="44"/>
      <c r="CR176" s="44"/>
      <c r="CS176" s="44"/>
      <c r="CT176" s="44"/>
      <c r="CU176" s="44"/>
      <c r="CV176" s="44"/>
      <c r="CW176" s="44"/>
      <c r="CX176" s="44"/>
      <c r="CY176" s="44"/>
      <c r="CZ176" s="44"/>
      <c r="DA176" s="44"/>
      <c r="DB176" s="44"/>
      <c r="DC176" s="44"/>
      <c r="DD176" s="44"/>
      <c r="DE176" s="44"/>
      <c r="DF176" s="44"/>
      <c r="DG176" s="44"/>
      <c r="DH176" s="44"/>
      <c r="DI176" s="44"/>
      <c r="DJ176" s="44"/>
      <c r="DK176" s="44"/>
      <c r="DL176" s="44"/>
      <c r="DM176" s="44"/>
      <c r="DN176" s="44"/>
      <c r="DO176" s="44"/>
      <c r="DP176" s="44"/>
      <c r="DQ176" s="44"/>
      <c r="DR176" s="44"/>
      <c r="DS176" s="44"/>
      <c r="DT176" s="44"/>
      <c r="DU176" s="44"/>
      <c r="DV176" s="44"/>
      <c r="DW176" s="45"/>
      <c r="DX176" s="45"/>
      <c r="DY176" s="45"/>
      <c r="DZ176" s="45"/>
      <c r="EA176" s="45"/>
      <c r="EB176" s="45"/>
      <c r="EC176" s="45"/>
      <c r="ED176" s="45"/>
      <c r="EE176" s="45"/>
      <c r="EF176" s="45"/>
      <c r="EG176" s="45"/>
      <c r="EH176" s="45"/>
      <c r="EI176" s="45"/>
      <c r="EJ176" s="45"/>
      <c r="EK176" s="44"/>
      <c r="EL176" s="45"/>
      <c r="EM176" s="45"/>
      <c r="EN176" s="45"/>
      <c r="EO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row>
    <row r="177" spans="1:230" s="4" customFormat="1">
      <c r="A177" s="4" t="s">
        <v>847</v>
      </c>
      <c r="B177" s="4" t="s">
        <v>1468</v>
      </c>
      <c r="C177" s="4" t="s">
        <v>24</v>
      </c>
      <c r="D177" t="str">
        <f t="shared" si="122"/>
        <v>saline</v>
      </c>
      <c r="E177" s="4" t="s">
        <v>546</v>
      </c>
      <c r="F177" s="4" t="s">
        <v>1394</v>
      </c>
      <c r="G177" s="4" t="s">
        <v>1728</v>
      </c>
      <c r="H177" s="4" t="s">
        <v>595</v>
      </c>
      <c r="I177" s="4">
        <v>84</v>
      </c>
      <c r="J177" s="4" t="s">
        <v>1148</v>
      </c>
      <c r="M177" s="4" t="s">
        <v>160</v>
      </c>
      <c r="N177" s="4" t="s">
        <v>562</v>
      </c>
      <c r="O177" s="4">
        <v>30</v>
      </c>
      <c r="P177" s="4">
        <v>2.94</v>
      </c>
      <c r="Q177" s="4">
        <v>0.1</v>
      </c>
      <c r="R177" s="4">
        <v>0.25</v>
      </c>
      <c r="T177" s="4">
        <v>18.920000000000002</v>
      </c>
      <c r="U177" s="4">
        <v>3.41</v>
      </c>
      <c r="W177" s="4">
        <v>5.59</v>
      </c>
      <c r="X177" s="4">
        <v>10.38</v>
      </c>
      <c r="Y177" s="4">
        <v>28.43</v>
      </c>
      <c r="AA177" s="4">
        <v>7.0000000000000007E-2</v>
      </c>
      <c r="AE177" s="4">
        <v>29.91</v>
      </c>
      <c r="AJ177" s="4">
        <v>12.64</v>
      </c>
      <c r="AK177">
        <f t="shared" si="162"/>
        <v>99.75</v>
      </c>
      <c r="AL177" s="26">
        <f t="shared" si="163"/>
        <v>3.1612831309815479</v>
      </c>
      <c r="AM177" s="26">
        <f t="shared" si="164"/>
        <v>0.10752663710821594</v>
      </c>
      <c r="AN177" s="26">
        <f t="shared" si="165"/>
        <v>0</v>
      </c>
      <c r="AO177" s="26">
        <f t="shared" si="166"/>
        <v>20.344039740874457</v>
      </c>
      <c r="AP177" s="26">
        <f t="shared" si="167"/>
        <v>3.6666583253901632</v>
      </c>
      <c r="AQ177" s="26">
        <f t="shared" si="168"/>
        <v>6.0107390143492703</v>
      </c>
      <c r="AR177" s="26">
        <f t="shared" si="169"/>
        <v>0</v>
      </c>
      <c r="AS177" s="26">
        <f t="shared" si="170"/>
        <v>11.161264931832815</v>
      </c>
      <c r="AT177" s="26">
        <f t="shared" si="171"/>
        <v>30.569822929865786</v>
      </c>
      <c r="AU177" s="26">
        <f t="shared" si="172"/>
        <v>7.5268645975751156E-2</v>
      </c>
      <c r="AV177" s="26">
        <f t="shared" si="173"/>
        <v>32.161217159067384</v>
      </c>
      <c r="AW177" s="26">
        <f t="shared" si="174"/>
        <v>107.25782051544539</v>
      </c>
      <c r="AX177" s="26"/>
      <c r="AY177" s="26"/>
      <c r="BD177"/>
      <c r="BE177"/>
      <c r="BF177" s="4">
        <v>-5.92</v>
      </c>
      <c r="BH177" s="4" t="s">
        <v>540</v>
      </c>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4"/>
      <c r="CI177" s="44"/>
      <c r="CJ177" s="44"/>
      <c r="CK177" s="44"/>
      <c r="CL177" s="44"/>
      <c r="CM177" s="44"/>
      <c r="CN177" s="44"/>
      <c r="CO177" s="44"/>
      <c r="CP177" s="44"/>
      <c r="CQ177" s="44"/>
      <c r="CR177" s="44"/>
      <c r="CS177" s="44"/>
      <c r="CT177" s="44"/>
      <c r="CU177" s="44"/>
      <c r="CV177" s="44"/>
      <c r="CW177" s="44"/>
      <c r="CX177" s="44"/>
      <c r="CY177" s="44"/>
      <c r="CZ177" s="44"/>
      <c r="DA177" s="44"/>
      <c r="DB177" s="44"/>
      <c r="DC177" s="44"/>
      <c r="DD177" s="44"/>
      <c r="DE177" s="44"/>
      <c r="DF177" s="44"/>
      <c r="DG177" s="44"/>
      <c r="DH177" s="44"/>
      <c r="DI177" s="44"/>
      <c r="DJ177" s="44"/>
      <c r="DK177" s="44"/>
      <c r="DL177" s="44"/>
      <c r="DM177" s="44"/>
      <c r="DN177" s="44"/>
      <c r="DO177" s="44"/>
      <c r="DP177" s="44"/>
      <c r="DQ177" s="44"/>
      <c r="DR177" s="44"/>
      <c r="DS177" s="44"/>
      <c r="DT177" s="44"/>
      <c r="DU177" s="44"/>
      <c r="DV177" s="44"/>
      <c r="DW177" s="45"/>
      <c r="DX177" s="45"/>
      <c r="DY177" s="45"/>
      <c r="DZ177" s="45"/>
      <c r="EA177" s="45"/>
      <c r="EB177" s="45"/>
      <c r="EC177" s="45"/>
      <c r="ED177" s="45"/>
      <c r="EE177" s="45"/>
      <c r="EF177" s="45"/>
      <c r="EG177" s="45"/>
      <c r="EH177" s="45"/>
      <c r="EI177" s="45"/>
      <c r="EJ177" s="45"/>
      <c r="EK177" s="44"/>
      <c r="EL177" s="45"/>
      <c r="EM177" s="45"/>
      <c r="EN177" s="45"/>
      <c r="EO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row>
    <row r="178" spans="1:230" s="4" customFormat="1">
      <c r="A178" s="4" t="s">
        <v>772</v>
      </c>
      <c r="B178" s="4" t="s">
        <v>1468</v>
      </c>
      <c r="C178" s="4" t="s">
        <v>24</v>
      </c>
      <c r="D178" t="str">
        <f t="shared" si="122"/>
        <v>saline</v>
      </c>
      <c r="E178" s="4" t="s">
        <v>119</v>
      </c>
      <c r="F178" s="4" t="s">
        <v>1394</v>
      </c>
      <c r="G178" s="4" t="s">
        <v>1728</v>
      </c>
      <c r="H178" s="4" t="s">
        <v>595</v>
      </c>
      <c r="I178" s="4">
        <v>84</v>
      </c>
      <c r="K178" s="4" t="s">
        <v>635</v>
      </c>
      <c r="L178" s="4" t="s">
        <v>585</v>
      </c>
      <c r="M178" s="4" t="s">
        <v>1172</v>
      </c>
      <c r="N178" s="4" t="s">
        <v>577</v>
      </c>
      <c r="O178" s="4">
        <v>26</v>
      </c>
      <c r="P178" s="4">
        <v>1.95</v>
      </c>
      <c r="Q178" s="4">
        <v>0.35</v>
      </c>
      <c r="S178" s="4">
        <v>0.75</v>
      </c>
      <c r="T178" s="4">
        <v>4.68</v>
      </c>
      <c r="U178" s="4">
        <v>3.01</v>
      </c>
      <c r="W178" s="4">
        <v>10.42</v>
      </c>
      <c r="X178" s="4">
        <v>22.42</v>
      </c>
      <c r="Y178" s="4">
        <v>27.25</v>
      </c>
      <c r="AA178" s="4">
        <v>1.02</v>
      </c>
      <c r="AC178" s="4">
        <v>1.17</v>
      </c>
      <c r="AE178" s="4">
        <v>34.83</v>
      </c>
      <c r="AJ178" s="4">
        <v>8.7799999999999994</v>
      </c>
      <c r="AK178">
        <f t="shared" si="162"/>
        <v>107.85</v>
      </c>
      <c r="AL178" s="26">
        <f t="shared" si="163"/>
        <v>1.9501966700450044</v>
      </c>
      <c r="AM178" s="26">
        <f t="shared" si="164"/>
        <v>0.35003529975166747</v>
      </c>
      <c r="AN178" s="26">
        <f t="shared" si="165"/>
        <v>0.75007564232500179</v>
      </c>
      <c r="AO178" s="26">
        <f t="shared" si="166"/>
        <v>4.6804720081080111</v>
      </c>
      <c r="AP178" s="26">
        <f t="shared" si="167"/>
        <v>3.0103035778643399</v>
      </c>
      <c r="AQ178" s="26">
        <f t="shared" si="168"/>
        <v>10.421050924035358</v>
      </c>
      <c r="AR178" s="26">
        <f t="shared" si="169"/>
        <v>1.1701180020270028</v>
      </c>
      <c r="AS178" s="26">
        <f t="shared" si="170"/>
        <v>22.42226120123539</v>
      </c>
      <c r="AT178" s="26">
        <f t="shared" si="171"/>
        <v>27.252748337808399</v>
      </c>
      <c r="AU178" s="26">
        <f t="shared" si="172"/>
        <v>1.0201028735620024</v>
      </c>
      <c r="AV178" s="26">
        <f t="shared" si="173"/>
        <v>34.833512829573074</v>
      </c>
      <c r="AW178" s="26">
        <f t="shared" si="174"/>
        <v>107.86087736633525</v>
      </c>
      <c r="AX178" s="53">
        <v>11</v>
      </c>
      <c r="AY178" s="53">
        <v>33</v>
      </c>
      <c r="BB178" s="53">
        <v>0.12</v>
      </c>
      <c r="BD178">
        <f t="shared" si="175"/>
        <v>0.87990669776741082</v>
      </c>
      <c r="BE178">
        <f t="shared" si="176"/>
        <v>0.12009330223258914</v>
      </c>
      <c r="BH178" s="4" t="s">
        <v>770</v>
      </c>
      <c r="BL178" s="44"/>
      <c r="BM178" s="44"/>
      <c r="BN178" s="44"/>
      <c r="BO178" s="44"/>
      <c r="BP178" s="44"/>
      <c r="BQ178" s="44"/>
      <c r="BR178" s="44"/>
      <c r="BS178" s="44">
        <v>201.56</v>
      </c>
      <c r="BT178" s="44"/>
      <c r="BU178" s="44">
        <v>1.7589999999999999</v>
      </c>
      <c r="BV178" s="44"/>
      <c r="BW178" s="44"/>
      <c r="BX178" s="44"/>
      <c r="BY178" s="44"/>
      <c r="BZ178" s="44"/>
      <c r="CA178" s="44"/>
      <c r="CB178" s="44"/>
      <c r="CC178" s="44"/>
      <c r="CD178" s="44"/>
      <c r="CE178" s="44"/>
      <c r="CF178" s="44"/>
      <c r="CG178" s="44"/>
      <c r="CH178" s="44"/>
      <c r="CI178" s="44">
        <v>0.91800000000000004</v>
      </c>
      <c r="CJ178" s="44">
        <v>12.569000000000001</v>
      </c>
      <c r="CK178" s="44">
        <v>0.108</v>
      </c>
      <c r="CL178" s="44">
        <v>0.749</v>
      </c>
      <c r="CM178" s="44"/>
      <c r="CN178" s="44">
        <v>0.40699999999999997</v>
      </c>
      <c r="CO178" s="44"/>
      <c r="CP178" s="44"/>
      <c r="CQ178" s="44"/>
      <c r="CR178" s="44"/>
      <c r="CS178" s="44">
        <v>4.53E-2</v>
      </c>
      <c r="CT178" s="44">
        <v>7.37</v>
      </c>
      <c r="CU178" s="44"/>
      <c r="CV178" s="44">
        <v>0.82</v>
      </c>
      <c r="CW178" s="44">
        <v>0.98699999999999999</v>
      </c>
      <c r="CX178" s="44">
        <v>0.1201</v>
      </c>
      <c r="CY178" s="44">
        <v>0.61099999999999999</v>
      </c>
      <c r="CZ178" s="44">
        <v>7.7600000000000002E-2</v>
      </c>
      <c r="DA178" s="44">
        <v>2.1999999999999999E-2</v>
      </c>
      <c r="DB178" s="44">
        <v>2.23E-2</v>
      </c>
      <c r="DC178" s="44">
        <v>1.8700000000000001E-2</v>
      </c>
      <c r="DD178" s="44">
        <v>2.2799999999999999E-3</v>
      </c>
      <c r="DE178" s="44">
        <v>8.0999999999999996E-3</v>
      </c>
      <c r="DF178" s="44"/>
      <c r="DG178" s="44">
        <v>1.6299999999999999E-2</v>
      </c>
      <c r="DH178" s="44">
        <v>1.9599999999999999E-3</v>
      </c>
      <c r="DI178" s="44">
        <v>1.34E-2</v>
      </c>
      <c r="DJ178" s="44">
        <v>2.12E-2</v>
      </c>
      <c r="DK178" s="44"/>
      <c r="DL178" s="44"/>
      <c r="DM178" s="44">
        <v>0.12839999999999999</v>
      </c>
      <c r="DN178" s="44">
        <v>0.28199999999999997</v>
      </c>
      <c r="DO178" s="44"/>
      <c r="DP178" s="44"/>
      <c r="DQ178" s="44"/>
      <c r="DR178" s="44"/>
      <c r="DS178" s="44"/>
      <c r="DT178" s="44"/>
      <c r="DU178" s="44"/>
      <c r="DV178" s="44"/>
      <c r="DW178" s="45"/>
      <c r="DX178" s="45"/>
      <c r="DY178" s="45"/>
      <c r="DZ178" s="45"/>
      <c r="EA178" s="45"/>
      <c r="EB178" s="45"/>
      <c r="EC178" s="45"/>
      <c r="ED178" s="45"/>
      <c r="EE178" s="45"/>
      <c r="EF178" s="45"/>
      <c r="EG178" s="45"/>
      <c r="EH178" s="45"/>
      <c r="EI178" s="45"/>
      <c r="EJ178" s="45"/>
      <c r="EK178" s="44"/>
      <c r="EL178" s="45"/>
      <c r="EM178" s="45"/>
      <c r="EN178" s="45"/>
      <c r="EO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row>
    <row r="179" spans="1:230" s="4" customFormat="1">
      <c r="A179" s="4" t="s">
        <v>772</v>
      </c>
      <c r="B179" s="4" t="s">
        <v>1468</v>
      </c>
      <c r="C179" s="4" t="s">
        <v>24</v>
      </c>
      <c r="D179" t="str">
        <f t="shared" si="122"/>
        <v>saline</v>
      </c>
      <c r="E179" s="4" t="s">
        <v>119</v>
      </c>
      <c r="F179" s="4" t="s">
        <v>1394</v>
      </c>
      <c r="G179" s="4" t="s">
        <v>1728</v>
      </c>
      <c r="H179" s="4" t="s">
        <v>595</v>
      </c>
      <c r="I179" s="4">
        <v>84</v>
      </c>
      <c r="K179" s="4" t="s">
        <v>635</v>
      </c>
      <c r="L179" s="4" t="s">
        <v>585</v>
      </c>
      <c r="M179" s="4" t="s">
        <v>1173</v>
      </c>
      <c r="N179" s="4" t="s">
        <v>577</v>
      </c>
      <c r="O179" s="4">
        <v>26</v>
      </c>
      <c r="P179" s="4">
        <v>1.95</v>
      </c>
      <c r="Q179" s="4">
        <v>0.35</v>
      </c>
      <c r="S179" s="4">
        <v>0.75</v>
      </c>
      <c r="T179" s="4">
        <v>4.68</v>
      </c>
      <c r="U179" s="4">
        <v>3.01</v>
      </c>
      <c r="W179" s="4">
        <v>10.42</v>
      </c>
      <c r="X179" s="4">
        <v>22.42</v>
      </c>
      <c r="Y179" s="4">
        <v>27.25</v>
      </c>
      <c r="AA179" s="4">
        <v>1.02</v>
      </c>
      <c r="AC179" s="4">
        <v>1.17</v>
      </c>
      <c r="AE179" s="4">
        <v>34.83</v>
      </c>
      <c r="AJ179" s="4">
        <v>8.7799999999999994</v>
      </c>
      <c r="AK179">
        <f t="shared" si="162"/>
        <v>107.85</v>
      </c>
      <c r="AL179" s="26">
        <f t="shared" si="163"/>
        <v>1.9501966700450044</v>
      </c>
      <c r="AM179" s="26">
        <f t="shared" si="164"/>
        <v>0.35003529975166747</v>
      </c>
      <c r="AN179" s="26">
        <f t="shared" si="165"/>
        <v>0.75007564232500179</v>
      </c>
      <c r="AO179" s="26">
        <f t="shared" si="166"/>
        <v>4.6804720081080111</v>
      </c>
      <c r="AP179" s="26">
        <f t="shared" si="167"/>
        <v>3.0103035778643399</v>
      </c>
      <c r="AQ179" s="26">
        <f t="shared" si="168"/>
        <v>10.421050924035358</v>
      </c>
      <c r="AR179" s="26">
        <f t="shared" si="169"/>
        <v>1.1701180020270028</v>
      </c>
      <c r="AS179" s="26">
        <f t="shared" si="170"/>
        <v>22.42226120123539</v>
      </c>
      <c r="AT179" s="26">
        <f t="shared" si="171"/>
        <v>27.252748337808399</v>
      </c>
      <c r="AU179" s="26">
        <f t="shared" si="172"/>
        <v>1.0201028735620024</v>
      </c>
      <c r="AV179" s="26">
        <f t="shared" si="173"/>
        <v>34.833512829573074</v>
      </c>
      <c r="AW179" s="26">
        <f t="shared" si="174"/>
        <v>107.86087736633525</v>
      </c>
      <c r="AX179" s="53">
        <v>11</v>
      </c>
      <c r="AY179" s="53">
        <v>33</v>
      </c>
      <c r="BB179" s="53">
        <v>0.12</v>
      </c>
      <c r="BD179">
        <f t="shared" si="175"/>
        <v>0.87990669776741082</v>
      </c>
      <c r="BE179">
        <f t="shared" si="176"/>
        <v>0.12009330223258914</v>
      </c>
      <c r="BH179" s="4" t="s">
        <v>770</v>
      </c>
      <c r="BL179" s="44"/>
      <c r="BM179" s="44"/>
      <c r="BN179" s="44"/>
      <c r="BO179" s="44"/>
      <c r="BP179" s="44"/>
      <c r="BQ179" s="44"/>
      <c r="BR179" s="44"/>
      <c r="BS179" s="44">
        <v>361.09</v>
      </c>
      <c r="BT179" s="44"/>
      <c r="BU179" s="44">
        <v>1.2789999999999999</v>
      </c>
      <c r="BV179" s="44"/>
      <c r="BW179" s="44"/>
      <c r="BX179" s="44"/>
      <c r="BY179" s="44"/>
      <c r="BZ179" s="44"/>
      <c r="CA179" s="44"/>
      <c r="CB179" s="44"/>
      <c r="CC179" s="44"/>
      <c r="CD179" s="44"/>
      <c r="CE179" s="44"/>
      <c r="CF179" s="44"/>
      <c r="CG179" s="44"/>
      <c r="CH179" s="44"/>
      <c r="CI179" s="44">
        <v>1.7110000000000001</v>
      </c>
      <c r="CJ179" s="44">
        <v>38.469000000000001</v>
      </c>
      <c r="CK179" s="44">
        <v>3.49E-2</v>
      </c>
      <c r="CL179" s="44">
        <v>0.33</v>
      </c>
      <c r="CM179" s="44"/>
      <c r="CN179" s="44">
        <v>0.505</v>
      </c>
      <c r="CO179" s="44"/>
      <c r="CP179" s="44"/>
      <c r="CQ179" s="44"/>
      <c r="CR179" s="44"/>
      <c r="CS179" s="44">
        <v>6.6000000000000003E-2</v>
      </c>
      <c r="CT179" s="44">
        <v>14.47</v>
      </c>
      <c r="CU179" s="44"/>
      <c r="CV179" s="44">
        <v>0.61899999999999999</v>
      </c>
      <c r="CW179" s="44">
        <v>0.81200000000000006</v>
      </c>
      <c r="CX179" s="44">
        <v>0.1193</v>
      </c>
      <c r="CY179" s="44">
        <v>0.45900000000000002</v>
      </c>
      <c r="CZ179" s="44">
        <v>6.4000000000000001E-2</v>
      </c>
      <c r="DA179" s="44">
        <v>1.54E-2</v>
      </c>
      <c r="DB179" s="44">
        <v>1.9900000000000001E-2</v>
      </c>
      <c r="DC179" s="44"/>
      <c r="DD179" s="44"/>
      <c r="DE179" s="44">
        <v>6.6E-3</v>
      </c>
      <c r="DF179" s="44"/>
      <c r="DG179" s="44"/>
      <c r="DH179" s="44"/>
      <c r="DI179" s="44"/>
      <c r="DJ179" s="44">
        <v>3.2199999999999999E-2</v>
      </c>
      <c r="DK179" s="44"/>
      <c r="DL179" s="44"/>
      <c r="DM179" s="44">
        <v>7.3700000000000002E-2</v>
      </c>
      <c r="DN179" s="44">
        <v>0.33600000000000002</v>
      </c>
      <c r="DO179" s="44"/>
      <c r="DP179" s="44"/>
      <c r="DQ179" s="44"/>
      <c r="DR179" s="44"/>
      <c r="DS179" s="44"/>
      <c r="DT179" s="44"/>
      <c r="DU179" s="44"/>
      <c r="DV179" s="44"/>
      <c r="DW179" s="45"/>
      <c r="DX179" s="45"/>
      <c r="DY179" s="45"/>
      <c r="DZ179" s="45"/>
      <c r="EA179" s="45"/>
      <c r="EB179" s="45"/>
      <c r="EC179" s="45"/>
      <c r="ED179" s="45"/>
      <c r="EE179" s="45"/>
      <c r="EF179" s="45"/>
      <c r="EG179" s="45"/>
      <c r="EH179" s="45"/>
      <c r="EI179" s="45"/>
      <c r="EJ179" s="45"/>
      <c r="EK179" s="44"/>
      <c r="EL179" s="45"/>
      <c r="EM179" s="45"/>
      <c r="EN179" s="45"/>
      <c r="EO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row>
    <row r="180" spans="1:230" s="4" customFormat="1">
      <c r="A180" s="4" t="s">
        <v>772</v>
      </c>
      <c r="B180" s="4" t="s">
        <v>1468</v>
      </c>
      <c r="C180" s="4" t="s">
        <v>24</v>
      </c>
      <c r="D180" t="str">
        <f t="shared" si="122"/>
        <v>saline</v>
      </c>
      <c r="E180" s="4" t="s">
        <v>119</v>
      </c>
      <c r="F180" s="4" t="s">
        <v>1394</v>
      </c>
      <c r="G180" s="4" t="s">
        <v>1728</v>
      </c>
      <c r="H180" s="4" t="s">
        <v>595</v>
      </c>
      <c r="I180" s="4">
        <v>84</v>
      </c>
      <c r="K180" s="4" t="s">
        <v>635</v>
      </c>
      <c r="L180" s="4" t="s">
        <v>585</v>
      </c>
      <c r="M180" s="4" t="s">
        <v>791</v>
      </c>
      <c r="N180" s="4" t="s">
        <v>582</v>
      </c>
      <c r="O180" s="4">
        <v>68</v>
      </c>
      <c r="P180" s="4">
        <v>1.52</v>
      </c>
      <c r="Q180" s="4">
        <v>0.32</v>
      </c>
      <c r="S180" s="4">
        <v>0.79</v>
      </c>
      <c r="T180" s="4">
        <v>5.54</v>
      </c>
      <c r="U180" s="4">
        <v>1.1399999999999999</v>
      </c>
      <c r="W180" s="4">
        <v>7.45</v>
      </c>
      <c r="X180" s="4">
        <v>24.27</v>
      </c>
      <c r="Y180" s="4">
        <v>26.97</v>
      </c>
      <c r="AA180" s="4">
        <v>0.57999999999999996</v>
      </c>
      <c r="AC180" s="4">
        <v>1.23</v>
      </c>
      <c r="AE180" s="4">
        <v>38.94</v>
      </c>
      <c r="AJ180" s="4">
        <v>8.2100000000000009</v>
      </c>
      <c r="AK180">
        <f t="shared" si="162"/>
        <v>108.75</v>
      </c>
      <c r="AL180" s="26">
        <f t="shared" si="163"/>
        <v>1.5205715547522445</v>
      </c>
      <c r="AM180" s="26">
        <f t="shared" si="164"/>
        <v>0.320120327316262</v>
      </c>
      <c r="AN180" s="26">
        <f t="shared" si="165"/>
        <v>0.79029705806202188</v>
      </c>
      <c r="AO180" s="26">
        <f t="shared" si="166"/>
        <v>5.5420831666627857</v>
      </c>
      <c r="AP180" s="26">
        <f t="shared" si="167"/>
        <v>1.1404286660641834</v>
      </c>
      <c r="AQ180" s="26">
        <f t="shared" si="168"/>
        <v>7.4528013703317253</v>
      </c>
      <c r="AR180" s="26">
        <f t="shared" si="169"/>
        <v>1.2304625081218821</v>
      </c>
      <c r="AS180" s="26">
        <f t="shared" si="170"/>
        <v>24.279126074892748</v>
      </c>
      <c r="AT180" s="26">
        <f t="shared" si="171"/>
        <v>26.98014133662371</v>
      </c>
      <c r="AU180" s="26">
        <f t="shared" si="172"/>
        <v>0.58021809326072493</v>
      </c>
      <c r="AV180" s="26">
        <f t="shared" si="173"/>
        <v>38.954642330297631</v>
      </c>
      <c r="AW180" s="26">
        <f t="shared" si="174"/>
        <v>108.79089248638591</v>
      </c>
      <c r="AX180" s="4">
        <v>11.1</v>
      </c>
      <c r="AY180" s="4">
        <v>16.100000000000001</v>
      </c>
      <c r="BB180" s="4">
        <v>0.22</v>
      </c>
      <c r="BD180">
        <f t="shared" si="175"/>
        <v>0.77985280376146149</v>
      </c>
      <c r="BE180">
        <f t="shared" si="176"/>
        <v>0.22014719623853843</v>
      </c>
      <c r="BH180" s="4">
        <v>73</v>
      </c>
      <c r="BL180" s="44"/>
      <c r="BM180" s="44"/>
      <c r="BN180" s="44"/>
      <c r="BO180" s="44"/>
      <c r="BP180" s="44"/>
      <c r="BQ180" s="44"/>
      <c r="BR180" s="44"/>
      <c r="BS180" s="44">
        <v>117.04</v>
      </c>
      <c r="BT180" s="44"/>
      <c r="BU180" s="44">
        <v>0.182</v>
      </c>
      <c r="BV180" s="44"/>
      <c r="BW180" s="44"/>
      <c r="BX180" s="44"/>
      <c r="BY180" s="44"/>
      <c r="BZ180" s="44"/>
      <c r="CA180" s="44"/>
      <c r="CB180" s="44"/>
      <c r="CC180" s="44"/>
      <c r="CD180" s="44"/>
      <c r="CE180" s="44"/>
      <c r="CF180" s="44"/>
      <c r="CG180" s="44"/>
      <c r="CH180" s="44"/>
      <c r="CI180" s="44">
        <v>0.85299999999999998</v>
      </c>
      <c r="CJ180" s="44">
        <v>1.5669999999999999</v>
      </c>
      <c r="CK180" s="44">
        <v>2.3E-3</v>
      </c>
      <c r="CL180" s="44">
        <v>5.8999999999999999E-3</v>
      </c>
      <c r="CM180" s="44"/>
      <c r="CN180" s="44">
        <v>0.1007</v>
      </c>
      <c r="CO180" s="44"/>
      <c r="CP180" s="44"/>
      <c r="CQ180" s="44"/>
      <c r="CR180" s="44"/>
      <c r="CS180" s="44">
        <v>1.9699999999999999E-2</v>
      </c>
      <c r="CT180" s="44">
        <v>6.32</v>
      </c>
      <c r="CU180" s="44"/>
      <c r="CV180" s="44">
        <v>0.1191</v>
      </c>
      <c r="CW180" s="44">
        <v>0.16400000000000001</v>
      </c>
      <c r="CX180" s="44">
        <v>1.89E-2</v>
      </c>
      <c r="CY180" s="44">
        <v>4.8000000000000001E-2</v>
      </c>
      <c r="CZ180" s="44">
        <v>1.26E-2</v>
      </c>
      <c r="DA180" s="44">
        <v>8.3000000000000001E-3</v>
      </c>
      <c r="DB180" s="44"/>
      <c r="DC180" s="44"/>
      <c r="DD180" s="44"/>
      <c r="DE180" s="44"/>
      <c r="DF180" s="44"/>
      <c r="DG180" s="44"/>
      <c r="DH180" s="44">
        <v>3.8999999999999998E-3</v>
      </c>
      <c r="DI180" s="44"/>
      <c r="DJ180" s="44">
        <v>4.7000000000000002E-3</v>
      </c>
      <c r="DK180" s="44"/>
      <c r="DL180" s="44"/>
      <c r="DM180" s="44">
        <v>1.8599999999999998E-2</v>
      </c>
      <c r="DN180" s="44">
        <v>6.4999999999999997E-3</v>
      </c>
      <c r="DO180" s="44"/>
      <c r="DP180" s="44"/>
      <c r="DQ180" s="44"/>
      <c r="DR180" s="44"/>
      <c r="DS180" s="44"/>
      <c r="DT180" s="44"/>
      <c r="DU180" s="44"/>
      <c r="DV180" s="44"/>
      <c r="DW180" s="45"/>
      <c r="DX180" s="45"/>
      <c r="DY180" s="45"/>
      <c r="DZ180" s="45"/>
      <c r="EA180" s="45"/>
      <c r="EB180" s="45"/>
      <c r="EC180" s="45"/>
      <c r="ED180" s="45"/>
      <c r="EE180" s="45"/>
      <c r="EF180" s="45"/>
      <c r="EG180" s="45"/>
      <c r="EH180" s="45"/>
      <c r="EI180" s="45"/>
      <c r="EJ180" s="45"/>
      <c r="EK180" s="44"/>
      <c r="EL180" s="45"/>
      <c r="EM180" s="45"/>
      <c r="EN180" s="45"/>
      <c r="EO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row>
    <row r="181" spans="1:230" s="4" customFormat="1">
      <c r="A181" s="4" t="s">
        <v>772</v>
      </c>
      <c r="B181" s="4" t="s">
        <v>1468</v>
      </c>
      <c r="C181" s="4" t="s">
        <v>24</v>
      </c>
      <c r="D181" t="str">
        <f t="shared" si="122"/>
        <v>saline</v>
      </c>
      <c r="E181" s="4" t="s">
        <v>119</v>
      </c>
      <c r="F181" s="4" t="s">
        <v>1394</v>
      </c>
      <c r="G181" s="4" t="s">
        <v>1728</v>
      </c>
      <c r="H181" s="4" t="s">
        <v>595</v>
      </c>
      <c r="I181" s="4">
        <v>84</v>
      </c>
      <c r="K181" s="4" t="s">
        <v>635</v>
      </c>
      <c r="L181" s="4" t="s">
        <v>585</v>
      </c>
      <c r="M181" s="4" t="s">
        <v>792</v>
      </c>
      <c r="N181" s="4" t="s">
        <v>582</v>
      </c>
      <c r="O181" s="4">
        <v>68</v>
      </c>
      <c r="P181" s="4">
        <v>1.52</v>
      </c>
      <c r="Q181" s="4">
        <v>0.32</v>
      </c>
      <c r="S181" s="4">
        <v>0.79</v>
      </c>
      <c r="T181" s="4">
        <v>5.54</v>
      </c>
      <c r="U181" s="4">
        <v>1.1399999999999999</v>
      </c>
      <c r="W181" s="4">
        <v>7.45</v>
      </c>
      <c r="X181" s="4">
        <v>24.27</v>
      </c>
      <c r="Y181" s="4">
        <v>26.97</v>
      </c>
      <c r="AA181" s="4">
        <v>0.57999999999999996</v>
      </c>
      <c r="AC181" s="4">
        <v>1.23</v>
      </c>
      <c r="AE181" s="4">
        <v>38.94</v>
      </c>
      <c r="AJ181" s="4">
        <v>8.2100000000000009</v>
      </c>
      <c r="AK181">
        <f t="shared" si="162"/>
        <v>108.75</v>
      </c>
      <c r="AL181" s="26">
        <f t="shared" si="163"/>
        <v>1.5205715547522445</v>
      </c>
      <c r="AM181" s="26">
        <f t="shared" si="164"/>
        <v>0.320120327316262</v>
      </c>
      <c r="AN181" s="26">
        <f t="shared" si="165"/>
        <v>0.79029705806202188</v>
      </c>
      <c r="AO181" s="26">
        <f t="shared" si="166"/>
        <v>5.5420831666627857</v>
      </c>
      <c r="AP181" s="26">
        <f t="shared" si="167"/>
        <v>1.1404286660641834</v>
      </c>
      <c r="AQ181" s="26">
        <f t="shared" si="168"/>
        <v>7.4528013703317253</v>
      </c>
      <c r="AR181" s="26">
        <f t="shared" si="169"/>
        <v>1.2304625081218821</v>
      </c>
      <c r="AS181" s="26">
        <f t="shared" si="170"/>
        <v>24.279126074892748</v>
      </c>
      <c r="AT181" s="26">
        <f t="shared" si="171"/>
        <v>26.98014133662371</v>
      </c>
      <c r="AU181" s="26">
        <f t="shared" si="172"/>
        <v>0.58021809326072493</v>
      </c>
      <c r="AV181" s="26">
        <f t="shared" si="173"/>
        <v>38.954642330297631</v>
      </c>
      <c r="AW181" s="26">
        <f t="shared" si="174"/>
        <v>108.79089248638591</v>
      </c>
      <c r="AX181" s="4">
        <v>11.1</v>
      </c>
      <c r="AY181" s="4">
        <v>16.100000000000001</v>
      </c>
      <c r="BB181" s="4">
        <v>0.22</v>
      </c>
      <c r="BD181">
        <f t="shared" si="175"/>
        <v>0.77985280376146149</v>
      </c>
      <c r="BE181">
        <f t="shared" si="176"/>
        <v>0.22014719623853843</v>
      </c>
      <c r="BH181" s="4">
        <v>73</v>
      </c>
      <c r="BL181" s="44"/>
      <c r="BM181" s="44"/>
      <c r="BN181" s="44"/>
      <c r="BO181" s="44"/>
      <c r="BP181" s="44"/>
      <c r="BQ181" s="44"/>
      <c r="BR181" s="44"/>
      <c r="BS181" s="44">
        <v>114.62</v>
      </c>
      <c r="BT181" s="44"/>
      <c r="BU181" s="44">
        <v>0.10299999999999999</v>
      </c>
      <c r="BV181" s="44"/>
      <c r="BW181" s="44"/>
      <c r="BX181" s="44"/>
      <c r="BY181" s="44"/>
      <c r="BZ181" s="44"/>
      <c r="CA181" s="44"/>
      <c r="CB181" s="44"/>
      <c r="CC181" s="44"/>
      <c r="CD181" s="44"/>
      <c r="CE181" s="44"/>
      <c r="CF181" s="44"/>
      <c r="CG181" s="44"/>
      <c r="CH181" s="44"/>
      <c r="CI181" s="44">
        <v>0.79800000000000004</v>
      </c>
      <c r="CJ181" s="44">
        <v>1.419</v>
      </c>
      <c r="CK181" s="44">
        <v>1.4E-3</v>
      </c>
      <c r="CL181" s="44">
        <v>9.1999999999999998E-3</v>
      </c>
      <c r="CM181" s="44"/>
      <c r="CN181" s="44">
        <v>9.9099999999999994E-2</v>
      </c>
      <c r="CO181" s="44"/>
      <c r="CP181" s="44"/>
      <c r="CQ181" s="44"/>
      <c r="CR181" s="44"/>
      <c r="CS181" s="44">
        <v>1.6500000000000001E-2</v>
      </c>
      <c r="CT181" s="44">
        <v>5.68</v>
      </c>
      <c r="CU181" s="44"/>
      <c r="CV181" s="44">
        <v>0.12670000000000001</v>
      </c>
      <c r="CW181" s="44">
        <v>0.16</v>
      </c>
      <c r="CX181" s="44">
        <v>1.5900000000000001E-2</v>
      </c>
      <c r="CY181" s="44">
        <v>4.2999999999999997E-2</v>
      </c>
      <c r="CZ181" s="44">
        <v>1.3299999999999999E-2</v>
      </c>
      <c r="DA181" s="44"/>
      <c r="DB181" s="44"/>
      <c r="DC181" s="44"/>
      <c r="DD181" s="44"/>
      <c r="DE181" s="44"/>
      <c r="DF181" s="44"/>
      <c r="DG181" s="44"/>
      <c r="DH181" s="44"/>
      <c r="DI181" s="44"/>
      <c r="DJ181" s="44"/>
      <c r="DK181" s="44"/>
      <c r="DL181" s="44"/>
      <c r="DM181" s="44">
        <v>1.7999999999999999E-2</v>
      </c>
      <c r="DN181" s="44">
        <v>3.5999999999999999E-3</v>
      </c>
      <c r="DO181" s="44"/>
      <c r="DP181" s="44"/>
      <c r="DQ181" s="44"/>
      <c r="DR181" s="44"/>
      <c r="DS181" s="44"/>
      <c r="DT181" s="44"/>
      <c r="DU181" s="44"/>
      <c r="DV181" s="44"/>
      <c r="DW181" s="45"/>
      <c r="DX181" s="45"/>
      <c r="DY181" s="45"/>
      <c r="DZ181" s="45"/>
      <c r="EA181" s="45"/>
      <c r="EB181" s="45"/>
      <c r="EC181" s="45"/>
      <c r="ED181" s="45"/>
      <c r="EE181" s="45"/>
      <c r="EF181" s="45"/>
      <c r="EG181" s="45"/>
      <c r="EH181" s="45"/>
      <c r="EI181" s="45"/>
      <c r="EJ181" s="45"/>
      <c r="EK181" s="44"/>
      <c r="EL181" s="45"/>
      <c r="EM181" s="45"/>
      <c r="EN181" s="45"/>
      <c r="EO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row>
    <row r="182" spans="1:230" s="4" customFormat="1">
      <c r="A182" s="4" t="s">
        <v>772</v>
      </c>
      <c r="B182" s="4" t="s">
        <v>1468</v>
      </c>
      <c r="C182" s="4" t="s">
        <v>24</v>
      </c>
      <c r="D182" t="str">
        <f t="shared" si="122"/>
        <v>saline</v>
      </c>
      <c r="E182" s="4" t="s">
        <v>119</v>
      </c>
      <c r="F182" s="4" t="s">
        <v>1394</v>
      </c>
      <c r="G182" s="4" t="s">
        <v>1728</v>
      </c>
      <c r="H182" s="4" t="s">
        <v>595</v>
      </c>
      <c r="I182" s="4">
        <v>84</v>
      </c>
      <c r="K182" s="4" t="s">
        <v>635</v>
      </c>
      <c r="L182" s="4" t="s">
        <v>585</v>
      </c>
      <c r="M182" s="4" t="s">
        <v>793</v>
      </c>
      <c r="N182" s="4" t="s">
        <v>582</v>
      </c>
      <c r="O182" s="4">
        <v>68</v>
      </c>
      <c r="P182" s="4">
        <v>1.52</v>
      </c>
      <c r="Q182" s="4">
        <v>0.32</v>
      </c>
      <c r="S182" s="4">
        <v>0.79</v>
      </c>
      <c r="T182" s="4">
        <v>5.54</v>
      </c>
      <c r="U182" s="4">
        <v>1.1399999999999999</v>
      </c>
      <c r="W182" s="4">
        <v>7.45</v>
      </c>
      <c r="X182" s="4">
        <v>24.27</v>
      </c>
      <c r="Y182" s="4">
        <v>26.97</v>
      </c>
      <c r="AA182" s="4">
        <v>0.57999999999999996</v>
      </c>
      <c r="AC182" s="4">
        <v>1.23</v>
      </c>
      <c r="AE182" s="4">
        <v>38.94</v>
      </c>
      <c r="AJ182" s="4">
        <v>8.2100000000000009</v>
      </c>
      <c r="AK182">
        <f t="shared" si="162"/>
        <v>108.75</v>
      </c>
      <c r="AL182" s="26">
        <f t="shared" si="163"/>
        <v>1.5205715547522445</v>
      </c>
      <c r="AM182" s="26">
        <f t="shared" si="164"/>
        <v>0.320120327316262</v>
      </c>
      <c r="AN182" s="26">
        <f t="shared" si="165"/>
        <v>0.79029705806202188</v>
      </c>
      <c r="AO182" s="26">
        <f t="shared" si="166"/>
        <v>5.5420831666627857</v>
      </c>
      <c r="AP182" s="26">
        <f t="shared" si="167"/>
        <v>1.1404286660641834</v>
      </c>
      <c r="AQ182" s="26">
        <f t="shared" si="168"/>
        <v>7.4528013703317253</v>
      </c>
      <c r="AR182" s="26">
        <f t="shared" si="169"/>
        <v>1.2304625081218821</v>
      </c>
      <c r="AS182" s="26">
        <f t="shared" si="170"/>
        <v>24.279126074892748</v>
      </c>
      <c r="AT182" s="26">
        <f t="shared" si="171"/>
        <v>26.98014133662371</v>
      </c>
      <c r="AU182" s="26">
        <f t="shared" si="172"/>
        <v>0.58021809326072493</v>
      </c>
      <c r="AV182" s="26">
        <f t="shared" si="173"/>
        <v>38.954642330297631</v>
      </c>
      <c r="AW182" s="26">
        <f t="shared" si="174"/>
        <v>108.79089248638591</v>
      </c>
      <c r="AX182" s="4">
        <v>11.1</v>
      </c>
      <c r="AY182" s="4">
        <v>16.100000000000001</v>
      </c>
      <c r="BB182" s="4">
        <v>0.22</v>
      </c>
      <c r="BD182">
        <f t="shared" si="175"/>
        <v>0.77985280376146149</v>
      </c>
      <c r="BE182">
        <f t="shared" si="176"/>
        <v>0.22014719623853843</v>
      </c>
      <c r="BH182" s="4">
        <v>73</v>
      </c>
      <c r="BL182" s="44"/>
      <c r="BM182" s="44"/>
      <c r="BN182" s="44"/>
      <c r="BO182" s="44"/>
      <c r="BP182" s="44"/>
      <c r="BQ182" s="44"/>
      <c r="BR182" s="44"/>
      <c r="BS182" s="44">
        <v>116.78</v>
      </c>
      <c r="BT182" s="44"/>
      <c r="BU182" s="44">
        <v>0.106</v>
      </c>
      <c r="BV182" s="44"/>
      <c r="BW182" s="44"/>
      <c r="BX182" s="44"/>
      <c r="BY182" s="44"/>
      <c r="BZ182" s="44"/>
      <c r="CA182" s="44"/>
      <c r="CB182" s="44"/>
      <c r="CC182" s="44"/>
      <c r="CD182" s="44"/>
      <c r="CE182" s="44"/>
      <c r="CF182" s="44"/>
      <c r="CG182" s="44"/>
      <c r="CH182" s="44"/>
      <c r="CI182" s="44">
        <v>0.81299999999999994</v>
      </c>
      <c r="CJ182" s="44">
        <v>1.478</v>
      </c>
      <c r="CK182" s="44">
        <v>7.2000000000000005E-4</v>
      </c>
      <c r="CL182" s="44">
        <v>6.6E-3</v>
      </c>
      <c r="CM182" s="44"/>
      <c r="CN182" s="44">
        <v>9.6500000000000002E-2</v>
      </c>
      <c r="CO182" s="44"/>
      <c r="CP182" s="44"/>
      <c r="CQ182" s="44"/>
      <c r="CR182" s="44"/>
      <c r="CS182" s="44">
        <v>1.8800000000000001E-2</v>
      </c>
      <c r="CT182" s="44">
        <v>5.86</v>
      </c>
      <c r="CU182" s="44"/>
      <c r="CV182" s="44">
        <v>0.12640000000000001</v>
      </c>
      <c r="CW182" s="44">
        <v>0.1663</v>
      </c>
      <c r="CX182" s="44">
        <v>1.49E-2</v>
      </c>
      <c r="CY182" s="44">
        <v>8.6999999999999994E-2</v>
      </c>
      <c r="CZ182" s="44">
        <v>1.43E-2</v>
      </c>
      <c r="DA182" s="44"/>
      <c r="DB182" s="44"/>
      <c r="DC182" s="44"/>
      <c r="DD182" s="44"/>
      <c r="DE182" s="44"/>
      <c r="DF182" s="44"/>
      <c r="DG182" s="44"/>
      <c r="DH182" s="44"/>
      <c r="DI182" s="44"/>
      <c r="DJ182" s="44">
        <v>3.8E-3</v>
      </c>
      <c r="DK182" s="44"/>
      <c r="DL182" s="44"/>
      <c r="DM182" s="44">
        <v>1.5100000000000001E-2</v>
      </c>
      <c r="DN182" s="44">
        <v>8.3000000000000001E-3</v>
      </c>
      <c r="DO182" s="44"/>
      <c r="DP182" s="44"/>
      <c r="DQ182" s="44"/>
      <c r="DR182" s="44"/>
      <c r="DS182" s="44"/>
      <c r="DT182" s="44"/>
      <c r="DU182" s="44"/>
      <c r="DV182" s="44"/>
      <c r="DW182" s="45"/>
      <c r="DX182" s="45"/>
      <c r="DY182" s="45"/>
      <c r="DZ182" s="45"/>
      <c r="EA182" s="45"/>
      <c r="EB182" s="45"/>
      <c r="EC182" s="45"/>
      <c r="ED182" s="45"/>
      <c r="EE182" s="45"/>
      <c r="EF182" s="45"/>
      <c r="EG182" s="45"/>
      <c r="EH182" s="45"/>
      <c r="EI182" s="45"/>
      <c r="EJ182" s="45"/>
      <c r="EK182" s="44"/>
      <c r="EL182" s="45"/>
      <c r="EM182" s="45"/>
      <c r="EN182" s="45"/>
      <c r="EO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row>
    <row r="183" spans="1:230" s="4" customFormat="1">
      <c r="A183" s="4" t="s">
        <v>772</v>
      </c>
      <c r="B183" s="4" t="s">
        <v>1468</v>
      </c>
      <c r="C183" s="4" t="s">
        <v>24</v>
      </c>
      <c r="D183" t="str">
        <f t="shared" si="122"/>
        <v>saline</v>
      </c>
      <c r="E183" s="4" t="s">
        <v>119</v>
      </c>
      <c r="F183" s="4" t="s">
        <v>1394</v>
      </c>
      <c r="G183" s="4" t="s">
        <v>1728</v>
      </c>
      <c r="H183" s="4" t="s">
        <v>595</v>
      </c>
      <c r="I183" s="4">
        <v>84</v>
      </c>
      <c r="K183" s="4" t="s">
        <v>635</v>
      </c>
      <c r="L183" s="4" t="s">
        <v>585</v>
      </c>
      <c r="M183" s="4" t="s">
        <v>794</v>
      </c>
      <c r="N183" s="4" t="s">
        <v>582</v>
      </c>
      <c r="O183" s="4">
        <v>68</v>
      </c>
      <c r="P183" s="4">
        <v>1.52</v>
      </c>
      <c r="Q183" s="4">
        <v>0.32</v>
      </c>
      <c r="S183" s="4">
        <v>0.79</v>
      </c>
      <c r="T183" s="4">
        <v>5.54</v>
      </c>
      <c r="U183" s="4">
        <v>1.1399999999999999</v>
      </c>
      <c r="W183" s="4">
        <v>7.45</v>
      </c>
      <c r="X183" s="4">
        <v>24.27</v>
      </c>
      <c r="Y183" s="4">
        <v>26.97</v>
      </c>
      <c r="AA183" s="4">
        <v>0.57999999999999996</v>
      </c>
      <c r="AC183" s="4">
        <v>1.23</v>
      </c>
      <c r="AE183" s="4">
        <v>38.94</v>
      </c>
      <c r="AJ183" s="4">
        <v>8.2100000000000009</v>
      </c>
      <c r="AK183">
        <f t="shared" si="162"/>
        <v>108.75</v>
      </c>
      <c r="AL183" s="26">
        <f t="shared" si="163"/>
        <v>1.5205715547522445</v>
      </c>
      <c r="AM183" s="26">
        <f t="shared" si="164"/>
        <v>0.320120327316262</v>
      </c>
      <c r="AN183" s="26">
        <f t="shared" si="165"/>
        <v>0.79029705806202188</v>
      </c>
      <c r="AO183" s="26">
        <f t="shared" si="166"/>
        <v>5.5420831666627857</v>
      </c>
      <c r="AP183" s="26">
        <f t="shared" si="167"/>
        <v>1.1404286660641834</v>
      </c>
      <c r="AQ183" s="26">
        <f t="shared" si="168"/>
        <v>7.4528013703317253</v>
      </c>
      <c r="AR183" s="26">
        <f t="shared" si="169"/>
        <v>1.2304625081218821</v>
      </c>
      <c r="AS183" s="26">
        <f t="shared" si="170"/>
        <v>24.279126074892748</v>
      </c>
      <c r="AT183" s="26">
        <f t="shared" si="171"/>
        <v>26.98014133662371</v>
      </c>
      <c r="AU183" s="26">
        <f t="shared" si="172"/>
        <v>0.58021809326072493</v>
      </c>
      <c r="AV183" s="26">
        <f t="shared" si="173"/>
        <v>38.954642330297631</v>
      </c>
      <c r="AW183" s="26">
        <f t="shared" si="174"/>
        <v>108.79089248638591</v>
      </c>
      <c r="AX183" s="4">
        <v>11.1</v>
      </c>
      <c r="AY183" s="4">
        <v>16.100000000000001</v>
      </c>
      <c r="BB183" s="4">
        <v>0.22</v>
      </c>
      <c r="BD183">
        <f t="shared" si="175"/>
        <v>0.77985280376146149</v>
      </c>
      <c r="BE183">
        <f t="shared" si="176"/>
        <v>0.22014719623853843</v>
      </c>
      <c r="BH183" s="4">
        <v>73</v>
      </c>
      <c r="BL183" s="44"/>
      <c r="BM183" s="44"/>
      <c r="BN183" s="44"/>
      <c r="BO183" s="44"/>
      <c r="BP183" s="44"/>
      <c r="BQ183" s="44"/>
      <c r="BR183" s="44"/>
      <c r="BS183" s="44">
        <v>563.82000000000005</v>
      </c>
      <c r="BT183" s="44"/>
      <c r="BU183" s="44">
        <v>0.94</v>
      </c>
      <c r="BV183" s="44"/>
      <c r="BW183" s="44"/>
      <c r="BX183" s="44"/>
      <c r="BY183" s="44"/>
      <c r="BZ183" s="44"/>
      <c r="CA183" s="44"/>
      <c r="CB183" s="44"/>
      <c r="CC183" s="44"/>
      <c r="CD183" s="44"/>
      <c r="CE183" s="44"/>
      <c r="CF183" s="44"/>
      <c r="CG183" s="44"/>
      <c r="CH183" s="44"/>
      <c r="CI183" s="44">
        <v>4</v>
      </c>
      <c r="CJ183" s="44">
        <v>7.2789999999999999</v>
      </c>
      <c r="CK183" s="44">
        <v>3.3999999999999998E-3</v>
      </c>
      <c r="CL183" s="44">
        <v>6.3799999999999996E-2</v>
      </c>
      <c r="CM183" s="44"/>
      <c r="CN183" s="44">
        <v>0.44</v>
      </c>
      <c r="CO183" s="44"/>
      <c r="CP183" s="44"/>
      <c r="CQ183" s="44"/>
      <c r="CR183" s="44"/>
      <c r="CS183" s="44">
        <v>9.1999999999999998E-2</v>
      </c>
      <c r="CT183" s="44">
        <v>29.56</v>
      </c>
      <c r="CU183" s="44"/>
      <c r="CV183" s="44">
        <v>0.72799999999999998</v>
      </c>
      <c r="CW183" s="44">
        <v>0.88700000000000001</v>
      </c>
      <c r="CX183" s="44">
        <v>8.7999999999999995E-2</v>
      </c>
      <c r="CY183" s="44">
        <v>0.30299999999999999</v>
      </c>
      <c r="CZ183" s="44">
        <v>4.0399999999999998E-2</v>
      </c>
      <c r="DA183" s="44">
        <v>1.0500000000000001E-2</v>
      </c>
      <c r="DB183" s="44"/>
      <c r="DC183" s="44"/>
      <c r="DD183" s="44"/>
      <c r="DE183" s="44"/>
      <c r="DF183" s="44"/>
      <c r="DG183" s="44"/>
      <c r="DH183" s="44"/>
      <c r="DI183" s="44"/>
      <c r="DJ183" s="44">
        <v>9.9000000000000008E-3</v>
      </c>
      <c r="DK183" s="44"/>
      <c r="DL183" s="44"/>
      <c r="DM183" s="44">
        <v>8.4599999999999995E-2</v>
      </c>
      <c r="DN183" s="44">
        <v>2.3699999999999999E-2</v>
      </c>
      <c r="DO183" s="44"/>
      <c r="DP183" s="44"/>
      <c r="DQ183" s="44"/>
      <c r="DR183" s="44"/>
      <c r="DS183" s="44"/>
      <c r="DT183" s="44"/>
      <c r="DU183" s="44"/>
      <c r="DV183" s="44"/>
      <c r="DW183" s="45"/>
      <c r="DX183" s="45"/>
      <c r="DY183" s="45"/>
      <c r="DZ183" s="45"/>
      <c r="EA183" s="45"/>
      <c r="EB183" s="45"/>
      <c r="EC183" s="45"/>
      <c r="ED183" s="45"/>
      <c r="EE183" s="45"/>
      <c r="EF183" s="45"/>
      <c r="EG183" s="45"/>
      <c r="EH183" s="45"/>
      <c r="EI183" s="45"/>
      <c r="EJ183" s="45"/>
      <c r="EK183" s="44"/>
      <c r="EL183" s="45"/>
      <c r="EM183" s="45"/>
      <c r="EN183" s="45"/>
      <c r="EO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row>
    <row r="184" spans="1:230" s="4" customFormat="1">
      <c r="A184" s="4" t="s">
        <v>772</v>
      </c>
      <c r="B184" s="4" t="s">
        <v>1468</v>
      </c>
      <c r="C184" s="4" t="s">
        <v>24</v>
      </c>
      <c r="D184" t="str">
        <f t="shared" si="122"/>
        <v>saline</v>
      </c>
      <c r="E184" s="4" t="s">
        <v>119</v>
      </c>
      <c r="F184" s="4" t="s">
        <v>1394</v>
      </c>
      <c r="G184" s="4" t="s">
        <v>1728</v>
      </c>
      <c r="H184" s="4" t="s">
        <v>595</v>
      </c>
      <c r="I184" s="4">
        <v>84</v>
      </c>
      <c r="K184" s="4" t="s">
        <v>635</v>
      </c>
      <c r="L184" s="4" t="s">
        <v>585</v>
      </c>
      <c r="M184" s="4" t="s">
        <v>795</v>
      </c>
      <c r="N184" s="4" t="s">
        <v>582</v>
      </c>
      <c r="O184" s="4">
        <v>68</v>
      </c>
      <c r="P184" s="4">
        <v>1.52</v>
      </c>
      <c r="Q184" s="4">
        <v>0.32</v>
      </c>
      <c r="S184" s="4">
        <v>0.79</v>
      </c>
      <c r="T184" s="4">
        <v>5.54</v>
      </c>
      <c r="U184" s="4">
        <v>1.1399999999999999</v>
      </c>
      <c r="W184" s="4">
        <v>7.45</v>
      </c>
      <c r="X184" s="4">
        <v>24.27</v>
      </c>
      <c r="Y184" s="4">
        <v>26.97</v>
      </c>
      <c r="AA184" s="4">
        <v>0.57999999999999996</v>
      </c>
      <c r="AC184" s="4">
        <v>1.23</v>
      </c>
      <c r="AE184" s="4">
        <v>38.94</v>
      </c>
      <c r="AJ184" s="4">
        <v>8.2100000000000009</v>
      </c>
      <c r="AK184">
        <f t="shared" si="162"/>
        <v>108.75</v>
      </c>
      <c r="AL184" s="26">
        <f t="shared" si="163"/>
        <v>1.5205715547522445</v>
      </c>
      <c r="AM184" s="26">
        <f t="shared" si="164"/>
        <v>0.320120327316262</v>
      </c>
      <c r="AN184" s="26">
        <f t="shared" si="165"/>
        <v>0.79029705806202188</v>
      </c>
      <c r="AO184" s="26">
        <f t="shared" si="166"/>
        <v>5.5420831666627857</v>
      </c>
      <c r="AP184" s="26">
        <f t="shared" si="167"/>
        <v>1.1404286660641834</v>
      </c>
      <c r="AQ184" s="26">
        <f t="shared" si="168"/>
        <v>7.4528013703317253</v>
      </c>
      <c r="AR184" s="26">
        <f t="shared" si="169"/>
        <v>1.2304625081218821</v>
      </c>
      <c r="AS184" s="26">
        <f t="shared" si="170"/>
        <v>24.279126074892748</v>
      </c>
      <c r="AT184" s="26">
        <f t="shared" si="171"/>
        <v>26.98014133662371</v>
      </c>
      <c r="AU184" s="26">
        <f t="shared" si="172"/>
        <v>0.58021809326072493</v>
      </c>
      <c r="AV184" s="26">
        <f t="shared" si="173"/>
        <v>38.954642330297631</v>
      </c>
      <c r="AW184" s="26">
        <f t="shared" si="174"/>
        <v>108.79089248638591</v>
      </c>
      <c r="AX184" s="4">
        <v>11.1</v>
      </c>
      <c r="AY184" s="4">
        <v>16.100000000000001</v>
      </c>
      <c r="BB184" s="4">
        <v>0.22</v>
      </c>
      <c r="BD184">
        <f t="shared" si="175"/>
        <v>0.77985280376146149</v>
      </c>
      <c r="BE184">
        <f t="shared" si="176"/>
        <v>0.22014719623853843</v>
      </c>
      <c r="BH184" s="4">
        <v>73</v>
      </c>
      <c r="BL184" s="44"/>
      <c r="BM184" s="44"/>
      <c r="BN184" s="44"/>
      <c r="BO184" s="44"/>
      <c r="BP184" s="44"/>
      <c r="BQ184" s="44"/>
      <c r="BR184" s="44"/>
      <c r="BS184" s="44">
        <v>1192.8699999999999</v>
      </c>
      <c r="BT184" s="44"/>
      <c r="BU184" s="44">
        <v>1.4470000000000001</v>
      </c>
      <c r="BV184" s="44"/>
      <c r="BW184" s="44"/>
      <c r="BX184" s="44"/>
      <c r="BY184" s="44"/>
      <c r="BZ184" s="44"/>
      <c r="CA184" s="44"/>
      <c r="CB184" s="44"/>
      <c r="CC184" s="44"/>
      <c r="CD184" s="44"/>
      <c r="CE184" s="44"/>
      <c r="CF184" s="44"/>
      <c r="CG184" s="44"/>
      <c r="CH184" s="44"/>
      <c r="CI184" s="44">
        <v>8.57</v>
      </c>
      <c r="CJ184" s="44">
        <v>15.939</v>
      </c>
      <c r="CK184" s="44">
        <v>4.1200000000000004E-3</v>
      </c>
      <c r="CL184" s="44">
        <v>0.1198</v>
      </c>
      <c r="CM184" s="44"/>
      <c r="CN184" s="44">
        <v>1.046</v>
      </c>
      <c r="CO184" s="44"/>
      <c r="CP184" s="44"/>
      <c r="CQ184" s="44"/>
      <c r="CR184" s="44"/>
      <c r="CS184" s="44">
        <v>0.2198</v>
      </c>
      <c r="CT184" s="44">
        <v>64.63</v>
      </c>
      <c r="CU184" s="44"/>
      <c r="CV184" s="44">
        <v>1.6279999999999999</v>
      </c>
      <c r="CW184" s="44">
        <v>1.9530000000000001</v>
      </c>
      <c r="CX184" s="44">
        <v>0.1895</v>
      </c>
      <c r="CY184" s="44">
        <v>0.64800000000000002</v>
      </c>
      <c r="CZ184" s="44">
        <v>7.0699999999999999E-2</v>
      </c>
      <c r="DA184" s="44">
        <v>2.3E-2</v>
      </c>
      <c r="DB184" s="44">
        <v>2.6800000000000001E-2</v>
      </c>
      <c r="DC184" s="44">
        <v>6.6E-3</v>
      </c>
      <c r="DD184" s="44"/>
      <c r="DE184" s="44"/>
      <c r="DF184" s="44"/>
      <c r="DG184" s="44">
        <v>7.1000000000000004E-3</v>
      </c>
      <c r="DH184" s="44"/>
      <c r="DI184" s="44"/>
      <c r="DJ184" s="44">
        <v>2.5399999999999999E-2</v>
      </c>
      <c r="DK184" s="44"/>
      <c r="DL184" s="44"/>
      <c r="DM184" s="44">
        <v>0.18509999999999999</v>
      </c>
      <c r="DN184" s="44">
        <v>5.1200000000000002E-2</v>
      </c>
      <c r="DO184" s="44"/>
      <c r="DP184" s="44"/>
      <c r="DQ184" s="44"/>
      <c r="DR184" s="44"/>
      <c r="DS184" s="44"/>
      <c r="DT184" s="44"/>
      <c r="DU184" s="44"/>
      <c r="DV184" s="44"/>
      <c r="DW184" s="45"/>
      <c r="DX184" s="45"/>
      <c r="DY184" s="45"/>
      <c r="DZ184" s="45"/>
      <c r="EA184" s="45"/>
      <c r="EB184" s="45"/>
      <c r="EC184" s="45"/>
      <c r="ED184" s="45"/>
      <c r="EE184" s="45"/>
      <c r="EF184" s="45"/>
      <c r="EG184" s="45"/>
      <c r="EH184" s="45"/>
      <c r="EI184" s="45"/>
      <c r="EJ184" s="45"/>
      <c r="EK184" s="44"/>
      <c r="EL184" s="45"/>
      <c r="EM184" s="45"/>
      <c r="EN184" s="45"/>
      <c r="EO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row>
    <row r="185" spans="1:230" s="4" customFormat="1">
      <c r="A185" s="4" t="s">
        <v>772</v>
      </c>
      <c r="B185" s="4" t="s">
        <v>1468</v>
      </c>
      <c r="C185" s="4" t="s">
        <v>24</v>
      </c>
      <c r="D185" t="str">
        <f t="shared" si="122"/>
        <v>saline</v>
      </c>
      <c r="E185" s="4" t="s">
        <v>119</v>
      </c>
      <c r="F185" s="4" t="s">
        <v>1394</v>
      </c>
      <c r="G185" s="4" t="s">
        <v>1728</v>
      </c>
      <c r="H185" s="4" t="s">
        <v>595</v>
      </c>
      <c r="I185" s="4">
        <v>84</v>
      </c>
      <c r="K185" s="4" t="s">
        <v>635</v>
      </c>
      <c r="L185" s="4" t="s">
        <v>585</v>
      </c>
      <c r="M185" s="4" t="s">
        <v>796</v>
      </c>
      <c r="N185" s="4" t="s">
        <v>582</v>
      </c>
      <c r="O185" s="4">
        <v>68</v>
      </c>
      <c r="P185" s="4">
        <v>1.52</v>
      </c>
      <c r="Q185" s="4">
        <v>0.32</v>
      </c>
      <c r="S185" s="4">
        <v>0.79</v>
      </c>
      <c r="T185" s="4">
        <v>5.54</v>
      </c>
      <c r="U185" s="4">
        <v>1.1399999999999999</v>
      </c>
      <c r="W185" s="4">
        <v>7.45</v>
      </c>
      <c r="X185" s="4">
        <v>24.27</v>
      </c>
      <c r="Y185" s="4">
        <v>26.97</v>
      </c>
      <c r="AA185" s="4">
        <v>0.57999999999999996</v>
      </c>
      <c r="AC185" s="4">
        <v>1.23</v>
      </c>
      <c r="AE185" s="4">
        <v>38.94</v>
      </c>
      <c r="AJ185" s="4">
        <v>8.2100000000000009</v>
      </c>
      <c r="AK185">
        <f t="shared" si="162"/>
        <v>108.75</v>
      </c>
      <c r="AL185" s="26">
        <f t="shared" si="163"/>
        <v>1.5205715547522445</v>
      </c>
      <c r="AM185" s="26">
        <f t="shared" si="164"/>
        <v>0.320120327316262</v>
      </c>
      <c r="AN185" s="26">
        <f t="shared" si="165"/>
        <v>0.79029705806202188</v>
      </c>
      <c r="AO185" s="26">
        <f t="shared" si="166"/>
        <v>5.5420831666627857</v>
      </c>
      <c r="AP185" s="26">
        <f t="shared" si="167"/>
        <v>1.1404286660641834</v>
      </c>
      <c r="AQ185" s="26">
        <f t="shared" si="168"/>
        <v>7.4528013703317253</v>
      </c>
      <c r="AR185" s="26">
        <f t="shared" si="169"/>
        <v>1.2304625081218821</v>
      </c>
      <c r="AS185" s="26">
        <f t="shared" si="170"/>
        <v>24.279126074892748</v>
      </c>
      <c r="AT185" s="26">
        <f t="shared" si="171"/>
        <v>26.98014133662371</v>
      </c>
      <c r="AU185" s="26">
        <f t="shared" si="172"/>
        <v>0.58021809326072493</v>
      </c>
      <c r="AV185" s="26">
        <f t="shared" si="173"/>
        <v>38.954642330297631</v>
      </c>
      <c r="AW185" s="26">
        <f t="shared" si="174"/>
        <v>108.79089248638591</v>
      </c>
      <c r="AX185" s="4">
        <v>11.1</v>
      </c>
      <c r="AY185" s="4">
        <v>16.100000000000001</v>
      </c>
      <c r="BB185" s="4">
        <v>0.22</v>
      </c>
      <c r="BD185">
        <f t="shared" si="175"/>
        <v>0.77985280376146149</v>
      </c>
      <c r="BE185">
        <f t="shared" si="176"/>
        <v>0.22014719623853843</v>
      </c>
      <c r="BH185" s="4">
        <v>73</v>
      </c>
      <c r="BL185" s="44"/>
      <c r="BM185" s="44"/>
      <c r="BN185" s="44"/>
      <c r="BO185" s="44"/>
      <c r="BP185" s="44"/>
      <c r="BQ185" s="44"/>
      <c r="BR185" s="44"/>
      <c r="BS185" s="44">
        <v>863.59</v>
      </c>
      <c r="BT185" s="44"/>
      <c r="BU185" s="44">
        <v>1.244</v>
      </c>
      <c r="BV185" s="44"/>
      <c r="BW185" s="44"/>
      <c r="BX185" s="44"/>
      <c r="BY185" s="44"/>
      <c r="BZ185" s="44"/>
      <c r="CA185" s="44"/>
      <c r="CB185" s="44"/>
      <c r="CC185" s="44"/>
      <c r="CD185" s="44"/>
      <c r="CE185" s="44"/>
      <c r="CF185" s="44"/>
      <c r="CG185" s="44"/>
      <c r="CH185" s="44"/>
      <c r="CI185" s="44">
        <v>6.15</v>
      </c>
      <c r="CJ185" s="44">
        <v>11.419</v>
      </c>
      <c r="CK185" s="44">
        <v>8.2000000000000007E-3</v>
      </c>
      <c r="CL185" s="44">
        <v>0.109</v>
      </c>
      <c r="CM185" s="44"/>
      <c r="CN185" s="44">
        <v>0.77800000000000002</v>
      </c>
      <c r="CO185" s="44"/>
      <c r="CP185" s="44"/>
      <c r="CQ185" s="44"/>
      <c r="CR185" s="44"/>
      <c r="CS185" s="44">
        <v>0.15620000000000001</v>
      </c>
      <c r="CT185" s="44">
        <v>45.61</v>
      </c>
      <c r="CU185" s="44"/>
      <c r="CV185" s="44">
        <v>1.3580000000000001</v>
      </c>
      <c r="CW185" s="44">
        <v>1.5289999999999999</v>
      </c>
      <c r="CX185" s="44">
        <v>0.1515</v>
      </c>
      <c r="CY185" s="44">
        <v>0.53700000000000003</v>
      </c>
      <c r="CZ185" s="44">
        <v>4.4600000000000001E-2</v>
      </c>
      <c r="DA185" s="44">
        <v>1.84E-2</v>
      </c>
      <c r="DB185" s="44">
        <v>2.3E-2</v>
      </c>
      <c r="DC185" s="44"/>
      <c r="DD185" s="44"/>
      <c r="DE185" s="44">
        <v>1.01E-2</v>
      </c>
      <c r="DF185" s="44"/>
      <c r="DG185" s="44"/>
      <c r="DH185" s="44">
        <v>2.7299999999999998E-3</v>
      </c>
      <c r="DI185" s="44">
        <v>8.0999999999999996E-3</v>
      </c>
      <c r="DJ185" s="44">
        <v>1.9400000000000001E-2</v>
      </c>
      <c r="DK185" s="44"/>
      <c r="DL185" s="44"/>
      <c r="DM185" s="44">
        <v>0.15110000000000001</v>
      </c>
      <c r="DN185" s="44">
        <v>3.8300000000000001E-2</v>
      </c>
      <c r="DO185" s="44"/>
      <c r="DP185" s="44"/>
      <c r="DQ185" s="44"/>
      <c r="DR185" s="44"/>
      <c r="DS185" s="44"/>
      <c r="DT185" s="44"/>
      <c r="DU185" s="44"/>
      <c r="DV185" s="44"/>
      <c r="DW185" s="45"/>
      <c r="DX185" s="45"/>
      <c r="DY185" s="45"/>
      <c r="DZ185" s="45"/>
      <c r="EA185" s="45"/>
      <c r="EB185" s="45"/>
      <c r="EC185" s="45"/>
      <c r="ED185" s="45"/>
      <c r="EE185" s="45"/>
      <c r="EF185" s="45"/>
      <c r="EG185" s="45"/>
      <c r="EH185" s="45"/>
      <c r="EI185" s="45"/>
      <c r="EJ185" s="45"/>
      <c r="EK185" s="44"/>
      <c r="EL185" s="45"/>
      <c r="EM185" s="45"/>
      <c r="EN185" s="45"/>
      <c r="EO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row>
    <row r="186" spans="1:230" s="4" customFormat="1">
      <c r="A186" s="4" t="s">
        <v>772</v>
      </c>
      <c r="B186" s="4" t="s">
        <v>1468</v>
      </c>
      <c r="C186" s="4" t="s">
        <v>24</v>
      </c>
      <c r="D186" t="str">
        <f t="shared" si="122"/>
        <v>saline</v>
      </c>
      <c r="E186" s="4" t="s">
        <v>119</v>
      </c>
      <c r="F186" s="4" t="s">
        <v>1394</v>
      </c>
      <c r="G186" s="4" t="s">
        <v>1728</v>
      </c>
      <c r="H186" s="4" t="s">
        <v>595</v>
      </c>
      <c r="I186" s="4">
        <v>84</v>
      </c>
      <c r="J186" s="4" t="s">
        <v>735</v>
      </c>
      <c r="K186" s="4" t="s">
        <v>635</v>
      </c>
      <c r="L186" s="4" t="s">
        <v>674</v>
      </c>
      <c r="N186" s="4" t="s">
        <v>583</v>
      </c>
      <c r="O186" s="4">
        <v>49</v>
      </c>
      <c r="P186" s="4">
        <v>1.55</v>
      </c>
      <c r="Q186" s="4">
        <v>0.48</v>
      </c>
      <c r="S186" s="4">
        <v>0.72</v>
      </c>
      <c r="T186" s="4">
        <v>8.7200000000000006</v>
      </c>
      <c r="U186" s="4">
        <v>1.42</v>
      </c>
      <c r="W186" s="4">
        <v>8.76</v>
      </c>
      <c r="X186" s="4">
        <v>13</v>
      </c>
      <c r="Y186" s="4">
        <v>31.2</v>
      </c>
      <c r="AA186" s="4">
        <v>0.51</v>
      </c>
      <c r="AC186" s="4">
        <v>4.38</v>
      </c>
      <c r="AE186" s="4">
        <v>37.72</v>
      </c>
      <c r="AJ186" s="4">
        <v>7.97</v>
      </c>
      <c r="AK186">
        <f t="shared" si="162"/>
        <v>108.46</v>
      </c>
      <c r="AL186" s="26">
        <f t="shared" si="163"/>
        <v>1.5508106211794206</v>
      </c>
      <c r="AM186" s="26">
        <f t="shared" si="164"/>
        <v>0.48025103107491734</v>
      </c>
      <c r="AN186" s="26">
        <f t="shared" si="165"/>
        <v>0.72037654661237593</v>
      </c>
      <c r="AO186" s="26">
        <f t="shared" si="166"/>
        <v>8.7245603978609996</v>
      </c>
      <c r="AP186" s="26">
        <f t="shared" si="167"/>
        <v>1.4207426335966304</v>
      </c>
      <c r="AQ186" s="26">
        <f t="shared" si="168"/>
        <v>8.7645813171172406</v>
      </c>
      <c r="AR186" s="26">
        <f t="shared" si="169"/>
        <v>4.3822906585586203</v>
      </c>
      <c r="AS186" s="26">
        <f t="shared" si="170"/>
        <v>13.006798758279011</v>
      </c>
      <c r="AT186" s="26">
        <f t="shared" si="171"/>
        <v>31.216317019869628</v>
      </c>
      <c r="AU186" s="26">
        <f t="shared" si="172"/>
        <v>0.51026672051709965</v>
      </c>
      <c r="AV186" s="26">
        <f t="shared" si="173"/>
        <v>37.739726858637255</v>
      </c>
      <c r="AW186" s="26">
        <f t="shared" si="174"/>
        <v>108.51672256330319</v>
      </c>
      <c r="AX186" s="4">
        <v>9.1</v>
      </c>
      <c r="AY186" s="4">
        <v>27.3</v>
      </c>
      <c r="BB186" s="4">
        <v>0.12</v>
      </c>
      <c r="BD186">
        <f t="shared" si="175"/>
        <v>0.87990669776741093</v>
      </c>
      <c r="BE186">
        <f t="shared" si="176"/>
        <v>0.12009330223258913</v>
      </c>
      <c r="BH186" s="4">
        <v>190</v>
      </c>
      <c r="BL186" s="44"/>
      <c r="BM186" s="44"/>
      <c r="BN186" s="44"/>
      <c r="BO186" s="44"/>
      <c r="BP186" s="44"/>
      <c r="BQ186" s="44"/>
      <c r="BR186" s="44"/>
      <c r="BS186" s="44">
        <v>1032</v>
      </c>
      <c r="BT186" s="44"/>
      <c r="BU186" s="44">
        <v>0.56999999999999995</v>
      </c>
      <c r="BV186" s="44"/>
      <c r="BW186" s="44"/>
      <c r="BX186" s="44"/>
      <c r="BY186" s="44"/>
      <c r="BZ186" s="44"/>
      <c r="CA186" s="44"/>
      <c r="CB186" s="44"/>
      <c r="CC186" s="44"/>
      <c r="CD186" s="44"/>
      <c r="CE186" s="44"/>
      <c r="CF186" s="44"/>
      <c r="CG186" s="44"/>
      <c r="CH186" s="44"/>
      <c r="CI186" s="44">
        <v>10.3</v>
      </c>
      <c r="CJ186" s="44">
        <v>12.6</v>
      </c>
      <c r="CK186" s="44">
        <v>3.0000000000000001E-3</v>
      </c>
      <c r="CL186" s="44">
        <v>2.3E-2</v>
      </c>
      <c r="CM186" s="44"/>
      <c r="CN186" s="44">
        <v>0.78</v>
      </c>
      <c r="CO186" s="44"/>
      <c r="CP186" s="44"/>
      <c r="CQ186" s="44"/>
      <c r="CR186" s="44"/>
      <c r="CS186" s="44">
        <v>0.24</v>
      </c>
      <c r="CT186" s="44">
        <v>173</v>
      </c>
      <c r="CU186" s="44"/>
      <c r="CV186" s="44">
        <v>2.4</v>
      </c>
      <c r="CW186" s="44">
        <v>3.5</v>
      </c>
      <c r="CX186" s="44">
        <v>0.34</v>
      </c>
      <c r="CY186" s="44">
        <v>0.78</v>
      </c>
      <c r="CZ186" s="44">
        <v>3.2000000000000001E-2</v>
      </c>
      <c r="DA186" s="44"/>
      <c r="DB186" s="44"/>
      <c r="DC186" s="44"/>
      <c r="DD186" s="44"/>
      <c r="DE186" s="44"/>
      <c r="DF186" s="44"/>
      <c r="DG186" s="44"/>
      <c r="DH186" s="44"/>
      <c r="DI186" s="44"/>
      <c r="DJ186" s="44">
        <v>2.1999999999999999E-2</v>
      </c>
      <c r="DK186" s="44"/>
      <c r="DL186" s="44"/>
      <c r="DM186" s="44">
        <v>0.25</v>
      </c>
      <c r="DN186" s="44">
        <v>4.9000000000000002E-2</v>
      </c>
      <c r="DO186" s="44"/>
      <c r="DP186" s="44"/>
      <c r="DQ186" s="44"/>
      <c r="DR186" s="44"/>
      <c r="DS186" s="44"/>
      <c r="DT186" s="44"/>
      <c r="DU186" s="44"/>
      <c r="DV186" s="44"/>
      <c r="DW186" s="45"/>
      <c r="DX186" s="45"/>
      <c r="DY186" s="45"/>
      <c r="DZ186" s="45"/>
      <c r="EA186" s="45"/>
      <c r="EB186" s="45"/>
      <c r="EC186" s="45"/>
      <c r="ED186" s="45"/>
      <c r="EE186" s="45"/>
      <c r="EF186" s="45"/>
      <c r="EG186" s="45"/>
      <c r="EH186" s="45"/>
      <c r="EI186" s="45"/>
      <c r="EJ186" s="45"/>
      <c r="EK186" s="44"/>
      <c r="EL186" s="45"/>
      <c r="EM186" s="45"/>
      <c r="EN186" s="45"/>
      <c r="EO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row>
    <row r="187" spans="1:230" s="4" customFormat="1">
      <c r="A187" s="4" t="s">
        <v>772</v>
      </c>
      <c r="B187" s="4" t="s">
        <v>1468</v>
      </c>
      <c r="C187" s="4" t="s">
        <v>24</v>
      </c>
      <c r="D187" t="str">
        <f t="shared" si="122"/>
        <v>saline</v>
      </c>
      <c r="E187" s="4" t="s">
        <v>119</v>
      </c>
      <c r="F187" s="4" t="s">
        <v>1394</v>
      </c>
      <c r="G187" s="4" t="s">
        <v>1728</v>
      </c>
      <c r="H187" s="4" t="s">
        <v>595</v>
      </c>
      <c r="I187" s="4">
        <v>84</v>
      </c>
      <c r="K187" s="4" t="s">
        <v>635</v>
      </c>
      <c r="L187" s="4" t="s">
        <v>585</v>
      </c>
      <c r="M187" s="4" t="s">
        <v>797</v>
      </c>
      <c r="N187" s="4" t="s">
        <v>583</v>
      </c>
      <c r="O187" s="4">
        <v>49</v>
      </c>
      <c r="P187" s="4">
        <v>1.55</v>
      </c>
      <c r="Q187" s="4">
        <v>0.48</v>
      </c>
      <c r="S187" s="4">
        <v>0.72</v>
      </c>
      <c r="T187" s="4">
        <v>8.7200000000000006</v>
      </c>
      <c r="U187" s="4">
        <v>1.42</v>
      </c>
      <c r="W187" s="4">
        <v>8.76</v>
      </c>
      <c r="X187" s="4">
        <v>13</v>
      </c>
      <c r="Y187" s="4">
        <v>31.2</v>
      </c>
      <c r="AA187" s="4">
        <v>0.51</v>
      </c>
      <c r="AC187" s="4">
        <v>4.38</v>
      </c>
      <c r="AE187" s="4">
        <v>37.72</v>
      </c>
      <c r="AJ187" s="4">
        <v>7.97</v>
      </c>
      <c r="AK187">
        <f t="shared" si="162"/>
        <v>108.46</v>
      </c>
      <c r="AL187" s="26">
        <f t="shared" si="163"/>
        <v>1.5508106211794206</v>
      </c>
      <c r="AM187" s="26">
        <f t="shared" si="164"/>
        <v>0.48025103107491734</v>
      </c>
      <c r="AN187" s="26">
        <f t="shared" si="165"/>
        <v>0.72037654661237593</v>
      </c>
      <c r="AO187" s="26">
        <f t="shared" si="166"/>
        <v>8.7245603978609996</v>
      </c>
      <c r="AP187" s="26">
        <f t="shared" si="167"/>
        <v>1.4207426335966304</v>
      </c>
      <c r="AQ187" s="26">
        <f t="shared" si="168"/>
        <v>8.7645813171172406</v>
      </c>
      <c r="AR187" s="26">
        <f t="shared" si="169"/>
        <v>4.3822906585586203</v>
      </c>
      <c r="AS187" s="26">
        <f t="shared" si="170"/>
        <v>13.006798758279011</v>
      </c>
      <c r="AT187" s="26">
        <f t="shared" si="171"/>
        <v>31.216317019869628</v>
      </c>
      <c r="AU187" s="26">
        <f t="shared" si="172"/>
        <v>0.51026672051709965</v>
      </c>
      <c r="AV187" s="26">
        <f t="shared" si="173"/>
        <v>37.739726858637255</v>
      </c>
      <c r="AW187" s="26">
        <f t="shared" si="174"/>
        <v>108.51672256330319</v>
      </c>
      <c r="AX187" s="4">
        <v>9.1</v>
      </c>
      <c r="AY187" s="4">
        <v>27.3</v>
      </c>
      <c r="BB187" s="4">
        <v>0.12</v>
      </c>
      <c r="BD187">
        <f t="shared" si="175"/>
        <v>0.87990669776741093</v>
      </c>
      <c r="BE187">
        <f t="shared" si="176"/>
        <v>0.12009330223258913</v>
      </c>
      <c r="BH187" s="4">
        <v>190</v>
      </c>
      <c r="BL187" s="44"/>
      <c r="BM187" s="44"/>
      <c r="BN187" s="44"/>
      <c r="BO187" s="44"/>
      <c r="BP187" s="44"/>
      <c r="BQ187" s="44"/>
      <c r="BR187" s="44"/>
      <c r="BS187" s="44">
        <v>1565.6</v>
      </c>
      <c r="BT187" s="44"/>
      <c r="BU187" s="44">
        <v>0.91900000000000004</v>
      </c>
      <c r="BV187" s="44"/>
      <c r="BW187" s="44"/>
      <c r="BX187" s="44"/>
      <c r="BY187" s="44"/>
      <c r="BZ187" s="44"/>
      <c r="CA187" s="44"/>
      <c r="CB187" s="44"/>
      <c r="CC187" s="44"/>
      <c r="CD187" s="44"/>
      <c r="CE187" s="44"/>
      <c r="CF187" s="44"/>
      <c r="CG187" s="44"/>
      <c r="CH187" s="44"/>
      <c r="CI187" s="44">
        <v>15.7</v>
      </c>
      <c r="CJ187" s="44">
        <v>19.399000000000001</v>
      </c>
      <c r="CK187" s="44">
        <v>5.94E-3</v>
      </c>
      <c r="CL187" s="44">
        <v>3.7699999999999997E-2</v>
      </c>
      <c r="CM187" s="44"/>
      <c r="CN187" s="44">
        <v>1.7390000000000001</v>
      </c>
      <c r="CO187" s="44"/>
      <c r="CP187" s="44"/>
      <c r="CQ187" s="44"/>
      <c r="CR187" s="44"/>
      <c r="CS187" s="44">
        <v>0.36199999999999999</v>
      </c>
      <c r="CT187" s="44">
        <v>266.93</v>
      </c>
      <c r="CU187" s="44"/>
      <c r="CV187" s="44">
        <v>3.78</v>
      </c>
      <c r="CW187" s="44">
        <v>5.44</v>
      </c>
      <c r="CX187" s="44">
        <v>0.53100000000000003</v>
      </c>
      <c r="CY187" s="44">
        <v>1.2170000000000001</v>
      </c>
      <c r="CZ187" s="44">
        <v>5.1900000000000002E-2</v>
      </c>
      <c r="DA187" s="44">
        <v>1.0500000000000001E-2</v>
      </c>
      <c r="DB187" s="44">
        <v>1.1599999999999999E-2</v>
      </c>
      <c r="DC187" s="44"/>
      <c r="DD187" s="44"/>
      <c r="DE187" s="44"/>
      <c r="DF187" s="44"/>
      <c r="DG187" s="44"/>
      <c r="DH187" s="44"/>
      <c r="DI187" s="44"/>
      <c r="DJ187" s="44">
        <v>3.2000000000000001E-2</v>
      </c>
      <c r="DK187" s="44"/>
      <c r="DL187" s="44"/>
      <c r="DM187" s="44">
        <v>0.39600000000000002</v>
      </c>
      <c r="DN187" s="44">
        <v>7.85E-2</v>
      </c>
      <c r="DO187" s="44"/>
      <c r="DP187" s="44"/>
      <c r="DQ187" s="44"/>
      <c r="DR187" s="44"/>
      <c r="DS187" s="44"/>
      <c r="DT187" s="44"/>
      <c r="DU187" s="44"/>
      <c r="DV187" s="44"/>
      <c r="DW187" s="45"/>
      <c r="DX187" s="45"/>
      <c r="DY187" s="45"/>
      <c r="DZ187" s="45"/>
      <c r="EA187" s="45"/>
      <c r="EB187" s="45"/>
      <c r="EC187" s="45"/>
      <c r="ED187" s="45"/>
      <c r="EE187" s="45"/>
      <c r="EF187" s="45"/>
      <c r="EG187" s="45"/>
      <c r="EH187" s="45"/>
      <c r="EI187" s="45"/>
      <c r="EJ187" s="45"/>
      <c r="EK187" s="44"/>
      <c r="EL187" s="45"/>
      <c r="EM187" s="45"/>
      <c r="EN187" s="45"/>
      <c r="EO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row>
    <row r="188" spans="1:230" s="4" customFormat="1">
      <c r="A188" s="4" t="s">
        <v>772</v>
      </c>
      <c r="B188" s="4" t="s">
        <v>1468</v>
      </c>
      <c r="C188" s="4" t="s">
        <v>24</v>
      </c>
      <c r="D188" t="str">
        <f t="shared" si="122"/>
        <v>saline</v>
      </c>
      <c r="E188" s="4" t="s">
        <v>119</v>
      </c>
      <c r="F188" s="4" t="s">
        <v>1394</v>
      </c>
      <c r="G188" s="4" t="s">
        <v>1728</v>
      </c>
      <c r="H188" s="4" t="s">
        <v>595</v>
      </c>
      <c r="I188" s="4">
        <v>84</v>
      </c>
      <c r="K188" s="4" t="s">
        <v>635</v>
      </c>
      <c r="L188" s="4" t="s">
        <v>585</v>
      </c>
      <c r="M188" s="4" t="s">
        <v>798</v>
      </c>
      <c r="N188" s="4" t="s">
        <v>583</v>
      </c>
      <c r="O188" s="4">
        <v>49</v>
      </c>
      <c r="P188" s="4">
        <v>1.55</v>
      </c>
      <c r="Q188" s="4">
        <v>0.48</v>
      </c>
      <c r="S188" s="4">
        <v>0.72</v>
      </c>
      <c r="T188" s="4">
        <v>8.7200000000000006</v>
      </c>
      <c r="U188" s="4">
        <v>1.42</v>
      </c>
      <c r="W188" s="4">
        <v>8.76</v>
      </c>
      <c r="X188" s="4">
        <v>13</v>
      </c>
      <c r="Y188" s="4">
        <v>31.2</v>
      </c>
      <c r="AA188" s="4">
        <v>0.51</v>
      </c>
      <c r="AC188" s="4">
        <v>4.38</v>
      </c>
      <c r="AE188" s="4">
        <v>37.72</v>
      </c>
      <c r="AJ188" s="4">
        <v>7.97</v>
      </c>
      <c r="AK188">
        <f t="shared" si="162"/>
        <v>108.46</v>
      </c>
      <c r="AL188" s="26">
        <f t="shared" si="163"/>
        <v>1.5508106211794206</v>
      </c>
      <c r="AM188" s="26">
        <f t="shared" si="164"/>
        <v>0.48025103107491734</v>
      </c>
      <c r="AN188" s="26">
        <f t="shared" si="165"/>
        <v>0.72037654661237593</v>
      </c>
      <c r="AO188" s="26">
        <f t="shared" si="166"/>
        <v>8.7245603978609996</v>
      </c>
      <c r="AP188" s="26">
        <f t="shared" si="167"/>
        <v>1.4207426335966304</v>
      </c>
      <c r="AQ188" s="26">
        <f t="shared" si="168"/>
        <v>8.7645813171172406</v>
      </c>
      <c r="AR188" s="26">
        <f t="shared" si="169"/>
        <v>4.3822906585586203</v>
      </c>
      <c r="AS188" s="26">
        <f t="shared" si="170"/>
        <v>13.006798758279011</v>
      </c>
      <c r="AT188" s="26">
        <f t="shared" si="171"/>
        <v>31.216317019869628</v>
      </c>
      <c r="AU188" s="26">
        <f t="shared" si="172"/>
        <v>0.51026672051709965</v>
      </c>
      <c r="AV188" s="26">
        <f t="shared" si="173"/>
        <v>37.739726858637255</v>
      </c>
      <c r="AW188" s="26">
        <f t="shared" si="174"/>
        <v>108.51672256330319</v>
      </c>
      <c r="AX188" s="4">
        <v>9.1</v>
      </c>
      <c r="AY188" s="4">
        <v>27.3</v>
      </c>
      <c r="BB188" s="4">
        <v>0.12</v>
      </c>
      <c r="BD188">
        <f t="shared" si="175"/>
        <v>0.87990669776741093</v>
      </c>
      <c r="BE188">
        <f t="shared" si="176"/>
        <v>0.12009330223258913</v>
      </c>
      <c r="BH188" s="4">
        <v>190</v>
      </c>
      <c r="BL188" s="44"/>
      <c r="BM188" s="44"/>
      <c r="BN188" s="44"/>
      <c r="BO188" s="44"/>
      <c r="BP188" s="44"/>
      <c r="BQ188" s="44"/>
      <c r="BR188" s="44"/>
      <c r="BS188" s="44">
        <v>497.87</v>
      </c>
      <c r="BT188" s="44"/>
      <c r="BU188" s="44">
        <v>0.221</v>
      </c>
      <c r="BV188" s="44"/>
      <c r="BW188" s="44"/>
      <c r="BX188" s="44"/>
      <c r="BY188" s="44"/>
      <c r="BZ188" s="44"/>
      <c r="CA188" s="44"/>
      <c r="CB188" s="44"/>
      <c r="CC188" s="44"/>
      <c r="CD188" s="44"/>
      <c r="CE188" s="44"/>
      <c r="CF188" s="44"/>
      <c r="CG188" s="44"/>
      <c r="CH188" s="44"/>
      <c r="CI188" s="44">
        <v>4.97</v>
      </c>
      <c r="CJ188" s="44">
        <v>5.7990000000000004</v>
      </c>
      <c r="CK188" s="44">
        <v>7.7999999999999999E-4</v>
      </c>
      <c r="CL188" s="44">
        <v>9.1000000000000004E-3</v>
      </c>
      <c r="CM188" s="44"/>
      <c r="CN188" s="44">
        <v>0.505</v>
      </c>
      <c r="CO188" s="44"/>
      <c r="CP188" s="44"/>
      <c r="CQ188" s="44"/>
      <c r="CR188" s="44"/>
      <c r="CS188" s="44">
        <v>0.1177</v>
      </c>
      <c r="CT188" s="44">
        <v>78.87</v>
      </c>
      <c r="CU188" s="44"/>
      <c r="CV188" s="44">
        <v>1.079</v>
      </c>
      <c r="CW188" s="44">
        <v>1.51</v>
      </c>
      <c r="CX188" s="44">
        <v>0.14299999999999999</v>
      </c>
      <c r="CY188" s="44">
        <v>0.34499999999999997</v>
      </c>
      <c r="CZ188" s="44">
        <v>1.2800000000000001E-2</v>
      </c>
      <c r="DA188" s="44"/>
      <c r="DB188" s="44"/>
      <c r="DC188" s="44"/>
      <c r="DD188" s="44"/>
      <c r="DE188" s="44"/>
      <c r="DF188" s="44"/>
      <c r="DG188" s="44"/>
      <c r="DH188" s="44"/>
      <c r="DI188" s="44"/>
      <c r="DJ188" s="44">
        <v>1.2699999999999999E-2</v>
      </c>
      <c r="DK188" s="44"/>
      <c r="DL188" s="44"/>
      <c r="DM188" s="44">
        <v>0.1046</v>
      </c>
      <c r="DN188" s="44">
        <v>2.01E-2</v>
      </c>
      <c r="DO188" s="44"/>
      <c r="DP188" s="44"/>
      <c r="DQ188" s="44"/>
      <c r="DR188" s="44"/>
      <c r="DS188" s="44"/>
      <c r="DT188" s="44"/>
      <c r="DU188" s="44"/>
      <c r="DV188" s="44"/>
      <c r="DW188" s="45"/>
      <c r="DX188" s="45"/>
      <c r="DY188" s="45"/>
      <c r="DZ188" s="45"/>
      <c r="EA188" s="45"/>
      <c r="EB188" s="45"/>
      <c r="EC188" s="45"/>
      <c r="ED188" s="45"/>
      <c r="EE188" s="45"/>
      <c r="EF188" s="45"/>
      <c r="EG188" s="45"/>
      <c r="EH188" s="45"/>
      <c r="EI188" s="45"/>
      <c r="EJ188" s="45"/>
      <c r="EK188" s="44"/>
      <c r="EL188" s="45"/>
      <c r="EM188" s="45"/>
      <c r="EN188" s="45"/>
      <c r="EO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row>
    <row r="189" spans="1:230" s="4" customFormat="1">
      <c r="A189" s="4" t="s">
        <v>772</v>
      </c>
      <c r="B189" s="4" t="s">
        <v>1468</v>
      </c>
      <c r="C189" s="4" t="s">
        <v>24</v>
      </c>
      <c r="D189" t="str">
        <f t="shared" si="122"/>
        <v>saline</v>
      </c>
      <c r="E189" s="4" t="s">
        <v>119</v>
      </c>
      <c r="F189" s="4" t="s">
        <v>1394</v>
      </c>
      <c r="G189" s="4" t="s">
        <v>1728</v>
      </c>
      <c r="H189" s="4" t="s">
        <v>595</v>
      </c>
      <c r="I189" s="4">
        <v>84</v>
      </c>
      <c r="K189" s="4" t="s">
        <v>635</v>
      </c>
      <c r="L189" s="4" t="s">
        <v>585</v>
      </c>
      <c r="M189" s="4" t="s">
        <v>799</v>
      </c>
      <c r="N189" s="4" t="s">
        <v>583</v>
      </c>
      <c r="O189" s="4">
        <v>49</v>
      </c>
      <c r="P189" s="4">
        <v>1.55</v>
      </c>
      <c r="Q189" s="4">
        <v>0.48</v>
      </c>
      <c r="S189" s="4">
        <v>0.72</v>
      </c>
      <c r="T189" s="4">
        <v>8.7200000000000006</v>
      </c>
      <c r="U189" s="4">
        <v>1.42</v>
      </c>
      <c r="W189" s="4">
        <v>8.76</v>
      </c>
      <c r="X189" s="4">
        <v>13</v>
      </c>
      <c r="Y189" s="4">
        <v>31.2</v>
      </c>
      <c r="AA189" s="4">
        <v>0.51</v>
      </c>
      <c r="AC189" s="4">
        <v>4.38</v>
      </c>
      <c r="AE189" s="4">
        <v>37.72</v>
      </c>
      <c r="AJ189" s="4">
        <v>7.97</v>
      </c>
      <c r="AK189">
        <f t="shared" si="162"/>
        <v>108.46</v>
      </c>
      <c r="AL189" s="26">
        <f t="shared" si="163"/>
        <v>1.5508106211794206</v>
      </c>
      <c r="AM189" s="26">
        <f t="shared" si="164"/>
        <v>0.48025103107491734</v>
      </c>
      <c r="AN189" s="26">
        <f t="shared" si="165"/>
        <v>0.72037654661237593</v>
      </c>
      <c r="AO189" s="26">
        <f t="shared" si="166"/>
        <v>8.7245603978609996</v>
      </c>
      <c r="AP189" s="26">
        <f t="shared" si="167"/>
        <v>1.4207426335966304</v>
      </c>
      <c r="AQ189" s="26">
        <f t="shared" si="168"/>
        <v>8.7645813171172406</v>
      </c>
      <c r="AR189" s="26">
        <f t="shared" si="169"/>
        <v>4.3822906585586203</v>
      </c>
      <c r="AS189" s="26">
        <f t="shared" si="170"/>
        <v>13.006798758279011</v>
      </c>
      <c r="AT189" s="26">
        <f t="shared" si="171"/>
        <v>31.216317019869628</v>
      </c>
      <c r="AU189" s="26">
        <f t="shared" si="172"/>
        <v>0.51026672051709965</v>
      </c>
      <c r="AV189" s="26">
        <f t="shared" si="173"/>
        <v>37.739726858637255</v>
      </c>
      <c r="AW189" s="26">
        <f t="shared" si="174"/>
        <v>108.51672256330319</v>
      </c>
      <c r="AX189" s="4">
        <v>9.1</v>
      </c>
      <c r="AY189" s="4">
        <v>27.3</v>
      </c>
      <c r="BB189" s="4">
        <v>0.12</v>
      </c>
      <c r="BD189">
        <f t="shared" si="175"/>
        <v>0.87990669776741093</v>
      </c>
      <c r="BE189">
        <f t="shared" si="176"/>
        <v>0.12009330223258913</v>
      </c>
      <c r="BH189" s="4">
        <v>190</v>
      </c>
      <c r="BL189" s="44"/>
      <c r="BM189" s="44"/>
      <c r="BN189" s="44"/>
      <c r="BO189" s="44"/>
      <c r="BP189" s="44"/>
      <c r="BQ189" s="44"/>
      <c r="BR189" s="44"/>
      <c r="BS189" s="44">
        <v>69.42</v>
      </c>
      <c r="BT189" s="44"/>
      <c r="BU189" s="44">
        <v>5.3999999999999999E-2</v>
      </c>
      <c r="BV189" s="44"/>
      <c r="BW189" s="44"/>
      <c r="BX189" s="44"/>
      <c r="BY189" s="44"/>
      <c r="BZ189" s="44"/>
      <c r="CA189" s="44"/>
      <c r="CB189" s="44"/>
      <c r="CC189" s="44"/>
      <c r="CD189" s="44"/>
      <c r="CE189" s="44"/>
      <c r="CF189" s="44"/>
      <c r="CG189" s="44"/>
      <c r="CH189" s="44"/>
      <c r="CI189" s="44">
        <v>0.66100000000000003</v>
      </c>
      <c r="CJ189" s="44">
        <v>0.754</v>
      </c>
      <c r="CK189" s="44"/>
      <c r="CL189" s="44"/>
      <c r="CM189" s="44"/>
      <c r="CN189" s="44">
        <v>7.1999999999999995E-2</v>
      </c>
      <c r="CO189" s="44"/>
      <c r="CP189" s="44"/>
      <c r="CQ189" s="44"/>
      <c r="CR189" s="44"/>
      <c r="CS189" s="44">
        <v>1.49E-2</v>
      </c>
      <c r="CT189" s="44">
        <v>9.9499999999999993</v>
      </c>
      <c r="CU189" s="44"/>
      <c r="CV189" s="44">
        <v>0.13819999999999999</v>
      </c>
      <c r="CW189" s="44">
        <v>0.19900000000000001</v>
      </c>
      <c r="CX189" s="44">
        <v>1.9699999999999999E-2</v>
      </c>
      <c r="CY189" s="44">
        <v>5.6899999999999999E-2</v>
      </c>
      <c r="CZ189" s="44">
        <v>1.0699999999999999E-2</v>
      </c>
      <c r="DA189" s="44"/>
      <c r="DB189" s="44"/>
      <c r="DC189" s="44"/>
      <c r="DD189" s="44"/>
      <c r="DE189" s="44"/>
      <c r="DF189" s="44"/>
      <c r="DG189" s="44"/>
      <c r="DH189" s="44"/>
      <c r="DI189" s="44">
        <v>6.0000000000000001E-3</v>
      </c>
      <c r="DJ189" s="44">
        <v>2.33E-3</v>
      </c>
      <c r="DK189" s="44"/>
      <c r="DL189" s="44"/>
      <c r="DM189" s="44">
        <v>1.5800000000000002E-2</v>
      </c>
      <c r="DN189" s="44">
        <v>4.3699999999999998E-3</v>
      </c>
      <c r="DO189" s="44"/>
      <c r="DP189" s="44"/>
      <c r="DQ189" s="44"/>
      <c r="DR189" s="44"/>
      <c r="DS189" s="44"/>
      <c r="DT189" s="44"/>
      <c r="DU189" s="44"/>
      <c r="DV189" s="44"/>
      <c r="DW189" s="45"/>
      <c r="DX189" s="45"/>
      <c r="DY189" s="45"/>
      <c r="DZ189" s="45"/>
      <c r="EA189" s="45"/>
      <c r="EB189" s="45"/>
      <c r="EC189" s="45"/>
      <c r="ED189" s="45"/>
      <c r="EE189" s="45"/>
      <c r="EF189" s="45"/>
      <c r="EG189" s="45"/>
      <c r="EH189" s="45"/>
      <c r="EI189" s="45"/>
      <c r="EJ189" s="45"/>
      <c r="EK189" s="44"/>
      <c r="EL189" s="45"/>
      <c r="EM189" s="45"/>
      <c r="EN189" s="45"/>
      <c r="EO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row>
    <row r="190" spans="1:230" s="4" customFormat="1">
      <c r="A190" s="4" t="s">
        <v>845</v>
      </c>
      <c r="B190" s="4" t="s">
        <v>1468</v>
      </c>
      <c r="C190" s="4" t="s">
        <v>24</v>
      </c>
      <c r="D190" t="str">
        <f t="shared" si="122"/>
        <v>saline</v>
      </c>
      <c r="E190" s="4" t="s">
        <v>502</v>
      </c>
      <c r="F190" s="4" t="s">
        <v>1394</v>
      </c>
      <c r="G190" s="4" t="s">
        <v>142</v>
      </c>
      <c r="H190" s="4" t="s">
        <v>595</v>
      </c>
      <c r="I190" s="4">
        <v>90</v>
      </c>
      <c r="J190" s="4" t="s">
        <v>1148</v>
      </c>
      <c r="N190" s="4" t="s">
        <v>496</v>
      </c>
      <c r="O190" s="4">
        <v>17</v>
      </c>
      <c r="P190" s="4">
        <v>3.5</v>
      </c>
      <c r="S190" s="4">
        <v>2.2000000000000002</v>
      </c>
      <c r="T190" s="4">
        <v>9</v>
      </c>
      <c r="U190" s="4">
        <v>10.199999999999999</v>
      </c>
      <c r="W190" s="4">
        <v>15.6</v>
      </c>
      <c r="X190" s="4">
        <v>9.3000000000000007</v>
      </c>
      <c r="Y190" s="4">
        <v>27.1</v>
      </c>
      <c r="AA190" s="4">
        <v>0.3</v>
      </c>
      <c r="AE190" s="4">
        <v>22.8</v>
      </c>
      <c r="AJ190" s="4">
        <v>5.3</v>
      </c>
      <c r="AK190">
        <f t="shared" si="162"/>
        <v>100</v>
      </c>
      <c r="AL190" s="26">
        <f t="shared" si="163"/>
        <v>3.6898530898709336</v>
      </c>
      <c r="AM190" s="26">
        <f t="shared" si="164"/>
        <v>0</v>
      </c>
      <c r="AN190" s="26">
        <f t="shared" si="165"/>
        <v>2.3193362279188725</v>
      </c>
      <c r="AO190" s="26">
        <f t="shared" si="166"/>
        <v>9.4881936596681147</v>
      </c>
      <c r="AP190" s="26">
        <f t="shared" si="167"/>
        <v>10.753286147623863</v>
      </c>
      <c r="AQ190" s="26">
        <f t="shared" si="168"/>
        <v>16.44620234342473</v>
      </c>
      <c r="AR190" s="26">
        <f t="shared" si="169"/>
        <v>0</v>
      </c>
      <c r="AS190" s="26">
        <f t="shared" si="170"/>
        <v>9.8044667816570517</v>
      </c>
      <c r="AT190" s="26">
        <f t="shared" si="171"/>
        <v>28.57000535300066</v>
      </c>
      <c r="AU190" s="26">
        <f t="shared" si="172"/>
        <v>0.31627312198893714</v>
      </c>
      <c r="AV190" s="26">
        <f t="shared" si="173"/>
        <v>24.036757271159225</v>
      </c>
      <c r="AW190" s="26">
        <f t="shared" si="174"/>
        <v>105.4243739963124</v>
      </c>
      <c r="AX190" s="26"/>
      <c r="AY190" s="26"/>
      <c r="AZ190" s="4">
        <v>398</v>
      </c>
      <c r="BA190" s="4">
        <v>777</v>
      </c>
      <c r="BB190" s="53">
        <f>1-BC190</f>
        <v>0.17337088595385819</v>
      </c>
      <c r="BC190" s="53">
        <f>(BA190/18.02)/((BA190/18.02)+(AZ190/44.01))</f>
        <v>0.82662911404614181</v>
      </c>
      <c r="BD190">
        <f>(BA190/18.02)/((BA190/18.02)+(AZ190/44.01))</f>
        <v>0.82662911404614181</v>
      </c>
      <c r="BE190">
        <f>(AZ190/44.01)/((BA190/18.02)+(AZ190/44.01))</f>
        <v>0.17337088595385827</v>
      </c>
      <c r="BL190" s="44"/>
      <c r="BM190" s="44"/>
      <c r="BN190" s="44"/>
      <c r="BO190" s="44"/>
      <c r="BP190" s="44"/>
      <c r="BQ190" s="44"/>
      <c r="BR190" s="44"/>
      <c r="BS190" s="44"/>
      <c r="BT190" s="44"/>
      <c r="BU190" s="44"/>
      <c r="BV190" s="44"/>
      <c r="BW190" s="44"/>
      <c r="BX190" s="44"/>
      <c r="BY190" s="44"/>
      <c r="BZ190" s="44"/>
      <c r="CA190" s="44"/>
      <c r="CB190" s="44"/>
      <c r="CC190" s="44"/>
      <c r="CD190" s="44"/>
      <c r="CE190" s="44"/>
      <c r="CF190" s="44"/>
      <c r="CG190" s="44"/>
      <c r="CH190" s="44"/>
      <c r="CI190" s="44"/>
      <c r="CJ190" s="44"/>
      <c r="CK190" s="44"/>
      <c r="CL190" s="44"/>
      <c r="CM190" s="44"/>
      <c r="CN190" s="44"/>
      <c r="CO190" s="44"/>
      <c r="CP190" s="44"/>
      <c r="CQ190" s="44"/>
      <c r="CR190" s="44"/>
      <c r="CS190" s="44"/>
      <c r="CT190" s="44"/>
      <c r="CU190" s="44"/>
      <c r="CV190" s="44"/>
      <c r="CW190" s="44"/>
      <c r="CX190" s="44"/>
      <c r="CY190" s="44"/>
      <c r="CZ190" s="44"/>
      <c r="DA190" s="44"/>
      <c r="DB190" s="44"/>
      <c r="DC190" s="44"/>
      <c r="DD190" s="44"/>
      <c r="DE190" s="44"/>
      <c r="DF190" s="44"/>
      <c r="DG190" s="44"/>
      <c r="DH190" s="44"/>
      <c r="DI190" s="44"/>
      <c r="DJ190" s="44"/>
      <c r="DK190" s="44"/>
      <c r="DL190" s="44"/>
      <c r="DM190" s="44"/>
      <c r="DN190" s="44"/>
      <c r="DO190" s="44"/>
      <c r="DP190" s="44"/>
      <c r="DQ190" s="44"/>
      <c r="DR190" s="44"/>
      <c r="DS190" s="44"/>
      <c r="DT190" s="44"/>
      <c r="DU190" s="44"/>
      <c r="DV190" s="44"/>
      <c r="DW190" s="45"/>
      <c r="DX190" s="45"/>
      <c r="DY190" s="45"/>
      <c r="DZ190" s="45"/>
      <c r="EA190" s="45"/>
      <c r="EB190" s="45"/>
      <c r="EC190" s="45"/>
      <c r="ED190" s="45"/>
      <c r="EE190" s="45"/>
      <c r="EF190" s="45"/>
      <c r="EG190" s="45"/>
      <c r="EH190" s="45"/>
      <c r="EI190" s="45"/>
      <c r="EJ190" s="45"/>
      <c r="EK190" s="44"/>
      <c r="EL190" s="45"/>
      <c r="EM190" s="45"/>
      <c r="EN190" s="45"/>
      <c r="EO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row>
    <row r="191" spans="1:230" s="4" customFormat="1">
      <c r="A191" s="4" t="s">
        <v>845</v>
      </c>
      <c r="B191" s="4" t="s">
        <v>1468</v>
      </c>
      <c r="C191" s="4" t="s">
        <v>24</v>
      </c>
      <c r="D191" t="str">
        <f t="shared" si="122"/>
        <v>saline</v>
      </c>
      <c r="E191" s="4" t="s">
        <v>502</v>
      </c>
      <c r="F191" s="4" t="s">
        <v>1394</v>
      </c>
      <c r="G191" s="4" t="s">
        <v>142</v>
      </c>
      <c r="H191" s="4" t="s">
        <v>595</v>
      </c>
      <c r="I191" s="4">
        <v>90</v>
      </c>
      <c r="J191" s="4" t="s">
        <v>1148</v>
      </c>
      <c r="N191" s="4" t="s">
        <v>497</v>
      </c>
      <c r="O191" s="4">
        <v>10</v>
      </c>
      <c r="P191" s="4">
        <v>5.9</v>
      </c>
      <c r="S191" s="4">
        <v>2.2999999999999998</v>
      </c>
      <c r="T191" s="4">
        <v>13.3</v>
      </c>
      <c r="U191" s="4">
        <v>13</v>
      </c>
      <c r="W191" s="4">
        <v>16.2</v>
      </c>
      <c r="X191" s="4">
        <v>5</v>
      </c>
      <c r="Y191" s="4">
        <v>25.1</v>
      </c>
      <c r="AA191" s="4">
        <v>0.5</v>
      </c>
      <c r="AE191" s="4">
        <v>18.8</v>
      </c>
      <c r="AJ191" s="4">
        <v>9.6999999999999993</v>
      </c>
      <c r="AK191">
        <f t="shared" si="162"/>
        <v>100.10000000000001</v>
      </c>
      <c r="AL191" s="26">
        <f t="shared" si="163"/>
        <v>6.1549757294053071</v>
      </c>
      <c r="AM191" s="26">
        <f t="shared" si="164"/>
        <v>0</v>
      </c>
      <c r="AN191" s="26">
        <f t="shared" si="165"/>
        <v>2.3993973182427468</v>
      </c>
      <c r="AO191" s="26">
        <f t="shared" si="166"/>
        <v>13.874775796795014</v>
      </c>
      <c r="AP191" s="26">
        <f t="shared" si="167"/>
        <v>13.561810929198135</v>
      </c>
      <c r="AQ191" s="26">
        <f t="shared" si="168"/>
        <v>16.900102850231519</v>
      </c>
      <c r="AR191" s="26">
        <f t="shared" si="169"/>
        <v>0</v>
      </c>
      <c r="AS191" s="26">
        <f t="shared" si="170"/>
        <v>5.2160811266146672</v>
      </c>
      <c r="AT191" s="26">
        <f t="shared" si="171"/>
        <v>26.184727255605626</v>
      </c>
      <c r="AU191" s="26">
        <f t="shared" si="172"/>
        <v>0.52160811266146667</v>
      </c>
      <c r="AV191" s="26">
        <f t="shared" si="173"/>
        <v>19.612465036071146</v>
      </c>
      <c r="AW191" s="26">
        <f t="shared" si="174"/>
        <v>104.42594415482563</v>
      </c>
      <c r="AX191" s="26"/>
      <c r="AY191" s="26"/>
      <c r="AZ191" s="4">
        <v>56</v>
      </c>
      <c r="BA191" s="4">
        <v>112</v>
      </c>
      <c r="BB191" s="53">
        <f t="shared" ref="BB191:BB193" si="177">1-BC191</f>
        <v>0.16993587325537529</v>
      </c>
      <c r="BC191" s="53">
        <f t="shared" ref="BC191:BC193" si="178">(BA191/18.02)/((BA191/18.02)+(AZ191/44.01))</f>
        <v>0.83006412674462471</v>
      </c>
      <c r="BD191">
        <f t="shared" ref="BD191:BD234" si="179">(BA191/18.02)/((BA191/18.02)+(AZ191/44.01))</f>
        <v>0.83006412674462471</v>
      </c>
      <c r="BE191">
        <f t="shared" ref="BE191:BE234" si="180">(AZ191/44.01)/((BA191/18.02)+(AZ191/44.01))</f>
        <v>0.16993587325537535</v>
      </c>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CV191" s="44"/>
      <c r="CW191" s="44"/>
      <c r="CX191" s="44"/>
      <c r="CY191" s="44"/>
      <c r="CZ191" s="44"/>
      <c r="DA191" s="44"/>
      <c r="DB191" s="44"/>
      <c r="DC191" s="44"/>
      <c r="DD191" s="44"/>
      <c r="DE191" s="44"/>
      <c r="DF191" s="44"/>
      <c r="DG191" s="44"/>
      <c r="DH191" s="44"/>
      <c r="DI191" s="44"/>
      <c r="DJ191" s="44"/>
      <c r="DK191" s="44"/>
      <c r="DL191" s="44"/>
      <c r="DM191" s="44"/>
      <c r="DN191" s="44"/>
      <c r="DO191" s="44"/>
      <c r="DP191" s="44"/>
      <c r="DQ191" s="44"/>
      <c r="DR191" s="44"/>
      <c r="DS191" s="44"/>
      <c r="DT191" s="44"/>
      <c r="DU191" s="44"/>
      <c r="DV191" s="44"/>
      <c r="DW191" s="45"/>
      <c r="DX191" s="45"/>
      <c r="DY191" s="45"/>
      <c r="DZ191" s="45"/>
      <c r="EA191" s="45"/>
      <c r="EB191" s="45"/>
      <c r="EC191" s="45"/>
      <c r="ED191" s="45"/>
      <c r="EE191" s="45"/>
      <c r="EF191" s="45"/>
      <c r="EG191" s="45"/>
      <c r="EH191" s="45"/>
      <c r="EI191" s="45"/>
      <c r="EJ191" s="45"/>
      <c r="EK191" s="44"/>
      <c r="EL191" s="45"/>
      <c r="EM191" s="45"/>
      <c r="EN191" s="45"/>
      <c r="EO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row>
    <row r="192" spans="1:230" s="4" customFormat="1">
      <c r="A192" s="4" t="s">
        <v>845</v>
      </c>
      <c r="B192" s="4" t="s">
        <v>1468</v>
      </c>
      <c r="C192" s="4" t="s">
        <v>24</v>
      </c>
      <c r="D192" t="str">
        <f t="shared" si="122"/>
        <v>saline</v>
      </c>
      <c r="E192" s="4" t="s">
        <v>119</v>
      </c>
      <c r="F192" s="4" t="s">
        <v>1394</v>
      </c>
      <c r="G192" s="4" t="s">
        <v>142</v>
      </c>
      <c r="H192" s="4" t="s">
        <v>595</v>
      </c>
      <c r="I192" s="4">
        <v>90</v>
      </c>
      <c r="J192" s="4" t="s">
        <v>1148</v>
      </c>
      <c r="N192" s="4" t="s">
        <v>498</v>
      </c>
      <c r="O192" s="4">
        <v>12</v>
      </c>
      <c r="P192" s="4">
        <v>1.4</v>
      </c>
      <c r="Q192" s="4">
        <v>0.2</v>
      </c>
      <c r="S192" s="4">
        <v>0.5</v>
      </c>
      <c r="T192" s="4">
        <v>16.5</v>
      </c>
      <c r="U192" s="4">
        <v>4.0999999999999996</v>
      </c>
      <c r="W192" s="4">
        <v>7.7</v>
      </c>
      <c r="X192" s="4">
        <v>18.3</v>
      </c>
      <c r="Y192" s="4">
        <v>19.5</v>
      </c>
      <c r="AA192" s="4">
        <v>0.5</v>
      </c>
      <c r="AE192" s="4">
        <v>31.3</v>
      </c>
      <c r="AJ192" s="4">
        <v>11.7</v>
      </c>
      <c r="AK192">
        <f t="shared" si="162"/>
        <v>100</v>
      </c>
      <c r="AL192" s="26">
        <f t="shared" si="163"/>
        <v>1.5064044193528805</v>
      </c>
      <c r="AM192" s="26">
        <f t="shared" si="164"/>
        <v>0.2152006313361258</v>
      </c>
      <c r="AN192" s="26">
        <f t="shared" si="165"/>
        <v>0.53800157834031448</v>
      </c>
      <c r="AO192" s="26">
        <f t="shared" si="166"/>
        <v>17.754052085230377</v>
      </c>
      <c r="AP192" s="26">
        <f t="shared" si="167"/>
        <v>4.4116129423905779</v>
      </c>
      <c r="AQ192" s="26">
        <f t="shared" si="168"/>
        <v>8.2852243064408437</v>
      </c>
      <c r="AR192" s="26">
        <f t="shared" si="169"/>
        <v>0</v>
      </c>
      <c r="AS192" s="26">
        <f t="shared" si="170"/>
        <v>19.690857767255508</v>
      </c>
      <c r="AT192" s="26">
        <f t="shared" si="171"/>
        <v>20.982061555272264</v>
      </c>
      <c r="AU192" s="26">
        <f t="shared" si="172"/>
        <v>0.53800157834031448</v>
      </c>
      <c r="AV192" s="26">
        <f t="shared" si="173"/>
        <v>33.678898804103682</v>
      </c>
      <c r="AW192" s="26">
        <f t="shared" si="174"/>
        <v>107.60031566806289</v>
      </c>
      <c r="AX192" s="26"/>
      <c r="AY192" s="26"/>
      <c r="AZ192" s="4">
        <v>375</v>
      </c>
      <c r="BA192" s="4">
        <v>615</v>
      </c>
      <c r="BB192" s="53">
        <f t="shared" si="177"/>
        <v>0.19978624424034663</v>
      </c>
      <c r="BC192" s="53">
        <f t="shared" si="178"/>
        <v>0.80021375575965337</v>
      </c>
      <c r="BD192">
        <f t="shared" si="179"/>
        <v>0.80021375575965337</v>
      </c>
      <c r="BE192">
        <f t="shared" si="180"/>
        <v>0.19978624424034666</v>
      </c>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44"/>
      <c r="CO192" s="44"/>
      <c r="CP192" s="44"/>
      <c r="CQ192" s="44"/>
      <c r="CR192" s="44"/>
      <c r="CS192" s="44"/>
      <c r="CT192" s="44"/>
      <c r="CU192" s="44"/>
      <c r="CV192" s="44"/>
      <c r="CW192" s="44"/>
      <c r="CX192" s="44"/>
      <c r="CY192" s="44"/>
      <c r="CZ192" s="44"/>
      <c r="DA192" s="44"/>
      <c r="DB192" s="44"/>
      <c r="DC192" s="44"/>
      <c r="DD192" s="44"/>
      <c r="DE192" s="44"/>
      <c r="DF192" s="44"/>
      <c r="DG192" s="44"/>
      <c r="DH192" s="44"/>
      <c r="DI192" s="44"/>
      <c r="DJ192" s="44"/>
      <c r="DK192" s="44"/>
      <c r="DL192" s="44"/>
      <c r="DM192" s="44"/>
      <c r="DN192" s="44"/>
      <c r="DO192" s="44"/>
      <c r="DP192" s="44"/>
      <c r="DQ192" s="44"/>
      <c r="DR192" s="44"/>
      <c r="DS192" s="44"/>
      <c r="DT192" s="44"/>
      <c r="DU192" s="44"/>
      <c r="DV192" s="44"/>
      <c r="DW192" s="45"/>
      <c r="DX192" s="45"/>
      <c r="DY192" s="45"/>
      <c r="DZ192" s="45"/>
      <c r="EA192" s="45"/>
      <c r="EB192" s="45"/>
      <c r="EC192" s="45"/>
      <c r="ED192" s="45"/>
      <c r="EE192" s="45"/>
      <c r="EF192" s="45"/>
      <c r="EG192" s="45"/>
      <c r="EH192" s="45"/>
      <c r="EI192" s="45"/>
      <c r="EJ192" s="45"/>
      <c r="EK192" s="44"/>
      <c r="EL192" s="45"/>
      <c r="EM192" s="45"/>
      <c r="EN192" s="45"/>
      <c r="EO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row>
    <row r="193" spans="1:230" s="4" customFormat="1">
      <c r="A193" s="4" t="s">
        <v>845</v>
      </c>
      <c r="B193" s="4" t="s">
        <v>1468</v>
      </c>
      <c r="C193" s="4" t="s">
        <v>24</v>
      </c>
      <c r="D193" t="str">
        <f t="shared" si="122"/>
        <v>saline</v>
      </c>
      <c r="E193" s="4" t="s">
        <v>119</v>
      </c>
      <c r="F193" s="4" t="s">
        <v>1394</v>
      </c>
      <c r="G193" s="4" t="s">
        <v>142</v>
      </c>
      <c r="H193" s="4" t="s">
        <v>595</v>
      </c>
      <c r="I193" s="4">
        <v>90</v>
      </c>
      <c r="J193" s="4" t="s">
        <v>1148</v>
      </c>
      <c r="N193" s="4" t="s">
        <v>499</v>
      </c>
      <c r="O193" s="4">
        <v>13</v>
      </c>
      <c r="P193" s="4">
        <v>1.5</v>
      </c>
      <c r="S193" s="4">
        <v>0.6</v>
      </c>
      <c r="T193" s="4">
        <v>17.5</v>
      </c>
      <c r="U193" s="4">
        <v>4.8</v>
      </c>
      <c r="W193" s="4">
        <v>7.3</v>
      </c>
      <c r="X193" s="4">
        <v>15.5</v>
      </c>
      <c r="Y193" s="4">
        <v>22.4</v>
      </c>
      <c r="AA193" s="4">
        <v>0.5</v>
      </c>
      <c r="AE193" s="4">
        <v>30</v>
      </c>
      <c r="AJ193" s="4">
        <v>10.3</v>
      </c>
      <c r="AK193">
        <f t="shared" si="162"/>
        <v>100.1</v>
      </c>
      <c r="AL193" s="26">
        <f t="shared" si="163"/>
        <v>1.6072019573558769</v>
      </c>
      <c r="AM193" s="26">
        <f t="shared" si="164"/>
        <v>0</v>
      </c>
      <c r="AN193" s="26">
        <f t="shared" si="165"/>
        <v>0.64288078294235085</v>
      </c>
      <c r="AO193" s="26">
        <f t="shared" si="166"/>
        <v>18.750689502485233</v>
      </c>
      <c r="AP193" s="26">
        <f t="shared" si="167"/>
        <v>5.1430462635388068</v>
      </c>
      <c r="AQ193" s="26">
        <f t="shared" si="168"/>
        <v>7.8217161924652681</v>
      </c>
      <c r="AR193" s="26">
        <f t="shared" si="169"/>
        <v>0</v>
      </c>
      <c r="AS193" s="26">
        <f t="shared" si="170"/>
        <v>16.607753559344062</v>
      </c>
      <c r="AT193" s="26">
        <f t="shared" si="171"/>
        <v>24.000882563181097</v>
      </c>
      <c r="AU193" s="26">
        <f t="shared" si="172"/>
        <v>0.53573398578529241</v>
      </c>
      <c r="AV193" s="26">
        <f t="shared" si="173"/>
        <v>32.144039147117539</v>
      </c>
      <c r="AW193" s="26">
        <f t="shared" si="174"/>
        <v>107.25394395421553</v>
      </c>
      <c r="AX193" s="26"/>
      <c r="AY193" s="26"/>
      <c r="AZ193" s="4">
        <v>255</v>
      </c>
      <c r="BA193" s="4">
        <v>248</v>
      </c>
      <c r="BB193" s="53">
        <f t="shared" si="177"/>
        <v>0.29627494748407113</v>
      </c>
      <c r="BC193" s="53">
        <f t="shared" si="178"/>
        <v>0.70372505251592887</v>
      </c>
      <c r="BD193">
        <f t="shared" si="179"/>
        <v>0.70372505251592887</v>
      </c>
      <c r="BE193">
        <f t="shared" si="180"/>
        <v>0.29627494748407113</v>
      </c>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44"/>
      <c r="CO193" s="44"/>
      <c r="CP193" s="44"/>
      <c r="CQ193" s="44"/>
      <c r="CR193" s="44"/>
      <c r="CS193" s="44"/>
      <c r="CT193" s="44"/>
      <c r="CU193" s="44"/>
      <c r="CV193" s="44"/>
      <c r="CW193" s="44"/>
      <c r="CX193" s="44"/>
      <c r="CY193" s="44"/>
      <c r="CZ193" s="44"/>
      <c r="DA193" s="44"/>
      <c r="DB193" s="44"/>
      <c r="DC193" s="44"/>
      <c r="DD193" s="44"/>
      <c r="DE193" s="44"/>
      <c r="DF193" s="44"/>
      <c r="DG193" s="44"/>
      <c r="DH193" s="44"/>
      <c r="DI193" s="44"/>
      <c r="DJ193" s="44"/>
      <c r="DK193" s="44"/>
      <c r="DL193" s="44"/>
      <c r="DM193" s="44"/>
      <c r="DN193" s="44"/>
      <c r="DO193" s="44"/>
      <c r="DP193" s="44"/>
      <c r="DQ193" s="44"/>
      <c r="DR193" s="44"/>
      <c r="DS193" s="44"/>
      <c r="DT193" s="44"/>
      <c r="DU193" s="44"/>
      <c r="DV193" s="44"/>
      <c r="DW193" s="45"/>
      <c r="DX193" s="45"/>
      <c r="DY193" s="45"/>
      <c r="DZ193" s="45"/>
      <c r="EA193" s="45"/>
      <c r="EB193" s="45"/>
      <c r="EC193" s="45"/>
      <c r="ED193" s="45"/>
      <c r="EE193" s="45"/>
      <c r="EF193" s="45"/>
      <c r="EG193" s="45"/>
      <c r="EH193" s="45"/>
      <c r="EI193" s="45"/>
      <c r="EJ193" s="45"/>
      <c r="EK193" s="44"/>
      <c r="EL193" s="45"/>
      <c r="EM193" s="45"/>
      <c r="EN193" s="45"/>
      <c r="EO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row>
    <row r="194" spans="1:230" s="4" customFormat="1">
      <c r="A194" s="4" t="s">
        <v>845</v>
      </c>
      <c r="B194" s="4" t="s">
        <v>1468</v>
      </c>
      <c r="C194" s="4" t="s">
        <v>24</v>
      </c>
      <c r="D194" t="str">
        <f t="shared" si="122"/>
        <v>saline</v>
      </c>
      <c r="E194" s="4" t="s">
        <v>119</v>
      </c>
      <c r="F194" s="4" t="s">
        <v>1394</v>
      </c>
      <c r="G194" s="4" t="s">
        <v>142</v>
      </c>
      <c r="H194" s="4" t="s">
        <v>595</v>
      </c>
      <c r="I194" s="4">
        <v>90</v>
      </c>
      <c r="J194" s="4" t="s">
        <v>1148</v>
      </c>
      <c r="N194" s="4" t="s">
        <v>503</v>
      </c>
      <c r="O194" s="4">
        <v>14</v>
      </c>
      <c r="P194" s="4">
        <v>2.1</v>
      </c>
      <c r="Q194" s="4">
        <v>0.1</v>
      </c>
      <c r="S194" s="4">
        <v>0.6</v>
      </c>
      <c r="T194" s="4">
        <v>14.2</v>
      </c>
      <c r="U194" s="4">
        <v>4.5</v>
      </c>
      <c r="W194" s="4">
        <v>7.2</v>
      </c>
      <c r="X194" s="4">
        <v>15.6</v>
      </c>
      <c r="Y194" s="4">
        <v>23.7</v>
      </c>
      <c r="AA194" s="4">
        <v>0.2</v>
      </c>
      <c r="AE194" s="4">
        <v>31.8</v>
      </c>
      <c r="AJ194" s="4">
        <v>13.4</v>
      </c>
      <c r="AK194">
        <f t="shared" si="162"/>
        <v>100</v>
      </c>
      <c r="AL194" s="26">
        <f t="shared" si="163"/>
        <v>2.2623533702060414</v>
      </c>
      <c r="AM194" s="26">
        <f t="shared" si="164"/>
        <v>0.10773111286695436</v>
      </c>
      <c r="AN194" s="26">
        <f t="shared" si="165"/>
        <v>0.64638667720172605</v>
      </c>
      <c r="AO194" s="26">
        <f t="shared" si="166"/>
        <v>15.297818027107517</v>
      </c>
      <c r="AP194" s="26">
        <f t="shared" si="167"/>
        <v>4.8479000790129456</v>
      </c>
      <c r="AQ194" s="26">
        <f t="shared" si="168"/>
        <v>7.7566401264207139</v>
      </c>
      <c r="AR194" s="26">
        <f t="shared" si="169"/>
        <v>0</v>
      </c>
      <c r="AS194" s="26">
        <f t="shared" si="170"/>
        <v>16.806053607244877</v>
      </c>
      <c r="AT194" s="26">
        <f t="shared" si="171"/>
        <v>25.532273749468182</v>
      </c>
      <c r="AU194" s="26">
        <f t="shared" si="172"/>
        <v>0.21546222573390872</v>
      </c>
      <c r="AV194" s="26">
        <f t="shared" si="173"/>
        <v>34.258493891691479</v>
      </c>
      <c r="AW194" s="26">
        <f t="shared" si="174"/>
        <v>107.73111286695433</v>
      </c>
      <c r="AX194" s="26"/>
      <c r="AY194" s="26"/>
      <c r="BD194"/>
      <c r="BE194"/>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CV194" s="44"/>
      <c r="CW194" s="44"/>
      <c r="CX194" s="44"/>
      <c r="CY194" s="44"/>
      <c r="CZ194" s="44"/>
      <c r="DA194" s="44"/>
      <c r="DB194" s="44"/>
      <c r="DC194" s="44"/>
      <c r="DD194" s="44"/>
      <c r="DE194" s="44"/>
      <c r="DF194" s="44"/>
      <c r="DG194" s="44"/>
      <c r="DH194" s="44"/>
      <c r="DI194" s="44"/>
      <c r="DJ194" s="44"/>
      <c r="DK194" s="44"/>
      <c r="DL194" s="44"/>
      <c r="DM194" s="44"/>
      <c r="DN194" s="44"/>
      <c r="DO194" s="44"/>
      <c r="DP194" s="44"/>
      <c r="DQ194" s="44"/>
      <c r="DR194" s="44"/>
      <c r="DS194" s="44"/>
      <c r="DT194" s="44"/>
      <c r="DU194" s="44"/>
      <c r="DV194" s="44"/>
      <c r="DW194" s="45"/>
      <c r="DX194" s="45"/>
      <c r="DY194" s="45"/>
      <c r="DZ194" s="45"/>
      <c r="EA194" s="45"/>
      <c r="EB194" s="45"/>
      <c r="EC194" s="45"/>
      <c r="ED194" s="45"/>
      <c r="EE194" s="45"/>
      <c r="EF194" s="45"/>
      <c r="EG194" s="45"/>
      <c r="EH194" s="45"/>
      <c r="EI194" s="45"/>
      <c r="EJ194" s="45"/>
      <c r="EK194" s="44"/>
      <c r="EL194" s="45"/>
      <c r="EM194" s="45"/>
      <c r="EN194" s="45"/>
      <c r="EO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row>
    <row r="195" spans="1:230" s="4" customFormat="1">
      <c r="A195" s="4" t="s">
        <v>847</v>
      </c>
      <c r="B195" s="4" t="s">
        <v>1468</v>
      </c>
      <c r="C195" s="4" t="s">
        <v>24</v>
      </c>
      <c r="D195" t="str">
        <f t="shared" si="122"/>
        <v>saline</v>
      </c>
      <c r="E195" s="4" t="s">
        <v>546</v>
      </c>
      <c r="F195" s="4" t="s">
        <v>1394</v>
      </c>
      <c r="G195" s="4" t="s">
        <v>142</v>
      </c>
      <c r="H195" s="4" t="s">
        <v>595</v>
      </c>
      <c r="I195" s="4">
        <v>90</v>
      </c>
      <c r="J195" s="4" t="s">
        <v>1148</v>
      </c>
      <c r="M195" s="4" t="s">
        <v>572</v>
      </c>
      <c r="N195" s="4" t="s">
        <v>565</v>
      </c>
      <c r="O195" s="4">
        <v>14</v>
      </c>
      <c r="P195" s="4">
        <v>1.55</v>
      </c>
      <c r="R195" s="4">
        <v>0.74</v>
      </c>
      <c r="T195" s="4">
        <v>14.91</v>
      </c>
      <c r="U195" s="4">
        <v>10.35</v>
      </c>
      <c r="W195" s="4">
        <v>14.69</v>
      </c>
      <c r="X195" s="4">
        <v>11.93</v>
      </c>
      <c r="Y195" s="4">
        <v>21.04</v>
      </c>
      <c r="AA195" s="4">
        <v>0.9</v>
      </c>
      <c r="AE195" s="4">
        <v>23.88</v>
      </c>
      <c r="AJ195" s="4">
        <v>5.37</v>
      </c>
      <c r="AK195">
        <f t="shared" si="162"/>
        <v>99.25</v>
      </c>
      <c r="AL195" s="26">
        <f t="shared" si="163"/>
        <v>1.6513780768459199</v>
      </c>
      <c r="AM195" s="26">
        <f t="shared" si="164"/>
        <v>0</v>
      </c>
      <c r="AN195" s="26">
        <f t="shared" si="165"/>
        <v>0</v>
      </c>
      <c r="AO195" s="26">
        <f t="shared" si="166"/>
        <v>15.885191694046879</v>
      </c>
      <c r="AP195" s="26">
        <f t="shared" si="167"/>
        <v>11.026943932487269</v>
      </c>
      <c r="AQ195" s="26">
        <f t="shared" si="168"/>
        <v>15.650802547655845</v>
      </c>
      <c r="AR195" s="26">
        <f t="shared" si="169"/>
        <v>0</v>
      </c>
      <c r="AS195" s="26">
        <f t="shared" si="170"/>
        <v>12.710284165659239</v>
      </c>
      <c r="AT195" s="26">
        <f t="shared" si="171"/>
        <v>22.416125636669772</v>
      </c>
      <c r="AU195" s="26">
        <f t="shared" si="172"/>
        <v>0.95886468978150174</v>
      </c>
      <c r="AV195" s="26">
        <f t="shared" si="173"/>
        <v>25.441876435535843</v>
      </c>
      <c r="AW195" s="26">
        <f t="shared" si="174"/>
        <v>105.74146717868227</v>
      </c>
      <c r="AX195" s="26"/>
      <c r="AY195" s="26"/>
      <c r="BD195"/>
      <c r="BE195"/>
      <c r="BF195" s="4">
        <v>-5.42</v>
      </c>
      <c r="BH195" s="4" t="s">
        <v>566</v>
      </c>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CV195" s="44"/>
      <c r="CW195" s="44"/>
      <c r="CX195" s="44"/>
      <c r="CY195" s="44"/>
      <c r="CZ195" s="44"/>
      <c r="DA195" s="44"/>
      <c r="DB195" s="44"/>
      <c r="DC195" s="44"/>
      <c r="DD195" s="44"/>
      <c r="DE195" s="44"/>
      <c r="DF195" s="44"/>
      <c r="DG195" s="44"/>
      <c r="DH195" s="44"/>
      <c r="DI195" s="44"/>
      <c r="DJ195" s="44"/>
      <c r="DK195" s="44"/>
      <c r="DL195" s="44"/>
      <c r="DM195" s="44"/>
      <c r="DN195" s="44"/>
      <c r="DO195" s="44"/>
      <c r="DP195" s="44"/>
      <c r="DQ195" s="44"/>
      <c r="DR195" s="44"/>
      <c r="DS195" s="44"/>
      <c r="DT195" s="44"/>
      <c r="DU195" s="44"/>
      <c r="DV195" s="44"/>
      <c r="DW195" s="45"/>
      <c r="DX195" s="45"/>
      <c r="DY195" s="45"/>
      <c r="DZ195" s="45"/>
      <c r="EA195" s="45"/>
      <c r="EB195" s="45"/>
      <c r="EC195" s="45"/>
      <c r="ED195" s="45"/>
      <c r="EE195" s="45"/>
      <c r="EF195" s="45"/>
      <c r="EG195" s="45"/>
      <c r="EH195" s="45"/>
      <c r="EI195" s="45"/>
      <c r="EJ195" s="45"/>
      <c r="EK195" s="44"/>
      <c r="EL195" s="45"/>
      <c r="EM195" s="45"/>
      <c r="EN195" s="45"/>
      <c r="EO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row>
    <row r="196" spans="1:230" s="4" customFormat="1">
      <c r="A196" s="4" t="s">
        <v>847</v>
      </c>
      <c r="B196" s="4" t="s">
        <v>1468</v>
      </c>
      <c r="C196" s="4" t="s">
        <v>24</v>
      </c>
      <c r="D196" t="str">
        <f t="shared" si="122"/>
        <v>saline</v>
      </c>
      <c r="E196" s="4" t="s">
        <v>546</v>
      </c>
      <c r="F196" s="4" t="s">
        <v>1394</v>
      </c>
      <c r="G196" s="4" t="s">
        <v>142</v>
      </c>
      <c r="H196" s="4" t="s">
        <v>595</v>
      </c>
      <c r="I196" s="4">
        <v>90</v>
      </c>
      <c r="J196" s="4" t="s">
        <v>1148</v>
      </c>
      <c r="M196" s="4" t="s">
        <v>573</v>
      </c>
      <c r="N196" s="4" t="s">
        <v>567</v>
      </c>
      <c r="O196" s="4">
        <v>16</v>
      </c>
      <c r="P196" s="4">
        <v>1.41</v>
      </c>
      <c r="R196" s="4">
        <v>0.53</v>
      </c>
      <c r="T196" s="4">
        <v>8.39</v>
      </c>
      <c r="U196" s="4">
        <v>3.9</v>
      </c>
      <c r="W196" s="4">
        <v>7.28</v>
      </c>
      <c r="X196" s="4">
        <v>11.03</v>
      </c>
      <c r="Y196" s="4">
        <v>32.72</v>
      </c>
      <c r="AA196" s="4">
        <v>0.41</v>
      </c>
      <c r="AE196" s="4">
        <v>34.33</v>
      </c>
      <c r="AJ196" s="4">
        <v>5.21</v>
      </c>
      <c r="AK196">
        <f t="shared" si="162"/>
        <v>99.469999999999985</v>
      </c>
      <c r="AL196" s="26">
        <f t="shared" si="163"/>
        <v>1.5372413000913558</v>
      </c>
      <c r="AM196" s="26">
        <f t="shared" si="164"/>
        <v>0</v>
      </c>
      <c r="AN196" s="26">
        <f t="shared" si="165"/>
        <v>0</v>
      </c>
      <c r="AO196" s="26">
        <f t="shared" si="166"/>
        <v>9.1471308565719713</v>
      </c>
      <c r="AP196" s="26">
        <f t="shared" si="167"/>
        <v>4.2519440215292823</v>
      </c>
      <c r="AQ196" s="26">
        <f t="shared" si="168"/>
        <v>7.9369621735213283</v>
      </c>
      <c r="AR196" s="26">
        <f t="shared" si="169"/>
        <v>0</v>
      </c>
      <c r="AS196" s="26">
        <f t="shared" si="170"/>
        <v>12.025369886530253</v>
      </c>
      <c r="AT196" s="26">
        <f t="shared" si="171"/>
        <v>35.672720098573876</v>
      </c>
      <c r="AU196" s="26">
        <f t="shared" si="172"/>
        <v>0.44699924328897589</v>
      </c>
      <c r="AV196" s="26">
        <f t="shared" si="173"/>
        <v>37.428009810025706</v>
      </c>
      <c r="AW196" s="26">
        <f t="shared" si="174"/>
        <v>108.44637739013274</v>
      </c>
      <c r="AX196" s="26"/>
      <c r="AY196" s="26"/>
      <c r="BD196"/>
      <c r="BE196"/>
      <c r="BF196" s="4">
        <v>-5.45</v>
      </c>
      <c r="BH196" s="4" t="s">
        <v>568</v>
      </c>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44"/>
      <c r="CO196" s="44"/>
      <c r="CP196" s="44"/>
      <c r="CQ196" s="44"/>
      <c r="CR196" s="44"/>
      <c r="CS196" s="44"/>
      <c r="CT196" s="44"/>
      <c r="CU196" s="44"/>
      <c r="CV196" s="44"/>
      <c r="CW196" s="44"/>
      <c r="CX196" s="44"/>
      <c r="CY196" s="44"/>
      <c r="CZ196" s="44"/>
      <c r="DA196" s="44"/>
      <c r="DB196" s="44"/>
      <c r="DC196" s="44"/>
      <c r="DD196" s="44"/>
      <c r="DE196" s="44"/>
      <c r="DF196" s="44"/>
      <c r="DG196" s="44"/>
      <c r="DH196" s="44"/>
      <c r="DI196" s="44"/>
      <c r="DJ196" s="44"/>
      <c r="DK196" s="44"/>
      <c r="DL196" s="44"/>
      <c r="DM196" s="44"/>
      <c r="DN196" s="44"/>
      <c r="DO196" s="44"/>
      <c r="DP196" s="44"/>
      <c r="DQ196" s="44"/>
      <c r="DR196" s="44"/>
      <c r="DS196" s="44"/>
      <c r="DT196" s="44"/>
      <c r="DU196" s="44"/>
      <c r="DV196" s="44"/>
      <c r="DW196" s="45"/>
      <c r="DX196" s="45"/>
      <c r="DY196" s="45"/>
      <c r="DZ196" s="45"/>
      <c r="EA196" s="45"/>
      <c r="EB196" s="45"/>
      <c r="EC196" s="45"/>
      <c r="ED196" s="45"/>
      <c r="EE196" s="45"/>
      <c r="EF196" s="45"/>
      <c r="EG196" s="45"/>
      <c r="EH196" s="45"/>
      <c r="EI196" s="45"/>
      <c r="EJ196" s="45"/>
      <c r="EK196" s="44"/>
      <c r="EL196" s="45"/>
      <c r="EM196" s="45"/>
      <c r="EN196" s="45"/>
      <c r="EO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row>
    <row r="197" spans="1:230" s="4" customFormat="1">
      <c r="A197" s="4" t="s">
        <v>1424</v>
      </c>
      <c r="B197" s="4" t="s">
        <v>1468</v>
      </c>
      <c r="C197" s="4" t="s">
        <v>24</v>
      </c>
      <c r="D197" t="str">
        <f t="shared" si="122"/>
        <v>saline</v>
      </c>
      <c r="E197" s="4" t="s">
        <v>1193</v>
      </c>
      <c r="F197" s="4" t="s">
        <v>171</v>
      </c>
      <c r="G197" s="4" t="s">
        <v>45</v>
      </c>
      <c r="H197" s="4" t="s">
        <v>595</v>
      </c>
      <c r="I197" s="4">
        <v>55</v>
      </c>
      <c r="J197" s="4" t="s">
        <v>712</v>
      </c>
      <c r="K197" s="4" t="s">
        <v>1425</v>
      </c>
      <c r="L197" s="4" t="s">
        <v>1276</v>
      </c>
      <c r="N197" s="4" t="s">
        <v>1397</v>
      </c>
      <c r="O197" s="4">
        <v>12</v>
      </c>
      <c r="P197" s="4">
        <v>4.0999999999999996</v>
      </c>
      <c r="Q197" s="4">
        <v>0.3</v>
      </c>
      <c r="S197" s="4">
        <v>0.7</v>
      </c>
      <c r="T197" s="4">
        <v>6.1</v>
      </c>
      <c r="U197" s="4">
        <v>2.2999999999999998</v>
      </c>
      <c r="W197" s="4">
        <v>4.8</v>
      </c>
      <c r="X197" s="4">
        <v>9.5</v>
      </c>
      <c r="Y197" s="4">
        <v>31.9</v>
      </c>
      <c r="AB197" s="4">
        <v>1.5</v>
      </c>
      <c r="AC197" s="4">
        <v>11.8</v>
      </c>
      <c r="AE197" s="4">
        <v>34.200000000000003</v>
      </c>
      <c r="AK197">
        <f t="shared" si="162"/>
        <v>105.7</v>
      </c>
      <c r="AL197" s="26">
        <f t="shared" si="163"/>
        <v>4.1844383058415726</v>
      </c>
      <c r="AM197" s="26">
        <f t="shared" si="164"/>
        <v>0.30617841262255407</v>
      </c>
      <c r="AN197" s="26">
        <f t="shared" si="165"/>
        <v>0.71441629611929292</v>
      </c>
      <c r="AO197" s="26">
        <f t="shared" si="166"/>
        <v>6.2256277233252666</v>
      </c>
      <c r="AP197" s="26">
        <f t="shared" si="167"/>
        <v>2.3473678301062479</v>
      </c>
      <c r="AQ197" s="26">
        <f t="shared" si="168"/>
        <v>4.8988546019608652</v>
      </c>
      <c r="AR197" s="26">
        <f t="shared" si="169"/>
        <v>12.043017563153796</v>
      </c>
      <c r="AS197" s="26">
        <f t="shared" si="170"/>
        <v>9.6956497330475475</v>
      </c>
      <c r="AT197" s="26">
        <f t="shared" si="171"/>
        <v>32.556971208864923</v>
      </c>
      <c r="AU197" s="26">
        <f t="shared" si="172"/>
        <v>0</v>
      </c>
      <c r="AV197" s="26">
        <f t="shared" si="173"/>
        <v>34.904339038971173</v>
      </c>
      <c r="AW197" s="26">
        <f t="shared" si="174"/>
        <v>107.87686071401323</v>
      </c>
      <c r="AX197" s="26"/>
      <c r="AY197" s="26"/>
      <c r="AZ197" s="4">
        <v>10.4</v>
      </c>
      <c r="BA197" s="4">
        <v>58.2</v>
      </c>
      <c r="BB197" s="4">
        <v>0.15</v>
      </c>
      <c r="BD197">
        <f t="shared" si="179"/>
        <v>0.9318216378843055</v>
      </c>
      <c r="BE197">
        <f t="shared" si="180"/>
        <v>6.8178362115694544E-2</v>
      </c>
      <c r="BL197" s="44"/>
      <c r="BM197" s="44"/>
      <c r="BN197" s="44"/>
      <c r="BO197" s="44"/>
      <c r="BP197" s="44"/>
      <c r="BQ197" s="44"/>
      <c r="BR197" s="44"/>
      <c r="BS197" s="44"/>
      <c r="BT197" s="44"/>
      <c r="BU197" s="44" t="s">
        <v>1192</v>
      </c>
      <c r="BV197" s="44"/>
      <c r="BW197" s="44"/>
      <c r="BX197" s="44"/>
      <c r="BY197" s="44"/>
      <c r="BZ197" s="44"/>
      <c r="CA197" s="44"/>
      <c r="CB197" s="44"/>
      <c r="CC197" s="44"/>
      <c r="CD197" s="44"/>
      <c r="CE197" s="44"/>
      <c r="CF197" s="44"/>
      <c r="CG197" s="44"/>
      <c r="CH197" s="44"/>
      <c r="CI197" s="44">
        <v>7.4999999999999997E-2</v>
      </c>
      <c r="CJ197" s="44">
        <v>1.1399999999999999</v>
      </c>
      <c r="CK197" s="44" t="s">
        <v>1192</v>
      </c>
      <c r="CL197" s="44" t="s">
        <v>1192</v>
      </c>
      <c r="CM197" s="44"/>
      <c r="CN197" s="44">
        <v>5.6000000000000001E-2</v>
      </c>
      <c r="CO197" s="44"/>
      <c r="CP197" s="44"/>
      <c r="CQ197" s="44"/>
      <c r="CR197" s="44"/>
      <c r="CS197" s="44"/>
      <c r="CT197" s="44">
        <v>4.1870000000000003</v>
      </c>
      <c r="CU197" s="44"/>
      <c r="CV197" s="44">
        <v>0.36399999999999999</v>
      </c>
      <c r="CW197" s="44">
        <v>0.40300000000000002</v>
      </c>
      <c r="CX197" s="44">
        <v>3.2000000000000001E-2</v>
      </c>
      <c r="CY197" s="44">
        <v>7.2999999999999995E-2</v>
      </c>
      <c r="CZ197" s="44" t="s">
        <v>1192</v>
      </c>
      <c r="DA197" s="44" t="s">
        <v>1192</v>
      </c>
      <c r="DB197" s="44" t="s">
        <v>1192</v>
      </c>
      <c r="DC197" s="44" t="s">
        <v>1192</v>
      </c>
      <c r="DD197" s="44"/>
      <c r="DE197" s="44" t="s">
        <v>1192</v>
      </c>
      <c r="DF197" s="44"/>
      <c r="DG197" s="44" t="s">
        <v>1192</v>
      </c>
      <c r="DH197" s="44" t="s">
        <v>1192</v>
      </c>
      <c r="DI197" s="44"/>
      <c r="DJ197" s="44"/>
      <c r="DK197" s="44"/>
      <c r="DL197" s="44" t="s">
        <v>1192</v>
      </c>
      <c r="DM197" s="44">
        <v>0.214</v>
      </c>
      <c r="DN197" s="44">
        <v>1.6E-2</v>
      </c>
      <c r="DO197" s="44" t="s">
        <v>1192</v>
      </c>
      <c r="DP197" s="44"/>
      <c r="DQ197" s="44"/>
      <c r="DR197" s="44"/>
      <c r="DS197" s="44"/>
      <c r="DT197" s="44"/>
      <c r="DU197" s="44"/>
      <c r="DV197" s="44"/>
      <c r="DW197" s="51"/>
      <c r="DX197" s="51"/>
      <c r="DY197" s="51"/>
      <c r="DZ197" s="45"/>
      <c r="EA197" s="45"/>
      <c r="EB197" s="45"/>
      <c r="EC197" s="45"/>
      <c r="ED197" s="45"/>
      <c r="EE197" s="45"/>
      <c r="EF197" s="45"/>
      <c r="EG197" s="45"/>
      <c r="EH197" s="45"/>
      <c r="EI197" s="45"/>
      <c r="EJ197" s="45"/>
      <c r="EK197" s="44"/>
      <c r="EL197" s="45"/>
      <c r="EM197" s="45"/>
      <c r="EN197" s="45"/>
      <c r="EO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row>
    <row r="198" spans="1:230" s="4" customFormat="1">
      <c r="A198" s="4" t="s">
        <v>1424</v>
      </c>
      <c r="B198" s="4" t="s">
        <v>1468</v>
      </c>
      <c r="C198" s="4" t="s">
        <v>24</v>
      </c>
      <c r="D198" t="str">
        <f t="shared" si="122"/>
        <v>saline</v>
      </c>
      <c r="E198" s="4" t="s">
        <v>1193</v>
      </c>
      <c r="F198" s="4" t="s">
        <v>171</v>
      </c>
      <c r="G198" s="4" t="s">
        <v>45</v>
      </c>
      <c r="H198" s="4" t="s">
        <v>595</v>
      </c>
      <c r="I198" s="4">
        <v>55</v>
      </c>
      <c r="J198" s="4" t="s">
        <v>712</v>
      </c>
      <c r="K198" s="4" t="s">
        <v>1425</v>
      </c>
      <c r="L198" s="4" t="s">
        <v>1276</v>
      </c>
      <c r="N198" s="4" t="s">
        <v>1398</v>
      </c>
      <c r="O198" s="4">
        <v>12</v>
      </c>
      <c r="P198" s="4">
        <v>4.0999999999999996</v>
      </c>
      <c r="Q198" s="4">
        <v>0.3</v>
      </c>
      <c r="S198" s="4">
        <v>0.7</v>
      </c>
      <c r="T198" s="4">
        <v>6.1</v>
      </c>
      <c r="U198" s="4">
        <v>2.2999999999999998</v>
      </c>
      <c r="W198" s="4">
        <v>4.8</v>
      </c>
      <c r="X198" s="4">
        <v>9.5</v>
      </c>
      <c r="Y198" s="4">
        <v>31.9</v>
      </c>
      <c r="AB198" s="4">
        <v>1.5</v>
      </c>
      <c r="AC198" s="4">
        <v>11.8</v>
      </c>
      <c r="AE198" s="4">
        <v>34.200000000000003</v>
      </c>
      <c r="AK198">
        <f t="shared" si="162"/>
        <v>105.7</v>
      </c>
      <c r="AL198" s="26">
        <f t="shared" si="163"/>
        <v>4.1844383058415726</v>
      </c>
      <c r="AM198" s="26">
        <f t="shared" si="164"/>
        <v>0.30617841262255407</v>
      </c>
      <c r="AN198" s="26">
        <f t="shared" si="165"/>
        <v>0.71441629611929292</v>
      </c>
      <c r="AO198" s="26">
        <f t="shared" si="166"/>
        <v>6.2256277233252666</v>
      </c>
      <c r="AP198" s="26">
        <f t="shared" si="167"/>
        <v>2.3473678301062479</v>
      </c>
      <c r="AQ198" s="26">
        <f t="shared" si="168"/>
        <v>4.8988546019608652</v>
      </c>
      <c r="AR198" s="26">
        <f t="shared" si="169"/>
        <v>12.043017563153796</v>
      </c>
      <c r="AS198" s="26">
        <f t="shared" si="170"/>
        <v>9.6956497330475475</v>
      </c>
      <c r="AT198" s="26">
        <f t="shared" si="171"/>
        <v>32.556971208864923</v>
      </c>
      <c r="AU198" s="26">
        <f t="shared" si="172"/>
        <v>0</v>
      </c>
      <c r="AV198" s="26">
        <f t="shared" si="173"/>
        <v>34.904339038971173</v>
      </c>
      <c r="AW198" s="26">
        <f t="shared" si="174"/>
        <v>107.87686071401323</v>
      </c>
      <c r="AX198" s="26"/>
      <c r="AY198" s="26"/>
      <c r="AZ198" s="4">
        <v>10.4</v>
      </c>
      <c r="BA198" s="4">
        <v>58.2</v>
      </c>
      <c r="BB198" s="4">
        <v>0.15</v>
      </c>
      <c r="BD198">
        <f t="shared" si="179"/>
        <v>0.9318216378843055</v>
      </c>
      <c r="BE198">
        <f t="shared" si="180"/>
        <v>6.8178362115694544E-2</v>
      </c>
      <c r="BL198" s="44"/>
      <c r="BM198" s="44"/>
      <c r="BN198" s="44"/>
      <c r="BO198" s="44"/>
      <c r="BP198" s="44"/>
      <c r="BQ198" s="44"/>
      <c r="BR198" s="44"/>
      <c r="BS198" s="44"/>
      <c r="BT198" s="44"/>
      <c r="BU198" s="44" t="s">
        <v>1192</v>
      </c>
      <c r="BV198" s="44"/>
      <c r="BW198" s="44"/>
      <c r="BX198" s="44"/>
      <c r="BY198" s="44"/>
      <c r="BZ198" s="44"/>
      <c r="CA198" s="44"/>
      <c r="CB198" s="44"/>
      <c r="CC198" s="44"/>
      <c r="CD198" s="44"/>
      <c r="CE198" s="44"/>
      <c r="CF198" s="44"/>
      <c r="CG198" s="44"/>
      <c r="CH198" s="44"/>
      <c r="CI198" s="44">
        <v>0.32800000000000001</v>
      </c>
      <c r="CJ198" s="44">
        <v>7.3019999999999996</v>
      </c>
      <c r="CK198" s="44" t="s">
        <v>1192</v>
      </c>
      <c r="CL198" s="44" t="s">
        <v>1192</v>
      </c>
      <c r="CM198" s="44"/>
      <c r="CN198" s="44">
        <v>0.246</v>
      </c>
      <c r="CO198" s="44"/>
      <c r="CP198" s="44"/>
      <c r="CQ198" s="44"/>
      <c r="CR198" s="44"/>
      <c r="CS198" s="44"/>
      <c r="CT198" s="44">
        <v>98.49</v>
      </c>
      <c r="CU198" s="44"/>
      <c r="CV198" s="44">
        <v>1.895</v>
      </c>
      <c r="CW198" s="44">
        <v>1.7470000000000001</v>
      </c>
      <c r="CX198" s="44">
        <v>0.126</v>
      </c>
      <c r="CY198" s="44">
        <v>0.222</v>
      </c>
      <c r="CZ198" s="44">
        <v>5.0000000000000001E-3</v>
      </c>
      <c r="DA198" s="44" t="s">
        <v>1192</v>
      </c>
      <c r="DB198" s="44" t="s">
        <v>1192</v>
      </c>
      <c r="DC198" s="44" t="s">
        <v>1192</v>
      </c>
      <c r="DD198" s="44"/>
      <c r="DE198" s="44" t="s">
        <v>1192</v>
      </c>
      <c r="DF198" s="44"/>
      <c r="DG198" s="44" t="s">
        <v>1192</v>
      </c>
      <c r="DH198" s="44" t="s">
        <v>1192</v>
      </c>
      <c r="DI198" s="44"/>
      <c r="DJ198" s="44"/>
      <c r="DK198" s="44"/>
      <c r="DL198" s="44">
        <v>1.6910000000000001</v>
      </c>
      <c r="DM198" s="44">
        <v>0.83599999999999997</v>
      </c>
      <c r="DN198" s="44">
        <v>5.5E-2</v>
      </c>
      <c r="DO198" s="44" t="s">
        <v>1192</v>
      </c>
      <c r="DP198" s="44"/>
      <c r="DQ198" s="44"/>
      <c r="DR198" s="44"/>
      <c r="DS198" s="44"/>
      <c r="DT198" s="44"/>
      <c r="DU198" s="44"/>
      <c r="DV198" s="44"/>
      <c r="DW198" s="51">
        <v>0.70616999999999996</v>
      </c>
      <c r="DX198" s="51">
        <v>6.0000000000000002E-5</v>
      </c>
      <c r="DY198" s="51">
        <v>0.70606999999999998</v>
      </c>
      <c r="DZ198" s="45">
        <v>0</v>
      </c>
      <c r="EA198" s="52">
        <v>23.23</v>
      </c>
      <c r="EB198" s="45">
        <v>0</v>
      </c>
      <c r="EC198" s="45"/>
      <c r="ED198" s="45">
        <v>0</v>
      </c>
      <c r="EE198" s="45">
        <v>0</v>
      </c>
      <c r="EF198" s="45">
        <v>0</v>
      </c>
      <c r="EG198" s="45">
        <v>0</v>
      </c>
      <c r="EH198" s="45">
        <v>0</v>
      </c>
      <c r="EI198" s="45">
        <v>0</v>
      </c>
      <c r="EJ198" s="45">
        <v>0</v>
      </c>
      <c r="EK198" s="44">
        <v>0</v>
      </c>
      <c r="EL198" s="45"/>
      <c r="EM198" s="45"/>
      <c r="EN198" s="45"/>
      <c r="EO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row>
    <row r="199" spans="1:230" s="4" customFormat="1">
      <c r="A199" s="4" t="s">
        <v>1424</v>
      </c>
      <c r="B199" s="4" t="s">
        <v>1468</v>
      </c>
      <c r="C199" s="4" t="s">
        <v>24</v>
      </c>
      <c r="D199" t="str">
        <f t="shared" si="122"/>
        <v>saline</v>
      </c>
      <c r="E199" s="4" t="s">
        <v>1193</v>
      </c>
      <c r="F199" s="4" t="s">
        <v>171</v>
      </c>
      <c r="G199" s="4" t="s">
        <v>45</v>
      </c>
      <c r="H199" s="4" t="s">
        <v>595</v>
      </c>
      <c r="I199" s="4">
        <v>55</v>
      </c>
      <c r="J199" s="4" t="s">
        <v>712</v>
      </c>
      <c r="K199" s="4" t="s">
        <v>1425</v>
      </c>
      <c r="L199" s="4" t="s">
        <v>1276</v>
      </c>
      <c r="N199" s="4" t="s">
        <v>1434</v>
      </c>
      <c r="O199" s="4">
        <v>18</v>
      </c>
      <c r="P199" s="4">
        <v>3.8</v>
      </c>
      <c r="Q199" s="4">
        <v>0.3</v>
      </c>
      <c r="S199" s="4">
        <v>0.9</v>
      </c>
      <c r="T199" s="4">
        <v>7.5</v>
      </c>
      <c r="U199" s="4">
        <v>3.9</v>
      </c>
      <c r="W199" s="4">
        <v>7.5</v>
      </c>
      <c r="X199" s="4">
        <v>8.3000000000000007</v>
      </c>
      <c r="Y199" s="4">
        <v>29.1</v>
      </c>
      <c r="AB199" s="4">
        <v>1.9</v>
      </c>
      <c r="AC199" s="4">
        <v>11.7</v>
      </c>
      <c r="AE199" s="4">
        <v>31.78</v>
      </c>
      <c r="AK199">
        <f t="shared" si="162"/>
        <v>104.78</v>
      </c>
      <c r="AL199" s="26">
        <f t="shared" si="163"/>
        <v>3.8931151886402304</v>
      </c>
      <c r="AM199" s="26">
        <f t="shared" si="164"/>
        <v>0.30735119910317604</v>
      </c>
      <c r="AN199" s="26">
        <f t="shared" si="165"/>
        <v>0.92205359730952818</v>
      </c>
      <c r="AO199" s="26">
        <f t="shared" si="166"/>
        <v>7.6837799775794009</v>
      </c>
      <c r="AP199" s="26">
        <f t="shared" si="167"/>
        <v>3.9955655883412886</v>
      </c>
      <c r="AQ199" s="26">
        <f t="shared" si="168"/>
        <v>7.6837799775794009</v>
      </c>
      <c r="AR199" s="26">
        <f t="shared" si="169"/>
        <v>11.986696765023867</v>
      </c>
      <c r="AS199" s="26">
        <f t="shared" si="170"/>
        <v>8.5033831751878708</v>
      </c>
      <c r="AT199" s="26">
        <f t="shared" si="171"/>
        <v>29.813066313008079</v>
      </c>
      <c r="AU199" s="26">
        <f t="shared" si="172"/>
        <v>0</v>
      </c>
      <c r="AV199" s="26">
        <f t="shared" si="173"/>
        <v>32.558737024996454</v>
      </c>
      <c r="AW199" s="26">
        <f t="shared" si="174"/>
        <v>107.3475288067693</v>
      </c>
      <c r="AX199" s="26"/>
      <c r="AY199" s="26"/>
      <c r="AZ199" s="4">
        <v>14.9</v>
      </c>
      <c r="BA199" s="4">
        <v>55.5</v>
      </c>
      <c r="BB199" s="4">
        <v>0.21</v>
      </c>
      <c r="BD199">
        <f t="shared" si="179"/>
        <v>0.90096172963051624</v>
      </c>
      <c r="BE199">
        <f t="shared" si="180"/>
        <v>9.9038270369483761E-2</v>
      </c>
      <c r="BL199" s="44"/>
      <c r="BM199" s="44"/>
      <c r="BN199" s="44"/>
      <c r="BO199" s="44"/>
      <c r="BP199" s="44"/>
      <c r="BQ199" s="44"/>
      <c r="BR199" s="44"/>
      <c r="BS199" s="44"/>
      <c r="BT199" s="44"/>
      <c r="BU199" s="44" t="s">
        <v>1192</v>
      </c>
      <c r="BV199" s="44"/>
      <c r="BW199" s="44"/>
      <c r="BX199" s="44"/>
      <c r="BY199" s="44"/>
      <c r="BZ199" s="44"/>
      <c r="CA199" s="44"/>
      <c r="CB199" s="44"/>
      <c r="CC199" s="44"/>
      <c r="CD199" s="44"/>
      <c r="CE199" s="44"/>
      <c r="CF199" s="44"/>
      <c r="CG199" s="44"/>
      <c r="CH199" s="44"/>
      <c r="CI199" s="44">
        <v>0.63900000000000001</v>
      </c>
      <c r="CJ199" s="44">
        <v>9.0359999999999996</v>
      </c>
      <c r="CK199" s="44" t="s">
        <v>1192</v>
      </c>
      <c r="CL199" s="44">
        <v>2.8000000000000001E-2</v>
      </c>
      <c r="CM199" s="44"/>
      <c r="CN199" s="44">
        <v>0.153</v>
      </c>
      <c r="CO199" s="44"/>
      <c r="CP199" s="44"/>
      <c r="CQ199" s="44"/>
      <c r="CR199" s="44"/>
      <c r="CS199" s="44"/>
      <c r="CT199" s="44">
        <v>181.3</v>
      </c>
      <c r="CU199" s="44"/>
      <c r="CV199" s="44">
        <v>1.6930000000000001</v>
      </c>
      <c r="CW199" s="44">
        <v>1.4470000000000001</v>
      </c>
      <c r="CX199" s="44" t="s">
        <v>1192</v>
      </c>
      <c r="CY199" s="44">
        <v>0.158</v>
      </c>
      <c r="CZ199" s="44" t="s">
        <v>1191</v>
      </c>
      <c r="DA199" s="44">
        <v>4.0000000000000001E-3</v>
      </c>
      <c r="DB199" s="44" t="s">
        <v>1192</v>
      </c>
      <c r="DC199" s="44" t="s">
        <v>1192</v>
      </c>
      <c r="DD199" s="44"/>
      <c r="DE199" s="44" t="s">
        <v>1192</v>
      </c>
      <c r="DF199" s="44"/>
      <c r="DG199" s="44" t="s">
        <v>1192</v>
      </c>
      <c r="DH199" s="44" t="s">
        <v>1192</v>
      </c>
      <c r="DI199" s="44"/>
      <c r="DJ199" s="44"/>
      <c r="DK199" s="44"/>
      <c r="DL199" s="44">
        <v>1.39</v>
      </c>
      <c r="DM199" s="44">
        <v>1.0900000000000001</v>
      </c>
      <c r="DN199" s="44">
        <v>6.0999999999999999E-2</v>
      </c>
      <c r="DO199" s="44" t="s">
        <v>1192</v>
      </c>
      <c r="DP199" s="44"/>
      <c r="DQ199" s="44"/>
      <c r="DR199" s="44"/>
      <c r="DS199" s="44"/>
      <c r="DT199" s="44"/>
      <c r="DU199" s="44"/>
      <c r="DV199" s="44"/>
      <c r="DW199" s="51">
        <v>0.70687999999999995</v>
      </c>
      <c r="DX199" s="51">
        <v>6.9999999999999994E-5</v>
      </c>
      <c r="DY199" s="51">
        <v>0.70672000000000001</v>
      </c>
      <c r="DZ199" s="45">
        <v>0</v>
      </c>
      <c r="EA199" s="52">
        <v>32.42</v>
      </c>
      <c r="EB199" s="45">
        <v>0</v>
      </c>
      <c r="EC199" s="45"/>
      <c r="ED199" s="45">
        <v>0</v>
      </c>
      <c r="EE199" s="45">
        <v>0</v>
      </c>
      <c r="EF199" s="45">
        <v>0</v>
      </c>
      <c r="EG199" s="45">
        <v>0</v>
      </c>
      <c r="EH199" s="45">
        <v>0</v>
      </c>
      <c r="EI199" s="45">
        <v>0</v>
      </c>
      <c r="EJ199" s="45">
        <v>0</v>
      </c>
      <c r="EK199" s="44">
        <v>0</v>
      </c>
      <c r="EL199" s="45"/>
      <c r="EM199" s="45"/>
      <c r="EN199" s="45"/>
      <c r="EO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row>
    <row r="200" spans="1:230" s="4" customFormat="1">
      <c r="A200" s="4" t="s">
        <v>1424</v>
      </c>
      <c r="B200" s="4" t="s">
        <v>1468</v>
      </c>
      <c r="C200" s="4" t="s">
        <v>24</v>
      </c>
      <c r="D200" t="str">
        <f t="shared" si="122"/>
        <v>saline</v>
      </c>
      <c r="E200" s="4" t="s">
        <v>1193</v>
      </c>
      <c r="F200" s="4" t="s">
        <v>171</v>
      </c>
      <c r="G200" s="4" t="s">
        <v>45</v>
      </c>
      <c r="H200" s="4" t="s">
        <v>595</v>
      </c>
      <c r="I200" s="4">
        <v>55</v>
      </c>
      <c r="J200" s="4" t="s">
        <v>712</v>
      </c>
      <c r="K200" s="4" t="s">
        <v>1425</v>
      </c>
      <c r="L200" s="4" t="s">
        <v>1276</v>
      </c>
      <c r="N200" s="4" t="s">
        <v>1399</v>
      </c>
      <c r="O200" s="4">
        <v>18</v>
      </c>
      <c r="P200" s="4">
        <v>3.8</v>
      </c>
      <c r="Q200" s="4">
        <v>0.3</v>
      </c>
      <c r="S200" s="4">
        <v>0.9</v>
      </c>
      <c r="T200" s="4">
        <v>7.5</v>
      </c>
      <c r="U200" s="4">
        <v>3.9</v>
      </c>
      <c r="W200" s="4">
        <v>7.5</v>
      </c>
      <c r="X200" s="4">
        <v>8.3000000000000007</v>
      </c>
      <c r="Y200" s="4">
        <v>29.1</v>
      </c>
      <c r="AB200" s="4">
        <v>1.9</v>
      </c>
      <c r="AC200" s="4">
        <v>11.7</v>
      </c>
      <c r="AE200" s="4">
        <v>31.78</v>
      </c>
      <c r="AK200">
        <f t="shared" si="162"/>
        <v>104.78</v>
      </c>
      <c r="AL200" s="26">
        <f t="shared" si="163"/>
        <v>3.8931151886402304</v>
      </c>
      <c r="AM200" s="26">
        <f t="shared" si="164"/>
        <v>0.30735119910317604</v>
      </c>
      <c r="AN200" s="26">
        <f t="shared" si="165"/>
        <v>0.92205359730952818</v>
      </c>
      <c r="AO200" s="26">
        <f t="shared" si="166"/>
        <v>7.6837799775794009</v>
      </c>
      <c r="AP200" s="26">
        <f t="shared" si="167"/>
        <v>3.9955655883412886</v>
      </c>
      <c r="AQ200" s="26">
        <f t="shared" si="168"/>
        <v>7.6837799775794009</v>
      </c>
      <c r="AR200" s="26">
        <f t="shared" si="169"/>
        <v>11.986696765023867</v>
      </c>
      <c r="AS200" s="26">
        <f t="shared" si="170"/>
        <v>8.5033831751878708</v>
      </c>
      <c r="AT200" s="26">
        <f t="shared" si="171"/>
        <v>29.813066313008079</v>
      </c>
      <c r="AU200" s="26">
        <f t="shared" si="172"/>
        <v>0</v>
      </c>
      <c r="AV200" s="26">
        <f t="shared" si="173"/>
        <v>32.558737024996454</v>
      </c>
      <c r="AW200" s="26">
        <f t="shared" si="174"/>
        <v>107.3475288067693</v>
      </c>
      <c r="AX200" s="26"/>
      <c r="AY200" s="26"/>
      <c r="AZ200" s="4">
        <v>14.9</v>
      </c>
      <c r="BA200" s="4">
        <v>55.5</v>
      </c>
      <c r="BB200" s="4">
        <v>0.21</v>
      </c>
      <c r="BD200">
        <f t="shared" si="179"/>
        <v>0.90096172963051624</v>
      </c>
      <c r="BE200">
        <f t="shared" si="180"/>
        <v>9.9038270369483761E-2</v>
      </c>
      <c r="BL200" s="44"/>
      <c r="BM200" s="44"/>
      <c r="BN200" s="44"/>
      <c r="BO200" s="44"/>
      <c r="BP200" s="44"/>
      <c r="BQ200" s="44"/>
      <c r="BR200" s="44"/>
      <c r="BS200" s="44"/>
      <c r="BT200" s="44"/>
      <c r="BU200" s="44" t="s">
        <v>1192</v>
      </c>
      <c r="BV200" s="44"/>
      <c r="BW200" s="44"/>
      <c r="BX200" s="44"/>
      <c r="BY200" s="44"/>
      <c r="BZ200" s="44"/>
      <c r="CA200" s="44"/>
      <c r="CB200" s="44"/>
      <c r="CC200" s="44"/>
      <c r="CD200" s="44"/>
      <c r="CE200" s="44"/>
      <c r="CF200" s="44"/>
      <c r="CG200" s="44"/>
      <c r="CH200" s="44"/>
      <c r="CI200" s="44">
        <v>0.23</v>
      </c>
      <c r="CJ200" s="44">
        <v>4.585</v>
      </c>
      <c r="CK200" s="44">
        <v>5.0000000000000001E-3</v>
      </c>
      <c r="CL200" s="44">
        <v>5.7000000000000002E-2</v>
      </c>
      <c r="CM200" s="44"/>
      <c r="CN200" s="44">
        <v>0.56899999999999995</v>
      </c>
      <c r="CO200" s="44"/>
      <c r="CP200" s="44"/>
      <c r="CQ200" s="44"/>
      <c r="CR200" s="44"/>
      <c r="CS200" s="44"/>
      <c r="CT200" s="44">
        <v>76.209999999999994</v>
      </c>
      <c r="CU200" s="44"/>
      <c r="CV200" s="44">
        <v>1.1950000000000001</v>
      </c>
      <c r="CW200" s="44">
        <v>1.08</v>
      </c>
      <c r="CX200" s="44">
        <v>7.1999999999999995E-2</v>
      </c>
      <c r="CY200" s="44">
        <v>0.14399999999999999</v>
      </c>
      <c r="CZ200" s="44" t="s">
        <v>1191</v>
      </c>
      <c r="DA200" s="44" t="s">
        <v>1192</v>
      </c>
      <c r="DB200" s="44">
        <v>2E-3</v>
      </c>
      <c r="DC200" s="44" t="s">
        <v>1192</v>
      </c>
      <c r="DD200" s="44"/>
      <c r="DE200" s="44" t="s">
        <v>1192</v>
      </c>
      <c r="DF200" s="44"/>
      <c r="DG200" s="44" t="s">
        <v>1192</v>
      </c>
      <c r="DH200" s="44" t="s">
        <v>1192</v>
      </c>
      <c r="DI200" s="44"/>
      <c r="DJ200" s="44"/>
      <c r="DK200" s="44"/>
      <c r="DL200" s="44">
        <v>0.52400000000000002</v>
      </c>
      <c r="DM200" s="44">
        <v>0.26500000000000001</v>
      </c>
      <c r="DN200" s="44">
        <v>3.7999999999999999E-2</v>
      </c>
      <c r="DO200" s="44">
        <v>1E-3</v>
      </c>
      <c r="DP200" s="44"/>
      <c r="DQ200" s="44"/>
      <c r="DR200" s="44"/>
      <c r="DS200" s="44"/>
      <c r="DT200" s="44"/>
      <c r="DU200" s="44"/>
      <c r="DV200" s="44"/>
      <c r="DW200" s="51"/>
      <c r="DX200" s="51"/>
      <c r="DY200" s="51"/>
      <c r="DZ200" s="45"/>
      <c r="EA200" s="52"/>
      <c r="EB200" s="45"/>
      <c r="EC200" s="45"/>
      <c r="ED200" s="45"/>
      <c r="EE200" s="45">
        <v>0</v>
      </c>
      <c r="EF200" s="45">
        <v>0</v>
      </c>
      <c r="EG200" s="45">
        <v>0</v>
      </c>
      <c r="EH200" s="45">
        <v>0</v>
      </c>
      <c r="EI200" s="45">
        <v>0</v>
      </c>
      <c r="EJ200" s="45">
        <v>0</v>
      </c>
      <c r="EK200" s="44">
        <v>0</v>
      </c>
      <c r="EL200" s="45"/>
      <c r="EM200" s="45"/>
      <c r="EN200" s="45"/>
      <c r="EO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row>
    <row r="201" spans="1:230" s="4" customFormat="1">
      <c r="A201" s="4" t="s">
        <v>1424</v>
      </c>
      <c r="B201" s="4" t="s">
        <v>1468</v>
      </c>
      <c r="C201" s="4" t="s">
        <v>24</v>
      </c>
      <c r="D201" t="str">
        <f t="shared" si="122"/>
        <v>saline</v>
      </c>
      <c r="E201" s="4" t="s">
        <v>1193</v>
      </c>
      <c r="F201" s="4" t="s">
        <v>171</v>
      </c>
      <c r="G201" s="4" t="s">
        <v>45</v>
      </c>
      <c r="H201" s="4" t="s">
        <v>595</v>
      </c>
      <c r="I201" s="4">
        <v>55</v>
      </c>
      <c r="J201" s="4" t="s">
        <v>712</v>
      </c>
      <c r="K201" s="4" t="s">
        <v>1311</v>
      </c>
      <c r="L201" s="4" t="s">
        <v>1276</v>
      </c>
      <c r="N201" s="4" t="s">
        <v>1400</v>
      </c>
      <c r="O201" s="4">
        <v>19</v>
      </c>
      <c r="P201" s="4">
        <v>5.2</v>
      </c>
      <c r="Q201" s="4">
        <v>0.6</v>
      </c>
      <c r="S201" s="4">
        <v>0.7</v>
      </c>
      <c r="T201" s="4">
        <v>5.9</v>
      </c>
      <c r="U201" s="4">
        <v>4.5</v>
      </c>
      <c r="W201" s="4">
        <v>6.4</v>
      </c>
      <c r="X201" s="4">
        <v>11.8</v>
      </c>
      <c r="Y201" s="4">
        <v>24.7</v>
      </c>
      <c r="AA201" s="4">
        <v>1</v>
      </c>
      <c r="AB201" s="4">
        <v>1.7</v>
      </c>
      <c r="AC201" s="4">
        <v>13.4</v>
      </c>
      <c r="AE201" s="4">
        <v>30.7</v>
      </c>
      <c r="AK201">
        <f t="shared" si="162"/>
        <v>104.9</v>
      </c>
      <c r="AL201" s="26">
        <f t="shared" si="163"/>
        <v>5.3076425849492024</v>
      </c>
      <c r="AM201" s="26">
        <f t="shared" si="164"/>
        <v>0.61242029826336941</v>
      </c>
      <c r="AN201" s="26">
        <f t="shared" si="165"/>
        <v>0.71449034797393096</v>
      </c>
      <c r="AO201" s="26">
        <f t="shared" si="166"/>
        <v>6.0221329329231335</v>
      </c>
      <c r="AP201" s="26">
        <f t="shared" si="167"/>
        <v>4.5931522369752713</v>
      </c>
      <c r="AQ201" s="26">
        <f t="shared" si="168"/>
        <v>6.532483181475941</v>
      </c>
      <c r="AR201" s="26">
        <f t="shared" si="169"/>
        <v>13.677386661215252</v>
      </c>
      <c r="AS201" s="26">
        <f t="shared" si="170"/>
        <v>12.044265865846267</v>
      </c>
      <c r="AT201" s="26">
        <f t="shared" si="171"/>
        <v>25.211302278508708</v>
      </c>
      <c r="AU201" s="26">
        <f t="shared" si="172"/>
        <v>1.0207004971056157</v>
      </c>
      <c r="AV201" s="26">
        <f t="shared" si="173"/>
        <v>31.335505261142405</v>
      </c>
      <c r="AW201" s="26">
        <f t="shared" si="174"/>
        <v>107.0714821463791</v>
      </c>
      <c r="AX201" s="26"/>
      <c r="AY201" s="26"/>
      <c r="AZ201" s="4">
        <v>13.9</v>
      </c>
      <c r="BA201" s="4">
        <v>92.3</v>
      </c>
      <c r="BB201" s="4">
        <v>0.13</v>
      </c>
      <c r="BD201">
        <f t="shared" si="179"/>
        <v>0.94191950518955958</v>
      </c>
      <c r="BE201">
        <f t="shared" si="180"/>
        <v>5.8080494810440392E-2</v>
      </c>
      <c r="BL201" s="44"/>
      <c r="BM201" s="44"/>
      <c r="BN201" s="44"/>
      <c r="BO201" s="44"/>
      <c r="BP201" s="44"/>
      <c r="BQ201" s="44"/>
      <c r="BR201" s="44"/>
      <c r="BS201" s="44"/>
      <c r="BT201" s="44"/>
      <c r="BU201" s="44" t="s">
        <v>1192</v>
      </c>
      <c r="BV201" s="44"/>
      <c r="BW201" s="44"/>
      <c r="BX201" s="44"/>
      <c r="BY201" s="44"/>
      <c r="BZ201" s="44"/>
      <c r="CA201" s="44"/>
      <c r="CB201" s="44"/>
      <c r="CC201" s="44"/>
      <c r="CD201" s="44"/>
      <c r="CE201" s="44"/>
      <c r="CF201" s="44"/>
      <c r="CG201" s="44"/>
      <c r="CH201" s="44"/>
      <c r="CI201" s="44">
        <v>0.25600000000000001</v>
      </c>
      <c r="CJ201" s="44">
        <v>3.4510000000000001</v>
      </c>
      <c r="CK201" s="44" t="s">
        <v>1192</v>
      </c>
      <c r="CL201" s="44">
        <v>2.4E-2</v>
      </c>
      <c r="CM201" s="44"/>
      <c r="CN201" s="44">
        <v>0.14199999999999999</v>
      </c>
      <c r="CO201" s="44"/>
      <c r="CP201" s="44"/>
      <c r="CQ201" s="44"/>
      <c r="CR201" s="44"/>
      <c r="CS201" s="44"/>
      <c r="CT201" s="44">
        <v>100.6</v>
      </c>
      <c r="CU201" s="44"/>
      <c r="CV201" s="44">
        <v>0.63700000000000001</v>
      </c>
      <c r="CW201" s="44">
        <v>0.69499999999999995</v>
      </c>
      <c r="CX201" s="44" t="s">
        <v>1192</v>
      </c>
      <c r="CY201" s="44">
        <v>0.13200000000000001</v>
      </c>
      <c r="CZ201" s="44" t="s">
        <v>1191</v>
      </c>
      <c r="DA201" s="44">
        <v>6.0000000000000001E-3</v>
      </c>
      <c r="DB201" s="44" t="s">
        <v>1192</v>
      </c>
      <c r="DC201" s="44" t="s">
        <v>1192</v>
      </c>
      <c r="DD201" s="44"/>
      <c r="DE201" s="44" t="s">
        <v>1192</v>
      </c>
      <c r="DF201" s="44"/>
      <c r="DG201" s="44" t="s">
        <v>1192</v>
      </c>
      <c r="DH201" s="44" t="s">
        <v>1192</v>
      </c>
      <c r="DI201" s="44"/>
      <c r="DJ201" s="44"/>
      <c r="DK201" s="44"/>
      <c r="DL201" s="44">
        <v>0.995</v>
      </c>
      <c r="DM201" s="44">
        <v>0.433</v>
      </c>
      <c r="DN201" s="44">
        <v>3.9E-2</v>
      </c>
      <c r="DO201" s="44" t="s">
        <v>1192</v>
      </c>
      <c r="DP201" s="44"/>
      <c r="DQ201" s="44"/>
      <c r="DR201" s="44"/>
      <c r="DS201" s="44"/>
      <c r="DT201" s="44"/>
      <c r="DU201" s="44"/>
      <c r="DV201" s="44"/>
      <c r="DW201" s="51"/>
      <c r="DX201" s="51"/>
      <c r="DY201" s="51"/>
      <c r="DZ201" s="45"/>
      <c r="EA201" s="52"/>
      <c r="EB201" s="45"/>
      <c r="EC201" s="45"/>
      <c r="ED201" s="45"/>
      <c r="EE201" s="45">
        <v>0</v>
      </c>
      <c r="EF201" s="45">
        <v>0</v>
      </c>
      <c r="EG201" s="45">
        <v>0</v>
      </c>
      <c r="EH201" s="45">
        <v>0</v>
      </c>
      <c r="EI201" s="45">
        <v>0</v>
      </c>
      <c r="EJ201" s="45">
        <v>0</v>
      </c>
      <c r="EK201" s="44">
        <v>0</v>
      </c>
      <c r="EL201" s="45"/>
      <c r="EM201" s="45"/>
      <c r="EN201" s="45"/>
      <c r="EO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row>
    <row r="202" spans="1:230" s="4" customFormat="1">
      <c r="A202" s="4" t="s">
        <v>1424</v>
      </c>
      <c r="B202" s="4" t="s">
        <v>1468</v>
      </c>
      <c r="C202" s="4" t="s">
        <v>24</v>
      </c>
      <c r="D202" t="str">
        <f t="shared" si="122"/>
        <v>saline</v>
      </c>
      <c r="E202" s="4" t="s">
        <v>1193</v>
      </c>
      <c r="F202" s="4" t="s">
        <v>171</v>
      </c>
      <c r="G202" s="4" t="s">
        <v>45</v>
      </c>
      <c r="H202" s="4" t="s">
        <v>595</v>
      </c>
      <c r="I202" s="4">
        <v>55</v>
      </c>
      <c r="J202" s="4" t="s">
        <v>712</v>
      </c>
      <c r="K202" s="4" t="s">
        <v>1311</v>
      </c>
      <c r="L202" s="4" t="s">
        <v>1276</v>
      </c>
      <c r="N202" s="4" t="s">
        <v>1401</v>
      </c>
      <c r="O202" s="4">
        <v>19</v>
      </c>
      <c r="P202" s="4">
        <v>5.2</v>
      </c>
      <c r="Q202" s="4">
        <v>0.6</v>
      </c>
      <c r="S202" s="4">
        <v>0.7</v>
      </c>
      <c r="T202" s="4">
        <v>5.9</v>
      </c>
      <c r="U202" s="4">
        <v>4.5</v>
      </c>
      <c r="W202" s="4">
        <v>6.4</v>
      </c>
      <c r="X202" s="4">
        <v>11.8</v>
      </c>
      <c r="Y202" s="4">
        <v>24.7</v>
      </c>
      <c r="AA202" s="4">
        <v>1</v>
      </c>
      <c r="AB202" s="4">
        <v>1.7</v>
      </c>
      <c r="AC202" s="4">
        <v>13.4</v>
      </c>
      <c r="AE202" s="4">
        <v>30.7</v>
      </c>
      <c r="AK202">
        <f t="shared" si="162"/>
        <v>104.9</v>
      </c>
      <c r="AL202" s="26">
        <f t="shared" si="163"/>
        <v>5.3076425849492024</v>
      </c>
      <c r="AM202" s="26">
        <f t="shared" si="164"/>
        <v>0.61242029826336941</v>
      </c>
      <c r="AN202" s="26">
        <f t="shared" si="165"/>
        <v>0.71449034797393096</v>
      </c>
      <c r="AO202" s="26">
        <f t="shared" si="166"/>
        <v>6.0221329329231335</v>
      </c>
      <c r="AP202" s="26">
        <f t="shared" si="167"/>
        <v>4.5931522369752713</v>
      </c>
      <c r="AQ202" s="26">
        <f t="shared" si="168"/>
        <v>6.532483181475941</v>
      </c>
      <c r="AR202" s="26">
        <f t="shared" si="169"/>
        <v>13.677386661215252</v>
      </c>
      <c r="AS202" s="26">
        <f t="shared" si="170"/>
        <v>12.044265865846267</v>
      </c>
      <c r="AT202" s="26">
        <f t="shared" si="171"/>
        <v>25.211302278508708</v>
      </c>
      <c r="AU202" s="26">
        <f t="shared" si="172"/>
        <v>1.0207004971056157</v>
      </c>
      <c r="AV202" s="26">
        <f t="shared" si="173"/>
        <v>31.335505261142405</v>
      </c>
      <c r="AW202" s="26">
        <f t="shared" si="174"/>
        <v>107.0714821463791</v>
      </c>
      <c r="AX202" s="26"/>
      <c r="AY202" s="26"/>
      <c r="AZ202" s="4">
        <v>13.9</v>
      </c>
      <c r="BA202" s="4">
        <v>92.3</v>
      </c>
      <c r="BB202" s="4">
        <v>0.13</v>
      </c>
      <c r="BD202">
        <f t="shared" si="179"/>
        <v>0.94191950518955958</v>
      </c>
      <c r="BE202">
        <f t="shared" si="180"/>
        <v>5.8080494810440392E-2</v>
      </c>
      <c r="BL202" s="44"/>
      <c r="BM202" s="44"/>
      <c r="BN202" s="44"/>
      <c r="BO202" s="44"/>
      <c r="BP202" s="44"/>
      <c r="BQ202" s="44"/>
      <c r="BR202" s="44"/>
      <c r="BS202" s="44"/>
      <c r="BT202" s="44"/>
      <c r="BU202" s="44" t="s">
        <v>1192</v>
      </c>
      <c r="BV202" s="44"/>
      <c r="BW202" s="44"/>
      <c r="BX202" s="44"/>
      <c r="BY202" s="44"/>
      <c r="BZ202" s="44"/>
      <c r="CA202" s="44"/>
      <c r="CB202" s="44"/>
      <c r="CC202" s="44"/>
      <c r="CD202" s="44"/>
      <c r="CE202" s="44"/>
      <c r="CF202" s="44"/>
      <c r="CG202" s="44"/>
      <c r="CH202" s="44"/>
      <c r="CI202" s="44">
        <v>0.17699999999999999</v>
      </c>
      <c r="CJ202" s="44">
        <v>2.395</v>
      </c>
      <c r="CK202" s="44" t="s">
        <v>1192</v>
      </c>
      <c r="CL202" s="44" t="s">
        <v>1192</v>
      </c>
      <c r="CM202" s="44"/>
      <c r="CN202" s="44">
        <v>0.10199999999999999</v>
      </c>
      <c r="CO202" s="44"/>
      <c r="CP202" s="44"/>
      <c r="CQ202" s="44"/>
      <c r="CR202" s="44"/>
      <c r="CS202" s="44"/>
      <c r="CT202" s="44">
        <v>68.150000000000006</v>
      </c>
      <c r="CU202" s="44"/>
      <c r="CV202" s="44">
        <v>0.65100000000000002</v>
      </c>
      <c r="CW202" s="44">
        <v>0.50700000000000001</v>
      </c>
      <c r="CX202" s="44">
        <v>2.9000000000000001E-2</v>
      </c>
      <c r="CY202" s="44">
        <v>5.8000000000000003E-2</v>
      </c>
      <c r="CZ202" s="44">
        <v>4.0000000000000001E-3</v>
      </c>
      <c r="DA202" s="44">
        <v>3.0000000000000001E-3</v>
      </c>
      <c r="DB202" s="44" t="s">
        <v>1192</v>
      </c>
      <c r="DC202" s="44" t="s">
        <v>1192</v>
      </c>
      <c r="DD202" s="44"/>
      <c r="DE202" s="44" t="s">
        <v>1192</v>
      </c>
      <c r="DF202" s="44"/>
      <c r="DG202" s="44" t="s">
        <v>1192</v>
      </c>
      <c r="DH202" s="44" t="s">
        <v>1192</v>
      </c>
      <c r="DI202" s="44"/>
      <c r="DJ202" s="44"/>
      <c r="DK202" s="44"/>
      <c r="DL202" s="44">
        <v>0.59</v>
      </c>
      <c r="DM202" s="44">
        <v>0.28199999999999997</v>
      </c>
      <c r="DN202" s="44">
        <v>2.4E-2</v>
      </c>
      <c r="DO202" s="44" t="s">
        <v>1192</v>
      </c>
      <c r="DP202" s="44"/>
      <c r="DQ202" s="44"/>
      <c r="DR202" s="44"/>
      <c r="DS202" s="44"/>
      <c r="DT202" s="44"/>
      <c r="DU202" s="44"/>
      <c r="DV202" s="44"/>
      <c r="DW202" s="51"/>
      <c r="DX202" s="51"/>
      <c r="DY202" s="51"/>
      <c r="DZ202" s="45"/>
      <c r="EA202" s="52"/>
      <c r="EB202" s="45"/>
      <c r="EC202" s="45"/>
      <c r="ED202" s="45"/>
      <c r="EE202" s="45">
        <v>0</v>
      </c>
      <c r="EF202" s="45">
        <v>0</v>
      </c>
      <c r="EG202" s="45">
        <v>0</v>
      </c>
      <c r="EH202" s="45">
        <v>0</v>
      </c>
      <c r="EI202" s="45">
        <v>0</v>
      </c>
      <c r="EJ202" s="45">
        <v>0</v>
      </c>
      <c r="EK202" s="44">
        <v>0</v>
      </c>
      <c r="EL202" s="45"/>
      <c r="EM202" s="45"/>
      <c r="EN202" s="45"/>
      <c r="EO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row>
    <row r="203" spans="1:230" s="4" customFormat="1">
      <c r="A203" s="4" t="s">
        <v>1424</v>
      </c>
      <c r="B203" s="4" t="s">
        <v>1468</v>
      </c>
      <c r="C203" s="4" t="s">
        <v>24</v>
      </c>
      <c r="D203" t="str">
        <f t="shared" si="122"/>
        <v>saline</v>
      </c>
      <c r="E203" s="4" t="s">
        <v>1193</v>
      </c>
      <c r="F203" s="4" t="s">
        <v>171</v>
      </c>
      <c r="G203" s="4" t="s">
        <v>45</v>
      </c>
      <c r="H203" s="4" t="s">
        <v>595</v>
      </c>
      <c r="I203" s="4">
        <v>55</v>
      </c>
      <c r="J203" s="4" t="s">
        <v>712</v>
      </c>
      <c r="K203" s="4" t="s">
        <v>1311</v>
      </c>
      <c r="L203" s="4" t="s">
        <v>1276</v>
      </c>
      <c r="N203" s="4" t="s">
        <v>1402</v>
      </c>
      <c r="O203" s="4">
        <v>19</v>
      </c>
      <c r="P203" s="4">
        <v>5.2</v>
      </c>
      <c r="Q203" s="4">
        <v>0.6</v>
      </c>
      <c r="S203" s="4">
        <v>0.7</v>
      </c>
      <c r="T203" s="4">
        <v>5.9</v>
      </c>
      <c r="U203" s="4">
        <v>4.5</v>
      </c>
      <c r="W203" s="4">
        <v>6.4</v>
      </c>
      <c r="X203" s="4">
        <v>11.8</v>
      </c>
      <c r="Y203" s="4">
        <v>24.7</v>
      </c>
      <c r="AA203" s="4">
        <v>1</v>
      </c>
      <c r="AB203" s="4">
        <v>1.7</v>
      </c>
      <c r="AC203" s="4">
        <v>13.4</v>
      </c>
      <c r="AE203" s="4">
        <v>30.7</v>
      </c>
      <c r="AK203">
        <f t="shared" si="162"/>
        <v>104.9</v>
      </c>
      <c r="AL203" s="26">
        <f t="shared" si="163"/>
        <v>5.3076425849492024</v>
      </c>
      <c r="AM203" s="26">
        <f t="shared" si="164"/>
        <v>0.61242029826336941</v>
      </c>
      <c r="AN203" s="26">
        <f t="shared" si="165"/>
        <v>0.71449034797393096</v>
      </c>
      <c r="AO203" s="26">
        <f t="shared" si="166"/>
        <v>6.0221329329231335</v>
      </c>
      <c r="AP203" s="26">
        <f t="shared" si="167"/>
        <v>4.5931522369752713</v>
      </c>
      <c r="AQ203" s="26">
        <f t="shared" si="168"/>
        <v>6.532483181475941</v>
      </c>
      <c r="AR203" s="26">
        <f t="shared" si="169"/>
        <v>13.677386661215252</v>
      </c>
      <c r="AS203" s="26">
        <f t="shared" si="170"/>
        <v>12.044265865846267</v>
      </c>
      <c r="AT203" s="26">
        <f t="shared" si="171"/>
        <v>25.211302278508708</v>
      </c>
      <c r="AU203" s="26">
        <f t="shared" si="172"/>
        <v>1.0207004971056157</v>
      </c>
      <c r="AV203" s="26">
        <f t="shared" si="173"/>
        <v>31.335505261142405</v>
      </c>
      <c r="AW203" s="26">
        <f t="shared" si="174"/>
        <v>107.0714821463791</v>
      </c>
      <c r="AX203" s="26"/>
      <c r="AY203" s="26"/>
      <c r="AZ203" s="4">
        <v>13.9</v>
      </c>
      <c r="BA203" s="4">
        <v>92.3</v>
      </c>
      <c r="BB203" s="4">
        <v>0.13</v>
      </c>
      <c r="BD203">
        <f t="shared" si="179"/>
        <v>0.94191950518955958</v>
      </c>
      <c r="BE203">
        <f t="shared" si="180"/>
        <v>5.8080494810440392E-2</v>
      </c>
      <c r="BL203" s="44"/>
      <c r="BM203" s="44"/>
      <c r="BN203" s="44"/>
      <c r="BO203" s="44"/>
      <c r="BP203" s="44"/>
      <c r="BQ203" s="44"/>
      <c r="BR203" s="44"/>
      <c r="BS203" s="44"/>
      <c r="BT203" s="44"/>
      <c r="BU203" s="44" t="s">
        <v>1192</v>
      </c>
      <c r="BV203" s="44"/>
      <c r="BW203" s="44"/>
      <c r="BX203" s="44"/>
      <c r="BY203" s="44"/>
      <c r="BZ203" s="44"/>
      <c r="CA203" s="44"/>
      <c r="CB203" s="44"/>
      <c r="CC203" s="44"/>
      <c r="CD203" s="44"/>
      <c r="CE203" s="44"/>
      <c r="CF203" s="44"/>
      <c r="CG203" s="44"/>
      <c r="CH203" s="44"/>
      <c r="CI203" s="44">
        <v>0.151</v>
      </c>
      <c r="CJ203" s="44">
        <v>2.6230000000000002</v>
      </c>
      <c r="CK203" s="44" t="s">
        <v>1192</v>
      </c>
      <c r="CL203" s="44">
        <v>6.2E-2</v>
      </c>
      <c r="CM203" s="44"/>
      <c r="CN203" s="44">
        <v>0.10199999999999999</v>
      </c>
      <c r="CO203" s="44"/>
      <c r="CP203" s="44"/>
      <c r="CQ203" s="44"/>
      <c r="CR203" s="44"/>
      <c r="CS203" s="44"/>
      <c r="CT203" s="44">
        <v>58.48</v>
      </c>
      <c r="CU203" s="44"/>
      <c r="CV203" s="44">
        <v>0.55900000000000005</v>
      </c>
      <c r="CW203" s="44">
        <v>0.45500000000000002</v>
      </c>
      <c r="CX203" s="44">
        <v>2.8000000000000001E-2</v>
      </c>
      <c r="CY203" s="44">
        <v>0.05</v>
      </c>
      <c r="CZ203" s="44" t="s">
        <v>1192</v>
      </c>
      <c r="DA203" s="44" t="s">
        <v>1192</v>
      </c>
      <c r="DB203" s="44">
        <v>1E-3</v>
      </c>
      <c r="DC203" s="44" t="s">
        <v>1192</v>
      </c>
      <c r="DD203" s="44"/>
      <c r="DE203" s="44" t="s">
        <v>1192</v>
      </c>
      <c r="DF203" s="44"/>
      <c r="DG203" s="44" t="s">
        <v>1192</v>
      </c>
      <c r="DH203" s="44" t="s">
        <v>1192</v>
      </c>
      <c r="DI203" s="44"/>
      <c r="DJ203" s="44"/>
      <c r="DK203" s="44"/>
      <c r="DL203" s="44">
        <v>0.63500000000000001</v>
      </c>
      <c r="DM203" s="44">
        <v>0.13300000000000001</v>
      </c>
      <c r="DN203" s="44">
        <v>2.3E-2</v>
      </c>
      <c r="DO203" s="44" t="s">
        <v>1192</v>
      </c>
      <c r="DP203" s="44"/>
      <c r="DQ203" s="44"/>
      <c r="DR203" s="44"/>
      <c r="DS203" s="44"/>
      <c r="DT203" s="44"/>
      <c r="DU203" s="44"/>
      <c r="DV203" s="44"/>
      <c r="DW203" s="51"/>
      <c r="DX203" s="51"/>
      <c r="DY203" s="51"/>
      <c r="DZ203" s="45"/>
      <c r="EA203" s="52"/>
      <c r="EB203" s="45"/>
      <c r="EC203" s="45"/>
      <c r="ED203" s="45"/>
      <c r="EE203" s="45">
        <v>0</v>
      </c>
      <c r="EF203" s="45">
        <v>0</v>
      </c>
      <c r="EG203" s="45">
        <v>0</v>
      </c>
      <c r="EH203" s="45">
        <v>0</v>
      </c>
      <c r="EI203" s="45">
        <v>0</v>
      </c>
      <c r="EJ203" s="45">
        <v>0</v>
      </c>
      <c r="EK203" s="44">
        <v>0</v>
      </c>
      <c r="EL203" s="45"/>
      <c r="EM203" s="45"/>
      <c r="EN203" s="45"/>
      <c r="EO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row>
    <row r="204" spans="1:230" s="4" customFormat="1">
      <c r="A204" s="4" t="s">
        <v>1424</v>
      </c>
      <c r="B204" s="4" t="s">
        <v>1468</v>
      </c>
      <c r="C204" s="4" t="s">
        <v>24</v>
      </c>
      <c r="D204" t="str">
        <f t="shared" si="122"/>
        <v>saline</v>
      </c>
      <c r="E204" s="4" t="s">
        <v>1193</v>
      </c>
      <c r="F204" s="4" t="s">
        <v>171</v>
      </c>
      <c r="G204" s="4" t="s">
        <v>45</v>
      </c>
      <c r="H204" s="4" t="s">
        <v>595</v>
      </c>
      <c r="I204" s="4">
        <v>55</v>
      </c>
      <c r="J204" s="4" t="s">
        <v>712</v>
      </c>
      <c r="K204" s="4" t="s">
        <v>1311</v>
      </c>
      <c r="L204" s="4" t="s">
        <v>1276</v>
      </c>
      <c r="N204" s="4" t="s">
        <v>1403</v>
      </c>
      <c r="O204" s="4">
        <v>11</v>
      </c>
      <c r="P204" s="4">
        <v>2.8</v>
      </c>
      <c r="Q204" s="4">
        <v>0.8</v>
      </c>
      <c r="S204" s="4">
        <v>0.5</v>
      </c>
      <c r="T204" s="4">
        <v>7.1</v>
      </c>
      <c r="U204" s="4">
        <v>3.83</v>
      </c>
      <c r="W204" s="4">
        <v>2.5</v>
      </c>
      <c r="X204" s="4">
        <v>11.1</v>
      </c>
      <c r="Y204" s="4">
        <v>27.1</v>
      </c>
      <c r="AB204" s="4">
        <v>0.2</v>
      </c>
      <c r="AC204" s="4">
        <v>19</v>
      </c>
      <c r="AE204" s="4">
        <v>32.4</v>
      </c>
      <c r="AK204">
        <f t="shared" si="162"/>
        <v>107.13</v>
      </c>
      <c r="AL204" s="26">
        <f t="shared" si="163"/>
        <v>2.8050970472863455</v>
      </c>
      <c r="AM204" s="26">
        <f t="shared" si="164"/>
        <v>0.80145629922467021</v>
      </c>
      <c r="AN204" s="26">
        <f t="shared" si="165"/>
        <v>0.5009101870154189</v>
      </c>
      <c r="AO204" s="26">
        <f t="shared" si="166"/>
        <v>7.112924655618948</v>
      </c>
      <c r="AP204" s="26">
        <f t="shared" si="167"/>
        <v>3.8369720325381085</v>
      </c>
      <c r="AQ204" s="26">
        <f t="shared" si="168"/>
        <v>2.5045509350770945</v>
      </c>
      <c r="AR204" s="26">
        <f t="shared" si="169"/>
        <v>19.034587106585917</v>
      </c>
      <c r="AS204" s="26">
        <f t="shared" si="170"/>
        <v>11.120206151742298</v>
      </c>
      <c r="AT204" s="26">
        <f t="shared" si="171"/>
        <v>27.149332136235703</v>
      </c>
      <c r="AU204" s="26">
        <f t="shared" si="172"/>
        <v>0</v>
      </c>
      <c r="AV204" s="26">
        <f t="shared" si="173"/>
        <v>32.458980118599143</v>
      </c>
      <c r="AW204" s="26">
        <f t="shared" si="174"/>
        <v>107.32501666992364</v>
      </c>
      <c r="AX204" s="26"/>
      <c r="AY204" s="26"/>
      <c r="AZ204" s="4">
        <v>14.4</v>
      </c>
      <c r="BA204" s="4">
        <v>38</v>
      </c>
      <c r="BB204" s="4">
        <v>0.27</v>
      </c>
      <c r="BD204">
        <f t="shared" si="179"/>
        <v>0.86568026386895991</v>
      </c>
      <c r="BE204">
        <f t="shared" si="180"/>
        <v>0.13431973613104001</v>
      </c>
      <c r="BF204" s="4">
        <v>-5.45</v>
      </c>
      <c r="BG204" s="4">
        <v>-7.5</v>
      </c>
      <c r="BH204" s="4">
        <v>1294.25</v>
      </c>
      <c r="BL204" s="44"/>
      <c r="BM204" s="44"/>
      <c r="BN204" s="44"/>
      <c r="BO204" s="44"/>
      <c r="BP204" s="44"/>
      <c r="BQ204" s="44"/>
      <c r="BR204" s="44"/>
      <c r="BS204" s="44"/>
      <c r="BT204" s="44"/>
      <c r="BU204" s="44" t="s">
        <v>1192</v>
      </c>
      <c r="BV204" s="44"/>
      <c r="BW204" s="44"/>
      <c r="BX204" s="44"/>
      <c r="BY204" s="44"/>
      <c r="BZ204" s="44"/>
      <c r="CA204" s="44"/>
      <c r="CB204" s="44"/>
      <c r="CC204" s="44"/>
      <c r="CD204" s="44"/>
      <c r="CE204" s="44"/>
      <c r="CF204" s="44"/>
      <c r="CG204" s="44"/>
      <c r="CH204" s="44"/>
      <c r="CI204" s="44">
        <v>0.41399999999999998</v>
      </c>
      <c r="CJ204" s="44">
        <v>4.1669999999999998</v>
      </c>
      <c r="CK204" s="44">
        <v>1.0999999999999999E-2</v>
      </c>
      <c r="CL204" s="44" t="s">
        <v>1192</v>
      </c>
      <c r="CM204" s="44"/>
      <c r="CN204" s="44">
        <v>0.72399999999999998</v>
      </c>
      <c r="CO204" s="44"/>
      <c r="CP204" s="44"/>
      <c r="CQ204" s="44"/>
      <c r="CR204" s="44"/>
      <c r="CS204" s="44"/>
      <c r="CT204" s="44">
        <v>25.37</v>
      </c>
      <c r="CU204" s="44"/>
      <c r="CV204" s="44">
        <v>0.75</v>
      </c>
      <c r="CW204" s="44">
        <v>1.3480000000000001</v>
      </c>
      <c r="CX204" s="44">
        <v>8.4000000000000005E-2</v>
      </c>
      <c r="CY204" s="44">
        <v>0.25700000000000001</v>
      </c>
      <c r="CZ204" s="44">
        <v>2.5999999999999999E-2</v>
      </c>
      <c r="DA204" s="44">
        <v>5.0000000000000001E-3</v>
      </c>
      <c r="DB204" s="44" t="s">
        <v>1192</v>
      </c>
      <c r="DC204" s="44" t="s">
        <v>1192</v>
      </c>
      <c r="DD204" s="44"/>
      <c r="DE204" s="44" t="s">
        <v>1192</v>
      </c>
      <c r="DF204" s="44"/>
      <c r="DG204" s="44" t="s">
        <v>1192</v>
      </c>
      <c r="DH204" s="44" t="s">
        <v>1192</v>
      </c>
      <c r="DI204" s="44"/>
      <c r="DJ204" s="44"/>
      <c r="DK204" s="44"/>
      <c r="DL204" s="44">
        <v>1.1180000000000001</v>
      </c>
      <c r="DM204" s="44">
        <v>0.315</v>
      </c>
      <c r="DN204" s="44">
        <v>2.8000000000000001E-2</v>
      </c>
      <c r="DO204" s="44" t="s">
        <v>1192</v>
      </c>
      <c r="DP204" s="44"/>
      <c r="DQ204" s="44"/>
      <c r="DR204" s="44"/>
      <c r="DS204" s="44"/>
      <c r="DT204" s="44"/>
      <c r="DU204" s="44"/>
      <c r="DV204" s="44"/>
      <c r="DW204" s="51">
        <v>0.70809</v>
      </c>
      <c r="DX204" s="51">
        <v>1.3999999999999999E-4</v>
      </c>
      <c r="DY204" s="51">
        <v>0.70786000000000004</v>
      </c>
      <c r="DZ204" s="45">
        <v>0</v>
      </c>
      <c r="EA204" s="52">
        <v>48.63</v>
      </c>
      <c r="EB204" s="45">
        <v>0</v>
      </c>
      <c r="EC204" s="45"/>
      <c r="ED204" s="45">
        <v>0</v>
      </c>
      <c r="EE204" s="45">
        <v>0</v>
      </c>
      <c r="EF204" s="45">
        <v>0</v>
      </c>
      <c r="EG204" s="45">
        <v>0</v>
      </c>
      <c r="EH204" s="45">
        <v>0</v>
      </c>
      <c r="EI204" s="45">
        <v>0</v>
      </c>
      <c r="EJ204" s="45">
        <v>0</v>
      </c>
      <c r="EK204" s="44">
        <v>0</v>
      </c>
      <c r="EL204" s="45"/>
      <c r="EM204" s="45"/>
      <c r="EN204" s="45"/>
      <c r="EO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row>
    <row r="205" spans="1:230" s="4" customFormat="1">
      <c r="A205" s="4" t="s">
        <v>1424</v>
      </c>
      <c r="B205" s="4" t="s">
        <v>1468</v>
      </c>
      <c r="C205" s="4" t="s">
        <v>24</v>
      </c>
      <c r="D205" t="str">
        <f t="shared" si="122"/>
        <v>saline</v>
      </c>
      <c r="E205" s="4" t="s">
        <v>1193</v>
      </c>
      <c r="F205" s="4" t="s">
        <v>171</v>
      </c>
      <c r="G205" s="4" t="s">
        <v>45</v>
      </c>
      <c r="H205" s="4" t="s">
        <v>595</v>
      </c>
      <c r="I205" s="4">
        <v>55</v>
      </c>
      <c r="J205" s="4" t="s">
        <v>712</v>
      </c>
      <c r="K205" s="4" t="s">
        <v>1311</v>
      </c>
      <c r="L205" s="4" t="s">
        <v>1276</v>
      </c>
      <c r="N205" s="4" t="s">
        <v>1404</v>
      </c>
      <c r="O205" s="4">
        <v>11</v>
      </c>
      <c r="P205" s="4">
        <v>2.8</v>
      </c>
      <c r="Q205" s="4">
        <v>0.8</v>
      </c>
      <c r="S205" s="4">
        <v>0.5</v>
      </c>
      <c r="T205" s="4">
        <v>7.1</v>
      </c>
      <c r="U205" s="4">
        <v>3.83</v>
      </c>
      <c r="W205" s="4">
        <v>2.5</v>
      </c>
      <c r="X205" s="4">
        <v>11.1</v>
      </c>
      <c r="Y205" s="4">
        <v>27.1</v>
      </c>
      <c r="AB205" s="4">
        <v>0.2</v>
      </c>
      <c r="AC205" s="4">
        <v>19</v>
      </c>
      <c r="AE205" s="4">
        <v>32.4</v>
      </c>
      <c r="AK205">
        <f t="shared" si="162"/>
        <v>107.13</v>
      </c>
      <c r="AL205" s="26">
        <f t="shared" si="163"/>
        <v>2.8050970472863455</v>
      </c>
      <c r="AM205" s="26">
        <f t="shared" si="164"/>
        <v>0.80145629922467021</v>
      </c>
      <c r="AN205" s="26">
        <f t="shared" si="165"/>
        <v>0.5009101870154189</v>
      </c>
      <c r="AO205" s="26">
        <f t="shared" si="166"/>
        <v>7.112924655618948</v>
      </c>
      <c r="AP205" s="26">
        <f t="shared" si="167"/>
        <v>3.8369720325381085</v>
      </c>
      <c r="AQ205" s="26">
        <f t="shared" si="168"/>
        <v>2.5045509350770945</v>
      </c>
      <c r="AR205" s="26">
        <f t="shared" si="169"/>
        <v>19.034587106585917</v>
      </c>
      <c r="AS205" s="26">
        <f t="shared" si="170"/>
        <v>11.120206151742298</v>
      </c>
      <c r="AT205" s="26">
        <f t="shared" si="171"/>
        <v>27.149332136235703</v>
      </c>
      <c r="AU205" s="26">
        <f t="shared" si="172"/>
        <v>0</v>
      </c>
      <c r="AV205" s="26">
        <f t="shared" si="173"/>
        <v>32.458980118599143</v>
      </c>
      <c r="AW205" s="26">
        <f t="shared" si="174"/>
        <v>107.32501666992364</v>
      </c>
      <c r="AX205" s="26"/>
      <c r="AY205" s="26"/>
      <c r="AZ205" s="4">
        <v>14.4</v>
      </c>
      <c r="BA205" s="4">
        <v>38</v>
      </c>
      <c r="BB205" s="4">
        <v>0.27</v>
      </c>
      <c r="BD205">
        <f t="shared" si="179"/>
        <v>0.86568026386895991</v>
      </c>
      <c r="BE205">
        <f t="shared" si="180"/>
        <v>0.13431973613104001</v>
      </c>
      <c r="BF205" s="4">
        <v>-5.45</v>
      </c>
      <c r="BG205" s="4">
        <v>-7.5</v>
      </c>
      <c r="BH205" s="4">
        <v>1294.25</v>
      </c>
      <c r="BL205" s="44"/>
      <c r="BM205" s="44"/>
      <c r="BN205" s="44"/>
      <c r="BO205" s="44"/>
      <c r="BP205" s="44"/>
      <c r="BQ205" s="44"/>
      <c r="BR205" s="44"/>
      <c r="BS205" s="44"/>
      <c r="BT205" s="44"/>
      <c r="BU205" s="44" t="s">
        <v>1192</v>
      </c>
      <c r="BV205" s="44"/>
      <c r="BW205" s="44"/>
      <c r="BX205" s="44"/>
      <c r="BY205" s="44"/>
      <c r="BZ205" s="44"/>
      <c r="CA205" s="44"/>
      <c r="CB205" s="44"/>
      <c r="CC205" s="44"/>
      <c r="CD205" s="44"/>
      <c r="CE205" s="44"/>
      <c r="CF205" s="44"/>
      <c r="CG205" s="44"/>
      <c r="CH205" s="44"/>
      <c r="CI205" s="44">
        <v>0.188</v>
      </c>
      <c r="CJ205" s="44">
        <v>2.8330000000000002</v>
      </c>
      <c r="CK205" s="44" t="s">
        <v>1192</v>
      </c>
      <c r="CL205" s="44">
        <v>6.8000000000000005E-2</v>
      </c>
      <c r="CM205" s="44"/>
      <c r="CN205" s="44">
        <v>6.2E-2</v>
      </c>
      <c r="CO205" s="44"/>
      <c r="CP205" s="44"/>
      <c r="CQ205" s="44"/>
      <c r="CR205" s="44"/>
      <c r="CS205" s="44"/>
      <c r="CT205" s="44">
        <v>93.12</v>
      </c>
      <c r="CU205" s="44"/>
      <c r="CV205" s="44">
        <v>0.68600000000000005</v>
      </c>
      <c r="CW205" s="44">
        <v>0.56799999999999995</v>
      </c>
      <c r="CX205" s="44">
        <v>4.7E-2</v>
      </c>
      <c r="CY205" s="44">
        <v>0.11</v>
      </c>
      <c r="CZ205" s="44" t="s">
        <v>1192</v>
      </c>
      <c r="DA205" s="44" t="s">
        <v>1192</v>
      </c>
      <c r="DB205" s="44"/>
      <c r="DC205" s="44" t="s">
        <v>1192</v>
      </c>
      <c r="DD205" s="44"/>
      <c r="DE205" s="44" t="s">
        <v>1192</v>
      </c>
      <c r="DF205" s="44"/>
      <c r="DG205" s="44" t="s">
        <v>1192</v>
      </c>
      <c r="DH205" s="44" t="s">
        <v>1192</v>
      </c>
      <c r="DI205" s="44"/>
      <c r="DJ205" s="44"/>
      <c r="DK205" s="44"/>
      <c r="DL205" s="44">
        <v>0.69699999999999995</v>
      </c>
      <c r="DM205" s="44">
        <v>0.20899999999999999</v>
      </c>
      <c r="DN205" s="44">
        <v>1.2999999999999999E-2</v>
      </c>
      <c r="DO205" s="44" t="s">
        <v>1192</v>
      </c>
      <c r="DP205" s="44"/>
      <c r="DQ205" s="44"/>
      <c r="DR205" s="44"/>
      <c r="DS205" s="44"/>
      <c r="DT205" s="44"/>
      <c r="DU205" s="44"/>
      <c r="DV205" s="44"/>
      <c r="DW205" s="51"/>
      <c r="DX205" s="51"/>
      <c r="DY205" s="51"/>
      <c r="DZ205" s="45"/>
      <c r="EA205" s="52"/>
      <c r="EB205" s="45"/>
      <c r="EC205" s="45"/>
      <c r="ED205" s="45"/>
      <c r="EE205" s="45"/>
      <c r="EF205" s="45">
        <v>0</v>
      </c>
      <c r="EG205" s="45">
        <v>0</v>
      </c>
      <c r="EH205" s="45">
        <v>0</v>
      </c>
      <c r="EI205" s="45">
        <v>0</v>
      </c>
      <c r="EJ205" s="45">
        <v>0</v>
      </c>
      <c r="EK205" s="44">
        <v>0</v>
      </c>
      <c r="EL205" s="45"/>
      <c r="EM205" s="45"/>
      <c r="EN205" s="45"/>
      <c r="EO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row>
    <row r="206" spans="1:230" s="4" customFormat="1">
      <c r="A206" s="4" t="s">
        <v>1424</v>
      </c>
      <c r="B206" s="4" t="s">
        <v>1468</v>
      </c>
      <c r="C206" s="4" t="s">
        <v>24</v>
      </c>
      <c r="D206" t="str">
        <f t="shared" si="122"/>
        <v>saline</v>
      </c>
      <c r="E206" s="4" t="s">
        <v>1193</v>
      </c>
      <c r="F206" s="4" t="s">
        <v>171</v>
      </c>
      <c r="G206" s="4" t="s">
        <v>45</v>
      </c>
      <c r="H206" s="4" t="s">
        <v>595</v>
      </c>
      <c r="I206" s="4">
        <v>55</v>
      </c>
      <c r="J206" s="4" t="s">
        <v>712</v>
      </c>
      <c r="K206" s="4" t="s">
        <v>1311</v>
      </c>
      <c r="L206" s="4" t="s">
        <v>1276</v>
      </c>
      <c r="N206" s="4" t="s">
        <v>1407</v>
      </c>
      <c r="O206" s="4">
        <v>13</v>
      </c>
      <c r="P206" s="4">
        <v>2.9</v>
      </c>
      <c r="Q206" s="4">
        <v>2</v>
      </c>
      <c r="S206" s="4">
        <v>0.7</v>
      </c>
      <c r="T206" s="4">
        <v>6.6</v>
      </c>
      <c r="U206" s="4">
        <v>3</v>
      </c>
      <c r="W206" s="4">
        <v>4.8</v>
      </c>
      <c r="X206" s="4">
        <v>8.8000000000000007</v>
      </c>
      <c r="Y206" s="4">
        <v>29.9</v>
      </c>
      <c r="AB206" s="4">
        <v>2.2000000000000002</v>
      </c>
      <c r="AC206" s="4">
        <v>12.2</v>
      </c>
      <c r="AE206" s="4">
        <v>32.799999999999997</v>
      </c>
      <c r="AK206">
        <f t="shared" si="162"/>
        <v>103.7</v>
      </c>
      <c r="AL206" s="26">
        <f t="shared" si="163"/>
        <v>3.0114843874724828</v>
      </c>
      <c r="AM206" s="26">
        <f t="shared" si="164"/>
        <v>2.0768857844637814</v>
      </c>
      <c r="AN206" s="26">
        <f t="shared" si="165"/>
        <v>0.72691002456232345</v>
      </c>
      <c r="AO206" s="26">
        <f t="shared" si="166"/>
        <v>6.8537230887304776</v>
      </c>
      <c r="AP206" s="26">
        <f t="shared" si="167"/>
        <v>3.1153286766956718</v>
      </c>
      <c r="AQ206" s="26">
        <f t="shared" si="168"/>
        <v>4.9845258827130747</v>
      </c>
      <c r="AR206" s="26">
        <f t="shared" si="169"/>
        <v>12.669003285229063</v>
      </c>
      <c r="AS206" s="26">
        <f t="shared" si="170"/>
        <v>9.1382974516406374</v>
      </c>
      <c r="AT206" s="26">
        <f t="shared" si="171"/>
        <v>31.049442477733528</v>
      </c>
      <c r="AU206" s="26">
        <f t="shared" si="172"/>
        <v>0</v>
      </c>
      <c r="AV206" s="26">
        <f t="shared" si="173"/>
        <v>34.060926865206007</v>
      </c>
      <c r="AW206" s="26">
        <f t="shared" si="174"/>
        <v>107.68652792444703</v>
      </c>
      <c r="AX206" s="26"/>
      <c r="AY206" s="26"/>
      <c r="AZ206" s="4">
        <v>14.1</v>
      </c>
      <c r="BA206" s="4">
        <v>32.200000000000003</v>
      </c>
      <c r="BB206" s="4">
        <v>0.3</v>
      </c>
      <c r="BD206">
        <f t="shared" si="179"/>
        <v>0.84796470089827458</v>
      </c>
      <c r="BE206">
        <f t="shared" si="180"/>
        <v>0.15203529910172547</v>
      </c>
      <c r="BL206" s="44"/>
      <c r="BM206" s="44"/>
      <c r="BN206" s="44"/>
      <c r="BO206" s="44"/>
      <c r="BP206" s="44"/>
      <c r="BQ206" s="44"/>
      <c r="BR206" s="44"/>
      <c r="BS206" s="44"/>
      <c r="BT206" s="44"/>
      <c r="BU206" s="44" t="s">
        <v>1192</v>
      </c>
      <c r="BV206" s="44"/>
      <c r="BW206" s="44"/>
      <c r="BX206" s="44"/>
      <c r="BY206" s="44"/>
      <c r="BZ206" s="44"/>
      <c r="CA206" s="44"/>
      <c r="CB206" s="44"/>
      <c r="CC206" s="44"/>
      <c r="CD206" s="44"/>
      <c r="CE206" s="44"/>
      <c r="CF206" s="44"/>
      <c r="CG206" s="44"/>
      <c r="CH206" s="44"/>
      <c r="CI206" s="44">
        <v>0.46500000000000002</v>
      </c>
      <c r="CJ206" s="44">
        <v>8.375</v>
      </c>
      <c r="CK206" s="44" t="s">
        <v>1192</v>
      </c>
      <c r="CL206" s="44">
        <v>1.2999999999999999E-2</v>
      </c>
      <c r="CM206" s="44"/>
      <c r="CN206" s="44">
        <v>0.06</v>
      </c>
      <c r="CO206" s="44"/>
      <c r="CP206" s="44"/>
      <c r="CQ206" s="44"/>
      <c r="CR206" s="44"/>
      <c r="CS206" s="44"/>
      <c r="CT206" s="44">
        <v>145.5</v>
      </c>
      <c r="CU206" s="44"/>
      <c r="CV206" s="44">
        <v>1.5840000000000001</v>
      </c>
      <c r="CW206" s="44">
        <v>1.3580000000000001</v>
      </c>
      <c r="CX206" s="44">
        <v>7.6999999999999999E-2</v>
      </c>
      <c r="CY206" s="44">
        <v>0.152</v>
      </c>
      <c r="CZ206" s="44" t="s">
        <v>1192</v>
      </c>
      <c r="DA206" s="44">
        <v>4.0000000000000001E-3</v>
      </c>
      <c r="DB206" s="44" t="s">
        <v>1192</v>
      </c>
      <c r="DC206" s="44" t="s">
        <v>1192</v>
      </c>
      <c r="DD206" s="44"/>
      <c r="DE206" s="44" t="s">
        <v>1192</v>
      </c>
      <c r="DF206" s="44"/>
      <c r="DG206" s="44" t="s">
        <v>1192</v>
      </c>
      <c r="DH206" s="44" t="s">
        <v>1192</v>
      </c>
      <c r="DI206" s="44"/>
      <c r="DJ206" s="44"/>
      <c r="DK206" s="44"/>
      <c r="DL206" s="44">
        <v>1.016</v>
      </c>
      <c r="DM206" s="44">
        <v>0.75</v>
      </c>
      <c r="DN206" s="44">
        <v>4.3999999999999997E-2</v>
      </c>
      <c r="DO206" s="44" t="s">
        <v>1192</v>
      </c>
      <c r="DP206" s="44"/>
      <c r="DQ206" s="44"/>
      <c r="DR206" s="44"/>
      <c r="DS206" s="44"/>
      <c r="DT206" s="44"/>
      <c r="DU206" s="44"/>
      <c r="DV206" s="44"/>
      <c r="DW206" s="51">
        <v>0.70648999999999995</v>
      </c>
      <c r="DX206" s="51">
        <v>9.0000000000000006E-5</v>
      </c>
      <c r="DY206" s="51">
        <v>0.70635999999999999</v>
      </c>
      <c r="DZ206" s="45">
        <v>0</v>
      </c>
      <c r="EA206" s="52">
        <v>27.3</v>
      </c>
      <c r="EB206" s="45">
        <v>0</v>
      </c>
      <c r="EC206" s="45"/>
      <c r="ED206" s="45">
        <v>0</v>
      </c>
      <c r="EE206" s="45">
        <v>0</v>
      </c>
      <c r="EF206" s="45">
        <v>0</v>
      </c>
      <c r="EG206" s="45">
        <v>0</v>
      </c>
      <c r="EH206" s="45">
        <v>0</v>
      </c>
      <c r="EI206" s="45">
        <v>0</v>
      </c>
      <c r="EJ206" s="45">
        <v>0</v>
      </c>
      <c r="EK206" s="44">
        <v>0</v>
      </c>
      <c r="EL206" s="45"/>
      <c r="EM206" s="45"/>
      <c r="EN206" s="45"/>
      <c r="EO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row>
    <row r="207" spans="1:230" s="4" customFormat="1">
      <c r="A207" s="4" t="s">
        <v>1424</v>
      </c>
      <c r="B207" s="4" t="s">
        <v>1468</v>
      </c>
      <c r="C207" s="4" t="s">
        <v>24</v>
      </c>
      <c r="D207" t="str">
        <f t="shared" si="122"/>
        <v>saline</v>
      </c>
      <c r="E207" s="4" t="s">
        <v>1193</v>
      </c>
      <c r="F207" s="4" t="s">
        <v>171</v>
      </c>
      <c r="G207" s="4" t="s">
        <v>45</v>
      </c>
      <c r="H207" s="4" t="s">
        <v>595</v>
      </c>
      <c r="I207" s="4">
        <v>55</v>
      </c>
      <c r="J207" s="4" t="s">
        <v>712</v>
      </c>
      <c r="K207" s="4" t="s">
        <v>1311</v>
      </c>
      <c r="L207" s="4" t="s">
        <v>1276</v>
      </c>
      <c r="N207" s="4" t="s">
        <v>1408</v>
      </c>
      <c r="O207" s="4">
        <v>13</v>
      </c>
      <c r="P207" s="4">
        <v>2.9</v>
      </c>
      <c r="Q207" s="4">
        <v>2</v>
      </c>
      <c r="S207" s="4">
        <v>0.7</v>
      </c>
      <c r="T207" s="4">
        <v>6.6</v>
      </c>
      <c r="U207" s="4">
        <v>3</v>
      </c>
      <c r="W207" s="4">
        <v>4.8</v>
      </c>
      <c r="X207" s="4">
        <v>8.8000000000000007</v>
      </c>
      <c r="Y207" s="4">
        <v>29.9</v>
      </c>
      <c r="AB207" s="4">
        <v>2.2000000000000002</v>
      </c>
      <c r="AC207" s="4">
        <v>12.2</v>
      </c>
      <c r="AE207" s="4">
        <v>32.799999999999997</v>
      </c>
      <c r="AK207">
        <f t="shared" si="162"/>
        <v>103.7</v>
      </c>
      <c r="AL207" s="26">
        <f t="shared" si="163"/>
        <v>3.0114843874724828</v>
      </c>
      <c r="AM207" s="26">
        <f t="shared" si="164"/>
        <v>2.0768857844637814</v>
      </c>
      <c r="AN207" s="26">
        <f t="shared" si="165"/>
        <v>0.72691002456232345</v>
      </c>
      <c r="AO207" s="26">
        <f t="shared" si="166"/>
        <v>6.8537230887304776</v>
      </c>
      <c r="AP207" s="26">
        <f t="shared" si="167"/>
        <v>3.1153286766956718</v>
      </c>
      <c r="AQ207" s="26">
        <f t="shared" si="168"/>
        <v>4.9845258827130747</v>
      </c>
      <c r="AR207" s="26">
        <f t="shared" si="169"/>
        <v>12.669003285229063</v>
      </c>
      <c r="AS207" s="26">
        <f t="shared" si="170"/>
        <v>9.1382974516406374</v>
      </c>
      <c r="AT207" s="26">
        <f t="shared" si="171"/>
        <v>31.049442477733528</v>
      </c>
      <c r="AU207" s="26">
        <f t="shared" si="172"/>
        <v>0</v>
      </c>
      <c r="AV207" s="26">
        <f t="shared" si="173"/>
        <v>34.060926865206007</v>
      </c>
      <c r="AW207" s="26">
        <f t="shared" si="174"/>
        <v>107.68652792444703</v>
      </c>
      <c r="AX207" s="26"/>
      <c r="AY207" s="26"/>
      <c r="AZ207" s="4">
        <v>14.1</v>
      </c>
      <c r="BA207" s="4">
        <v>32.200000000000003</v>
      </c>
      <c r="BB207" s="4">
        <v>0.3</v>
      </c>
      <c r="BD207">
        <f t="shared" si="179"/>
        <v>0.84796470089827458</v>
      </c>
      <c r="BE207">
        <f t="shared" si="180"/>
        <v>0.15203529910172547</v>
      </c>
      <c r="BL207" s="44"/>
      <c r="BM207" s="44"/>
      <c r="BN207" s="44"/>
      <c r="BO207" s="44"/>
      <c r="BP207" s="44"/>
      <c r="BQ207" s="44"/>
      <c r="BR207" s="44"/>
      <c r="BS207" s="44"/>
      <c r="BT207" s="44"/>
      <c r="BU207" s="44" t="s">
        <v>1192</v>
      </c>
      <c r="BV207" s="44"/>
      <c r="BW207" s="44"/>
      <c r="BX207" s="44"/>
      <c r="BY207" s="44"/>
      <c r="BZ207" s="44"/>
      <c r="CA207" s="44"/>
      <c r="CB207" s="44"/>
      <c r="CC207" s="44"/>
      <c r="CD207" s="44"/>
      <c r="CE207" s="44"/>
      <c r="CF207" s="44"/>
      <c r="CG207" s="44"/>
      <c r="CH207" s="44"/>
      <c r="CI207" s="44">
        <v>0.36599999999999999</v>
      </c>
      <c r="CJ207" s="44">
        <v>6.923</v>
      </c>
      <c r="CK207" s="44" t="s">
        <v>1192</v>
      </c>
      <c r="CL207" s="44" t="s">
        <v>1192</v>
      </c>
      <c r="CM207" s="44"/>
      <c r="CN207" s="44">
        <v>9.2999999999999999E-2</v>
      </c>
      <c r="CO207" s="44"/>
      <c r="CP207" s="44"/>
      <c r="CQ207" s="44"/>
      <c r="CR207" s="44"/>
      <c r="CS207" s="44"/>
      <c r="CT207" s="44">
        <v>112.1</v>
      </c>
      <c r="CU207" s="44"/>
      <c r="CV207" s="44">
        <v>1.5549999999999999</v>
      </c>
      <c r="CW207" s="44">
        <v>1.3740000000000001</v>
      </c>
      <c r="CX207" s="44">
        <v>7.8E-2</v>
      </c>
      <c r="CY207" s="44">
        <v>0.126</v>
      </c>
      <c r="CZ207" s="44" t="s">
        <v>1192</v>
      </c>
      <c r="DA207" s="44" t="s">
        <v>1192</v>
      </c>
      <c r="DB207" s="44">
        <v>1E-3</v>
      </c>
      <c r="DC207" s="44" t="s">
        <v>1192</v>
      </c>
      <c r="DD207" s="44"/>
      <c r="DE207" s="44" t="s">
        <v>1192</v>
      </c>
      <c r="DF207" s="44"/>
      <c r="DG207" s="44" t="s">
        <v>1192</v>
      </c>
      <c r="DH207" s="44" t="s">
        <v>1192</v>
      </c>
      <c r="DI207" s="44"/>
      <c r="DJ207" s="44"/>
      <c r="DK207" s="44"/>
      <c r="DL207" s="44">
        <v>0.81499999999999995</v>
      </c>
      <c r="DM207" s="44">
        <v>0.245</v>
      </c>
      <c r="DN207" s="44">
        <v>3.1E-2</v>
      </c>
      <c r="DO207" s="44" t="s">
        <v>1192</v>
      </c>
      <c r="DP207" s="44"/>
      <c r="DQ207" s="44"/>
      <c r="DR207" s="44"/>
      <c r="DS207" s="44"/>
      <c r="DT207" s="44"/>
      <c r="DU207" s="44"/>
      <c r="DV207" s="44"/>
      <c r="DW207" s="51"/>
      <c r="DX207" s="51"/>
      <c r="DY207" s="51"/>
      <c r="DZ207" s="45"/>
      <c r="EA207" s="52"/>
      <c r="EB207" s="45"/>
      <c r="EC207" s="45"/>
      <c r="ED207" s="45"/>
      <c r="EE207" s="45">
        <v>0</v>
      </c>
      <c r="EF207" s="45">
        <v>0</v>
      </c>
      <c r="EG207" s="45">
        <v>0</v>
      </c>
      <c r="EH207" s="45">
        <v>0</v>
      </c>
      <c r="EI207" s="45">
        <v>0</v>
      </c>
      <c r="EJ207" s="45">
        <v>0</v>
      </c>
      <c r="EK207" s="44">
        <v>0</v>
      </c>
      <c r="EL207" s="45"/>
      <c r="EM207" s="45"/>
      <c r="EN207" s="45"/>
      <c r="EO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row>
    <row r="208" spans="1:230" s="4" customFormat="1">
      <c r="A208" s="4" t="s">
        <v>1424</v>
      </c>
      <c r="B208" s="4" t="s">
        <v>1468</v>
      </c>
      <c r="C208" s="4" t="s">
        <v>24</v>
      </c>
      <c r="D208" t="str">
        <f t="shared" si="122"/>
        <v>saline</v>
      </c>
      <c r="E208" s="4" t="s">
        <v>1193</v>
      </c>
      <c r="F208" s="4" t="s">
        <v>171</v>
      </c>
      <c r="G208" s="4" t="s">
        <v>45</v>
      </c>
      <c r="H208" s="4" t="s">
        <v>595</v>
      </c>
      <c r="I208" s="4">
        <v>55</v>
      </c>
      <c r="J208" s="4" t="s">
        <v>712</v>
      </c>
      <c r="K208" s="4" t="s">
        <v>1311</v>
      </c>
      <c r="L208" s="4" t="s">
        <v>1276</v>
      </c>
      <c r="N208" s="4" t="s">
        <v>1409</v>
      </c>
      <c r="O208" s="4">
        <v>13</v>
      </c>
      <c r="P208" s="4">
        <v>2.9</v>
      </c>
      <c r="Q208" s="4">
        <v>2</v>
      </c>
      <c r="S208" s="4">
        <v>0.7</v>
      </c>
      <c r="T208" s="4">
        <v>6.6</v>
      </c>
      <c r="U208" s="4">
        <v>3</v>
      </c>
      <c r="W208" s="4">
        <v>4.8</v>
      </c>
      <c r="X208" s="4">
        <v>8.8000000000000007</v>
      </c>
      <c r="Y208" s="4">
        <v>29.9</v>
      </c>
      <c r="AB208" s="4">
        <v>2.2000000000000002</v>
      </c>
      <c r="AC208" s="4">
        <v>12.2</v>
      </c>
      <c r="AE208" s="4">
        <v>32.799999999999997</v>
      </c>
      <c r="AK208">
        <f t="shared" si="162"/>
        <v>103.7</v>
      </c>
      <c r="AL208" s="26">
        <f t="shared" si="163"/>
        <v>3.0114843874724828</v>
      </c>
      <c r="AM208" s="26">
        <f t="shared" si="164"/>
        <v>2.0768857844637814</v>
      </c>
      <c r="AN208" s="26">
        <f t="shared" si="165"/>
        <v>0.72691002456232345</v>
      </c>
      <c r="AO208" s="26">
        <f t="shared" si="166"/>
        <v>6.8537230887304776</v>
      </c>
      <c r="AP208" s="26">
        <f t="shared" si="167"/>
        <v>3.1153286766956718</v>
      </c>
      <c r="AQ208" s="26">
        <f t="shared" si="168"/>
        <v>4.9845258827130747</v>
      </c>
      <c r="AR208" s="26">
        <f t="shared" si="169"/>
        <v>12.669003285229063</v>
      </c>
      <c r="AS208" s="26">
        <f t="shared" si="170"/>
        <v>9.1382974516406374</v>
      </c>
      <c r="AT208" s="26">
        <f t="shared" si="171"/>
        <v>31.049442477733528</v>
      </c>
      <c r="AU208" s="26">
        <f t="shared" si="172"/>
        <v>0</v>
      </c>
      <c r="AV208" s="26">
        <f t="shared" si="173"/>
        <v>34.060926865206007</v>
      </c>
      <c r="AW208" s="26">
        <f t="shared" si="174"/>
        <v>107.68652792444703</v>
      </c>
      <c r="AX208" s="26"/>
      <c r="AY208" s="26"/>
      <c r="AZ208" s="4">
        <v>14.1</v>
      </c>
      <c r="BA208" s="4">
        <v>32.200000000000003</v>
      </c>
      <c r="BB208" s="4">
        <v>0.3</v>
      </c>
      <c r="BD208">
        <f t="shared" si="179"/>
        <v>0.84796470089827458</v>
      </c>
      <c r="BE208">
        <f t="shared" si="180"/>
        <v>0.15203529910172547</v>
      </c>
      <c r="BL208" s="44"/>
      <c r="BM208" s="44"/>
      <c r="BN208" s="44"/>
      <c r="BO208" s="44"/>
      <c r="BP208" s="44"/>
      <c r="BQ208" s="44"/>
      <c r="BR208" s="44"/>
      <c r="BS208" s="44"/>
      <c r="BT208" s="44"/>
      <c r="BU208" s="44" t="s">
        <v>1192</v>
      </c>
      <c r="BV208" s="44"/>
      <c r="BW208" s="44"/>
      <c r="BX208" s="44"/>
      <c r="BY208" s="44"/>
      <c r="BZ208" s="44"/>
      <c r="CA208" s="44"/>
      <c r="CB208" s="44"/>
      <c r="CC208" s="44"/>
      <c r="CD208" s="44"/>
      <c r="CE208" s="44"/>
      <c r="CF208" s="44"/>
      <c r="CG208" s="44"/>
      <c r="CH208" s="44"/>
      <c r="CI208" s="44">
        <v>0.19600000000000001</v>
      </c>
      <c r="CJ208" s="44">
        <v>5.2389999999999999</v>
      </c>
      <c r="CK208" s="44" t="s">
        <v>1192</v>
      </c>
      <c r="CL208" s="44" t="s">
        <v>1192</v>
      </c>
      <c r="CM208" s="44"/>
      <c r="CN208" s="44">
        <v>6.5000000000000002E-2</v>
      </c>
      <c r="CO208" s="44"/>
      <c r="CP208" s="44"/>
      <c r="CQ208" s="44"/>
      <c r="CR208" s="44"/>
      <c r="CS208" s="44"/>
      <c r="CT208" s="44">
        <v>81.540000000000006</v>
      </c>
      <c r="CU208" s="44"/>
      <c r="CV208" s="44">
        <v>1.375</v>
      </c>
      <c r="CW208" s="44">
        <v>0.91700000000000004</v>
      </c>
      <c r="CX208" s="44"/>
      <c r="CY208" s="44">
        <v>0.13100000000000001</v>
      </c>
      <c r="CZ208" s="44" t="s">
        <v>1191</v>
      </c>
      <c r="DA208" s="44" t="s">
        <v>1192</v>
      </c>
      <c r="DB208" s="44" t="s">
        <v>1192</v>
      </c>
      <c r="DC208" s="44" t="s">
        <v>1192</v>
      </c>
      <c r="DD208" s="44"/>
      <c r="DE208" s="44" t="s">
        <v>1192</v>
      </c>
      <c r="DF208" s="44"/>
      <c r="DG208" s="44" t="s">
        <v>1192</v>
      </c>
      <c r="DH208" s="44" t="s">
        <v>1192</v>
      </c>
      <c r="DI208" s="44"/>
      <c r="DJ208" s="44"/>
      <c r="DK208" s="44"/>
      <c r="DL208" s="44">
        <v>0.45800000000000002</v>
      </c>
      <c r="DM208" s="44">
        <v>0.72</v>
      </c>
      <c r="DN208" s="44"/>
      <c r="DO208" s="44" t="s">
        <v>1192</v>
      </c>
      <c r="DP208" s="44"/>
      <c r="DQ208" s="44"/>
      <c r="DR208" s="44"/>
      <c r="DS208" s="44"/>
      <c r="DT208" s="44"/>
      <c r="DU208" s="44"/>
      <c r="DV208" s="44"/>
      <c r="DW208" s="51"/>
      <c r="DX208" s="51"/>
      <c r="DY208" s="51"/>
      <c r="DZ208" s="45"/>
      <c r="EA208" s="52"/>
      <c r="EB208" s="45"/>
      <c r="EC208" s="45"/>
      <c r="ED208" s="45"/>
      <c r="EE208" s="45">
        <v>0</v>
      </c>
      <c r="EF208" s="45">
        <v>0</v>
      </c>
      <c r="EG208" s="45">
        <v>0</v>
      </c>
      <c r="EH208" s="45">
        <v>0</v>
      </c>
      <c r="EI208" s="45">
        <v>0</v>
      </c>
      <c r="EJ208" s="45">
        <v>0</v>
      </c>
      <c r="EK208" s="44">
        <v>0</v>
      </c>
      <c r="EL208" s="45"/>
      <c r="EM208" s="45"/>
      <c r="EN208" s="45"/>
      <c r="EO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row>
    <row r="209" spans="1:230" s="4" customFormat="1">
      <c r="A209" s="4" t="s">
        <v>1424</v>
      </c>
      <c r="B209" s="4" t="s">
        <v>1468</v>
      </c>
      <c r="C209" s="4" t="s">
        <v>24</v>
      </c>
      <c r="D209" t="str">
        <f t="shared" si="122"/>
        <v>saline</v>
      </c>
      <c r="E209" s="4" t="s">
        <v>1193</v>
      </c>
      <c r="F209" s="4" t="s">
        <v>171</v>
      </c>
      <c r="G209" s="4" t="s">
        <v>45</v>
      </c>
      <c r="H209" s="4" t="s">
        <v>595</v>
      </c>
      <c r="I209" s="4">
        <v>55</v>
      </c>
      <c r="J209" s="4" t="s">
        <v>712</v>
      </c>
      <c r="K209" s="4" t="s">
        <v>1311</v>
      </c>
      <c r="L209" s="4" t="s">
        <v>1276</v>
      </c>
      <c r="N209" s="4" t="s">
        <v>1410</v>
      </c>
      <c r="O209" s="4">
        <v>20</v>
      </c>
      <c r="P209" s="4">
        <v>4.2</v>
      </c>
      <c r="Q209" s="4">
        <v>0.3</v>
      </c>
      <c r="S209" s="4">
        <v>0.5</v>
      </c>
      <c r="T209" s="4">
        <v>5.9</v>
      </c>
      <c r="U209" s="4">
        <v>4</v>
      </c>
      <c r="W209" s="4">
        <v>5.6</v>
      </c>
      <c r="X209" s="4">
        <v>11.5</v>
      </c>
      <c r="Y209" s="4">
        <v>27.5</v>
      </c>
      <c r="AB209" s="4">
        <v>1.4</v>
      </c>
      <c r="AC209" s="4">
        <v>14.6</v>
      </c>
      <c r="AE209" s="4">
        <v>30</v>
      </c>
      <c r="AK209">
        <f t="shared" si="162"/>
        <v>104.1</v>
      </c>
      <c r="AL209" s="26">
        <f t="shared" si="163"/>
        <v>4.3152206518478593</v>
      </c>
      <c r="AM209" s="26">
        <f t="shared" si="164"/>
        <v>0.30823004656056135</v>
      </c>
      <c r="AN209" s="26">
        <f t="shared" si="165"/>
        <v>0.51371674426760228</v>
      </c>
      <c r="AO209" s="26">
        <f t="shared" si="166"/>
        <v>6.0618575823577077</v>
      </c>
      <c r="AP209" s="26">
        <f t="shared" si="167"/>
        <v>4.1097339541408182</v>
      </c>
      <c r="AQ209" s="26">
        <f t="shared" si="168"/>
        <v>5.7536275357971451</v>
      </c>
      <c r="AR209" s="26">
        <f t="shared" si="169"/>
        <v>15.000528932613985</v>
      </c>
      <c r="AS209" s="26">
        <f t="shared" si="170"/>
        <v>11.815485118154852</v>
      </c>
      <c r="AT209" s="26">
        <f t="shared" si="171"/>
        <v>28.254420934718127</v>
      </c>
      <c r="AU209" s="26">
        <f t="shared" si="172"/>
        <v>0</v>
      </c>
      <c r="AV209" s="26">
        <f t="shared" si="173"/>
        <v>30.823004656056135</v>
      </c>
      <c r="AW209" s="26">
        <f t="shared" si="174"/>
        <v>106.9558261565148</v>
      </c>
      <c r="AX209" s="26"/>
      <c r="AY209" s="26"/>
      <c r="AZ209" s="4">
        <v>15.7</v>
      </c>
      <c r="BA209" s="4">
        <v>24.9</v>
      </c>
      <c r="BB209" s="4">
        <v>0.39</v>
      </c>
      <c r="BD209">
        <f t="shared" si="179"/>
        <v>0.79480592386073612</v>
      </c>
      <c r="BE209">
        <f t="shared" si="180"/>
        <v>0.20519407613926399</v>
      </c>
      <c r="BL209" s="44"/>
      <c r="BM209" s="44"/>
      <c r="BN209" s="44"/>
      <c r="BO209" s="44"/>
      <c r="BP209" s="44"/>
      <c r="BQ209" s="44"/>
      <c r="BR209" s="44"/>
      <c r="BS209" s="44"/>
      <c r="BT209" s="44"/>
      <c r="BU209" s="44" t="s">
        <v>1192</v>
      </c>
      <c r="BV209" s="44"/>
      <c r="BW209" s="44"/>
      <c r="BX209" s="44"/>
      <c r="BY209" s="44"/>
      <c r="BZ209" s="44"/>
      <c r="CA209" s="44"/>
      <c r="CB209" s="44"/>
      <c r="CC209" s="44"/>
      <c r="CD209" s="44"/>
      <c r="CE209" s="44"/>
      <c r="CF209" s="44"/>
      <c r="CG209" s="44"/>
      <c r="CH209" s="44"/>
      <c r="CI209" s="44">
        <v>0.32700000000000001</v>
      </c>
      <c r="CJ209" s="44">
        <v>5.6130000000000004</v>
      </c>
      <c r="CK209" s="44" t="s">
        <v>1192</v>
      </c>
      <c r="CL209" s="44" t="s">
        <v>1192</v>
      </c>
      <c r="CM209" s="44"/>
      <c r="CN209" s="44">
        <v>0.152</v>
      </c>
      <c r="CO209" s="44"/>
      <c r="CP209" s="44"/>
      <c r="CQ209" s="44"/>
      <c r="CR209" s="44"/>
      <c r="CS209" s="44"/>
      <c r="CT209" s="44">
        <v>114.6</v>
      </c>
      <c r="CU209" s="44"/>
      <c r="CV209" s="44">
        <v>1.571</v>
      </c>
      <c r="CW209" s="44">
        <v>1.427</v>
      </c>
      <c r="CX209" s="44">
        <v>0.10100000000000001</v>
      </c>
      <c r="CY209" s="44">
        <v>0.22</v>
      </c>
      <c r="CZ209" s="44">
        <v>8.0000000000000002E-3</v>
      </c>
      <c r="DA209" s="44" t="s">
        <v>1192</v>
      </c>
      <c r="DB209" s="44" t="s">
        <v>1192</v>
      </c>
      <c r="DC209" s="44" t="s">
        <v>1192</v>
      </c>
      <c r="DD209" s="44"/>
      <c r="DE209" s="44" t="s">
        <v>1192</v>
      </c>
      <c r="DF209" s="44"/>
      <c r="DG209" s="44" t="s">
        <v>1192</v>
      </c>
      <c r="DH209" s="44" t="s">
        <v>1192</v>
      </c>
      <c r="DI209" s="44"/>
      <c r="DJ209" s="44"/>
      <c r="DK209" s="44"/>
      <c r="DL209" s="44">
        <v>0.92800000000000005</v>
      </c>
      <c r="DM209" s="44">
        <v>0.57499999999999996</v>
      </c>
      <c r="DN209" s="44">
        <v>4.3999999999999997E-2</v>
      </c>
      <c r="DO209" s="44" t="s">
        <v>1192</v>
      </c>
      <c r="DP209" s="44"/>
      <c r="DQ209" s="44"/>
      <c r="DR209" s="44"/>
      <c r="DS209" s="44"/>
      <c r="DT209" s="44"/>
      <c r="DU209" s="44"/>
      <c r="DV209" s="44"/>
      <c r="DW209" s="51">
        <v>0.70660999999999996</v>
      </c>
      <c r="DX209" s="51">
        <v>1.4999999999999999E-4</v>
      </c>
      <c r="DY209" s="51">
        <v>0.70648</v>
      </c>
      <c r="DZ209" s="45">
        <v>0</v>
      </c>
      <c r="EA209" s="52">
        <v>29</v>
      </c>
      <c r="EB209" s="45">
        <v>0</v>
      </c>
      <c r="EC209" s="45"/>
      <c r="ED209" s="45">
        <v>0</v>
      </c>
      <c r="EE209" s="45">
        <v>0</v>
      </c>
      <c r="EF209" s="45">
        <v>0</v>
      </c>
      <c r="EG209" s="45">
        <v>0</v>
      </c>
      <c r="EH209" s="45">
        <v>0</v>
      </c>
      <c r="EI209" s="45">
        <v>0</v>
      </c>
      <c r="EJ209" s="45">
        <v>0</v>
      </c>
      <c r="EK209" s="44">
        <v>0</v>
      </c>
      <c r="EL209" s="45"/>
      <c r="EM209" s="45"/>
      <c r="EN209" s="45"/>
      <c r="EO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row>
    <row r="210" spans="1:230" s="4" customFormat="1">
      <c r="A210" s="4" t="s">
        <v>1424</v>
      </c>
      <c r="B210" s="4" t="s">
        <v>1468</v>
      </c>
      <c r="C210" s="4" t="s">
        <v>24</v>
      </c>
      <c r="D210" t="str">
        <f t="shared" si="122"/>
        <v>saline</v>
      </c>
      <c r="E210" s="4" t="s">
        <v>1193</v>
      </c>
      <c r="F210" s="4" t="s">
        <v>171</v>
      </c>
      <c r="G210" s="4" t="s">
        <v>45</v>
      </c>
      <c r="H210" s="4" t="s">
        <v>595</v>
      </c>
      <c r="I210" s="4">
        <v>55</v>
      </c>
      <c r="J210" s="4" t="s">
        <v>712</v>
      </c>
      <c r="K210" s="4" t="s">
        <v>1311</v>
      </c>
      <c r="L210" s="4" t="s">
        <v>1276</v>
      </c>
      <c r="N210" s="4" t="s">
        <v>1411</v>
      </c>
      <c r="O210" s="4">
        <v>20</v>
      </c>
      <c r="P210" s="4">
        <v>4.2</v>
      </c>
      <c r="Q210" s="4">
        <v>0.3</v>
      </c>
      <c r="S210" s="4">
        <v>0.5</v>
      </c>
      <c r="T210" s="4">
        <v>5.9</v>
      </c>
      <c r="U210" s="4">
        <v>4</v>
      </c>
      <c r="W210" s="4">
        <v>5.6</v>
      </c>
      <c r="X210" s="4">
        <v>11.5</v>
      </c>
      <c r="Y210" s="4">
        <v>27.5</v>
      </c>
      <c r="AB210" s="4">
        <v>1.4</v>
      </c>
      <c r="AC210" s="4">
        <v>14.6</v>
      </c>
      <c r="AE210" s="4">
        <v>30</v>
      </c>
      <c r="AK210">
        <f t="shared" si="162"/>
        <v>104.1</v>
      </c>
      <c r="AL210" s="26">
        <f t="shared" si="163"/>
        <v>4.3152206518478593</v>
      </c>
      <c r="AM210" s="26">
        <f t="shared" si="164"/>
        <v>0.30823004656056135</v>
      </c>
      <c r="AN210" s="26">
        <f t="shared" si="165"/>
        <v>0.51371674426760228</v>
      </c>
      <c r="AO210" s="26">
        <f t="shared" si="166"/>
        <v>6.0618575823577077</v>
      </c>
      <c r="AP210" s="26">
        <f t="shared" si="167"/>
        <v>4.1097339541408182</v>
      </c>
      <c r="AQ210" s="26">
        <f t="shared" si="168"/>
        <v>5.7536275357971451</v>
      </c>
      <c r="AR210" s="26">
        <f t="shared" si="169"/>
        <v>15.000528932613985</v>
      </c>
      <c r="AS210" s="26">
        <f t="shared" si="170"/>
        <v>11.815485118154852</v>
      </c>
      <c r="AT210" s="26">
        <f t="shared" si="171"/>
        <v>28.254420934718127</v>
      </c>
      <c r="AU210" s="26">
        <f t="shared" si="172"/>
        <v>0</v>
      </c>
      <c r="AV210" s="26">
        <f t="shared" si="173"/>
        <v>30.823004656056135</v>
      </c>
      <c r="AW210" s="26">
        <f t="shared" si="174"/>
        <v>106.9558261565148</v>
      </c>
      <c r="AX210" s="26"/>
      <c r="AY210" s="26"/>
      <c r="AZ210" s="4">
        <v>15.7</v>
      </c>
      <c r="BA210" s="4">
        <v>24.9</v>
      </c>
      <c r="BB210" s="4">
        <v>0.39</v>
      </c>
      <c r="BD210">
        <f t="shared" si="179"/>
        <v>0.79480592386073612</v>
      </c>
      <c r="BE210">
        <f t="shared" si="180"/>
        <v>0.20519407613926399</v>
      </c>
      <c r="BL210" s="44"/>
      <c r="BM210" s="44"/>
      <c r="BN210" s="44"/>
      <c r="BO210" s="44"/>
      <c r="BP210" s="44"/>
      <c r="BQ210" s="44"/>
      <c r="BR210" s="44"/>
      <c r="BS210" s="44"/>
      <c r="BT210" s="44"/>
      <c r="BU210" s="44" t="s">
        <v>1192</v>
      </c>
      <c r="BV210" s="44"/>
      <c r="BW210" s="44"/>
      <c r="BX210" s="44"/>
      <c r="BY210" s="44"/>
      <c r="BZ210" s="44"/>
      <c r="CA210" s="44"/>
      <c r="CB210" s="44"/>
      <c r="CC210" s="44"/>
      <c r="CD210" s="44"/>
      <c r="CE210" s="44"/>
      <c r="CF210" s="44"/>
      <c r="CG210" s="44"/>
      <c r="CH210" s="44"/>
      <c r="CI210" s="44">
        <v>0.29299999999999998</v>
      </c>
      <c r="CJ210" s="44">
        <v>6.31</v>
      </c>
      <c r="CK210" s="44" t="s">
        <v>1192</v>
      </c>
      <c r="CL210" s="44" t="s">
        <v>1192</v>
      </c>
      <c r="CM210" s="44"/>
      <c r="CN210" s="44">
        <v>0.13900000000000001</v>
      </c>
      <c r="CO210" s="44"/>
      <c r="CP210" s="44"/>
      <c r="CQ210" s="44"/>
      <c r="CR210" s="44"/>
      <c r="CS210" s="44"/>
      <c r="CT210" s="44">
        <v>93.31</v>
      </c>
      <c r="CU210" s="44"/>
      <c r="CV210" s="44">
        <v>1.619</v>
      </c>
      <c r="CW210" s="44">
        <v>1.7669999999999999</v>
      </c>
      <c r="CX210" s="44">
        <v>0.127</v>
      </c>
      <c r="CY210" s="44">
        <v>0.23400000000000001</v>
      </c>
      <c r="CZ210" s="44" t="s">
        <v>1192</v>
      </c>
      <c r="DA210" s="44" t="s">
        <v>1192</v>
      </c>
      <c r="DB210" s="44" t="s">
        <v>1192</v>
      </c>
      <c r="DC210" s="44" t="s">
        <v>1192</v>
      </c>
      <c r="DD210" s="44"/>
      <c r="DE210" s="44" t="s">
        <v>1192</v>
      </c>
      <c r="DF210" s="44"/>
      <c r="DG210" s="44" t="s">
        <v>1192</v>
      </c>
      <c r="DH210" s="44" t="s">
        <v>1192</v>
      </c>
      <c r="DI210" s="44"/>
      <c r="DJ210" s="44"/>
      <c r="DK210" s="44"/>
      <c r="DL210" s="44">
        <v>0.98399999999999999</v>
      </c>
      <c r="DM210" s="44">
        <v>0.251</v>
      </c>
      <c r="DN210" s="44">
        <v>3.6999999999999998E-2</v>
      </c>
      <c r="DO210" s="44" t="s">
        <v>1192</v>
      </c>
      <c r="DP210" s="44"/>
      <c r="DQ210" s="44"/>
      <c r="DR210" s="44"/>
      <c r="DS210" s="44"/>
      <c r="DT210" s="44"/>
      <c r="DU210" s="44"/>
      <c r="DV210" s="44"/>
      <c r="DW210" s="51"/>
      <c r="DX210" s="51"/>
      <c r="DY210" s="51"/>
      <c r="DZ210" s="45"/>
      <c r="EA210" s="52"/>
      <c r="EB210" s="45"/>
      <c r="EC210" s="45"/>
      <c r="ED210" s="45"/>
      <c r="EE210" s="45">
        <v>0</v>
      </c>
      <c r="EF210" s="45">
        <v>0</v>
      </c>
      <c r="EG210" s="45">
        <v>0</v>
      </c>
      <c r="EH210" s="45">
        <v>0</v>
      </c>
      <c r="EI210" s="45">
        <v>0</v>
      </c>
      <c r="EJ210" s="45">
        <v>0</v>
      </c>
      <c r="EK210" s="44">
        <v>0</v>
      </c>
      <c r="EL210" s="45"/>
      <c r="EM210" s="45"/>
      <c r="EN210" s="45"/>
      <c r="EO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row>
    <row r="211" spans="1:230" s="4" customFormat="1">
      <c r="A211" s="4" t="s">
        <v>1424</v>
      </c>
      <c r="B211" s="4" t="s">
        <v>1468</v>
      </c>
      <c r="C211" s="4" t="s">
        <v>24</v>
      </c>
      <c r="D211" t="str">
        <f t="shared" si="122"/>
        <v>saline</v>
      </c>
      <c r="E211" s="4" t="s">
        <v>1193</v>
      </c>
      <c r="F211" s="4" t="s">
        <v>171</v>
      </c>
      <c r="G211" s="4" t="s">
        <v>45</v>
      </c>
      <c r="H211" s="4" t="s">
        <v>595</v>
      </c>
      <c r="I211" s="4">
        <v>55</v>
      </c>
      <c r="J211" s="4" t="s">
        <v>712</v>
      </c>
      <c r="K211" s="4" t="s">
        <v>1311</v>
      </c>
      <c r="L211" s="4" t="s">
        <v>1276</v>
      </c>
      <c r="N211" s="4" t="s">
        <v>1412</v>
      </c>
      <c r="O211" s="4">
        <v>23</v>
      </c>
      <c r="P211" s="4">
        <v>3.4</v>
      </c>
      <c r="Q211" s="4">
        <v>1.1000000000000001</v>
      </c>
      <c r="S211" s="4">
        <v>0.8</v>
      </c>
      <c r="T211" s="4">
        <v>6.8</v>
      </c>
      <c r="U211" s="4">
        <v>3.8</v>
      </c>
      <c r="W211" s="4">
        <v>5.8</v>
      </c>
      <c r="X211" s="4">
        <v>12.8</v>
      </c>
      <c r="Y211" s="4">
        <v>24.7</v>
      </c>
      <c r="AB211" s="4">
        <v>1.6</v>
      </c>
      <c r="AC211" s="4">
        <v>13.9</v>
      </c>
      <c r="AE211" s="4">
        <v>31.8</v>
      </c>
      <c r="AK211">
        <f t="shared" si="162"/>
        <v>104.9</v>
      </c>
      <c r="AL211" s="26">
        <f t="shared" si="163"/>
        <v>3.4791971261190913</v>
      </c>
      <c r="AM211" s="26">
        <f t="shared" si="164"/>
        <v>1.125622599626765</v>
      </c>
      <c r="AN211" s="26">
        <f t="shared" si="165"/>
        <v>0.81863461791037451</v>
      </c>
      <c r="AO211" s="26">
        <f t="shared" si="166"/>
        <v>6.9583942522381825</v>
      </c>
      <c r="AP211" s="26">
        <f t="shared" si="167"/>
        <v>3.8885144350742786</v>
      </c>
      <c r="AQ211" s="26">
        <f t="shared" si="168"/>
        <v>5.9351009798502146</v>
      </c>
      <c r="AR211" s="26">
        <f t="shared" si="169"/>
        <v>14.223776486192758</v>
      </c>
      <c r="AS211" s="26">
        <f t="shared" si="170"/>
        <v>13.098153886565992</v>
      </c>
      <c r="AT211" s="26">
        <f t="shared" si="171"/>
        <v>25.275343827982809</v>
      </c>
      <c r="AU211" s="26">
        <f t="shared" si="172"/>
        <v>0</v>
      </c>
      <c r="AV211" s="26">
        <f t="shared" si="173"/>
        <v>32.540726061937384</v>
      </c>
      <c r="AW211" s="26">
        <f t="shared" si="174"/>
        <v>107.34346427349786</v>
      </c>
      <c r="AX211" s="26"/>
      <c r="AY211" s="26"/>
      <c r="AZ211" s="4">
        <v>15.7</v>
      </c>
      <c r="BA211" s="4">
        <v>54.3</v>
      </c>
      <c r="BB211" s="4">
        <v>0.22</v>
      </c>
      <c r="BD211">
        <f t="shared" si="179"/>
        <v>0.89414503993591399</v>
      </c>
      <c r="BE211">
        <f t="shared" si="180"/>
        <v>0.10585496006408605</v>
      </c>
      <c r="BL211" s="44"/>
      <c r="BM211" s="44"/>
      <c r="BN211" s="44"/>
      <c r="BO211" s="44"/>
      <c r="BP211" s="44"/>
      <c r="BQ211" s="44"/>
      <c r="BR211" s="44"/>
      <c r="BS211" s="44"/>
      <c r="BT211" s="44"/>
      <c r="BU211" s="44" t="s">
        <v>1192</v>
      </c>
      <c r="BV211" s="44"/>
      <c r="BW211" s="44"/>
      <c r="BX211" s="44"/>
      <c r="BY211" s="44"/>
      <c r="BZ211" s="44"/>
      <c r="CA211" s="44"/>
      <c r="CB211" s="44"/>
      <c r="CC211" s="44"/>
      <c r="CD211" s="44"/>
      <c r="CE211" s="44"/>
      <c r="CF211" s="44"/>
      <c r="CG211" s="44"/>
      <c r="CH211" s="44"/>
      <c r="CI211" s="44">
        <v>0.191</v>
      </c>
      <c r="CJ211" s="44">
        <v>8.0920000000000005</v>
      </c>
      <c r="CK211" s="44">
        <v>8.2000000000000003E-2</v>
      </c>
      <c r="CL211" s="44">
        <v>0.52900000000000003</v>
      </c>
      <c r="CM211" s="44"/>
      <c r="CN211" s="44">
        <v>0.104</v>
      </c>
      <c r="CO211" s="44"/>
      <c r="CP211" s="44"/>
      <c r="CQ211" s="44"/>
      <c r="CR211" s="44"/>
      <c r="CS211" s="44"/>
      <c r="CT211" s="44">
        <v>50.68</v>
      </c>
      <c r="CU211" s="44"/>
      <c r="CV211" s="44">
        <v>0.94099999999999995</v>
      </c>
      <c r="CW211" s="44">
        <v>0.83899999999999997</v>
      </c>
      <c r="CX211" s="44" t="s">
        <v>1192</v>
      </c>
      <c r="CY211" s="44">
        <v>0.20399999999999999</v>
      </c>
      <c r="CZ211" s="44">
        <v>0.04</v>
      </c>
      <c r="DA211" s="44">
        <v>6.0000000000000001E-3</v>
      </c>
      <c r="DB211" s="44" t="s">
        <v>1192</v>
      </c>
      <c r="DC211" s="44">
        <v>1.2999999999999999E-2</v>
      </c>
      <c r="DD211" s="44"/>
      <c r="DE211" s="44" t="s">
        <v>1192</v>
      </c>
      <c r="DF211" s="44"/>
      <c r="DG211" s="44" t="s">
        <v>1192</v>
      </c>
      <c r="DH211" s="44" t="s">
        <v>1192</v>
      </c>
      <c r="DI211" s="44"/>
      <c r="DJ211" s="44"/>
      <c r="DK211" s="44"/>
      <c r="DL211" s="44">
        <v>2.3540000000000001</v>
      </c>
      <c r="DM211" s="44">
        <v>0.55800000000000005</v>
      </c>
      <c r="DN211" s="44">
        <v>0.04</v>
      </c>
      <c r="DO211" s="44" t="s">
        <v>1192</v>
      </c>
      <c r="DP211" s="44"/>
      <c r="DQ211" s="44"/>
      <c r="DR211" s="44"/>
      <c r="DS211" s="44"/>
      <c r="DT211" s="44"/>
      <c r="DU211" s="44"/>
      <c r="DV211" s="44"/>
      <c r="DW211" s="51"/>
      <c r="DX211" s="51"/>
      <c r="DY211" s="51"/>
      <c r="DZ211" s="45"/>
      <c r="EA211" s="52"/>
      <c r="EB211" s="45"/>
      <c r="EC211" s="45"/>
      <c r="ED211" s="45"/>
      <c r="EE211" s="45">
        <v>0</v>
      </c>
      <c r="EF211" s="45">
        <v>0</v>
      </c>
      <c r="EG211" s="45">
        <v>0</v>
      </c>
      <c r="EH211" s="45">
        <v>0</v>
      </c>
      <c r="EI211" s="45">
        <v>0</v>
      </c>
      <c r="EJ211" s="45">
        <v>0</v>
      </c>
      <c r="EK211" s="44">
        <v>0</v>
      </c>
      <c r="EL211" s="45"/>
      <c r="EM211" s="45"/>
      <c r="EN211" s="45"/>
      <c r="EO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row>
    <row r="212" spans="1:230" s="4" customFormat="1">
      <c r="A212" s="4" t="s">
        <v>1424</v>
      </c>
      <c r="B212" s="4" t="s">
        <v>1468</v>
      </c>
      <c r="C212" s="4" t="s">
        <v>24</v>
      </c>
      <c r="D212" t="str">
        <f t="shared" ref="D212:D261" si="181">_xlfn.IFS(AND(AV212&gt;=15),"saline",AND(AL212&gt;=40,AV212&lt;=15),"silicic",AND(AL212&lt;=40,AL212&gt;=20,AP212&lt;=15,AV212&lt;=15),"silicic - low-Mg carbonatitic",AND(AP212&lt;15,AQ212&gt;=15,AL212&lt;=20,AV212&lt;=15),"low-Mg carbonatitic",AND(AP212&gt;=15,AL212&lt;=20),"high-Mg carbonatitic")</f>
        <v>saline</v>
      </c>
      <c r="E212" s="4" t="s">
        <v>1193</v>
      </c>
      <c r="F212" s="4" t="s">
        <v>171</v>
      </c>
      <c r="G212" s="4" t="s">
        <v>45</v>
      </c>
      <c r="H212" s="4" t="s">
        <v>595</v>
      </c>
      <c r="I212" s="4">
        <v>55</v>
      </c>
      <c r="J212" s="4" t="s">
        <v>712</v>
      </c>
      <c r="K212" s="4" t="s">
        <v>1311</v>
      </c>
      <c r="L212" s="4" t="s">
        <v>1276</v>
      </c>
      <c r="N212" s="4" t="s">
        <v>1413</v>
      </c>
      <c r="O212" s="4">
        <v>23</v>
      </c>
      <c r="P212" s="4">
        <v>3.4</v>
      </c>
      <c r="Q212" s="4">
        <v>1.1000000000000001</v>
      </c>
      <c r="S212" s="4">
        <v>0.8</v>
      </c>
      <c r="T212" s="4">
        <v>6.8</v>
      </c>
      <c r="U212" s="4">
        <v>3.8</v>
      </c>
      <c r="W212" s="4">
        <v>5.8</v>
      </c>
      <c r="X212" s="4">
        <v>12.8</v>
      </c>
      <c r="Y212" s="4">
        <v>24.7</v>
      </c>
      <c r="AB212" s="4">
        <v>1.6</v>
      </c>
      <c r="AC212" s="4">
        <v>13.9</v>
      </c>
      <c r="AE212" s="4">
        <v>31.8</v>
      </c>
      <c r="AK212">
        <f t="shared" si="162"/>
        <v>104.9</v>
      </c>
      <c r="AL212" s="26">
        <f t="shared" si="163"/>
        <v>3.4791971261190913</v>
      </c>
      <c r="AM212" s="26">
        <f t="shared" si="164"/>
        <v>1.125622599626765</v>
      </c>
      <c r="AN212" s="26">
        <f t="shared" si="165"/>
        <v>0.81863461791037451</v>
      </c>
      <c r="AO212" s="26">
        <f t="shared" si="166"/>
        <v>6.9583942522381825</v>
      </c>
      <c r="AP212" s="26">
        <f t="shared" si="167"/>
        <v>3.8885144350742786</v>
      </c>
      <c r="AQ212" s="26">
        <f t="shared" si="168"/>
        <v>5.9351009798502146</v>
      </c>
      <c r="AR212" s="26">
        <f t="shared" si="169"/>
        <v>14.223776486192758</v>
      </c>
      <c r="AS212" s="26">
        <f t="shared" si="170"/>
        <v>13.098153886565992</v>
      </c>
      <c r="AT212" s="26">
        <f t="shared" si="171"/>
        <v>25.275343827982809</v>
      </c>
      <c r="AU212" s="26">
        <f t="shared" si="172"/>
        <v>0</v>
      </c>
      <c r="AV212" s="26">
        <f t="shared" si="173"/>
        <v>32.540726061937384</v>
      </c>
      <c r="AW212" s="26">
        <f t="shared" si="174"/>
        <v>107.34346427349786</v>
      </c>
      <c r="AX212" s="26"/>
      <c r="AY212" s="26"/>
      <c r="AZ212" s="4">
        <v>15.7</v>
      </c>
      <c r="BA212" s="4">
        <v>54.3</v>
      </c>
      <c r="BB212" s="4">
        <v>0.22</v>
      </c>
      <c r="BD212">
        <f t="shared" si="179"/>
        <v>0.89414503993591399</v>
      </c>
      <c r="BE212">
        <f t="shared" si="180"/>
        <v>0.10585496006408605</v>
      </c>
      <c r="BL212" s="44"/>
      <c r="BM212" s="44"/>
      <c r="BN212" s="44"/>
      <c r="BO212" s="44"/>
      <c r="BP212" s="44"/>
      <c r="BQ212" s="44"/>
      <c r="BR212" s="44"/>
      <c r="BS212" s="44"/>
      <c r="BT212" s="44"/>
      <c r="BU212" s="44" t="s">
        <v>1192</v>
      </c>
      <c r="BV212" s="44"/>
      <c r="BW212" s="44"/>
      <c r="BX212" s="44"/>
      <c r="BY212" s="44"/>
      <c r="BZ212" s="44"/>
      <c r="CA212" s="44"/>
      <c r="CB212" s="44"/>
      <c r="CC212" s="44"/>
      <c r="CD212" s="44"/>
      <c r="CE212" s="44"/>
      <c r="CF212" s="44"/>
      <c r="CG212" s="44"/>
      <c r="CH212" s="44"/>
      <c r="CI212" s="44">
        <v>0.26</v>
      </c>
      <c r="CJ212" s="44">
        <v>5.3639999999999999</v>
      </c>
      <c r="CK212" s="44" t="s">
        <v>1192</v>
      </c>
      <c r="CL212" s="44">
        <v>1.4999999999999999E-2</v>
      </c>
      <c r="CM212" s="44"/>
      <c r="CN212" s="44">
        <v>9.2999999999999999E-2</v>
      </c>
      <c r="CO212" s="44"/>
      <c r="CP212" s="44"/>
      <c r="CQ212" s="44"/>
      <c r="CR212" s="44"/>
      <c r="CS212" s="44"/>
      <c r="CT212" s="44">
        <v>99.73</v>
      </c>
      <c r="CU212" s="44"/>
      <c r="CV212" s="44">
        <v>1.3089999999999999</v>
      </c>
      <c r="CW212" s="44">
        <v>0.84399999999999997</v>
      </c>
      <c r="CX212" s="44" t="s">
        <v>1192</v>
      </c>
      <c r="CY212" s="44">
        <v>0.13100000000000001</v>
      </c>
      <c r="CZ212" s="44">
        <v>8.9999999999999993E-3</v>
      </c>
      <c r="DA212" s="44">
        <v>5.0000000000000001E-3</v>
      </c>
      <c r="DB212" s="44" t="s">
        <v>1192</v>
      </c>
      <c r="DC212" s="44" t="s">
        <v>1192</v>
      </c>
      <c r="DD212" s="44"/>
      <c r="DE212" s="44" t="s">
        <v>1192</v>
      </c>
      <c r="DF212" s="44"/>
      <c r="DG212" s="44" t="s">
        <v>1192</v>
      </c>
      <c r="DH212" s="44" t="s">
        <v>1192</v>
      </c>
      <c r="DI212" s="44"/>
      <c r="DJ212" s="44"/>
      <c r="DK212" s="44"/>
      <c r="DL212" s="44">
        <v>1.734</v>
      </c>
      <c r="DM212" s="44">
        <v>0.91200000000000003</v>
      </c>
      <c r="DN212" s="44">
        <v>3.2000000000000001E-2</v>
      </c>
      <c r="DO212" s="44" t="s">
        <v>1192</v>
      </c>
      <c r="DP212" s="44"/>
      <c r="DQ212" s="44"/>
      <c r="DR212" s="44"/>
      <c r="DS212" s="44"/>
      <c r="DT212" s="44"/>
      <c r="DU212" s="44"/>
      <c r="DV212" s="44"/>
      <c r="DW212" s="51">
        <v>0.70499000000000001</v>
      </c>
      <c r="DX212" s="51">
        <v>1.7000000000000001E-4</v>
      </c>
      <c r="DY212" s="51">
        <v>0.70487999999999995</v>
      </c>
      <c r="DZ212" s="45">
        <v>0</v>
      </c>
      <c r="EA212" s="52">
        <v>6.3330000000000002</v>
      </c>
      <c r="EB212" s="45">
        <v>0</v>
      </c>
      <c r="EC212" s="45"/>
      <c r="ED212" s="45">
        <v>0</v>
      </c>
      <c r="EE212" s="45">
        <v>0</v>
      </c>
      <c r="EF212" s="45">
        <v>0</v>
      </c>
      <c r="EG212" s="45">
        <v>0</v>
      </c>
      <c r="EH212" s="45">
        <v>0</v>
      </c>
      <c r="EI212" s="45">
        <v>0</v>
      </c>
      <c r="EJ212" s="45">
        <v>0</v>
      </c>
      <c r="EK212" s="44">
        <v>0</v>
      </c>
      <c r="EL212" s="45"/>
      <c r="EM212" s="45"/>
      <c r="EN212" s="45"/>
      <c r="EO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row>
    <row r="213" spans="1:230" s="4" customFormat="1">
      <c r="A213" s="4" t="s">
        <v>1424</v>
      </c>
      <c r="B213" s="4" t="s">
        <v>1468</v>
      </c>
      <c r="C213" s="4" t="s">
        <v>24</v>
      </c>
      <c r="D213" t="str">
        <f t="shared" si="181"/>
        <v>saline</v>
      </c>
      <c r="E213" s="4" t="s">
        <v>1193</v>
      </c>
      <c r="F213" s="4" t="s">
        <v>171</v>
      </c>
      <c r="G213" s="4" t="s">
        <v>45</v>
      </c>
      <c r="H213" s="4" t="s">
        <v>595</v>
      </c>
      <c r="I213" s="4">
        <v>55</v>
      </c>
      <c r="J213" s="4" t="s">
        <v>712</v>
      </c>
      <c r="K213" s="4" t="s">
        <v>1311</v>
      </c>
      <c r="L213" s="4" t="s">
        <v>1276</v>
      </c>
      <c r="N213" s="4" t="s">
        <v>1414</v>
      </c>
      <c r="O213" s="4">
        <v>23</v>
      </c>
      <c r="P213" s="4">
        <v>3.4</v>
      </c>
      <c r="Q213" s="4">
        <v>1.1000000000000001</v>
      </c>
      <c r="S213" s="4">
        <v>0.8</v>
      </c>
      <c r="T213" s="4">
        <v>6.8</v>
      </c>
      <c r="U213" s="4">
        <v>3.8</v>
      </c>
      <c r="W213" s="4">
        <v>5.8</v>
      </c>
      <c r="X213" s="4">
        <v>12.8</v>
      </c>
      <c r="Y213" s="4">
        <v>24.7</v>
      </c>
      <c r="AB213" s="4">
        <v>1.6</v>
      </c>
      <c r="AC213" s="4">
        <v>13.9</v>
      </c>
      <c r="AE213" s="4">
        <v>31.8</v>
      </c>
      <c r="AK213">
        <f t="shared" si="162"/>
        <v>104.9</v>
      </c>
      <c r="AL213" s="26">
        <f t="shared" si="163"/>
        <v>3.4791971261190913</v>
      </c>
      <c r="AM213" s="26">
        <f t="shared" si="164"/>
        <v>1.125622599626765</v>
      </c>
      <c r="AN213" s="26">
        <f t="shared" si="165"/>
        <v>0.81863461791037451</v>
      </c>
      <c r="AO213" s="26">
        <f t="shared" si="166"/>
        <v>6.9583942522381825</v>
      </c>
      <c r="AP213" s="26">
        <f t="shared" si="167"/>
        <v>3.8885144350742786</v>
      </c>
      <c r="AQ213" s="26">
        <f t="shared" si="168"/>
        <v>5.9351009798502146</v>
      </c>
      <c r="AR213" s="26">
        <f t="shared" si="169"/>
        <v>14.223776486192758</v>
      </c>
      <c r="AS213" s="26">
        <f t="shared" si="170"/>
        <v>13.098153886565992</v>
      </c>
      <c r="AT213" s="26">
        <f t="shared" si="171"/>
        <v>25.275343827982809</v>
      </c>
      <c r="AU213" s="26">
        <f t="shared" si="172"/>
        <v>0</v>
      </c>
      <c r="AV213" s="26">
        <f t="shared" si="173"/>
        <v>32.540726061937384</v>
      </c>
      <c r="AW213" s="26">
        <f t="shared" si="174"/>
        <v>107.34346427349786</v>
      </c>
      <c r="AX213" s="26"/>
      <c r="AY213" s="26"/>
      <c r="AZ213" s="4">
        <v>15.7</v>
      </c>
      <c r="BA213" s="4">
        <v>54.3</v>
      </c>
      <c r="BB213" s="4">
        <v>0.22</v>
      </c>
      <c r="BD213">
        <f t="shared" si="179"/>
        <v>0.89414503993591399</v>
      </c>
      <c r="BE213">
        <f t="shared" si="180"/>
        <v>0.10585496006408605</v>
      </c>
      <c r="BL213" s="44"/>
      <c r="BM213" s="44"/>
      <c r="BN213" s="44"/>
      <c r="BO213" s="44"/>
      <c r="BP213" s="44"/>
      <c r="BQ213" s="44"/>
      <c r="BR213" s="44"/>
      <c r="BS213" s="44"/>
      <c r="BT213" s="44"/>
      <c r="BU213" s="44" t="s">
        <v>1192</v>
      </c>
      <c r="BV213" s="44"/>
      <c r="BW213" s="44"/>
      <c r="BX213" s="44"/>
      <c r="BY213" s="44"/>
      <c r="BZ213" s="44"/>
      <c r="CA213" s="44"/>
      <c r="CB213" s="44"/>
      <c r="CC213" s="44"/>
      <c r="CD213" s="44"/>
      <c r="CE213" s="44"/>
      <c r="CF213" s="44"/>
      <c r="CG213" s="44"/>
      <c r="CH213" s="44"/>
      <c r="CI213" s="44">
        <v>0.17299999999999999</v>
      </c>
      <c r="CJ213" s="44">
        <v>5.6379999999999999</v>
      </c>
      <c r="CK213" s="44">
        <v>1.2999999999999999E-2</v>
      </c>
      <c r="CL213" s="44" t="s">
        <v>1192</v>
      </c>
      <c r="CM213" s="44"/>
      <c r="CN213" s="44">
        <v>2.964</v>
      </c>
      <c r="CO213" s="44"/>
      <c r="CP213" s="44"/>
      <c r="CQ213" s="44"/>
      <c r="CR213" s="44"/>
      <c r="CS213" s="44"/>
      <c r="CT213" s="44">
        <v>96.19</v>
      </c>
      <c r="CU213" s="44"/>
      <c r="CV213" s="44">
        <v>1.9339999999999999</v>
      </c>
      <c r="CW213" s="44">
        <v>1.8140000000000001</v>
      </c>
      <c r="CX213" s="44">
        <v>0.158</v>
      </c>
      <c r="CY213" s="44">
        <v>0.40699999999999997</v>
      </c>
      <c r="CZ213" s="44">
        <v>3.7999999999999999E-2</v>
      </c>
      <c r="DA213" s="44" t="s">
        <v>1192</v>
      </c>
      <c r="DB213" s="44">
        <v>8.0000000000000002E-3</v>
      </c>
      <c r="DC213" s="44" t="s">
        <v>1192</v>
      </c>
      <c r="DD213" s="44"/>
      <c r="DE213" s="44" t="s">
        <v>1192</v>
      </c>
      <c r="DF213" s="44"/>
      <c r="DG213" s="44" t="s">
        <v>1192</v>
      </c>
      <c r="DH213" s="44" t="s">
        <v>1192</v>
      </c>
      <c r="DI213" s="44"/>
      <c r="DJ213" s="44"/>
      <c r="DK213" s="44"/>
      <c r="DL213" s="44">
        <v>1.8129999999999999</v>
      </c>
      <c r="DM213" s="44">
        <v>0.51800000000000002</v>
      </c>
      <c r="DN213" s="44">
        <v>3.1E-2</v>
      </c>
      <c r="DO213" s="44" t="s">
        <v>1192</v>
      </c>
      <c r="DP213" s="44"/>
      <c r="DQ213" s="44"/>
      <c r="DR213" s="44"/>
      <c r="DS213" s="44"/>
      <c r="DT213" s="44"/>
      <c r="DU213" s="44"/>
      <c r="DV213" s="44"/>
      <c r="DW213" s="51"/>
      <c r="DX213" s="51"/>
      <c r="DY213" s="51"/>
      <c r="DZ213" s="45"/>
      <c r="EA213" s="52"/>
      <c r="EB213" s="45"/>
      <c r="EC213" s="45"/>
      <c r="ED213" s="45"/>
      <c r="EE213" s="45"/>
      <c r="EF213" s="45"/>
      <c r="EG213" s="45">
        <v>0</v>
      </c>
      <c r="EH213" s="45">
        <v>0</v>
      </c>
      <c r="EI213" s="45">
        <v>0</v>
      </c>
      <c r="EJ213" s="45">
        <v>0</v>
      </c>
      <c r="EK213" s="44">
        <v>0</v>
      </c>
      <c r="EL213" s="45"/>
      <c r="EM213" s="45"/>
      <c r="EN213" s="45"/>
      <c r="EO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row>
    <row r="214" spans="1:230" s="4" customFormat="1">
      <c r="A214" s="4" t="s">
        <v>1424</v>
      </c>
      <c r="B214" s="4" t="s">
        <v>1468</v>
      </c>
      <c r="C214" s="4" t="s">
        <v>24</v>
      </c>
      <c r="D214" t="str">
        <f t="shared" si="181"/>
        <v>saline</v>
      </c>
      <c r="E214" s="4" t="s">
        <v>1193</v>
      </c>
      <c r="F214" s="4" t="s">
        <v>171</v>
      </c>
      <c r="G214" s="4" t="s">
        <v>45</v>
      </c>
      <c r="H214" s="4" t="s">
        <v>595</v>
      </c>
      <c r="I214" s="4">
        <v>55</v>
      </c>
      <c r="J214" s="4" t="s">
        <v>712</v>
      </c>
      <c r="K214" s="4" t="s">
        <v>1311</v>
      </c>
      <c r="L214" s="4" t="s">
        <v>1276</v>
      </c>
      <c r="N214" s="4" t="s">
        <v>1415</v>
      </c>
      <c r="O214" s="4">
        <v>20</v>
      </c>
      <c r="P214" s="4">
        <v>5</v>
      </c>
      <c r="Q214" s="4">
        <v>0.7</v>
      </c>
      <c r="S214" s="4">
        <v>0.6</v>
      </c>
      <c r="T214" s="4">
        <v>5.2</v>
      </c>
      <c r="U214" s="4">
        <v>5.2</v>
      </c>
      <c r="W214" s="4">
        <v>6.7</v>
      </c>
      <c r="X214" s="4">
        <v>10.199999999999999</v>
      </c>
      <c r="Y214" s="4">
        <v>26.8</v>
      </c>
      <c r="AB214" s="4">
        <v>2</v>
      </c>
      <c r="AC214" s="4">
        <v>13.1</v>
      </c>
      <c r="AE214" s="4">
        <v>30.3</v>
      </c>
      <c r="AK214">
        <f t="shared" si="162"/>
        <v>103.79999999999998</v>
      </c>
      <c r="AL214" s="26">
        <f t="shared" si="163"/>
        <v>5.1566486583985744</v>
      </c>
      <c r="AM214" s="26">
        <f t="shared" si="164"/>
        <v>0.72193081217580035</v>
      </c>
      <c r="AN214" s="26">
        <f t="shared" si="165"/>
        <v>0.61879783900782892</v>
      </c>
      <c r="AO214" s="26">
        <f t="shared" si="166"/>
        <v>5.3629146047345175</v>
      </c>
      <c r="AP214" s="26">
        <f t="shared" si="167"/>
        <v>5.3629146047345175</v>
      </c>
      <c r="AQ214" s="26">
        <f t="shared" si="168"/>
        <v>6.9099092022540898</v>
      </c>
      <c r="AR214" s="26">
        <f t="shared" si="169"/>
        <v>13.510419485004267</v>
      </c>
      <c r="AS214" s="26">
        <f t="shared" si="170"/>
        <v>10.519563263133092</v>
      </c>
      <c r="AT214" s="26">
        <f t="shared" si="171"/>
        <v>27.639636809016359</v>
      </c>
      <c r="AU214" s="26">
        <f t="shared" si="172"/>
        <v>0</v>
      </c>
      <c r="AV214" s="26">
        <f t="shared" si="173"/>
        <v>31.249290869895361</v>
      </c>
      <c r="AW214" s="26">
        <f t="shared" si="174"/>
        <v>107.0520261483544</v>
      </c>
      <c r="AX214" s="26"/>
      <c r="AY214" s="26"/>
      <c r="AZ214" s="4">
        <v>20.8</v>
      </c>
      <c r="BA214" s="4">
        <v>36.799999999999997</v>
      </c>
      <c r="BB214" s="4">
        <v>0.36</v>
      </c>
      <c r="BD214">
        <f t="shared" si="179"/>
        <v>0.81206427648837942</v>
      </c>
      <c r="BE214">
        <f t="shared" si="180"/>
        <v>0.18793572351162066</v>
      </c>
      <c r="BL214" s="44"/>
      <c r="BM214" s="44"/>
      <c r="BN214" s="44"/>
      <c r="BO214" s="44"/>
      <c r="BP214" s="44"/>
      <c r="BQ214" s="44"/>
      <c r="BR214" s="44"/>
      <c r="BS214" s="44"/>
      <c r="BT214" s="44"/>
      <c r="BU214" s="44" t="s">
        <v>1192</v>
      </c>
      <c r="BV214" s="44"/>
      <c r="BW214" s="44"/>
      <c r="BX214" s="44"/>
      <c r="BY214" s="44"/>
      <c r="BZ214" s="44"/>
      <c r="CA214" s="44"/>
      <c r="CB214" s="44"/>
      <c r="CC214" s="44"/>
      <c r="CD214" s="44"/>
      <c r="CE214" s="44"/>
      <c r="CF214" s="44"/>
      <c r="CG214" s="44"/>
      <c r="CH214" s="44"/>
      <c r="CI214" s="44">
        <v>0.54400000000000004</v>
      </c>
      <c r="CJ214" s="44">
        <v>8.2579999999999991</v>
      </c>
      <c r="CK214" s="44" t="s">
        <v>1192</v>
      </c>
      <c r="CL214" s="44" t="s">
        <v>1192</v>
      </c>
      <c r="CM214" s="44"/>
      <c r="CN214" s="44">
        <v>0.13500000000000001</v>
      </c>
      <c r="CO214" s="44"/>
      <c r="CP214" s="44"/>
      <c r="CQ214" s="44"/>
      <c r="CR214" s="44"/>
      <c r="CS214" s="44"/>
      <c r="CT214" s="44">
        <v>165.7</v>
      </c>
      <c r="CU214" s="44"/>
      <c r="CV214" s="44">
        <v>2.173</v>
      </c>
      <c r="CW214" s="44">
        <v>1.651</v>
      </c>
      <c r="CX214" s="44">
        <v>9.6000000000000002E-2</v>
      </c>
      <c r="CY214" s="44">
        <v>0.18</v>
      </c>
      <c r="CZ214" s="44">
        <v>8.9999999999999993E-3</v>
      </c>
      <c r="DA214" s="44" t="s">
        <v>1192</v>
      </c>
      <c r="DB214" s="44" t="s">
        <v>1192</v>
      </c>
      <c r="DC214" s="44" t="s">
        <v>1192</v>
      </c>
      <c r="DD214" s="44"/>
      <c r="DE214" s="44" t="s">
        <v>1192</v>
      </c>
      <c r="DF214" s="44"/>
      <c r="DG214" s="44" t="s">
        <v>1192</v>
      </c>
      <c r="DH214" s="44" t="s">
        <v>1192</v>
      </c>
      <c r="DI214" s="44"/>
      <c r="DJ214" s="44"/>
      <c r="DK214" s="44"/>
      <c r="DL214" s="44">
        <v>1.1859999999999999</v>
      </c>
      <c r="DM214" s="44">
        <v>0.89600000000000002</v>
      </c>
      <c r="DN214" s="44">
        <v>6.3E-2</v>
      </c>
      <c r="DO214" s="44" t="s">
        <v>1192</v>
      </c>
      <c r="DP214" s="44"/>
      <c r="DQ214" s="44"/>
      <c r="DR214" s="44"/>
      <c r="DS214" s="44"/>
      <c r="DT214" s="44"/>
      <c r="DU214" s="44"/>
      <c r="DV214" s="44"/>
      <c r="DW214" s="51">
        <v>0.70582999999999996</v>
      </c>
      <c r="DX214" s="51">
        <v>5.0000000000000002E-5</v>
      </c>
      <c r="DY214" s="51">
        <v>0.70567999999999997</v>
      </c>
      <c r="DZ214" s="45">
        <v>0</v>
      </c>
      <c r="EA214" s="52">
        <v>17.600000000000001</v>
      </c>
      <c r="EB214" s="45">
        <v>0</v>
      </c>
      <c r="EC214" s="45"/>
      <c r="ED214" s="45">
        <v>0</v>
      </c>
      <c r="EE214" s="45">
        <v>0</v>
      </c>
      <c r="EF214" s="45">
        <v>0</v>
      </c>
      <c r="EG214" s="45">
        <v>0</v>
      </c>
      <c r="EH214" s="45">
        <v>0</v>
      </c>
      <c r="EI214" s="45">
        <v>0</v>
      </c>
      <c r="EJ214" s="45">
        <v>0</v>
      </c>
      <c r="EK214" s="44">
        <v>0</v>
      </c>
      <c r="EL214" s="45"/>
      <c r="EM214" s="45"/>
      <c r="EN214" s="45"/>
      <c r="EO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row>
    <row r="215" spans="1:230" s="4" customFormat="1">
      <c r="A215" s="4" t="s">
        <v>1424</v>
      </c>
      <c r="B215" s="4" t="s">
        <v>1468</v>
      </c>
      <c r="C215" s="4" t="s">
        <v>24</v>
      </c>
      <c r="D215" t="str">
        <f t="shared" si="181"/>
        <v>saline</v>
      </c>
      <c r="E215" s="4" t="s">
        <v>1193</v>
      </c>
      <c r="F215" s="4" t="s">
        <v>171</v>
      </c>
      <c r="G215" s="4" t="s">
        <v>45</v>
      </c>
      <c r="H215" s="4" t="s">
        <v>595</v>
      </c>
      <c r="I215" s="4">
        <v>55</v>
      </c>
      <c r="J215" s="4" t="s">
        <v>712</v>
      </c>
      <c r="K215" s="4" t="s">
        <v>1311</v>
      </c>
      <c r="L215" s="4" t="s">
        <v>1276</v>
      </c>
      <c r="N215" s="4" t="s">
        <v>1416</v>
      </c>
      <c r="O215" s="4">
        <v>20</v>
      </c>
      <c r="P215" s="4">
        <v>5</v>
      </c>
      <c r="Q215" s="4">
        <v>0.7</v>
      </c>
      <c r="S215" s="4">
        <v>0.6</v>
      </c>
      <c r="T215" s="4">
        <v>5.2</v>
      </c>
      <c r="U215" s="4">
        <v>5.2</v>
      </c>
      <c r="W215" s="4">
        <v>6.7</v>
      </c>
      <c r="X215" s="4">
        <v>10.199999999999999</v>
      </c>
      <c r="Y215" s="4">
        <v>26.8</v>
      </c>
      <c r="AB215" s="4">
        <v>2</v>
      </c>
      <c r="AC215" s="4">
        <v>13.1</v>
      </c>
      <c r="AE215" s="4">
        <v>30.3</v>
      </c>
      <c r="AK215">
        <f t="shared" si="162"/>
        <v>103.79999999999998</v>
      </c>
      <c r="AL215" s="26">
        <f t="shared" si="163"/>
        <v>5.1566486583985744</v>
      </c>
      <c r="AM215" s="26">
        <f t="shared" si="164"/>
        <v>0.72193081217580035</v>
      </c>
      <c r="AN215" s="26">
        <f t="shared" si="165"/>
        <v>0.61879783900782892</v>
      </c>
      <c r="AO215" s="26">
        <f t="shared" si="166"/>
        <v>5.3629146047345175</v>
      </c>
      <c r="AP215" s="26">
        <f t="shared" si="167"/>
        <v>5.3629146047345175</v>
      </c>
      <c r="AQ215" s="26">
        <f t="shared" si="168"/>
        <v>6.9099092022540898</v>
      </c>
      <c r="AR215" s="26">
        <f t="shared" si="169"/>
        <v>13.510419485004267</v>
      </c>
      <c r="AS215" s="26">
        <f t="shared" si="170"/>
        <v>10.519563263133092</v>
      </c>
      <c r="AT215" s="26">
        <f t="shared" si="171"/>
        <v>27.639636809016359</v>
      </c>
      <c r="AU215" s="26">
        <f t="shared" si="172"/>
        <v>0</v>
      </c>
      <c r="AV215" s="26">
        <f t="shared" si="173"/>
        <v>31.249290869895361</v>
      </c>
      <c r="AW215" s="26">
        <f t="shared" si="174"/>
        <v>107.0520261483544</v>
      </c>
      <c r="AX215" s="26"/>
      <c r="AY215" s="26"/>
      <c r="AZ215" s="4">
        <v>20.8</v>
      </c>
      <c r="BA215" s="4">
        <v>36.799999999999997</v>
      </c>
      <c r="BB215" s="4">
        <v>0.36</v>
      </c>
      <c r="BD215">
        <f t="shared" si="179"/>
        <v>0.81206427648837942</v>
      </c>
      <c r="BE215">
        <f t="shared" si="180"/>
        <v>0.18793572351162066</v>
      </c>
      <c r="BL215" s="44"/>
      <c r="BM215" s="44"/>
      <c r="BN215" s="44"/>
      <c r="BO215" s="44"/>
      <c r="BP215" s="44"/>
      <c r="BQ215" s="44"/>
      <c r="BR215" s="44"/>
      <c r="BS215" s="44"/>
      <c r="BT215" s="44"/>
      <c r="BU215" s="44">
        <v>15.52</v>
      </c>
      <c r="BV215" s="44"/>
      <c r="BW215" s="44"/>
      <c r="BX215" s="44"/>
      <c r="BY215" s="44"/>
      <c r="BZ215" s="44"/>
      <c r="CA215" s="44"/>
      <c r="CB215" s="44"/>
      <c r="CC215" s="44"/>
      <c r="CD215" s="44"/>
      <c r="CE215" s="44"/>
      <c r="CF215" s="44"/>
      <c r="CG215" s="44"/>
      <c r="CH215" s="44"/>
      <c r="CI215" s="44">
        <v>0.60699999999999998</v>
      </c>
      <c r="CJ215" s="44">
        <v>10.9</v>
      </c>
      <c r="CK215" s="44">
        <v>8.0000000000000002E-3</v>
      </c>
      <c r="CL215" s="44">
        <v>4.8000000000000001E-2</v>
      </c>
      <c r="CM215" s="44"/>
      <c r="CN215" s="44">
        <v>0.17399999999999999</v>
      </c>
      <c r="CO215" s="44"/>
      <c r="CP215" s="44"/>
      <c r="CQ215" s="44"/>
      <c r="CR215" s="44"/>
      <c r="CS215" s="44"/>
      <c r="CT215" s="44">
        <v>204.5</v>
      </c>
      <c r="CU215" s="44"/>
      <c r="CV215" s="44">
        <v>2.855</v>
      </c>
      <c r="CW215" s="44">
        <v>2.3220000000000001</v>
      </c>
      <c r="CX215" s="44">
        <v>0.13200000000000001</v>
      </c>
      <c r="CY215" s="44">
        <v>0.214</v>
      </c>
      <c r="CZ215" s="44">
        <v>8.0000000000000002E-3</v>
      </c>
      <c r="DA215" s="44" t="s">
        <v>1192</v>
      </c>
      <c r="DB215" s="44">
        <v>3.0000000000000001E-3</v>
      </c>
      <c r="DC215" s="44" t="s">
        <v>1192</v>
      </c>
      <c r="DD215" s="44"/>
      <c r="DE215" s="44" t="s">
        <v>1192</v>
      </c>
      <c r="DF215" s="44"/>
      <c r="DG215" s="44" t="s">
        <v>1192</v>
      </c>
      <c r="DH215" s="44" t="s">
        <v>1192</v>
      </c>
      <c r="DI215" s="44"/>
      <c r="DJ215" s="44"/>
      <c r="DK215" s="44"/>
      <c r="DL215" s="44">
        <v>1.32</v>
      </c>
      <c r="DM215" s="44">
        <v>0.48</v>
      </c>
      <c r="DN215" s="44">
        <v>7.1999999999999995E-2</v>
      </c>
      <c r="DO215" s="44">
        <v>1E-3</v>
      </c>
      <c r="DP215" s="44"/>
      <c r="DQ215" s="44"/>
      <c r="DR215" s="44"/>
      <c r="DS215" s="44"/>
      <c r="DT215" s="44"/>
      <c r="DU215" s="44"/>
      <c r="DV215" s="44"/>
      <c r="DW215" s="51"/>
      <c r="DX215" s="51"/>
      <c r="DY215" s="51"/>
      <c r="DZ215" s="45"/>
      <c r="EA215" s="52"/>
      <c r="EB215" s="45"/>
      <c r="EC215" s="45"/>
      <c r="ED215" s="45"/>
      <c r="EE215" s="45"/>
      <c r="EF215" s="45">
        <v>0</v>
      </c>
      <c r="EG215" s="45">
        <v>0</v>
      </c>
      <c r="EH215" s="45">
        <v>0</v>
      </c>
      <c r="EI215" s="45">
        <v>0</v>
      </c>
      <c r="EJ215" s="45">
        <v>0</v>
      </c>
      <c r="EK215" s="44">
        <v>0</v>
      </c>
      <c r="EL215" s="45"/>
      <c r="EM215" s="45"/>
      <c r="EN215" s="45"/>
      <c r="EO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row>
    <row r="216" spans="1:230" s="4" customFormat="1">
      <c r="A216" s="4" t="s">
        <v>1396</v>
      </c>
      <c r="B216" s="4" t="s">
        <v>1468</v>
      </c>
      <c r="C216" s="4" t="s">
        <v>24</v>
      </c>
      <c r="D216" t="str">
        <f t="shared" si="181"/>
        <v>saline</v>
      </c>
      <c r="E216" s="4" t="s">
        <v>119</v>
      </c>
      <c r="F216" s="4" t="s">
        <v>171</v>
      </c>
      <c r="G216" s="4" t="s">
        <v>120</v>
      </c>
      <c r="H216" s="4" t="s">
        <v>595</v>
      </c>
      <c r="I216" s="4">
        <v>53</v>
      </c>
      <c r="J216" s="4" t="s">
        <v>712</v>
      </c>
      <c r="K216" s="4" t="s">
        <v>1318</v>
      </c>
      <c r="L216" s="4" t="s">
        <v>968</v>
      </c>
      <c r="N216" s="4" t="s">
        <v>1215</v>
      </c>
      <c r="O216" s="4">
        <v>50</v>
      </c>
      <c r="P216" s="4">
        <v>4.5999999999999996</v>
      </c>
      <c r="S216" s="4">
        <v>1.4</v>
      </c>
      <c r="T216" s="4">
        <v>12.2</v>
      </c>
      <c r="U216" s="4">
        <v>5.7</v>
      </c>
      <c r="W216" s="4">
        <v>7.1</v>
      </c>
      <c r="X216" s="4">
        <v>3.9</v>
      </c>
      <c r="Y216" s="4">
        <v>22.4</v>
      </c>
      <c r="AC216" s="4">
        <v>12</v>
      </c>
      <c r="AE216" s="4">
        <v>21.3</v>
      </c>
      <c r="AJ216" s="4">
        <v>8.1</v>
      </c>
      <c r="AK216">
        <f t="shared" si="162"/>
        <v>90.6</v>
      </c>
      <c r="AL216" s="26">
        <f t="shared" si="163"/>
        <v>5.3617284315949716</v>
      </c>
      <c r="AM216" s="26">
        <f t="shared" si="164"/>
        <v>0</v>
      </c>
      <c r="AN216" s="26">
        <f t="shared" si="165"/>
        <v>1.6318303922245567</v>
      </c>
      <c r="AO216" s="26">
        <f t="shared" si="166"/>
        <v>14.22023627509971</v>
      </c>
      <c r="AP216" s="26">
        <f t="shared" si="167"/>
        <v>6.6438808826285527</v>
      </c>
      <c r="AQ216" s="26">
        <f t="shared" si="168"/>
        <v>8.2757112748531085</v>
      </c>
      <c r="AR216" s="26">
        <f t="shared" si="169"/>
        <v>13.987117647639058</v>
      </c>
      <c r="AS216" s="26">
        <f t="shared" si="170"/>
        <v>4.5458132354826937</v>
      </c>
      <c r="AT216" s="26">
        <f t="shared" si="171"/>
        <v>26.109286275592908</v>
      </c>
      <c r="AU216" s="26">
        <f t="shared" si="172"/>
        <v>0</v>
      </c>
      <c r="AV216" s="26">
        <f t="shared" si="173"/>
        <v>24.827133824559329</v>
      </c>
      <c r="AW216" s="26">
        <f t="shared" si="174"/>
        <v>105.60273823967489</v>
      </c>
      <c r="AX216" s="26"/>
      <c r="AY216" s="26"/>
      <c r="BD216"/>
      <c r="BE216"/>
      <c r="BH216" s="4" t="s">
        <v>970</v>
      </c>
      <c r="BI216" s="4">
        <v>33</v>
      </c>
      <c r="BL216" s="44"/>
      <c r="BM216" s="44"/>
      <c r="BN216" s="44"/>
      <c r="BO216" s="44"/>
      <c r="BP216" s="44"/>
      <c r="BQ216" s="44"/>
      <c r="BR216" s="44"/>
      <c r="BS216" s="44"/>
      <c r="BT216" s="44"/>
      <c r="BU216" s="44" t="s">
        <v>1192</v>
      </c>
      <c r="BV216" s="44"/>
      <c r="BW216" s="44"/>
      <c r="BX216" s="44"/>
      <c r="BY216" s="44"/>
      <c r="BZ216" s="44"/>
      <c r="CA216" s="44"/>
      <c r="CB216" s="44"/>
      <c r="CC216" s="44"/>
      <c r="CD216" s="44"/>
      <c r="CE216" s="44"/>
      <c r="CF216" s="44"/>
      <c r="CG216" s="44"/>
      <c r="CH216" s="44"/>
      <c r="CI216" s="44">
        <v>0.22</v>
      </c>
      <c r="CJ216" s="44">
        <v>9.4529999999999994</v>
      </c>
      <c r="CK216" s="44" t="s">
        <v>1192</v>
      </c>
      <c r="CL216" s="44" t="s">
        <v>1192</v>
      </c>
      <c r="CM216" s="44"/>
      <c r="CN216" s="44">
        <v>7.0999999999999994E-2</v>
      </c>
      <c r="CO216" s="44"/>
      <c r="CP216" s="44"/>
      <c r="CQ216" s="44"/>
      <c r="CR216" s="44"/>
      <c r="CS216" s="44"/>
      <c r="CT216" s="44">
        <v>80.47</v>
      </c>
      <c r="CU216" s="44"/>
      <c r="CV216" s="44">
        <v>2.8460000000000001</v>
      </c>
      <c r="CW216" s="44">
        <v>2.1549999999999998</v>
      </c>
      <c r="CX216" s="44">
        <v>6.0999999999999999E-2</v>
      </c>
      <c r="CY216" s="44">
        <v>5.7000000000000002E-2</v>
      </c>
      <c r="CZ216" s="44"/>
      <c r="DA216" s="44" t="s">
        <v>1192</v>
      </c>
      <c r="DB216" s="44">
        <v>1E-3</v>
      </c>
      <c r="DC216" s="44" t="s">
        <v>1192</v>
      </c>
      <c r="DD216" s="44"/>
      <c r="DE216" s="44" t="s">
        <v>1192</v>
      </c>
      <c r="DF216" s="44"/>
      <c r="DG216" s="44" t="s">
        <v>1192</v>
      </c>
      <c r="DH216" s="44" t="s">
        <v>1192</v>
      </c>
      <c r="DI216" s="44">
        <v>2E-3</v>
      </c>
      <c r="DJ216" s="44"/>
      <c r="DK216" s="44"/>
      <c r="DL216" s="44">
        <v>0.65200000000000002</v>
      </c>
      <c r="DM216" s="44">
        <v>0.24199999999999999</v>
      </c>
      <c r="DN216" s="44">
        <v>1.9E-2</v>
      </c>
      <c r="DO216" s="44" t="s">
        <v>1192</v>
      </c>
      <c r="DP216" s="44"/>
      <c r="DQ216" s="44"/>
      <c r="DR216" s="44"/>
      <c r="DS216" s="44"/>
      <c r="DT216" s="44"/>
      <c r="DU216" s="44"/>
      <c r="DV216" s="44"/>
      <c r="DW216" s="51"/>
      <c r="DX216" s="51"/>
      <c r="DY216" s="51"/>
      <c r="DZ216" s="45"/>
      <c r="EA216" s="52"/>
      <c r="EB216" s="45"/>
      <c r="EC216" s="45"/>
      <c r="ED216" s="45"/>
      <c r="EE216" s="45"/>
      <c r="EF216" s="45">
        <v>0</v>
      </c>
      <c r="EG216" s="45">
        <v>0</v>
      </c>
      <c r="EH216" s="45">
        <v>0</v>
      </c>
      <c r="EI216" s="45">
        <v>0</v>
      </c>
      <c r="EJ216" s="45">
        <v>0</v>
      </c>
      <c r="EK216" s="44">
        <v>0</v>
      </c>
      <c r="EL216" s="45"/>
      <c r="EM216" s="45"/>
      <c r="EN216" s="45"/>
      <c r="EO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row>
    <row r="217" spans="1:230" s="4" customFormat="1">
      <c r="A217" s="4" t="s">
        <v>1396</v>
      </c>
      <c r="B217" s="4" t="s">
        <v>1468</v>
      </c>
      <c r="C217" s="4" t="s">
        <v>24</v>
      </c>
      <c r="D217" t="str">
        <f t="shared" si="181"/>
        <v>saline</v>
      </c>
      <c r="E217" s="4" t="s">
        <v>119</v>
      </c>
      <c r="F217" s="4" t="s">
        <v>171</v>
      </c>
      <c r="G217" s="4" t="s">
        <v>120</v>
      </c>
      <c r="H217" s="4" t="s">
        <v>595</v>
      </c>
      <c r="I217" s="4">
        <v>53</v>
      </c>
      <c r="J217" s="4" t="s">
        <v>712</v>
      </c>
      <c r="K217" s="4" t="s">
        <v>1318</v>
      </c>
      <c r="L217" s="4" t="s">
        <v>968</v>
      </c>
      <c r="N217" s="4" t="s">
        <v>1216</v>
      </c>
      <c r="O217" s="4">
        <v>50</v>
      </c>
      <c r="P217" s="4">
        <v>4.5999999999999996</v>
      </c>
      <c r="S217" s="4">
        <v>1.4</v>
      </c>
      <c r="T217" s="4">
        <v>12.2</v>
      </c>
      <c r="U217" s="4">
        <v>5.7</v>
      </c>
      <c r="W217" s="4">
        <v>7.1</v>
      </c>
      <c r="X217" s="4">
        <v>3.9</v>
      </c>
      <c r="Y217" s="4">
        <v>22.4</v>
      </c>
      <c r="AC217" s="4">
        <v>12</v>
      </c>
      <c r="AE217" s="4">
        <v>21.3</v>
      </c>
      <c r="AJ217" s="4">
        <v>9.1</v>
      </c>
      <c r="AK217">
        <f t="shared" si="162"/>
        <v>90.6</v>
      </c>
      <c r="AL217" s="26">
        <f t="shared" si="163"/>
        <v>5.3617284315949716</v>
      </c>
      <c r="AM217" s="26">
        <f t="shared" si="164"/>
        <v>0</v>
      </c>
      <c r="AN217" s="26">
        <f t="shared" si="165"/>
        <v>1.6318303922245567</v>
      </c>
      <c r="AO217" s="26">
        <f t="shared" si="166"/>
        <v>14.22023627509971</v>
      </c>
      <c r="AP217" s="26">
        <f t="shared" si="167"/>
        <v>6.6438808826285527</v>
      </c>
      <c r="AQ217" s="26">
        <f t="shared" si="168"/>
        <v>8.2757112748531085</v>
      </c>
      <c r="AR217" s="26">
        <f t="shared" si="169"/>
        <v>13.987117647639058</v>
      </c>
      <c r="AS217" s="26">
        <f t="shared" si="170"/>
        <v>4.5458132354826937</v>
      </c>
      <c r="AT217" s="26">
        <f t="shared" si="171"/>
        <v>26.109286275592908</v>
      </c>
      <c r="AU217" s="26">
        <f t="shared" si="172"/>
        <v>0</v>
      </c>
      <c r="AV217" s="26">
        <f t="shared" si="173"/>
        <v>24.827133824559329</v>
      </c>
      <c r="AW217" s="26">
        <f t="shared" si="174"/>
        <v>105.60273823967489</v>
      </c>
      <c r="AX217" s="26"/>
      <c r="AY217" s="26"/>
      <c r="BD217"/>
      <c r="BE217"/>
      <c r="BH217" s="4" t="s">
        <v>970</v>
      </c>
      <c r="BI217" s="4">
        <v>33</v>
      </c>
      <c r="BL217" s="44"/>
      <c r="BM217" s="44"/>
      <c r="BN217" s="44"/>
      <c r="BO217" s="44"/>
      <c r="BP217" s="44"/>
      <c r="BQ217" s="44"/>
      <c r="BR217" s="44"/>
      <c r="BS217" s="44"/>
      <c r="BT217" s="44"/>
      <c r="BU217" s="44" t="s">
        <v>1192</v>
      </c>
      <c r="BV217" s="44"/>
      <c r="BW217" s="44"/>
      <c r="BX217" s="44"/>
      <c r="BY217" s="44"/>
      <c r="BZ217" s="44"/>
      <c r="CA217" s="44"/>
      <c r="CB217" s="44"/>
      <c r="CC217" s="44"/>
      <c r="CD217" s="44"/>
      <c r="CE217" s="44"/>
      <c r="CF217" s="44"/>
      <c r="CG217" s="44"/>
      <c r="CH217" s="44"/>
      <c r="CI217" s="44">
        <v>0.23899999999999999</v>
      </c>
      <c r="CJ217" s="44">
        <v>8.4030000000000005</v>
      </c>
      <c r="CK217" s="44" t="s">
        <v>1192</v>
      </c>
      <c r="CL217" s="44" t="s">
        <v>1192</v>
      </c>
      <c r="CM217" s="44"/>
      <c r="CN217" s="44">
        <v>0.11</v>
      </c>
      <c r="CO217" s="44"/>
      <c r="CP217" s="44"/>
      <c r="CQ217" s="44"/>
      <c r="CR217" s="44"/>
      <c r="CS217" s="44"/>
      <c r="CT217" s="44">
        <v>69.069999999999993</v>
      </c>
      <c r="CU217" s="44"/>
      <c r="CV217" s="44">
        <v>2.532</v>
      </c>
      <c r="CW217" s="44">
        <v>1.7210000000000001</v>
      </c>
      <c r="CX217" s="44" t="s">
        <v>1192</v>
      </c>
      <c r="CY217" s="44" t="s">
        <v>1192</v>
      </c>
      <c r="CZ217" s="44" t="s">
        <v>1192</v>
      </c>
      <c r="DA217" s="44">
        <v>2E-3</v>
      </c>
      <c r="DB217" s="44" t="s">
        <v>1192</v>
      </c>
      <c r="DC217" s="44" t="s">
        <v>1192</v>
      </c>
      <c r="DD217" s="44"/>
      <c r="DE217" s="44" t="s">
        <v>1192</v>
      </c>
      <c r="DF217" s="44"/>
      <c r="DG217" s="44" t="s">
        <v>1192</v>
      </c>
      <c r="DH217" s="44" t="s">
        <v>1192</v>
      </c>
      <c r="DI217" s="44" t="s">
        <v>1192</v>
      </c>
      <c r="DJ217" s="44"/>
      <c r="DK217" s="44"/>
      <c r="DL217" s="44">
        <v>0.91600000000000004</v>
      </c>
      <c r="DM217" s="44">
        <v>0.41599999999999998</v>
      </c>
      <c r="DN217" s="44">
        <v>0.03</v>
      </c>
      <c r="DO217" s="44" t="s">
        <v>1192</v>
      </c>
      <c r="DP217" s="44"/>
      <c r="DQ217" s="44"/>
      <c r="DR217" s="44"/>
      <c r="DS217" s="44"/>
      <c r="DT217" s="44"/>
      <c r="DU217" s="44"/>
      <c r="DV217" s="44"/>
      <c r="DW217" s="51">
        <v>0.70613999999999999</v>
      </c>
      <c r="DX217" s="51">
        <v>1E-4</v>
      </c>
      <c r="DY217" s="51">
        <v>0.70608000000000004</v>
      </c>
      <c r="DZ217" s="45">
        <v>0</v>
      </c>
      <c r="EA217" s="52">
        <v>23.3</v>
      </c>
      <c r="EB217" s="45">
        <v>0</v>
      </c>
      <c r="EC217" s="45"/>
      <c r="ED217" s="45">
        <v>0</v>
      </c>
      <c r="EE217" s="45">
        <v>0</v>
      </c>
      <c r="EF217" s="45">
        <v>0</v>
      </c>
      <c r="EG217" s="45">
        <v>0</v>
      </c>
      <c r="EH217" s="45">
        <v>0</v>
      </c>
      <c r="EI217" s="45">
        <v>0</v>
      </c>
      <c r="EJ217" s="45">
        <v>0</v>
      </c>
      <c r="EK217" s="44">
        <v>0</v>
      </c>
      <c r="EL217" s="45"/>
      <c r="EM217" s="45"/>
      <c r="EN217" s="45"/>
      <c r="EO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row>
    <row r="218" spans="1:230" s="4" customFormat="1">
      <c r="A218" s="4" t="s">
        <v>1396</v>
      </c>
      <c r="B218" s="4" t="s">
        <v>1468</v>
      </c>
      <c r="C218" s="4" t="s">
        <v>24</v>
      </c>
      <c r="D218" t="str">
        <f t="shared" si="181"/>
        <v>saline</v>
      </c>
      <c r="E218" s="4" t="s">
        <v>119</v>
      </c>
      <c r="F218" s="4" t="s">
        <v>171</v>
      </c>
      <c r="G218" s="4" t="s">
        <v>120</v>
      </c>
      <c r="H218" s="4" t="s">
        <v>595</v>
      </c>
      <c r="I218" s="4">
        <v>53</v>
      </c>
      <c r="J218" s="4" t="s">
        <v>712</v>
      </c>
      <c r="K218" s="4" t="s">
        <v>1318</v>
      </c>
      <c r="L218" s="4" t="s">
        <v>968</v>
      </c>
      <c r="N218" s="4" t="s">
        <v>1217</v>
      </c>
      <c r="O218" s="4">
        <v>24</v>
      </c>
      <c r="P218" s="4">
        <v>15.1</v>
      </c>
      <c r="Q218" s="4">
        <v>0.3</v>
      </c>
      <c r="S218" s="4">
        <v>1.7</v>
      </c>
      <c r="T218" s="4">
        <v>9.8000000000000007</v>
      </c>
      <c r="U218" s="4">
        <v>1.2</v>
      </c>
      <c r="W218" s="4">
        <v>4.9000000000000004</v>
      </c>
      <c r="X218" s="4">
        <v>4.0999999999999996</v>
      </c>
      <c r="Y218" s="4">
        <v>26</v>
      </c>
      <c r="AA218" s="4">
        <v>2.6</v>
      </c>
      <c r="AC218" s="4">
        <v>13.2</v>
      </c>
      <c r="AE218" s="4">
        <v>22.2</v>
      </c>
      <c r="AJ218" s="4">
        <v>10.1</v>
      </c>
      <c r="AK218">
        <f t="shared" ref="AK218:AK261" si="182">SUM(P218:Q218,S218:U218,W218:Y218,AA218,AC218,AE218)</f>
        <v>101.10000000000001</v>
      </c>
      <c r="AL218" s="26">
        <f t="shared" ref="AL218:AL261" si="183">100*(P218/($AK218-$AE218*8/35.45))</f>
        <v>15.714413624961285</v>
      </c>
      <c r="AM218" s="26">
        <f t="shared" ref="AM218:AM261" si="184">100*(Q218/($AK218-$AE218*8/35.45))</f>
        <v>0.31220689321115136</v>
      </c>
      <c r="AN218" s="26">
        <f t="shared" ref="AN218:AN261" si="185">100*(S218/($AK218-$AE218*8/35.45))</f>
        <v>1.7691723948631908</v>
      </c>
      <c r="AO218" s="26">
        <f t="shared" ref="AO218:AO261" si="186">100*(T218/($AK218-$AE218*8/35.45))</f>
        <v>10.198758511564279</v>
      </c>
      <c r="AP218" s="26">
        <f t="shared" ref="AP218:AP261" si="187">100*(U218/($AK218-$AE218*8/35.45))</f>
        <v>1.2488275728446054</v>
      </c>
      <c r="AQ218" s="26">
        <f t="shared" ref="AQ218:AQ261" si="188">100*(W218/($AK218-$AE218*8/35.45))</f>
        <v>5.0993792557821394</v>
      </c>
      <c r="AR218" s="26">
        <f t="shared" ref="AR218:AR261" si="189">100*(AC218/($AK218-$AE218*8/35.45))</f>
        <v>13.737103301290659</v>
      </c>
      <c r="AS218" s="26">
        <f t="shared" ref="AS218:AS261" si="190">100*(X218/($AK218-$AE218*8/35.45))</f>
        <v>4.2668275405524012</v>
      </c>
      <c r="AT218" s="26">
        <f t="shared" ref="AT218:AT261" si="191">100*(Y218/($AK218-$AE218*8/35.45))</f>
        <v>27.057930744966452</v>
      </c>
      <c r="AU218" s="26">
        <f t="shared" ref="AU218:AU261" si="192">100*(AA218/($AK218-$AE218*8/35.45))</f>
        <v>2.7057930744966452</v>
      </c>
      <c r="AV218" s="26">
        <f t="shared" ref="AV218:AV261" si="193">100*(AE218/($AK218-$AE218*8/35.45))</f>
        <v>23.103310097625197</v>
      </c>
      <c r="AW218" s="26">
        <f t="shared" ref="AW218:AW261" si="194">SUM(AL218:AV218)</f>
        <v>105.213723012158</v>
      </c>
      <c r="AX218" s="26"/>
      <c r="AY218" s="26"/>
      <c r="BD218"/>
      <c r="BE218"/>
      <c r="BH218" s="4">
        <v>1560</v>
      </c>
      <c r="BL218" s="44"/>
      <c r="BM218" s="44"/>
      <c r="BN218" s="44"/>
      <c r="BO218" s="44"/>
      <c r="BP218" s="44"/>
      <c r="BQ218" s="44"/>
      <c r="BR218" s="44"/>
      <c r="BS218" s="44"/>
      <c r="BT218" s="44"/>
      <c r="BU218" s="44" t="s">
        <v>1192</v>
      </c>
      <c r="BV218" s="44"/>
      <c r="BW218" s="44"/>
      <c r="BX218" s="44"/>
      <c r="BY218" s="44"/>
      <c r="BZ218" s="44"/>
      <c r="CA218" s="44"/>
      <c r="CB218" s="44"/>
      <c r="CC218" s="44"/>
      <c r="CD218" s="44"/>
      <c r="CE218" s="44"/>
      <c r="CF218" s="44"/>
      <c r="CG218" s="44"/>
      <c r="CH218" s="44"/>
      <c r="CI218" s="44">
        <v>1.0349999999999999</v>
      </c>
      <c r="CJ218" s="44">
        <v>1.8149999999999999</v>
      </c>
      <c r="CK218" s="44">
        <v>4.9000000000000002E-2</v>
      </c>
      <c r="CL218" s="44">
        <v>0.49399999999999999</v>
      </c>
      <c r="CM218" s="44"/>
      <c r="CN218" s="44">
        <v>0.02</v>
      </c>
      <c r="CO218" s="44"/>
      <c r="CP218" s="44"/>
      <c r="CQ218" s="44"/>
      <c r="CR218" s="44"/>
      <c r="CS218" s="44"/>
      <c r="CT218" s="44">
        <v>31.9</v>
      </c>
      <c r="CU218" s="44"/>
      <c r="CV218" s="44">
        <v>0.89200000000000002</v>
      </c>
      <c r="CW218" s="44">
        <v>0.90600000000000003</v>
      </c>
      <c r="CX218" s="44">
        <v>7.0999999999999994E-2</v>
      </c>
      <c r="CY218" s="44">
        <v>0.248</v>
      </c>
      <c r="CZ218" s="44">
        <v>0.04</v>
      </c>
      <c r="DA218" s="44" t="s">
        <v>1192</v>
      </c>
      <c r="DB218" s="44"/>
      <c r="DC218" s="44" t="s">
        <v>1192</v>
      </c>
      <c r="DD218" s="44"/>
      <c r="DE218" s="44" t="s">
        <v>1192</v>
      </c>
      <c r="DF218" s="44"/>
      <c r="DG218" s="44" t="s">
        <v>1192</v>
      </c>
      <c r="DH218" s="44" t="s">
        <v>1192</v>
      </c>
      <c r="DI218" s="44" t="s">
        <v>1192</v>
      </c>
      <c r="DJ218" s="44"/>
      <c r="DK218" s="44"/>
      <c r="DL218" s="44" t="s">
        <v>1192</v>
      </c>
      <c r="DM218" s="44">
        <v>0.38800000000000001</v>
      </c>
      <c r="DN218" s="44">
        <v>3.5000000000000003E-2</v>
      </c>
      <c r="DO218" s="44" t="s">
        <v>1192</v>
      </c>
      <c r="DP218" s="44"/>
      <c r="DQ218" s="44"/>
      <c r="DR218" s="44"/>
      <c r="DS218" s="44"/>
      <c r="DT218" s="44"/>
      <c r="DU218" s="44"/>
      <c r="DV218" s="44"/>
      <c r="DW218" s="51"/>
      <c r="DX218" s="51"/>
      <c r="DY218" s="51"/>
      <c r="DZ218" s="45"/>
      <c r="EA218" s="45"/>
      <c r="EB218" s="45"/>
      <c r="EC218" s="45"/>
      <c r="ED218" s="45"/>
      <c r="EE218" s="45"/>
      <c r="EF218" s="45">
        <v>0</v>
      </c>
      <c r="EG218" s="45">
        <v>0</v>
      </c>
      <c r="EH218" s="45">
        <v>0</v>
      </c>
      <c r="EI218" s="45">
        <v>0</v>
      </c>
      <c r="EJ218" s="45">
        <v>0</v>
      </c>
      <c r="EK218" s="44">
        <v>0</v>
      </c>
      <c r="EL218" s="45"/>
      <c r="EM218" s="45"/>
      <c r="EN218" s="45"/>
      <c r="EO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row>
    <row r="219" spans="1:230" s="4" customFormat="1">
      <c r="A219" s="4" t="s">
        <v>1396</v>
      </c>
      <c r="B219" s="4" t="s">
        <v>1468</v>
      </c>
      <c r="C219" s="4" t="s">
        <v>24</v>
      </c>
      <c r="D219" t="str">
        <f t="shared" si="181"/>
        <v>saline</v>
      </c>
      <c r="E219" s="4" t="s">
        <v>119</v>
      </c>
      <c r="F219" s="4" t="s">
        <v>171</v>
      </c>
      <c r="G219" s="4" t="s">
        <v>120</v>
      </c>
      <c r="H219" s="4" t="s">
        <v>595</v>
      </c>
      <c r="I219" s="4">
        <v>53</v>
      </c>
      <c r="J219" s="4" t="s">
        <v>712</v>
      </c>
      <c r="K219" s="4" t="s">
        <v>1318</v>
      </c>
      <c r="L219" s="4" t="s">
        <v>968</v>
      </c>
      <c r="N219" s="4" t="s">
        <v>1218</v>
      </c>
      <c r="O219" s="4">
        <v>24</v>
      </c>
      <c r="P219" s="4">
        <v>15.1</v>
      </c>
      <c r="Q219" s="4">
        <v>0.3</v>
      </c>
      <c r="S219" s="4">
        <v>1.7</v>
      </c>
      <c r="T219" s="4">
        <v>9.8000000000000007</v>
      </c>
      <c r="U219" s="4">
        <v>1.2</v>
      </c>
      <c r="W219" s="4">
        <v>4.9000000000000004</v>
      </c>
      <c r="X219" s="4">
        <v>4.0999999999999996</v>
      </c>
      <c r="Y219" s="4">
        <v>26</v>
      </c>
      <c r="AA219" s="4">
        <v>2.6</v>
      </c>
      <c r="AC219" s="4">
        <v>13.2</v>
      </c>
      <c r="AE219" s="4">
        <v>22.2</v>
      </c>
      <c r="AJ219" s="4">
        <v>11.1</v>
      </c>
      <c r="AK219">
        <f t="shared" si="182"/>
        <v>101.10000000000001</v>
      </c>
      <c r="AL219" s="26">
        <f t="shared" si="183"/>
        <v>15.714413624961285</v>
      </c>
      <c r="AM219" s="26">
        <f t="shared" si="184"/>
        <v>0.31220689321115136</v>
      </c>
      <c r="AN219" s="26">
        <f t="shared" si="185"/>
        <v>1.7691723948631908</v>
      </c>
      <c r="AO219" s="26">
        <f t="shared" si="186"/>
        <v>10.198758511564279</v>
      </c>
      <c r="AP219" s="26">
        <f t="shared" si="187"/>
        <v>1.2488275728446054</v>
      </c>
      <c r="AQ219" s="26">
        <f t="shared" si="188"/>
        <v>5.0993792557821394</v>
      </c>
      <c r="AR219" s="26">
        <f t="shared" si="189"/>
        <v>13.737103301290659</v>
      </c>
      <c r="AS219" s="26">
        <f t="shared" si="190"/>
        <v>4.2668275405524012</v>
      </c>
      <c r="AT219" s="26">
        <f t="shared" si="191"/>
        <v>27.057930744966452</v>
      </c>
      <c r="AU219" s="26">
        <f t="shared" si="192"/>
        <v>2.7057930744966452</v>
      </c>
      <c r="AV219" s="26">
        <f t="shared" si="193"/>
        <v>23.103310097625197</v>
      </c>
      <c r="AW219" s="26">
        <f t="shared" si="194"/>
        <v>105.213723012158</v>
      </c>
      <c r="AX219" s="26"/>
      <c r="AY219" s="26"/>
      <c r="BD219"/>
      <c r="BE219"/>
      <c r="BH219" s="4">
        <v>1560</v>
      </c>
      <c r="BL219" s="44"/>
      <c r="BM219" s="44"/>
      <c r="BN219" s="44"/>
      <c r="BO219" s="44"/>
      <c r="BP219" s="44"/>
      <c r="BQ219" s="44"/>
      <c r="BR219" s="44"/>
      <c r="BS219" s="44"/>
      <c r="BT219" s="44"/>
      <c r="BU219" s="44">
        <v>10.78</v>
      </c>
      <c r="BV219" s="44"/>
      <c r="BW219" s="44"/>
      <c r="BX219" s="44"/>
      <c r="BY219" s="44"/>
      <c r="BZ219" s="44"/>
      <c r="CA219" s="44"/>
      <c r="CB219" s="44"/>
      <c r="CC219" s="44"/>
      <c r="CD219" s="44"/>
      <c r="CE219" s="44"/>
      <c r="CF219" s="44"/>
      <c r="CG219" s="44"/>
      <c r="CH219" s="44"/>
      <c r="CI219" s="44">
        <v>0.61499999999999999</v>
      </c>
      <c r="CJ219" s="44">
        <v>1.006</v>
      </c>
      <c r="CK219" s="44">
        <v>3.1E-2</v>
      </c>
      <c r="CL219" s="44">
        <v>0.46300000000000002</v>
      </c>
      <c r="CM219" s="44"/>
      <c r="CN219" s="44">
        <v>3.7999999999999999E-2</v>
      </c>
      <c r="CO219" s="44"/>
      <c r="CP219" s="44"/>
      <c r="CQ219" s="44"/>
      <c r="CR219" s="44"/>
      <c r="CS219" s="44"/>
      <c r="CT219" s="44">
        <v>35.19</v>
      </c>
      <c r="CU219" s="44"/>
      <c r="CV219" s="44">
        <v>0.56200000000000006</v>
      </c>
      <c r="CW219" s="44">
        <v>0.57099999999999995</v>
      </c>
      <c r="CX219" s="44">
        <v>4.7E-2</v>
      </c>
      <c r="CY219" s="44">
        <v>0.154</v>
      </c>
      <c r="CZ219" s="44">
        <v>2.5999999999999999E-2</v>
      </c>
      <c r="DA219" s="44">
        <v>6.0000000000000001E-3</v>
      </c>
      <c r="DB219" s="44">
        <v>2.1999999999999999E-2</v>
      </c>
      <c r="DC219" s="44">
        <v>8.0000000000000002E-3</v>
      </c>
      <c r="DD219" s="44"/>
      <c r="DE219" s="44">
        <v>2E-3</v>
      </c>
      <c r="DF219" s="44"/>
      <c r="DG219" s="44" t="s">
        <v>1192</v>
      </c>
      <c r="DH219" s="44" t="s">
        <v>1192</v>
      </c>
      <c r="DI219" s="44">
        <v>1.9E-2</v>
      </c>
      <c r="DJ219" s="44"/>
      <c r="DK219" s="44"/>
      <c r="DL219" s="44">
        <v>0.59699999999999998</v>
      </c>
      <c r="DM219" s="44">
        <v>0.41499999999999998</v>
      </c>
      <c r="DN219" s="44">
        <v>2.3E-2</v>
      </c>
      <c r="DO219" s="44">
        <v>2E-3</v>
      </c>
      <c r="DP219" s="44"/>
      <c r="DQ219" s="44"/>
      <c r="DR219" s="44"/>
      <c r="DS219" s="44"/>
      <c r="DT219" s="44"/>
      <c r="DU219" s="44"/>
      <c r="DV219" s="44"/>
      <c r="DW219" s="51"/>
      <c r="DX219" s="51"/>
      <c r="DY219" s="51"/>
      <c r="DZ219" s="45"/>
      <c r="EA219" s="45"/>
      <c r="EB219" s="45"/>
      <c r="EC219" s="45"/>
      <c r="ED219" s="45"/>
      <c r="EE219" s="45"/>
      <c r="EF219" s="45">
        <v>0</v>
      </c>
      <c r="EG219" s="45">
        <v>0</v>
      </c>
      <c r="EH219" s="45">
        <v>0</v>
      </c>
      <c r="EI219" s="45">
        <v>0</v>
      </c>
      <c r="EJ219" s="45">
        <v>0</v>
      </c>
      <c r="EK219" s="44">
        <v>0</v>
      </c>
      <c r="EL219" s="45"/>
      <c r="EM219" s="45"/>
      <c r="EN219" s="45"/>
      <c r="EO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row>
    <row r="220" spans="1:230" s="4" customFormat="1">
      <c r="A220" s="4" t="s">
        <v>1396</v>
      </c>
      <c r="B220" s="4" t="s">
        <v>1468</v>
      </c>
      <c r="C220" s="4" t="s">
        <v>24</v>
      </c>
      <c r="D220" t="str">
        <f t="shared" si="181"/>
        <v>saline</v>
      </c>
      <c r="E220" s="4" t="s">
        <v>119</v>
      </c>
      <c r="F220" s="4" t="s">
        <v>171</v>
      </c>
      <c r="G220" s="4" t="s">
        <v>120</v>
      </c>
      <c r="H220" s="4" t="s">
        <v>595</v>
      </c>
      <c r="I220" s="4">
        <v>53</v>
      </c>
      <c r="J220" s="4" t="s">
        <v>712</v>
      </c>
      <c r="K220" s="4" t="s">
        <v>1318</v>
      </c>
      <c r="L220" s="4" t="s">
        <v>968</v>
      </c>
      <c r="N220" s="4" t="s">
        <v>1221</v>
      </c>
      <c r="O220" s="4">
        <v>35</v>
      </c>
      <c r="P220" s="4">
        <v>4</v>
      </c>
      <c r="S220" s="4">
        <v>1.3</v>
      </c>
      <c r="T220" s="4">
        <v>16.899999999999999</v>
      </c>
      <c r="U220" s="4">
        <v>4.5999999999999996</v>
      </c>
      <c r="W220" s="4">
        <v>7.6</v>
      </c>
      <c r="X220" s="4">
        <v>7.6</v>
      </c>
      <c r="Y220" s="4">
        <v>21.9</v>
      </c>
      <c r="AC220" s="4">
        <v>15.7</v>
      </c>
      <c r="AE220" s="4">
        <v>23.4</v>
      </c>
      <c r="AJ220" s="4">
        <v>14.1</v>
      </c>
      <c r="AK220">
        <f t="shared" si="182"/>
        <v>103</v>
      </c>
      <c r="AL220" s="26">
        <f t="shared" si="183"/>
        <v>4.0933562345741379</v>
      </c>
      <c r="AM220" s="26">
        <f t="shared" si="184"/>
        <v>0</v>
      </c>
      <c r="AN220" s="26">
        <f t="shared" si="185"/>
        <v>1.3303407762365949</v>
      </c>
      <c r="AO220" s="26">
        <f t="shared" si="186"/>
        <v>17.294430091075732</v>
      </c>
      <c r="AP220" s="26">
        <f t="shared" si="187"/>
        <v>4.7073596697602582</v>
      </c>
      <c r="AQ220" s="26">
        <f t="shared" si="188"/>
        <v>7.7773768456908616</v>
      </c>
      <c r="AR220" s="26">
        <f t="shared" si="189"/>
        <v>16.066423220703491</v>
      </c>
      <c r="AS220" s="26">
        <f t="shared" si="190"/>
        <v>7.7773768456908616</v>
      </c>
      <c r="AT220" s="26">
        <f t="shared" si="191"/>
        <v>22.411125384293403</v>
      </c>
      <c r="AU220" s="26">
        <f t="shared" si="192"/>
        <v>0</v>
      </c>
      <c r="AV220" s="26">
        <f t="shared" si="193"/>
        <v>23.946133972258703</v>
      </c>
      <c r="AW220" s="26">
        <f t="shared" si="194"/>
        <v>105.40392304028404</v>
      </c>
      <c r="AX220" s="26"/>
      <c r="AY220" s="26"/>
      <c r="BD220"/>
      <c r="BE220"/>
      <c r="BH220" s="4" t="s">
        <v>972</v>
      </c>
      <c r="BI220" s="4">
        <v>10</v>
      </c>
      <c r="BL220" s="44"/>
      <c r="BM220" s="44"/>
      <c r="BN220" s="44"/>
      <c r="BO220" s="44"/>
      <c r="BP220" s="44"/>
      <c r="BQ220" s="44"/>
      <c r="BR220" s="44"/>
      <c r="BS220" s="44"/>
      <c r="BT220" s="44"/>
      <c r="BU220" s="44" t="s">
        <v>1192</v>
      </c>
      <c r="BV220" s="44"/>
      <c r="BW220" s="44"/>
      <c r="BX220" s="44"/>
      <c r="BY220" s="44"/>
      <c r="BZ220" s="44"/>
      <c r="CA220" s="44"/>
      <c r="CB220" s="44"/>
      <c r="CC220" s="44"/>
      <c r="CD220" s="44"/>
      <c r="CE220" s="44"/>
      <c r="CF220" s="44"/>
      <c r="CG220" s="44"/>
      <c r="CH220" s="44"/>
      <c r="CI220" s="44">
        <v>8.1000000000000003E-2</v>
      </c>
      <c r="CJ220" s="44">
        <v>0.45500000000000002</v>
      </c>
      <c r="CK220" s="44">
        <v>2E-3</v>
      </c>
      <c r="CL220" s="44">
        <v>0.13200000000000001</v>
      </c>
      <c r="CM220" s="44"/>
      <c r="CN220" s="44">
        <v>2.9000000000000001E-2</v>
      </c>
      <c r="CO220" s="44"/>
      <c r="CP220" s="44"/>
      <c r="CQ220" s="44"/>
      <c r="CR220" s="44"/>
      <c r="CS220" s="44"/>
      <c r="CT220" s="44">
        <v>36.840000000000003</v>
      </c>
      <c r="CU220" s="44"/>
      <c r="CV220" s="44">
        <v>7.5999999999999998E-2</v>
      </c>
      <c r="CW220" s="44">
        <v>5.8999999999999997E-2</v>
      </c>
      <c r="CX220" s="44">
        <v>5.0000000000000001E-3</v>
      </c>
      <c r="CY220" s="44">
        <v>1.2E-2</v>
      </c>
      <c r="CZ220" s="44" t="s">
        <v>1192</v>
      </c>
      <c r="DA220" s="44" t="s">
        <v>1192</v>
      </c>
      <c r="DB220" s="44" t="s">
        <v>1192</v>
      </c>
      <c r="DC220" s="44" t="s">
        <v>1192</v>
      </c>
      <c r="DD220" s="44"/>
      <c r="DE220" s="44" t="s">
        <v>1192</v>
      </c>
      <c r="DF220" s="44"/>
      <c r="DG220" s="44" t="s">
        <v>1192</v>
      </c>
      <c r="DH220" s="44" t="s">
        <v>1192</v>
      </c>
      <c r="DI220" s="44">
        <v>4.0000000000000001E-3</v>
      </c>
      <c r="DJ220" s="44"/>
      <c r="DK220" s="44"/>
      <c r="DL220" s="44">
        <v>0.42299999999999999</v>
      </c>
      <c r="DM220" s="44">
        <v>0.22</v>
      </c>
      <c r="DN220" s="44">
        <v>5.0000000000000001E-3</v>
      </c>
      <c r="DO220" s="44" t="s">
        <v>1192</v>
      </c>
      <c r="DP220" s="44"/>
      <c r="DQ220" s="44"/>
      <c r="DR220" s="44"/>
      <c r="DS220" s="44"/>
      <c r="DT220" s="44"/>
      <c r="DU220" s="44"/>
      <c r="DV220" s="44"/>
      <c r="DW220" s="51"/>
      <c r="DX220" s="51"/>
      <c r="DY220" s="51"/>
      <c r="DZ220" s="45"/>
      <c r="EA220" s="45"/>
      <c r="EB220" s="45"/>
      <c r="EC220" s="45"/>
      <c r="ED220" s="45"/>
      <c r="EE220" s="45"/>
      <c r="EF220" s="45">
        <v>0</v>
      </c>
      <c r="EG220" s="45">
        <v>0</v>
      </c>
      <c r="EH220" s="45">
        <v>0</v>
      </c>
      <c r="EI220" s="45">
        <v>0</v>
      </c>
      <c r="EJ220" s="45">
        <v>0</v>
      </c>
      <c r="EK220" s="44">
        <v>0</v>
      </c>
      <c r="EL220" s="45"/>
      <c r="EM220" s="45"/>
      <c r="EN220" s="45"/>
      <c r="EO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row>
    <row r="221" spans="1:230" s="4" customFormat="1">
      <c r="A221" s="4" t="s">
        <v>1396</v>
      </c>
      <c r="B221" s="4" t="s">
        <v>1468</v>
      </c>
      <c r="C221" s="4" t="s">
        <v>24</v>
      </c>
      <c r="D221" t="str">
        <f t="shared" si="181"/>
        <v>saline</v>
      </c>
      <c r="E221" s="4" t="s">
        <v>119</v>
      </c>
      <c r="F221" s="4" t="s">
        <v>171</v>
      </c>
      <c r="G221" s="4" t="s">
        <v>120</v>
      </c>
      <c r="H221" s="4" t="s">
        <v>595</v>
      </c>
      <c r="I221" s="4">
        <v>53</v>
      </c>
      <c r="J221" s="4" t="s">
        <v>712</v>
      </c>
      <c r="K221" s="4" t="s">
        <v>1318</v>
      </c>
      <c r="L221" s="4" t="s">
        <v>968</v>
      </c>
      <c r="N221" s="4" t="s">
        <v>1222</v>
      </c>
      <c r="O221" s="4">
        <v>35</v>
      </c>
      <c r="P221" s="4">
        <v>4</v>
      </c>
      <c r="S221" s="4">
        <v>1.3</v>
      </c>
      <c r="T221" s="4">
        <v>16.899999999999999</v>
      </c>
      <c r="U221" s="4">
        <v>4.5999999999999996</v>
      </c>
      <c r="W221" s="4">
        <v>7.6</v>
      </c>
      <c r="X221" s="4">
        <v>7.6</v>
      </c>
      <c r="Y221" s="4">
        <v>21.9</v>
      </c>
      <c r="AC221" s="4">
        <v>15.7</v>
      </c>
      <c r="AE221" s="4">
        <v>23.4</v>
      </c>
      <c r="AJ221" s="4">
        <v>15.1</v>
      </c>
      <c r="AK221">
        <f t="shared" si="182"/>
        <v>103</v>
      </c>
      <c r="AL221" s="26">
        <f t="shared" si="183"/>
        <v>4.0933562345741379</v>
      </c>
      <c r="AM221" s="26">
        <f t="shared" si="184"/>
        <v>0</v>
      </c>
      <c r="AN221" s="26">
        <f t="shared" si="185"/>
        <v>1.3303407762365949</v>
      </c>
      <c r="AO221" s="26">
        <f t="shared" si="186"/>
        <v>17.294430091075732</v>
      </c>
      <c r="AP221" s="26">
        <f t="shared" si="187"/>
        <v>4.7073596697602582</v>
      </c>
      <c r="AQ221" s="26">
        <f t="shared" si="188"/>
        <v>7.7773768456908616</v>
      </c>
      <c r="AR221" s="26">
        <f t="shared" si="189"/>
        <v>16.066423220703491</v>
      </c>
      <c r="AS221" s="26">
        <f t="shared" si="190"/>
        <v>7.7773768456908616</v>
      </c>
      <c r="AT221" s="26">
        <f t="shared" si="191"/>
        <v>22.411125384293403</v>
      </c>
      <c r="AU221" s="26">
        <f t="shared" si="192"/>
        <v>0</v>
      </c>
      <c r="AV221" s="26">
        <f t="shared" si="193"/>
        <v>23.946133972258703</v>
      </c>
      <c r="AW221" s="26">
        <f t="shared" si="194"/>
        <v>105.40392304028404</v>
      </c>
      <c r="AX221" s="26"/>
      <c r="AY221" s="26"/>
      <c r="BD221"/>
      <c r="BE221"/>
      <c r="BH221" s="4" t="s">
        <v>972</v>
      </c>
      <c r="BI221" s="4">
        <v>10</v>
      </c>
      <c r="BL221" s="44"/>
      <c r="BM221" s="44"/>
      <c r="BN221" s="44"/>
      <c r="BO221" s="44"/>
      <c r="BP221" s="44"/>
      <c r="BQ221" s="44"/>
      <c r="BR221" s="44"/>
      <c r="BS221" s="44"/>
      <c r="BT221" s="44"/>
      <c r="BU221" s="44" t="s">
        <v>1192</v>
      </c>
      <c r="BV221" s="44"/>
      <c r="BW221" s="44"/>
      <c r="BX221" s="44"/>
      <c r="BY221" s="44"/>
      <c r="BZ221" s="44"/>
      <c r="CA221" s="44"/>
      <c r="CB221" s="44"/>
      <c r="CC221" s="44"/>
      <c r="CD221" s="44"/>
      <c r="CE221" s="44"/>
      <c r="CF221" s="44"/>
      <c r="CG221" s="44"/>
      <c r="CH221" s="44"/>
      <c r="CI221" s="44">
        <v>0.14699999999999999</v>
      </c>
      <c r="CJ221" s="44">
        <v>0.77200000000000002</v>
      </c>
      <c r="CK221" s="44" t="s">
        <v>1192</v>
      </c>
      <c r="CL221" s="44" t="s">
        <v>1192</v>
      </c>
      <c r="CM221" s="44"/>
      <c r="CN221" s="44">
        <v>4.2000000000000003E-2</v>
      </c>
      <c r="CO221" s="44"/>
      <c r="CP221" s="44"/>
      <c r="CQ221" s="44"/>
      <c r="CR221" s="44"/>
      <c r="CS221" s="44"/>
      <c r="CT221" s="44">
        <v>57.34</v>
      </c>
      <c r="CU221" s="44"/>
      <c r="CV221" s="44">
        <v>0.124</v>
      </c>
      <c r="CW221" s="44">
        <v>9.8000000000000004E-2</v>
      </c>
      <c r="CX221" s="44" t="s">
        <v>1192</v>
      </c>
      <c r="CY221" s="44" t="s">
        <v>1192</v>
      </c>
      <c r="CZ221" s="44" t="s">
        <v>1192</v>
      </c>
      <c r="DA221" s="44" t="s">
        <v>1192</v>
      </c>
      <c r="DB221" s="44" t="s">
        <v>1192</v>
      </c>
      <c r="DC221" s="44" t="s">
        <v>1192</v>
      </c>
      <c r="DD221" s="44"/>
      <c r="DE221" s="44" t="s">
        <v>1192</v>
      </c>
      <c r="DF221" s="44"/>
      <c r="DG221" s="44" t="s">
        <v>1192</v>
      </c>
      <c r="DH221" s="44" t="s">
        <v>1192</v>
      </c>
      <c r="DI221" s="44" t="s">
        <v>1192</v>
      </c>
      <c r="DJ221" s="44"/>
      <c r="DK221" s="44"/>
      <c r="DL221" s="44">
        <v>0.70899999999999996</v>
      </c>
      <c r="DM221" s="44">
        <v>0.27100000000000002</v>
      </c>
      <c r="DN221" s="44">
        <v>8.0000000000000002E-3</v>
      </c>
      <c r="DO221" s="44" t="s">
        <v>1192</v>
      </c>
      <c r="DP221" s="44"/>
      <c r="DQ221" s="44"/>
      <c r="DR221" s="44"/>
      <c r="DS221" s="44"/>
      <c r="DT221" s="44"/>
      <c r="DU221" s="44"/>
      <c r="DV221" s="44"/>
      <c r="DW221" s="51"/>
      <c r="DX221" s="51"/>
      <c r="DY221" s="51"/>
      <c r="DZ221" s="45"/>
      <c r="EA221" s="45"/>
      <c r="EB221" s="45"/>
      <c r="EC221" s="45"/>
      <c r="ED221" s="45"/>
      <c r="EE221" s="45"/>
      <c r="EF221" s="45">
        <v>0</v>
      </c>
      <c r="EG221" s="45">
        <v>0</v>
      </c>
      <c r="EH221" s="45">
        <v>0</v>
      </c>
      <c r="EI221" s="45">
        <v>0</v>
      </c>
      <c r="EJ221" s="45">
        <v>0</v>
      </c>
      <c r="EK221" s="44">
        <v>0</v>
      </c>
      <c r="EL221" s="45"/>
      <c r="EM221" s="45"/>
      <c r="EN221" s="45"/>
      <c r="EO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row>
    <row r="222" spans="1:230" s="4" customFormat="1">
      <c r="A222" s="4" t="s">
        <v>1396</v>
      </c>
      <c r="B222" s="4" t="s">
        <v>1468</v>
      </c>
      <c r="C222" s="4" t="s">
        <v>24</v>
      </c>
      <c r="D222" t="str">
        <f t="shared" si="181"/>
        <v>saline</v>
      </c>
      <c r="E222" s="4" t="s">
        <v>119</v>
      </c>
      <c r="F222" s="4" t="s">
        <v>171</v>
      </c>
      <c r="G222" s="4" t="s">
        <v>120</v>
      </c>
      <c r="H222" s="4" t="s">
        <v>595</v>
      </c>
      <c r="I222" s="4">
        <v>53</v>
      </c>
      <c r="J222" s="4" t="s">
        <v>712</v>
      </c>
      <c r="K222" s="4" t="s">
        <v>1318</v>
      </c>
      <c r="L222" s="4" t="s">
        <v>968</v>
      </c>
      <c r="N222" s="4" t="s">
        <v>1223</v>
      </c>
      <c r="O222" s="4">
        <v>30</v>
      </c>
      <c r="P222" s="4">
        <v>3.5</v>
      </c>
      <c r="S222" s="4">
        <v>0.8</v>
      </c>
      <c r="T222" s="4">
        <v>18.899999999999999</v>
      </c>
      <c r="U222" s="4">
        <v>4.9000000000000004</v>
      </c>
      <c r="W222" s="4">
        <v>9</v>
      </c>
      <c r="X222" s="4">
        <v>9</v>
      </c>
      <c r="Y222" s="4">
        <v>19.899999999999999</v>
      </c>
      <c r="AC222" s="4">
        <v>12</v>
      </c>
      <c r="AE222" s="4">
        <v>21.4</v>
      </c>
      <c r="AJ222" s="4">
        <v>16.100000000000001</v>
      </c>
      <c r="AK222">
        <f t="shared" si="182"/>
        <v>99.4</v>
      </c>
      <c r="AL222" s="26">
        <f t="shared" si="183"/>
        <v>3.7009363078033606</v>
      </c>
      <c r="AM222" s="26">
        <f t="shared" si="184"/>
        <v>0</v>
      </c>
      <c r="AN222" s="26">
        <f t="shared" si="185"/>
        <v>0.84592829892648236</v>
      </c>
      <c r="AO222" s="26">
        <f t="shared" si="186"/>
        <v>19.985056062138142</v>
      </c>
      <c r="AP222" s="26">
        <f t="shared" si="187"/>
        <v>5.1813108309247049</v>
      </c>
      <c r="AQ222" s="26">
        <f t="shared" si="188"/>
        <v>9.5166933629229256</v>
      </c>
      <c r="AR222" s="26">
        <f t="shared" si="189"/>
        <v>12.688924483897235</v>
      </c>
      <c r="AS222" s="26">
        <f t="shared" si="190"/>
        <v>9.5166933629229256</v>
      </c>
      <c r="AT222" s="26">
        <f t="shared" si="191"/>
        <v>21.042466435796246</v>
      </c>
      <c r="AU222" s="26">
        <f t="shared" si="192"/>
        <v>0</v>
      </c>
      <c r="AV222" s="26">
        <f t="shared" si="193"/>
        <v>22.628581996283401</v>
      </c>
      <c r="AW222" s="26">
        <f t="shared" si="194"/>
        <v>105.10659114161541</v>
      </c>
      <c r="AX222" s="26"/>
      <c r="AY222" s="26"/>
      <c r="BD222"/>
      <c r="BE222"/>
      <c r="BH222" s="4" t="s">
        <v>973</v>
      </c>
      <c r="BI222" s="4">
        <v>8</v>
      </c>
      <c r="BL222" s="44"/>
      <c r="BM222" s="44"/>
      <c r="BN222" s="44"/>
      <c r="BO222" s="44"/>
      <c r="BP222" s="44"/>
      <c r="BQ222" s="44"/>
      <c r="BR222" s="44"/>
      <c r="BS222" s="44"/>
      <c r="BT222" s="44"/>
      <c r="BU222" s="44" t="s">
        <v>1192</v>
      </c>
      <c r="BV222" s="44"/>
      <c r="BW222" s="44"/>
      <c r="BX222" s="44"/>
      <c r="BY222" s="44"/>
      <c r="BZ222" s="44"/>
      <c r="CA222" s="44"/>
      <c r="CB222" s="44"/>
      <c r="CC222" s="44"/>
      <c r="CD222" s="44"/>
      <c r="CE222" s="44"/>
      <c r="CF222" s="44"/>
      <c r="CG222" s="44"/>
      <c r="CH222" s="44"/>
      <c r="CI222" s="44">
        <v>0.77700000000000002</v>
      </c>
      <c r="CJ222" s="44">
        <v>2.383</v>
      </c>
      <c r="CK222" s="44" t="s">
        <v>1192</v>
      </c>
      <c r="CL222" s="44" t="s">
        <v>1192</v>
      </c>
      <c r="CM222" s="44"/>
      <c r="CN222" s="44">
        <v>4.8000000000000001E-2</v>
      </c>
      <c r="CO222" s="44"/>
      <c r="CP222" s="44"/>
      <c r="CQ222" s="44"/>
      <c r="CR222" s="44"/>
      <c r="CS222" s="44"/>
      <c r="CT222" s="44">
        <v>161.1</v>
      </c>
      <c r="CU222" s="44"/>
      <c r="CV222" s="44">
        <v>0.372</v>
      </c>
      <c r="CW222" s="44">
        <v>0.26300000000000001</v>
      </c>
      <c r="CX222" s="44">
        <v>2.4E-2</v>
      </c>
      <c r="CY222" s="44">
        <v>7.9000000000000001E-2</v>
      </c>
      <c r="CZ222" s="44">
        <v>4.0000000000000001E-3</v>
      </c>
      <c r="DA222" s="44">
        <v>3.0000000000000001E-3</v>
      </c>
      <c r="DB222" s="44" t="s">
        <v>1192</v>
      </c>
      <c r="DC222" s="44" t="s">
        <v>1192</v>
      </c>
      <c r="DD222" s="44"/>
      <c r="DE222" s="44" t="s">
        <v>1192</v>
      </c>
      <c r="DF222" s="44"/>
      <c r="DG222" s="44" t="s">
        <v>1192</v>
      </c>
      <c r="DH222" s="44" t="s">
        <v>1192</v>
      </c>
      <c r="DI222" s="44" t="s">
        <v>1192</v>
      </c>
      <c r="DJ222" s="44"/>
      <c r="DK222" s="44"/>
      <c r="DL222" s="44">
        <v>0.77100000000000002</v>
      </c>
      <c r="DM222" s="44">
        <v>0.90300000000000002</v>
      </c>
      <c r="DN222" s="44">
        <v>3.1E-2</v>
      </c>
      <c r="DO222" s="44" t="s">
        <v>1192</v>
      </c>
      <c r="DP222" s="44"/>
      <c r="DQ222" s="44"/>
      <c r="DR222" s="44"/>
      <c r="DS222" s="44"/>
      <c r="DT222" s="44"/>
      <c r="DU222" s="44"/>
      <c r="DV222" s="44"/>
      <c r="DW222" s="51"/>
      <c r="DX222" s="51"/>
      <c r="DY222" s="51"/>
      <c r="DZ222" s="45"/>
      <c r="EA222" s="45"/>
      <c r="EB222" s="45"/>
      <c r="EC222" s="45"/>
      <c r="ED222" s="45"/>
      <c r="EE222" s="45"/>
      <c r="EF222" s="45">
        <v>0</v>
      </c>
      <c r="EG222" s="45">
        <v>0</v>
      </c>
      <c r="EH222" s="45">
        <v>0</v>
      </c>
      <c r="EI222" s="45">
        <v>0</v>
      </c>
      <c r="EJ222" s="45">
        <v>0</v>
      </c>
      <c r="EK222" s="44">
        <v>0</v>
      </c>
      <c r="EL222" s="45"/>
      <c r="EM222" s="45"/>
      <c r="EN222" s="45"/>
      <c r="EO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row>
    <row r="223" spans="1:230" s="4" customFormat="1">
      <c r="A223" s="4" t="s">
        <v>1396</v>
      </c>
      <c r="B223" s="4" t="s">
        <v>1468</v>
      </c>
      <c r="C223" s="4" t="s">
        <v>24</v>
      </c>
      <c r="D223" t="str">
        <f t="shared" si="181"/>
        <v>saline</v>
      </c>
      <c r="E223" s="4" t="s">
        <v>119</v>
      </c>
      <c r="F223" s="4" t="s">
        <v>171</v>
      </c>
      <c r="G223" s="4" t="s">
        <v>120</v>
      </c>
      <c r="H223" s="4" t="s">
        <v>595</v>
      </c>
      <c r="I223" s="4">
        <v>53</v>
      </c>
      <c r="J223" s="4" t="s">
        <v>712</v>
      </c>
      <c r="K223" s="4" t="s">
        <v>1318</v>
      </c>
      <c r="L223" s="4" t="s">
        <v>968</v>
      </c>
      <c r="N223" s="4" t="s">
        <v>1224</v>
      </c>
      <c r="O223" s="4">
        <v>30</v>
      </c>
      <c r="P223" s="4">
        <v>3.5</v>
      </c>
      <c r="S223" s="4">
        <v>0.8</v>
      </c>
      <c r="T223" s="4">
        <v>18.899999999999999</v>
      </c>
      <c r="U223" s="4">
        <v>4.9000000000000004</v>
      </c>
      <c r="W223" s="4">
        <v>9</v>
      </c>
      <c r="X223" s="4">
        <v>9</v>
      </c>
      <c r="Y223" s="4">
        <v>19.899999999999999</v>
      </c>
      <c r="AC223" s="4">
        <v>12</v>
      </c>
      <c r="AE223" s="4">
        <v>21.4</v>
      </c>
      <c r="AJ223" s="4">
        <v>17.100000000000001</v>
      </c>
      <c r="AK223">
        <f t="shared" si="182"/>
        <v>99.4</v>
      </c>
      <c r="AL223" s="26">
        <f t="shared" si="183"/>
        <v>3.7009363078033606</v>
      </c>
      <c r="AM223" s="26">
        <f t="shared" si="184"/>
        <v>0</v>
      </c>
      <c r="AN223" s="26">
        <f t="shared" si="185"/>
        <v>0.84592829892648236</v>
      </c>
      <c r="AO223" s="26">
        <f t="shared" si="186"/>
        <v>19.985056062138142</v>
      </c>
      <c r="AP223" s="26">
        <f t="shared" si="187"/>
        <v>5.1813108309247049</v>
      </c>
      <c r="AQ223" s="26">
        <f t="shared" si="188"/>
        <v>9.5166933629229256</v>
      </c>
      <c r="AR223" s="26">
        <f t="shared" si="189"/>
        <v>12.688924483897235</v>
      </c>
      <c r="AS223" s="26">
        <f t="shared" si="190"/>
        <v>9.5166933629229256</v>
      </c>
      <c r="AT223" s="26">
        <f t="shared" si="191"/>
        <v>21.042466435796246</v>
      </c>
      <c r="AU223" s="26">
        <f t="shared" si="192"/>
        <v>0</v>
      </c>
      <c r="AV223" s="26">
        <f t="shared" si="193"/>
        <v>22.628581996283401</v>
      </c>
      <c r="AW223" s="26">
        <f t="shared" si="194"/>
        <v>105.10659114161541</v>
      </c>
      <c r="AX223" s="26"/>
      <c r="AY223" s="26"/>
      <c r="BD223"/>
      <c r="BE223"/>
      <c r="BH223" s="4" t="s">
        <v>973</v>
      </c>
      <c r="BI223" s="4">
        <v>8</v>
      </c>
      <c r="BL223" s="44"/>
      <c r="BM223" s="44"/>
      <c r="BN223" s="44"/>
      <c r="BO223" s="44"/>
      <c r="BP223" s="44"/>
      <c r="BQ223" s="44"/>
      <c r="BR223" s="44"/>
      <c r="BS223" s="44"/>
      <c r="BT223" s="44"/>
      <c r="BU223" s="44" t="s">
        <v>1192</v>
      </c>
      <c r="BV223" s="44"/>
      <c r="BW223" s="44"/>
      <c r="BX223" s="44"/>
      <c r="BY223" s="44"/>
      <c r="BZ223" s="44"/>
      <c r="CA223" s="44"/>
      <c r="CB223" s="44"/>
      <c r="CC223" s="44"/>
      <c r="CD223" s="44"/>
      <c r="CE223" s="44"/>
      <c r="CF223" s="44"/>
      <c r="CG223" s="44"/>
      <c r="CH223" s="44"/>
      <c r="CI223" s="44">
        <v>0.77700000000000002</v>
      </c>
      <c r="CJ223" s="44">
        <v>2.9430000000000001</v>
      </c>
      <c r="CK223" s="44">
        <v>8.0000000000000002E-3</v>
      </c>
      <c r="CL223" s="44">
        <v>0.114</v>
      </c>
      <c r="CM223" s="44"/>
      <c r="CN223" s="44">
        <v>7.9000000000000001E-2</v>
      </c>
      <c r="CO223" s="44"/>
      <c r="CP223" s="44"/>
      <c r="CQ223" s="44"/>
      <c r="CR223" s="44"/>
      <c r="CS223" s="44"/>
      <c r="CT223" s="44">
        <v>171</v>
      </c>
      <c r="CU223" s="44"/>
      <c r="CV223" s="44">
        <v>0.499</v>
      </c>
      <c r="CW223" s="44">
        <v>0.372</v>
      </c>
      <c r="CX223" s="44">
        <v>3.3000000000000002E-2</v>
      </c>
      <c r="CY223" s="44">
        <v>9.9000000000000005E-2</v>
      </c>
      <c r="CZ223" s="44" t="s">
        <v>1192</v>
      </c>
      <c r="DA223" s="44" t="s">
        <v>1192</v>
      </c>
      <c r="DB223" s="44">
        <v>4.0000000000000001E-3</v>
      </c>
      <c r="DC223" s="44" t="s">
        <v>1192</v>
      </c>
      <c r="DD223" s="44"/>
      <c r="DE223" s="44" t="s">
        <v>1192</v>
      </c>
      <c r="DF223" s="44"/>
      <c r="DG223" s="44" t="s">
        <v>1192</v>
      </c>
      <c r="DH223" s="44" t="s">
        <v>1192</v>
      </c>
      <c r="DI223" s="44">
        <v>4.0000000000000001E-3</v>
      </c>
      <c r="DJ223" s="44"/>
      <c r="DK223" s="44"/>
      <c r="DL223" s="44">
        <v>1.0049999999999999</v>
      </c>
      <c r="DM223" s="44">
        <v>0.60899999999999999</v>
      </c>
      <c r="DN223" s="44">
        <v>3.6999999999999998E-2</v>
      </c>
      <c r="DO223" s="44" t="s">
        <v>1192</v>
      </c>
      <c r="DP223" s="44"/>
      <c r="DQ223" s="44"/>
      <c r="DR223" s="44"/>
      <c r="DS223" s="44"/>
      <c r="DT223" s="44"/>
      <c r="DU223" s="44"/>
      <c r="DV223" s="44"/>
      <c r="DW223" s="51"/>
      <c r="DX223" s="51"/>
      <c r="DY223" s="51"/>
      <c r="DZ223" s="45"/>
      <c r="EA223" s="45"/>
      <c r="EB223" s="45"/>
      <c r="EC223" s="45"/>
      <c r="ED223" s="45"/>
      <c r="EE223" s="45"/>
      <c r="EF223" s="45">
        <v>0</v>
      </c>
      <c r="EG223" s="45">
        <v>0</v>
      </c>
      <c r="EH223" s="45">
        <v>0</v>
      </c>
      <c r="EI223" s="45">
        <v>0</v>
      </c>
      <c r="EJ223" s="45">
        <v>0</v>
      </c>
      <c r="EK223" s="44">
        <v>0</v>
      </c>
      <c r="EL223" s="45"/>
      <c r="EM223" s="45"/>
      <c r="EN223" s="45"/>
      <c r="EO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row>
    <row r="224" spans="1:230" s="4" customFormat="1">
      <c r="A224" s="4" t="s">
        <v>1396</v>
      </c>
      <c r="B224" s="4" t="s">
        <v>1468</v>
      </c>
      <c r="C224" s="4" t="s">
        <v>24</v>
      </c>
      <c r="D224" t="str">
        <f t="shared" si="181"/>
        <v>saline</v>
      </c>
      <c r="E224" s="4" t="s">
        <v>119</v>
      </c>
      <c r="F224" s="4" t="s">
        <v>171</v>
      </c>
      <c r="G224" s="4" t="s">
        <v>120</v>
      </c>
      <c r="H224" s="4" t="s">
        <v>595</v>
      </c>
      <c r="I224" s="4">
        <v>53</v>
      </c>
      <c r="J224" s="4" t="s">
        <v>712</v>
      </c>
      <c r="K224" s="4" t="s">
        <v>1318</v>
      </c>
      <c r="L224" s="4" t="s">
        <v>968</v>
      </c>
      <c r="N224" s="4" t="s">
        <v>1225</v>
      </c>
      <c r="O224" s="4">
        <v>20</v>
      </c>
      <c r="P224" s="4">
        <v>4.5</v>
      </c>
      <c r="Q224" s="4">
        <v>6.1</v>
      </c>
      <c r="T224" s="4">
        <v>13.6</v>
      </c>
      <c r="U224" s="4">
        <v>5.5</v>
      </c>
      <c r="W224" s="4">
        <v>7.4</v>
      </c>
      <c r="X224" s="4">
        <v>11.8</v>
      </c>
      <c r="Y224" s="4">
        <v>22.4</v>
      </c>
      <c r="AC224" s="4">
        <v>11.9</v>
      </c>
      <c r="AE224" s="4">
        <v>26.6</v>
      </c>
      <c r="AJ224" s="4">
        <v>18.100000000000001</v>
      </c>
      <c r="AK224">
        <f t="shared" si="182"/>
        <v>109.80000000000001</v>
      </c>
      <c r="AL224" s="26">
        <f t="shared" si="183"/>
        <v>4.3353779340745344</v>
      </c>
      <c r="AM224" s="26">
        <f t="shared" si="184"/>
        <v>5.8768456439677017</v>
      </c>
      <c r="AN224" s="26">
        <f t="shared" si="185"/>
        <v>0</v>
      </c>
      <c r="AO224" s="26">
        <f t="shared" si="186"/>
        <v>13.102475534091926</v>
      </c>
      <c r="AP224" s="26">
        <f t="shared" si="187"/>
        <v>5.2987952527577642</v>
      </c>
      <c r="AQ224" s="26">
        <f t="shared" si="188"/>
        <v>7.1292881582559016</v>
      </c>
      <c r="AR224" s="26">
        <f t="shared" si="189"/>
        <v>11.464666092330436</v>
      </c>
      <c r="AS224" s="26">
        <f t="shared" si="190"/>
        <v>11.368324360462113</v>
      </c>
      <c r="AT224" s="26">
        <f t="shared" si="191"/>
        <v>21.580547938504349</v>
      </c>
      <c r="AU224" s="26">
        <f t="shared" si="192"/>
        <v>0</v>
      </c>
      <c r="AV224" s="26">
        <f t="shared" si="193"/>
        <v>25.626900676973918</v>
      </c>
      <c r="AW224" s="26">
        <f t="shared" si="194"/>
        <v>105.78322159141865</v>
      </c>
      <c r="AX224" s="26"/>
      <c r="AY224" s="26"/>
      <c r="BD224"/>
      <c r="BE224"/>
      <c r="BH224" s="4" t="s">
        <v>974</v>
      </c>
      <c r="BI224" s="4">
        <v>3</v>
      </c>
      <c r="BL224" s="44"/>
      <c r="BM224" s="44"/>
      <c r="BN224" s="44"/>
      <c r="BO224" s="44"/>
      <c r="BP224" s="44"/>
      <c r="BQ224" s="44"/>
      <c r="BR224" s="44"/>
      <c r="BS224" s="44"/>
      <c r="BT224" s="44"/>
      <c r="BU224" s="44" t="s">
        <v>1192</v>
      </c>
      <c r="BV224" s="44"/>
      <c r="BW224" s="44"/>
      <c r="BX224" s="44"/>
      <c r="BY224" s="44"/>
      <c r="BZ224" s="44"/>
      <c r="CA224" s="44"/>
      <c r="CB224" s="44"/>
      <c r="CC224" s="44"/>
      <c r="CD224" s="44"/>
      <c r="CE224" s="44"/>
      <c r="CF224" s="44"/>
      <c r="CG224" s="44"/>
      <c r="CH224" s="44"/>
      <c r="CI224" s="44">
        <v>0.33800000000000002</v>
      </c>
      <c r="CJ224" s="44">
        <v>1.9510000000000001</v>
      </c>
      <c r="CK224" s="44">
        <v>6.0000000000000001E-3</v>
      </c>
      <c r="CL224" s="44">
        <v>4.2999999999999997E-2</v>
      </c>
      <c r="CM224" s="44"/>
      <c r="CN224" s="44">
        <v>5.8999999999999997E-2</v>
      </c>
      <c r="CO224" s="44"/>
      <c r="CP224" s="44"/>
      <c r="CQ224" s="44"/>
      <c r="CR224" s="44"/>
      <c r="CS224" s="44"/>
      <c r="CT224" s="44">
        <v>84.56</v>
      </c>
      <c r="CU224" s="44"/>
      <c r="CV224" s="44">
        <v>0.34100000000000003</v>
      </c>
      <c r="CW224" s="44">
        <v>0.25800000000000001</v>
      </c>
      <c r="CX224" s="44">
        <v>1.6E-2</v>
      </c>
      <c r="CY224" s="44">
        <v>3.2000000000000001E-2</v>
      </c>
      <c r="CZ224" s="44" t="s">
        <v>1192</v>
      </c>
      <c r="DA224" s="44" t="s">
        <v>1192</v>
      </c>
      <c r="DB224" s="44">
        <v>1E-3</v>
      </c>
      <c r="DC224" s="44" t="s">
        <v>1192</v>
      </c>
      <c r="DD224" s="44"/>
      <c r="DE224" s="44" t="s">
        <v>1192</v>
      </c>
      <c r="DF224" s="44"/>
      <c r="DG224" s="44" t="s">
        <v>1192</v>
      </c>
      <c r="DH224" s="44" t="s">
        <v>1192</v>
      </c>
      <c r="DI224" s="44">
        <v>2E-3</v>
      </c>
      <c r="DJ224" s="44"/>
      <c r="DK224" s="44"/>
      <c r="DL224" s="44">
        <v>0.40100000000000002</v>
      </c>
      <c r="DM224" s="44">
        <v>0.14099999999999999</v>
      </c>
      <c r="DN224" s="44">
        <v>1.0999999999999999E-2</v>
      </c>
      <c r="DO224" s="44" t="s">
        <v>1192</v>
      </c>
      <c r="DP224" s="44"/>
      <c r="DQ224" s="44"/>
      <c r="DR224" s="44"/>
      <c r="DS224" s="44"/>
      <c r="DT224" s="44"/>
      <c r="DU224" s="44"/>
      <c r="DV224" s="44"/>
      <c r="DW224" s="51"/>
      <c r="DX224" s="51"/>
      <c r="DY224" s="51"/>
      <c r="DZ224" s="45"/>
      <c r="EA224" s="45"/>
      <c r="EB224" s="45"/>
      <c r="EC224" s="45"/>
      <c r="ED224" s="45"/>
      <c r="EE224" s="45"/>
      <c r="EF224" s="45">
        <v>0</v>
      </c>
      <c r="EG224" s="45">
        <v>0</v>
      </c>
      <c r="EH224" s="45">
        <v>0</v>
      </c>
      <c r="EI224" s="45">
        <v>0</v>
      </c>
      <c r="EJ224" s="45">
        <v>0</v>
      </c>
      <c r="EK224" s="44">
        <v>0</v>
      </c>
      <c r="EL224" s="45"/>
      <c r="EM224" s="45"/>
      <c r="EN224" s="45"/>
      <c r="EO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row>
    <row r="225" spans="1:230" s="4" customFormat="1">
      <c r="A225" s="4" t="s">
        <v>1396</v>
      </c>
      <c r="B225" s="4" t="s">
        <v>1468</v>
      </c>
      <c r="C225" s="4" t="s">
        <v>24</v>
      </c>
      <c r="D225" t="str">
        <f t="shared" si="181"/>
        <v>saline</v>
      </c>
      <c r="E225" s="4" t="s">
        <v>119</v>
      </c>
      <c r="F225" s="4" t="s">
        <v>171</v>
      </c>
      <c r="G225" s="4" t="s">
        <v>120</v>
      </c>
      <c r="H225" s="4" t="s">
        <v>595</v>
      </c>
      <c r="I225" s="4">
        <v>53</v>
      </c>
      <c r="J225" s="4" t="s">
        <v>712</v>
      </c>
      <c r="K225" s="4" t="s">
        <v>1318</v>
      </c>
      <c r="L225" s="4" t="s">
        <v>968</v>
      </c>
      <c r="N225" s="4" t="s">
        <v>1226</v>
      </c>
      <c r="O225" s="4">
        <v>20</v>
      </c>
      <c r="P225" s="4">
        <v>4.5</v>
      </c>
      <c r="Q225" s="4">
        <v>6.1</v>
      </c>
      <c r="T225" s="4">
        <v>13.6</v>
      </c>
      <c r="U225" s="4">
        <v>5.5</v>
      </c>
      <c r="W225" s="4">
        <v>7.4</v>
      </c>
      <c r="X225" s="4">
        <v>11.8</v>
      </c>
      <c r="Y225" s="4">
        <v>22.4</v>
      </c>
      <c r="AC225" s="4">
        <v>11.9</v>
      </c>
      <c r="AE225" s="4">
        <v>26.6</v>
      </c>
      <c r="AJ225" s="4">
        <v>19.100000000000001</v>
      </c>
      <c r="AK225">
        <f t="shared" si="182"/>
        <v>109.80000000000001</v>
      </c>
      <c r="AL225" s="26">
        <f t="shared" si="183"/>
        <v>4.3353779340745344</v>
      </c>
      <c r="AM225" s="26">
        <f t="shared" si="184"/>
        <v>5.8768456439677017</v>
      </c>
      <c r="AN225" s="26">
        <f t="shared" si="185"/>
        <v>0</v>
      </c>
      <c r="AO225" s="26">
        <f t="shared" si="186"/>
        <v>13.102475534091926</v>
      </c>
      <c r="AP225" s="26">
        <f t="shared" si="187"/>
        <v>5.2987952527577642</v>
      </c>
      <c r="AQ225" s="26">
        <f t="shared" si="188"/>
        <v>7.1292881582559016</v>
      </c>
      <c r="AR225" s="26">
        <f t="shared" si="189"/>
        <v>11.464666092330436</v>
      </c>
      <c r="AS225" s="26">
        <f t="shared" si="190"/>
        <v>11.368324360462113</v>
      </c>
      <c r="AT225" s="26">
        <f t="shared" si="191"/>
        <v>21.580547938504349</v>
      </c>
      <c r="AU225" s="26">
        <f t="shared" si="192"/>
        <v>0</v>
      </c>
      <c r="AV225" s="26">
        <f t="shared" si="193"/>
        <v>25.626900676973918</v>
      </c>
      <c r="AW225" s="26">
        <f t="shared" si="194"/>
        <v>105.78322159141865</v>
      </c>
      <c r="AX225" s="26"/>
      <c r="AY225" s="26"/>
      <c r="BD225"/>
      <c r="BE225"/>
      <c r="BH225" s="4" t="s">
        <v>974</v>
      </c>
      <c r="BI225" s="4">
        <v>3</v>
      </c>
      <c r="BL225" s="44"/>
      <c r="BM225" s="44"/>
      <c r="BN225" s="44"/>
      <c r="BO225" s="44"/>
      <c r="BP225" s="44"/>
      <c r="BQ225" s="44"/>
      <c r="BR225" s="44"/>
      <c r="BS225" s="44"/>
      <c r="BT225" s="44"/>
      <c r="BU225" s="44" t="s">
        <v>1192</v>
      </c>
      <c r="BV225" s="44"/>
      <c r="BW225" s="44"/>
      <c r="BX225" s="44"/>
      <c r="BY225" s="44"/>
      <c r="BZ225" s="44"/>
      <c r="CA225" s="44"/>
      <c r="CB225" s="44"/>
      <c r="CC225" s="44"/>
      <c r="CD225" s="44"/>
      <c r="CE225" s="44"/>
      <c r="CF225" s="44"/>
      <c r="CG225" s="44"/>
      <c r="CH225" s="44"/>
      <c r="CI225" s="44">
        <v>0.45200000000000001</v>
      </c>
      <c r="CJ225" s="44">
        <v>2.2410000000000001</v>
      </c>
      <c r="CK225" s="44" t="s">
        <v>1192</v>
      </c>
      <c r="CL225" s="44" t="s">
        <v>1192</v>
      </c>
      <c r="CM225" s="44"/>
      <c r="CN225" s="44">
        <v>0.104</v>
      </c>
      <c r="CO225" s="44"/>
      <c r="CP225" s="44"/>
      <c r="CQ225" s="44"/>
      <c r="CR225" s="44"/>
      <c r="CS225" s="44"/>
      <c r="CT225" s="44">
        <v>87.78</v>
      </c>
      <c r="CU225" s="44"/>
      <c r="CV225" s="44">
        <v>0.45600000000000002</v>
      </c>
      <c r="CW225" s="44">
        <v>0.33200000000000002</v>
      </c>
      <c r="CX225" s="44" t="s">
        <v>1192</v>
      </c>
      <c r="CY225" s="44" t="s">
        <v>1192</v>
      </c>
      <c r="CZ225" s="44" t="s">
        <v>1192</v>
      </c>
      <c r="DA225" s="44">
        <v>1E-3</v>
      </c>
      <c r="DB225" s="44" t="s">
        <v>1192</v>
      </c>
      <c r="DC225" s="44" t="s">
        <v>1192</v>
      </c>
      <c r="DD225" s="44"/>
      <c r="DE225" s="44" t="s">
        <v>1192</v>
      </c>
      <c r="DF225" s="44"/>
      <c r="DG225" s="44" t="s">
        <v>1192</v>
      </c>
      <c r="DH225" s="44" t="s">
        <v>1192</v>
      </c>
      <c r="DI225" s="44" t="s">
        <v>1192</v>
      </c>
      <c r="DJ225" s="44"/>
      <c r="DK225" s="44"/>
      <c r="DL225" s="44">
        <v>0.33400000000000002</v>
      </c>
      <c r="DM225" s="44">
        <v>0.28499999999999998</v>
      </c>
      <c r="DN225" s="44">
        <v>1.2999999999999999E-2</v>
      </c>
      <c r="DO225" s="44" t="s">
        <v>1192</v>
      </c>
      <c r="DP225" s="44"/>
      <c r="DQ225" s="44"/>
      <c r="DR225" s="44"/>
      <c r="DS225" s="44"/>
      <c r="DT225" s="44"/>
      <c r="DU225" s="44"/>
      <c r="DV225" s="44"/>
      <c r="DW225" s="51"/>
      <c r="DX225" s="51"/>
      <c r="DY225" s="51"/>
      <c r="DZ225" s="45"/>
      <c r="EA225" s="45"/>
      <c r="EB225" s="45"/>
      <c r="EC225" s="45"/>
      <c r="ED225" s="45"/>
      <c r="EE225" s="45"/>
      <c r="EF225" s="45">
        <v>0</v>
      </c>
      <c r="EG225" s="45">
        <v>0</v>
      </c>
      <c r="EH225" s="45">
        <v>0</v>
      </c>
      <c r="EI225" s="45">
        <v>0</v>
      </c>
      <c r="EJ225" s="45">
        <v>0</v>
      </c>
      <c r="EK225" s="44">
        <v>0</v>
      </c>
      <c r="EL225" s="45"/>
      <c r="EM225" s="45"/>
      <c r="EN225" s="45"/>
      <c r="EO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row>
    <row r="226" spans="1:230" s="4" customFormat="1">
      <c r="A226" s="4" t="s">
        <v>1431</v>
      </c>
      <c r="B226" s="4" t="s">
        <v>1468</v>
      </c>
      <c r="C226" s="4" t="s">
        <v>24</v>
      </c>
      <c r="D226" t="str">
        <f t="shared" si="181"/>
        <v>silicic</v>
      </c>
      <c r="F226" s="4" t="s">
        <v>388</v>
      </c>
      <c r="G226" s="4" t="s">
        <v>342</v>
      </c>
      <c r="H226" s="4" t="s">
        <v>640</v>
      </c>
      <c r="K226" s="4" t="s">
        <v>1311</v>
      </c>
      <c r="L226" s="4" t="s">
        <v>115</v>
      </c>
      <c r="N226" s="4" t="s">
        <v>1253</v>
      </c>
      <c r="O226" s="4">
        <v>25</v>
      </c>
      <c r="P226" s="4">
        <v>42.69</v>
      </c>
      <c r="Q226" s="4">
        <v>1.78</v>
      </c>
      <c r="S226" s="4">
        <v>5.84</v>
      </c>
      <c r="T226" s="4">
        <v>9.7799999999999994</v>
      </c>
      <c r="U226" s="4">
        <v>2.99</v>
      </c>
      <c r="W226" s="4">
        <v>8.92</v>
      </c>
      <c r="X226" s="4">
        <v>2.58</v>
      </c>
      <c r="Y226" s="4">
        <v>16.14</v>
      </c>
      <c r="AA226" s="4">
        <v>4.79</v>
      </c>
      <c r="AE226" s="4">
        <v>4.49</v>
      </c>
      <c r="AJ226" s="4">
        <v>16.850000000000001</v>
      </c>
      <c r="AK226">
        <f t="shared" si="182"/>
        <v>100</v>
      </c>
      <c r="AL226" s="26">
        <f t="shared" si="183"/>
        <v>43.126987700479894</v>
      </c>
      <c r="AM226" s="26">
        <f t="shared" si="184"/>
        <v>1.7982206162298948</v>
      </c>
      <c r="AN226" s="26">
        <f t="shared" si="185"/>
        <v>5.8997799993160598</v>
      </c>
      <c r="AO226" s="26">
        <f t="shared" si="186"/>
        <v>9.8801110262518943</v>
      </c>
      <c r="AP226" s="26">
        <f t="shared" si="187"/>
        <v>3.0206065407457228</v>
      </c>
      <c r="AQ226" s="26">
        <f t="shared" si="188"/>
        <v>9.0113078071745303</v>
      </c>
      <c r="AR226" s="26">
        <f t="shared" si="189"/>
        <v>0</v>
      </c>
      <c r="AS226" s="26">
        <f t="shared" si="190"/>
        <v>2.6064096572320952</v>
      </c>
      <c r="AT226" s="26">
        <f t="shared" si="191"/>
        <v>16.305213902219386</v>
      </c>
      <c r="AU226" s="26">
        <f t="shared" si="192"/>
        <v>4.8390318830006729</v>
      </c>
      <c r="AV226" s="26">
        <f t="shared" si="193"/>
        <v>4.5359609926248474</v>
      </c>
      <c r="AW226" s="26">
        <f t="shared" si="194"/>
        <v>101.02363012527501</v>
      </c>
      <c r="AX226" s="26"/>
      <c r="AY226" s="26"/>
      <c r="BD226"/>
      <c r="BE226"/>
      <c r="BL226" s="44"/>
      <c r="BM226" s="44"/>
      <c r="BN226" s="44"/>
      <c r="BO226" s="44"/>
      <c r="BP226" s="44"/>
      <c r="BQ226" s="44"/>
      <c r="BR226" s="44"/>
      <c r="BS226" s="44"/>
      <c r="BT226" s="44"/>
      <c r="BU226" s="44">
        <v>37.380000000000003</v>
      </c>
      <c r="BV226" s="44"/>
      <c r="BW226" s="44"/>
      <c r="BX226" s="44"/>
      <c r="BY226" s="44"/>
      <c r="BZ226" s="44"/>
      <c r="CA226" s="44"/>
      <c r="CB226" s="44"/>
      <c r="CC226" s="44"/>
      <c r="CD226" s="44"/>
      <c r="CE226" s="44"/>
      <c r="CF226" s="44"/>
      <c r="CG226" s="44"/>
      <c r="CH226" s="44"/>
      <c r="CI226" s="44">
        <v>0.25600000000000001</v>
      </c>
      <c r="CJ226" s="44">
        <v>4.4939999999999998</v>
      </c>
      <c r="CK226" s="44">
        <v>0.17</v>
      </c>
      <c r="CL226" s="44">
        <v>0.71399999999999997</v>
      </c>
      <c r="CM226" s="44"/>
      <c r="CN226" s="44">
        <v>0.114</v>
      </c>
      <c r="CO226" s="44"/>
      <c r="CP226" s="44"/>
      <c r="CQ226" s="44"/>
      <c r="CR226" s="44"/>
      <c r="CS226" s="44"/>
      <c r="CT226" s="44">
        <v>56.92</v>
      </c>
      <c r="CU226" s="44"/>
      <c r="CV226" s="44" t="s">
        <v>1191</v>
      </c>
      <c r="CW226" s="44" t="s">
        <v>1191</v>
      </c>
      <c r="CX226" s="44">
        <v>0.71599999999999997</v>
      </c>
      <c r="CY226" s="44">
        <v>2.0880000000000001</v>
      </c>
      <c r="CZ226" s="44">
        <v>0.182</v>
      </c>
      <c r="DA226" s="44">
        <v>0.06</v>
      </c>
      <c r="DB226" s="44" t="s">
        <v>1192</v>
      </c>
      <c r="DC226" s="44">
        <v>4.1000000000000002E-2</v>
      </c>
      <c r="DD226" s="44"/>
      <c r="DE226" s="44">
        <v>8.9999999999999993E-3</v>
      </c>
      <c r="DF226" s="44"/>
      <c r="DG226" s="44">
        <v>3.3000000000000002E-2</v>
      </c>
      <c r="DH226" s="44" t="s">
        <v>1192</v>
      </c>
      <c r="DI226" s="44">
        <v>3.3000000000000002E-2</v>
      </c>
      <c r="DJ226" s="44"/>
      <c r="DK226" s="44"/>
      <c r="DL226" s="44">
        <v>4.2679999999999998</v>
      </c>
      <c r="DM226" s="44">
        <v>0.246</v>
      </c>
      <c r="DN226" s="44">
        <v>2.9000000000000001E-2</v>
      </c>
      <c r="DO226" s="44" t="s">
        <v>1192</v>
      </c>
      <c r="DP226" s="44"/>
      <c r="DQ226" s="44"/>
      <c r="DR226" s="44"/>
      <c r="DS226" s="44"/>
      <c r="DT226" s="44"/>
      <c r="DU226" s="44"/>
      <c r="DV226" s="44"/>
      <c r="DW226" s="51">
        <v>0.71380999999999994</v>
      </c>
      <c r="DX226" s="51">
        <v>1.7000000000000001E-4</v>
      </c>
      <c r="DY226" s="51">
        <v>0.71380999999999994</v>
      </c>
      <c r="DZ226" s="45">
        <v>0</v>
      </c>
      <c r="EA226" s="52">
        <v>132.19999999999999</v>
      </c>
      <c r="EB226" s="45">
        <v>0</v>
      </c>
      <c r="EC226" s="45"/>
      <c r="ED226" s="45">
        <v>0</v>
      </c>
      <c r="EE226" s="45">
        <v>0</v>
      </c>
      <c r="EF226" s="45">
        <v>0</v>
      </c>
      <c r="EG226" s="45">
        <v>0</v>
      </c>
      <c r="EH226" s="45">
        <v>0</v>
      </c>
      <c r="EI226" s="45">
        <v>0</v>
      </c>
      <c r="EJ226" s="45">
        <v>0</v>
      </c>
      <c r="EK226" s="44">
        <v>0</v>
      </c>
      <c r="EL226" s="45"/>
      <c r="EM226" s="45"/>
      <c r="EN226" s="45"/>
      <c r="EO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row>
    <row r="227" spans="1:230" s="4" customFormat="1">
      <c r="A227" s="4" t="s">
        <v>1431</v>
      </c>
      <c r="B227" s="4" t="s">
        <v>1468</v>
      </c>
      <c r="C227" s="4" t="s">
        <v>24</v>
      </c>
      <c r="D227" t="str">
        <f t="shared" si="181"/>
        <v>silicic</v>
      </c>
      <c r="F227" s="4" t="s">
        <v>388</v>
      </c>
      <c r="G227" s="4" t="s">
        <v>342</v>
      </c>
      <c r="H227" s="4" t="s">
        <v>640</v>
      </c>
      <c r="K227" s="4" t="s">
        <v>1311</v>
      </c>
      <c r="L227" s="4" t="s">
        <v>115</v>
      </c>
      <c r="N227" s="4" t="s">
        <v>1254</v>
      </c>
      <c r="O227" s="4">
        <v>25</v>
      </c>
      <c r="P227" s="4">
        <v>42.69</v>
      </c>
      <c r="Q227" s="4">
        <v>1.78</v>
      </c>
      <c r="S227" s="4">
        <v>5.84</v>
      </c>
      <c r="T227" s="4">
        <v>9.7799999999999994</v>
      </c>
      <c r="U227" s="4">
        <v>2.99</v>
      </c>
      <c r="W227" s="4">
        <v>8.92</v>
      </c>
      <c r="X227" s="4">
        <v>2.58</v>
      </c>
      <c r="Y227" s="4">
        <v>16.14</v>
      </c>
      <c r="AA227" s="4">
        <v>4.79</v>
      </c>
      <c r="AE227" s="4">
        <v>4.49</v>
      </c>
      <c r="AJ227" s="4">
        <v>16.850000000000001</v>
      </c>
      <c r="AK227">
        <f t="shared" si="182"/>
        <v>100</v>
      </c>
      <c r="AL227" s="26">
        <f t="shared" si="183"/>
        <v>43.126987700479894</v>
      </c>
      <c r="AM227" s="26">
        <f t="shared" si="184"/>
        <v>1.7982206162298948</v>
      </c>
      <c r="AN227" s="26">
        <f t="shared" si="185"/>
        <v>5.8997799993160598</v>
      </c>
      <c r="AO227" s="26">
        <f t="shared" si="186"/>
        <v>9.8801110262518943</v>
      </c>
      <c r="AP227" s="26">
        <f t="shared" si="187"/>
        <v>3.0206065407457228</v>
      </c>
      <c r="AQ227" s="26">
        <f t="shared" si="188"/>
        <v>9.0113078071745303</v>
      </c>
      <c r="AR227" s="26">
        <f t="shared" si="189"/>
        <v>0</v>
      </c>
      <c r="AS227" s="26">
        <f t="shared" si="190"/>
        <v>2.6064096572320952</v>
      </c>
      <c r="AT227" s="26">
        <f t="shared" si="191"/>
        <v>16.305213902219386</v>
      </c>
      <c r="AU227" s="26">
        <f t="shared" si="192"/>
        <v>4.8390318830006729</v>
      </c>
      <c r="AV227" s="26">
        <f t="shared" si="193"/>
        <v>4.5359609926248474</v>
      </c>
      <c r="AW227" s="26">
        <f t="shared" si="194"/>
        <v>101.02363012527501</v>
      </c>
      <c r="AX227" s="26"/>
      <c r="AY227" s="26"/>
      <c r="BD227"/>
      <c r="BE227"/>
      <c r="BL227" s="44"/>
      <c r="BM227" s="44"/>
      <c r="BN227" s="44"/>
      <c r="BO227" s="44"/>
      <c r="BP227" s="44"/>
      <c r="BQ227" s="44"/>
      <c r="BR227" s="44"/>
      <c r="BS227" s="44"/>
      <c r="BT227" s="44"/>
      <c r="BU227" s="44">
        <v>91.43</v>
      </c>
      <c r="BV227" s="44"/>
      <c r="BW227" s="44"/>
      <c r="BX227" s="44"/>
      <c r="BY227" s="44"/>
      <c r="BZ227" s="44"/>
      <c r="CA227" s="44"/>
      <c r="CB227" s="44"/>
      <c r="CC227" s="44"/>
      <c r="CD227" s="44"/>
      <c r="CE227" s="44"/>
      <c r="CF227" s="44"/>
      <c r="CG227" s="44"/>
      <c r="CH227" s="44"/>
      <c r="CI227" s="44" t="s">
        <v>1192</v>
      </c>
      <c r="CJ227" s="44">
        <v>5.5609999999999999</v>
      </c>
      <c r="CK227" s="44">
        <v>0.46600000000000003</v>
      </c>
      <c r="CL227" s="44">
        <v>0.73799999999999999</v>
      </c>
      <c r="CM227" s="44"/>
      <c r="CN227" s="44">
        <v>8.8999999999999996E-2</v>
      </c>
      <c r="CO227" s="44"/>
      <c r="CP227" s="44"/>
      <c r="CQ227" s="44"/>
      <c r="CR227" s="44"/>
      <c r="CS227" s="44"/>
      <c r="CT227" s="44">
        <v>39.51</v>
      </c>
      <c r="CU227" s="44"/>
      <c r="CV227" s="44">
        <v>17.25</v>
      </c>
      <c r="CW227" s="44">
        <v>19.850000000000001</v>
      </c>
      <c r="CX227" s="44">
        <v>1.97</v>
      </c>
      <c r="CY227" s="44">
        <v>5.524</v>
      </c>
      <c r="CZ227" s="44">
        <v>0.376</v>
      </c>
      <c r="DA227" s="44">
        <v>0.158</v>
      </c>
      <c r="DB227" s="44">
        <v>0.40699999999999997</v>
      </c>
      <c r="DC227" s="44">
        <v>0.17599999999999999</v>
      </c>
      <c r="DD227" s="44"/>
      <c r="DE227" s="44">
        <v>3.9E-2</v>
      </c>
      <c r="DF227" s="44"/>
      <c r="DG227" s="44">
        <v>0.10199999999999999</v>
      </c>
      <c r="DH227" s="44">
        <v>4.1000000000000002E-2</v>
      </c>
      <c r="DI227" s="44">
        <v>0.02</v>
      </c>
      <c r="DJ227" s="44"/>
      <c r="DK227" s="44"/>
      <c r="DL227" s="44">
        <v>2.3109999999999999</v>
      </c>
      <c r="DM227" s="44">
        <v>0.51600000000000001</v>
      </c>
      <c r="DN227" s="44">
        <v>1.6E-2</v>
      </c>
      <c r="DO227" s="44">
        <v>3.5999999999999997E-2</v>
      </c>
      <c r="DP227" s="44"/>
      <c r="DQ227" s="44"/>
      <c r="DR227" s="44"/>
      <c r="DS227" s="44"/>
      <c r="DT227" s="44"/>
      <c r="DU227" s="44"/>
      <c r="DV227" s="44"/>
      <c r="DW227" s="51">
        <v>0.71065999999999996</v>
      </c>
      <c r="DX227" s="51">
        <v>2.1000000000000001E-4</v>
      </c>
      <c r="DY227" s="51">
        <v>0.71048</v>
      </c>
      <c r="DZ227" s="45">
        <v>0</v>
      </c>
      <c r="EA227" s="52">
        <v>86.15</v>
      </c>
      <c r="EB227" s="45">
        <v>0</v>
      </c>
      <c r="EC227" s="45"/>
      <c r="ED227" s="45">
        <v>0</v>
      </c>
      <c r="EE227" s="45">
        <v>0</v>
      </c>
      <c r="EF227" s="45">
        <v>0</v>
      </c>
      <c r="EG227" s="45">
        <v>0</v>
      </c>
      <c r="EH227" s="45">
        <v>0</v>
      </c>
      <c r="EI227" s="45">
        <v>0</v>
      </c>
      <c r="EJ227" s="45">
        <v>0</v>
      </c>
      <c r="EK227" s="44">
        <v>0</v>
      </c>
      <c r="EL227" s="45"/>
      <c r="EM227" s="45"/>
      <c r="EN227" s="45"/>
      <c r="EO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row>
    <row r="228" spans="1:230" s="4" customFormat="1">
      <c r="A228" s="4" t="s">
        <v>772</v>
      </c>
      <c r="B228" s="4" t="s">
        <v>1468</v>
      </c>
      <c r="C228" s="4" t="s">
        <v>24</v>
      </c>
      <c r="D228" t="str">
        <f t="shared" si="181"/>
        <v>silicic</v>
      </c>
      <c r="E228" s="4" t="s">
        <v>119</v>
      </c>
      <c r="F228" s="4" t="s">
        <v>1394</v>
      </c>
      <c r="G228" s="4" t="s">
        <v>1728</v>
      </c>
      <c r="H228" s="4" t="s">
        <v>595</v>
      </c>
      <c r="I228" s="4">
        <v>84</v>
      </c>
      <c r="K228" s="4" t="s">
        <v>635</v>
      </c>
      <c r="L228" s="4" t="s">
        <v>585</v>
      </c>
      <c r="M228" s="4" t="s">
        <v>778</v>
      </c>
      <c r="N228" s="4" t="s">
        <v>579</v>
      </c>
      <c r="O228" s="4">
        <v>50</v>
      </c>
      <c r="P228" s="4">
        <v>47.87</v>
      </c>
      <c r="Q228" s="4">
        <v>1.1100000000000001</v>
      </c>
      <c r="S228" s="4">
        <v>6.07</v>
      </c>
      <c r="T228" s="4">
        <v>7.13</v>
      </c>
      <c r="U228" s="4">
        <v>5.78</v>
      </c>
      <c r="W228" s="4">
        <v>3.75</v>
      </c>
      <c r="X228" s="4">
        <v>0.96</v>
      </c>
      <c r="Y228" s="4">
        <v>18.47</v>
      </c>
      <c r="AA228" s="4">
        <v>5.03</v>
      </c>
      <c r="AC228" s="4">
        <v>1.77</v>
      </c>
      <c r="AE228" s="4">
        <v>2.62</v>
      </c>
      <c r="AJ228" s="4">
        <v>5.98</v>
      </c>
      <c r="AK228">
        <f t="shared" si="182"/>
        <v>100.55999999999999</v>
      </c>
      <c r="AL228" s="26">
        <f t="shared" si="183"/>
        <v>47.884966584760491</v>
      </c>
      <c r="AM228" s="26">
        <f t="shared" si="184"/>
        <v>1.1103470421784865</v>
      </c>
      <c r="AN228" s="26">
        <f t="shared" si="185"/>
        <v>6.0718977892102819</v>
      </c>
      <c r="AO228" s="26">
        <f t="shared" si="186"/>
        <v>7.1322291988582061</v>
      </c>
      <c r="AP228" s="26">
        <f t="shared" si="187"/>
        <v>5.7818071205330197</v>
      </c>
      <c r="AQ228" s="26">
        <f t="shared" si="188"/>
        <v>3.751172439792184</v>
      </c>
      <c r="AR228" s="26">
        <f t="shared" si="189"/>
        <v>1.7705533915819107</v>
      </c>
      <c r="AS228" s="26">
        <f t="shared" si="190"/>
        <v>0.96030014458679902</v>
      </c>
      <c r="AT228" s="26">
        <f t="shared" si="191"/>
        <v>18.47577465678977</v>
      </c>
      <c r="AU228" s="26">
        <f t="shared" si="192"/>
        <v>5.0315726325745835</v>
      </c>
      <c r="AV228" s="26">
        <f t="shared" si="193"/>
        <v>2.6208191446014726</v>
      </c>
      <c r="AW228" s="26">
        <f t="shared" si="194"/>
        <v>100.5914401454672</v>
      </c>
      <c r="AX228" s="26"/>
      <c r="AY228" s="26"/>
      <c r="BD228"/>
      <c r="BE228"/>
      <c r="BH228" s="4">
        <v>640</v>
      </c>
      <c r="BI228" s="4">
        <v>25</v>
      </c>
      <c r="BL228" s="44"/>
      <c r="BM228" s="44"/>
      <c r="BN228" s="44"/>
      <c r="BO228" s="44"/>
      <c r="BP228" s="44"/>
      <c r="BQ228" s="44"/>
      <c r="BR228" s="44"/>
      <c r="BS228" s="44">
        <v>457.58</v>
      </c>
      <c r="BT228" s="44"/>
      <c r="BU228" s="44">
        <v>20.149000000000001</v>
      </c>
      <c r="BV228" s="44"/>
      <c r="BW228" s="44"/>
      <c r="BX228" s="44"/>
      <c r="BY228" s="44"/>
      <c r="BZ228" s="44"/>
      <c r="CA228" s="44"/>
      <c r="CB228" s="44"/>
      <c r="CC228" s="44"/>
      <c r="CD228" s="44"/>
      <c r="CE228" s="44"/>
      <c r="CF228" s="44"/>
      <c r="CG228" s="44"/>
      <c r="CH228" s="44"/>
      <c r="CI228" s="44">
        <v>2.19</v>
      </c>
      <c r="CJ228" s="44">
        <v>19.539000000000001</v>
      </c>
      <c r="CK228" s="44">
        <v>2.1299999999999999E-2</v>
      </c>
      <c r="CL228" s="44">
        <v>4.6689999999999996</v>
      </c>
      <c r="CM228" s="44"/>
      <c r="CN228" s="44">
        <v>0.39700000000000002</v>
      </c>
      <c r="CO228" s="44"/>
      <c r="CP228" s="44"/>
      <c r="CQ228" s="44"/>
      <c r="CR228" s="44"/>
      <c r="CS228" s="44">
        <v>9.4899999999999998E-2</v>
      </c>
      <c r="CT228" s="44">
        <v>55.88</v>
      </c>
      <c r="CU228" s="44"/>
      <c r="CV228" s="44">
        <v>2.1</v>
      </c>
      <c r="CW228" s="44">
        <v>3.25</v>
      </c>
      <c r="CX228" s="44">
        <v>0.42199999999999999</v>
      </c>
      <c r="CY228" s="44">
        <v>1.498</v>
      </c>
      <c r="CZ228" s="44">
        <v>0.14799999999999999</v>
      </c>
      <c r="DA228" s="44">
        <v>3.27E-2</v>
      </c>
      <c r="DB228" s="44">
        <v>4.9799999999999997E-2</v>
      </c>
      <c r="DC228" s="44"/>
      <c r="DD228" s="44"/>
      <c r="DE228" s="44"/>
      <c r="DF228" s="44"/>
      <c r="DG228" s="44"/>
      <c r="DH228" s="44"/>
      <c r="DI228" s="44">
        <v>0.12230000000000001</v>
      </c>
      <c r="DJ228" s="44">
        <v>1.66E-2</v>
      </c>
      <c r="DK228" s="44"/>
      <c r="DL228" s="44"/>
      <c r="DM228" s="44">
        <v>0.47099999999999997</v>
      </c>
      <c r="DN228" s="44">
        <v>0.1206</v>
      </c>
      <c r="DO228" s="44"/>
      <c r="DP228" s="44"/>
      <c r="DQ228" s="44"/>
      <c r="DR228" s="44"/>
      <c r="DS228" s="44"/>
      <c r="DT228" s="44"/>
      <c r="DU228" s="44"/>
      <c r="DV228" s="44"/>
      <c r="DW228" s="51"/>
      <c r="DX228" s="51"/>
      <c r="DY228" s="51"/>
      <c r="DZ228" s="45"/>
      <c r="EA228" s="52"/>
      <c r="EB228" s="45"/>
      <c r="EC228" s="45"/>
      <c r="ED228" s="45"/>
      <c r="EE228" s="45"/>
      <c r="EF228" s="45"/>
      <c r="EG228" s="45">
        <v>0</v>
      </c>
      <c r="EH228" s="45">
        <v>0</v>
      </c>
      <c r="EI228" s="45">
        <v>0</v>
      </c>
      <c r="EJ228" s="45">
        <v>0</v>
      </c>
      <c r="EK228" s="44">
        <v>0</v>
      </c>
      <c r="EL228" s="45"/>
      <c r="EM228" s="45"/>
      <c r="EN228" s="45"/>
      <c r="EO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row>
    <row r="229" spans="1:230" s="4" customFormat="1">
      <c r="A229" s="4" t="s">
        <v>772</v>
      </c>
      <c r="B229" s="4" t="s">
        <v>1468</v>
      </c>
      <c r="C229" s="4" t="s">
        <v>24</v>
      </c>
      <c r="D229" t="str">
        <f t="shared" si="181"/>
        <v>silicic</v>
      </c>
      <c r="E229" s="4" t="s">
        <v>119</v>
      </c>
      <c r="F229" s="4" t="s">
        <v>1394</v>
      </c>
      <c r="G229" s="4" t="s">
        <v>1728</v>
      </c>
      <c r="H229" s="4" t="s">
        <v>595</v>
      </c>
      <c r="I229" s="4">
        <v>84</v>
      </c>
      <c r="K229" s="4" t="s">
        <v>635</v>
      </c>
      <c r="L229" s="4" t="s">
        <v>585</v>
      </c>
      <c r="M229" s="4" t="s">
        <v>779</v>
      </c>
      <c r="N229" s="4" t="s">
        <v>579</v>
      </c>
      <c r="O229" s="4">
        <v>50</v>
      </c>
      <c r="P229" s="4">
        <v>47.87</v>
      </c>
      <c r="Q229" s="4">
        <v>1.1100000000000001</v>
      </c>
      <c r="S229" s="4">
        <v>6.07</v>
      </c>
      <c r="T229" s="4">
        <v>7.13</v>
      </c>
      <c r="U229" s="4">
        <v>5.78</v>
      </c>
      <c r="W229" s="4">
        <v>3.75</v>
      </c>
      <c r="X229" s="4">
        <v>0.96</v>
      </c>
      <c r="Y229" s="4">
        <v>18.47</v>
      </c>
      <c r="AA229" s="4">
        <v>5.03</v>
      </c>
      <c r="AC229" s="4">
        <v>1.77</v>
      </c>
      <c r="AE229" s="4">
        <v>2.62</v>
      </c>
      <c r="AJ229" s="4">
        <v>5.98</v>
      </c>
      <c r="AK229">
        <f t="shared" si="182"/>
        <v>100.55999999999999</v>
      </c>
      <c r="AL229" s="26">
        <f t="shared" si="183"/>
        <v>47.884966584760491</v>
      </c>
      <c r="AM229" s="26">
        <f t="shared" si="184"/>
        <v>1.1103470421784865</v>
      </c>
      <c r="AN229" s="26">
        <f t="shared" si="185"/>
        <v>6.0718977892102819</v>
      </c>
      <c r="AO229" s="26">
        <f t="shared" si="186"/>
        <v>7.1322291988582061</v>
      </c>
      <c r="AP229" s="26">
        <f t="shared" si="187"/>
        <v>5.7818071205330197</v>
      </c>
      <c r="AQ229" s="26">
        <f t="shared" si="188"/>
        <v>3.751172439792184</v>
      </c>
      <c r="AR229" s="26">
        <f t="shared" si="189"/>
        <v>1.7705533915819107</v>
      </c>
      <c r="AS229" s="26">
        <f t="shared" si="190"/>
        <v>0.96030014458679902</v>
      </c>
      <c r="AT229" s="26">
        <f t="shared" si="191"/>
        <v>18.47577465678977</v>
      </c>
      <c r="AU229" s="26">
        <f t="shared" si="192"/>
        <v>5.0315726325745835</v>
      </c>
      <c r="AV229" s="26">
        <f t="shared" si="193"/>
        <v>2.6208191446014726</v>
      </c>
      <c r="AW229" s="26">
        <f t="shared" si="194"/>
        <v>100.5914401454672</v>
      </c>
      <c r="AX229" s="26"/>
      <c r="AY229" s="26"/>
      <c r="BD229"/>
      <c r="BE229"/>
      <c r="BH229" s="4">
        <v>640</v>
      </c>
      <c r="BI229" s="4">
        <v>25</v>
      </c>
      <c r="BL229" s="44"/>
      <c r="BM229" s="44"/>
      <c r="BN229" s="44"/>
      <c r="BO229" s="44"/>
      <c r="BP229" s="44"/>
      <c r="BQ229" s="44"/>
      <c r="BR229" s="44"/>
      <c r="BS229" s="44">
        <v>112.04</v>
      </c>
      <c r="BT229" s="44"/>
      <c r="BU229" s="44">
        <v>4.2789999999999999</v>
      </c>
      <c r="BV229" s="44"/>
      <c r="BW229" s="44"/>
      <c r="BX229" s="44"/>
      <c r="BY229" s="44"/>
      <c r="BZ229" s="44"/>
      <c r="CA229" s="44"/>
      <c r="CB229" s="44"/>
      <c r="CC229" s="44"/>
      <c r="CD229" s="44"/>
      <c r="CE229" s="44"/>
      <c r="CF229" s="44"/>
      <c r="CG229" s="44"/>
      <c r="CH229" s="44"/>
      <c r="CI229" s="44">
        <v>0.54400000000000004</v>
      </c>
      <c r="CJ229" s="44">
        <v>2.8290000000000002</v>
      </c>
      <c r="CK229" s="44">
        <v>2.0999999999999999E-3</v>
      </c>
      <c r="CL229" s="44">
        <v>0.73799999999999999</v>
      </c>
      <c r="CM229" s="44"/>
      <c r="CN229" s="44">
        <v>6.8400000000000002E-2</v>
      </c>
      <c r="CO229" s="44"/>
      <c r="CP229" s="44"/>
      <c r="CQ229" s="44"/>
      <c r="CR229" s="44"/>
      <c r="CS229" s="44">
        <v>2.3699999999999999E-2</v>
      </c>
      <c r="CT229" s="44">
        <v>11.45</v>
      </c>
      <c r="CU229" s="44"/>
      <c r="CV229" s="44">
        <v>0.249</v>
      </c>
      <c r="CW229" s="44">
        <v>0.38900000000000001</v>
      </c>
      <c r="CX229" s="44">
        <v>8.9499999999999996E-2</v>
      </c>
      <c r="CY229" s="44">
        <v>0.182</v>
      </c>
      <c r="CZ229" s="44">
        <v>2.1499999999999998E-2</v>
      </c>
      <c r="DA229" s="44">
        <v>3.5000000000000001E-3</v>
      </c>
      <c r="DB229" s="44"/>
      <c r="DC229" s="44"/>
      <c r="DD229" s="44"/>
      <c r="DE229" s="44"/>
      <c r="DF229" s="44"/>
      <c r="DG229" s="44"/>
      <c r="DH229" s="44"/>
      <c r="DI229" s="44">
        <v>2.1600000000000001E-2</v>
      </c>
      <c r="DJ229" s="44">
        <v>3.8800000000000002E-3</v>
      </c>
      <c r="DK229" s="44"/>
      <c r="DL229" s="44"/>
      <c r="DM229" s="44">
        <v>6.4500000000000002E-2</v>
      </c>
      <c r="DN229" s="44">
        <v>0.02</v>
      </c>
      <c r="DO229" s="44"/>
      <c r="DP229" s="44"/>
      <c r="DQ229" s="44"/>
      <c r="DR229" s="44"/>
      <c r="DS229" s="44"/>
      <c r="DT229" s="44"/>
      <c r="DU229" s="44"/>
      <c r="DV229" s="44"/>
      <c r="DW229" s="51"/>
      <c r="DX229" s="51"/>
      <c r="DY229" s="51"/>
      <c r="DZ229" s="45"/>
      <c r="EA229" s="52"/>
      <c r="EB229" s="45"/>
      <c r="EC229" s="45"/>
      <c r="ED229" s="45"/>
      <c r="EE229" s="45"/>
      <c r="EF229" s="45"/>
      <c r="EG229" s="45">
        <v>0</v>
      </c>
      <c r="EH229" s="45">
        <v>0</v>
      </c>
      <c r="EI229" s="45">
        <v>0</v>
      </c>
      <c r="EJ229" s="45">
        <v>0</v>
      </c>
      <c r="EK229" s="44">
        <v>0</v>
      </c>
      <c r="EL229" s="45"/>
      <c r="EM229" s="45"/>
      <c r="EN229" s="45"/>
      <c r="EO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row>
    <row r="230" spans="1:230" s="4" customFormat="1">
      <c r="A230" s="4" t="s">
        <v>772</v>
      </c>
      <c r="B230" s="4" t="s">
        <v>1468</v>
      </c>
      <c r="C230" s="4" t="s">
        <v>24</v>
      </c>
      <c r="D230" t="str">
        <f t="shared" si="181"/>
        <v>silicic</v>
      </c>
      <c r="E230" s="4" t="s">
        <v>119</v>
      </c>
      <c r="F230" s="4" t="s">
        <v>1394</v>
      </c>
      <c r="G230" s="4" t="s">
        <v>1728</v>
      </c>
      <c r="H230" s="4" t="s">
        <v>595</v>
      </c>
      <c r="I230" s="4">
        <v>84</v>
      </c>
      <c r="K230" s="4" t="s">
        <v>635</v>
      </c>
      <c r="L230" s="4" t="s">
        <v>585</v>
      </c>
      <c r="M230" s="4" t="s">
        <v>780</v>
      </c>
      <c r="N230" s="4" t="s">
        <v>579</v>
      </c>
      <c r="O230" s="4">
        <v>50</v>
      </c>
      <c r="P230" s="4">
        <v>47.87</v>
      </c>
      <c r="Q230" s="4">
        <v>1.1100000000000001</v>
      </c>
      <c r="S230" s="4">
        <v>6.07</v>
      </c>
      <c r="T230" s="4">
        <v>7.13</v>
      </c>
      <c r="U230" s="4">
        <v>5.78</v>
      </c>
      <c r="W230" s="4">
        <v>3.75</v>
      </c>
      <c r="X230" s="4">
        <v>0.96</v>
      </c>
      <c r="Y230" s="4">
        <v>18.47</v>
      </c>
      <c r="AA230" s="4">
        <v>5.03</v>
      </c>
      <c r="AC230" s="4">
        <v>1.77</v>
      </c>
      <c r="AE230" s="4">
        <v>2.62</v>
      </c>
      <c r="AJ230" s="4">
        <v>5.98</v>
      </c>
      <c r="AK230">
        <f t="shared" si="182"/>
        <v>100.55999999999999</v>
      </c>
      <c r="AL230" s="26">
        <f t="shared" si="183"/>
        <v>47.884966584760491</v>
      </c>
      <c r="AM230" s="26">
        <f t="shared" si="184"/>
        <v>1.1103470421784865</v>
      </c>
      <c r="AN230" s="26">
        <f t="shared" si="185"/>
        <v>6.0718977892102819</v>
      </c>
      <c r="AO230" s="26">
        <f t="shared" si="186"/>
        <v>7.1322291988582061</v>
      </c>
      <c r="AP230" s="26">
        <f t="shared" si="187"/>
        <v>5.7818071205330197</v>
      </c>
      <c r="AQ230" s="26">
        <f t="shared" si="188"/>
        <v>3.751172439792184</v>
      </c>
      <c r="AR230" s="26">
        <f t="shared" si="189"/>
        <v>1.7705533915819107</v>
      </c>
      <c r="AS230" s="26">
        <f t="shared" si="190"/>
        <v>0.96030014458679902</v>
      </c>
      <c r="AT230" s="26">
        <f t="shared" si="191"/>
        <v>18.47577465678977</v>
      </c>
      <c r="AU230" s="26">
        <f t="shared" si="192"/>
        <v>5.0315726325745835</v>
      </c>
      <c r="AV230" s="26">
        <f t="shared" si="193"/>
        <v>2.6208191446014726</v>
      </c>
      <c r="AW230" s="26">
        <f t="shared" si="194"/>
        <v>100.5914401454672</v>
      </c>
      <c r="AX230" s="26"/>
      <c r="AY230" s="26"/>
      <c r="BD230"/>
      <c r="BE230"/>
      <c r="BH230" s="4">
        <v>640</v>
      </c>
      <c r="BI230" s="4">
        <v>25</v>
      </c>
      <c r="BL230" s="44"/>
      <c r="BM230" s="44"/>
      <c r="BN230" s="44"/>
      <c r="BO230" s="44"/>
      <c r="BP230" s="44"/>
      <c r="BQ230" s="44"/>
      <c r="BR230" s="44"/>
      <c r="BS230" s="44">
        <v>149.68</v>
      </c>
      <c r="BT230" s="44"/>
      <c r="BU230" s="44">
        <v>5.1689999999999996</v>
      </c>
      <c r="BV230" s="44"/>
      <c r="BW230" s="44"/>
      <c r="BX230" s="44"/>
      <c r="BY230" s="44"/>
      <c r="BZ230" s="44"/>
      <c r="CA230" s="44"/>
      <c r="CB230" s="44"/>
      <c r="CC230" s="44"/>
      <c r="CD230" s="44"/>
      <c r="CE230" s="44"/>
      <c r="CF230" s="44"/>
      <c r="CG230" s="44"/>
      <c r="CH230" s="44"/>
      <c r="CI230" s="44">
        <v>0.71799999999999997</v>
      </c>
      <c r="CJ230" s="44">
        <v>3.9390000000000001</v>
      </c>
      <c r="CK230" s="44">
        <v>2.8999999999999998E-3</v>
      </c>
      <c r="CL230" s="44">
        <v>1.046</v>
      </c>
      <c r="CM230" s="44"/>
      <c r="CN230" s="44">
        <v>9.1999999999999998E-2</v>
      </c>
      <c r="CO230" s="44"/>
      <c r="CP230" s="44"/>
      <c r="CQ230" s="44"/>
      <c r="CR230" s="44"/>
      <c r="CS230" s="44">
        <v>3.27E-2</v>
      </c>
      <c r="CT230" s="44">
        <v>15.73</v>
      </c>
      <c r="CU230" s="44"/>
      <c r="CV230" s="44">
        <v>0.35799999999999998</v>
      </c>
      <c r="CW230" s="44">
        <v>0.54500000000000004</v>
      </c>
      <c r="CX230" s="44">
        <v>7.2800000000000004E-2</v>
      </c>
      <c r="CY230" s="44">
        <v>0.26600000000000001</v>
      </c>
      <c r="CZ230" s="44">
        <v>2.24E-2</v>
      </c>
      <c r="DA230" s="44">
        <v>6.1000000000000004E-3</v>
      </c>
      <c r="DB230" s="44">
        <v>1.15E-2</v>
      </c>
      <c r="DC230" s="44">
        <v>4.5999999999999999E-3</v>
      </c>
      <c r="DD230" s="44"/>
      <c r="DE230" s="44">
        <v>5.0000000000000001E-3</v>
      </c>
      <c r="DF230" s="44"/>
      <c r="DG230" s="44"/>
      <c r="DH230" s="44"/>
      <c r="DI230" s="44">
        <v>2.9499999999999998E-2</v>
      </c>
      <c r="DJ230" s="44">
        <v>6.1000000000000004E-3</v>
      </c>
      <c r="DK230" s="44"/>
      <c r="DL230" s="44"/>
      <c r="DM230" s="44">
        <v>8.7499999999999994E-2</v>
      </c>
      <c r="DN230" s="44">
        <v>2.5999999999999999E-2</v>
      </c>
      <c r="DO230" s="44"/>
      <c r="DP230" s="44"/>
      <c r="DQ230" s="44"/>
      <c r="DR230" s="44"/>
      <c r="DS230" s="44"/>
      <c r="DT230" s="44"/>
      <c r="DU230" s="44"/>
      <c r="DV230" s="44"/>
      <c r="DW230" s="51"/>
      <c r="DX230" s="51"/>
      <c r="DY230" s="51"/>
      <c r="DZ230" s="45"/>
      <c r="EA230" s="52"/>
      <c r="EB230" s="45"/>
      <c r="EC230" s="45"/>
      <c r="ED230" s="45"/>
      <c r="EE230" s="45"/>
      <c r="EF230" s="45"/>
      <c r="EG230" s="45">
        <v>0</v>
      </c>
      <c r="EH230" s="45">
        <v>0</v>
      </c>
      <c r="EI230" s="45">
        <v>0</v>
      </c>
      <c r="EJ230" s="45">
        <v>0</v>
      </c>
      <c r="EK230" s="44">
        <v>0</v>
      </c>
      <c r="EL230" s="45"/>
      <c r="EM230" s="45"/>
      <c r="EN230" s="45"/>
      <c r="EO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row>
    <row r="231" spans="1:230" s="4" customFormat="1">
      <c r="A231" s="4" t="s">
        <v>1362</v>
      </c>
      <c r="B231" s="4" t="s">
        <v>1468</v>
      </c>
      <c r="C231" s="4" t="s">
        <v>24</v>
      </c>
      <c r="D231" t="str">
        <f t="shared" si="181"/>
        <v>silicic</v>
      </c>
      <c r="E231" s="4" t="s">
        <v>1265</v>
      </c>
      <c r="F231" s="4" t="s">
        <v>171</v>
      </c>
      <c r="G231" s="4" t="s">
        <v>1266</v>
      </c>
      <c r="H231" s="4" t="s">
        <v>595</v>
      </c>
      <c r="I231" s="4">
        <v>540</v>
      </c>
      <c r="J231" s="4" t="s">
        <v>735</v>
      </c>
      <c r="K231" s="4" t="s">
        <v>1311</v>
      </c>
      <c r="L231" s="4" t="s">
        <v>115</v>
      </c>
      <c r="N231" s="4" t="s">
        <v>1260</v>
      </c>
      <c r="O231" s="4">
        <v>21</v>
      </c>
      <c r="P231" s="4">
        <v>50.401944803339759</v>
      </c>
      <c r="Q231" s="4">
        <v>1.5580917603874884</v>
      </c>
      <c r="S231" s="4">
        <v>4.626766130786943</v>
      </c>
      <c r="T231" s="4">
        <v>6.3685543655240879</v>
      </c>
      <c r="U231" s="4">
        <v>5.4776410531881501</v>
      </c>
      <c r="W231" s="4">
        <v>3.5923033228979993</v>
      </c>
      <c r="X231" s="4">
        <v>2.4809982773866026</v>
      </c>
      <c r="Y231" s="4">
        <v>20.465139590970079</v>
      </c>
      <c r="AA231" s="4">
        <v>1.2373975635509287</v>
      </c>
      <c r="AC231" s="4">
        <v>1.2362494950015308</v>
      </c>
      <c r="AE231" s="4">
        <v>3.2995150612189446</v>
      </c>
      <c r="AK231">
        <f t="shared" si="182"/>
        <v>100.74460142425252</v>
      </c>
      <c r="AL231" s="26">
        <f t="shared" si="183"/>
        <v>50.401944803339745</v>
      </c>
      <c r="AM231" s="26">
        <f t="shared" si="184"/>
        <v>1.5580917603874882</v>
      </c>
      <c r="AN231" s="26">
        <f t="shared" si="185"/>
        <v>4.626766130786943</v>
      </c>
      <c r="AO231" s="26">
        <f t="shared" si="186"/>
        <v>6.368554365524087</v>
      </c>
      <c r="AP231" s="26">
        <f t="shared" si="187"/>
        <v>5.4776410531881492</v>
      </c>
      <c r="AQ231" s="26">
        <f t="shared" si="188"/>
        <v>3.5923033228979988</v>
      </c>
      <c r="AR231" s="26">
        <f t="shared" si="189"/>
        <v>1.2362494950015306</v>
      </c>
      <c r="AS231" s="26">
        <f t="shared" si="190"/>
        <v>2.4809982773866022</v>
      </c>
      <c r="AT231" s="26">
        <f t="shared" si="191"/>
        <v>20.465139590970079</v>
      </c>
      <c r="AU231" s="26">
        <f t="shared" si="192"/>
        <v>1.2373975635509284</v>
      </c>
      <c r="AV231" s="26">
        <f t="shared" si="193"/>
        <v>3.2995150612189441</v>
      </c>
      <c r="AW231" s="26">
        <f t="shared" si="194"/>
        <v>100.74460142425251</v>
      </c>
      <c r="AX231" s="26"/>
      <c r="AY231" s="26"/>
      <c r="BD231"/>
      <c r="BE231"/>
      <c r="BL231" s="44"/>
      <c r="BM231" s="44"/>
      <c r="BN231" s="44"/>
      <c r="BO231" s="44"/>
      <c r="BP231" s="44"/>
      <c r="BQ231" s="44"/>
      <c r="BR231" s="44"/>
      <c r="BS231" s="44"/>
      <c r="BT231" s="44"/>
      <c r="BU231" s="44" t="s">
        <v>1192</v>
      </c>
      <c r="BV231" s="44"/>
      <c r="BW231" s="44"/>
      <c r="BX231" s="44"/>
      <c r="BY231" s="44"/>
      <c r="BZ231" s="44"/>
      <c r="CA231" s="44"/>
      <c r="CB231" s="44"/>
      <c r="CC231" s="44"/>
      <c r="CD231" s="44"/>
      <c r="CE231" s="44"/>
      <c r="CF231" s="44"/>
      <c r="CG231" s="44"/>
      <c r="CH231" s="44"/>
      <c r="CI231" s="44">
        <v>0.26700000000000002</v>
      </c>
      <c r="CJ231" s="44">
        <v>2.5750000000000002</v>
      </c>
      <c r="CK231" s="44" t="s">
        <v>1192</v>
      </c>
      <c r="CL231" s="44" t="s">
        <v>1192</v>
      </c>
      <c r="CM231" s="44"/>
      <c r="CN231" s="44">
        <v>0.51400000000000001</v>
      </c>
      <c r="CO231" s="44"/>
      <c r="CP231" s="44"/>
      <c r="CQ231" s="44"/>
      <c r="CR231" s="44"/>
      <c r="CS231" s="44"/>
      <c r="CT231" s="44">
        <v>8.7219999999999995</v>
      </c>
      <c r="CU231" s="44"/>
      <c r="CV231" s="44">
        <v>0.371</v>
      </c>
      <c r="CW231" s="44">
        <v>0.58599999999999997</v>
      </c>
      <c r="CX231" s="44">
        <v>5.6000000000000001E-2</v>
      </c>
      <c r="CY231" s="44">
        <v>0.151</v>
      </c>
      <c r="CZ231" s="44">
        <v>1.0999999999999999E-2</v>
      </c>
      <c r="DA231" s="44" t="s">
        <v>1192</v>
      </c>
      <c r="DB231" s="44" t="s">
        <v>1192</v>
      </c>
      <c r="DC231" s="44" t="s">
        <v>1192</v>
      </c>
      <c r="DD231" s="44"/>
      <c r="DE231" s="44" t="s">
        <v>1192</v>
      </c>
      <c r="DF231" s="44"/>
      <c r="DG231" s="44" t="s">
        <v>1192</v>
      </c>
      <c r="DH231" s="44" t="s">
        <v>1192</v>
      </c>
      <c r="DI231" s="44" t="s">
        <v>1192</v>
      </c>
      <c r="DJ231" s="44"/>
      <c r="DK231" s="44"/>
      <c r="DL231" s="44" t="s">
        <v>1192</v>
      </c>
      <c r="DM231" s="44" t="s">
        <v>1191</v>
      </c>
      <c r="DN231" s="44">
        <v>1.2E-2</v>
      </c>
      <c r="DO231" s="44" t="s">
        <v>1192</v>
      </c>
      <c r="DP231" s="44"/>
      <c r="DQ231" s="44"/>
      <c r="DR231" s="44"/>
      <c r="DS231" s="44"/>
      <c r="DT231" s="44"/>
      <c r="DU231" s="44"/>
      <c r="DV231" s="44"/>
      <c r="DW231" s="51"/>
      <c r="DX231" s="51"/>
      <c r="DY231" s="51"/>
      <c r="DZ231" s="45"/>
      <c r="EA231" s="52"/>
      <c r="EB231" s="45"/>
      <c r="EC231" s="45"/>
      <c r="ED231" s="45"/>
      <c r="EE231" s="45"/>
      <c r="EF231" s="45"/>
      <c r="EG231" s="45"/>
      <c r="EH231" s="45"/>
      <c r="EI231" s="45"/>
      <c r="EJ231" s="45"/>
      <c r="EK231" s="44"/>
      <c r="EL231" s="45"/>
      <c r="EM231" s="45"/>
      <c r="EN231" s="45"/>
      <c r="EO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row>
    <row r="232" spans="1:230" s="4" customFormat="1">
      <c r="A232" s="4" t="s">
        <v>1362</v>
      </c>
      <c r="B232" s="4" t="s">
        <v>1468</v>
      </c>
      <c r="C232" s="4" t="s">
        <v>24</v>
      </c>
      <c r="D232" t="str">
        <f t="shared" si="181"/>
        <v>silicic</v>
      </c>
      <c r="E232" s="4" t="s">
        <v>1265</v>
      </c>
      <c r="F232" s="4" t="s">
        <v>171</v>
      </c>
      <c r="G232" s="4" t="s">
        <v>1266</v>
      </c>
      <c r="H232" s="4" t="s">
        <v>595</v>
      </c>
      <c r="I232" s="4">
        <v>540</v>
      </c>
      <c r="J232" s="4" t="s">
        <v>735</v>
      </c>
      <c r="K232" s="4" t="s">
        <v>1311</v>
      </c>
      <c r="L232" s="4" t="s">
        <v>115</v>
      </c>
      <c r="N232" s="4" t="s">
        <v>1264</v>
      </c>
      <c r="O232" s="4">
        <v>21</v>
      </c>
      <c r="P232" s="4">
        <v>50.401944803339759</v>
      </c>
      <c r="Q232" s="4">
        <v>1.5580917603874884</v>
      </c>
      <c r="S232" s="4">
        <v>4.626766130786943</v>
      </c>
      <c r="T232" s="4">
        <v>6.3685543655240879</v>
      </c>
      <c r="U232" s="4">
        <v>5.4776410531881501</v>
      </c>
      <c r="W232" s="4">
        <v>3.5923033228979993</v>
      </c>
      <c r="X232" s="4">
        <v>2.4809982773866026</v>
      </c>
      <c r="Y232" s="4">
        <v>20.465139590970079</v>
      </c>
      <c r="AA232" s="4">
        <v>1.2373975635509287</v>
      </c>
      <c r="AC232" s="4">
        <v>1.2362494950015308</v>
      </c>
      <c r="AE232" s="4">
        <v>3.2995150612189446</v>
      </c>
      <c r="AK232">
        <f t="shared" si="182"/>
        <v>100.74460142425252</v>
      </c>
      <c r="AL232" s="26">
        <f t="shared" si="183"/>
        <v>50.401944803339745</v>
      </c>
      <c r="AM232" s="26">
        <f t="shared" si="184"/>
        <v>1.5580917603874882</v>
      </c>
      <c r="AN232" s="26">
        <f t="shared" si="185"/>
        <v>4.626766130786943</v>
      </c>
      <c r="AO232" s="26">
        <f t="shared" si="186"/>
        <v>6.368554365524087</v>
      </c>
      <c r="AP232" s="26">
        <f t="shared" si="187"/>
        <v>5.4776410531881492</v>
      </c>
      <c r="AQ232" s="26">
        <f t="shared" si="188"/>
        <v>3.5923033228979988</v>
      </c>
      <c r="AR232" s="26">
        <f t="shared" si="189"/>
        <v>1.2362494950015306</v>
      </c>
      <c r="AS232" s="26">
        <f t="shared" si="190"/>
        <v>2.4809982773866022</v>
      </c>
      <c r="AT232" s="26">
        <f t="shared" si="191"/>
        <v>20.465139590970079</v>
      </c>
      <c r="AU232" s="26">
        <f t="shared" si="192"/>
        <v>1.2373975635509284</v>
      </c>
      <c r="AV232" s="26">
        <f t="shared" si="193"/>
        <v>3.2995150612189441</v>
      </c>
      <c r="AW232" s="26">
        <f t="shared" si="194"/>
        <v>100.74460142425251</v>
      </c>
      <c r="AX232" s="26"/>
      <c r="AY232" s="26"/>
      <c r="BD232"/>
      <c r="BE232"/>
      <c r="BL232" s="44"/>
      <c r="BM232" s="44"/>
      <c r="BN232" s="44"/>
      <c r="BO232" s="44"/>
      <c r="BP232" s="44"/>
      <c r="BQ232" s="44"/>
      <c r="BR232" s="44"/>
      <c r="BS232" s="44"/>
      <c r="BT232" s="44"/>
      <c r="BU232" s="44" t="s">
        <v>1192</v>
      </c>
      <c r="BV232" s="44"/>
      <c r="BW232" s="44"/>
      <c r="BX232" s="44"/>
      <c r="BY232" s="44"/>
      <c r="BZ232" s="44"/>
      <c r="CA232" s="44"/>
      <c r="CB232" s="44"/>
      <c r="CC232" s="44"/>
      <c r="CD232" s="44"/>
      <c r="CE232" s="44"/>
      <c r="CF232" s="44"/>
      <c r="CG232" s="44"/>
      <c r="CH232" s="44"/>
      <c r="CI232" s="44">
        <v>0.36299999999999999</v>
      </c>
      <c r="CJ232" s="44">
        <v>4.4370000000000003</v>
      </c>
      <c r="CK232" s="44">
        <v>2.1999999999999999E-2</v>
      </c>
      <c r="CL232" s="44">
        <v>7.0999999999999994E-2</v>
      </c>
      <c r="CM232" s="44"/>
      <c r="CN232" s="44">
        <v>0.57299999999999995</v>
      </c>
      <c r="CO232" s="44"/>
      <c r="CP232" s="44"/>
      <c r="CQ232" s="44"/>
      <c r="CR232" s="44"/>
      <c r="CS232" s="44"/>
      <c r="CT232" s="44">
        <v>10</v>
      </c>
      <c r="CU232" s="44"/>
      <c r="CV232" s="44">
        <v>0.40100000000000002</v>
      </c>
      <c r="CW232" s="44">
        <v>0.71699999999999997</v>
      </c>
      <c r="CX232" s="44" t="s">
        <v>1192</v>
      </c>
      <c r="CY232" s="44">
        <v>0.19900000000000001</v>
      </c>
      <c r="CZ232" s="44">
        <v>0.02</v>
      </c>
      <c r="DA232" s="44">
        <v>5.0000000000000001E-3</v>
      </c>
      <c r="DB232" s="44">
        <v>2E-3</v>
      </c>
      <c r="DC232" s="44">
        <v>1E-3</v>
      </c>
      <c r="DD232" s="44"/>
      <c r="DE232" s="44" t="s">
        <v>1192</v>
      </c>
      <c r="DF232" s="44"/>
      <c r="DG232" s="44">
        <v>0.01</v>
      </c>
      <c r="DH232" s="44" t="s">
        <v>1192</v>
      </c>
      <c r="DI232" s="44" t="s">
        <v>1192</v>
      </c>
      <c r="DJ232" s="44"/>
      <c r="DK232" s="44"/>
      <c r="DL232" s="44">
        <v>0.36099999999999999</v>
      </c>
      <c r="DM232" s="44">
        <v>8.3000000000000004E-2</v>
      </c>
      <c r="DN232" s="44">
        <v>1.6E-2</v>
      </c>
      <c r="DO232" s="44" t="s">
        <v>1192</v>
      </c>
      <c r="DP232" s="44"/>
      <c r="DQ232" s="44"/>
      <c r="DR232" s="44"/>
      <c r="DS232" s="44"/>
      <c r="DT232" s="44"/>
      <c r="DU232" s="44"/>
      <c r="DV232" s="44"/>
      <c r="DW232" s="51"/>
      <c r="DX232" s="51"/>
      <c r="DY232" s="51"/>
      <c r="DZ232" s="45"/>
      <c r="EA232" s="52"/>
      <c r="EB232" s="45"/>
      <c r="EC232" s="45"/>
      <c r="ED232" s="45"/>
      <c r="EE232" s="45"/>
      <c r="EF232" s="45"/>
      <c r="EG232" s="45"/>
      <c r="EH232" s="45"/>
      <c r="EI232" s="45"/>
      <c r="EJ232" s="45"/>
      <c r="EK232" s="44"/>
      <c r="EL232" s="45"/>
      <c r="EM232" s="45"/>
      <c r="EN232" s="45"/>
      <c r="EO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row>
    <row r="233" spans="1:230" s="4" customFormat="1">
      <c r="A233" s="4" t="s">
        <v>1424</v>
      </c>
      <c r="B233" s="4" t="s">
        <v>1468</v>
      </c>
      <c r="C233" s="4" t="s">
        <v>24</v>
      </c>
      <c r="D233" t="str">
        <f t="shared" si="181"/>
        <v>silicic - low-Mg carbonatitic</v>
      </c>
      <c r="E233" s="4" t="s">
        <v>1194</v>
      </c>
      <c r="F233" s="4" t="s">
        <v>171</v>
      </c>
      <c r="G233" s="4" t="s">
        <v>45</v>
      </c>
      <c r="H233" s="4" t="s">
        <v>595</v>
      </c>
      <c r="I233" s="4">
        <v>55</v>
      </c>
      <c r="J233" s="4" t="s">
        <v>712</v>
      </c>
      <c r="K233" s="4" t="s">
        <v>1311</v>
      </c>
      <c r="L233" s="4" t="s">
        <v>1276</v>
      </c>
      <c r="N233" s="4" t="s">
        <v>1405</v>
      </c>
      <c r="O233" s="4">
        <v>48</v>
      </c>
      <c r="P233" s="4">
        <v>27.5</v>
      </c>
      <c r="Q233" s="4">
        <v>2.2999999999999998</v>
      </c>
      <c r="S233" s="4">
        <v>3.6</v>
      </c>
      <c r="T233" s="4">
        <v>12.6</v>
      </c>
      <c r="U233" s="4">
        <v>6.2</v>
      </c>
      <c r="W233" s="4">
        <v>14.3</v>
      </c>
      <c r="X233" s="4">
        <v>3.2</v>
      </c>
      <c r="Y233" s="4">
        <v>22.5</v>
      </c>
      <c r="AA233" s="4">
        <v>3.2</v>
      </c>
      <c r="AB233" s="4">
        <v>0.3</v>
      </c>
      <c r="AC233" s="4">
        <v>2.5</v>
      </c>
      <c r="AE233" s="4">
        <v>1.6</v>
      </c>
      <c r="AK233">
        <f t="shared" si="182"/>
        <v>99.5</v>
      </c>
      <c r="AL233" s="26">
        <f t="shared" si="183"/>
        <v>27.738851464301213</v>
      </c>
      <c r="AM233" s="26">
        <f t="shared" si="184"/>
        <v>2.319976667923374</v>
      </c>
      <c r="AN233" s="26">
        <f t="shared" si="185"/>
        <v>3.6312678280539767</v>
      </c>
      <c r="AO233" s="26">
        <f t="shared" si="186"/>
        <v>12.709437398188919</v>
      </c>
      <c r="AP233" s="26">
        <f t="shared" si="187"/>
        <v>6.2538501483151823</v>
      </c>
      <c r="AQ233" s="26">
        <f t="shared" si="188"/>
        <v>14.42420276143663</v>
      </c>
      <c r="AR233" s="26">
        <f t="shared" si="189"/>
        <v>2.521713769481928</v>
      </c>
      <c r="AS233" s="26">
        <f t="shared" si="190"/>
        <v>3.2277936249368686</v>
      </c>
      <c r="AT233" s="26">
        <f t="shared" si="191"/>
        <v>22.695423925337355</v>
      </c>
      <c r="AU233" s="26">
        <f t="shared" si="192"/>
        <v>3.2277936249368686</v>
      </c>
      <c r="AV233" s="26">
        <f t="shared" si="193"/>
        <v>1.6138968124684343</v>
      </c>
      <c r="AW233" s="26">
        <f t="shared" si="194"/>
        <v>100.36420802538075</v>
      </c>
      <c r="AX233" s="26"/>
      <c r="AY233" s="26"/>
      <c r="AZ233" s="4">
        <v>29.2</v>
      </c>
      <c r="BA233" s="4">
        <v>78.900000000000006</v>
      </c>
      <c r="BB233" s="4">
        <v>0.27</v>
      </c>
      <c r="BD233">
        <f t="shared" si="179"/>
        <v>0.8684070542165917</v>
      </c>
      <c r="BE233">
        <f t="shared" si="180"/>
        <v>0.13159294578340822</v>
      </c>
      <c r="BL233" s="44"/>
      <c r="BM233" s="44"/>
      <c r="BN233" s="44"/>
      <c r="BO233" s="44"/>
      <c r="BP233" s="44"/>
      <c r="BQ233" s="44"/>
      <c r="BR233" s="44"/>
      <c r="BS233" s="44"/>
      <c r="BT233" s="44"/>
      <c r="BU233" s="44" t="s">
        <v>1192</v>
      </c>
      <c r="BV233" s="44"/>
      <c r="BW233" s="44"/>
      <c r="BX233" s="44"/>
      <c r="BY233" s="44"/>
      <c r="BZ233" s="44"/>
      <c r="CA233" s="44"/>
      <c r="CB233" s="44"/>
      <c r="CC233" s="44"/>
      <c r="CD233" s="44"/>
      <c r="CE233" s="44"/>
      <c r="CF233" s="44"/>
      <c r="CG233" s="44"/>
      <c r="CH233" s="44"/>
      <c r="CI233" s="44">
        <v>0.67</v>
      </c>
      <c r="CJ233" s="44">
        <v>4.2530000000000001</v>
      </c>
      <c r="CK233" s="44">
        <v>0.16400000000000001</v>
      </c>
      <c r="CL233" s="44">
        <v>0.441</v>
      </c>
      <c r="CM233" s="44"/>
      <c r="CN233" s="44">
        <v>0.20399999999999999</v>
      </c>
      <c r="CO233" s="44"/>
      <c r="CP233" s="44"/>
      <c r="CQ233" s="44"/>
      <c r="CR233" s="44"/>
      <c r="CS233" s="44"/>
      <c r="CT233" s="44">
        <v>15.62</v>
      </c>
      <c r="CU233" s="44"/>
      <c r="CV233" s="44">
        <v>0.95799999999999996</v>
      </c>
      <c r="CW233" s="44">
        <v>1.488</v>
      </c>
      <c r="CX233" s="44" t="s">
        <v>1192</v>
      </c>
      <c r="CY233" s="44">
        <v>0.50800000000000001</v>
      </c>
      <c r="CZ233" s="44" t="s">
        <v>1192</v>
      </c>
      <c r="DA233" s="44">
        <v>1.2999999999999999E-2</v>
      </c>
      <c r="DB233" s="44">
        <v>3.9E-2</v>
      </c>
      <c r="DC233" s="44">
        <v>2.8000000000000001E-2</v>
      </c>
      <c r="DD233" s="44"/>
      <c r="DE233" s="44" t="s">
        <v>1192</v>
      </c>
      <c r="DF233" s="44"/>
      <c r="DG233" s="44" t="s">
        <v>1192</v>
      </c>
      <c r="DH233" s="44" t="s">
        <v>1192</v>
      </c>
      <c r="DI233" s="44"/>
      <c r="DJ233" s="44"/>
      <c r="DK233" s="44"/>
      <c r="DL233" s="44">
        <v>0.218</v>
      </c>
      <c r="DM233" s="44">
        <v>0.125</v>
      </c>
      <c r="DN233" s="44">
        <v>1.7000000000000001E-2</v>
      </c>
      <c r="DO233" s="44" t="s">
        <v>1192</v>
      </c>
      <c r="DP233" s="44"/>
      <c r="DQ233" s="44"/>
      <c r="DR233" s="44"/>
      <c r="DS233" s="44"/>
      <c r="DT233" s="44"/>
      <c r="DU233" s="44"/>
      <c r="DV233" s="44"/>
      <c r="DW233" s="51"/>
      <c r="DX233" s="51"/>
      <c r="DY233" s="51"/>
      <c r="DZ233" s="45"/>
      <c r="EA233" s="52"/>
      <c r="EB233" s="45"/>
      <c r="EC233" s="45"/>
      <c r="ED233" s="45"/>
      <c r="EE233" s="45"/>
      <c r="EF233" s="45"/>
      <c r="EG233" s="45"/>
      <c r="EH233" s="45"/>
      <c r="EI233" s="45"/>
      <c r="EJ233" s="45"/>
      <c r="EK233" s="44"/>
      <c r="EL233" s="45"/>
      <c r="EM233" s="45"/>
      <c r="EN233" s="45"/>
      <c r="EO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row>
    <row r="234" spans="1:230" s="4" customFormat="1">
      <c r="A234" s="4" t="s">
        <v>1424</v>
      </c>
      <c r="B234" s="4" t="s">
        <v>1468</v>
      </c>
      <c r="C234" s="4" t="s">
        <v>24</v>
      </c>
      <c r="D234" t="str">
        <f t="shared" si="181"/>
        <v>silicic - low-Mg carbonatitic</v>
      </c>
      <c r="E234" s="4" t="s">
        <v>1194</v>
      </c>
      <c r="F234" s="4" t="s">
        <v>171</v>
      </c>
      <c r="G234" s="4" t="s">
        <v>45</v>
      </c>
      <c r="H234" s="4" t="s">
        <v>595</v>
      </c>
      <c r="I234" s="4">
        <v>55</v>
      </c>
      <c r="J234" s="4" t="s">
        <v>712</v>
      </c>
      <c r="K234" s="4" t="s">
        <v>1311</v>
      </c>
      <c r="L234" s="4" t="s">
        <v>1276</v>
      </c>
      <c r="N234" s="4" t="s">
        <v>1406</v>
      </c>
      <c r="O234" s="4">
        <v>48</v>
      </c>
      <c r="P234" s="4">
        <v>27.5</v>
      </c>
      <c r="Q234" s="4">
        <v>2.2999999999999998</v>
      </c>
      <c r="S234" s="4">
        <v>3.6</v>
      </c>
      <c r="T234" s="4">
        <v>12.6</v>
      </c>
      <c r="U234" s="4">
        <v>6.2</v>
      </c>
      <c r="W234" s="4">
        <v>14.3</v>
      </c>
      <c r="X234" s="4">
        <v>3.2</v>
      </c>
      <c r="Y234" s="4">
        <v>22.5</v>
      </c>
      <c r="AA234" s="4">
        <v>3.2</v>
      </c>
      <c r="AB234" s="4">
        <v>0.3</v>
      </c>
      <c r="AC234" s="4">
        <v>2.5</v>
      </c>
      <c r="AE234" s="4">
        <v>1.6</v>
      </c>
      <c r="AK234">
        <f t="shared" si="182"/>
        <v>99.5</v>
      </c>
      <c r="AL234" s="26">
        <f t="shared" si="183"/>
        <v>27.738851464301213</v>
      </c>
      <c r="AM234" s="26">
        <f t="shared" si="184"/>
        <v>2.319976667923374</v>
      </c>
      <c r="AN234" s="26">
        <f t="shared" si="185"/>
        <v>3.6312678280539767</v>
      </c>
      <c r="AO234" s="26">
        <f t="shared" si="186"/>
        <v>12.709437398188919</v>
      </c>
      <c r="AP234" s="26">
        <f t="shared" si="187"/>
        <v>6.2538501483151823</v>
      </c>
      <c r="AQ234" s="26">
        <f t="shared" si="188"/>
        <v>14.42420276143663</v>
      </c>
      <c r="AR234" s="26">
        <f t="shared" si="189"/>
        <v>2.521713769481928</v>
      </c>
      <c r="AS234" s="26">
        <f t="shared" si="190"/>
        <v>3.2277936249368686</v>
      </c>
      <c r="AT234" s="26">
        <f t="shared" si="191"/>
        <v>22.695423925337355</v>
      </c>
      <c r="AU234" s="26">
        <f t="shared" si="192"/>
        <v>3.2277936249368686</v>
      </c>
      <c r="AV234" s="26">
        <f t="shared" si="193"/>
        <v>1.6138968124684343</v>
      </c>
      <c r="AW234" s="26">
        <f t="shared" si="194"/>
        <v>100.36420802538075</v>
      </c>
      <c r="AX234" s="26"/>
      <c r="AY234" s="26"/>
      <c r="AZ234" s="4">
        <v>29.2</v>
      </c>
      <c r="BA234" s="4">
        <v>78.900000000000006</v>
      </c>
      <c r="BB234" s="4">
        <v>0.27</v>
      </c>
      <c r="BD234">
        <f t="shared" si="179"/>
        <v>0.8684070542165917</v>
      </c>
      <c r="BE234">
        <f t="shared" si="180"/>
        <v>0.13159294578340822</v>
      </c>
      <c r="BL234" s="44"/>
      <c r="BM234" s="44"/>
      <c r="BN234" s="44"/>
      <c r="BO234" s="44"/>
      <c r="BP234" s="44"/>
      <c r="BQ234" s="44"/>
      <c r="BR234" s="44"/>
      <c r="BS234" s="44"/>
      <c r="BT234" s="44"/>
      <c r="BU234" s="44">
        <v>33.869999999999997</v>
      </c>
      <c r="BV234" s="44"/>
      <c r="BW234" s="44"/>
      <c r="BX234" s="44"/>
      <c r="BY234" s="44"/>
      <c r="BZ234" s="44"/>
      <c r="CA234" s="44"/>
      <c r="CB234" s="44"/>
      <c r="CC234" s="44"/>
      <c r="CD234" s="44"/>
      <c r="CE234" s="44"/>
      <c r="CF234" s="44"/>
      <c r="CG234" s="44"/>
      <c r="CH234" s="44"/>
      <c r="CI234" s="44">
        <v>0.76400000000000001</v>
      </c>
      <c r="CJ234" s="44">
        <v>4.0620000000000003</v>
      </c>
      <c r="CK234" s="44">
        <v>0.114</v>
      </c>
      <c r="CL234" s="44">
        <v>0.35199999999999998</v>
      </c>
      <c r="CM234" s="44"/>
      <c r="CN234" s="44">
        <v>0.25800000000000001</v>
      </c>
      <c r="CO234" s="44"/>
      <c r="CP234" s="44"/>
      <c r="CQ234" s="44"/>
      <c r="CR234" s="44"/>
      <c r="CS234" s="44"/>
      <c r="CT234" s="44">
        <v>16.239999999999998</v>
      </c>
      <c r="CU234" s="44"/>
      <c r="CV234" s="44">
        <v>0.88900000000000001</v>
      </c>
      <c r="CW234" s="44">
        <v>1.4430000000000001</v>
      </c>
      <c r="CX234" s="44">
        <v>0.151</v>
      </c>
      <c r="CY234" s="44">
        <v>0.42299999999999999</v>
      </c>
      <c r="CZ234" s="44">
        <v>5.1999999999999998E-2</v>
      </c>
      <c r="DA234" s="44">
        <v>1.4999999999999999E-2</v>
      </c>
      <c r="DB234" s="44">
        <v>3.5000000000000003E-2</v>
      </c>
      <c r="DC234" s="44">
        <v>2.5000000000000001E-2</v>
      </c>
      <c r="DD234" s="44"/>
      <c r="DE234" s="44">
        <v>8.0000000000000002E-3</v>
      </c>
      <c r="DF234" s="44"/>
      <c r="DG234" s="44" t="s">
        <v>1192</v>
      </c>
      <c r="DH234" s="44" t="s">
        <v>1192</v>
      </c>
      <c r="DI234" s="44"/>
      <c r="DJ234" s="44"/>
      <c r="DK234" s="44"/>
      <c r="DL234" s="44" t="s">
        <v>1192</v>
      </c>
      <c r="DM234" s="44">
        <v>9.9000000000000005E-2</v>
      </c>
      <c r="DN234" s="44">
        <v>1.6E-2</v>
      </c>
      <c r="DO234" s="44">
        <v>5.0000000000000001E-3</v>
      </c>
      <c r="DP234" s="44"/>
      <c r="DQ234" s="44"/>
      <c r="DR234" s="44"/>
      <c r="DS234" s="44"/>
      <c r="DT234" s="44"/>
      <c r="DU234" s="44"/>
      <c r="DV234" s="44"/>
      <c r="DW234" s="51"/>
      <c r="DX234" s="51"/>
      <c r="DY234" s="51"/>
      <c r="DZ234" s="45"/>
      <c r="EA234" s="52"/>
      <c r="EB234" s="45"/>
      <c r="EC234" s="45"/>
      <c r="ED234" s="45"/>
      <c r="EE234" s="45"/>
      <c r="EF234" s="45"/>
      <c r="EG234" s="45"/>
      <c r="EH234" s="45"/>
      <c r="EI234" s="45"/>
      <c r="EJ234" s="45"/>
      <c r="EK234" s="44"/>
      <c r="EL234" s="45"/>
      <c r="EM234" s="45"/>
      <c r="EN234" s="45"/>
      <c r="EO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row>
    <row r="235" spans="1:230" s="4" customFormat="1">
      <c r="A235" s="4" t="s">
        <v>1229</v>
      </c>
      <c r="B235" s="4" t="s">
        <v>1468</v>
      </c>
      <c r="C235" s="4" t="s">
        <v>24</v>
      </c>
      <c r="D235" t="str">
        <f t="shared" si="181"/>
        <v>silicic</v>
      </c>
      <c r="F235" s="4" t="s">
        <v>1394</v>
      </c>
      <c r="G235" s="4" t="s">
        <v>1432</v>
      </c>
      <c r="H235" s="4" t="s">
        <v>595</v>
      </c>
      <c r="I235" s="4">
        <v>93</v>
      </c>
      <c r="K235" s="4" t="s">
        <v>1311</v>
      </c>
      <c r="L235" s="4" t="s">
        <v>1274</v>
      </c>
      <c r="N235" s="4" t="s">
        <v>1230</v>
      </c>
      <c r="O235" s="4">
        <v>18</v>
      </c>
      <c r="P235" s="4">
        <v>58.80760320010446</v>
      </c>
      <c r="Q235" s="4">
        <v>1.579874103216758</v>
      </c>
      <c r="R235" s="4">
        <v>0.2709383505946466</v>
      </c>
      <c r="S235" s="4">
        <v>6.0002287437092381</v>
      </c>
      <c r="T235" s="4">
        <v>4.5010978622454685</v>
      </c>
      <c r="U235" s="4">
        <v>4.1509279999306239</v>
      </c>
      <c r="V235" s="4">
        <v>0.38165321883616465</v>
      </c>
      <c r="W235" s="4">
        <v>3.7721490773459001</v>
      </c>
      <c r="X235" s="4">
        <v>2.5426271212627651</v>
      </c>
      <c r="Y235" s="4">
        <v>9.1878280145543751</v>
      </c>
      <c r="AA235" s="4">
        <v>4.9916326289735835</v>
      </c>
      <c r="AB235" s="4">
        <v>2.17068094839418</v>
      </c>
      <c r="AC235" s="4">
        <v>0.77832954360256912</v>
      </c>
      <c r="AD235" s="4">
        <v>0.22046284738637023</v>
      </c>
      <c r="AE235" s="4">
        <v>1.1163575478061036</v>
      </c>
      <c r="AF235" s="4">
        <v>0.82078815900892055</v>
      </c>
      <c r="AK235">
        <f t="shared" si="182"/>
        <v>97.428655842751866</v>
      </c>
      <c r="AL235" s="26">
        <f t="shared" si="183"/>
        <v>60.516138713244331</v>
      </c>
      <c r="AM235" s="26">
        <f t="shared" si="184"/>
        <v>1.6257741376468473</v>
      </c>
      <c r="AN235" s="26">
        <f t="shared" si="185"/>
        <v>6.1745532075155038</v>
      </c>
      <c r="AO235" s="26">
        <f t="shared" si="186"/>
        <v>4.6318681219956677</v>
      </c>
      <c r="AP235" s="26">
        <f t="shared" si="187"/>
        <v>4.2715247852856768</v>
      </c>
      <c r="AQ235" s="26">
        <f t="shared" si="188"/>
        <v>3.8817412101450106</v>
      </c>
      <c r="AR235" s="26">
        <f t="shared" si="189"/>
        <v>0.80094232823937905</v>
      </c>
      <c r="AS235" s="26">
        <f t="shared" si="190"/>
        <v>2.6164979899422476</v>
      </c>
      <c r="AT235" s="26">
        <f t="shared" si="191"/>
        <v>9.4547617033509219</v>
      </c>
      <c r="AU235" s="26">
        <f t="shared" si="192"/>
        <v>5.1366543804319722</v>
      </c>
      <c r="AV235" s="26">
        <f t="shared" si="193"/>
        <v>1.1487910498024081</v>
      </c>
      <c r="AW235" s="26">
        <f t="shared" si="194"/>
        <v>100.25924762759998</v>
      </c>
      <c r="AX235" s="26"/>
      <c r="AY235" s="26"/>
      <c r="BD235"/>
      <c r="BE235"/>
      <c r="BL235" s="44"/>
      <c r="BM235" s="44"/>
      <c r="BN235" s="44"/>
      <c r="BO235" s="44"/>
      <c r="BP235" s="44"/>
      <c r="BQ235" s="44"/>
      <c r="BR235" s="44"/>
      <c r="BS235" s="44"/>
      <c r="BT235" s="44"/>
      <c r="BU235" s="44">
        <v>369</v>
      </c>
      <c r="BV235" s="44"/>
      <c r="BW235" s="44"/>
      <c r="BX235" s="44"/>
      <c r="BY235" s="44"/>
      <c r="BZ235" s="44"/>
      <c r="CA235" s="44"/>
      <c r="CB235" s="44"/>
      <c r="CC235" s="44"/>
      <c r="CD235" s="44"/>
      <c r="CE235" s="44"/>
      <c r="CF235" s="44"/>
      <c r="CG235" s="44"/>
      <c r="CH235" s="44"/>
      <c r="CI235" s="44">
        <v>0.9</v>
      </c>
      <c r="CJ235" s="44">
        <v>281</v>
      </c>
      <c r="CK235" s="44">
        <v>3322</v>
      </c>
      <c r="CL235" s="44">
        <v>53</v>
      </c>
      <c r="CM235" s="44"/>
      <c r="CN235" s="44">
        <v>36</v>
      </c>
      <c r="CO235" s="44"/>
      <c r="CP235" s="44"/>
      <c r="CQ235" s="44"/>
      <c r="CR235" s="44"/>
      <c r="CS235" s="44"/>
      <c r="CT235" s="44">
        <v>1117</v>
      </c>
      <c r="CU235" s="44"/>
      <c r="CV235" s="44">
        <v>16062</v>
      </c>
      <c r="CW235" s="44">
        <v>32903</v>
      </c>
      <c r="CX235" s="44">
        <v>3654</v>
      </c>
      <c r="CY235" s="44">
        <v>12604</v>
      </c>
      <c r="CZ235" s="44">
        <v>1867</v>
      </c>
      <c r="DA235" s="44">
        <v>391</v>
      </c>
      <c r="DB235" s="44">
        <v>980</v>
      </c>
      <c r="DC235" s="44">
        <v>704</v>
      </c>
      <c r="DD235" s="44"/>
      <c r="DE235" s="44">
        <v>268</v>
      </c>
      <c r="DF235" s="44"/>
      <c r="DG235" s="44">
        <v>192</v>
      </c>
      <c r="DH235" s="44">
        <v>23</v>
      </c>
      <c r="DI235" s="44">
        <v>3.3</v>
      </c>
      <c r="DJ235" s="44"/>
      <c r="DK235" s="44"/>
      <c r="DL235" s="44">
        <v>269</v>
      </c>
      <c r="DM235" s="44">
        <v>350</v>
      </c>
      <c r="DN235" s="44">
        <v>7.3</v>
      </c>
      <c r="DO235" s="44">
        <v>141</v>
      </c>
      <c r="DP235" s="44"/>
      <c r="DQ235" s="44"/>
      <c r="DR235" s="44"/>
      <c r="DS235" s="44"/>
      <c r="DT235" s="44"/>
      <c r="DU235" s="44"/>
      <c r="DV235" s="44"/>
      <c r="DW235" s="51">
        <v>0.71747000000000005</v>
      </c>
      <c r="DX235" s="51">
        <v>2.0000000000000002E-5</v>
      </c>
      <c r="DY235" s="51">
        <v>0.71745999999999999</v>
      </c>
      <c r="DZ235" s="45">
        <v>0</v>
      </c>
      <c r="EA235" s="52">
        <v>185.5</v>
      </c>
      <c r="EB235" s="45">
        <v>0.51130100000000001</v>
      </c>
      <c r="EC235" s="45">
        <v>3.0000000000000001E-6</v>
      </c>
      <c r="ED235" s="45"/>
      <c r="EE235" s="45">
        <v>-24.8</v>
      </c>
      <c r="EF235" s="45">
        <v>18.02</v>
      </c>
      <c r="EG235" s="45">
        <v>6.0000000000000001E-3</v>
      </c>
      <c r="EH235" s="45">
        <v>15.65</v>
      </c>
      <c r="EI235" s="45">
        <v>5.0000000000000001E-3</v>
      </c>
      <c r="EJ235" s="45"/>
      <c r="EK235" s="44"/>
      <c r="EL235" s="45"/>
      <c r="EM235" s="45"/>
      <c r="EN235" s="45"/>
      <c r="EO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row>
    <row r="236" spans="1:230" s="4" customFormat="1">
      <c r="A236" s="4" t="s">
        <v>1229</v>
      </c>
      <c r="B236" s="4" t="s">
        <v>1468</v>
      </c>
      <c r="C236" s="4" t="s">
        <v>24</v>
      </c>
      <c r="D236" t="str">
        <f t="shared" si="181"/>
        <v>silicic</v>
      </c>
      <c r="F236" s="4" t="s">
        <v>1394</v>
      </c>
      <c r="G236" s="4" t="s">
        <v>1432</v>
      </c>
      <c r="H236" s="4" t="s">
        <v>595</v>
      </c>
      <c r="I236" s="4">
        <v>93</v>
      </c>
      <c r="K236" s="4" t="s">
        <v>1311</v>
      </c>
      <c r="L236" s="4" t="s">
        <v>1274</v>
      </c>
      <c r="N236" s="4" t="s">
        <v>1231</v>
      </c>
      <c r="O236" s="4">
        <v>18</v>
      </c>
      <c r="P236" s="4">
        <v>58.80760320010446</v>
      </c>
      <c r="Q236" s="4">
        <v>1.579874103216758</v>
      </c>
      <c r="R236" s="4">
        <v>0.2709383505946466</v>
      </c>
      <c r="S236" s="4">
        <v>6.0002287437092381</v>
      </c>
      <c r="T236" s="4">
        <v>4.5010978622454685</v>
      </c>
      <c r="U236" s="4">
        <v>4.1509279999306239</v>
      </c>
      <c r="V236" s="4">
        <v>0.38165321883616465</v>
      </c>
      <c r="W236" s="4">
        <v>3.7721490773459001</v>
      </c>
      <c r="X236" s="4">
        <v>2.5426271212627651</v>
      </c>
      <c r="Y236" s="4">
        <v>9.1878280145543751</v>
      </c>
      <c r="AA236" s="4">
        <v>4.9916326289735835</v>
      </c>
      <c r="AB236" s="4">
        <v>2.17068094839418</v>
      </c>
      <c r="AC236" s="4">
        <v>0.77832954360256912</v>
      </c>
      <c r="AD236" s="4">
        <v>0.22046284738637023</v>
      </c>
      <c r="AE236" s="4">
        <v>1.1163575478061036</v>
      </c>
      <c r="AF236" s="4">
        <v>0.82078815900892055</v>
      </c>
      <c r="AK236">
        <f t="shared" si="182"/>
        <v>97.428655842751866</v>
      </c>
      <c r="AL236" s="26">
        <f t="shared" si="183"/>
        <v>60.516138713244331</v>
      </c>
      <c r="AM236" s="26">
        <f t="shared" si="184"/>
        <v>1.6257741376468473</v>
      </c>
      <c r="AN236" s="26">
        <f t="shared" si="185"/>
        <v>6.1745532075155038</v>
      </c>
      <c r="AO236" s="26">
        <f t="shared" si="186"/>
        <v>4.6318681219956677</v>
      </c>
      <c r="AP236" s="26">
        <f t="shared" si="187"/>
        <v>4.2715247852856768</v>
      </c>
      <c r="AQ236" s="26">
        <f t="shared" si="188"/>
        <v>3.8817412101450106</v>
      </c>
      <c r="AR236" s="26">
        <f t="shared" si="189"/>
        <v>0.80094232823937905</v>
      </c>
      <c r="AS236" s="26">
        <f t="shared" si="190"/>
        <v>2.6164979899422476</v>
      </c>
      <c r="AT236" s="26">
        <f t="shared" si="191"/>
        <v>9.4547617033509219</v>
      </c>
      <c r="AU236" s="26">
        <f t="shared" si="192"/>
        <v>5.1366543804319722</v>
      </c>
      <c r="AV236" s="26">
        <f t="shared" si="193"/>
        <v>1.1487910498024081</v>
      </c>
      <c r="AW236" s="26">
        <f t="shared" si="194"/>
        <v>100.25924762759998</v>
      </c>
      <c r="AX236" s="26"/>
      <c r="AY236" s="26"/>
      <c r="BD236"/>
      <c r="BE236"/>
      <c r="BL236" s="44"/>
      <c r="BM236" s="44"/>
      <c r="BN236" s="44"/>
      <c r="BO236" s="44"/>
      <c r="BP236" s="44"/>
      <c r="BQ236" s="44"/>
      <c r="BR236" s="44"/>
      <c r="BS236" s="44"/>
      <c r="BT236" s="44"/>
      <c r="BU236" s="44" t="s">
        <v>1227</v>
      </c>
      <c r="BV236" s="44"/>
      <c r="BW236" s="44"/>
      <c r="BX236" s="44"/>
      <c r="BY236" s="44"/>
      <c r="BZ236" s="44"/>
      <c r="CA236" s="44"/>
      <c r="CB236" s="44"/>
      <c r="CC236" s="44"/>
      <c r="CD236" s="44"/>
      <c r="CE236" s="44"/>
      <c r="CF236" s="44"/>
      <c r="CG236" s="44"/>
      <c r="CH236" s="44"/>
      <c r="CI236" s="44">
        <v>0.4</v>
      </c>
      <c r="CJ236" s="44">
        <v>20</v>
      </c>
      <c r="CK236" s="44">
        <v>47</v>
      </c>
      <c r="CL236" s="44">
        <v>0.55000000000000004</v>
      </c>
      <c r="CM236" s="44"/>
      <c r="CN236" s="44">
        <v>1.2</v>
      </c>
      <c r="CO236" s="44"/>
      <c r="CP236" s="44"/>
      <c r="CQ236" s="44"/>
      <c r="CR236" s="44"/>
      <c r="CS236" s="44"/>
      <c r="CT236" s="44">
        <v>47</v>
      </c>
      <c r="CU236" s="44"/>
      <c r="CV236" s="44">
        <v>226</v>
      </c>
      <c r="CW236" s="44">
        <v>385</v>
      </c>
      <c r="CX236" s="44">
        <v>40</v>
      </c>
      <c r="CY236" s="44">
        <v>161</v>
      </c>
      <c r="CZ236" s="44">
        <v>24</v>
      </c>
      <c r="DA236" s="44">
        <v>5.3</v>
      </c>
      <c r="DB236" s="44">
        <v>16</v>
      </c>
      <c r="DC236" s="44">
        <v>9.6999999999999993</v>
      </c>
      <c r="DD236" s="44"/>
      <c r="DE236" s="44">
        <v>3.6</v>
      </c>
      <c r="DF236" s="44"/>
      <c r="DG236" s="44">
        <v>2.7</v>
      </c>
      <c r="DH236" s="44">
        <v>0.37</v>
      </c>
      <c r="DI236" s="44" t="s">
        <v>1227</v>
      </c>
      <c r="DJ236" s="44"/>
      <c r="DK236" s="44"/>
      <c r="DL236" s="44">
        <v>4.2</v>
      </c>
      <c r="DM236" s="44">
        <v>11</v>
      </c>
      <c r="DN236" s="44">
        <v>0.09</v>
      </c>
      <c r="DO236" s="44" t="s">
        <v>1227</v>
      </c>
      <c r="DP236" s="44"/>
      <c r="DQ236" s="44"/>
      <c r="DR236" s="44"/>
      <c r="DS236" s="44"/>
      <c r="DT236" s="44"/>
      <c r="DU236" s="44"/>
      <c r="DV236" s="44"/>
      <c r="DW236" s="51">
        <v>0.70945000000000003</v>
      </c>
      <c r="DX236" s="51">
        <v>4.0000000000000003E-5</v>
      </c>
      <c r="DY236" s="51">
        <v>0.70936999999999995</v>
      </c>
      <c r="DZ236" s="45">
        <v>0</v>
      </c>
      <c r="EA236" s="52">
        <v>70.7</v>
      </c>
      <c r="EB236" s="45"/>
      <c r="EC236" s="45"/>
      <c r="ED236" s="45"/>
      <c r="EE236" s="45"/>
      <c r="EF236" s="45"/>
      <c r="EG236" s="45"/>
      <c r="EH236" s="45"/>
      <c r="EI236" s="45"/>
      <c r="EJ236" s="45"/>
      <c r="EK236" s="44"/>
      <c r="EL236" s="45"/>
      <c r="EM236" s="45"/>
      <c r="EN236" s="45"/>
      <c r="EO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row>
    <row r="237" spans="1:230" s="4" customFormat="1">
      <c r="A237" s="4" t="s">
        <v>1229</v>
      </c>
      <c r="B237" s="4" t="s">
        <v>1468</v>
      </c>
      <c r="C237" s="4" t="s">
        <v>24</v>
      </c>
      <c r="D237" t="str">
        <f t="shared" si="181"/>
        <v>silicic</v>
      </c>
      <c r="F237" s="4" t="s">
        <v>1394</v>
      </c>
      <c r="G237" s="4" t="s">
        <v>1432</v>
      </c>
      <c r="H237" s="4" t="s">
        <v>595</v>
      </c>
      <c r="I237" s="4">
        <v>93</v>
      </c>
      <c r="K237" s="4" t="s">
        <v>1311</v>
      </c>
      <c r="L237" s="4" t="s">
        <v>1274</v>
      </c>
      <c r="N237" s="4" t="s">
        <v>1232</v>
      </c>
      <c r="O237" s="4">
        <v>18</v>
      </c>
      <c r="P237" s="4">
        <v>58.80760320010446</v>
      </c>
      <c r="Q237" s="4">
        <v>1.579874103216758</v>
      </c>
      <c r="R237" s="4">
        <v>0.2709383505946466</v>
      </c>
      <c r="S237" s="4">
        <v>6.0002287437092381</v>
      </c>
      <c r="T237" s="4">
        <v>4.5010978622454685</v>
      </c>
      <c r="U237" s="4">
        <v>4.1509279999306239</v>
      </c>
      <c r="V237" s="4">
        <v>0.38165321883616465</v>
      </c>
      <c r="W237" s="4">
        <v>3.7721490773459001</v>
      </c>
      <c r="X237" s="4">
        <v>2.5426271212627651</v>
      </c>
      <c r="Y237" s="4">
        <v>9.1878280145543751</v>
      </c>
      <c r="AA237" s="4">
        <v>4.9916326289735835</v>
      </c>
      <c r="AB237" s="4">
        <v>2.17068094839418</v>
      </c>
      <c r="AC237" s="4">
        <v>0.77832954360256912</v>
      </c>
      <c r="AD237" s="4">
        <v>0.22046284738637023</v>
      </c>
      <c r="AE237" s="4">
        <v>1.1163575478061036</v>
      </c>
      <c r="AF237" s="4">
        <v>0.82078815900892055</v>
      </c>
      <c r="AK237">
        <f t="shared" si="182"/>
        <v>97.428655842751866</v>
      </c>
      <c r="AL237" s="26">
        <f t="shared" si="183"/>
        <v>60.516138713244331</v>
      </c>
      <c r="AM237" s="26">
        <f t="shared" si="184"/>
        <v>1.6257741376468473</v>
      </c>
      <c r="AN237" s="26">
        <f t="shared" si="185"/>
        <v>6.1745532075155038</v>
      </c>
      <c r="AO237" s="26">
        <f t="shared" si="186"/>
        <v>4.6318681219956677</v>
      </c>
      <c r="AP237" s="26">
        <f t="shared" si="187"/>
        <v>4.2715247852856768</v>
      </c>
      <c r="AQ237" s="26">
        <f t="shared" si="188"/>
        <v>3.8817412101450106</v>
      </c>
      <c r="AR237" s="26">
        <f t="shared" si="189"/>
        <v>0.80094232823937905</v>
      </c>
      <c r="AS237" s="26">
        <f t="shared" si="190"/>
        <v>2.6164979899422476</v>
      </c>
      <c r="AT237" s="26">
        <f t="shared" si="191"/>
        <v>9.4547617033509219</v>
      </c>
      <c r="AU237" s="26">
        <f t="shared" si="192"/>
        <v>5.1366543804319722</v>
      </c>
      <c r="AV237" s="26">
        <f t="shared" si="193"/>
        <v>1.1487910498024081</v>
      </c>
      <c r="AW237" s="26">
        <f t="shared" si="194"/>
        <v>100.25924762759998</v>
      </c>
      <c r="AX237" s="26"/>
      <c r="AY237" s="26"/>
      <c r="BD237"/>
      <c r="BE237"/>
      <c r="BL237" s="44"/>
      <c r="BM237" s="44"/>
      <c r="BN237" s="44"/>
      <c r="BO237" s="44"/>
      <c r="BP237" s="44"/>
      <c r="BQ237" s="44"/>
      <c r="BR237" s="44"/>
      <c r="BS237" s="44"/>
      <c r="BT237" s="44"/>
      <c r="BU237" s="44">
        <v>113</v>
      </c>
      <c r="BV237" s="44"/>
      <c r="BW237" s="44"/>
      <c r="BX237" s="44"/>
      <c r="BY237" s="44"/>
      <c r="BZ237" s="44"/>
      <c r="CA237" s="44"/>
      <c r="CB237" s="44"/>
      <c r="CC237" s="44"/>
      <c r="CD237" s="44"/>
      <c r="CE237" s="44"/>
      <c r="CF237" s="44"/>
      <c r="CG237" s="44"/>
      <c r="CH237" s="44"/>
      <c r="CI237" s="44">
        <v>0.06</v>
      </c>
      <c r="CJ237" s="44">
        <v>126</v>
      </c>
      <c r="CK237" s="44">
        <v>1179</v>
      </c>
      <c r="CL237" s="44">
        <v>30</v>
      </c>
      <c r="CM237" s="44"/>
      <c r="CN237" s="44">
        <v>6.7</v>
      </c>
      <c r="CO237" s="44"/>
      <c r="CP237" s="44"/>
      <c r="CQ237" s="44"/>
      <c r="CR237" s="44"/>
      <c r="CS237" s="44"/>
      <c r="CT237" s="44">
        <v>994</v>
      </c>
      <c r="CU237" s="44"/>
      <c r="CV237" s="44">
        <v>5852</v>
      </c>
      <c r="CW237" s="44">
        <v>12719</v>
      </c>
      <c r="CX237" s="44">
        <v>1304</v>
      </c>
      <c r="CY237" s="44">
        <v>4558</v>
      </c>
      <c r="CZ237" s="44">
        <v>671</v>
      </c>
      <c r="DA237" s="44">
        <v>155</v>
      </c>
      <c r="DB237" s="44">
        <v>438</v>
      </c>
      <c r="DC237" s="44">
        <v>267</v>
      </c>
      <c r="DD237" s="44"/>
      <c r="DE237" s="44">
        <v>99</v>
      </c>
      <c r="DF237" s="44"/>
      <c r="DG237" s="44">
        <v>69</v>
      </c>
      <c r="DH237" s="44">
        <v>9.1999999999999993</v>
      </c>
      <c r="DI237" s="44">
        <v>2.1</v>
      </c>
      <c r="DJ237" s="44"/>
      <c r="DK237" s="44"/>
      <c r="DL237" s="44">
        <v>192</v>
      </c>
      <c r="DM237" s="44">
        <v>155</v>
      </c>
      <c r="DN237" s="44">
        <v>8.6</v>
      </c>
      <c r="DO237" s="44">
        <v>55</v>
      </c>
      <c r="DP237" s="44"/>
      <c r="DQ237" s="44"/>
      <c r="DR237" s="44"/>
      <c r="DS237" s="44"/>
      <c r="DT237" s="44"/>
      <c r="DU237" s="44"/>
      <c r="DV237" s="44"/>
      <c r="DW237" s="51">
        <v>0.71640000000000004</v>
      </c>
      <c r="DX237" s="51">
        <v>3.0000000000000001E-5</v>
      </c>
      <c r="DY237" s="51">
        <v>0.71638999999999997</v>
      </c>
      <c r="DZ237" s="45">
        <v>0</v>
      </c>
      <c r="EA237" s="52">
        <v>170.4</v>
      </c>
      <c r="EB237" s="45">
        <v>0.51130600000000004</v>
      </c>
      <c r="EC237" s="45">
        <v>3.9999999999999998E-6</v>
      </c>
      <c r="ED237" s="45"/>
      <c r="EE237" s="45">
        <v>-24.7</v>
      </c>
      <c r="EF237" s="45">
        <v>17.87</v>
      </c>
      <c r="EG237" s="45">
        <v>4.0000000000000001E-3</v>
      </c>
      <c r="EH237" s="45">
        <v>15.62</v>
      </c>
      <c r="EI237" s="45">
        <v>4.0000000000000001E-3</v>
      </c>
      <c r="EJ237" s="45"/>
      <c r="EK237" s="44"/>
      <c r="EL237" s="45"/>
      <c r="EM237" s="45"/>
      <c r="EN237" s="45"/>
      <c r="EO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row>
    <row r="238" spans="1:230" s="4" customFormat="1">
      <c r="A238" s="4" t="s">
        <v>1229</v>
      </c>
      <c r="B238" s="4" t="s">
        <v>1468</v>
      </c>
      <c r="C238" s="4" t="s">
        <v>24</v>
      </c>
      <c r="D238" t="str">
        <f t="shared" si="181"/>
        <v>silicic</v>
      </c>
      <c r="F238" s="4" t="s">
        <v>1394</v>
      </c>
      <c r="G238" s="4" t="s">
        <v>1432</v>
      </c>
      <c r="H238" s="4" t="s">
        <v>595</v>
      </c>
      <c r="I238" s="4">
        <v>93</v>
      </c>
      <c r="K238" s="4" t="s">
        <v>1311</v>
      </c>
      <c r="L238" s="4" t="s">
        <v>1274</v>
      </c>
      <c r="N238" s="4" t="s">
        <v>1234</v>
      </c>
      <c r="O238" s="4">
        <v>18</v>
      </c>
      <c r="P238" s="4">
        <v>58.80760320010446</v>
      </c>
      <c r="Q238" s="4">
        <v>1.579874103216758</v>
      </c>
      <c r="R238" s="4">
        <v>0.2709383505946466</v>
      </c>
      <c r="S238" s="4">
        <v>6.0002287437092381</v>
      </c>
      <c r="T238" s="4">
        <v>4.5010978622454685</v>
      </c>
      <c r="U238" s="4">
        <v>4.1509279999306239</v>
      </c>
      <c r="V238" s="4">
        <v>0.38165321883616465</v>
      </c>
      <c r="W238" s="4">
        <v>3.7721490773459001</v>
      </c>
      <c r="X238" s="4">
        <v>2.5426271212627651</v>
      </c>
      <c r="Y238" s="4">
        <v>9.1878280145543751</v>
      </c>
      <c r="AA238" s="4">
        <v>4.9916326289735835</v>
      </c>
      <c r="AB238" s="4">
        <v>2.17068094839418</v>
      </c>
      <c r="AC238" s="4">
        <v>0.77832954360256912</v>
      </c>
      <c r="AD238" s="4">
        <v>0.22046284738637023</v>
      </c>
      <c r="AE238" s="4">
        <v>1.1163575478061036</v>
      </c>
      <c r="AF238" s="4">
        <v>0.82078815900892055</v>
      </c>
      <c r="AK238">
        <f t="shared" si="182"/>
        <v>97.428655842751866</v>
      </c>
      <c r="AL238" s="26">
        <f t="shared" si="183"/>
        <v>60.516138713244331</v>
      </c>
      <c r="AM238" s="26">
        <f t="shared" si="184"/>
        <v>1.6257741376468473</v>
      </c>
      <c r="AN238" s="26">
        <f t="shared" si="185"/>
        <v>6.1745532075155038</v>
      </c>
      <c r="AO238" s="26">
        <f t="shared" si="186"/>
        <v>4.6318681219956677</v>
      </c>
      <c r="AP238" s="26">
        <f t="shared" si="187"/>
        <v>4.2715247852856768</v>
      </c>
      <c r="AQ238" s="26">
        <f t="shared" si="188"/>
        <v>3.8817412101450106</v>
      </c>
      <c r="AR238" s="26">
        <f t="shared" si="189"/>
        <v>0.80094232823937905</v>
      </c>
      <c r="AS238" s="26">
        <f t="shared" si="190"/>
        <v>2.6164979899422476</v>
      </c>
      <c r="AT238" s="26">
        <f t="shared" si="191"/>
        <v>9.4547617033509219</v>
      </c>
      <c r="AU238" s="26">
        <f t="shared" si="192"/>
        <v>5.1366543804319722</v>
      </c>
      <c r="AV238" s="26">
        <f t="shared" si="193"/>
        <v>1.1487910498024081</v>
      </c>
      <c r="AW238" s="26">
        <f t="shared" si="194"/>
        <v>100.25924762759998</v>
      </c>
      <c r="AX238" s="26"/>
      <c r="AY238" s="26"/>
      <c r="BD238"/>
      <c r="BE238"/>
      <c r="BL238" s="44"/>
      <c r="BM238" s="44"/>
      <c r="BN238" s="44"/>
      <c r="BO238" s="44"/>
      <c r="BP238" s="44"/>
      <c r="BQ238" s="44"/>
      <c r="BR238" s="44"/>
      <c r="BS238" s="44"/>
      <c r="BT238" s="44"/>
      <c r="BU238" s="44">
        <v>110</v>
      </c>
      <c r="BV238" s="44"/>
      <c r="BW238" s="44"/>
      <c r="BX238" s="44"/>
      <c r="BY238" s="44"/>
      <c r="BZ238" s="44"/>
      <c r="CA238" s="44"/>
      <c r="CB238" s="44"/>
      <c r="CC238" s="44"/>
      <c r="CD238" s="44"/>
      <c r="CE238" s="44"/>
      <c r="CF238" s="44"/>
      <c r="CG238" s="44"/>
      <c r="CH238" s="44"/>
      <c r="CI238" s="44" t="s">
        <v>1227</v>
      </c>
      <c r="CJ238" s="44">
        <v>17</v>
      </c>
      <c r="CK238" s="44">
        <v>20</v>
      </c>
      <c r="CL238" s="44">
        <v>4.3</v>
      </c>
      <c r="CM238" s="44"/>
      <c r="CN238" s="44">
        <v>8.6</v>
      </c>
      <c r="CO238" s="44"/>
      <c r="CP238" s="44"/>
      <c r="CQ238" s="44"/>
      <c r="CR238" s="44"/>
      <c r="CS238" s="44"/>
      <c r="CT238" s="44">
        <v>76</v>
      </c>
      <c r="CU238" s="44"/>
      <c r="CV238" s="44">
        <v>43</v>
      </c>
      <c r="CW238" s="44">
        <v>81</v>
      </c>
      <c r="CX238" s="44">
        <v>8.4</v>
      </c>
      <c r="CY238" s="44">
        <v>31</v>
      </c>
      <c r="CZ238" s="44">
        <v>4.9000000000000004</v>
      </c>
      <c r="DA238" s="44">
        <v>1.2</v>
      </c>
      <c r="DB238" s="44">
        <v>4.2</v>
      </c>
      <c r="DC238" s="44">
        <v>3</v>
      </c>
      <c r="DD238" s="44"/>
      <c r="DE238" s="44">
        <v>1.5</v>
      </c>
      <c r="DF238" s="44"/>
      <c r="DG238" s="44">
        <v>1.3</v>
      </c>
      <c r="DH238" s="44">
        <v>0.21</v>
      </c>
      <c r="DI238" s="44">
        <v>0.09</v>
      </c>
      <c r="DJ238" s="44"/>
      <c r="DK238" s="44"/>
      <c r="DL238" s="44">
        <v>8.9</v>
      </c>
      <c r="DM238" s="44">
        <v>1.4</v>
      </c>
      <c r="DN238" s="44">
        <v>0.44</v>
      </c>
      <c r="DO238" s="44">
        <v>0.55000000000000004</v>
      </c>
      <c r="DP238" s="44"/>
      <c r="DQ238" s="44"/>
      <c r="DR238" s="44"/>
      <c r="DS238" s="44"/>
      <c r="DT238" s="44"/>
      <c r="DU238" s="44"/>
      <c r="DV238" s="44"/>
      <c r="DW238" s="51">
        <v>0.71028999999999998</v>
      </c>
      <c r="DX238" s="51">
        <v>5.0000000000000002E-5</v>
      </c>
      <c r="DY238" s="51">
        <v>0.71028000000000002</v>
      </c>
      <c r="DZ238" s="45">
        <v>0</v>
      </c>
      <c r="EA238" s="52">
        <v>83.6</v>
      </c>
      <c r="EB238" s="45">
        <v>0.51124099999999995</v>
      </c>
      <c r="EC238" s="45">
        <v>6.7000000000000002E-5</v>
      </c>
      <c r="ED238" s="45"/>
      <c r="EE238" s="45">
        <v>-26.1</v>
      </c>
      <c r="EF238" s="45"/>
      <c r="EG238" s="45"/>
      <c r="EH238" s="45"/>
      <c r="EI238" s="45"/>
      <c r="EJ238" s="45"/>
      <c r="EK238" s="44"/>
      <c r="EL238" s="45"/>
      <c r="EM238" s="45"/>
      <c r="EN238" s="45"/>
      <c r="EO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row>
    <row r="239" spans="1:230" s="4" customFormat="1">
      <c r="A239" s="4" t="s">
        <v>1229</v>
      </c>
      <c r="B239" s="4" t="s">
        <v>1468</v>
      </c>
      <c r="C239" s="4" t="s">
        <v>24</v>
      </c>
      <c r="D239" t="str">
        <f t="shared" si="181"/>
        <v>silicic</v>
      </c>
      <c r="F239" s="4" t="s">
        <v>1394</v>
      </c>
      <c r="G239" s="4" t="s">
        <v>1432</v>
      </c>
      <c r="H239" s="4" t="s">
        <v>595</v>
      </c>
      <c r="I239" s="4">
        <v>93</v>
      </c>
      <c r="K239" s="4" t="s">
        <v>1311</v>
      </c>
      <c r="L239" s="4" t="s">
        <v>1274</v>
      </c>
      <c r="N239" s="4" t="s">
        <v>1233</v>
      </c>
      <c r="O239" s="4">
        <v>18</v>
      </c>
      <c r="P239" s="4">
        <v>58.80760320010446</v>
      </c>
      <c r="Q239" s="4">
        <v>1.579874103216758</v>
      </c>
      <c r="R239" s="4">
        <v>0.2709383505946466</v>
      </c>
      <c r="S239" s="4">
        <v>6.0002287437092381</v>
      </c>
      <c r="T239" s="4">
        <v>4.5010978622454685</v>
      </c>
      <c r="U239" s="4">
        <v>4.1509279999306239</v>
      </c>
      <c r="V239" s="4">
        <v>0.38165321883616465</v>
      </c>
      <c r="W239" s="4">
        <v>3.7721490773459001</v>
      </c>
      <c r="X239" s="4">
        <v>2.5426271212627651</v>
      </c>
      <c r="Y239" s="4">
        <v>9.1878280145543751</v>
      </c>
      <c r="AA239" s="4">
        <v>4.9916326289735835</v>
      </c>
      <c r="AB239" s="4">
        <v>2.17068094839418</v>
      </c>
      <c r="AC239" s="4">
        <v>0.77832954360256912</v>
      </c>
      <c r="AD239" s="4">
        <v>0.22046284738637023</v>
      </c>
      <c r="AE239" s="4">
        <v>1.1163575478061036</v>
      </c>
      <c r="AF239" s="4">
        <v>0.82078815900892055</v>
      </c>
      <c r="AK239">
        <f t="shared" si="182"/>
        <v>97.428655842751866</v>
      </c>
      <c r="AL239" s="26">
        <f t="shared" si="183"/>
        <v>60.516138713244331</v>
      </c>
      <c r="AM239" s="26">
        <f t="shared" si="184"/>
        <v>1.6257741376468473</v>
      </c>
      <c r="AN239" s="26">
        <f t="shared" si="185"/>
        <v>6.1745532075155038</v>
      </c>
      <c r="AO239" s="26">
        <f t="shared" si="186"/>
        <v>4.6318681219956677</v>
      </c>
      <c r="AP239" s="26">
        <f t="shared" si="187"/>
        <v>4.2715247852856768</v>
      </c>
      <c r="AQ239" s="26">
        <f t="shared" si="188"/>
        <v>3.8817412101450106</v>
      </c>
      <c r="AR239" s="26">
        <f t="shared" si="189"/>
        <v>0.80094232823937905</v>
      </c>
      <c r="AS239" s="26">
        <f t="shared" si="190"/>
        <v>2.6164979899422476</v>
      </c>
      <c r="AT239" s="26">
        <f t="shared" si="191"/>
        <v>9.4547617033509219</v>
      </c>
      <c r="AU239" s="26">
        <f t="shared" si="192"/>
        <v>5.1366543804319722</v>
      </c>
      <c r="AV239" s="26">
        <f t="shared" si="193"/>
        <v>1.1487910498024081</v>
      </c>
      <c r="AW239" s="26">
        <f t="shared" si="194"/>
        <v>100.25924762759998</v>
      </c>
      <c r="AX239" s="26"/>
      <c r="AY239" s="26"/>
      <c r="BD239"/>
      <c r="BE239"/>
      <c r="BL239" s="44"/>
      <c r="BM239" s="44"/>
      <c r="BN239" s="44"/>
      <c r="BO239" s="44"/>
      <c r="BP239" s="44"/>
      <c r="BQ239" s="44"/>
      <c r="BR239" s="44"/>
      <c r="BS239" s="44"/>
      <c r="BT239" s="44"/>
      <c r="BU239" s="44" t="s">
        <v>1227</v>
      </c>
      <c r="BV239" s="44"/>
      <c r="BW239" s="44"/>
      <c r="BX239" s="44"/>
      <c r="BY239" s="44"/>
      <c r="BZ239" s="44"/>
      <c r="CA239" s="44"/>
      <c r="CB239" s="44"/>
      <c r="CC239" s="44"/>
      <c r="CD239" s="44"/>
      <c r="CE239" s="44"/>
      <c r="CF239" s="44"/>
      <c r="CG239" s="44"/>
      <c r="CH239" s="44"/>
      <c r="CI239" s="44">
        <v>0.7</v>
      </c>
      <c r="CJ239" s="44">
        <v>30.3</v>
      </c>
      <c r="CK239" s="44">
        <v>54.5</v>
      </c>
      <c r="CL239" s="44">
        <v>1.4</v>
      </c>
      <c r="CM239" s="44"/>
      <c r="CN239" s="44">
        <v>2.1</v>
      </c>
      <c r="CO239" s="44"/>
      <c r="CP239" s="44"/>
      <c r="CQ239" s="44"/>
      <c r="CR239" s="44"/>
      <c r="CS239" s="44"/>
      <c r="CT239" s="44">
        <v>147</v>
      </c>
      <c r="CU239" s="44"/>
      <c r="CV239" s="44">
        <v>137</v>
      </c>
      <c r="CW239" s="44">
        <v>229</v>
      </c>
      <c r="CX239" s="44">
        <v>23.8</v>
      </c>
      <c r="CY239" s="44">
        <v>97</v>
      </c>
      <c r="CZ239" s="44">
        <v>15</v>
      </c>
      <c r="DA239" s="44">
        <v>3.3</v>
      </c>
      <c r="DB239" s="44">
        <v>11</v>
      </c>
      <c r="DC239" s="44">
        <v>8.3000000000000007</v>
      </c>
      <c r="DD239" s="44"/>
      <c r="DE239" s="44">
        <v>4.0999999999999996</v>
      </c>
      <c r="DF239" s="44"/>
      <c r="DG239" s="44">
        <v>3.4</v>
      </c>
      <c r="DH239" s="44">
        <v>0.5</v>
      </c>
      <c r="DI239" s="44" t="s">
        <v>1227</v>
      </c>
      <c r="DJ239" s="44"/>
      <c r="DK239" s="44"/>
      <c r="DL239" s="44">
        <v>14</v>
      </c>
      <c r="DM239" s="44">
        <v>5.3</v>
      </c>
      <c r="DN239" s="44">
        <v>0.5</v>
      </c>
      <c r="DO239" s="44" t="s">
        <v>1227</v>
      </c>
      <c r="DP239" s="44"/>
      <c r="DQ239" s="44"/>
      <c r="DR239" s="44"/>
      <c r="DS239" s="44"/>
      <c r="DT239" s="44"/>
      <c r="DU239" s="44"/>
      <c r="DV239" s="44"/>
      <c r="DW239" s="51">
        <v>0.71108000000000005</v>
      </c>
      <c r="DX239" s="51">
        <v>1.8000000000000001E-4</v>
      </c>
      <c r="DY239" s="51">
        <v>0.71099000000000001</v>
      </c>
      <c r="DZ239" s="45">
        <v>0</v>
      </c>
      <c r="EA239" s="52">
        <v>93.6</v>
      </c>
      <c r="EB239" s="45">
        <v>0.51140399999999997</v>
      </c>
      <c r="EC239" s="45">
        <v>4.5000000000000003E-5</v>
      </c>
      <c r="ED239" s="45"/>
      <c r="EE239" s="45">
        <v>-22.8</v>
      </c>
      <c r="EF239" s="45"/>
      <c r="EG239" s="45"/>
      <c r="EH239" s="45"/>
      <c r="EI239" s="45"/>
      <c r="EJ239" s="45"/>
      <c r="EK239" s="44"/>
      <c r="EL239" s="45"/>
      <c r="EM239" s="45"/>
      <c r="EN239" s="45"/>
      <c r="EO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row>
    <row r="240" spans="1:230" s="4" customFormat="1">
      <c r="A240" s="4" t="s">
        <v>1229</v>
      </c>
      <c r="B240" s="4" t="s">
        <v>1468</v>
      </c>
      <c r="C240" s="4" t="s">
        <v>24</v>
      </c>
      <c r="D240" t="str">
        <f t="shared" si="181"/>
        <v>silicic - low-Mg carbonatitic</v>
      </c>
      <c r="F240" s="4" t="s">
        <v>1394</v>
      </c>
      <c r="G240" s="4" t="s">
        <v>1432</v>
      </c>
      <c r="H240" s="4" t="s">
        <v>595</v>
      </c>
      <c r="I240" s="4">
        <v>93</v>
      </c>
      <c r="K240" s="4" t="s">
        <v>1311</v>
      </c>
      <c r="L240" s="4" t="s">
        <v>1274</v>
      </c>
      <c r="N240" s="4" t="s">
        <v>1235</v>
      </c>
      <c r="O240" s="4">
        <v>32</v>
      </c>
      <c r="P240" s="4">
        <v>29.903241983560743</v>
      </c>
      <c r="Q240" s="4">
        <v>2.1263830661968517</v>
      </c>
      <c r="R240" s="4">
        <v>0.418573297882953</v>
      </c>
      <c r="S240" s="4">
        <v>4.3528993554712745</v>
      </c>
      <c r="T240" s="4">
        <v>11.494286709853341</v>
      </c>
      <c r="U240" s="4">
        <v>6.0698183747549255</v>
      </c>
      <c r="V240" s="4">
        <v>0.76160452818495061</v>
      </c>
      <c r="W240" s="4">
        <v>13.692130069197622</v>
      </c>
      <c r="X240" s="4">
        <v>4.8716470380416013</v>
      </c>
      <c r="Y240" s="4">
        <v>13.657928075225101</v>
      </c>
      <c r="AA240" s="4">
        <v>4.7540184584331691</v>
      </c>
      <c r="AB240" s="4">
        <v>2.1429573521632896</v>
      </c>
      <c r="AC240" s="4">
        <v>2.4541386940142527</v>
      </c>
      <c r="AD240" s="4">
        <v>7.0316238453123112E-2</v>
      </c>
      <c r="AE240" s="4">
        <v>4.2622303367707133</v>
      </c>
      <c r="AF240" s="4">
        <v>1.1969744451564357</v>
      </c>
      <c r="AK240">
        <f t="shared" si="182"/>
        <v>97.638722161519581</v>
      </c>
      <c r="AL240" s="26">
        <f t="shared" si="183"/>
        <v>30.931125082189688</v>
      </c>
      <c r="AM240" s="26">
        <f t="shared" si="184"/>
        <v>2.1994745796908099</v>
      </c>
      <c r="AN240" s="26">
        <f t="shared" si="185"/>
        <v>4.5025243252314588</v>
      </c>
      <c r="AO240" s="26">
        <f t="shared" si="186"/>
        <v>11.889387115566832</v>
      </c>
      <c r="AP240" s="26">
        <f t="shared" si="187"/>
        <v>6.2784600906795038</v>
      </c>
      <c r="AQ240" s="26">
        <f t="shared" si="188"/>
        <v>14.162778338375073</v>
      </c>
      <c r="AR240" s="26">
        <f t="shared" si="189"/>
        <v>2.5384963595361159</v>
      </c>
      <c r="AS240" s="26">
        <f t="shared" si="190"/>
        <v>5.0391032508375773</v>
      </c>
      <c r="AT240" s="26">
        <f t="shared" si="191"/>
        <v>14.127400697575929</v>
      </c>
      <c r="AU240" s="26">
        <f t="shared" si="192"/>
        <v>4.9174313494728716</v>
      </c>
      <c r="AV240" s="26">
        <f t="shared" si="193"/>
        <v>4.408738682857023</v>
      </c>
      <c r="AW240" s="26">
        <f t="shared" si="194"/>
        <v>100.99491987201289</v>
      </c>
      <c r="AX240" s="26"/>
      <c r="AY240" s="26"/>
      <c r="BD240"/>
      <c r="BE240"/>
      <c r="BL240" s="44"/>
      <c r="BM240" s="44"/>
      <c r="BN240" s="44"/>
      <c r="BO240" s="44"/>
      <c r="BP240" s="44"/>
      <c r="BQ240" s="44"/>
      <c r="BR240" s="44"/>
      <c r="BS240" s="44"/>
      <c r="BT240" s="44"/>
      <c r="BU240" s="44" t="s">
        <v>1227</v>
      </c>
      <c r="BV240" s="44"/>
      <c r="BW240" s="44"/>
      <c r="BX240" s="44"/>
      <c r="BY240" s="44"/>
      <c r="BZ240" s="44"/>
      <c r="CA240" s="44"/>
      <c r="CB240" s="44"/>
      <c r="CC240" s="44"/>
      <c r="CD240" s="44"/>
      <c r="CE240" s="44"/>
      <c r="CF240" s="44"/>
      <c r="CG240" s="44"/>
      <c r="CH240" s="44"/>
      <c r="CI240" s="44" t="s">
        <v>1227</v>
      </c>
      <c r="CJ240" s="44">
        <v>3.1</v>
      </c>
      <c r="CK240" s="44">
        <v>1.8</v>
      </c>
      <c r="CL240" s="44">
        <v>0.73</v>
      </c>
      <c r="CM240" s="44"/>
      <c r="CN240" s="44">
        <v>1.4</v>
      </c>
      <c r="CO240" s="44"/>
      <c r="CP240" s="44"/>
      <c r="CQ240" s="44"/>
      <c r="CR240" s="44"/>
      <c r="CS240" s="44"/>
      <c r="CT240" s="44">
        <v>5.0999999999999996</v>
      </c>
      <c r="CU240" s="44"/>
      <c r="CV240" s="44">
        <v>7.7</v>
      </c>
      <c r="CW240" s="44">
        <v>6.5</v>
      </c>
      <c r="CX240" s="44">
        <v>1.7</v>
      </c>
      <c r="CY240" s="44">
        <v>6.1</v>
      </c>
      <c r="CZ240" s="44">
        <v>0.76</v>
      </c>
      <c r="DA240" s="44">
        <v>0.22</v>
      </c>
      <c r="DB240" s="44">
        <v>0.65</v>
      </c>
      <c r="DC240" s="44">
        <v>0.38</v>
      </c>
      <c r="DD240" s="44"/>
      <c r="DE240" s="44">
        <v>0.16</v>
      </c>
      <c r="DF240" s="44"/>
      <c r="DG240" s="44">
        <v>0.16</v>
      </c>
      <c r="DH240" s="44">
        <v>0.02</v>
      </c>
      <c r="DI240" s="44">
        <v>0.02</v>
      </c>
      <c r="DJ240" s="44"/>
      <c r="DK240" s="44"/>
      <c r="DL240" s="44" t="s">
        <v>1227</v>
      </c>
      <c r="DM240" s="44">
        <v>1.7</v>
      </c>
      <c r="DN240" s="44">
        <v>0.1</v>
      </c>
      <c r="DO240" s="44">
        <v>0.08</v>
      </c>
      <c r="DP240" s="44"/>
      <c r="DQ240" s="44"/>
      <c r="DR240" s="44"/>
      <c r="DS240" s="44"/>
      <c r="DT240" s="44"/>
      <c r="DU240" s="44"/>
      <c r="DV240" s="44"/>
      <c r="DW240" s="51">
        <v>0.70596999999999999</v>
      </c>
      <c r="DX240" s="51">
        <v>1.6000000000000001E-4</v>
      </c>
      <c r="DY240" s="51">
        <v>0.70591000000000004</v>
      </c>
      <c r="DZ240" s="45">
        <v>0</v>
      </c>
      <c r="EA240" s="52">
        <v>21.6</v>
      </c>
      <c r="EB240" s="45"/>
      <c r="EC240" s="45"/>
      <c r="ED240" s="45"/>
      <c r="EE240" s="45"/>
      <c r="EF240" s="45"/>
      <c r="EG240" s="45"/>
      <c r="EH240" s="45"/>
      <c r="EI240" s="45"/>
      <c r="EJ240" s="45"/>
      <c r="EK240" s="44"/>
      <c r="EL240" s="45"/>
      <c r="EM240" s="45"/>
      <c r="EN240" s="45"/>
      <c r="EO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row>
    <row r="241" spans="1:230" s="4" customFormat="1">
      <c r="A241" s="4" t="s">
        <v>1229</v>
      </c>
      <c r="B241" s="4" t="s">
        <v>1468</v>
      </c>
      <c r="C241" s="4" t="s">
        <v>24</v>
      </c>
      <c r="D241" t="str">
        <f t="shared" si="181"/>
        <v>silicic - low-Mg carbonatitic</v>
      </c>
      <c r="F241" s="4" t="s">
        <v>1394</v>
      </c>
      <c r="G241" s="4" t="s">
        <v>1432</v>
      </c>
      <c r="H241" s="4" t="s">
        <v>595</v>
      </c>
      <c r="I241" s="4">
        <v>93</v>
      </c>
      <c r="K241" s="4" t="s">
        <v>1311</v>
      </c>
      <c r="L241" s="4" t="s">
        <v>1274</v>
      </c>
      <c r="N241" s="4" t="s">
        <v>1236</v>
      </c>
      <c r="O241" s="4">
        <v>32</v>
      </c>
      <c r="P241" s="4">
        <v>29.903241983560743</v>
      </c>
      <c r="Q241" s="4">
        <v>2.1263830661968517</v>
      </c>
      <c r="R241" s="4">
        <v>0.418573297882953</v>
      </c>
      <c r="S241" s="4">
        <v>4.3528993554712745</v>
      </c>
      <c r="T241" s="4">
        <v>11.494286709853341</v>
      </c>
      <c r="U241" s="4">
        <v>6.0698183747549255</v>
      </c>
      <c r="V241" s="4">
        <v>0.76160452818495061</v>
      </c>
      <c r="W241" s="4">
        <v>13.692130069197622</v>
      </c>
      <c r="X241" s="4">
        <v>4.8716470380416013</v>
      </c>
      <c r="Y241" s="4">
        <v>13.657928075225101</v>
      </c>
      <c r="AA241" s="4">
        <v>4.7540184584331691</v>
      </c>
      <c r="AB241" s="4">
        <v>2.1429573521632896</v>
      </c>
      <c r="AC241" s="4">
        <v>2.4541386940142527</v>
      </c>
      <c r="AD241" s="4">
        <v>7.0316238453123112E-2</v>
      </c>
      <c r="AE241" s="4">
        <v>4.2622303367707133</v>
      </c>
      <c r="AF241" s="4">
        <v>1.1969744451564357</v>
      </c>
      <c r="AK241">
        <f t="shared" si="182"/>
        <v>97.638722161519581</v>
      </c>
      <c r="AL241" s="26">
        <f t="shared" si="183"/>
        <v>30.931125082189688</v>
      </c>
      <c r="AM241" s="26">
        <f t="shared" si="184"/>
        <v>2.1994745796908099</v>
      </c>
      <c r="AN241" s="26">
        <f t="shared" si="185"/>
        <v>4.5025243252314588</v>
      </c>
      <c r="AO241" s="26">
        <f t="shared" si="186"/>
        <v>11.889387115566832</v>
      </c>
      <c r="AP241" s="26">
        <f t="shared" si="187"/>
        <v>6.2784600906795038</v>
      </c>
      <c r="AQ241" s="26">
        <f t="shared" si="188"/>
        <v>14.162778338375073</v>
      </c>
      <c r="AR241" s="26">
        <f t="shared" si="189"/>
        <v>2.5384963595361159</v>
      </c>
      <c r="AS241" s="26">
        <f t="shared" si="190"/>
        <v>5.0391032508375773</v>
      </c>
      <c r="AT241" s="26">
        <f t="shared" si="191"/>
        <v>14.127400697575929</v>
      </c>
      <c r="AU241" s="26">
        <f t="shared" si="192"/>
        <v>4.9174313494728716</v>
      </c>
      <c r="AV241" s="26">
        <f t="shared" si="193"/>
        <v>4.408738682857023</v>
      </c>
      <c r="AW241" s="26">
        <f t="shared" si="194"/>
        <v>100.99491987201289</v>
      </c>
      <c r="AX241" s="26"/>
      <c r="AY241" s="26"/>
      <c r="BD241"/>
      <c r="BE241"/>
      <c r="BL241" s="44"/>
      <c r="BM241" s="44"/>
      <c r="BN241" s="44"/>
      <c r="BO241" s="44"/>
      <c r="BP241" s="44"/>
      <c r="BQ241" s="44"/>
      <c r="BR241" s="44"/>
      <c r="BS241" s="44"/>
      <c r="BT241" s="44"/>
      <c r="BU241" s="44" t="s">
        <v>1227</v>
      </c>
      <c r="BV241" s="44"/>
      <c r="BW241" s="44"/>
      <c r="BX241" s="44"/>
      <c r="BY241" s="44"/>
      <c r="BZ241" s="44"/>
      <c r="CA241" s="44"/>
      <c r="CB241" s="44"/>
      <c r="CC241" s="44"/>
      <c r="CD241" s="44"/>
      <c r="CE241" s="44"/>
      <c r="CF241" s="44"/>
      <c r="CG241" s="44"/>
      <c r="CH241" s="44"/>
      <c r="CI241" s="44">
        <v>0.09</v>
      </c>
      <c r="CJ241" s="44">
        <v>3.3</v>
      </c>
      <c r="CK241" s="44">
        <v>2.2000000000000002</v>
      </c>
      <c r="CL241" s="44" t="s">
        <v>1227</v>
      </c>
      <c r="CM241" s="44"/>
      <c r="CN241" s="44">
        <v>0.25</v>
      </c>
      <c r="CO241" s="44"/>
      <c r="CP241" s="44"/>
      <c r="CQ241" s="44"/>
      <c r="CR241" s="44"/>
      <c r="CS241" s="44"/>
      <c r="CT241" s="44">
        <v>3.9</v>
      </c>
      <c r="CU241" s="44"/>
      <c r="CV241" s="44">
        <v>18</v>
      </c>
      <c r="CW241" s="44">
        <v>11</v>
      </c>
      <c r="CX241" s="44">
        <v>4.5</v>
      </c>
      <c r="CY241" s="44">
        <v>18</v>
      </c>
      <c r="CZ241" s="44">
        <v>2.4</v>
      </c>
      <c r="DA241" s="44">
        <v>0.52</v>
      </c>
      <c r="DB241" s="44">
        <v>1.2</v>
      </c>
      <c r="DC241" s="44">
        <v>0.6</v>
      </c>
      <c r="DD241" s="44"/>
      <c r="DE241" s="44">
        <v>0.21</v>
      </c>
      <c r="DF241" s="44"/>
      <c r="DG241" s="44">
        <v>0.13</v>
      </c>
      <c r="DH241" s="44">
        <v>0.02</v>
      </c>
      <c r="DI241" s="44" t="s">
        <v>1227</v>
      </c>
      <c r="DJ241" s="44"/>
      <c r="DK241" s="44"/>
      <c r="DL241" s="44">
        <v>0.32</v>
      </c>
      <c r="DM241" s="44">
        <v>0.64</v>
      </c>
      <c r="DN241" s="44">
        <v>0.03</v>
      </c>
      <c r="DO241" s="44" t="s">
        <v>1191</v>
      </c>
      <c r="DP241" s="44"/>
      <c r="DQ241" s="44"/>
      <c r="DR241" s="44"/>
      <c r="DS241" s="44"/>
      <c r="DT241" s="44"/>
      <c r="DU241" s="44"/>
      <c r="DV241" s="44"/>
      <c r="DW241" s="51">
        <v>0.70731999999999995</v>
      </c>
      <c r="DX241" s="51">
        <v>1.9000000000000001E-4</v>
      </c>
      <c r="DY241" s="51">
        <v>0.70726</v>
      </c>
      <c r="DZ241" s="45">
        <v>0</v>
      </c>
      <c r="EA241" s="52">
        <v>40.799999999999997</v>
      </c>
      <c r="EB241" s="45"/>
      <c r="EC241" s="45"/>
      <c r="ED241" s="45"/>
      <c r="EE241" s="45"/>
      <c r="EF241" s="45"/>
      <c r="EG241" s="45"/>
      <c r="EH241" s="45"/>
      <c r="EI241" s="45"/>
      <c r="EJ241" s="45"/>
      <c r="EK241" s="44"/>
      <c r="EL241" s="45"/>
      <c r="EM241" s="45"/>
      <c r="EN241" s="45"/>
      <c r="EO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row>
    <row r="242" spans="1:230" s="4" customFormat="1">
      <c r="A242" s="4" t="s">
        <v>1229</v>
      </c>
      <c r="B242" s="4" t="s">
        <v>1468</v>
      </c>
      <c r="C242" s="4" t="s">
        <v>24</v>
      </c>
      <c r="D242" t="str">
        <f t="shared" si="181"/>
        <v>silicic - low-Mg carbonatitic</v>
      </c>
      <c r="F242" s="4" t="s">
        <v>1394</v>
      </c>
      <c r="G242" s="4" t="s">
        <v>1432</v>
      </c>
      <c r="H242" s="4" t="s">
        <v>595</v>
      </c>
      <c r="I242" s="4">
        <v>93</v>
      </c>
      <c r="K242" s="4" t="s">
        <v>1311</v>
      </c>
      <c r="L242" s="4" t="s">
        <v>1274</v>
      </c>
      <c r="N242" s="4" t="s">
        <v>1237</v>
      </c>
      <c r="O242" s="4">
        <v>32</v>
      </c>
      <c r="P242" s="4">
        <v>29.903241983560743</v>
      </c>
      <c r="Q242" s="4">
        <v>2.1263830661968517</v>
      </c>
      <c r="R242" s="4">
        <v>0.418573297882953</v>
      </c>
      <c r="S242" s="4">
        <v>4.3528993554712745</v>
      </c>
      <c r="T242" s="4">
        <v>11.494286709853341</v>
      </c>
      <c r="U242" s="4">
        <v>6.0698183747549255</v>
      </c>
      <c r="V242" s="4">
        <v>0.76160452818495061</v>
      </c>
      <c r="W242" s="4">
        <v>13.692130069197622</v>
      </c>
      <c r="X242" s="4">
        <v>4.8716470380416013</v>
      </c>
      <c r="Y242" s="4">
        <v>13.657928075225101</v>
      </c>
      <c r="AA242" s="4">
        <v>4.7540184584331691</v>
      </c>
      <c r="AB242" s="4">
        <v>2.1429573521632896</v>
      </c>
      <c r="AC242" s="4">
        <v>2.4541386940142527</v>
      </c>
      <c r="AD242" s="4">
        <v>7.0316238453123112E-2</v>
      </c>
      <c r="AE242" s="4">
        <v>4.2622303367707133</v>
      </c>
      <c r="AF242" s="4">
        <v>1.1969744451564357</v>
      </c>
      <c r="AK242">
        <f t="shared" si="182"/>
        <v>97.638722161519581</v>
      </c>
      <c r="AL242" s="26">
        <f t="shared" si="183"/>
        <v>30.931125082189688</v>
      </c>
      <c r="AM242" s="26">
        <f t="shared" si="184"/>
        <v>2.1994745796908099</v>
      </c>
      <c r="AN242" s="26">
        <f t="shared" si="185"/>
        <v>4.5025243252314588</v>
      </c>
      <c r="AO242" s="26">
        <f t="shared" si="186"/>
        <v>11.889387115566832</v>
      </c>
      <c r="AP242" s="26">
        <f t="shared" si="187"/>
        <v>6.2784600906795038</v>
      </c>
      <c r="AQ242" s="26">
        <f t="shared" si="188"/>
        <v>14.162778338375073</v>
      </c>
      <c r="AR242" s="26">
        <f t="shared" si="189"/>
        <v>2.5384963595361159</v>
      </c>
      <c r="AS242" s="26">
        <f t="shared" si="190"/>
        <v>5.0391032508375773</v>
      </c>
      <c r="AT242" s="26">
        <f t="shared" si="191"/>
        <v>14.127400697575929</v>
      </c>
      <c r="AU242" s="26">
        <f t="shared" si="192"/>
        <v>4.9174313494728716</v>
      </c>
      <c r="AV242" s="26">
        <f t="shared" si="193"/>
        <v>4.408738682857023</v>
      </c>
      <c r="AW242" s="26">
        <f t="shared" si="194"/>
        <v>100.99491987201289</v>
      </c>
      <c r="AX242" s="26"/>
      <c r="AY242" s="26"/>
      <c r="BD242"/>
      <c r="BE242"/>
      <c r="BL242" s="44"/>
      <c r="BM242" s="44"/>
      <c r="BN242" s="44"/>
      <c r="BO242" s="44"/>
      <c r="BP242" s="44"/>
      <c r="BQ242" s="44"/>
      <c r="BR242" s="44"/>
      <c r="BS242" s="44"/>
      <c r="BT242" s="44"/>
      <c r="BU242" s="44" t="s">
        <v>1227</v>
      </c>
      <c r="BV242" s="44"/>
      <c r="BW242" s="44"/>
      <c r="BX242" s="44"/>
      <c r="BY242" s="44"/>
      <c r="BZ242" s="44"/>
      <c r="CA242" s="44"/>
      <c r="CB242" s="44"/>
      <c r="CC242" s="44"/>
      <c r="CD242" s="44"/>
      <c r="CE242" s="44"/>
      <c r="CF242" s="44"/>
      <c r="CG242" s="44"/>
      <c r="CH242" s="44"/>
      <c r="CI242" s="44" t="s">
        <v>1227</v>
      </c>
      <c r="CJ242" s="44">
        <v>8.1</v>
      </c>
      <c r="CK242" s="44">
        <v>3.1</v>
      </c>
      <c r="CL242" s="44">
        <v>2.5</v>
      </c>
      <c r="CM242" s="44"/>
      <c r="CN242" s="44">
        <v>2.1</v>
      </c>
      <c r="CO242" s="44"/>
      <c r="CP242" s="44"/>
      <c r="CQ242" s="44"/>
      <c r="CR242" s="44"/>
      <c r="CS242" s="44"/>
      <c r="CT242" s="44">
        <v>12</v>
      </c>
      <c r="CU242" s="44"/>
      <c r="CV242" s="44">
        <v>24</v>
      </c>
      <c r="CW242" s="44">
        <v>24</v>
      </c>
      <c r="CX242" s="44">
        <v>5.9</v>
      </c>
      <c r="CY242" s="44">
        <v>20</v>
      </c>
      <c r="CZ242" s="44">
        <v>2.6</v>
      </c>
      <c r="DA242" s="44">
        <v>0.6</v>
      </c>
      <c r="DB242" s="44">
        <v>1.6</v>
      </c>
      <c r="DC242" s="44">
        <v>0.9</v>
      </c>
      <c r="DD242" s="44"/>
      <c r="DE242" s="44">
        <v>0.4</v>
      </c>
      <c r="DF242" s="44"/>
      <c r="DG242" s="44">
        <v>0.2</v>
      </c>
      <c r="DH242" s="44">
        <v>0.04</v>
      </c>
      <c r="DI242" s="44">
        <v>0.05</v>
      </c>
      <c r="DJ242" s="44"/>
      <c r="DK242" s="44"/>
      <c r="DL242" s="44">
        <v>2.7</v>
      </c>
      <c r="DM242" s="44">
        <v>1</v>
      </c>
      <c r="DN242" s="44">
        <v>0.06</v>
      </c>
      <c r="DO242" s="44">
        <v>0.2</v>
      </c>
      <c r="DP242" s="44"/>
      <c r="DQ242" s="44"/>
      <c r="DR242" s="44"/>
      <c r="DS242" s="44"/>
      <c r="DT242" s="44"/>
      <c r="DU242" s="44"/>
      <c r="DV242" s="44"/>
      <c r="DW242" s="51">
        <v>0.70798000000000005</v>
      </c>
      <c r="DX242" s="51">
        <v>2.0000000000000001E-4</v>
      </c>
      <c r="DY242" s="51">
        <v>0.70794999999999997</v>
      </c>
      <c r="DZ242" s="45">
        <v>0</v>
      </c>
      <c r="EA242" s="52">
        <v>50.6</v>
      </c>
      <c r="EB242" s="45"/>
      <c r="EC242" s="45"/>
      <c r="ED242" s="45"/>
      <c r="EE242" s="45"/>
      <c r="EF242" s="45"/>
      <c r="EG242" s="45"/>
      <c r="EH242" s="45"/>
      <c r="EI242" s="45"/>
      <c r="EJ242" s="45"/>
      <c r="EK242" s="44"/>
      <c r="EL242" s="45"/>
      <c r="EM242" s="45"/>
      <c r="EN242" s="45"/>
      <c r="EO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row>
    <row r="243" spans="1:230" s="4" customFormat="1">
      <c r="A243" s="4" t="s">
        <v>1229</v>
      </c>
      <c r="B243" s="4" t="s">
        <v>1468</v>
      </c>
      <c r="C243" s="4" t="s">
        <v>24</v>
      </c>
      <c r="D243" t="str">
        <f t="shared" si="181"/>
        <v>silicic - low-Mg carbonatitic</v>
      </c>
      <c r="F243" s="4" t="s">
        <v>1394</v>
      </c>
      <c r="G243" s="4" t="s">
        <v>1432</v>
      </c>
      <c r="H243" s="4" t="s">
        <v>595</v>
      </c>
      <c r="I243" s="4">
        <v>93</v>
      </c>
      <c r="K243" s="4" t="s">
        <v>1311</v>
      </c>
      <c r="L243" s="4" t="s">
        <v>1274</v>
      </c>
      <c r="N243" s="4" t="s">
        <v>1238</v>
      </c>
      <c r="O243" s="4">
        <v>29</v>
      </c>
      <c r="P243" s="4">
        <v>31.737860991413733</v>
      </c>
      <c r="Q243" s="4">
        <v>1.2208817446402143</v>
      </c>
      <c r="R243" s="4">
        <v>1.5264711228628236</v>
      </c>
      <c r="S243" s="4">
        <v>4.0095200875365826</v>
      </c>
      <c r="T243" s="4">
        <v>9.4365126155717132</v>
      </c>
      <c r="U243" s="4">
        <v>6.106146102120988</v>
      </c>
      <c r="V243" s="4">
        <v>1.5285928484939235</v>
      </c>
      <c r="W243" s="4">
        <v>17.442930558238416</v>
      </c>
      <c r="X243" s="4">
        <v>4.9418797759878741</v>
      </c>
      <c r="Y243" s="4">
        <v>12.307236451755921</v>
      </c>
      <c r="AA243" s="4">
        <v>5.1072432197265281</v>
      </c>
      <c r="AB243" s="4">
        <v>1.6007863498805461</v>
      </c>
      <c r="AC243" s="4">
        <v>0.97795746548273066</v>
      </c>
      <c r="AD243" s="4">
        <v>0.74073156378756688</v>
      </c>
      <c r="AE243" s="4">
        <v>2.6551735744958034</v>
      </c>
      <c r="AF243" s="4">
        <v>1.088012349727979</v>
      </c>
      <c r="AK243">
        <f t="shared" si="182"/>
        <v>95.943342586970516</v>
      </c>
      <c r="AL243" s="26">
        <f t="shared" si="183"/>
        <v>33.287685818528132</v>
      </c>
      <c r="AM243" s="26">
        <f t="shared" si="184"/>
        <v>1.2804999035112876</v>
      </c>
      <c r="AN243" s="26">
        <f t="shared" si="185"/>
        <v>4.2053131744796257</v>
      </c>
      <c r="AO243" s="26">
        <f t="shared" si="186"/>
        <v>9.8973168750946812</v>
      </c>
      <c r="AP243" s="26">
        <f t="shared" si="187"/>
        <v>6.4043217362513145</v>
      </c>
      <c r="AQ243" s="26">
        <f t="shared" si="188"/>
        <v>18.294704622158601</v>
      </c>
      <c r="AR243" s="26">
        <f t="shared" si="189"/>
        <v>1.0257131337137135</v>
      </c>
      <c r="AS243" s="26">
        <f t="shared" si="190"/>
        <v>5.1832018982163577</v>
      </c>
      <c r="AT243" s="26">
        <f t="shared" si="191"/>
        <v>12.908224042295146</v>
      </c>
      <c r="AU243" s="26">
        <f t="shared" si="192"/>
        <v>5.356640377971857</v>
      </c>
      <c r="AV243" s="26">
        <f t="shared" si="193"/>
        <v>2.7848311442723221</v>
      </c>
      <c r="AW243" s="26">
        <f t="shared" si="194"/>
        <v>100.62845272649302</v>
      </c>
      <c r="AX243" s="26"/>
      <c r="AY243" s="26"/>
      <c r="BD243"/>
      <c r="BE243"/>
      <c r="BL243" s="44"/>
      <c r="BM243" s="44"/>
      <c r="BN243" s="44"/>
      <c r="BO243" s="44"/>
      <c r="BP243" s="44"/>
      <c r="BQ243" s="44"/>
      <c r="BR243" s="44"/>
      <c r="BS243" s="44"/>
      <c r="BT243" s="44"/>
      <c r="BU243" s="44" t="s">
        <v>1227</v>
      </c>
      <c r="BV243" s="44"/>
      <c r="BW243" s="44"/>
      <c r="BX243" s="44"/>
      <c r="BY243" s="44"/>
      <c r="BZ243" s="44"/>
      <c r="CA243" s="44"/>
      <c r="CB243" s="44"/>
      <c r="CC243" s="44"/>
      <c r="CD243" s="44"/>
      <c r="CE243" s="44"/>
      <c r="CF243" s="44"/>
      <c r="CG243" s="44"/>
      <c r="CH243" s="44"/>
      <c r="CI243" s="44" t="s">
        <v>1227</v>
      </c>
      <c r="CJ243" s="44">
        <v>10</v>
      </c>
      <c r="CK243" s="44">
        <v>3.4</v>
      </c>
      <c r="CL243" s="44">
        <v>0.46</v>
      </c>
      <c r="CM243" s="44"/>
      <c r="CN243" s="44">
        <v>1</v>
      </c>
      <c r="CO243" s="44"/>
      <c r="CP243" s="44"/>
      <c r="CQ243" s="44"/>
      <c r="CR243" s="44"/>
      <c r="CS243" s="44"/>
      <c r="CT243" s="44">
        <v>14</v>
      </c>
      <c r="CU243" s="44"/>
      <c r="CV243" s="44">
        <v>25</v>
      </c>
      <c r="CW243" s="44">
        <v>24</v>
      </c>
      <c r="CX243" s="44">
        <v>4.2</v>
      </c>
      <c r="CY243" s="44">
        <v>15</v>
      </c>
      <c r="CZ243" s="44">
        <v>1.5</v>
      </c>
      <c r="DA243" s="44">
        <v>0.54</v>
      </c>
      <c r="DB243" s="44">
        <v>1.5</v>
      </c>
      <c r="DC243" s="44">
        <v>0.81</v>
      </c>
      <c r="DD243" s="44"/>
      <c r="DE243" s="44">
        <v>0.28999999999999998</v>
      </c>
      <c r="DF243" s="44"/>
      <c r="DG243" s="44">
        <v>0.42</v>
      </c>
      <c r="DH243" s="44">
        <v>0.11</v>
      </c>
      <c r="DI243" s="44" t="s">
        <v>1227</v>
      </c>
      <c r="DJ243" s="44"/>
      <c r="DK243" s="44"/>
      <c r="DL243" s="44">
        <v>1.4</v>
      </c>
      <c r="DM243" s="44">
        <v>2.2000000000000002</v>
      </c>
      <c r="DN243" s="44">
        <v>0.08</v>
      </c>
      <c r="DO243" s="44">
        <v>0.15</v>
      </c>
      <c r="DP243" s="44"/>
      <c r="DQ243" s="44"/>
      <c r="DR243" s="44"/>
      <c r="DS243" s="44"/>
      <c r="DT243" s="44"/>
      <c r="DU243" s="44"/>
      <c r="DV243" s="44"/>
      <c r="DW243" s="51">
        <v>0.70823000000000003</v>
      </c>
      <c r="DX243" s="51">
        <v>1.7000000000000001E-4</v>
      </c>
      <c r="DY243" s="51">
        <v>0.70821000000000001</v>
      </c>
      <c r="DZ243" s="45">
        <v>0</v>
      </c>
      <c r="EA243" s="52">
        <v>54.2</v>
      </c>
      <c r="EB243" s="45"/>
      <c r="EC243" s="45"/>
      <c r="ED243" s="45"/>
      <c r="EE243" s="45"/>
      <c r="EF243" s="45"/>
      <c r="EG243" s="45"/>
      <c r="EH243" s="45"/>
      <c r="EI243" s="45"/>
      <c r="EJ243" s="45"/>
      <c r="EK243" s="44"/>
      <c r="EL243" s="45"/>
      <c r="EM243" s="45"/>
      <c r="EN243" s="45"/>
      <c r="EO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row>
    <row r="244" spans="1:230" s="4" customFormat="1">
      <c r="A244" s="4" t="s">
        <v>1229</v>
      </c>
      <c r="B244" s="4" t="s">
        <v>1468</v>
      </c>
      <c r="C244" s="4" t="s">
        <v>24</v>
      </c>
      <c r="D244" t="str">
        <f t="shared" si="181"/>
        <v>silicic - low-Mg carbonatitic</v>
      </c>
      <c r="F244" s="4" t="s">
        <v>1394</v>
      </c>
      <c r="G244" s="4" t="s">
        <v>1432</v>
      </c>
      <c r="H244" s="4" t="s">
        <v>595</v>
      </c>
      <c r="I244" s="4">
        <v>93</v>
      </c>
      <c r="K244" s="4" t="s">
        <v>1311</v>
      </c>
      <c r="L244" s="4" t="s">
        <v>1274</v>
      </c>
      <c r="N244" s="4" t="s">
        <v>1239</v>
      </c>
      <c r="O244" s="4">
        <v>29</v>
      </c>
      <c r="P244" s="4">
        <v>31.737860991413733</v>
      </c>
      <c r="Q244" s="4">
        <v>1.2208817446402143</v>
      </c>
      <c r="R244" s="4">
        <v>1.5264711228628236</v>
      </c>
      <c r="S244" s="4">
        <v>4.0095200875365826</v>
      </c>
      <c r="T244" s="4">
        <v>9.4365126155717132</v>
      </c>
      <c r="U244" s="4">
        <v>6.106146102120988</v>
      </c>
      <c r="V244" s="4">
        <v>1.5285928484939235</v>
      </c>
      <c r="W244" s="4">
        <v>17.442930558238416</v>
      </c>
      <c r="X244" s="4">
        <v>4.9418797759878741</v>
      </c>
      <c r="Y244" s="4">
        <v>12.307236451755921</v>
      </c>
      <c r="AA244" s="4">
        <v>5.1072432197265281</v>
      </c>
      <c r="AB244" s="4">
        <v>1.6007863498805461</v>
      </c>
      <c r="AC244" s="4">
        <v>0.97795746548273066</v>
      </c>
      <c r="AD244" s="4">
        <v>0.74073156378756688</v>
      </c>
      <c r="AE244" s="4">
        <v>2.6551735744958034</v>
      </c>
      <c r="AF244" s="4">
        <v>1.088012349727979</v>
      </c>
      <c r="AK244">
        <f t="shared" si="182"/>
        <v>95.943342586970516</v>
      </c>
      <c r="AL244" s="26">
        <f t="shared" si="183"/>
        <v>33.287685818528132</v>
      </c>
      <c r="AM244" s="26">
        <f t="shared" si="184"/>
        <v>1.2804999035112876</v>
      </c>
      <c r="AN244" s="26">
        <f t="shared" si="185"/>
        <v>4.2053131744796257</v>
      </c>
      <c r="AO244" s="26">
        <f t="shared" si="186"/>
        <v>9.8973168750946812</v>
      </c>
      <c r="AP244" s="26">
        <f t="shared" si="187"/>
        <v>6.4043217362513145</v>
      </c>
      <c r="AQ244" s="26">
        <f t="shared" si="188"/>
        <v>18.294704622158601</v>
      </c>
      <c r="AR244" s="26">
        <f t="shared" si="189"/>
        <v>1.0257131337137135</v>
      </c>
      <c r="AS244" s="26">
        <f t="shared" si="190"/>
        <v>5.1832018982163577</v>
      </c>
      <c r="AT244" s="26">
        <f t="shared" si="191"/>
        <v>12.908224042295146</v>
      </c>
      <c r="AU244" s="26">
        <f t="shared" si="192"/>
        <v>5.356640377971857</v>
      </c>
      <c r="AV244" s="26">
        <f t="shared" si="193"/>
        <v>2.7848311442723221</v>
      </c>
      <c r="AW244" s="26">
        <f t="shared" si="194"/>
        <v>100.62845272649302</v>
      </c>
      <c r="AX244" s="26"/>
      <c r="AY244" s="26"/>
      <c r="BD244"/>
      <c r="BE244"/>
      <c r="BL244" s="44"/>
      <c r="BM244" s="44"/>
      <c r="BN244" s="44"/>
      <c r="BO244" s="44"/>
      <c r="BP244" s="44"/>
      <c r="BQ244" s="44"/>
      <c r="BR244" s="44"/>
      <c r="BS244" s="44"/>
      <c r="BT244" s="44"/>
      <c r="BU244" s="44" t="s">
        <v>1227</v>
      </c>
      <c r="BV244" s="44"/>
      <c r="BW244" s="44"/>
      <c r="BX244" s="44"/>
      <c r="BY244" s="44"/>
      <c r="BZ244" s="44"/>
      <c r="CA244" s="44"/>
      <c r="CB244" s="44"/>
      <c r="CC244" s="44"/>
      <c r="CD244" s="44"/>
      <c r="CE244" s="44"/>
      <c r="CF244" s="44"/>
      <c r="CG244" s="44"/>
      <c r="CH244" s="44"/>
      <c r="CI244" s="44">
        <v>0.04</v>
      </c>
      <c r="CJ244" s="44">
        <v>1.8</v>
      </c>
      <c r="CK244" s="44">
        <v>0.1</v>
      </c>
      <c r="CL244" s="44" t="s">
        <v>1227</v>
      </c>
      <c r="CM244" s="44"/>
      <c r="CN244" s="44">
        <v>0.04</v>
      </c>
      <c r="CO244" s="44"/>
      <c r="CP244" s="44"/>
      <c r="CQ244" s="44"/>
      <c r="CR244" s="44"/>
      <c r="CS244" s="44"/>
      <c r="CT244" s="44">
        <v>4.3</v>
      </c>
      <c r="CU244" s="44"/>
      <c r="CV244" s="44">
        <v>2.1</v>
      </c>
      <c r="CW244" s="44">
        <v>0.8</v>
      </c>
      <c r="CX244" s="44">
        <v>0.3</v>
      </c>
      <c r="CY244" s="44">
        <v>1.2</v>
      </c>
      <c r="CZ244" s="44">
        <v>0.15</v>
      </c>
      <c r="DA244" s="44">
        <v>0.03</v>
      </c>
      <c r="DB244" s="44">
        <v>0.08</v>
      </c>
      <c r="DC244" s="44">
        <v>0.04</v>
      </c>
      <c r="DD244" s="44"/>
      <c r="DE244" s="44" t="s">
        <v>1227</v>
      </c>
      <c r="DF244" s="44"/>
      <c r="DG244" s="44">
        <v>0.01</v>
      </c>
      <c r="DH244" s="44" t="s">
        <v>1227</v>
      </c>
      <c r="DI244" s="44" t="s">
        <v>1227</v>
      </c>
      <c r="DJ244" s="44"/>
      <c r="DK244" s="44"/>
      <c r="DL244" s="44">
        <v>0.19</v>
      </c>
      <c r="DM244" s="44">
        <v>0.05</v>
      </c>
      <c r="DN244" s="44">
        <v>3.0000000000000001E-3</v>
      </c>
      <c r="DO244" s="44" t="s">
        <v>1191</v>
      </c>
      <c r="DP244" s="44"/>
      <c r="DQ244" s="44"/>
      <c r="DR244" s="44"/>
      <c r="DS244" s="44"/>
      <c r="DT244" s="44"/>
      <c r="DU244" s="44"/>
      <c r="DV244" s="44"/>
      <c r="DW244" s="51">
        <v>0.70775999999999994</v>
      </c>
      <c r="DX244" s="51">
        <v>1.1E-4</v>
      </c>
      <c r="DY244" s="51">
        <v>0.70770999999999995</v>
      </c>
      <c r="DZ244" s="45">
        <v>0</v>
      </c>
      <c r="EA244" s="52">
        <v>47.1</v>
      </c>
      <c r="EB244" s="45"/>
      <c r="EC244" s="45"/>
      <c r="ED244" s="45"/>
      <c r="EE244" s="45"/>
      <c r="EF244" s="45"/>
      <c r="EG244" s="45"/>
      <c r="EH244" s="45"/>
      <c r="EI244" s="45"/>
      <c r="EJ244" s="45"/>
      <c r="EK244" s="44"/>
      <c r="EL244" s="45"/>
      <c r="EM244" s="45"/>
      <c r="EN244" s="45"/>
      <c r="EO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row>
    <row r="245" spans="1:230" s="4" customFormat="1">
      <c r="A245" s="4" t="s">
        <v>1229</v>
      </c>
      <c r="B245" s="4" t="s">
        <v>1468</v>
      </c>
      <c r="C245" s="4" t="s">
        <v>24</v>
      </c>
      <c r="D245" t="str">
        <f t="shared" si="181"/>
        <v>silicic - low-Mg carbonatitic</v>
      </c>
      <c r="F245" s="4" t="s">
        <v>1394</v>
      </c>
      <c r="G245" s="4" t="s">
        <v>1432</v>
      </c>
      <c r="H245" s="4" t="s">
        <v>595</v>
      </c>
      <c r="I245" s="4">
        <v>93</v>
      </c>
      <c r="K245" s="4" t="s">
        <v>1311</v>
      </c>
      <c r="L245" s="4" t="s">
        <v>1274</v>
      </c>
      <c r="N245" s="4" t="s">
        <v>1240</v>
      </c>
      <c r="O245" s="4">
        <v>29</v>
      </c>
      <c r="P245" s="4">
        <v>31.737860991413733</v>
      </c>
      <c r="Q245" s="4">
        <v>1.2208817446402143</v>
      </c>
      <c r="R245" s="4">
        <v>1.5264711228628236</v>
      </c>
      <c r="S245" s="4">
        <v>4.0095200875365826</v>
      </c>
      <c r="T245" s="4">
        <v>9.4365126155717132</v>
      </c>
      <c r="U245" s="4">
        <v>6.106146102120988</v>
      </c>
      <c r="V245" s="4">
        <v>1.5285928484939235</v>
      </c>
      <c r="W245" s="4">
        <v>17.442930558238416</v>
      </c>
      <c r="X245" s="4">
        <v>4.9418797759878741</v>
      </c>
      <c r="Y245" s="4">
        <v>12.307236451755921</v>
      </c>
      <c r="AA245" s="4">
        <v>5.1072432197265281</v>
      </c>
      <c r="AB245" s="4">
        <v>1.6007863498805461</v>
      </c>
      <c r="AC245" s="4">
        <v>0.97795746548273066</v>
      </c>
      <c r="AD245" s="4">
        <v>0.74073156378756688</v>
      </c>
      <c r="AE245" s="4">
        <v>2.6551735744958034</v>
      </c>
      <c r="AF245" s="4">
        <v>1.088012349727979</v>
      </c>
      <c r="AK245">
        <f t="shared" si="182"/>
        <v>95.943342586970516</v>
      </c>
      <c r="AL245" s="26">
        <f t="shared" si="183"/>
        <v>33.287685818528132</v>
      </c>
      <c r="AM245" s="26">
        <f t="shared" si="184"/>
        <v>1.2804999035112876</v>
      </c>
      <c r="AN245" s="26">
        <f t="shared" si="185"/>
        <v>4.2053131744796257</v>
      </c>
      <c r="AO245" s="26">
        <f t="shared" si="186"/>
        <v>9.8973168750946812</v>
      </c>
      <c r="AP245" s="26">
        <f t="shared" si="187"/>
        <v>6.4043217362513145</v>
      </c>
      <c r="AQ245" s="26">
        <f t="shared" si="188"/>
        <v>18.294704622158601</v>
      </c>
      <c r="AR245" s="26">
        <f t="shared" si="189"/>
        <v>1.0257131337137135</v>
      </c>
      <c r="AS245" s="26">
        <f t="shared" si="190"/>
        <v>5.1832018982163577</v>
      </c>
      <c r="AT245" s="26">
        <f t="shared" si="191"/>
        <v>12.908224042295146</v>
      </c>
      <c r="AU245" s="26">
        <f t="shared" si="192"/>
        <v>5.356640377971857</v>
      </c>
      <c r="AV245" s="26">
        <f t="shared" si="193"/>
        <v>2.7848311442723221</v>
      </c>
      <c r="AW245" s="26">
        <f t="shared" si="194"/>
        <v>100.62845272649302</v>
      </c>
      <c r="AX245" s="26"/>
      <c r="AY245" s="26"/>
      <c r="BD245"/>
      <c r="BE245"/>
      <c r="BL245" s="44"/>
      <c r="BM245" s="44"/>
      <c r="BN245" s="44"/>
      <c r="BO245" s="44"/>
      <c r="BP245" s="44"/>
      <c r="BQ245" s="44"/>
      <c r="BR245" s="44"/>
      <c r="BS245" s="44"/>
      <c r="BT245" s="44"/>
      <c r="BU245" s="44" t="s">
        <v>1227</v>
      </c>
      <c r="BV245" s="44"/>
      <c r="BW245" s="44"/>
      <c r="BX245" s="44"/>
      <c r="BY245" s="44"/>
      <c r="BZ245" s="44"/>
      <c r="CA245" s="44"/>
      <c r="CB245" s="44"/>
      <c r="CC245" s="44"/>
      <c r="CD245" s="44"/>
      <c r="CE245" s="44"/>
      <c r="CF245" s="44"/>
      <c r="CG245" s="44"/>
      <c r="CH245" s="44"/>
      <c r="CI245" s="44" t="s">
        <v>1227</v>
      </c>
      <c r="CJ245" s="44">
        <v>3.2</v>
      </c>
      <c r="CK245" s="44">
        <v>1.2</v>
      </c>
      <c r="CL245" s="44">
        <v>0.56000000000000005</v>
      </c>
      <c r="CM245" s="44"/>
      <c r="CN245" s="44">
        <v>0.45</v>
      </c>
      <c r="CO245" s="44"/>
      <c r="CP245" s="44"/>
      <c r="CQ245" s="44"/>
      <c r="CR245" s="44"/>
      <c r="CS245" s="44"/>
      <c r="CT245" s="44">
        <v>4.4000000000000004</v>
      </c>
      <c r="CU245" s="44"/>
      <c r="CV245" s="44">
        <v>8.1999999999999993</v>
      </c>
      <c r="CW245" s="44">
        <v>9.1</v>
      </c>
      <c r="CX245" s="44">
        <v>1.5</v>
      </c>
      <c r="CY245" s="44">
        <v>5.2</v>
      </c>
      <c r="CZ245" s="44">
        <v>0.62</v>
      </c>
      <c r="DA245" s="44">
        <v>0.18</v>
      </c>
      <c r="DB245" s="44">
        <v>0.55000000000000004</v>
      </c>
      <c r="DC245" s="44">
        <v>0.28000000000000003</v>
      </c>
      <c r="DD245" s="44"/>
      <c r="DE245" s="44">
        <v>0.09</v>
      </c>
      <c r="DF245" s="44"/>
      <c r="DG245" s="44">
        <v>0.1</v>
      </c>
      <c r="DH245" s="44">
        <v>0.01</v>
      </c>
      <c r="DI245" s="44" t="s">
        <v>1227</v>
      </c>
      <c r="DJ245" s="44"/>
      <c r="DK245" s="44"/>
      <c r="DL245" s="44">
        <v>1.2</v>
      </c>
      <c r="DM245" s="44">
        <v>1.1000000000000001</v>
      </c>
      <c r="DN245" s="44">
        <v>0.02</v>
      </c>
      <c r="DO245" s="44">
        <v>0.05</v>
      </c>
      <c r="DP245" s="44"/>
      <c r="DQ245" s="44"/>
      <c r="DR245" s="44"/>
      <c r="DS245" s="44"/>
      <c r="DT245" s="44"/>
      <c r="DU245" s="44"/>
      <c r="DV245" s="44"/>
      <c r="DW245" s="51">
        <v>0.70652999999999999</v>
      </c>
      <c r="DX245" s="51">
        <v>1.8000000000000001E-4</v>
      </c>
      <c r="DY245" s="51">
        <v>0.70647000000000004</v>
      </c>
      <c r="DZ245" s="45">
        <v>0</v>
      </c>
      <c r="EA245" s="52">
        <v>29.5</v>
      </c>
      <c r="EB245" s="45"/>
      <c r="EC245" s="45"/>
      <c r="ED245" s="45"/>
      <c r="EE245" s="45"/>
      <c r="EF245" s="45"/>
      <c r="EG245" s="45"/>
      <c r="EH245" s="45"/>
      <c r="EI245" s="45"/>
      <c r="EJ245" s="45"/>
      <c r="EK245" s="44"/>
      <c r="EL245" s="45"/>
      <c r="EM245" s="45"/>
      <c r="EN245" s="45"/>
      <c r="EO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row>
    <row r="246" spans="1:230" s="4" customFormat="1">
      <c r="A246" s="4" t="s">
        <v>1229</v>
      </c>
      <c r="B246" s="4" t="s">
        <v>1468</v>
      </c>
      <c r="C246" s="4" t="s">
        <v>24</v>
      </c>
      <c r="D246" t="str">
        <f t="shared" si="181"/>
        <v>silicic - low-Mg carbonatitic</v>
      </c>
      <c r="F246" s="4" t="s">
        <v>1394</v>
      </c>
      <c r="G246" s="4" t="s">
        <v>1432</v>
      </c>
      <c r="H246" s="4" t="s">
        <v>595</v>
      </c>
      <c r="I246" s="4">
        <v>93</v>
      </c>
      <c r="K246" s="4" t="s">
        <v>1311</v>
      </c>
      <c r="L246" s="4" t="s">
        <v>1274</v>
      </c>
      <c r="N246" s="4" t="s">
        <v>1241</v>
      </c>
      <c r="O246" s="4">
        <v>35</v>
      </c>
      <c r="P246" s="4">
        <v>25.71113905849078</v>
      </c>
      <c r="Q246" s="4">
        <v>1.5741091436775703</v>
      </c>
      <c r="R246" s="4">
        <v>0.94463475200439773</v>
      </c>
      <c r="S246" s="4">
        <v>3.5020332007206147</v>
      </c>
      <c r="T246" s="4">
        <v>13.908717806657103</v>
      </c>
      <c r="U246" s="4">
        <v>9.3578911616591132</v>
      </c>
      <c r="V246" s="4">
        <v>0.59231434698249807</v>
      </c>
      <c r="W246" s="4">
        <v>8.0463236549395489</v>
      </c>
      <c r="X246" s="4">
        <v>11.750029684519367</v>
      </c>
      <c r="Y246" s="4">
        <v>12.721036794489629</v>
      </c>
      <c r="AA246" s="4">
        <v>5.7911269936910301</v>
      </c>
      <c r="AB246" s="4">
        <v>0.70636097364676309</v>
      </c>
      <c r="AC246" s="4">
        <v>2.350177296461907</v>
      </c>
      <c r="AE246" s="4">
        <v>3.9312760266490274</v>
      </c>
      <c r="AF246" s="4">
        <v>1.7210463709916668</v>
      </c>
      <c r="AK246">
        <f t="shared" si="182"/>
        <v>98.643860821955698</v>
      </c>
      <c r="AL246" s="26">
        <f t="shared" si="183"/>
        <v>26.301155529707753</v>
      </c>
      <c r="AM246" s="26">
        <f t="shared" si="184"/>
        <v>1.6102316320725878</v>
      </c>
      <c r="AN246" s="26">
        <f t="shared" si="185"/>
        <v>3.5823974843283266</v>
      </c>
      <c r="AO246" s="26">
        <f t="shared" si="186"/>
        <v>14.227893576379621</v>
      </c>
      <c r="AP246" s="26">
        <f t="shared" si="187"/>
        <v>9.57263504790523</v>
      </c>
      <c r="AQ246" s="26">
        <f t="shared" si="188"/>
        <v>8.2309698302162264</v>
      </c>
      <c r="AR246" s="26">
        <f t="shared" si="189"/>
        <v>2.4041089138841536</v>
      </c>
      <c r="AS246" s="26">
        <f t="shared" si="190"/>
        <v>12.019668109926481</v>
      </c>
      <c r="AT246" s="26">
        <f t="shared" si="191"/>
        <v>13.012957787279229</v>
      </c>
      <c r="AU246" s="26">
        <f t="shared" si="192"/>
        <v>5.9240211570112109</v>
      </c>
      <c r="AV246" s="26">
        <f t="shared" si="193"/>
        <v>4.021490528750495</v>
      </c>
      <c r="AW246" s="26">
        <f t="shared" si="194"/>
        <v>100.90752959746132</v>
      </c>
      <c r="AX246" s="26"/>
      <c r="AY246" s="26"/>
      <c r="BD246"/>
      <c r="BE246"/>
      <c r="BL246" s="44"/>
      <c r="BM246" s="44"/>
      <c r="BN246" s="44"/>
      <c r="BO246" s="44"/>
      <c r="BP246" s="44"/>
      <c r="BQ246" s="44"/>
      <c r="BR246" s="44"/>
      <c r="BS246" s="44"/>
      <c r="BT246" s="44"/>
      <c r="BU246" s="44">
        <v>1629</v>
      </c>
      <c r="BV246" s="44"/>
      <c r="BW246" s="44"/>
      <c r="BX246" s="44"/>
      <c r="BY246" s="44"/>
      <c r="BZ246" s="44"/>
      <c r="CA246" s="44"/>
      <c r="CB246" s="44"/>
      <c r="CC246" s="44"/>
      <c r="CD246" s="44"/>
      <c r="CE246" s="44"/>
      <c r="CF246" s="44"/>
      <c r="CG246" s="44"/>
      <c r="CH246" s="44"/>
      <c r="CI246" s="44">
        <v>1.3</v>
      </c>
      <c r="CJ246" s="44">
        <v>956</v>
      </c>
      <c r="CK246" s="44">
        <v>740</v>
      </c>
      <c r="CL246" s="44">
        <v>28</v>
      </c>
      <c r="CM246" s="44"/>
      <c r="CN246" s="44">
        <v>183</v>
      </c>
      <c r="CO246" s="44"/>
      <c r="CP246" s="44"/>
      <c r="CQ246" s="44"/>
      <c r="CR246" s="44"/>
      <c r="CS246" s="44"/>
      <c r="CT246" s="44">
        <v>2969</v>
      </c>
      <c r="CU246" s="44"/>
      <c r="CV246" s="44">
        <v>6240</v>
      </c>
      <c r="CW246" s="44">
        <v>9852</v>
      </c>
      <c r="CX246" s="44">
        <v>1200</v>
      </c>
      <c r="CY246" s="44">
        <v>4051</v>
      </c>
      <c r="CZ246" s="44">
        <v>615</v>
      </c>
      <c r="DA246" s="44">
        <v>130</v>
      </c>
      <c r="DB246" s="44">
        <v>311</v>
      </c>
      <c r="DC246" s="44">
        <v>212</v>
      </c>
      <c r="DD246" s="44"/>
      <c r="DE246" s="44">
        <v>71</v>
      </c>
      <c r="DF246" s="44"/>
      <c r="DG246" s="44">
        <v>47</v>
      </c>
      <c r="DH246" s="44">
        <v>4.9000000000000004</v>
      </c>
      <c r="DI246" s="44">
        <v>1.4</v>
      </c>
      <c r="DJ246" s="44"/>
      <c r="DK246" s="44"/>
      <c r="DL246" s="44">
        <v>1797</v>
      </c>
      <c r="DM246" s="44">
        <v>134</v>
      </c>
      <c r="DN246" s="44">
        <v>17</v>
      </c>
      <c r="DO246" s="44">
        <v>44</v>
      </c>
      <c r="DP246" s="44"/>
      <c r="DQ246" s="44"/>
      <c r="DR246" s="44"/>
      <c r="DS246" s="44"/>
      <c r="DT246" s="44"/>
      <c r="DU246" s="44"/>
      <c r="DV246" s="44"/>
      <c r="DW246" s="51">
        <v>0.71792999999999996</v>
      </c>
      <c r="DX246" s="51">
        <v>1.0000000000000001E-5</v>
      </c>
      <c r="DY246" s="51">
        <v>0.71792999999999996</v>
      </c>
      <c r="DZ246" s="45">
        <v>0</v>
      </c>
      <c r="EA246" s="52">
        <v>192.2</v>
      </c>
      <c r="EB246" s="45">
        <v>0.51137200000000005</v>
      </c>
      <c r="EC246" s="45">
        <v>3.0000000000000001E-6</v>
      </c>
      <c r="ED246" s="45"/>
      <c r="EE246" s="45">
        <v>-23.5</v>
      </c>
      <c r="EF246" s="45">
        <v>17.989999999999998</v>
      </c>
      <c r="EG246" s="45">
        <v>1E-3</v>
      </c>
      <c r="EH246" s="45">
        <v>15.66</v>
      </c>
      <c r="EI246" s="45">
        <v>1E-3</v>
      </c>
      <c r="EJ246" s="45"/>
      <c r="EK246" s="44"/>
      <c r="EL246" s="45"/>
      <c r="EM246" s="45"/>
      <c r="EN246" s="45"/>
      <c r="EO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row>
    <row r="247" spans="1:230" s="4" customFormat="1">
      <c r="A247" s="4" t="s">
        <v>1229</v>
      </c>
      <c r="B247" s="4" t="s">
        <v>1468</v>
      </c>
      <c r="C247" s="4" t="s">
        <v>24</v>
      </c>
      <c r="D247" t="str">
        <f t="shared" si="181"/>
        <v>silicic - low-Mg carbonatitic</v>
      </c>
      <c r="F247" s="4" t="s">
        <v>1394</v>
      </c>
      <c r="G247" s="4" t="s">
        <v>1432</v>
      </c>
      <c r="H247" s="4" t="s">
        <v>595</v>
      </c>
      <c r="I247" s="4">
        <v>93</v>
      </c>
      <c r="K247" s="4" t="s">
        <v>1311</v>
      </c>
      <c r="L247" s="4" t="s">
        <v>1274</v>
      </c>
      <c r="N247" s="4" t="s">
        <v>1242</v>
      </c>
      <c r="O247" s="4">
        <v>35</v>
      </c>
      <c r="P247" s="4">
        <v>25.71113905849078</v>
      </c>
      <c r="Q247" s="4">
        <v>1.5741091436775703</v>
      </c>
      <c r="R247" s="4">
        <v>0.94463475200439773</v>
      </c>
      <c r="S247" s="4">
        <v>3.5020332007206147</v>
      </c>
      <c r="T247" s="4">
        <v>13.908717806657103</v>
      </c>
      <c r="U247" s="4">
        <v>9.3578911616591132</v>
      </c>
      <c r="V247" s="4">
        <v>0.59231434698249807</v>
      </c>
      <c r="W247" s="4">
        <v>8.0463236549395489</v>
      </c>
      <c r="X247" s="4">
        <v>11.750029684519367</v>
      </c>
      <c r="Y247" s="4">
        <v>12.721036794489629</v>
      </c>
      <c r="AA247" s="4">
        <v>5.7911269936910301</v>
      </c>
      <c r="AB247" s="4">
        <v>0.70636097364676309</v>
      </c>
      <c r="AC247" s="4">
        <v>2.350177296461907</v>
      </c>
      <c r="AE247" s="4">
        <v>3.9312760266490274</v>
      </c>
      <c r="AF247" s="4">
        <v>1.7210463709916668</v>
      </c>
      <c r="AK247">
        <f t="shared" si="182"/>
        <v>98.643860821955698</v>
      </c>
      <c r="AL247" s="26">
        <f t="shared" si="183"/>
        <v>26.301155529707753</v>
      </c>
      <c r="AM247" s="26">
        <f t="shared" si="184"/>
        <v>1.6102316320725878</v>
      </c>
      <c r="AN247" s="26">
        <f t="shared" si="185"/>
        <v>3.5823974843283266</v>
      </c>
      <c r="AO247" s="26">
        <f t="shared" si="186"/>
        <v>14.227893576379621</v>
      </c>
      <c r="AP247" s="26">
        <f t="shared" si="187"/>
        <v>9.57263504790523</v>
      </c>
      <c r="AQ247" s="26">
        <f t="shared" si="188"/>
        <v>8.2309698302162264</v>
      </c>
      <c r="AR247" s="26">
        <f t="shared" si="189"/>
        <v>2.4041089138841536</v>
      </c>
      <c r="AS247" s="26">
        <f t="shared" si="190"/>
        <v>12.019668109926481</v>
      </c>
      <c r="AT247" s="26">
        <f t="shared" si="191"/>
        <v>13.012957787279229</v>
      </c>
      <c r="AU247" s="26">
        <f t="shared" si="192"/>
        <v>5.9240211570112109</v>
      </c>
      <c r="AV247" s="26">
        <f t="shared" si="193"/>
        <v>4.021490528750495</v>
      </c>
      <c r="AW247" s="26">
        <f t="shared" si="194"/>
        <v>100.90752959746132</v>
      </c>
      <c r="AX247" s="26"/>
      <c r="AY247" s="26"/>
      <c r="BD247"/>
      <c r="BE247"/>
      <c r="BL247" s="44"/>
      <c r="BM247" s="44"/>
      <c r="BN247" s="44"/>
      <c r="BO247" s="44"/>
      <c r="BP247" s="44"/>
      <c r="BQ247" s="44"/>
      <c r="BR247" s="44"/>
      <c r="BS247" s="44"/>
      <c r="BT247" s="44"/>
      <c r="BU247" s="44">
        <v>70</v>
      </c>
      <c r="BV247" s="44"/>
      <c r="BW247" s="44"/>
      <c r="BX247" s="44"/>
      <c r="BY247" s="44"/>
      <c r="BZ247" s="44"/>
      <c r="CA247" s="44"/>
      <c r="CB247" s="44"/>
      <c r="CC247" s="44"/>
      <c r="CD247" s="44"/>
      <c r="CE247" s="44"/>
      <c r="CF247" s="44"/>
      <c r="CG247" s="44"/>
      <c r="CH247" s="44"/>
      <c r="CI247" s="44">
        <v>0.09</v>
      </c>
      <c r="CJ247" s="44">
        <v>90</v>
      </c>
      <c r="CK247" s="44">
        <v>51</v>
      </c>
      <c r="CL247" s="44">
        <v>2.7</v>
      </c>
      <c r="CM247" s="44"/>
      <c r="CN247" s="44">
        <v>5.2</v>
      </c>
      <c r="CO247" s="44"/>
      <c r="CP247" s="44"/>
      <c r="CQ247" s="44"/>
      <c r="CR247" s="44"/>
      <c r="CS247" s="44"/>
      <c r="CT247" s="44">
        <v>241</v>
      </c>
      <c r="CU247" s="44"/>
      <c r="CV247" s="44">
        <v>303</v>
      </c>
      <c r="CW247" s="44">
        <v>540</v>
      </c>
      <c r="CX247" s="44">
        <v>62</v>
      </c>
      <c r="CY247" s="44">
        <v>247</v>
      </c>
      <c r="CZ247" s="44">
        <v>39</v>
      </c>
      <c r="DA247" s="44">
        <v>8.6999999999999993</v>
      </c>
      <c r="DB247" s="44">
        <v>24</v>
      </c>
      <c r="DC247" s="44">
        <v>13.7</v>
      </c>
      <c r="DD247" s="44"/>
      <c r="DE247" s="44">
        <v>4.2</v>
      </c>
      <c r="DF247" s="44"/>
      <c r="DG247" s="44">
        <v>2.7</v>
      </c>
      <c r="DH247" s="44">
        <v>0.34</v>
      </c>
      <c r="DI247" s="44" t="s">
        <v>1227</v>
      </c>
      <c r="DJ247" s="44"/>
      <c r="DK247" s="44"/>
      <c r="DL247" s="44">
        <v>94</v>
      </c>
      <c r="DM247" s="44">
        <v>29</v>
      </c>
      <c r="DN247" s="44">
        <v>0.39</v>
      </c>
      <c r="DO247" s="44" t="s">
        <v>1191</v>
      </c>
      <c r="DP247" s="44"/>
      <c r="DQ247" s="44"/>
      <c r="DR247" s="44"/>
      <c r="DS247" s="44"/>
      <c r="DT247" s="44"/>
      <c r="DU247" s="44"/>
      <c r="DV247" s="44"/>
      <c r="DW247" s="51">
        <v>0.71570999999999996</v>
      </c>
      <c r="DX247" s="51">
        <v>2.0000000000000002E-5</v>
      </c>
      <c r="DY247" s="51">
        <v>0.7157</v>
      </c>
      <c r="DZ247" s="45">
        <v>0</v>
      </c>
      <c r="EA247" s="52">
        <v>160.6</v>
      </c>
      <c r="EB247" s="45">
        <v>0.51156999999999997</v>
      </c>
      <c r="EC247" s="45">
        <v>1.0000000000000001E-5</v>
      </c>
      <c r="ED247" s="45"/>
      <c r="EE247" s="45">
        <v>-19.7</v>
      </c>
      <c r="EF247" s="45">
        <v>17.97</v>
      </c>
      <c r="EG247" s="45">
        <v>4.0000000000000001E-3</v>
      </c>
      <c r="EH247" s="45">
        <v>15.66</v>
      </c>
      <c r="EI247" s="45">
        <v>3.0000000000000001E-3</v>
      </c>
      <c r="EJ247" s="45"/>
      <c r="EK247" s="44"/>
      <c r="EL247" s="45"/>
      <c r="EM247" s="45"/>
      <c r="EN247" s="45"/>
      <c r="EO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row>
    <row r="248" spans="1:230" s="4" customFormat="1">
      <c r="A248" s="4" t="s">
        <v>1229</v>
      </c>
      <c r="B248" s="4" t="s">
        <v>1468</v>
      </c>
      <c r="C248" s="4" t="s">
        <v>24</v>
      </c>
      <c r="D248" t="str">
        <f t="shared" si="181"/>
        <v>silicic - low-Mg carbonatitic</v>
      </c>
      <c r="F248" s="4" t="s">
        <v>1394</v>
      </c>
      <c r="G248" s="4" t="s">
        <v>1432</v>
      </c>
      <c r="H248" s="4" t="s">
        <v>595</v>
      </c>
      <c r="I248" s="4">
        <v>93</v>
      </c>
      <c r="K248" s="4" t="s">
        <v>1311</v>
      </c>
      <c r="L248" s="4" t="s">
        <v>1274</v>
      </c>
      <c r="N248" s="4" t="s">
        <v>1243</v>
      </c>
      <c r="O248" s="4">
        <v>35</v>
      </c>
      <c r="P248" s="4">
        <v>25.71113905849078</v>
      </c>
      <c r="Q248" s="4">
        <v>1.5741091436775703</v>
      </c>
      <c r="R248" s="4">
        <v>0.94463475200439773</v>
      </c>
      <c r="S248" s="4">
        <v>3.5020332007206147</v>
      </c>
      <c r="T248" s="4">
        <v>13.908717806657103</v>
      </c>
      <c r="U248" s="4">
        <v>9.3578911616591132</v>
      </c>
      <c r="V248" s="4">
        <v>0.59231434698249807</v>
      </c>
      <c r="W248" s="4">
        <v>8.0463236549395489</v>
      </c>
      <c r="X248" s="4">
        <v>11.750029684519367</v>
      </c>
      <c r="Y248" s="4">
        <v>12.721036794489629</v>
      </c>
      <c r="AA248" s="4">
        <v>5.7911269936910301</v>
      </c>
      <c r="AB248" s="4">
        <v>0.70636097364676309</v>
      </c>
      <c r="AC248" s="4">
        <v>2.350177296461907</v>
      </c>
      <c r="AE248" s="4">
        <v>3.9312760266490274</v>
      </c>
      <c r="AF248" s="4">
        <v>1.7210463709916668</v>
      </c>
      <c r="AK248">
        <f t="shared" si="182"/>
        <v>98.643860821955698</v>
      </c>
      <c r="AL248" s="26">
        <f t="shared" si="183"/>
        <v>26.301155529707753</v>
      </c>
      <c r="AM248" s="26">
        <f t="shared" si="184"/>
        <v>1.6102316320725878</v>
      </c>
      <c r="AN248" s="26">
        <f t="shared" si="185"/>
        <v>3.5823974843283266</v>
      </c>
      <c r="AO248" s="26">
        <f t="shared" si="186"/>
        <v>14.227893576379621</v>
      </c>
      <c r="AP248" s="26">
        <f t="shared" si="187"/>
        <v>9.57263504790523</v>
      </c>
      <c r="AQ248" s="26">
        <f t="shared" si="188"/>
        <v>8.2309698302162264</v>
      </c>
      <c r="AR248" s="26">
        <f t="shared" si="189"/>
        <v>2.4041089138841536</v>
      </c>
      <c r="AS248" s="26">
        <f t="shared" si="190"/>
        <v>12.019668109926481</v>
      </c>
      <c r="AT248" s="26">
        <f t="shared" si="191"/>
        <v>13.012957787279229</v>
      </c>
      <c r="AU248" s="26">
        <f t="shared" si="192"/>
        <v>5.9240211570112109</v>
      </c>
      <c r="AV248" s="26">
        <f t="shared" si="193"/>
        <v>4.021490528750495</v>
      </c>
      <c r="AW248" s="26">
        <f t="shared" si="194"/>
        <v>100.90752959746132</v>
      </c>
      <c r="AX248" s="26"/>
      <c r="AY248" s="26"/>
      <c r="BD248"/>
      <c r="BE248"/>
      <c r="BL248" s="44"/>
      <c r="BM248" s="44"/>
      <c r="BN248" s="44"/>
      <c r="BO248" s="44"/>
      <c r="BP248" s="44"/>
      <c r="BQ248" s="44"/>
      <c r="BR248" s="44"/>
      <c r="BS248" s="44"/>
      <c r="BT248" s="44"/>
      <c r="BU248" s="44">
        <v>150</v>
      </c>
      <c r="BV248" s="44"/>
      <c r="BW248" s="44"/>
      <c r="BX248" s="44"/>
      <c r="BY248" s="44"/>
      <c r="BZ248" s="44"/>
      <c r="CA248" s="44"/>
      <c r="CB248" s="44"/>
      <c r="CC248" s="44"/>
      <c r="CD248" s="44"/>
      <c r="CE248" s="44"/>
      <c r="CF248" s="44"/>
      <c r="CG248" s="44"/>
      <c r="CH248" s="44"/>
      <c r="CI248" s="44">
        <v>0.1</v>
      </c>
      <c r="CJ248" s="44">
        <v>1236</v>
      </c>
      <c r="CK248" s="44">
        <v>1304</v>
      </c>
      <c r="CL248" s="44">
        <v>15</v>
      </c>
      <c r="CM248" s="44"/>
      <c r="CN248" s="44">
        <v>11</v>
      </c>
      <c r="CO248" s="44"/>
      <c r="CP248" s="44"/>
      <c r="CQ248" s="44"/>
      <c r="CR248" s="44"/>
      <c r="CS248" s="44"/>
      <c r="CT248" s="44">
        <v>8509</v>
      </c>
      <c r="CU248" s="44"/>
      <c r="CV248" s="44">
        <v>8144</v>
      </c>
      <c r="CW248" s="44">
        <v>16537</v>
      </c>
      <c r="CX248" s="44">
        <v>1847</v>
      </c>
      <c r="CY248" s="44">
        <v>6431</v>
      </c>
      <c r="CZ248" s="44">
        <v>999</v>
      </c>
      <c r="DA248" s="44">
        <v>224</v>
      </c>
      <c r="DB248" s="44">
        <v>603</v>
      </c>
      <c r="DC248" s="44">
        <v>368</v>
      </c>
      <c r="DD248" s="44"/>
      <c r="DE248" s="44">
        <v>127</v>
      </c>
      <c r="DF248" s="44"/>
      <c r="DG248" s="44">
        <v>90</v>
      </c>
      <c r="DH248" s="44">
        <v>11</v>
      </c>
      <c r="DI248" s="44">
        <v>2.5</v>
      </c>
      <c r="DJ248" s="44"/>
      <c r="DK248" s="44"/>
      <c r="DL248" s="44">
        <v>2183</v>
      </c>
      <c r="DM248" s="44">
        <v>110</v>
      </c>
      <c r="DN248" s="44">
        <v>6.1</v>
      </c>
      <c r="DO248" s="44">
        <v>77</v>
      </c>
      <c r="DP248" s="44"/>
      <c r="DQ248" s="44"/>
      <c r="DR248" s="44"/>
      <c r="DS248" s="44"/>
      <c r="DT248" s="44"/>
      <c r="DU248" s="44"/>
      <c r="DV248" s="44"/>
      <c r="DW248" s="51">
        <v>0.71816999999999998</v>
      </c>
      <c r="DX248" s="51">
        <v>1.0000000000000001E-5</v>
      </c>
      <c r="DY248" s="51">
        <v>0.71816999999999998</v>
      </c>
      <c r="DZ248" s="45">
        <v>0</v>
      </c>
      <c r="EA248" s="52">
        <v>195.6</v>
      </c>
      <c r="EB248" s="45">
        <v>0.51125600000000004</v>
      </c>
      <c r="EC248" s="45">
        <v>3.0000000000000001E-6</v>
      </c>
      <c r="ED248" s="45"/>
      <c r="EE248" s="45">
        <v>-25.7</v>
      </c>
      <c r="EF248" s="45">
        <v>18.12</v>
      </c>
      <c r="EG248" s="45">
        <v>1E-3</v>
      </c>
      <c r="EH248" s="45">
        <v>15.67</v>
      </c>
      <c r="EI248" s="45">
        <v>1E-3</v>
      </c>
      <c r="EJ248" s="45"/>
      <c r="EK248" s="44"/>
      <c r="EL248" s="45"/>
      <c r="EM248" s="45"/>
      <c r="EN248" s="45"/>
      <c r="EO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row>
    <row r="249" spans="1:230" s="4" customFormat="1">
      <c r="A249" s="4" t="s">
        <v>1229</v>
      </c>
      <c r="B249" s="4" t="s">
        <v>1468</v>
      </c>
      <c r="C249" s="4" t="s">
        <v>24</v>
      </c>
      <c r="D249" t="str">
        <f t="shared" si="181"/>
        <v>silicic - low-Mg carbonatitic</v>
      </c>
      <c r="F249" s="4" t="s">
        <v>1394</v>
      </c>
      <c r="G249" s="4" t="s">
        <v>1432</v>
      </c>
      <c r="H249" s="4" t="s">
        <v>595</v>
      </c>
      <c r="I249" s="4">
        <v>93</v>
      </c>
      <c r="K249" s="4" t="s">
        <v>1311</v>
      </c>
      <c r="L249" s="4" t="s">
        <v>1274</v>
      </c>
      <c r="N249" s="4" t="s">
        <v>1244</v>
      </c>
      <c r="O249" s="4">
        <v>25</v>
      </c>
      <c r="P249" s="4">
        <v>27.246499397968165</v>
      </c>
      <c r="Q249" s="4">
        <v>2.8015369478299004</v>
      </c>
      <c r="R249" s="4">
        <v>0.37931843783046942</v>
      </c>
      <c r="S249" s="4">
        <v>4.2785895283802553</v>
      </c>
      <c r="T249" s="4">
        <v>10.252167891877516</v>
      </c>
      <c r="U249" s="4">
        <v>6.851723708344255</v>
      </c>
      <c r="V249" s="4">
        <v>0.37663983000003343</v>
      </c>
      <c r="W249" s="4">
        <v>20.398525509357118</v>
      </c>
      <c r="X249" s="4">
        <v>4.7415950195240431</v>
      </c>
      <c r="Y249" s="4">
        <v>12.167843279514541</v>
      </c>
      <c r="AA249" s="4">
        <v>5.9158165721080547</v>
      </c>
      <c r="AB249" s="4">
        <v>0.68813532700144575</v>
      </c>
      <c r="AC249" s="4">
        <v>1.5745949832027855</v>
      </c>
      <c r="AD249" s="4">
        <v>0.13053423515607149</v>
      </c>
      <c r="AE249" s="4">
        <v>3.0051960274071918</v>
      </c>
      <c r="AF249" s="4">
        <v>0.48756217913618388</v>
      </c>
      <c r="AK249">
        <f t="shared" si="182"/>
        <v>99.234088865513826</v>
      </c>
      <c r="AL249" s="26">
        <f t="shared" si="183"/>
        <v>27.64572960848891</v>
      </c>
      <c r="AM249" s="26">
        <f t="shared" si="184"/>
        <v>2.8425865582450709</v>
      </c>
      <c r="AN249" s="26">
        <f t="shared" si="185"/>
        <v>4.3412816993339476</v>
      </c>
      <c r="AO249" s="26">
        <f t="shared" si="186"/>
        <v>10.402388112317047</v>
      </c>
      <c r="AP249" s="26">
        <f t="shared" si="187"/>
        <v>6.9521188107960681</v>
      </c>
      <c r="AQ249" s="26">
        <f t="shared" si="188"/>
        <v>20.697415561780542</v>
      </c>
      <c r="AR249" s="26">
        <f t="shared" si="189"/>
        <v>1.5976667869397394</v>
      </c>
      <c r="AS249" s="26">
        <f t="shared" si="190"/>
        <v>4.811071393358322</v>
      </c>
      <c r="AT249" s="26">
        <f t="shared" si="191"/>
        <v>12.346132995309235</v>
      </c>
      <c r="AU249" s="26">
        <f t="shared" si="192"/>
        <v>6.0024982650840313</v>
      </c>
      <c r="AV249" s="26">
        <f t="shared" si="193"/>
        <v>3.0492297590493327</v>
      </c>
      <c r="AW249" s="26">
        <f t="shared" si="194"/>
        <v>100.68811955070224</v>
      </c>
      <c r="AX249" s="26"/>
      <c r="AY249" s="26"/>
      <c r="BD249"/>
      <c r="BE249"/>
      <c r="BL249" s="44"/>
      <c r="BM249" s="44"/>
      <c r="BN249" s="44"/>
      <c r="BO249" s="44"/>
      <c r="BP249" s="44"/>
      <c r="BQ249" s="44"/>
      <c r="BR249" s="44"/>
      <c r="BS249" s="44"/>
      <c r="BT249" s="44"/>
      <c r="BU249" s="44" t="s">
        <v>1227</v>
      </c>
      <c r="BV249" s="44"/>
      <c r="BW249" s="44"/>
      <c r="BX249" s="44"/>
      <c r="BY249" s="44"/>
      <c r="BZ249" s="44"/>
      <c r="CA249" s="44"/>
      <c r="CB249" s="44"/>
      <c r="CC249" s="44"/>
      <c r="CD249" s="44"/>
      <c r="CE249" s="44"/>
      <c r="CF249" s="44"/>
      <c r="CG249" s="44"/>
      <c r="CH249" s="44"/>
      <c r="CI249" s="44">
        <v>0.02</v>
      </c>
      <c r="CJ249" s="44">
        <v>45</v>
      </c>
      <c r="CK249" s="44">
        <v>15</v>
      </c>
      <c r="CL249" s="44">
        <v>4.9000000000000004</v>
      </c>
      <c r="CM249" s="44"/>
      <c r="CN249" s="44">
        <v>2.6</v>
      </c>
      <c r="CO249" s="44"/>
      <c r="CP249" s="44"/>
      <c r="CQ249" s="44"/>
      <c r="CR249" s="44"/>
      <c r="CS249" s="44"/>
      <c r="CT249" s="44">
        <v>205</v>
      </c>
      <c r="CU249" s="44"/>
      <c r="CV249" s="44">
        <v>351</v>
      </c>
      <c r="CW249" s="44">
        <v>415</v>
      </c>
      <c r="CX249" s="44">
        <v>40</v>
      </c>
      <c r="CY249" s="44">
        <v>118</v>
      </c>
      <c r="CZ249" s="44">
        <v>15</v>
      </c>
      <c r="DA249" s="44">
        <v>3.6</v>
      </c>
      <c r="DB249" s="44">
        <v>8.6</v>
      </c>
      <c r="DC249" s="44">
        <v>4.5</v>
      </c>
      <c r="DD249" s="44"/>
      <c r="DE249" s="44">
        <v>1.4</v>
      </c>
      <c r="DF249" s="44"/>
      <c r="DG249" s="44">
        <v>0.88</v>
      </c>
      <c r="DH249" s="44">
        <v>0.11</v>
      </c>
      <c r="DI249" s="44">
        <v>0.1</v>
      </c>
      <c r="DJ249" s="44"/>
      <c r="DK249" s="44"/>
      <c r="DL249" s="44">
        <v>20</v>
      </c>
      <c r="DM249" s="44">
        <v>5.6</v>
      </c>
      <c r="DN249" s="44">
        <v>0.05</v>
      </c>
      <c r="DO249" s="44">
        <v>0.93</v>
      </c>
      <c r="DP249" s="44"/>
      <c r="DQ249" s="44"/>
      <c r="DR249" s="44"/>
      <c r="DS249" s="44"/>
      <c r="DT249" s="44"/>
      <c r="DU249" s="44"/>
      <c r="DV249" s="44"/>
      <c r="DW249" s="51">
        <v>0.71745999999999999</v>
      </c>
      <c r="DX249" s="51">
        <v>5.0000000000000002E-5</v>
      </c>
      <c r="DY249" s="51">
        <v>0.71745999999999999</v>
      </c>
      <c r="DZ249" s="45">
        <v>0</v>
      </c>
      <c r="EA249" s="52">
        <v>185.5</v>
      </c>
      <c r="EB249" s="45">
        <v>0.51129100000000005</v>
      </c>
      <c r="EC249" s="45">
        <v>2.5000000000000001E-5</v>
      </c>
      <c r="ED249" s="45"/>
      <c r="EE249" s="45">
        <v>-24.9</v>
      </c>
      <c r="EF249" s="45"/>
      <c r="EG249" s="45"/>
      <c r="EH249" s="45"/>
      <c r="EI249" s="45"/>
      <c r="EJ249" s="45"/>
      <c r="EK249" s="44"/>
      <c r="EL249" s="45"/>
      <c r="EM249" s="45"/>
      <c r="EN249" s="45"/>
      <c r="EO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row>
    <row r="250" spans="1:230" s="4" customFormat="1">
      <c r="A250" s="4" t="s">
        <v>1229</v>
      </c>
      <c r="B250" s="4" t="s">
        <v>1468</v>
      </c>
      <c r="C250" s="4" t="s">
        <v>24</v>
      </c>
      <c r="D250" t="str">
        <f t="shared" si="181"/>
        <v>silicic - low-Mg carbonatitic</v>
      </c>
      <c r="F250" s="4" t="s">
        <v>1394</v>
      </c>
      <c r="G250" s="4" t="s">
        <v>1432</v>
      </c>
      <c r="H250" s="4" t="s">
        <v>595</v>
      </c>
      <c r="I250" s="4">
        <v>93</v>
      </c>
      <c r="K250" s="4" t="s">
        <v>1311</v>
      </c>
      <c r="L250" s="4" t="s">
        <v>1274</v>
      </c>
      <c r="N250" s="4" t="s">
        <v>1245</v>
      </c>
      <c r="O250" s="4">
        <v>25</v>
      </c>
      <c r="P250" s="4">
        <v>27.246499397968165</v>
      </c>
      <c r="Q250" s="4">
        <v>2.8015369478299004</v>
      </c>
      <c r="R250" s="4">
        <v>0.37931843783046942</v>
      </c>
      <c r="S250" s="4">
        <v>4.2785895283802553</v>
      </c>
      <c r="T250" s="4">
        <v>10.252167891877516</v>
      </c>
      <c r="U250" s="4">
        <v>6.851723708344255</v>
      </c>
      <c r="V250" s="4">
        <v>0.37663983000003343</v>
      </c>
      <c r="W250" s="4">
        <v>20.398525509357118</v>
      </c>
      <c r="X250" s="4">
        <v>4.7415950195240431</v>
      </c>
      <c r="Y250" s="4">
        <v>12.167843279514541</v>
      </c>
      <c r="AA250" s="4">
        <v>5.9158165721080547</v>
      </c>
      <c r="AB250" s="4">
        <v>0.68813532700144575</v>
      </c>
      <c r="AC250" s="4">
        <v>1.5745949832027855</v>
      </c>
      <c r="AD250" s="4">
        <v>0.13053423515607149</v>
      </c>
      <c r="AE250" s="4">
        <v>3.0051960274071918</v>
      </c>
      <c r="AF250" s="4">
        <v>0.48756217913618388</v>
      </c>
      <c r="AK250">
        <f t="shared" si="182"/>
        <v>99.234088865513826</v>
      </c>
      <c r="AL250" s="26">
        <f t="shared" si="183"/>
        <v>27.64572960848891</v>
      </c>
      <c r="AM250" s="26">
        <f t="shared" si="184"/>
        <v>2.8425865582450709</v>
      </c>
      <c r="AN250" s="26">
        <f t="shared" si="185"/>
        <v>4.3412816993339476</v>
      </c>
      <c r="AO250" s="26">
        <f t="shared" si="186"/>
        <v>10.402388112317047</v>
      </c>
      <c r="AP250" s="26">
        <f t="shared" si="187"/>
        <v>6.9521188107960681</v>
      </c>
      <c r="AQ250" s="26">
        <f t="shared" si="188"/>
        <v>20.697415561780542</v>
      </c>
      <c r="AR250" s="26">
        <f t="shared" si="189"/>
        <v>1.5976667869397394</v>
      </c>
      <c r="AS250" s="26">
        <f t="shared" si="190"/>
        <v>4.811071393358322</v>
      </c>
      <c r="AT250" s="26">
        <f t="shared" si="191"/>
        <v>12.346132995309235</v>
      </c>
      <c r="AU250" s="26">
        <f t="shared" si="192"/>
        <v>6.0024982650840313</v>
      </c>
      <c r="AV250" s="26">
        <f t="shared" si="193"/>
        <v>3.0492297590493327</v>
      </c>
      <c r="AW250" s="26">
        <f t="shared" si="194"/>
        <v>100.68811955070224</v>
      </c>
      <c r="AX250" s="26"/>
      <c r="AY250" s="26"/>
      <c r="BD250"/>
      <c r="BE250"/>
      <c r="BL250" s="44"/>
      <c r="BM250" s="44"/>
      <c r="BN250" s="44"/>
      <c r="BO250" s="44"/>
      <c r="BP250" s="44"/>
      <c r="BQ250" s="44"/>
      <c r="BR250" s="44"/>
      <c r="BS250" s="44"/>
      <c r="BT250" s="44"/>
      <c r="BU250" s="44" t="s">
        <v>1227</v>
      </c>
      <c r="BV250" s="44"/>
      <c r="BW250" s="44"/>
      <c r="BX250" s="44"/>
      <c r="BY250" s="44"/>
      <c r="BZ250" s="44"/>
      <c r="CA250" s="44"/>
      <c r="CB250" s="44"/>
      <c r="CC250" s="44"/>
      <c r="CD250" s="44"/>
      <c r="CE250" s="44"/>
      <c r="CF250" s="44"/>
      <c r="CG250" s="44"/>
      <c r="CH250" s="44"/>
      <c r="CI250" s="44">
        <v>0.08</v>
      </c>
      <c r="CJ250" s="44">
        <v>42</v>
      </c>
      <c r="CK250" s="44">
        <v>17</v>
      </c>
      <c r="CL250" s="44">
        <v>3</v>
      </c>
      <c r="CM250" s="44"/>
      <c r="CN250" s="44">
        <v>2</v>
      </c>
      <c r="CO250" s="44"/>
      <c r="CP250" s="44"/>
      <c r="CQ250" s="44"/>
      <c r="CR250" s="44"/>
      <c r="CS250" s="44"/>
      <c r="CT250" s="44">
        <v>305</v>
      </c>
      <c r="CU250" s="44"/>
      <c r="CV250" s="44">
        <v>430</v>
      </c>
      <c r="CW250" s="44">
        <v>499</v>
      </c>
      <c r="CX250" s="44">
        <v>43</v>
      </c>
      <c r="CY250" s="44">
        <v>142</v>
      </c>
      <c r="CZ250" s="44">
        <v>18</v>
      </c>
      <c r="DA250" s="44">
        <v>3.8</v>
      </c>
      <c r="DB250" s="44">
        <v>9.6999999999999993</v>
      </c>
      <c r="DC250" s="44">
        <v>5.0999999999999996</v>
      </c>
      <c r="DD250" s="44"/>
      <c r="DE250" s="44">
        <v>1.6</v>
      </c>
      <c r="DF250" s="44"/>
      <c r="DG250" s="44">
        <v>1</v>
      </c>
      <c r="DH250" s="44">
        <v>0.14000000000000001</v>
      </c>
      <c r="DI250" s="44" t="s">
        <v>1227</v>
      </c>
      <c r="DJ250" s="44"/>
      <c r="DK250" s="44"/>
      <c r="DL250" s="44">
        <v>16.3</v>
      </c>
      <c r="DM250" s="44">
        <v>6.7</v>
      </c>
      <c r="DN250" s="44">
        <v>0.05</v>
      </c>
      <c r="DO250" s="44" t="s">
        <v>1191</v>
      </c>
      <c r="DP250" s="44"/>
      <c r="DQ250" s="44"/>
      <c r="DR250" s="44"/>
      <c r="DS250" s="44"/>
      <c r="DT250" s="44"/>
      <c r="DU250" s="44"/>
      <c r="DV250" s="44"/>
      <c r="DW250" s="51">
        <v>0.71743999999999997</v>
      </c>
      <c r="DX250" s="51">
        <v>3.0000000000000001E-5</v>
      </c>
      <c r="DY250" s="51">
        <v>0.71743000000000001</v>
      </c>
      <c r="DZ250" s="45">
        <v>0</v>
      </c>
      <c r="EA250" s="52">
        <v>185.1</v>
      </c>
      <c r="EB250" s="45">
        <v>0.51130399999999998</v>
      </c>
      <c r="EC250" s="45">
        <v>2.3E-5</v>
      </c>
      <c r="ED250" s="45"/>
      <c r="EE250" s="45">
        <v>-24.6</v>
      </c>
      <c r="EF250" s="45"/>
      <c r="EG250" s="45"/>
      <c r="EH250" s="45"/>
      <c r="EI250" s="45"/>
      <c r="EJ250" s="45"/>
      <c r="EK250" s="44"/>
      <c r="EL250" s="45"/>
      <c r="EM250" s="45"/>
      <c r="EN250" s="45"/>
      <c r="EO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row>
    <row r="251" spans="1:230" s="4" customFormat="1">
      <c r="A251" s="4" t="s">
        <v>1229</v>
      </c>
      <c r="B251" s="4" t="s">
        <v>1468</v>
      </c>
      <c r="C251" s="4" t="s">
        <v>24</v>
      </c>
      <c r="D251" t="str">
        <f t="shared" si="181"/>
        <v>silicic - low-Mg carbonatitic</v>
      </c>
      <c r="F251" s="4" t="s">
        <v>1394</v>
      </c>
      <c r="G251" s="4" t="s">
        <v>1432</v>
      </c>
      <c r="H251" s="4" t="s">
        <v>595</v>
      </c>
      <c r="I251" s="4">
        <v>93</v>
      </c>
      <c r="K251" s="4" t="s">
        <v>1311</v>
      </c>
      <c r="L251" s="4" t="s">
        <v>1274</v>
      </c>
      <c r="N251" s="4" t="s">
        <v>1246</v>
      </c>
      <c r="O251" s="4">
        <v>35</v>
      </c>
      <c r="P251" s="4">
        <v>38.45717679771365</v>
      </c>
      <c r="Q251" s="4">
        <v>1.2737542914507487</v>
      </c>
      <c r="R251" s="4">
        <v>0.46608444725804687</v>
      </c>
      <c r="S251" s="4">
        <v>4.9959731220395156</v>
      </c>
      <c r="T251" s="4">
        <v>11.646981087823004</v>
      </c>
      <c r="U251" s="4">
        <v>5.9356205593897498</v>
      </c>
      <c r="V251" s="4">
        <v>0.73816371914254486</v>
      </c>
      <c r="W251" s="4">
        <v>11.219903557057854</v>
      </c>
      <c r="X251" s="4">
        <v>5.7829826220188867</v>
      </c>
      <c r="Y251" s="4">
        <v>8.0951827494861739</v>
      </c>
      <c r="AA251" s="4">
        <v>6.7292497822724266</v>
      </c>
      <c r="AB251" s="4">
        <v>1.1972625844301852</v>
      </c>
      <c r="AC251" s="4">
        <v>1.8189699101240215</v>
      </c>
      <c r="AD251" s="4">
        <v>0.50481805124694101</v>
      </c>
      <c r="AE251" s="4">
        <v>2.1214400578932113</v>
      </c>
      <c r="AF251" s="4">
        <v>1.6943146447354362</v>
      </c>
      <c r="AK251">
        <f t="shared" si="182"/>
        <v>98.077234537269263</v>
      </c>
      <c r="AL251" s="26">
        <f t="shared" si="183"/>
        <v>39.403455005878584</v>
      </c>
      <c r="AM251" s="26">
        <f t="shared" si="184"/>
        <v>1.305096319881397</v>
      </c>
      <c r="AN251" s="26">
        <f t="shared" si="185"/>
        <v>5.1189041556624719</v>
      </c>
      <c r="AO251" s="26">
        <f t="shared" si="186"/>
        <v>11.933566981849713</v>
      </c>
      <c r="AP251" s="26">
        <f t="shared" si="187"/>
        <v>6.0816725802344047</v>
      </c>
      <c r="AQ251" s="26">
        <f t="shared" si="188"/>
        <v>11.495980771191453</v>
      </c>
      <c r="AR251" s="26">
        <f t="shared" si="189"/>
        <v>1.8637275270523765</v>
      </c>
      <c r="AS251" s="26">
        <f t="shared" si="190"/>
        <v>5.9252788301414316</v>
      </c>
      <c r="AT251" s="26">
        <f t="shared" si="191"/>
        <v>8.2943730090115899</v>
      </c>
      <c r="AU251" s="26">
        <f t="shared" si="192"/>
        <v>6.8948298626760813</v>
      </c>
      <c r="AV251" s="26">
        <f t="shared" si="193"/>
        <v>2.1736402624810802</v>
      </c>
      <c r="AW251" s="26">
        <f t="shared" si="194"/>
        <v>100.49052530606059</v>
      </c>
      <c r="AX251" s="26"/>
      <c r="AY251" s="26"/>
      <c r="BD251"/>
      <c r="BE251"/>
      <c r="BL251" s="44"/>
      <c r="BM251" s="44"/>
      <c r="BN251" s="44"/>
      <c r="BO251" s="44"/>
      <c r="BP251" s="44"/>
      <c r="BQ251" s="44"/>
      <c r="BR251" s="44"/>
      <c r="BS251" s="44"/>
      <c r="BT251" s="44"/>
      <c r="BU251" s="44" t="s">
        <v>1227</v>
      </c>
      <c r="BV251" s="44"/>
      <c r="BW251" s="44"/>
      <c r="BX251" s="44"/>
      <c r="BY251" s="44"/>
      <c r="BZ251" s="44"/>
      <c r="CA251" s="44"/>
      <c r="CB251" s="44"/>
      <c r="CC251" s="44"/>
      <c r="CD251" s="44"/>
      <c r="CE251" s="44"/>
      <c r="CF251" s="44"/>
      <c r="CG251" s="44"/>
      <c r="CH251" s="44"/>
      <c r="CI251" s="44" t="s">
        <v>1227</v>
      </c>
      <c r="CJ251" s="44">
        <v>7.9</v>
      </c>
      <c r="CK251" s="44">
        <v>0.5</v>
      </c>
      <c r="CL251" s="44">
        <v>1</v>
      </c>
      <c r="CM251" s="44"/>
      <c r="CN251" s="44">
        <v>1.3</v>
      </c>
      <c r="CO251" s="44"/>
      <c r="CP251" s="44"/>
      <c r="CQ251" s="44"/>
      <c r="CR251" s="44"/>
      <c r="CS251" s="44"/>
      <c r="CT251" s="44">
        <v>12</v>
      </c>
      <c r="CU251" s="44"/>
      <c r="CV251" s="44">
        <v>4.4000000000000004</v>
      </c>
      <c r="CW251" s="44">
        <v>4.7</v>
      </c>
      <c r="CX251" s="44">
        <v>0.6</v>
      </c>
      <c r="CY251" s="44">
        <v>2.2999999999999998</v>
      </c>
      <c r="CZ251" s="44" t="s">
        <v>1227</v>
      </c>
      <c r="DA251" s="44">
        <v>0.1</v>
      </c>
      <c r="DB251" s="44">
        <v>0.34</v>
      </c>
      <c r="DC251" s="44">
        <v>0.16</v>
      </c>
      <c r="DD251" s="44"/>
      <c r="DE251" s="44">
        <v>0.03</v>
      </c>
      <c r="DF251" s="44"/>
      <c r="DG251" s="44">
        <v>0.1</v>
      </c>
      <c r="DH251" s="44">
        <v>0.03</v>
      </c>
      <c r="DI251" s="44">
        <v>0.02</v>
      </c>
      <c r="DJ251" s="44"/>
      <c r="DK251" s="44"/>
      <c r="DL251" s="44">
        <v>4.04</v>
      </c>
      <c r="DM251" s="44">
        <v>0.56999999999999995</v>
      </c>
      <c r="DN251" s="44">
        <v>0.03</v>
      </c>
      <c r="DO251" s="44">
        <v>0.03</v>
      </c>
      <c r="DP251" s="44"/>
      <c r="DQ251" s="44"/>
      <c r="DR251" s="44"/>
      <c r="DS251" s="44"/>
      <c r="DT251" s="44"/>
      <c r="DU251" s="44"/>
      <c r="DV251" s="44"/>
      <c r="DW251" s="51">
        <v>0.70538999999999996</v>
      </c>
      <c r="DX251" s="51">
        <v>3.3E-4</v>
      </c>
      <c r="DY251" s="51">
        <v>0.70535999999999999</v>
      </c>
      <c r="DZ251" s="45">
        <v>0</v>
      </c>
      <c r="EA251" s="52">
        <v>13.8</v>
      </c>
      <c r="EB251" s="45">
        <v>0</v>
      </c>
      <c r="EC251" s="45">
        <v>0</v>
      </c>
      <c r="ED251" s="45"/>
      <c r="EE251" s="45"/>
      <c r="EF251" s="45"/>
      <c r="EG251" s="45"/>
      <c r="EH251" s="45"/>
      <c r="EI251" s="45"/>
      <c r="EJ251" s="45"/>
      <c r="EK251" s="44"/>
      <c r="EL251" s="45"/>
      <c r="EM251" s="45"/>
      <c r="EN251" s="45"/>
      <c r="EO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row>
    <row r="252" spans="1:230" s="4" customFormat="1">
      <c r="A252" s="4" t="s">
        <v>1229</v>
      </c>
      <c r="B252" s="4" t="s">
        <v>1468</v>
      </c>
      <c r="C252" s="4" t="s">
        <v>24</v>
      </c>
      <c r="D252" t="str">
        <f t="shared" si="181"/>
        <v>silicic - low-Mg carbonatitic</v>
      </c>
      <c r="F252" s="4" t="s">
        <v>1394</v>
      </c>
      <c r="G252" s="4" t="s">
        <v>1432</v>
      </c>
      <c r="H252" s="4" t="s">
        <v>595</v>
      </c>
      <c r="I252" s="4">
        <v>93</v>
      </c>
      <c r="K252" s="4" t="s">
        <v>1311</v>
      </c>
      <c r="L252" s="4" t="s">
        <v>1274</v>
      </c>
      <c r="N252" s="4" t="s">
        <v>1247</v>
      </c>
      <c r="O252" s="4">
        <v>35</v>
      </c>
      <c r="P252" s="4">
        <v>38.45717679771365</v>
      </c>
      <c r="Q252" s="4">
        <v>1.2737542914507487</v>
      </c>
      <c r="R252" s="4">
        <v>0.46608444725804687</v>
      </c>
      <c r="S252" s="4">
        <v>4.9959731220395156</v>
      </c>
      <c r="T252" s="4">
        <v>11.646981087823004</v>
      </c>
      <c r="U252" s="4">
        <v>5.9356205593897498</v>
      </c>
      <c r="V252" s="4">
        <v>0.73816371914254486</v>
      </c>
      <c r="W252" s="4">
        <v>11.219903557057854</v>
      </c>
      <c r="X252" s="4">
        <v>5.7829826220188867</v>
      </c>
      <c r="Y252" s="4">
        <v>8.0951827494861739</v>
      </c>
      <c r="AA252" s="4">
        <v>6.7292497822724266</v>
      </c>
      <c r="AB252" s="4">
        <v>1.1972625844301852</v>
      </c>
      <c r="AC252" s="4">
        <v>1.8189699101240215</v>
      </c>
      <c r="AD252" s="4">
        <v>0.50481805124694101</v>
      </c>
      <c r="AE252" s="4">
        <v>2.1214400578932113</v>
      </c>
      <c r="AF252" s="4">
        <v>1.6943146447354362</v>
      </c>
      <c r="AK252">
        <f t="shared" si="182"/>
        <v>98.077234537269263</v>
      </c>
      <c r="AL252" s="26">
        <f t="shared" si="183"/>
        <v>39.403455005878584</v>
      </c>
      <c r="AM252" s="26">
        <f t="shared" si="184"/>
        <v>1.305096319881397</v>
      </c>
      <c r="AN252" s="26">
        <f t="shared" si="185"/>
        <v>5.1189041556624719</v>
      </c>
      <c r="AO252" s="26">
        <f t="shared" si="186"/>
        <v>11.933566981849713</v>
      </c>
      <c r="AP252" s="26">
        <f t="shared" si="187"/>
        <v>6.0816725802344047</v>
      </c>
      <c r="AQ252" s="26">
        <f t="shared" si="188"/>
        <v>11.495980771191453</v>
      </c>
      <c r="AR252" s="26">
        <f t="shared" si="189"/>
        <v>1.8637275270523765</v>
      </c>
      <c r="AS252" s="26">
        <f t="shared" si="190"/>
        <v>5.9252788301414316</v>
      </c>
      <c r="AT252" s="26">
        <f t="shared" si="191"/>
        <v>8.2943730090115899</v>
      </c>
      <c r="AU252" s="26">
        <f t="shared" si="192"/>
        <v>6.8948298626760813</v>
      </c>
      <c r="AV252" s="26">
        <f t="shared" si="193"/>
        <v>2.1736402624810802</v>
      </c>
      <c r="AW252" s="26">
        <f t="shared" si="194"/>
        <v>100.49052530606059</v>
      </c>
      <c r="AX252" s="26"/>
      <c r="AY252" s="26"/>
      <c r="BD252"/>
      <c r="BE252"/>
      <c r="BL252" s="44"/>
      <c r="BM252" s="44"/>
      <c r="BN252" s="44"/>
      <c r="BO252" s="44"/>
      <c r="BP252" s="44"/>
      <c r="BQ252" s="44"/>
      <c r="BR252" s="44"/>
      <c r="BS252" s="44"/>
      <c r="BT252" s="44"/>
      <c r="BU252" s="44">
        <v>216</v>
      </c>
      <c r="BV252" s="44"/>
      <c r="BW252" s="44"/>
      <c r="BX252" s="44"/>
      <c r="BY252" s="44"/>
      <c r="BZ252" s="44"/>
      <c r="CA252" s="44"/>
      <c r="CB252" s="44"/>
      <c r="CC252" s="44"/>
      <c r="CD252" s="44"/>
      <c r="CE252" s="44"/>
      <c r="CF252" s="44"/>
      <c r="CG252" s="44"/>
      <c r="CH252" s="44"/>
      <c r="CI252" s="44">
        <v>0.19</v>
      </c>
      <c r="CJ252" s="44">
        <v>4.2</v>
      </c>
      <c r="CK252" s="44">
        <v>1</v>
      </c>
      <c r="CL252" s="44">
        <v>0.44</v>
      </c>
      <c r="CM252" s="44"/>
      <c r="CN252" s="44">
        <v>1.1000000000000001</v>
      </c>
      <c r="CO252" s="44"/>
      <c r="CP252" s="44"/>
      <c r="CQ252" s="44"/>
      <c r="CR252" s="44"/>
      <c r="CS252" s="44"/>
      <c r="CT252" s="44">
        <v>5.2</v>
      </c>
      <c r="CU252" s="44"/>
      <c r="CV252" s="44">
        <v>4.0999999999999996</v>
      </c>
      <c r="CW252" s="44">
        <v>6.1</v>
      </c>
      <c r="CX252" s="44">
        <v>1.2</v>
      </c>
      <c r="CY252" s="44">
        <v>5.0999999999999996</v>
      </c>
      <c r="CZ252" s="44">
        <v>1</v>
      </c>
      <c r="DA252" s="44">
        <v>0.2</v>
      </c>
      <c r="DB252" s="44">
        <v>0.66</v>
      </c>
      <c r="DC252" s="44">
        <v>0.32</v>
      </c>
      <c r="DD252" s="44"/>
      <c r="DE252" s="44">
        <v>0.1</v>
      </c>
      <c r="DF252" s="44"/>
      <c r="DG252" s="44">
        <v>0.08</v>
      </c>
      <c r="DH252" s="44">
        <v>0.01</v>
      </c>
      <c r="DI252" s="44">
        <v>0.02</v>
      </c>
      <c r="DJ252" s="44"/>
      <c r="DK252" s="44"/>
      <c r="DL252" s="44" t="s">
        <v>1227</v>
      </c>
      <c r="DM252" s="44">
        <v>0.34</v>
      </c>
      <c r="DN252" s="44">
        <v>0.02</v>
      </c>
      <c r="DO252" s="44">
        <v>0.08</v>
      </c>
      <c r="DP252" s="44"/>
      <c r="DQ252" s="44"/>
      <c r="DR252" s="44"/>
      <c r="DS252" s="44"/>
      <c r="DT252" s="44"/>
      <c r="DU252" s="44"/>
      <c r="DV252" s="44"/>
      <c r="DW252" s="51"/>
      <c r="DX252" s="51"/>
      <c r="DY252" s="51"/>
      <c r="DZ252" s="45"/>
      <c r="EA252" s="52"/>
      <c r="EB252" s="45"/>
      <c r="EC252" s="45"/>
      <c r="ED252" s="45"/>
      <c r="EE252" s="45"/>
      <c r="EF252" s="45"/>
      <c r="EG252" s="45"/>
      <c r="EH252" s="45"/>
      <c r="EI252" s="45"/>
      <c r="EJ252" s="45"/>
      <c r="EK252" s="44"/>
      <c r="EL252" s="45"/>
      <c r="EM252" s="45"/>
      <c r="EN252" s="45"/>
      <c r="EO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row>
    <row r="253" spans="1:230" s="4" customFormat="1">
      <c r="A253" s="4" t="s">
        <v>1229</v>
      </c>
      <c r="B253" s="4" t="s">
        <v>1468</v>
      </c>
      <c r="C253" s="4" t="s">
        <v>24</v>
      </c>
      <c r="D253" t="str">
        <f t="shared" si="181"/>
        <v>silicic - low-Mg carbonatitic</v>
      </c>
      <c r="F253" s="4" t="s">
        <v>1394</v>
      </c>
      <c r="G253" s="4" t="s">
        <v>1432</v>
      </c>
      <c r="H253" s="4" t="s">
        <v>595</v>
      </c>
      <c r="I253" s="4">
        <v>93</v>
      </c>
      <c r="K253" s="4" t="s">
        <v>1311</v>
      </c>
      <c r="L253" s="4" t="s">
        <v>1274</v>
      </c>
      <c r="N253" s="4" t="s">
        <v>1248</v>
      </c>
      <c r="O253" s="4">
        <v>35</v>
      </c>
      <c r="P253" s="4">
        <v>38.45717679771365</v>
      </c>
      <c r="Q253" s="4">
        <v>1.2737542914507487</v>
      </c>
      <c r="R253" s="4">
        <v>0.46608444725804687</v>
      </c>
      <c r="S253" s="4">
        <v>4.9959731220395156</v>
      </c>
      <c r="T253" s="4">
        <v>11.646981087823004</v>
      </c>
      <c r="U253" s="4">
        <v>5.9356205593897498</v>
      </c>
      <c r="V253" s="4">
        <v>0.73816371914254486</v>
      </c>
      <c r="W253" s="4">
        <v>11.219903557057854</v>
      </c>
      <c r="X253" s="4">
        <v>5.7829826220188867</v>
      </c>
      <c r="Y253" s="4">
        <v>8.0951827494861739</v>
      </c>
      <c r="AA253" s="4">
        <v>6.7292497822724266</v>
      </c>
      <c r="AB253" s="4">
        <v>1.1972625844301852</v>
      </c>
      <c r="AC253" s="4">
        <v>1.8189699101240215</v>
      </c>
      <c r="AD253" s="4">
        <v>0.50481805124694101</v>
      </c>
      <c r="AE253" s="4">
        <v>2.1214400578932113</v>
      </c>
      <c r="AF253" s="4">
        <v>1.6943146447354362</v>
      </c>
      <c r="AK253">
        <f t="shared" si="182"/>
        <v>98.077234537269263</v>
      </c>
      <c r="AL253" s="26">
        <f t="shared" si="183"/>
        <v>39.403455005878584</v>
      </c>
      <c r="AM253" s="26">
        <f t="shared" si="184"/>
        <v>1.305096319881397</v>
      </c>
      <c r="AN253" s="26">
        <f t="shared" si="185"/>
        <v>5.1189041556624719</v>
      </c>
      <c r="AO253" s="26">
        <f t="shared" si="186"/>
        <v>11.933566981849713</v>
      </c>
      <c r="AP253" s="26">
        <f t="shared" si="187"/>
        <v>6.0816725802344047</v>
      </c>
      <c r="AQ253" s="26">
        <f t="shared" si="188"/>
        <v>11.495980771191453</v>
      </c>
      <c r="AR253" s="26">
        <f t="shared" si="189"/>
        <v>1.8637275270523765</v>
      </c>
      <c r="AS253" s="26">
        <f t="shared" si="190"/>
        <v>5.9252788301414316</v>
      </c>
      <c r="AT253" s="26">
        <f t="shared" si="191"/>
        <v>8.2943730090115899</v>
      </c>
      <c r="AU253" s="26">
        <f t="shared" si="192"/>
        <v>6.8948298626760813</v>
      </c>
      <c r="AV253" s="26">
        <f t="shared" si="193"/>
        <v>2.1736402624810802</v>
      </c>
      <c r="AW253" s="26">
        <f t="shared" si="194"/>
        <v>100.49052530606059</v>
      </c>
      <c r="AX253" s="26"/>
      <c r="AY253" s="26"/>
      <c r="BD253"/>
      <c r="BE253"/>
      <c r="BL253" s="44"/>
      <c r="BM253" s="44"/>
      <c r="BN253" s="44"/>
      <c r="BO253" s="44"/>
      <c r="BP253" s="44"/>
      <c r="BQ253" s="44"/>
      <c r="BR253" s="44"/>
      <c r="BS253" s="44"/>
      <c r="BT253" s="44"/>
      <c r="BU253" s="44" t="s">
        <v>1227</v>
      </c>
      <c r="BV253" s="44"/>
      <c r="BW253" s="44"/>
      <c r="BX253" s="44"/>
      <c r="BY253" s="44"/>
      <c r="BZ253" s="44"/>
      <c r="CA253" s="44"/>
      <c r="CB253" s="44"/>
      <c r="CC253" s="44"/>
      <c r="CD253" s="44"/>
      <c r="CE253" s="44"/>
      <c r="CF253" s="44"/>
      <c r="CG253" s="44"/>
      <c r="CH253" s="44"/>
      <c r="CI253" s="44">
        <v>7.0000000000000007E-2</v>
      </c>
      <c r="CJ253" s="44">
        <v>3.7</v>
      </c>
      <c r="CK253" s="44">
        <v>0.46</v>
      </c>
      <c r="CL253" s="44">
        <v>0.3</v>
      </c>
      <c r="CM253" s="44"/>
      <c r="CN253" s="44">
        <v>0.39</v>
      </c>
      <c r="CO253" s="44"/>
      <c r="CP253" s="44"/>
      <c r="CQ253" s="44"/>
      <c r="CR253" s="44"/>
      <c r="CS253" s="44"/>
      <c r="CT253" s="44">
        <v>4.8</v>
      </c>
      <c r="CU253" s="44"/>
      <c r="CV253" s="44">
        <v>2.6</v>
      </c>
      <c r="CW253" s="44">
        <v>3.3</v>
      </c>
      <c r="CX253" s="44">
        <v>0.63</v>
      </c>
      <c r="CY253" s="44">
        <v>2.5</v>
      </c>
      <c r="CZ253" s="44">
        <v>0.42</v>
      </c>
      <c r="DA253" s="44">
        <v>0.08</v>
      </c>
      <c r="DB253" s="44">
        <v>0.27</v>
      </c>
      <c r="DC253" s="44">
        <v>0.13</v>
      </c>
      <c r="DD253" s="44"/>
      <c r="DE253" s="44">
        <v>0.04</v>
      </c>
      <c r="DF253" s="44"/>
      <c r="DG253" s="44">
        <v>0.03</v>
      </c>
      <c r="DH253" s="44">
        <v>4.0000000000000001E-3</v>
      </c>
      <c r="DI253" s="44" t="s">
        <v>1227</v>
      </c>
      <c r="DJ253" s="44"/>
      <c r="DK253" s="44"/>
      <c r="DL253" s="44" t="s">
        <v>1227</v>
      </c>
      <c r="DM253" s="44">
        <v>0.15</v>
      </c>
      <c r="DN253" s="44">
        <v>0.01</v>
      </c>
      <c r="DO253" s="44">
        <v>0.03</v>
      </c>
      <c r="DP253" s="44"/>
      <c r="DQ253" s="44"/>
      <c r="DR253" s="44"/>
      <c r="DS253" s="44"/>
      <c r="DT253" s="44"/>
      <c r="DU253" s="44"/>
      <c r="DV253" s="44"/>
      <c r="DW253" s="51">
        <v>0.70525000000000004</v>
      </c>
      <c r="DX253" s="51">
        <v>1.2999999999999999E-4</v>
      </c>
      <c r="DY253" s="51">
        <v>0.70516999999999996</v>
      </c>
      <c r="DZ253" s="45">
        <v>0</v>
      </c>
      <c r="EA253" s="52">
        <v>11.1</v>
      </c>
      <c r="EB253" s="45">
        <v>0</v>
      </c>
      <c r="EC253" s="45">
        <v>0</v>
      </c>
      <c r="ED253" s="45"/>
      <c r="EE253" s="45"/>
      <c r="EF253" s="45"/>
      <c r="EG253" s="45"/>
      <c r="EH253" s="45"/>
      <c r="EI253" s="45"/>
      <c r="EJ253" s="45"/>
      <c r="EK253" s="44"/>
      <c r="EL253" s="45"/>
      <c r="EM253" s="45"/>
      <c r="EN253" s="45"/>
      <c r="EO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row>
    <row r="254" spans="1:230" s="4" customFormat="1">
      <c r="A254" s="4" t="s">
        <v>1211</v>
      </c>
      <c r="B254" s="4" t="s">
        <v>1468</v>
      </c>
      <c r="C254" s="4" t="s">
        <v>24</v>
      </c>
      <c r="D254" t="s">
        <v>1369</v>
      </c>
      <c r="E254" s="4" t="s">
        <v>119</v>
      </c>
      <c r="F254" s="4" t="s">
        <v>171</v>
      </c>
      <c r="G254" s="4" t="s">
        <v>120</v>
      </c>
      <c r="H254" s="4" t="s">
        <v>595</v>
      </c>
      <c r="I254" s="4">
        <v>53</v>
      </c>
      <c r="K254" s="4" t="s">
        <v>1318</v>
      </c>
      <c r="L254" s="4" t="s">
        <v>968</v>
      </c>
      <c r="N254" s="4" t="s">
        <v>1213</v>
      </c>
      <c r="AJ254" s="4">
        <v>6.1</v>
      </c>
      <c r="AK254">
        <f t="shared" si="182"/>
        <v>0</v>
      </c>
      <c r="AL254" s="26"/>
      <c r="AM254" s="26"/>
      <c r="AN254" s="26"/>
      <c r="AO254" s="26"/>
      <c r="AP254" s="26"/>
      <c r="AQ254" s="26"/>
      <c r="AR254" s="26"/>
      <c r="AS254" s="26"/>
      <c r="AT254" s="26"/>
      <c r="AU254" s="26"/>
      <c r="AV254" s="26"/>
      <c r="AW254" s="26"/>
      <c r="AX254" s="26"/>
      <c r="AY254" s="26"/>
      <c r="BD254"/>
      <c r="BE254"/>
      <c r="BL254" s="44"/>
      <c r="BM254" s="44"/>
      <c r="BN254" s="44"/>
      <c r="BO254" s="44"/>
      <c r="BP254" s="44"/>
      <c r="BQ254" s="44"/>
      <c r="BR254" s="44"/>
      <c r="BS254" s="44"/>
      <c r="BT254" s="44"/>
      <c r="BU254" s="44" t="s">
        <v>1192</v>
      </c>
      <c r="BV254" s="44"/>
      <c r="BW254" s="44"/>
      <c r="BX254" s="44"/>
      <c r="BY254" s="44"/>
      <c r="BZ254" s="44"/>
      <c r="CA254" s="44"/>
      <c r="CB254" s="44"/>
      <c r="CC254" s="44"/>
      <c r="CD254" s="44"/>
      <c r="CE254" s="44"/>
      <c r="CF254" s="44"/>
      <c r="CG254" s="44"/>
      <c r="CH254" s="44"/>
      <c r="CI254" s="44">
        <v>0.188</v>
      </c>
      <c r="CJ254" s="44">
        <v>4.1859999999999999</v>
      </c>
      <c r="CK254" s="44">
        <v>7.0000000000000001E-3</v>
      </c>
      <c r="CL254" s="44">
        <v>5.6000000000000001E-2</v>
      </c>
      <c r="CM254" s="44"/>
      <c r="CN254" s="44">
        <v>0.253</v>
      </c>
      <c r="CO254" s="44"/>
      <c r="CP254" s="44"/>
      <c r="CQ254" s="44"/>
      <c r="CR254" s="44"/>
      <c r="CS254" s="44"/>
      <c r="CT254" s="44">
        <v>60.7</v>
      </c>
      <c r="CU254" s="44"/>
      <c r="CV254" s="44">
        <v>0.97199999999999998</v>
      </c>
      <c r="CW254" s="44">
        <v>0.876</v>
      </c>
      <c r="CX254" s="44">
        <v>6.2E-2</v>
      </c>
      <c r="CY254" s="44">
        <v>0.13400000000000001</v>
      </c>
      <c r="CZ254" s="44">
        <v>1.2E-2</v>
      </c>
      <c r="DA254" s="44">
        <v>1E-3</v>
      </c>
      <c r="DB254" s="44">
        <v>5.0000000000000001E-3</v>
      </c>
      <c r="DC254" s="44">
        <v>2E-3</v>
      </c>
      <c r="DD254" s="44"/>
      <c r="DE254" s="44" t="s">
        <v>1192</v>
      </c>
      <c r="DF254" s="44"/>
      <c r="DG254" s="44" t="s">
        <v>1192</v>
      </c>
      <c r="DH254" s="44" t="s">
        <v>1192</v>
      </c>
      <c r="DI254" s="44">
        <v>1E-3</v>
      </c>
      <c r="DJ254" s="44"/>
      <c r="DK254" s="44"/>
      <c r="DL254" s="44">
        <v>0.51700000000000002</v>
      </c>
      <c r="DM254" s="44">
        <v>0.252</v>
      </c>
      <c r="DN254" s="44">
        <v>3.7999999999999999E-2</v>
      </c>
      <c r="DO254" s="44">
        <v>1E-3</v>
      </c>
      <c r="DP254" s="44"/>
      <c r="DQ254" s="44"/>
      <c r="DR254" s="44"/>
      <c r="DS254" s="44"/>
      <c r="DT254" s="44"/>
      <c r="DU254" s="44"/>
      <c r="DV254" s="44"/>
      <c r="DW254" s="51"/>
      <c r="DX254" s="51"/>
      <c r="DY254" s="51"/>
      <c r="DZ254" s="45"/>
      <c r="EA254" s="52"/>
      <c r="EB254" s="45"/>
      <c r="EC254" s="45"/>
      <c r="ED254" s="45"/>
      <c r="EE254" s="45"/>
      <c r="EF254" s="45"/>
      <c r="EG254" s="45"/>
      <c r="EH254" s="45"/>
      <c r="EI254" s="45"/>
      <c r="EJ254" s="45"/>
      <c r="EK254" s="44"/>
      <c r="EL254" s="45"/>
      <c r="EM254" s="45"/>
      <c r="EN254" s="45"/>
      <c r="EO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row>
    <row r="255" spans="1:230" s="4" customFormat="1">
      <c r="A255" s="4" t="s">
        <v>1211</v>
      </c>
      <c r="B255" s="4" t="s">
        <v>1468</v>
      </c>
      <c r="C255" s="4" t="s">
        <v>24</v>
      </c>
      <c r="D255" t="s">
        <v>1369</v>
      </c>
      <c r="E255" s="4" t="s">
        <v>119</v>
      </c>
      <c r="F255" s="4" t="s">
        <v>171</v>
      </c>
      <c r="G255" s="4" t="s">
        <v>120</v>
      </c>
      <c r="H255" s="4" t="s">
        <v>595</v>
      </c>
      <c r="I255" s="4">
        <v>53</v>
      </c>
      <c r="K255" s="4" t="s">
        <v>1318</v>
      </c>
      <c r="L255" s="4" t="s">
        <v>968</v>
      </c>
      <c r="N255" s="4" t="s">
        <v>1214</v>
      </c>
      <c r="AJ255" s="4">
        <v>7.1</v>
      </c>
      <c r="AK255">
        <f t="shared" si="182"/>
        <v>0</v>
      </c>
      <c r="AL255" s="26"/>
      <c r="AM255" s="26"/>
      <c r="AN255" s="26"/>
      <c r="AO255" s="26"/>
      <c r="AP255" s="26"/>
      <c r="AQ255" s="26"/>
      <c r="AR255" s="26"/>
      <c r="AS255" s="26"/>
      <c r="AT255" s="26"/>
      <c r="AU255" s="26"/>
      <c r="AV255" s="26"/>
      <c r="AW255" s="26"/>
      <c r="AX255" s="26"/>
      <c r="AY255" s="26"/>
      <c r="BD255"/>
      <c r="BE255"/>
      <c r="BL255" s="44"/>
      <c r="BM255" s="44"/>
      <c r="BN255" s="44"/>
      <c r="BO255" s="44"/>
      <c r="BP255" s="44"/>
      <c r="BQ255" s="44"/>
      <c r="BR255" s="44"/>
      <c r="BS255" s="44"/>
      <c r="BT255" s="44"/>
      <c r="BU255" s="44" t="s">
        <v>1192</v>
      </c>
      <c r="BV255" s="44"/>
      <c r="BW255" s="44"/>
      <c r="BX255" s="44"/>
      <c r="BY255" s="44"/>
      <c r="BZ255" s="44"/>
      <c r="CA255" s="44"/>
      <c r="CB255" s="44"/>
      <c r="CC255" s="44"/>
      <c r="CD255" s="44"/>
      <c r="CE255" s="44"/>
      <c r="CF255" s="44"/>
      <c r="CG255" s="44"/>
      <c r="CH255" s="44"/>
      <c r="CI255" s="44">
        <v>0.28399999999999997</v>
      </c>
      <c r="CJ255" s="44">
        <v>14.284000000000001</v>
      </c>
      <c r="CK255" s="44">
        <v>4.5999999999999999E-2</v>
      </c>
      <c r="CL255" s="44">
        <v>0.26400000000000001</v>
      </c>
      <c r="CM255" s="44"/>
      <c r="CN255" s="44">
        <v>0.67400000000000004</v>
      </c>
      <c r="CO255" s="44"/>
      <c r="CP255" s="44"/>
      <c r="CQ255" s="44"/>
      <c r="CR255" s="44"/>
      <c r="CS255" s="44"/>
      <c r="CT255" s="44">
        <v>69.62</v>
      </c>
      <c r="CU255" s="44"/>
      <c r="CV255" s="44">
        <v>3.722</v>
      </c>
      <c r="CW255" s="44">
        <v>3.9630000000000001</v>
      </c>
      <c r="CX255" s="44">
        <v>0.26300000000000001</v>
      </c>
      <c r="CY255" s="44">
        <v>0.70199999999999996</v>
      </c>
      <c r="CZ255" s="44">
        <v>5.5E-2</v>
      </c>
      <c r="DA255" s="44">
        <v>0.01</v>
      </c>
      <c r="DB255" s="44">
        <v>2.1999999999999999E-2</v>
      </c>
      <c r="DC255" s="44">
        <v>0.01</v>
      </c>
      <c r="DD255" s="44"/>
      <c r="DE255" s="44" t="s">
        <v>1192</v>
      </c>
      <c r="DF255" s="44"/>
      <c r="DG255" s="44" t="s">
        <v>1192</v>
      </c>
      <c r="DH255" s="44" t="s">
        <v>1192</v>
      </c>
      <c r="DI255" s="44" t="s">
        <v>1192</v>
      </c>
      <c r="DJ255" s="44"/>
      <c r="DK255" s="44"/>
      <c r="DL255" s="44">
        <v>1.353</v>
      </c>
      <c r="DM255" s="44">
        <v>1.044</v>
      </c>
      <c r="DN255" s="44">
        <v>0.114</v>
      </c>
      <c r="DO255" s="44" t="s">
        <v>1192</v>
      </c>
      <c r="DP255" s="44"/>
      <c r="DQ255" s="44"/>
      <c r="DR255" s="44"/>
      <c r="DS255" s="44"/>
      <c r="DT255" s="44"/>
      <c r="DU255" s="44"/>
      <c r="DV255" s="44"/>
      <c r="DW255" s="51">
        <v>0.70481000000000005</v>
      </c>
      <c r="DX255" s="51">
        <v>1E-4</v>
      </c>
      <c r="DY255" s="51">
        <v>0.70476000000000005</v>
      </c>
      <c r="DZ255" s="45">
        <v>0</v>
      </c>
      <c r="EA255" s="52">
        <v>4.601</v>
      </c>
      <c r="EB255" s="45">
        <v>0</v>
      </c>
      <c r="EC255" s="45">
        <v>0</v>
      </c>
      <c r="ED255" s="45"/>
      <c r="EE255" s="45"/>
      <c r="EF255" s="45"/>
      <c r="EG255" s="45"/>
      <c r="EH255" s="45"/>
      <c r="EI255" s="45"/>
      <c r="EJ255" s="45"/>
      <c r="EK255" s="44"/>
      <c r="EL255" s="45"/>
      <c r="EM255" s="45"/>
      <c r="EN255" s="45"/>
      <c r="EO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row>
    <row r="256" spans="1:230" s="4" customFormat="1">
      <c r="A256" s="4" t="s">
        <v>1396</v>
      </c>
      <c r="B256" s="4" t="s">
        <v>1468</v>
      </c>
      <c r="C256" s="4" t="s">
        <v>24</v>
      </c>
      <c r="D256" t="s">
        <v>1369</v>
      </c>
      <c r="E256" s="4" t="s">
        <v>119</v>
      </c>
      <c r="F256" s="4" t="s">
        <v>171</v>
      </c>
      <c r="G256" s="4" t="s">
        <v>120</v>
      </c>
      <c r="H256" s="4" t="s">
        <v>595</v>
      </c>
      <c r="I256" s="4">
        <v>53</v>
      </c>
      <c r="J256" s="4" t="s">
        <v>712</v>
      </c>
      <c r="K256" s="4" t="s">
        <v>1318</v>
      </c>
      <c r="L256" s="4" t="s">
        <v>968</v>
      </c>
      <c r="N256" s="4" t="s">
        <v>1219</v>
      </c>
      <c r="O256" s="4">
        <v>35</v>
      </c>
      <c r="P256" s="4">
        <v>5.8</v>
      </c>
      <c r="S256" s="4">
        <v>1.9</v>
      </c>
      <c r="T256" s="4">
        <v>26.8</v>
      </c>
      <c r="U256" s="4">
        <v>7.8</v>
      </c>
      <c r="W256" s="4">
        <v>12.7</v>
      </c>
      <c r="X256" s="4">
        <v>5.9</v>
      </c>
      <c r="Y256" s="4">
        <v>12.7</v>
      </c>
      <c r="AC256" s="4">
        <v>11.4</v>
      </c>
      <c r="AE256" s="4">
        <v>13.1</v>
      </c>
      <c r="AJ256" s="4">
        <v>12.1</v>
      </c>
      <c r="AK256">
        <f t="shared" si="182"/>
        <v>98.1</v>
      </c>
      <c r="AL256" s="26">
        <f t="shared" si="183"/>
        <v>6.0960405829500015</v>
      </c>
      <c r="AM256" s="26">
        <f t="shared" si="184"/>
        <v>0</v>
      </c>
      <c r="AN256" s="26">
        <f t="shared" si="185"/>
        <v>1.996978811656035</v>
      </c>
      <c r="AO256" s="26">
        <f t="shared" si="186"/>
        <v>28.167911659148288</v>
      </c>
      <c r="AP256" s="26">
        <f t="shared" si="187"/>
        <v>8.1981235425879344</v>
      </c>
      <c r="AQ256" s="26">
        <f t="shared" si="188"/>
        <v>13.348226793700867</v>
      </c>
      <c r="AR256" s="26">
        <f t="shared" si="189"/>
        <v>11.981872869936213</v>
      </c>
      <c r="AS256" s="26">
        <f t="shared" si="190"/>
        <v>6.2011447309318992</v>
      </c>
      <c r="AT256" s="26">
        <f t="shared" si="191"/>
        <v>13.348226793700867</v>
      </c>
      <c r="AU256" s="26">
        <f t="shared" si="192"/>
        <v>0</v>
      </c>
      <c r="AV256" s="26">
        <f t="shared" si="193"/>
        <v>13.768643385628454</v>
      </c>
      <c r="AW256" s="26">
        <f t="shared" si="194"/>
        <v>103.10716917024055</v>
      </c>
      <c r="AX256" s="26"/>
      <c r="AY256" s="26"/>
      <c r="BD256"/>
      <c r="BE256"/>
      <c r="BH256" s="4" t="s">
        <v>971</v>
      </c>
      <c r="BI256" s="4">
        <v>30</v>
      </c>
      <c r="BL256" s="44"/>
      <c r="BM256" s="44"/>
      <c r="BN256" s="44"/>
      <c r="BO256" s="44"/>
      <c r="BP256" s="44"/>
      <c r="BQ256" s="44"/>
      <c r="BR256" s="44"/>
      <c r="BS256" s="44"/>
      <c r="BT256" s="44"/>
      <c r="BU256" s="44" t="s">
        <v>1192</v>
      </c>
      <c r="BV256" s="44"/>
      <c r="BW256" s="44"/>
      <c r="BX256" s="44"/>
      <c r="BY256" s="44"/>
      <c r="BZ256" s="44"/>
      <c r="CA256" s="44"/>
      <c r="CB256" s="44"/>
      <c r="CC256" s="44"/>
      <c r="CD256" s="44"/>
      <c r="CE256" s="44"/>
      <c r="CF256" s="44"/>
      <c r="CG256" s="44"/>
      <c r="CH256" s="44"/>
      <c r="CI256" s="44">
        <v>0.371</v>
      </c>
      <c r="CJ256" s="44">
        <v>3.343</v>
      </c>
      <c r="CK256" s="44" t="s">
        <v>1192</v>
      </c>
      <c r="CL256" s="44" t="s">
        <v>1192</v>
      </c>
      <c r="CM256" s="44"/>
      <c r="CN256" s="44">
        <v>7.2999999999999995E-2</v>
      </c>
      <c r="CO256" s="44"/>
      <c r="CP256" s="44"/>
      <c r="CQ256" s="44"/>
      <c r="CR256" s="44"/>
      <c r="CS256" s="44"/>
      <c r="CT256" s="44">
        <v>83.69</v>
      </c>
      <c r="CU256" s="44"/>
      <c r="CV256" s="44">
        <v>1.7709999999999999</v>
      </c>
      <c r="CW256" s="44">
        <v>1.1200000000000001</v>
      </c>
      <c r="CX256" s="44">
        <v>4.8000000000000001E-2</v>
      </c>
      <c r="CY256" s="44">
        <v>7.2999999999999995E-2</v>
      </c>
      <c r="CZ256" s="44">
        <v>2E-3</v>
      </c>
      <c r="DA256" s="44" t="s">
        <v>1192</v>
      </c>
      <c r="DB256" s="44" t="s">
        <v>1192</v>
      </c>
      <c r="DC256" s="44" t="s">
        <v>1192</v>
      </c>
      <c r="DD256" s="44"/>
      <c r="DE256" s="44" t="s">
        <v>1192</v>
      </c>
      <c r="DF256" s="44"/>
      <c r="DG256" s="44" t="s">
        <v>1192</v>
      </c>
      <c r="DH256" s="44" t="s">
        <v>1192</v>
      </c>
      <c r="DI256" s="44" t="s">
        <v>1192</v>
      </c>
      <c r="DJ256" s="44"/>
      <c r="DK256" s="44"/>
      <c r="DL256" s="44">
        <v>0.872</v>
      </c>
      <c r="DM256" s="44">
        <v>1.0580000000000001</v>
      </c>
      <c r="DN256" s="44">
        <v>4.1000000000000002E-2</v>
      </c>
      <c r="DO256" s="44" t="s">
        <v>1192</v>
      </c>
      <c r="DP256" s="44"/>
      <c r="DQ256" s="44"/>
      <c r="DR256" s="44"/>
      <c r="DS256" s="44"/>
      <c r="DT256" s="44"/>
      <c r="DU256" s="44"/>
      <c r="DV256" s="44"/>
      <c r="DW256" s="51">
        <v>0.70760000000000001</v>
      </c>
      <c r="DX256" s="51">
        <v>1E-4</v>
      </c>
      <c r="DY256" s="51">
        <v>0.70735999999999999</v>
      </c>
      <c r="DZ256" s="45">
        <v>0</v>
      </c>
      <c r="EA256" s="52">
        <v>41.43</v>
      </c>
      <c r="EB256" s="45">
        <v>0</v>
      </c>
      <c r="EC256" s="45">
        <v>0</v>
      </c>
      <c r="ED256" s="45"/>
      <c r="EE256" s="45"/>
      <c r="EF256" s="45"/>
      <c r="EG256" s="45"/>
      <c r="EH256" s="45"/>
      <c r="EI256" s="45"/>
      <c r="EJ256" s="45"/>
      <c r="EK256" s="44"/>
      <c r="EL256" s="45"/>
      <c r="EM256" s="45"/>
      <c r="EN256" s="45"/>
      <c r="EO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row>
    <row r="257" spans="1:230" s="4" customFormat="1">
      <c r="A257" s="4" t="s">
        <v>1396</v>
      </c>
      <c r="B257" s="4" t="s">
        <v>1468</v>
      </c>
      <c r="C257" s="4" t="s">
        <v>24</v>
      </c>
      <c r="D257" t="s">
        <v>1369</v>
      </c>
      <c r="E257" s="4" t="s">
        <v>119</v>
      </c>
      <c r="F257" s="4" t="s">
        <v>171</v>
      </c>
      <c r="G257" s="4" t="s">
        <v>120</v>
      </c>
      <c r="H257" s="4" t="s">
        <v>595</v>
      </c>
      <c r="I257" s="4">
        <v>53</v>
      </c>
      <c r="J257" s="4" t="s">
        <v>712</v>
      </c>
      <c r="K257" s="4" t="s">
        <v>1318</v>
      </c>
      <c r="L257" s="4" t="s">
        <v>968</v>
      </c>
      <c r="N257" s="4" t="s">
        <v>1220</v>
      </c>
      <c r="O257" s="4">
        <v>35</v>
      </c>
      <c r="P257" s="4">
        <v>5.8</v>
      </c>
      <c r="S257" s="4">
        <v>1.9</v>
      </c>
      <c r="T257" s="4">
        <v>26.8</v>
      </c>
      <c r="U257" s="4">
        <v>7.8</v>
      </c>
      <c r="W257" s="4">
        <v>12.7</v>
      </c>
      <c r="X257" s="4">
        <v>5.9</v>
      </c>
      <c r="Y257" s="4">
        <v>12.7</v>
      </c>
      <c r="AC257" s="4">
        <v>11.4</v>
      </c>
      <c r="AE257" s="4">
        <v>13.1</v>
      </c>
      <c r="AJ257" s="4">
        <v>13.1</v>
      </c>
      <c r="AK257">
        <f t="shared" si="182"/>
        <v>98.1</v>
      </c>
      <c r="AL257" s="26">
        <f t="shared" si="183"/>
        <v>6.0960405829500015</v>
      </c>
      <c r="AM257" s="26">
        <f t="shared" si="184"/>
        <v>0</v>
      </c>
      <c r="AN257" s="26">
        <f t="shared" si="185"/>
        <v>1.996978811656035</v>
      </c>
      <c r="AO257" s="26">
        <f t="shared" si="186"/>
        <v>28.167911659148288</v>
      </c>
      <c r="AP257" s="26">
        <f t="shared" si="187"/>
        <v>8.1981235425879344</v>
      </c>
      <c r="AQ257" s="26">
        <f t="shared" si="188"/>
        <v>13.348226793700867</v>
      </c>
      <c r="AR257" s="26">
        <f t="shared" si="189"/>
        <v>11.981872869936213</v>
      </c>
      <c r="AS257" s="26">
        <f t="shared" si="190"/>
        <v>6.2011447309318992</v>
      </c>
      <c r="AT257" s="26">
        <f t="shared" si="191"/>
        <v>13.348226793700867</v>
      </c>
      <c r="AU257" s="26">
        <f t="shared" si="192"/>
        <v>0</v>
      </c>
      <c r="AV257" s="26">
        <f t="shared" si="193"/>
        <v>13.768643385628454</v>
      </c>
      <c r="AW257" s="26">
        <f t="shared" si="194"/>
        <v>103.10716917024055</v>
      </c>
      <c r="AX257" s="26"/>
      <c r="AY257" s="26"/>
      <c r="BD257"/>
      <c r="BE257"/>
      <c r="BH257" s="4" t="s">
        <v>971</v>
      </c>
      <c r="BI257" s="4">
        <v>30</v>
      </c>
      <c r="BL257" s="44"/>
      <c r="BM257" s="44"/>
      <c r="BN257" s="44"/>
      <c r="BO257" s="44"/>
      <c r="BP257" s="44"/>
      <c r="BQ257" s="44"/>
      <c r="BR257" s="44"/>
      <c r="BS257" s="44"/>
      <c r="BT257" s="44"/>
      <c r="BU257" s="44" t="s">
        <v>1192</v>
      </c>
      <c r="BV257" s="44"/>
      <c r="BW257" s="44"/>
      <c r="BX257" s="44"/>
      <c r="BY257" s="44"/>
      <c r="BZ257" s="44"/>
      <c r="CA257" s="44"/>
      <c r="CB257" s="44"/>
      <c r="CC257" s="44"/>
      <c r="CD257" s="44"/>
      <c r="CE257" s="44"/>
      <c r="CF257" s="44"/>
      <c r="CG257" s="44"/>
      <c r="CH257" s="44"/>
      <c r="CI257" s="44">
        <v>0.51800000000000002</v>
      </c>
      <c r="CJ257" s="44">
        <v>4.9240000000000004</v>
      </c>
      <c r="CK257" s="44">
        <v>1.2E-2</v>
      </c>
      <c r="CL257" s="44"/>
      <c r="CM257" s="44"/>
      <c r="CN257" s="44">
        <v>0.10100000000000001</v>
      </c>
      <c r="CO257" s="44"/>
      <c r="CP257" s="44"/>
      <c r="CQ257" s="44"/>
      <c r="CR257" s="44"/>
      <c r="CS257" s="44"/>
      <c r="CT257" s="44">
        <v>115.1</v>
      </c>
      <c r="CU257" s="44"/>
      <c r="CV257" s="44">
        <v>2.2589999999999999</v>
      </c>
      <c r="CW257" s="44">
        <v>1.478</v>
      </c>
      <c r="CX257" s="44">
        <v>6.6000000000000003E-2</v>
      </c>
      <c r="CY257" s="44">
        <v>0.10100000000000001</v>
      </c>
      <c r="CZ257" s="44" t="s">
        <v>1192</v>
      </c>
      <c r="DA257" s="44" t="s">
        <v>1192</v>
      </c>
      <c r="DB257" s="44" t="s">
        <v>1192</v>
      </c>
      <c r="DC257" s="44" t="s">
        <v>1192</v>
      </c>
      <c r="DD257" s="44"/>
      <c r="DE257" s="44" t="s">
        <v>1192</v>
      </c>
      <c r="DF257" s="44"/>
      <c r="DG257" s="44" t="s">
        <v>1192</v>
      </c>
      <c r="DH257" s="44" t="s">
        <v>1192</v>
      </c>
      <c r="DI257" s="44" t="s">
        <v>1192</v>
      </c>
      <c r="DJ257" s="44"/>
      <c r="DK257" s="44"/>
      <c r="DL257" s="44">
        <v>1.119</v>
      </c>
      <c r="DM257" s="44">
        <v>0.63300000000000001</v>
      </c>
      <c r="DN257" s="44">
        <v>5.0999999999999997E-2</v>
      </c>
      <c r="DO257" s="44" t="s">
        <v>1192</v>
      </c>
      <c r="DP257" s="44"/>
      <c r="DQ257" s="44"/>
      <c r="DR257" s="44"/>
      <c r="DS257" s="44"/>
      <c r="DT257" s="44"/>
      <c r="DU257" s="44"/>
      <c r="DV257" s="44"/>
      <c r="DW257" s="45"/>
      <c r="DX257" s="45"/>
      <c r="DY257" s="45"/>
      <c r="DZ257" s="45"/>
      <c r="EA257" s="45"/>
      <c r="EB257" s="45"/>
      <c r="EC257" s="45"/>
      <c r="ED257" s="45"/>
      <c r="EE257" s="45"/>
      <c r="EF257" s="45"/>
      <c r="EG257" s="45"/>
      <c r="EH257" s="45"/>
      <c r="EI257" s="45"/>
      <c r="EJ257" s="45"/>
      <c r="EK257" s="44"/>
      <c r="EL257" s="45"/>
      <c r="EM257" s="45"/>
      <c r="EN257" s="45"/>
      <c r="EO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row>
    <row r="258" spans="1:230" s="4" customFormat="1">
      <c r="A258" s="16" t="s">
        <v>1178</v>
      </c>
      <c r="B258" s="4" t="s">
        <v>1468</v>
      </c>
      <c r="C258" s="16" t="s">
        <v>24</v>
      </c>
      <c r="D258" t="str">
        <f t="shared" si="181"/>
        <v>silicic</v>
      </c>
      <c r="E258" s="16">
        <v>0</v>
      </c>
      <c r="F258" s="16" t="s">
        <v>1394</v>
      </c>
      <c r="G258" s="16" t="s">
        <v>104</v>
      </c>
      <c r="H258" s="16" t="s">
        <v>595</v>
      </c>
      <c r="I258" s="27">
        <v>240</v>
      </c>
      <c r="J258" s="16">
        <v>0</v>
      </c>
      <c r="K258" s="16" t="s">
        <v>596</v>
      </c>
      <c r="L258" s="16">
        <v>0</v>
      </c>
      <c r="M258" s="16" t="s">
        <v>1472</v>
      </c>
      <c r="N258" s="16" t="s">
        <v>748</v>
      </c>
      <c r="O258" s="16">
        <v>76</v>
      </c>
      <c r="P258" s="16">
        <v>50.3</v>
      </c>
      <c r="Q258" s="16">
        <v>4.5999999999999996</v>
      </c>
      <c r="R258" s="16">
        <v>0</v>
      </c>
      <c r="S258" s="16">
        <v>5.3</v>
      </c>
      <c r="T258" s="16">
        <v>12.2</v>
      </c>
      <c r="U258" s="16">
        <v>4.4000000000000004</v>
      </c>
      <c r="V258" s="16">
        <v>0</v>
      </c>
      <c r="W258" s="16">
        <v>3.3</v>
      </c>
      <c r="X258" s="16">
        <v>2.8</v>
      </c>
      <c r="Y258" s="16">
        <v>12.1</v>
      </c>
      <c r="Z258" s="16">
        <v>0</v>
      </c>
      <c r="AA258" s="16">
        <v>0.9</v>
      </c>
      <c r="AB258" s="16">
        <v>0</v>
      </c>
      <c r="AC258" s="16">
        <v>0</v>
      </c>
      <c r="AD258" s="16">
        <v>0</v>
      </c>
      <c r="AE258" s="16">
        <v>1.2</v>
      </c>
      <c r="AF258" s="16">
        <v>0</v>
      </c>
      <c r="AG258" s="16">
        <v>0</v>
      </c>
      <c r="AH258" s="16">
        <v>0</v>
      </c>
      <c r="AI258" s="16">
        <v>0</v>
      </c>
      <c r="AJ258" s="16">
        <v>0</v>
      </c>
      <c r="AK258">
        <f t="shared" si="182"/>
        <v>97.1</v>
      </c>
      <c r="AL258" s="26">
        <f t="shared" si="183"/>
        <v>51.947142031029003</v>
      </c>
      <c r="AM258" s="26">
        <f t="shared" si="184"/>
        <v>4.7506332672511613</v>
      </c>
      <c r="AN258" s="26">
        <f t="shared" si="185"/>
        <v>5.4735557209632946</v>
      </c>
      <c r="AO258" s="26">
        <f t="shared" si="186"/>
        <v>12.599505621840038</v>
      </c>
      <c r="AP258" s="26">
        <f t="shared" si="187"/>
        <v>4.5440839947619809</v>
      </c>
      <c r="AQ258" s="26">
        <f t="shared" si="188"/>
        <v>3.4080629960714854</v>
      </c>
      <c r="AR258" s="26">
        <f t="shared" si="189"/>
        <v>0</v>
      </c>
      <c r="AS258" s="26">
        <f t="shared" si="190"/>
        <v>2.8916898148485326</v>
      </c>
      <c r="AT258" s="26">
        <f t="shared" si="191"/>
        <v>12.496230985595446</v>
      </c>
      <c r="AU258" s="26">
        <f t="shared" si="192"/>
        <v>0.92947172620131435</v>
      </c>
      <c r="AV258" s="26">
        <f t="shared" si="193"/>
        <v>1.2392956349350857</v>
      </c>
      <c r="AW258" s="26">
        <f t="shared" si="194"/>
        <v>100.27967179349733</v>
      </c>
      <c r="AX258" s="26"/>
      <c r="AY258" s="26"/>
      <c r="AZ258" s="16">
        <v>130</v>
      </c>
      <c r="BA258" s="16">
        <v>173</v>
      </c>
      <c r="BB258" s="16">
        <v>0</v>
      </c>
      <c r="BC258" s="16">
        <v>0.8</v>
      </c>
      <c r="BD258">
        <f t="shared" ref="BD258:BD260" si="195">(BA258/18.02)/((BA258/18.02)+(AZ258/44.01))</f>
        <v>0.76471249948525211</v>
      </c>
      <c r="BE258">
        <f t="shared" ref="BE258:BE260" si="196">(AZ258/44.01)/((BA258/18.02)+(AZ258/44.01))</f>
        <v>0.23528750051474792</v>
      </c>
      <c r="BF258" s="16">
        <v>0</v>
      </c>
      <c r="BG258" s="16">
        <v>0</v>
      </c>
      <c r="BH258" s="16">
        <v>0</v>
      </c>
      <c r="BI258" s="16">
        <v>0</v>
      </c>
      <c r="BJ258" s="16">
        <v>0</v>
      </c>
      <c r="BK258" s="16">
        <v>26.2</v>
      </c>
      <c r="BL258" s="18">
        <v>0</v>
      </c>
      <c r="BM258" s="18">
        <v>0</v>
      </c>
      <c r="BN258" s="18">
        <v>0</v>
      </c>
      <c r="BO258" s="18">
        <v>11.6</v>
      </c>
      <c r="BP258" s="18">
        <v>0</v>
      </c>
      <c r="BQ258" s="18">
        <v>0</v>
      </c>
      <c r="BR258" s="18">
        <v>0</v>
      </c>
      <c r="BS258" s="18">
        <v>68.5</v>
      </c>
      <c r="BT258" s="18">
        <v>0</v>
      </c>
      <c r="BU258" s="18">
        <v>0</v>
      </c>
      <c r="BV258" s="18">
        <v>0.24299999999999999</v>
      </c>
      <c r="BW258" s="18">
        <v>0</v>
      </c>
      <c r="BX258" s="18">
        <v>49.5</v>
      </c>
      <c r="BY258" s="18">
        <v>1.1200000000000001</v>
      </c>
      <c r="BZ258" s="18">
        <v>0</v>
      </c>
      <c r="CA258" s="18">
        <v>0.182</v>
      </c>
      <c r="CB258" s="18">
        <v>3.7600000000000001E-2</v>
      </c>
      <c r="CC258" s="18">
        <v>0</v>
      </c>
      <c r="CD258" s="18">
        <v>9.8800000000000016E-3</v>
      </c>
      <c r="CE258" s="18">
        <v>0</v>
      </c>
      <c r="CF258" s="18">
        <v>2E-3</v>
      </c>
      <c r="CG258" s="18">
        <v>0</v>
      </c>
      <c r="CH258" s="18">
        <v>1.2699999999999999E-2</v>
      </c>
      <c r="CI258" s="18">
        <v>0.40300000000000002</v>
      </c>
      <c r="CJ258" s="18">
        <v>1.95</v>
      </c>
      <c r="CK258" s="18">
        <v>0</v>
      </c>
      <c r="CL258" s="18">
        <v>0.42</v>
      </c>
      <c r="CM258" s="18">
        <v>4.0000000000000001E-3</v>
      </c>
      <c r="CN258" s="18">
        <v>0</v>
      </c>
      <c r="CO258" s="18">
        <v>0</v>
      </c>
      <c r="CP258" s="18">
        <v>0</v>
      </c>
      <c r="CQ258" s="18">
        <v>0</v>
      </c>
      <c r="CR258" s="18">
        <v>0</v>
      </c>
      <c r="CS258" s="18">
        <v>3.4799999999999998E-2</v>
      </c>
      <c r="CT258" s="18">
        <v>1.9019999999999999</v>
      </c>
      <c r="CU258" s="18">
        <v>0</v>
      </c>
      <c r="CV258" s="18">
        <v>0.13300000000000001</v>
      </c>
      <c r="CW258" s="18">
        <v>0.223</v>
      </c>
      <c r="CX258" s="18">
        <v>0</v>
      </c>
      <c r="CY258" s="18" t="s">
        <v>1330</v>
      </c>
      <c r="CZ258" s="18">
        <v>1.6199999999999999E-2</v>
      </c>
      <c r="DA258" s="18">
        <v>7.1999999999999998E-3</v>
      </c>
      <c r="DB258" s="18">
        <v>0.01</v>
      </c>
      <c r="DC258" s="18">
        <v>0</v>
      </c>
      <c r="DD258" s="18">
        <v>0</v>
      </c>
      <c r="DE258" s="18">
        <v>0</v>
      </c>
      <c r="DF258" s="18">
        <v>0</v>
      </c>
      <c r="DG258" s="18">
        <v>2.8E-3</v>
      </c>
      <c r="DH258" s="18">
        <v>2.2000000000000001E-4</v>
      </c>
      <c r="DI258" s="18">
        <v>7.7000000000000002E-3</v>
      </c>
      <c r="DJ258" s="18">
        <v>4.9000000000000007E-3</v>
      </c>
      <c r="DK258" s="18">
        <v>0</v>
      </c>
      <c r="DL258" s="18">
        <v>0</v>
      </c>
      <c r="DM258" s="18">
        <v>1.83E-2</v>
      </c>
      <c r="DN258" s="18">
        <v>1.01E-2</v>
      </c>
      <c r="DO258" s="18">
        <v>1.9E-3</v>
      </c>
      <c r="DP258" s="18">
        <v>0</v>
      </c>
      <c r="DQ258" s="18">
        <v>1.63E-4</v>
      </c>
      <c r="DR258" s="18">
        <v>0</v>
      </c>
      <c r="DS258" s="18">
        <v>1.7999999999999998E-4</v>
      </c>
      <c r="DT258" s="18">
        <v>0</v>
      </c>
      <c r="DU258" s="18">
        <v>0</v>
      </c>
      <c r="DV258" s="18">
        <v>0</v>
      </c>
      <c r="DW258" s="28">
        <v>0</v>
      </c>
      <c r="DX258" s="28">
        <v>0</v>
      </c>
      <c r="DY258" s="28">
        <v>0</v>
      </c>
      <c r="DZ258" s="28">
        <v>0</v>
      </c>
      <c r="EA258" s="28">
        <v>0</v>
      </c>
      <c r="EB258" s="28">
        <v>0</v>
      </c>
      <c r="EC258" s="28">
        <v>0</v>
      </c>
      <c r="ED258" s="28">
        <v>0</v>
      </c>
      <c r="EE258" s="28">
        <v>0</v>
      </c>
      <c r="EF258" s="28">
        <v>0</v>
      </c>
      <c r="EG258" s="28">
        <v>0</v>
      </c>
      <c r="EH258" s="28">
        <v>0</v>
      </c>
      <c r="EI258" s="28">
        <v>0</v>
      </c>
      <c r="EJ258" s="28">
        <v>0</v>
      </c>
      <c r="EK258" s="18">
        <v>0</v>
      </c>
      <c r="EL258" s="28"/>
      <c r="EM258" s="28"/>
      <c r="EN258" s="28"/>
      <c r="EO258" s="2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c r="GU258" s="28"/>
      <c r="GV258" s="28"/>
      <c r="GW258" s="28"/>
      <c r="GX258" s="28"/>
      <c r="GY258" s="28"/>
      <c r="GZ258" s="28"/>
      <c r="HA258" s="28"/>
      <c r="HB258" s="28"/>
      <c r="HC258" s="28"/>
      <c r="HD258" s="28"/>
      <c r="HE258" s="28"/>
      <c r="HF258" s="28"/>
      <c r="HG258" s="28"/>
      <c r="HH258" s="28"/>
      <c r="HI258" s="28"/>
      <c r="HJ258" s="28"/>
      <c r="HK258" s="28"/>
      <c r="HL258" s="28"/>
      <c r="HM258" s="28"/>
      <c r="HN258" s="28"/>
      <c r="HO258" s="28"/>
      <c r="HP258" s="28"/>
      <c r="HQ258" s="28"/>
      <c r="HR258" s="28"/>
      <c r="HS258" s="28"/>
      <c r="HT258" s="28"/>
      <c r="HU258" s="28"/>
      <c r="HV258" s="28"/>
    </row>
    <row r="259" spans="1:230" s="4" customFormat="1">
      <c r="A259" s="4" t="s">
        <v>1178</v>
      </c>
      <c r="B259" s="4" t="s">
        <v>1468</v>
      </c>
      <c r="C259" s="4" t="s">
        <v>24</v>
      </c>
      <c r="D259" t="str">
        <f t="shared" si="181"/>
        <v>silicic</v>
      </c>
      <c r="E259" s="4" t="s">
        <v>110</v>
      </c>
      <c r="F259" s="4" t="s">
        <v>1394</v>
      </c>
      <c r="G259" s="4" t="s">
        <v>104</v>
      </c>
      <c r="H259" s="4" t="s">
        <v>595</v>
      </c>
      <c r="I259" s="49">
        <v>240</v>
      </c>
      <c r="J259" s="4" t="s">
        <v>736</v>
      </c>
      <c r="K259" s="4" t="s">
        <v>596</v>
      </c>
      <c r="L259" s="4" t="s">
        <v>48</v>
      </c>
      <c r="M259" s="4" t="s">
        <v>1474</v>
      </c>
      <c r="N259" s="4" t="s">
        <v>748</v>
      </c>
      <c r="O259" s="4">
        <v>76</v>
      </c>
      <c r="P259" s="4">
        <v>50.3</v>
      </c>
      <c r="Q259" s="4">
        <v>4.5999999999999996</v>
      </c>
      <c r="R259" s="4">
        <v>0</v>
      </c>
      <c r="S259" s="4">
        <v>5.3</v>
      </c>
      <c r="T259" s="4">
        <v>12.2</v>
      </c>
      <c r="U259" s="4">
        <v>4.4000000000000004</v>
      </c>
      <c r="V259" s="4">
        <v>0</v>
      </c>
      <c r="W259" s="4">
        <v>3.3</v>
      </c>
      <c r="X259" s="4">
        <v>2.8</v>
      </c>
      <c r="Y259" s="4">
        <v>12.1</v>
      </c>
      <c r="Z259" s="4">
        <v>0</v>
      </c>
      <c r="AA259" s="4">
        <v>0.9</v>
      </c>
      <c r="AB259" s="4">
        <v>0</v>
      </c>
      <c r="AC259" s="4">
        <v>0</v>
      </c>
      <c r="AD259" s="4">
        <v>0</v>
      </c>
      <c r="AE259" s="4">
        <v>1.2</v>
      </c>
      <c r="AF259" s="4">
        <v>0</v>
      </c>
      <c r="AG259" s="4">
        <v>0</v>
      </c>
      <c r="AH259" s="4">
        <v>0</v>
      </c>
      <c r="AI259" s="4">
        <v>0</v>
      </c>
      <c r="AJ259" s="4">
        <v>0</v>
      </c>
      <c r="AK259">
        <f t="shared" si="182"/>
        <v>97.1</v>
      </c>
      <c r="AL259" s="26">
        <f t="shared" si="183"/>
        <v>51.947142031029003</v>
      </c>
      <c r="AM259" s="26">
        <f t="shared" si="184"/>
        <v>4.7506332672511613</v>
      </c>
      <c r="AN259" s="26">
        <f t="shared" si="185"/>
        <v>5.4735557209632946</v>
      </c>
      <c r="AO259" s="26">
        <f t="shared" si="186"/>
        <v>12.599505621840038</v>
      </c>
      <c r="AP259" s="26">
        <f t="shared" si="187"/>
        <v>4.5440839947619809</v>
      </c>
      <c r="AQ259" s="26">
        <f t="shared" si="188"/>
        <v>3.4080629960714854</v>
      </c>
      <c r="AR259" s="26">
        <f t="shared" si="189"/>
        <v>0</v>
      </c>
      <c r="AS259" s="26">
        <f t="shared" si="190"/>
        <v>2.8916898148485326</v>
      </c>
      <c r="AT259" s="26">
        <f t="shared" si="191"/>
        <v>12.496230985595446</v>
      </c>
      <c r="AU259" s="26">
        <f t="shared" si="192"/>
        <v>0.92947172620131435</v>
      </c>
      <c r="AV259" s="26">
        <f t="shared" si="193"/>
        <v>1.2392956349350857</v>
      </c>
      <c r="AW259" s="26">
        <f t="shared" si="194"/>
        <v>100.27967179349733</v>
      </c>
      <c r="AX259" s="26"/>
      <c r="AY259" s="26"/>
      <c r="AZ259" s="4">
        <v>130</v>
      </c>
      <c r="BA259" s="4">
        <v>173</v>
      </c>
      <c r="BB259" s="4">
        <v>0</v>
      </c>
      <c r="BC259" s="4">
        <v>0.8</v>
      </c>
      <c r="BD259">
        <f t="shared" si="195"/>
        <v>0.76471249948525211</v>
      </c>
      <c r="BE259">
        <f t="shared" si="196"/>
        <v>0.23528750051474792</v>
      </c>
      <c r="BF259" s="4">
        <v>0</v>
      </c>
      <c r="BG259" s="4">
        <v>0</v>
      </c>
      <c r="BH259" s="4">
        <v>0</v>
      </c>
      <c r="BI259" s="4">
        <v>0</v>
      </c>
      <c r="BJ259" s="4">
        <v>0</v>
      </c>
      <c r="BK259" s="4">
        <v>37.200000000000003</v>
      </c>
      <c r="BL259" s="44">
        <v>0</v>
      </c>
      <c r="BM259" s="44">
        <v>0</v>
      </c>
      <c r="BN259" s="44">
        <v>0</v>
      </c>
      <c r="BO259" s="44">
        <v>21.4</v>
      </c>
      <c r="BP259" s="44">
        <v>0</v>
      </c>
      <c r="BQ259" s="44">
        <v>0</v>
      </c>
      <c r="BR259" s="44">
        <v>0</v>
      </c>
      <c r="BS259" s="44">
        <v>128</v>
      </c>
      <c r="BT259" s="44">
        <v>0</v>
      </c>
      <c r="BU259" s="44">
        <v>0</v>
      </c>
      <c r="BV259" s="44">
        <v>0.23100000000000001</v>
      </c>
      <c r="BW259" s="44">
        <v>0</v>
      </c>
      <c r="BX259" s="44">
        <v>88.4</v>
      </c>
      <c r="BY259" s="44">
        <v>1.32</v>
      </c>
      <c r="BZ259" s="44">
        <v>0</v>
      </c>
      <c r="CA259" s="44">
        <v>0.19400000000000001</v>
      </c>
      <c r="CB259" s="44">
        <v>0.08</v>
      </c>
      <c r="CC259" s="44">
        <v>0</v>
      </c>
      <c r="CD259" s="44">
        <v>1.7299999999999999E-2</v>
      </c>
      <c r="CE259" s="44">
        <v>0</v>
      </c>
      <c r="CF259" s="44">
        <v>4.0000000000000001E-3</v>
      </c>
      <c r="CG259" s="44">
        <v>0</v>
      </c>
      <c r="CH259" s="44">
        <v>2.7300000000000001E-2</v>
      </c>
      <c r="CI259" s="44">
        <v>0.58699999999999997</v>
      </c>
      <c r="CJ259" s="44">
        <v>2.4</v>
      </c>
      <c r="CK259" s="44">
        <v>0</v>
      </c>
      <c r="CL259" s="44">
        <v>0.503</v>
      </c>
      <c r="CM259" s="44">
        <v>8.9999999999999998E-4</v>
      </c>
      <c r="CN259" s="44">
        <v>0</v>
      </c>
      <c r="CO259" s="44">
        <v>0</v>
      </c>
      <c r="CP259" s="44">
        <v>0</v>
      </c>
      <c r="CQ259" s="44">
        <v>0</v>
      </c>
      <c r="CR259" s="44">
        <v>0</v>
      </c>
      <c r="CS259" s="44">
        <v>9.1299999999999992E-2</v>
      </c>
      <c r="CT259" s="44">
        <v>3.7120000000000002</v>
      </c>
      <c r="CU259" s="44">
        <v>0</v>
      </c>
      <c r="CV259" s="44">
        <v>0.23799999999999999</v>
      </c>
      <c r="CW259" s="44">
        <v>0.40699999999999997</v>
      </c>
      <c r="CX259" s="44">
        <v>0</v>
      </c>
      <c r="CY259" s="44" t="s">
        <v>1329</v>
      </c>
      <c r="CZ259" s="44">
        <v>2.93E-2</v>
      </c>
      <c r="DA259" s="44">
        <v>1.0699999999999999E-2</v>
      </c>
      <c r="DB259" s="44">
        <v>0.02</v>
      </c>
      <c r="DC259" s="44">
        <v>0</v>
      </c>
      <c r="DD259" s="44">
        <v>0</v>
      </c>
      <c r="DE259" s="44">
        <v>0</v>
      </c>
      <c r="DF259" s="44">
        <v>0</v>
      </c>
      <c r="DG259" s="44">
        <v>5.4000000000000003E-3</v>
      </c>
      <c r="DH259" s="44">
        <v>5.5000000000000003E-4</v>
      </c>
      <c r="DI259" s="44">
        <v>1.4500000000000001E-2</v>
      </c>
      <c r="DJ259" s="44">
        <v>1.21E-2</v>
      </c>
      <c r="DK259" s="44">
        <v>0</v>
      </c>
      <c r="DL259" s="44">
        <v>0</v>
      </c>
      <c r="DM259" s="44">
        <v>3.5799999999999998E-2</v>
      </c>
      <c r="DN259" s="44">
        <v>9.4999999999999998E-3</v>
      </c>
      <c r="DO259" s="44">
        <v>4.7999999999999996E-3</v>
      </c>
      <c r="DP259" s="44">
        <v>0</v>
      </c>
      <c r="DQ259" s="44">
        <v>1.2999999999999999E-5</v>
      </c>
      <c r="DR259" s="44">
        <v>0</v>
      </c>
      <c r="DS259" s="44">
        <v>3.1000000000000001E-5</v>
      </c>
      <c r="DT259" s="44">
        <v>0</v>
      </c>
      <c r="DU259" s="44">
        <v>0</v>
      </c>
      <c r="DV259" s="44">
        <v>0</v>
      </c>
      <c r="DW259" s="45">
        <v>0</v>
      </c>
      <c r="DX259" s="45">
        <v>0</v>
      </c>
      <c r="DY259" s="45">
        <v>0</v>
      </c>
      <c r="DZ259" s="45">
        <v>0</v>
      </c>
      <c r="EA259" s="45">
        <v>0</v>
      </c>
      <c r="EB259" s="45">
        <v>0</v>
      </c>
      <c r="EC259" s="45">
        <v>0</v>
      </c>
      <c r="ED259" s="45">
        <v>0</v>
      </c>
      <c r="EE259" s="45">
        <v>0</v>
      </c>
      <c r="EF259" s="45">
        <v>0</v>
      </c>
      <c r="EG259" s="45">
        <v>0</v>
      </c>
      <c r="EH259" s="45">
        <v>0</v>
      </c>
      <c r="EI259" s="45">
        <v>0</v>
      </c>
      <c r="EJ259" s="45">
        <v>0</v>
      </c>
      <c r="EK259" s="44">
        <v>0</v>
      </c>
      <c r="EL259" s="45"/>
      <c r="EM259" s="45"/>
      <c r="EN259" s="45"/>
      <c r="EO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row>
    <row r="260" spans="1:230" s="4" customFormat="1">
      <c r="A260" s="4" t="s">
        <v>1178</v>
      </c>
      <c r="B260" s="4" t="s">
        <v>1468</v>
      </c>
      <c r="C260" s="4" t="s">
        <v>24</v>
      </c>
      <c r="D260" t="str">
        <f t="shared" si="181"/>
        <v>silicic - low-Mg carbonatitic</v>
      </c>
      <c r="E260" s="4" t="s">
        <v>71</v>
      </c>
      <c r="F260" s="4" t="s">
        <v>1394</v>
      </c>
      <c r="G260" s="4" t="s">
        <v>104</v>
      </c>
      <c r="H260" s="4" t="s">
        <v>595</v>
      </c>
      <c r="I260" s="49">
        <v>240</v>
      </c>
      <c r="J260" s="4" t="s">
        <v>736</v>
      </c>
      <c r="K260" s="4" t="s">
        <v>596</v>
      </c>
      <c r="L260" s="4" t="s">
        <v>48</v>
      </c>
      <c r="M260" s="4" t="s">
        <v>1475</v>
      </c>
      <c r="N260" s="4" t="s">
        <v>739</v>
      </c>
      <c r="O260" s="4">
        <v>92</v>
      </c>
      <c r="P260" s="4">
        <v>25.6</v>
      </c>
      <c r="Q260" s="4">
        <v>5.0999999999999996</v>
      </c>
      <c r="R260" s="4">
        <v>0</v>
      </c>
      <c r="S260" s="4">
        <v>2</v>
      </c>
      <c r="T260" s="4">
        <v>17.5</v>
      </c>
      <c r="U260" s="4">
        <v>10.8</v>
      </c>
      <c r="V260" s="4">
        <v>0</v>
      </c>
      <c r="W260" s="4">
        <v>16.3</v>
      </c>
      <c r="X260" s="4">
        <v>2.2000000000000002</v>
      </c>
      <c r="Y260" s="4">
        <v>15.4</v>
      </c>
      <c r="Z260" s="4">
        <v>0</v>
      </c>
      <c r="AA260" s="4">
        <v>1.4</v>
      </c>
      <c r="AB260" s="4">
        <v>0</v>
      </c>
      <c r="AC260" s="4">
        <v>0</v>
      </c>
      <c r="AD260" s="4">
        <v>0</v>
      </c>
      <c r="AE260" s="4">
        <v>1</v>
      </c>
      <c r="AF260" s="4">
        <v>0</v>
      </c>
      <c r="AG260" s="4">
        <v>0</v>
      </c>
      <c r="AH260" s="4">
        <v>0</v>
      </c>
      <c r="AI260" s="4">
        <v>0</v>
      </c>
      <c r="AJ260" s="4">
        <v>0</v>
      </c>
      <c r="AK260">
        <f t="shared" si="182"/>
        <v>97.300000000000011</v>
      </c>
      <c r="AL260" s="26">
        <f t="shared" si="183"/>
        <v>26.371544350438864</v>
      </c>
      <c r="AM260" s="26">
        <f t="shared" si="184"/>
        <v>5.2537061010639912</v>
      </c>
      <c r="AN260" s="26">
        <f t="shared" si="185"/>
        <v>2.0602769023780358</v>
      </c>
      <c r="AO260" s="26">
        <f t="shared" si="186"/>
        <v>18.027422895807817</v>
      </c>
      <c r="AP260" s="26">
        <f t="shared" si="187"/>
        <v>11.125495272841396</v>
      </c>
      <c r="AQ260" s="26">
        <f t="shared" si="188"/>
        <v>16.791256754380996</v>
      </c>
      <c r="AR260" s="26">
        <f t="shared" si="189"/>
        <v>0</v>
      </c>
      <c r="AS260" s="26">
        <f t="shared" si="190"/>
        <v>2.2663045926158398</v>
      </c>
      <c r="AT260" s="26">
        <f t="shared" si="191"/>
        <v>15.864132148310878</v>
      </c>
      <c r="AU260" s="26">
        <f t="shared" si="192"/>
        <v>1.4421938316646252</v>
      </c>
      <c r="AV260" s="26">
        <f t="shared" si="193"/>
        <v>1.0301384511890179</v>
      </c>
      <c r="AW260" s="26">
        <f t="shared" si="194"/>
        <v>100.23247130069146</v>
      </c>
      <c r="AX260" s="26"/>
      <c r="AY260" s="26"/>
      <c r="AZ260" s="4">
        <v>940</v>
      </c>
      <c r="BA260" s="4">
        <v>320</v>
      </c>
      <c r="BB260" s="4">
        <v>0</v>
      </c>
      <c r="BC260" s="4">
        <v>0.5</v>
      </c>
      <c r="BD260">
        <f t="shared" si="195"/>
        <v>0.4539745986719102</v>
      </c>
      <c r="BE260">
        <f t="shared" si="196"/>
        <v>0.54602540132808974</v>
      </c>
      <c r="BF260" s="4">
        <v>0</v>
      </c>
      <c r="BG260" s="4">
        <v>0</v>
      </c>
      <c r="BH260" s="4">
        <v>0</v>
      </c>
      <c r="BI260" s="4">
        <v>0</v>
      </c>
      <c r="BJ260" s="4">
        <v>0</v>
      </c>
      <c r="BK260" s="4">
        <v>12.35</v>
      </c>
      <c r="BL260" s="44">
        <v>0</v>
      </c>
      <c r="BM260" s="44">
        <v>0</v>
      </c>
      <c r="BN260" s="44">
        <v>0</v>
      </c>
      <c r="BO260" s="44">
        <v>36.1</v>
      </c>
      <c r="BP260" s="44">
        <v>0</v>
      </c>
      <c r="BQ260" s="44">
        <v>0</v>
      </c>
      <c r="BR260" s="44">
        <v>0</v>
      </c>
      <c r="BS260" s="44">
        <v>257</v>
      </c>
      <c r="BT260" s="44">
        <v>0</v>
      </c>
      <c r="BU260" s="44">
        <v>0</v>
      </c>
      <c r="BV260" s="44">
        <v>0.20300000000000001</v>
      </c>
      <c r="BW260" s="44">
        <v>0</v>
      </c>
      <c r="BX260" s="44">
        <v>237.6</v>
      </c>
      <c r="BY260" s="44">
        <v>1.05</v>
      </c>
      <c r="BZ260" s="44">
        <v>0</v>
      </c>
      <c r="CA260" s="44">
        <v>0.76800000000000002</v>
      </c>
      <c r="CB260" s="44">
        <v>0.245</v>
      </c>
      <c r="CC260" s="44">
        <v>0</v>
      </c>
      <c r="CD260" s="44">
        <v>7.2300000000000003E-2</v>
      </c>
      <c r="CE260" s="44">
        <v>0</v>
      </c>
      <c r="CF260" s="44">
        <v>8.0000000000000002E-3</v>
      </c>
      <c r="CG260" s="44">
        <v>0</v>
      </c>
      <c r="CH260" s="44">
        <v>9.8699999999999996E-2</v>
      </c>
      <c r="CI260" s="44">
        <v>1.61</v>
      </c>
      <c r="CJ260" s="44">
        <v>9.65</v>
      </c>
      <c r="CK260" s="44">
        <v>0</v>
      </c>
      <c r="CL260" s="44">
        <v>3</v>
      </c>
      <c r="CM260" s="44">
        <v>3.8E-3</v>
      </c>
      <c r="CN260" s="44">
        <v>0</v>
      </c>
      <c r="CO260" s="44">
        <v>0</v>
      </c>
      <c r="CP260" s="44">
        <v>0</v>
      </c>
      <c r="CQ260" s="44">
        <v>0</v>
      </c>
      <c r="CR260" s="44">
        <v>0</v>
      </c>
      <c r="CS260" s="44">
        <v>5.4700000000000006E-2</v>
      </c>
      <c r="CT260" s="44">
        <v>11</v>
      </c>
      <c r="CU260" s="44">
        <v>0</v>
      </c>
      <c r="CV260" s="44">
        <v>0.92300000000000004</v>
      </c>
      <c r="CW260" s="44">
        <v>1.47</v>
      </c>
      <c r="CX260" s="44">
        <v>0</v>
      </c>
      <c r="CY260" s="44" t="s">
        <v>1326</v>
      </c>
      <c r="CZ260" s="44">
        <v>0.13700000000000001</v>
      </c>
      <c r="DA260" s="44">
        <v>4.2799999999999998E-2</v>
      </c>
      <c r="DB260" s="44">
        <v>0.1</v>
      </c>
      <c r="DC260" s="44">
        <v>0</v>
      </c>
      <c r="DD260" s="44">
        <v>0</v>
      </c>
      <c r="DE260" s="44">
        <v>0</v>
      </c>
      <c r="DF260" s="44">
        <v>0</v>
      </c>
      <c r="DG260" s="44">
        <v>1.32E-2</v>
      </c>
      <c r="DH260" s="44">
        <v>1.56E-3</v>
      </c>
      <c r="DI260" s="44">
        <v>4.7500000000000001E-2</v>
      </c>
      <c r="DJ260" s="44">
        <v>1.24E-2</v>
      </c>
      <c r="DK260" s="44">
        <v>0</v>
      </c>
      <c r="DL260" s="44">
        <v>0</v>
      </c>
      <c r="DM260" s="44">
        <v>0.1615</v>
      </c>
      <c r="DN260" s="44">
        <v>0.10100000000000001</v>
      </c>
      <c r="DO260" s="44">
        <v>1.4E-2</v>
      </c>
      <c r="DP260" s="44">
        <v>0</v>
      </c>
      <c r="DQ260" s="44">
        <v>8.9999999999999985E-6</v>
      </c>
      <c r="DR260" s="44">
        <v>0</v>
      </c>
      <c r="DS260" s="44">
        <v>1.14E-3</v>
      </c>
      <c r="DT260" s="44">
        <v>0</v>
      </c>
      <c r="DU260" s="44">
        <v>0</v>
      </c>
      <c r="DV260" s="44">
        <v>0</v>
      </c>
      <c r="DW260" s="45">
        <v>0</v>
      </c>
      <c r="DX260" s="45">
        <v>0</v>
      </c>
      <c r="DY260" s="45">
        <v>0</v>
      </c>
      <c r="DZ260" s="45">
        <v>0</v>
      </c>
      <c r="EA260" s="45">
        <v>0</v>
      </c>
      <c r="EB260" s="45">
        <v>0</v>
      </c>
      <c r="EC260" s="45">
        <v>0</v>
      </c>
      <c r="ED260" s="45">
        <v>0</v>
      </c>
      <c r="EE260" s="45">
        <v>0</v>
      </c>
      <c r="EF260" s="45">
        <v>0</v>
      </c>
      <c r="EG260" s="45">
        <v>0</v>
      </c>
      <c r="EH260" s="45">
        <v>0</v>
      </c>
      <c r="EI260" s="45">
        <v>0</v>
      </c>
      <c r="EJ260" s="45">
        <v>0</v>
      </c>
      <c r="EK260" s="44">
        <v>0</v>
      </c>
      <c r="EL260" s="45"/>
      <c r="EM260" s="45"/>
      <c r="EN260" s="45"/>
      <c r="EO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row>
    <row r="261" spans="1:230" s="4" customFormat="1">
      <c r="A261" s="16" t="s">
        <v>1178</v>
      </c>
      <c r="B261" s="4" t="s">
        <v>1468</v>
      </c>
      <c r="C261" s="16" t="s">
        <v>24</v>
      </c>
      <c r="D261" t="str">
        <f t="shared" si="181"/>
        <v>silicic - low-Mg carbonatitic</v>
      </c>
      <c r="E261" s="16">
        <v>0</v>
      </c>
      <c r="F261" s="16" t="s">
        <v>1394</v>
      </c>
      <c r="G261" s="16" t="s">
        <v>104</v>
      </c>
      <c r="H261" s="16" t="s">
        <v>595</v>
      </c>
      <c r="I261" s="27">
        <v>240</v>
      </c>
      <c r="J261" s="16">
        <v>0</v>
      </c>
      <c r="K261" s="16" t="s">
        <v>596</v>
      </c>
      <c r="L261" s="16">
        <v>0</v>
      </c>
      <c r="M261" s="16" t="s">
        <v>1473</v>
      </c>
      <c r="N261" s="16" t="s">
        <v>739</v>
      </c>
      <c r="O261" s="16">
        <v>92</v>
      </c>
      <c r="P261" s="16">
        <v>25.6</v>
      </c>
      <c r="Q261" s="16">
        <v>5.0999999999999996</v>
      </c>
      <c r="R261" s="16">
        <v>0</v>
      </c>
      <c r="S261" s="16">
        <v>2</v>
      </c>
      <c r="T261" s="16">
        <v>17.5</v>
      </c>
      <c r="U261" s="16">
        <v>10.8</v>
      </c>
      <c r="V261" s="16">
        <v>0</v>
      </c>
      <c r="W261" s="16">
        <v>16.3</v>
      </c>
      <c r="X261" s="16">
        <v>2.2000000000000002</v>
      </c>
      <c r="Y261" s="16">
        <v>15.4</v>
      </c>
      <c r="Z261" s="16">
        <v>0</v>
      </c>
      <c r="AA261" s="16">
        <v>1.4</v>
      </c>
      <c r="AB261" s="16">
        <v>0</v>
      </c>
      <c r="AC261" s="16">
        <v>0</v>
      </c>
      <c r="AD261" s="16">
        <v>0</v>
      </c>
      <c r="AE261" s="16">
        <v>1</v>
      </c>
      <c r="AF261" s="16">
        <v>0</v>
      </c>
      <c r="AG261" s="16">
        <v>0</v>
      </c>
      <c r="AH261" s="16">
        <v>0</v>
      </c>
      <c r="AI261" s="16">
        <v>0</v>
      </c>
      <c r="AJ261" s="16">
        <v>0</v>
      </c>
      <c r="AK261">
        <f t="shared" si="182"/>
        <v>97.300000000000011</v>
      </c>
      <c r="AL261" s="26">
        <f t="shared" si="183"/>
        <v>26.371544350438864</v>
      </c>
      <c r="AM261" s="26">
        <f t="shared" si="184"/>
        <v>5.2537061010639912</v>
      </c>
      <c r="AN261" s="26">
        <f t="shared" si="185"/>
        <v>2.0602769023780358</v>
      </c>
      <c r="AO261" s="26">
        <f t="shared" si="186"/>
        <v>18.027422895807817</v>
      </c>
      <c r="AP261" s="26">
        <f t="shared" si="187"/>
        <v>11.125495272841396</v>
      </c>
      <c r="AQ261" s="26">
        <f t="shared" si="188"/>
        <v>16.791256754380996</v>
      </c>
      <c r="AR261" s="26">
        <f t="shared" si="189"/>
        <v>0</v>
      </c>
      <c r="AS261" s="26">
        <f t="shared" si="190"/>
        <v>2.2663045926158398</v>
      </c>
      <c r="AT261" s="26">
        <f t="shared" si="191"/>
        <v>15.864132148310878</v>
      </c>
      <c r="AU261" s="26">
        <f t="shared" si="192"/>
        <v>1.4421938316646252</v>
      </c>
      <c r="AV261" s="26">
        <f t="shared" si="193"/>
        <v>1.0301384511890179</v>
      </c>
      <c r="AW261" s="26">
        <f t="shared" si="194"/>
        <v>100.23247130069146</v>
      </c>
      <c r="AX261" s="26"/>
      <c r="AY261" s="26"/>
      <c r="AZ261" s="16">
        <v>0</v>
      </c>
      <c r="BA261" s="16">
        <v>0</v>
      </c>
      <c r="BB261" s="16">
        <v>0</v>
      </c>
      <c r="BC261" s="16">
        <v>0</v>
      </c>
      <c r="BD261" s="16"/>
      <c r="BE261" s="16"/>
      <c r="BF261" s="16">
        <v>0</v>
      </c>
      <c r="BG261" s="16">
        <v>0</v>
      </c>
      <c r="BH261" s="16">
        <v>0</v>
      </c>
      <c r="BI261" s="16">
        <v>0</v>
      </c>
      <c r="BJ261" s="16">
        <v>0</v>
      </c>
      <c r="BK261" s="16">
        <v>10</v>
      </c>
      <c r="BL261" s="18">
        <v>0</v>
      </c>
      <c r="BM261" s="18">
        <v>0</v>
      </c>
      <c r="BN261" s="18">
        <v>0</v>
      </c>
      <c r="BO261" s="18">
        <v>5</v>
      </c>
      <c r="BP261" s="18">
        <v>0</v>
      </c>
      <c r="BQ261" s="18">
        <v>0</v>
      </c>
      <c r="BR261" s="18">
        <v>0</v>
      </c>
      <c r="BS261" s="18">
        <v>14.6</v>
      </c>
      <c r="BT261" s="18">
        <v>0</v>
      </c>
      <c r="BU261" s="18">
        <v>0</v>
      </c>
      <c r="BV261" s="18">
        <v>8.3000000000000004E-2</v>
      </c>
      <c r="BW261" s="18">
        <v>0</v>
      </c>
      <c r="BX261" s="18">
        <v>22.8</v>
      </c>
      <c r="BY261" s="18">
        <v>0.69499999999999995</v>
      </c>
      <c r="BZ261" s="18">
        <v>0</v>
      </c>
      <c r="CA261" s="18">
        <v>0.08</v>
      </c>
      <c r="CB261" s="18">
        <v>0.13400000000000001</v>
      </c>
      <c r="CC261" s="18">
        <v>0</v>
      </c>
      <c r="CD261" s="18">
        <v>7.3000000000000001E-3</v>
      </c>
      <c r="CE261" s="18">
        <v>0</v>
      </c>
      <c r="CF261" s="18">
        <v>3.0000000000000001E-3</v>
      </c>
      <c r="CG261" s="18">
        <v>0</v>
      </c>
      <c r="CH261" s="18">
        <v>2.93E-2</v>
      </c>
      <c r="CI261" s="18">
        <v>9.7000000000000003E-2</v>
      </c>
      <c r="CJ261" s="18">
        <v>1.65</v>
      </c>
      <c r="CK261" s="18">
        <v>0</v>
      </c>
      <c r="CL261" s="18" t="s">
        <v>598</v>
      </c>
      <c r="CM261" s="18">
        <v>5.9999999999999995E-4</v>
      </c>
      <c r="CN261" s="18">
        <v>0</v>
      </c>
      <c r="CO261" s="18">
        <v>0</v>
      </c>
      <c r="CP261" s="18">
        <v>0</v>
      </c>
      <c r="CQ261" s="18">
        <v>0</v>
      </c>
      <c r="CR261" s="18">
        <v>0</v>
      </c>
      <c r="CS261" s="18">
        <v>3.5000000000000001E-3</v>
      </c>
      <c r="CT261" s="18">
        <v>1.526</v>
      </c>
      <c r="CU261" s="18">
        <v>0</v>
      </c>
      <c r="CV261" s="18">
        <v>6.3E-2</v>
      </c>
      <c r="CW261" s="18">
        <v>0.13300000000000001</v>
      </c>
      <c r="CX261" s="18">
        <v>0</v>
      </c>
      <c r="CY261" s="18" t="s">
        <v>1331</v>
      </c>
      <c r="CZ261" s="18">
        <v>1.41E-2</v>
      </c>
      <c r="DA261" s="18">
        <v>6.6E-3</v>
      </c>
      <c r="DB261" s="18">
        <v>8.0000000000000002E-3</v>
      </c>
      <c r="DC261" s="18">
        <v>0</v>
      </c>
      <c r="DD261" s="18">
        <v>0</v>
      </c>
      <c r="DE261" s="18">
        <v>0</v>
      </c>
      <c r="DF261" s="18">
        <v>0</v>
      </c>
      <c r="DG261" s="18">
        <v>1.24E-3</v>
      </c>
      <c r="DH261" s="18">
        <v>3.3E-4</v>
      </c>
      <c r="DI261" s="18">
        <v>6.4000000000000003E-3</v>
      </c>
      <c r="DJ261" s="18">
        <v>8.9999999999999998E-4</v>
      </c>
      <c r="DK261" s="18">
        <v>0</v>
      </c>
      <c r="DL261" s="18">
        <v>0</v>
      </c>
      <c r="DM261" s="18">
        <v>1.4500000000000001E-2</v>
      </c>
      <c r="DN261" s="18">
        <v>1.4E-3</v>
      </c>
      <c r="DO261" s="18">
        <v>1.2999999999999999E-3</v>
      </c>
      <c r="DP261" s="18">
        <v>0</v>
      </c>
      <c r="DQ261" s="18">
        <v>6.9999999999999999E-6</v>
      </c>
      <c r="DR261" s="18">
        <v>0</v>
      </c>
      <c r="DS261" s="18">
        <v>4.6000000000000001E-4</v>
      </c>
      <c r="DT261" s="18">
        <v>0</v>
      </c>
      <c r="DU261" s="18">
        <v>0</v>
      </c>
      <c r="DV261" s="18">
        <v>0</v>
      </c>
      <c r="DW261" s="28">
        <v>0</v>
      </c>
      <c r="DX261" s="28">
        <v>0</v>
      </c>
      <c r="DY261" s="28">
        <v>0</v>
      </c>
      <c r="DZ261" s="28">
        <v>0</v>
      </c>
      <c r="EA261" s="28">
        <v>0</v>
      </c>
      <c r="EB261" s="28">
        <v>0</v>
      </c>
      <c r="EC261" s="28">
        <v>0</v>
      </c>
      <c r="ED261" s="28">
        <v>0</v>
      </c>
      <c r="EE261" s="28">
        <v>0</v>
      </c>
      <c r="EF261" s="28">
        <v>0</v>
      </c>
      <c r="EG261" s="28">
        <v>0</v>
      </c>
      <c r="EH261" s="28">
        <v>0</v>
      </c>
      <c r="EI261" s="28">
        <v>0</v>
      </c>
      <c r="EJ261" s="28">
        <v>0</v>
      </c>
      <c r="EK261" s="18">
        <v>0</v>
      </c>
      <c r="EL261" s="28"/>
      <c r="EM261" s="28"/>
      <c r="EN261" s="28"/>
      <c r="EO261" s="2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c r="GU261" s="28"/>
      <c r="GV261" s="28"/>
      <c r="GW261" s="28"/>
      <c r="GX261" s="28"/>
      <c r="GY261" s="28"/>
      <c r="GZ261" s="28"/>
      <c r="HA261" s="28"/>
      <c r="HB261" s="28"/>
      <c r="HC261" s="28"/>
      <c r="HD261" s="28"/>
      <c r="HE261" s="28"/>
      <c r="HF261" s="28"/>
      <c r="HG261" s="28"/>
      <c r="HH261" s="28"/>
      <c r="HI261" s="28"/>
      <c r="HJ261" s="28"/>
      <c r="HK261" s="28"/>
      <c r="HL261" s="28"/>
      <c r="HM261" s="28"/>
      <c r="HN261" s="28"/>
      <c r="HO261" s="28"/>
      <c r="HP261" s="28"/>
      <c r="HQ261" s="28"/>
      <c r="HR261" s="28"/>
      <c r="HS261" s="28"/>
      <c r="HT261" s="28"/>
      <c r="HU261" s="28"/>
      <c r="HV261" s="28"/>
    </row>
  </sheetData>
  <autoFilter ref="A1:EK261" xr:uid="{B04B1A8B-EB98-4317-9A4E-78B18D809F91}"/>
  <conditionalFormatting sqref="D3:D261">
    <cfRule type="containsText" dxfId="10" priority="6" operator="containsText" text="saline">
      <formula>NOT(ISERROR(SEARCH("saline",D3)))</formula>
    </cfRule>
    <cfRule type="containsText" dxfId="9" priority="7" operator="containsText" text="high-Mg">
      <formula>NOT(ISERROR(SEARCH("high-Mg",D3)))</formula>
    </cfRule>
    <cfRule type="containsText" dxfId="8" priority="8" operator="containsText" text="silicic - low-Mg">
      <formula>NOT(ISERROR(SEARCH("silicic - low-Mg",D3)))</formula>
    </cfRule>
    <cfRule type="containsText" dxfId="7" priority="9" operator="containsText" text="low-Mg">
      <formula>NOT(ISERROR(SEARCH("low-Mg",D3)))</formula>
    </cfRule>
    <cfRule type="containsText" dxfId="6" priority="10" operator="containsText" text="silicic">
      <formula>NOT(ISERROR(SEARCH("silicic",D3)))</formula>
    </cfRule>
  </conditionalFormatting>
  <conditionalFormatting sqref="U113:U147">
    <cfRule type="cellIs" dxfId="5" priority="72" operator="greaterThanOrEqual">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C4CA5-A406-46BD-884F-74A76FDDE2DC}">
  <sheetPr>
    <tabColor theme="6" tint="0.59999389629810485"/>
  </sheetPr>
  <dimension ref="A1:EG105"/>
  <sheetViews>
    <sheetView showZeros="0" zoomScaleNormal="100" workbookViewId="0">
      <pane xSplit="7" ySplit="2" topLeftCell="J44" activePane="bottomRight" state="frozen"/>
      <selection pane="topRight" activeCell="H1" sqref="H1"/>
      <selection pane="bottomLeft" activeCell="A3" sqref="A3"/>
      <selection pane="bottomRight" activeCell="CF9" sqref="CF9:CF17"/>
    </sheetView>
  </sheetViews>
  <sheetFormatPr baseColWidth="10" defaultColWidth="8.83203125" defaultRowHeight="15"/>
  <cols>
    <col min="1" max="1" width="35.5" bestFit="1" customWidth="1"/>
    <col min="5" max="5" width="20.6640625" bestFit="1" customWidth="1"/>
    <col min="6" max="6" width="15.6640625" customWidth="1"/>
    <col min="7" max="7" width="19.5" customWidth="1"/>
    <col min="8" max="8" width="20.6640625" bestFit="1" customWidth="1"/>
    <col min="9" max="9" width="17.1640625" bestFit="1" customWidth="1"/>
    <col min="10" max="10" width="18.83203125" bestFit="1" customWidth="1"/>
    <col min="11" max="11" width="27.83203125" bestFit="1" customWidth="1"/>
    <col min="12" max="12" width="13.6640625" customWidth="1"/>
    <col min="13" max="13" width="16.5" bestFit="1" customWidth="1"/>
  </cols>
  <sheetData>
    <row r="1" spans="1:137" s="75" customFormat="1" ht="16">
      <c r="A1" s="75" t="s">
        <v>1174</v>
      </c>
      <c r="B1" s="75" t="s">
        <v>0</v>
      </c>
      <c r="C1" s="75" t="s">
        <v>1278</v>
      </c>
      <c r="D1" s="75" t="s">
        <v>1184</v>
      </c>
      <c r="E1" s="75" t="s">
        <v>1</v>
      </c>
      <c r="F1" s="75" t="s">
        <v>2</v>
      </c>
      <c r="G1" s="75" t="s">
        <v>588</v>
      </c>
      <c r="H1" s="75" t="s">
        <v>1715</v>
      </c>
      <c r="I1" s="75" t="s">
        <v>1268</v>
      </c>
      <c r="J1" s="75" t="s">
        <v>1269</v>
      </c>
      <c r="K1" s="75" t="s">
        <v>586</v>
      </c>
      <c r="L1" s="75" t="s">
        <v>3</v>
      </c>
      <c r="M1" s="75" t="s">
        <v>4</v>
      </c>
      <c r="N1" s="75" t="s">
        <v>156</v>
      </c>
      <c r="O1" s="75" t="s">
        <v>5</v>
      </c>
      <c r="P1" s="75" t="s">
        <v>6</v>
      </c>
      <c r="Q1" s="75" t="s">
        <v>7</v>
      </c>
      <c r="R1" s="75" t="s">
        <v>8</v>
      </c>
      <c r="S1" s="75" t="s">
        <v>9</v>
      </c>
      <c r="T1" s="75" t="s">
        <v>10</v>
      </c>
      <c r="U1" s="75" t="s">
        <v>11</v>
      </c>
      <c r="V1" s="75" t="s">
        <v>12</v>
      </c>
      <c r="W1" s="75" t="s">
        <v>13</v>
      </c>
      <c r="X1" s="75" t="s">
        <v>14</v>
      </c>
      <c r="Y1" s="75" t="s">
        <v>15</v>
      </c>
      <c r="Z1" s="75" t="s">
        <v>16</v>
      </c>
      <c r="AA1" s="75" t="s">
        <v>17</v>
      </c>
      <c r="AB1" s="75" t="s">
        <v>18</v>
      </c>
      <c r="AC1" s="75" t="s">
        <v>19</v>
      </c>
      <c r="AD1" s="75" t="s">
        <v>20</v>
      </c>
      <c r="AE1" s="75" t="s">
        <v>164</v>
      </c>
      <c r="AF1" s="75" t="s">
        <v>157</v>
      </c>
      <c r="AG1" s="75" t="s">
        <v>651</v>
      </c>
      <c r="AH1" s="75" t="s">
        <v>652</v>
      </c>
      <c r="AI1" s="75" t="s">
        <v>22</v>
      </c>
      <c r="AJ1" s="75" t="s">
        <v>1341</v>
      </c>
      <c r="AK1" s="75" t="s">
        <v>1342</v>
      </c>
      <c r="AL1" s="75" t="s">
        <v>1460</v>
      </c>
      <c r="AM1" s="75" t="s">
        <v>1343</v>
      </c>
      <c r="AN1" s="75" t="s">
        <v>1344</v>
      </c>
      <c r="AO1" s="75" t="s">
        <v>1459</v>
      </c>
      <c r="AP1" s="75" t="s">
        <v>1345</v>
      </c>
      <c r="AQ1" s="75" t="s">
        <v>1346</v>
      </c>
      <c r="AR1" s="75" t="s">
        <v>1347</v>
      </c>
      <c r="AS1" s="75" t="s">
        <v>1348</v>
      </c>
      <c r="AT1" s="75" t="s">
        <v>1349</v>
      </c>
      <c r="AU1" s="75" t="s">
        <v>20</v>
      </c>
      <c r="AV1" s="75" t="s">
        <v>1350</v>
      </c>
      <c r="AW1" s="75" t="s">
        <v>767</v>
      </c>
      <c r="AX1" s="75" t="s">
        <v>159</v>
      </c>
      <c r="AY1" s="75" t="s">
        <v>158</v>
      </c>
      <c r="AZ1" s="75" t="s">
        <v>21</v>
      </c>
      <c r="BA1" s="75" t="s">
        <v>768</v>
      </c>
      <c r="BB1" s="75" t="s">
        <v>323</v>
      </c>
      <c r="BC1" s="75" t="s">
        <v>324</v>
      </c>
      <c r="BD1" s="75" t="s">
        <v>509</v>
      </c>
      <c r="BE1" s="75" t="s">
        <v>510</v>
      </c>
      <c r="BF1" s="75" t="s">
        <v>611</v>
      </c>
      <c r="BG1" s="75" t="s">
        <v>364</v>
      </c>
      <c r="BH1" s="75" t="s">
        <v>253</v>
      </c>
      <c r="BI1" s="75" t="s">
        <v>164</v>
      </c>
      <c r="BJ1" s="75" t="s">
        <v>20</v>
      </c>
      <c r="BK1" s="75" t="s">
        <v>597</v>
      </c>
      <c r="BL1" s="75" t="s">
        <v>636</v>
      </c>
      <c r="BM1" s="75" t="s">
        <v>637</v>
      </c>
      <c r="BN1" s="75" t="s">
        <v>638</v>
      </c>
      <c r="BO1" s="75" t="s">
        <v>179</v>
      </c>
      <c r="BP1" s="75" t="s">
        <v>254</v>
      </c>
      <c r="BQ1" s="75" t="s">
        <v>255</v>
      </c>
      <c r="BR1" s="75" t="s">
        <v>256</v>
      </c>
      <c r="BS1" s="75" t="s">
        <v>257</v>
      </c>
      <c r="BT1" s="75" t="s">
        <v>258</v>
      </c>
      <c r="BU1" s="75" t="s">
        <v>270</v>
      </c>
      <c r="BV1" s="75" t="s">
        <v>271</v>
      </c>
      <c r="BW1" s="75" t="s">
        <v>275</v>
      </c>
      <c r="BX1" s="75" t="s">
        <v>494</v>
      </c>
      <c r="BY1" s="75" t="s">
        <v>181</v>
      </c>
      <c r="BZ1" s="75" t="s">
        <v>601</v>
      </c>
      <c r="CA1" s="75" t="s">
        <v>1019</v>
      </c>
      <c r="CB1" s="75" t="s">
        <v>602</v>
      </c>
      <c r="CC1" s="75" t="s">
        <v>981</v>
      </c>
      <c r="CD1" s="75" t="s">
        <v>603</v>
      </c>
      <c r="CE1" s="75" t="s">
        <v>182</v>
      </c>
      <c r="CF1" s="75" t="s">
        <v>184</v>
      </c>
      <c r="CG1" s="75" t="s">
        <v>23</v>
      </c>
      <c r="CH1" s="75" t="s">
        <v>185</v>
      </c>
      <c r="CI1" s="75" t="s">
        <v>604</v>
      </c>
      <c r="CJ1" s="75" t="s">
        <v>186</v>
      </c>
      <c r="CK1" s="75" t="s">
        <v>989</v>
      </c>
      <c r="CL1" s="75" t="s">
        <v>990</v>
      </c>
      <c r="CM1" s="75" t="s">
        <v>991</v>
      </c>
      <c r="CN1" s="75" t="s">
        <v>992</v>
      </c>
      <c r="CO1" s="75" t="s">
        <v>187</v>
      </c>
      <c r="CP1" s="75" t="s">
        <v>188</v>
      </c>
      <c r="CQ1" s="75" t="s">
        <v>493</v>
      </c>
      <c r="CR1" s="75" t="s">
        <v>189</v>
      </c>
      <c r="CS1" s="75" t="s">
        <v>190</v>
      </c>
      <c r="CT1" s="75" t="s">
        <v>191</v>
      </c>
      <c r="CU1" s="75" t="s">
        <v>192</v>
      </c>
      <c r="CV1" s="75" t="s">
        <v>193</v>
      </c>
      <c r="CW1" s="75" t="s">
        <v>194</v>
      </c>
      <c r="CX1" s="75" t="s">
        <v>195</v>
      </c>
      <c r="CY1" s="75" t="s">
        <v>196</v>
      </c>
      <c r="CZ1" s="75" t="s">
        <v>197</v>
      </c>
      <c r="DA1" s="75" t="s">
        <v>198</v>
      </c>
      <c r="DB1" s="75" t="s">
        <v>492</v>
      </c>
      <c r="DC1" s="75" t="s">
        <v>199</v>
      </c>
      <c r="DD1" s="75" t="s">
        <v>200</v>
      </c>
      <c r="DE1" s="75" t="s">
        <v>201</v>
      </c>
      <c r="DF1" s="75" t="s">
        <v>202</v>
      </c>
      <c r="DG1" s="75" t="s">
        <v>203</v>
      </c>
      <c r="DH1" s="75" t="s">
        <v>204</v>
      </c>
      <c r="DI1" s="75" t="s">
        <v>205</v>
      </c>
      <c r="DJ1" s="75" t="s">
        <v>206</v>
      </c>
      <c r="DK1" s="75" t="s">
        <v>424</v>
      </c>
      <c r="DL1" s="75" t="s">
        <v>1010</v>
      </c>
      <c r="DM1" s="75" t="s">
        <v>599</v>
      </c>
      <c r="DN1" s="75" t="s">
        <v>985</v>
      </c>
      <c r="DO1" s="75" t="s">
        <v>600</v>
      </c>
      <c r="DP1" s="75" t="s">
        <v>1062</v>
      </c>
      <c r="DQ1" s="75" t="s">
        <v>1185</v>
      </c>
      <c r="DR1" s="75" t="s">
        <v>1195</v>
      </c>
      <c r="DS1" s="75" t="s">
        <v>1186</v>
      </c>
      <c r="DT1" s="75" t="s">
        <v>1195</v>
      </c>
      <c r="DU1" s="75" t="s">
        <v>1190</v>
      </c>
      <c r="DV1" s="75" t="s">
        <v>1195</v>
      </c>
      <c r="DW1" s="75" t="s">
        <v>1196</v>
      </c>
      <c r="DX1" s="75" t="s">
        <v>1197</v>
      </c>
      <c r="DY1" s="75" t="s">
        <v>1195</v>
      </c>
      <c r="DZ1" s="75" t="s">
        <v>1198</v>
      </c>
      <c r="EA1" s="75" t="s">
        <v>1199</v>
      </c>
      <c r="EB1" s="75" t="s">
        <v>1200</v>
      </c>
      <c r="EC1" s="75" t="s">
        <v>1201</v>
      </c>
      <c r="ED1" s="75" t="s">
        <v>1202</v>
      </c>
      <c r="EE1" s="75" t="s">
        <v>1201</v>
      </c>
      <c r="EF1" s="75" t="s">
        <v>1203</v>
      </c>
      <c r="EG1" s="75" t="s">
        <v>1201</v>
      </c>
    </row>
    <row r="2" spans="1:137">
      <c r="A2" t="s">
        <v>433</v>
      </c>
      <c r="B2" t="s">
        <v>587</v>
      </c>
      <c r="D2">
        <v>0</v>
      </c>
      <c r="E2" t="s">
        <v>1394</v>
      </c>
      <c r="F2" t="s">
        <v>1728</v>
      </c>
      <c r="G2" t="s">
        <v>595</v>
      </c>
      <c r="H2">
        <v>84</v>
      </c>
      <c r="I2">
        <v>0</v>
      </c>
      <c r="J2" t="s">
        <v>1139</v>
      </c>
      <c r="K2" t="s">
        <v>1141</v>
      </c>
      <c r="L2" t="s">
        <v>423</v>
      </c>
      <c r="M2" t="s">
        <v>428</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s="26"/>
      <c r="AK2" s="26"/>
      <c r="AL2" s="26"/>
      <c r="AM2" s="26"/>
      <c r="AN2" s="26"/>
      <c r="AO2" s="26"/>
      <c r="AP2" s="26"/>
      <c r="AQ2" s="26"/>
      <c r="AR2" s="26"/>
      <c r="AS2" s="26"/>
      <c r="AT2" s="26"/>
      <c r="AU2" s="26"/>
      <c r="AV2" s="26"/>
      <c r="AW2">
        <v>0</v>
      </c>
      <c r="AX2">
        <v>0</v>
      </c>
      <c r="AY2">
        <v>0</v>
      </c>
      <c r="AZ2">
        <v>0</v>
      </c>
      <c r="BA2">
        <v>0</v>
      </c>
      <c r="BB2">
        <v>0</v>
      </c>
      <c r="BC2">
        <v>0</v>
      </c>
      <c r="BD2">
        <v>0</v>
      </c>
      <c r="BE2">
        <v>0</v>
      </c>
      <c r="BF2">
        <v>0</v>
      </c>
      <c r="BG2">
        <v>0.13</v>
      </c>
      <c r="BH2">
        <v>0</v>
      </c>
      <c r="BI2">
        <v>0</v>
      </c>
      <c r="BJ2">
        <v>0</v>
      </c>
      <c r="BK2">
        <v>0</v>
      </c>
      <c r="BL2">
        <v>0</v>
      </c>
      <c r="BM2">
        <v>0</v>
      </c>
      <c r="BN2">
        <v>0</v>
      </c>
      <c r="BO2">
        <v>0</v>
      </c>
      <c r="BP2">
        <v>0</v>
      </c>
      <c r="BQ2">
        <v>6.04</v>
      </c>
      <c r="BR2">
        <v>0</v>
      </c>
      <c r="BS2">
        <v>0</v>
      </c>
      <c r="BT2">
        <v>0</v>
      </c>
      <c r="BU2">
        <v>0</v>
      </c>
      <c r="BV2">
        <v>0</v>
      </c>
      <c r="BW2">
        <v>0</v>
      </c>
      <c r="BX2">
        <v>0</v>
      </c>
      <c r="BY2">
        <v>0</v>
      </c>
      <c r="BZ2">
        <v>0</v>
      </c>
      <c r="CA2">
        <v>0</v>
      </c>
      <c r="CB2">
        <v>0</v>
      </c>
      <c r="CC2">
        <v>0</v>
      </c>
      <c r="CD2">
        <v>0</v>
      </c>
      <c r="CE2">
        <v>0</v>
      </c>
      <c r="CF2">
        <v>0</v>
      </c>
      <c r="CG2">
        <v>0</v>
      </c>
      <c r="CH2">
        <v>85.1</v>
      </c>
      <c r="CI2">
        <v>0</v>
      </c>
      <c r="CJ2">
        <v>0</v>
      </c>
      <c r="CK2">
        <v>0</v>
      </c>
      <c r="CL2">
        <v>0</v>
      </c>
      <c r="CM2">
        <v>0</v>
      </c>
      <c r="CN2">
        <v>0</v>
      </c>
      <c r="CO2">
        <v>0</v>
      </c>
      <c r="CP2">
        <v>0</v>
      </c>
      <c r="CQ2">
        <v>0</v>
      </c>
      <c r="CR2">
        <v>4.67</v>
      </c>
      <c r="CS2">
        <v>34.5</v>
      </c>
      <c r="CT2">
        <v>0</v>
      </c>
      <c r="CU2">
        <v>0</v>
      </c>
      <c r="CV2">
        <v>0</v>
      </c>
      <c r="CW2">
        <v>0</v>
      </c>
      <c r="CX2">
        <v>0</v>
      </c>
      <c r="CY2">
        <v>0</v>
      </c>
      <c r="CZ2">
        <v>0</v>
      </c>
      <c r="DA2">
        <v>0</v>
      </c>
      <c r="DB2">
        <v>0</v>
      </c>
      <c r="DC2">
        <v>0</v>
      </c>
      <c r="DD2">
        <v>0</v>
      </c>
      <c r="DE2">
        <v>1.92</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row>
    <row r="3" spans="1:137">
      <c r="A3" t="s">
        <v>433</v>
      </c>
      <c r="B3" t="s">
        <v>587</v>
      </c>
      <c r="D3">
        <v>0</v>
      </c>
      <c r="E3" t="s">
        <v>1394</v>
      </c>
      <c r="F3" t="s">
        <v>1728</v>
      </c>
      <c r="G3" t="s">
        <v>595</v>
      </c>
      <c r="H3">
        <v>84</v>
      </c>
      <c r="I3">
        <v>0</v>
      </c>
      <c r="J3" t="s">
        <v>1139</v>
      </c>
      <c r="K3" t="s">
        <v>1141</v>
      </c>
      <c r="L3" t="s">
        <v>423</v>
      </c>
      <c r="M3" t="s">
        <v>431</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s="26"/>
      <c r="AK3" s="26"/>
      <c r="AL3" s="26"/>
      <c r="AM3" s="26"/>
      <c r="AN3" s="26"/>
      <c r="AO3" s="26"/>
      <c r="AP3" s="26"/>
      <c r="AQ3" s="26"/>
      <c r="AR3" s="26"/>
      <c r="AS3" s="26"/>
      <c r="AT3" s="26"/>
      <c r="AU3" s="26"/>
      <c r="AV3" s="26"/>
      <c r="AW3">
        <v>0</v>
      </c>
      <c r="AX3">
        <v>0</v>
      </c>
      <c r="AY3">
        <v>0</v>
      </c>
      <c r="AZ3">
        <v>0</v>
      </c>
      <c r="BA3">
        <v>0</v>
      </c>
      <c r="BB3">
        <v>0</v>
      </c>
      <c r="BC3">
        <v>0</v>
      </c>
      <c r="BD3">
        <v>0</v>
      </c>
      <c r="BE3">
        <v>0</v>
      </c>
      <c r="BF3">
        <v>0</v>
      </c>
      <c r="BG3">
        <v>0.12</v>
      </c>
      <c r="BH3">
        <v>0</v>
      </c>
      <c r="BI3">
        <v>0</v>
      </c>
      <c r="BJ3">
        <v>0</v>
      </c>
      <c r="BK3">
        <v>0</v>
      </c>
      <c r="BL3">
        <v>0</v>
      </c>
      <c r="BM3">
        <v>0</v>
      </c>
      <c r="BN3">
        <v>0</v>
      </c>
      <c r="BO3">
        <v>0</v>
      </c>
      <c r="BP3">
        <v>0</v>
      </c>
      <c r="BQ3">
        <v>1.17</v>
      </c>
      <c r="BR3">
        <v>0</v>
      </c>
      <c r="BS3">
        <v>0</v>
      </c>
      <c r="BT3">
        <v>0</v>
      </c>
      <c r="BU3">
        <v>0</v>
      </c>
      <c r="BV3">
        <v>0</v>
      </c>
      <c r="BW3">
        <v>0</v>
      </c>
      <c r="BX3">
        <v>0</v>
      </c>
      <c r="BY3">
        <v>0</v>
      </c>
      <c r="BZ3">
        <v>0</v>
      </c>
      <c r="CA3">
        <v>0</v>
      </c>
      <c r="CB3">
        <v>0</v>
      </c>
      <c r="CC3">
        <v>0</v>
      </c>
      <c r="CD3">
        <v>0</v>
      </c>
      <c r="CE3">
        <v>0</v>
      </c>
      <c r="CF3">
        <v>46</v>
      </c>
      <c r="CG3">
        <v>0</v>
      </c>
      <c r="CH3">
        <v>0</v>
      </c>
      <c r="CI3">
        <v>0</v>
      </c>
      <c r="CJ3">
        <v>0</v>
      </c>
      <c r="CK3">
        <v>0</v>
      </c>
      <c r="CL3">
        <v>0</v>
      </c>
      <c r="CM3">
        <v>0</v>
      </c>
      <c r="CN3">
        <v>0</v>
      </c>
      <c r="CO3">
        <v>0</v>
      </c>
      <c r="CP3">
        <v>0</v>
      </c>
      <c r="CQ3">
        <v>0</v>
      </c>
      <c r="CR3">
        <v>81.5</v>
      </c>
      <c r="CS3">
        <v>0</v>
      </c>
      <c r="CT3">
        <v>0</v>
      </c>
      <c r="CU3">
        <v>0</v>
      </c>
      <c r="CV3">
        <v>0</v>
      </c>
      <c r="CW3">
        <v>0.33</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row>
    <row r="4" spans="1:137">
      <c r="A4" t="s">
        <v>433</v>
      </c>
      <c r="B4" t="s">
        <v>587</v>
      </c>
      <c r="D4">
        <v>0</v>
      </c>
      <c r="E4" t="s">
        <v>1394</v>
      </c>
      <c r="F4" t="s">
        <v>1728</v>
      </c>
      <c r="G4" t="s">
        <v>595</v>
      </c>
      <c r="H4">
        <v>84</v>
      </c>
      <c r="I4">
        <v>0</v>
      </c>
      <c r="J4" t="s">
        <v>1139</v>
      </c>
      <c r="K4" t="s">
        <v>1141</v>
      </c>
      <c r="L4" t="s">
        <v>423</v>
      </c>
      <c r="M4" t="s">
        <v>429</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s="26"/>
      <c r="AK4" s="26"/>
      <c r="AL4" s="26"/>
      <c r="AM4" s="26"/>
      <c r="AN4" s="26"/>
      <c r="AO4" s="26"/>
      <c r="AP4" s="26"/>
      <c r="AQ4" s="26"/>
      <c r="AR4" s="26"/>
      <c r="AS4" s="26"/>
      <c r="AT4" s="26"/>
      <c r="AU4" s="26"/>
      <c r="AV4" s="26"/>
      <c r="AW4">
        <v>0</v>
      </c>
      <c r="AX4">
        <v>0</v>
      </c>
      <c r="AY4">
        <v>0</v>
      </c>
      <c r="AZ4">
        <v>0</v>
      </c>
      <c r="BA4">
        <v>0</v>
      </c>
      <c r="BB4">
        <v>0</v>
      </c>
      <c r="BC4">
        <v>0</v>
      </c>
      <c r="BD4">
        <v>0</v>
      </c>
      <c r="BE4">
        <v>0</v>
      </c>
      <c r="BF4">
        <v>0</v>
      </c>
      <c r="BG4">
        <v>0.28000000000000003</v>
      </c>
      <c r="BH4">
        <v>0</v>
      </c>
      <c r="BI4">
        <v>0</v>
      </c>
      <c r="BJ4">
        <v>0</v>
      </c>
      <c r="BK4">
        <v>0</v>
      </c>
      <c r="BL4">
        <v>0</v>
      </c>
      <c r="BM4">
        <v>0</v>
      </c>
      <c r="BN4">
        <v>0</v>
      </c>
      <c r="BO4">
        <v>0</v>
      </c>
      <c r="BP4">
        <v>0</v>
      </c>
      <c r="BQ4">
        <v>5.4</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14.9</v>
      </c>
      <c r="CT4">
        <v>0</v>
      </c>
      <c r="CU4">
        <v>0</v>
      </c>
      <c r="CV4">
        <v>0</v>
      </c>
      <c r="CW4">
        <v>1.01</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row>
    <row r="5" spans="1:137">
      <c r="A5" t="s">
        <v>433</v>
      </c>
      <c r="B5" t="s">
        <v>587</v>
      </c>
      <c r="D5">
        <v>0</v>
      </c>
      <c r="E5" t="s">
        <v>1394</v>
      </c>
      <c r="F5" t="s">
        <v>1728</v>
      </c>
      <c r="G5" t="s">
        <v>595</v>
      </c>
      <c r="H5">
        <v>84</v>
      </c>
      <c r="I5">
        <v>0</v>
      </c>
      <c r="J5" t="s">
        <v>1139</v>
      </c>
      <c r="K5" t="s">
        <v>1141</v>
      </c>
      <c r="L5" t="s">
        <v>423</v>
      </c>
      <c r="M5" t="s">
        <v>430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s="26"/>
      <c r="AK5" s="26"/>
      <c r="AL5" s="26"/>
      <c r="AM5" s="26"/>
      <c r="AN5" s="26"/>
      <c r="AO5" s="26"/>
      <c r="AP5" s="26"/>
      <c r="AQ5" s="26"/>
      <c r="AR5" s="26"/>
      <c r="AS5" s="26"/>
      <c r="AT5" s="26"/>
      <c r="AU5" s="26"/>
      <c r="AV5" s="26"/>
      <c r="AW5">
        <v>0</v>
      </c>
      <c r="AX5">
        <v>0</v>
      </c>
      <c r="AY5">
        <v>0</v>
      </c>
      <c r="AZ5">
        <v>0</v>
      </c>
      <c r="BA5">
        <v>0</v>
      </c>
      <c r="BB5">
        <v>0</v>
      </c>
      <c r="BC5">
        <v>0</v>
      </c>
      <c r="BD5">
        <v>0</v>
      </c>
      <c r="BE5">
        <v>0</v>
      </c>
      <c r="BF5">
        <v>0</v>
      </c>
      <c r="BG5">
        <v>0.12</v>
      </c>
      <c r="BH5">
        <v>0</v>
      </c>
      <c r="BI5">
        <v>0</v>
      </c>
      <c r="BJ5">
        <v>0</v>
      </c>
      <c r="BK5">
        <v>0</v>
      </c>
      <c r="BL5">
        <v>0</v>
      </c>
      <c r="BM5">
        <v>0</v>
      </c>
      <c r="BN5">
        <v>0</v>
      </c>
      <c r="BO5">
        <v>0</v>
      </c>
      <c r="BP5">
        <v>0</v>
      </c>
      <c r="BQ5">
        <v>7.2</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row>
    <row r="6" spans="1:137">
      <c r="A6" t="s">
        <v>433</v>
      </c>
      <c r="B6" t="s">
        <v>587</v>
      </c>
      <c r="D6">
        <v>0</v>
      </c>
      <c r="E6" t="s">
        <v>1394</v>
      </c>
      <c r="F6" t="s">
        <v>1728</v>
      </c>
      <c r="G6" t="s">
        <v>595</v>
      </c>
      <c r="H6">
        <v>84</v>
      </c>
      <c r="I6">
        <v>0</v>
      </c>
      <c r="J6" t="s">
        <v>1139</v>
      </c>
      <c r="K6" t="s">
        <v>1141</v>
      </c>
      <c r="L6" t="s">
        <v>423</v>
      </c>
      <c r="M6" t="s">
        <v>432</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s="26"/>
      <c r="AK6" s="26"/>
      <c r="AL6" s="26"/>
      <c r="AM6" s="26"/>
      <c r="AN6" s="26"/>
      <c r="AO6" s="26"/>
      <c r="AP6" s="26"/>
      <c r="AQ6" s="26"/>
      <c r="AR6" s="26"/>
      <c r="AS6" s="26"/>
      <c r="AT6" s="26"/>
      <c r="AU6" s="26"/>
      <c r="AV6" s="26"/>
      <c r="AW6">
        <v>0</v>
      </c>
      <c r="AX6">
        <v>0</v>
      </c>
      <c r="AY6">
        <v>0</v>
      </c>
      <c r="AZ6">
        <v>0</v>
      </c>
      <c r="BA6">
        <v>0</v>
      </c>
      <c r="BB6">
        <v>0</v>
      </c>
      <c r="BC6">
        <v>0</v>
      </c>
      <c r="BD6">
        <v>0</v>
      </c>
      <c r="BE6">
        <v>0</v>
      </c>
      <c r="BF6">
        <v>0</v>
      </c>
      <c r="BG6">
        <v>0.12</v>
      </c>
      <c r="BH6">
        <v>0</v>
      </c>
      <c r="BI6">
        <v>0</v>
      </c>
      <c r="BJ6">
        <v>0</v>
      </c>
      <c r="BK6">
        <v>0</v>
      </c>
      <c r="BL6">
        <v>0</v>
      </c>
      <c r="BM6">
        <v>0</v>
      </c>
      <c r="BN6">
        <v>0</v>
      </c>
      <c r="BO6">
        <v>0</v>
      </c>
      <c r="BP6">
        <v>0</v>
      </c>
      <c r="BQ6">
        <v>6</v>
      </c>
      <c r="BR6">
        <v>0</v>
      </c>
      <c r="BS6">
        <v>0</v>
      </c>
      <c r="BT6">
        <v>0</v>
      </c>
      <c r="BU6">
        <v>0</v>
      </c>
      <c r="BV6">
        <v>0</v>
      </c>
      <c r="BW6">
        <v>0</v>
      </c>
      <c r="BX6">
        <v>0</v>
      </c>
      <c r="BY6">
        <v>0</v>
      </c>
      <c r="BZ6">
        <v>0</v>
      </c>
      <c r="CA6">
        <v>0</v>
      </c>
      <c r="CB6">
        <v>0</v>
      </c>
      <c r="CC6">
        <v>0</v>
      </c>
      <c r="CD6">
        <v>0</v>
      </c>
      <c r="CE6">
        <v>216</v>
      </c>
      <c r="CF6">
        <v>9315</v>
      </c>
      <c r="CG6">
        <v>307</v>
      </c>
      <c r="CH6">
        <v>150</v>
      </c>
      <c r="CI6">
        <v>0</v>
      </c>
      <c r="CJ6">
        <v>4.4000000000000004</v>
      </c>
      <c r="CK6">
        <v>0</v>
      </c>
      <c r="CL6">
        <v>0</v>
      </c>
      <c r="CM6">
        <v>0</v>
      </c>
      <c r="CN6">
        <v>0</v>
      </c>
      <c r="CO6">
        <v>25.5</v>
      </c>
      <c r="CP6">
        <v>5998</v>
      </c>
      <c r="CQ6">
        <v>0</v>
      </c>
      <c r="CR6">
        <v>85.4</v>
      </c>
      <c r="CS6">
        <v>102</v>
      </c>
      <c r="CT6">
        <v>17.100000000000001</v>
      </c>
      <c r="CU6">
        <v>0</v>
      </c>
      <c r="CV6">
        <v>17.600000000000001</v>
      </c>
      <c r="CW6">
        <v>2.9</v>
      </c>
      <c r="CX6">
        <v>22.5</v>
      </c>
      <c r="CY6">
        <v>19.3</v>
      </c>
      <c r="CZ6">
        <v>0</v>
      </c>
      <c r="DA6">
        <v>12.4</v>
      </c>
      <c r="DB6">
        <v>0</v>
      </c>
      <c r="DC6">
        <v>10.4</v>
      </c>
      <c r="DD6">
        <v>1.5</v>
      </c>
      <c r="DE6">
        <v>3</v>
      </c>
      <c r="DF6">
        <v>0</v>
      </c>
      <c r="DG6">
        <v>0</v>
      </c>
      <c r="DH6">
        <v>762</v>
      </c>
      <c r="DI6">
        <v>12.4</v>
      </c>
      <c r="DJ6">
        <v>29</v>
      </c>
      <c r="DK6">
        <v>3.6</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row>
    <row r="7" spans="1:137">
      <c r="A7" t="s">
        <v>1163</v>
      </c>
      <c r="B7" t="s">
        <v>24</v>
      </c>
      <c r="C7" t="str">
        <f t="shared" ref="C7:C24" si="0">_xlfn.IFS(AND(AU7&gt;=15),"saline",AND(AK7&gt;=40,AU7&lt;=15),"silicic",AND(AK7&lt;=40,AK7&gt;=20,AO7&lt;=15,AU7&lt;=15),"silicic - low-Mg carbonatitic",AND(AO7&lt;15,AP7&gt;=15,AK7&lt;=20,AU7&lt;=15),"low-Mg carbonatitic",AND(AO7&gt;=15,AK7&lt;=20),"high-Mg carbonatitic")</f>
        <v>low-Mg carbonatitic</v>
      </c>
      <c r="D7" t="s">
        <v>71</v>
      </c>
      <c r="E7" t="s">
        <v>1394</v>
      </c>
      <c r="F7" t="s">
        <v>97</v>
      </c>
      <c r="G7" t="s">
        <v>595</v>
      </c>
      <c r="H7">
        <v>118</v>
      </c>
      <c r="I7" t="s">
        <v>735</v>
      </c>
      <c r="J7" t="s">
        <v>635</v>
      </c>
      <c r="K7" t="s">
        <v>902</v>
      </c>
      <c r="L7" t="s">
        <v>901</v>
      </c>
      <c r="M7" t="s">
        <v>98</v>
      </c>
      <c r="N7">
        <v>55</v>
      </c>
      <c r="O7">
        <v>8.6999999999999993</v>
      </c>
      <c r="P7">
        <v>2.2000000000000002</v>
      </c>
      <c r="Q7">
        <v>0</v>
      </c>
      <c r="R7">
        <v>2.6</v>
      </c>
      <c r="S7">
        <v>9.8000000000000007</v>
      </c>
      <c r="T7">
        <v>11.1</v>
      </c>
      <c r="U7">
        <v>0</v>
      </c>
      <c r="V7">
        <v>28.1</v>
      </c>
      <c r="W7">
        <v>16.399999999999999</v>
      </c>
      <c r="X7">
        <v>12.5</v>
      </c>
      <c r="Y7">
        <v>0</v>
      </c>
      <c r="Z7">
        <v>3.2</v>
      </c>
      <c r="AA7">
        <v>0</v>
      </c>
      <c r="AB7">
        <v>2</v>
      </c>
      <c r="AC7">
        <v>0</v>
      </c>
      <c r="AD7">
        <v>4.4000000000000004</v>
      </c>
      <c r="AE7">
        <v>0</v>
      </c>
      <c r="AF7">
        <v>0</v>
      </c>
      <c r="AG7">
        <v>0</v>
      </c>
      <c r="AH7">
        <v>0</v>
      </c>
      <c r="AI7">
        <v>20.100000000000001</v>
      </c>
      <c r="AJ7" s="26">
        <f t="shared" ref="AJ7:AJ60" si="1">IFERROR(SUM(O7:P7,R7:T7,V7:X7,Z7,AB7,AD7),)</f>
        <v>101.00000000000001</v>
      </c>
      <c r="AK7" s="26">
        <f t="shared" ref="AK7:AK24" si="2">100*(O7/($AJ7-$AD7*8/35.45))</f>
        <v>8.6993865030674833</v>
      </c>
      <c r="AL7" s="26">
        <f t="shared" ref="AL7:AL24" si="3">100*(P7/($AJ7-$AD7*8/35.45))</f>
        <v>2.199844862844651</v>
      </c>
      <c r="AM7" s="26">
        <f t="shared" ref="AM7:AM24" si="4">100*(R7/($AJ7-$AD7*8/35.45))</f>
        <v>2.5998166560891329</v>
      </c>
      <c r="AN7" s="26">
        <f t="shared" ref="AN7:AN24" si="5">100*(S7/($AJ7-$AD7*8/35.45))</f>
        <v>9.7993089344898099</v>
      </c>
      <c r="AO7" s="26">
        <f t="shared" ref="AO7:AO24" si="6">100*(T7/($AJ7-$AD7*8/35.45))</f>
        <v>11.099217262534374</v>
      </c>
      <c r="AP7" s="26">
        <f t="shared" ref="AP7:AP24" si="7">100*(V7/($AJ7-$AD7*8/35.45))</f>
        <v>28.098018475424862</v>
      </c>
      <c r="AQ7" s="26">
        <f t="shared" ref="AQ7:AQ24" si="8">100*(AB7/($AJ7-$AD7*8/35.45))</f>
        <v>1.99985896622241</v>
      </c>
      <c r="AR7" s="26">
        <f t="shared" ref="AR7:AR24" si="9">100*(W7/($AJ7-$AD7*8/35.45))</f>
        <v>16.398843523023761</v>
      </c>
      <c r="AS7" s="26">
        <f t="shared" ref="AS7:AS24" si="10">100*(X7/($AJ7-$AD7*8/35.45))</f>
        <v>12.499118538890063</v>
      </c>
      <c r="AT7" s="26">
        <f t="shared" ref="AT7:AT24" si="11">100*(Z7/($AJ7-$AD7*8/35.45))</f>
        <v>3.1997743459558561</v>
      </c>
      <c r="AU7" s="26">
        <f t="shared" ref="AU7:AU24" si="12">100*(AD7/($AJ7-$AD7*8/35.45))</f>
        <v>4.3996897256893019</v>
      </c>
      <c r="AV7" s="26">
        <f t="shared" ref="AV7:AV24" si="13">SUM(AK7:AU7)</f>
        <v>100.99287779423169</v>
      </c>
      <c r="AW7">
        <v>0</v>
      </c>
      <c r="AX7">
        <v>0</v>
      </c>
      <c r="AY7">
        <v>0</v>
      </c>
      <c r="AZ7">
        <v>0</v>
      </c>
      <c r="BA7">
        <v>0</v>
      </c>
      <c r="BB7">
        <v>0</v>
      </c>
      <c r="BC7">
        <v>0</v>
      </c>
      <c r="BD7">
        <v>1163</v>
      </c>
      <c r="BE7">
        <v>17.5</v>
      </c>
      <c r="BF7">
        <v>0</v>
      </c>
      <c r="BG7">
        <v>0</v>
      </c>
      <c r="BH7">
        <v>0</v>
      </c>
      <c r="BI7">
        <v>0</v>
      </c>
      <c r="BJ7">
        <v>0</v>
      </c>
      <c r="BK7">
        <v>0</v>
      </c>
      <c r="BL7">
        <v>0</v>
      </c>
      <c r="BM7">
        <v>0</v>
      </c>
      <c r="BN7">
        <v>0</v>
      </c>
      <c r="BO7">
        <v>13.3</v>
      </c>
      <c r="BP7">
        <v>0</v>
      </c>
      <c r="BQ7">
        <v>1.47</v>
      </c>
      <c r="BR7">
        <v>0</v>
      </c>
      <c r="BS7">
        <v>0</v>
      </c>
      <c r="BT7">
        <v>0</v>
      </c>
      <c r="BU7">
        <v>0</v>
      </c>
      <c r="BV7">
        <v>0</v>
      </c>
      <c r="BW7">
        <v>0</v>
      </c>
      <c r="BX7">
        <v>0</v>
      </c>
      <c r="BY7">
        <v>0</v>
      </c>
      <c r="BZ7">
        <v>0</v>
      </c>
      <c r="CA7">
        <v>0</v>
      </c>
      <c r="CB7">
        <v>0</v>
      </c>
      <c r="CC7">
        <v>0</v>
      </c>
      <c r="CD7">
        <v>0</v>
      </c>
      <c r="CE7">
        <v>0.03</v>
      </c>
      <c r="CF7">
        <v>0.28699999999999998</v>
      </c>
      <c r="CG7">
        <v>8.0000000000000002E-3</v>
      </c>
      <c r="CH7">
        <v>1.3999999999999999E-2</v>
      </c>
      <c r="CI7">
        <v>0</v>
      </c>
      <c r="CJ7">
        <v>0.14449999999999999</v>
      </c>
      <c r="CK7">
        <v>0</v>
      </c>
      <c r="CL7">
        <v>0</v>
      </c>
      <c r="CM7">
        <v>0</v>
      </c>
      <c r="CN7">
        <v>0</v>
      </c>
      <c r="CO7">
        <v>2.5000000000000001E-3</v>
      </c>
      <c r="CP7">
        <v>2.5950000000000002</v>
      </c>
      <c r="CQ7">
        <v>0</v>
      </c>
      <c r="CR7">
        <v>0.122</v>
      </c>
      <c r="CS7">
        <v>9.9500000000000005E-2</v>
      </c>
      <c r="CT7">
        <v>1.0499999999999999E-2</v>
      </c>
      <c r="CU7">
        <v>2.9000000000000001E-2</v>
      </c>
      <c r="CV7">
        <v>0</v>
      </c>
      <c r="CW7">
        <v>0</v>
      </c>
      <c r="CX7">
        <v>0</v>
      </c>
      <c r="CY7">
        <v>0</v>
      </c>
      <c r="CZ7">
        <v>0</v>
      </c>
      <c r="DA7">
        <v>0</v>
      </c>
      <c r="DB7">
        <v>0</v>
      </c>
      <c r="DC7">
        <v>0</v>
      </c>
      <c r="DD7">
        <v>0</v>
      </c>
      <c r="DE7">
        <v>0</v>
      </c>
      <c r="DF7">
        <v>6.5000000000000006E-3</v>
      </c>
      <c r="DG7">
        <v>0</v>
      </c>
      <c r="DH7">
        <v>0</v>
      </c>
      <c r="DI7">
        <v>2.6499999999999999E-2</v>
      </c>
      <c r="DJ7">
        <v>5.0000000000000001E-3</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row>
    <row r="8" spans="1:137" s="4" customFormat="1">
      <c r="A8" s="4" t="s">
        <v>1163</v>
      </c>
      <c r="B8" s="4" t="s">
        <v>24</v>
      </c>
      <c r="C8" s="4" t="str">
        <f>_xlfn.IFS(AND(AU8&gt;=15),"saline",AND(AK8&gt;=40,AU8&lt;=15),"silicic",AND(AK8&lt;=40,AK8&gt;=20,AO8&lt;=15,AU8&lt;=15),"silicic - low-Mg carbonatitic",AND(AO8&lt;15,AP8&gt;=15,AK8&lt;=20,AU8&lt;=15),"low-Mg carbonatitic",AND(AO8&gt;=15,AK8&lt;=20),"high-Mg carbonatitic")</f>
        <v>saline</v>
      </c>
      <c r="D8" s="4" t="s">
        <v>119</v>
      </c>
      <c r="E8" s="4" t="s">
        <v>1394</v>
      </c>
      <c r="F8" s="4" t="s">
        <v>97</v>
      </c>
      <c r="G8" s="4" t="s">
        <v>595</v>
      </c>
      <c r="H8" s="4">
        <v>118</v>
      </c>
      <c r="I8" s="4" t="s">
        <v>735</v>
      </c>
      <c r="J8" s="4" t="s">
        <v>635</v>
      </c>
      <c r="K8" s="4" t="s">
        <v>902</v>
      </c>
      <c r="L8" s="4" t="s">
        <v>773</v>
      </c>
      <c r="M8" s="4" t="s">
        <v>98</v>
      </c>
      <c r="N8" s="4">
        <v>15</v>
      </c>
      <c r="O8" s="4">
        <v>6.4</v>
      </c>
      <c r="P8" s="4">
        <v>2.1</v>
      </c>
      <c r="Q8" s="4">
        <v>0</v>
      </c>
      <c r="R8" s="4">
        <v>3.3</v>
      </c>
      <c r="S8" s="4">
        <v>7.6</v>
      </c>
      <c r="T8" s="4">
        <v>2.4</v>
      </c>
      <c r="U8" s="4">
        <v>0</v>
      </c>
      <c r="V8" s="4">
        <v>10.9</v>
      </c>
      <c r="W8" s="4">
        <v>14.2</v>
      </c>
      <c r="X8" s="4">
        <v>27.1</v>
      </c>
      <c r="Y8" s="4">
        <v>0</v>
      </c>
      <c r="Z8" s="4">
        <v>1</v>
      </c>
      <c r="AA8" s="4">
        <v>0</v>
      </c>
      <c r="AB8" s="4">
        <v>3.8</v>
      </c>
      <c r="AC8" s="4">
        <v>0</v>
      </c>
      <c r="AD8" s="4">
        <v>27.6</v>
      </c>
      <c r="AE8" s="4">
        <v>0</v>
      </c>
      <c r="AF8" s="4">
        <v>0</v>
      </c>
      <c r="AG8" s="4">
        <v>0</v>
      </c>
      <c r="AH8" s="4">
        <v>0</v>
      </c>
      <c r="AI8" s="4">
        <v>21.1</v>
      </c>
      <c r="AJ8" s="26">
        <f>IFERROR(SUM(O8:P8,R8:T8,V8:X8,Z8,AB8,AD8),)</f>
        <v>106.4</v>
      </c>
      <c r="AK8" s="26">
        <f>100*(O8/($AJ8-$AD8*8/35.45))</f>
        <v>6.3890422068779085</v>
      </c>
      <c r="AL8" s="26">
        <f>100*(P8/($AJ8-$AD8*8/35.45))</f>
        <v>2.0964044741318135</v>
      </c>
      <c r="AM8" s="26">
        <f>100*(R8/($AJ8-$AD8*8/35.45))</f>
        <v>3.2943498879214208</v>
      </c>
      <c r="AN8" s="26">
        <f>100*(S8/($AJ8-$AD8*8/35.45))</f>
        <v>7.5869876206675153</v>
      </c>
      <c r="AO8" s="26">
        <f>100*(T8/($AJ8-$AD8*8/35.45))</f>
        <v>2.395890827579215</v>
      </c>
      <c r="AP8" s="26">
        <f>100*(V8/($AJ8-$AD8*8/35.45))</f>
        <v>10.881337508588937</v>
      </c>
      <c r="AQ8" s="26">
        <f>100*(AB8/($AJ8-$AD8*8/35.45))</f>
        <v>3.7934938103337577</v>
      </c>
      <c r="AR8" s="26">
        <f>100*(W8/($AJ8-$AD8*8/35.45))</f>
        <v>14.175687396510355</v>
      </c>
      <c r="AS8" s="26">
        <f>100*(X8/($AJ8-$AD8*8/35.45))</f>
        <v>27.053600594748637</v>
      </c>
      <c r="AT8" s="26">
        <f>100*(Z8/($AJ8-$AD8*8/35.45))</f>
        <v>0.99828784482467303</v>
      </c>
      <c r="AU8" s="26">
        <f>100*(AD8/($AJ8-$AD8*8/35.45))</f>
        <v>27.552744517160978</v>
      </c>
      <c r="AV8" s="26">
        <f>SUM(AK8:AU8)</f>
        <v>106.2178266893452</v>
      </c>
      <c r="AW8" s="4">
        <v>0</v>
      </c>
      <c r="AX8" s="4">
        <v>0</v>
      </c>
      <c r="AY8" s="4">
        <v>0</v>
      </c>
      <c r="AZ8" s="4">
        <v>0</v>
      </c>
      <c r="BA8" s="4">
        <v>0</v>
      </c>
      <c r="BB8" s="4">
        <v>0</v>
      </c>
      <c r="BC8" s="4">
        <v>0</v>
      </c>
      <c r="BD8" s="4">
        <v>894</v>
      </c>
      <c r="BE8" s="4">
        <v>6.7</v>
      </c>
      <c r="BF8" s="4">
        <v>0</v>
      </c>
      <c r="BG8" s="4">
        <v>0</v>
      </c>
      <c r="BH8" s="4">
        <v>0</v>
      </c>
      <c r="BI8" s="4">
        <v>0</v>
      </c>
      <c r="BJ8" s="4">
        <v>0</v>
      </c>
      <c r="BK8" s="4">
        <v>0</v>
      </c>
      <c r="BL8" s="4">
        <v>0</v>
      </c>
      <c r="BM8" s="4">
        <v>0</v>
      </c>
      <c r="BN8" s="4">
        <v>0</v>
      </c>
      <c r="BO8" s="4">
        <v>37.799999999999997</v>
      </c>
      <c r="BP8" s="4">
        <v>0</v>
      </c>
      <c r="BQ8" s="4">
        <v>0.75</v>
      </c>
      <c r="BR8" s="4">
        <v>0</v>
      </c>
      <c r="BS8" s="4">
        <v>0</v>
      </c>
      <c r="BT8" s="4">
        <v>0</v>
      </c>
      <c r="BU8" s="4">
        <v>0</v>
      </c>
      <c r="BV8" s="4">
        <v>0</v>
      </c>
      <c r="BW8" s="4">
        <v>0</v>
      </c>
      <c r="BX8" s="4">
        <v>0</v>
      </c>
      <c r="BY8" s="4">
        <v>0</v>
      </c>
      <c r="BZ8" s="4">
        <v>0</v>
      </c>
      <c r="CA8" s="4">
        <v>0</v>
      </c>
      <c r="CB8" s="4">
        <v>0</v>
      </c>
      <c r="CC8" s="4">
        <v>0</v>
      </c>
      <c r="CD8" s="4">
        <v>0</v>
      </c>
      <c r="CE8" s="4">
        <v>0.16349999999999998</v>
      </c>
      <c r="CF8" s="4">
        <v>0.4415</v>
      </c>
      <c r="CG8" s="4">
        <v>5.4999999999999997E-3</v>
      </c>
      <c r="CH8" s="4">
        <v>6.9999999999999993E-3</v>
      </c>
      <c r="CI8" s="4">
        <v>0</v>
      </c>
      <c r="CJ8" s="4">
        <v>7.3499999999999996E-2</v>
      </c>
      <c r="CK8" s="4">
        <v>0</v>
      </c>
      <c r="CL8" s="4">
        <v>0</v>
      </c>
      <c r="CM8" s="4">
        <v>0</v>
      </c>
      <c r="CN8" s="4">
        <v>0</v>
      </c>
      <c r="CO8" s="4">
        <v>8.0000000000000002E-3</v>
      </c>
      <c r="CP8" s="4">
        <v>2.09</v>
      </c>
      <c r="CQ8" s="4">
        <v>0</v>
      </c>
      <c r="CR8" s="4">
        <v>8.6500000000000007E-2</v>
      </c>
      <c r="CS8" s="4">
        <v>8.9499999999999996E-2</v>
      </c>
      <c r="CT8" s="4">
        <v>8.5000000000000006E-3</v>
      </c>
      <c r="CU8" s="4">
        <v>2.3E-2</v>
      </c>
      <c r="CV8" s="4">
        <v>0</v>
      </c>
      <c r="CW8" s="4">
        <v>0</v>
      </c>
      <c r="CX8" s="4">
        <v>0</v>
      </c>
      <c r="CY8" s="4">
        <v>0</v>
      </c>
      <c r="CZ8" s="4">
        <v>0</v>
      </c>
      <c r="DA8" s="4">
        <v>0</v>
      </c>
      <c r="DB8" s="4">
        <v>0</v>
      </c>
      <c r="DC8" s="4">
        <v>0</v>
      </c>
      <c r="DD8" s="4">
        <v>0</v>
      </c>
      <c r="DE8" s="4">
        <v>0</v>
      </c>
      <c r="DF8" s="4">
        <v>2E-3</v>
      </c>
      <c r="DG8" s="4">
        <v>0</v>
      </c>
      <c r="DH8" s="4">
        <v>0</v>
      </c>
      <c r="DI8" s="4">
        <v>1.9E-2</v>
      </c>
      <c r="DJ8" s="4">
        <v>4.5000000000000005E-3</v>
      </c>
      <c r="DK8" s="4">
        <v>0</v>
      </c>
      <c r="DL8" s="4">
        <v>0</v>
      </c>
      <c r="DM8" s="4">
        <v>0</v>
      </c>
      <c r="DN8" s="4">
        <v>0</v>
      </c>
      <c r="DO8" s="4">
        <v>0</v>
      </c>
      <c r="DP8" s="4">
        <v>0</v>
      </c>
      <c r="DQ8" s="4">
        <v>0</v>
      </c>
      <c r="DR8" s="4">
        <v>0</v>
      </c>
      <c r="DS8" s="4">
        <v>0</v>
      </c>
      <c r="DT8" s="4">
        <v>0</v>
      </c>
      <c r="DU8" s="4">
        <v>0</v>
      </c>
      <c r="DV8" s="4">
        <v>0</v>
      </c>
      <c r="DW8" s="4">
        <v>0</v>
      </c>
      <c r="DX8" s="4">
        <v>0</v>
      </c>
      <c r="DY8" s="4">
        <v>0</v>
      </c>
      <c r="DZ8" s="4">
        <v>0</v>
      </c>
      <c r="EA8" s="4">
        <v>0</v>
      </c>
      <c r="EB8" s="4">
        <v>0</v>
      </c>
      <c r="EC8" s="4">
        <v>0</v>
      </c>
      <c r="ED8" s="4">
        <v>0</v>
      </c>
      <c r="EE8" s="4">
        <v>0</v>
      </c>
      <c r="EF8" s="4">
        <v>0</v>
      </c>
      <c r="EG8" s="4">
        <v>0</v>
      </c>
    </row>
    <row r="9" spans="1:137" s="4" customFormat="1">
      <c r="A9" s="4" t="s">
        <v>1280</v>
      </c>
      <c r="B9" s="4" t="s">
        <v>587</v>
      </c>
      <c r="D9" s="4">
        <v>0</v>
      </c>
      <c r="E9" s="4" t="s">
        <v>1394</v>
      </c>
      <c r="F9" s="4" t="s">
        <v>97</v>
      </c>
      <c r="G9" s="4" t="s">
        <v>595</v>
      </c>
      <c r="H9" s="4">
        <v>118</v>
      </c>
      <c r="I9" s="4">
        <v>0</v>
      </c>
      <c r="J9" s="4" t="s">
        <v>1139</v>
      </c>
      <c r="K9" s="4" t="s">
        <v>1314</v>
      </c>
      <c r="L9" s="4">
        <v>0</v>
      </c>
      <c r="M9" s="4" t="s">
        <v>1307</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26"/>
      <c r="AK9" s="26"/>
      <c r="AL9" s="26"/>
      <c r="AM9" s="26"/>
      <c r="AN9" s="26"/>
      <c r="AO9" s="26"/>
      <c r="AP9" s="26"/>
      <c r="AQ9" s="26"/>
      <c r="AR9" s="26"/>
      <c r="AS9" s="26"/>
      <c r="AT9" s="26"/>
      <c r="AU9" s="26"/>
      <c r="AV9" s="26"/>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4.1820000000000004</v>
      </c>
      <c r="BR9" s="4" t="s">
        <v>1283</v>
      </c>
      <c r="BS9" s="4" t="s">
        <v>1283</v>
      </c>
      <c r="BT9" s="4" t="s">
        <v>1283</v>
      </c>
      <c r="BU9" s="4" t="s">
        <v>1283</v>
      </c>
      <c r="BV9" s="4" t="s">
        <v>1283</v>
      </c>
      <c r="BW9" s="4" t="s">
        <v>1283</v>
      </c>
      <c r="BX9" s="4" t="s">
        <v>1283</v>
      </c>
      <c r="BY9" s="4">
        <v>0</v>
      </c>
      <c r="BZ9" s="4">
        <v>0</v>
      </c>
      <c r="CA9" s="4">
        <v>0</v>
      </c>
      <c r="CB9" s="4">
        <v>0</v>
      </c>
      <c r="CC9" s="4">
        <v>0</v>
      </c>
      <c r="CD9" s="4">
        <v>0</v>
      </c>
      <c r="CE9" s="4">
        <v>0.27800000000000002</v>
      </c>
      <c r="CF9" s="4">
        <v>71.274000000000001</v>
      </c>
      <c r="CG9" s="4">
        <v>4.8000000000000001E-2</v>
      </c>
      <c r="CH9" s="4">
        <v>0.248</v>
      </c>
      <c r="CI9" s="4">
        <v>0</v>
      </c>
      <c r="CJ9" s="4">
        <v>5.1999999999999998E-2</v>
      </c>
      <c r="CK9" s="4" t="s">
        <v>1283</v>
      </c>
      <c r="CL9" s="4">
        <v>0</v>
      </c>
      <c r="CM9" s="4">
        <v>0</v>
      </c>
      <c r="CN9" s="4">
        <v>0</v>
      </c>
      <c r="CO9" s="4">
        <v>1.0999999999999999E-2</v>
      </c>
      <c r="CP9" s="4">
        <v>1575.7850000000001</v>
      </c>
      <c r="CQ9" s="4">
        <v>0</v>
      </c>
      <c r="CR9" s="4">
        <v>6.2E-2</v>
      </c>
      <c r="CS9" s="4" t="s">
        <v>1283</v>
      </c>
      <c r="CT9" s="4">
        <v>1.2E-2</v>
      </c>
      <c r="CU9" s="4">
        <v>1.9E-2</v>
      </c>
      <c r="CV9" s="4">
        <v>1.0999999999999999E-2</v>
      </c>
      <c r="CW9" s="4" t="s">
        <v>1283</v>
      </c>
      <c r="CX9" s="4">
        <v>9.1000000000000004E-3</v>
      </c>
      <c r="CY9" s="4">
        <v>3.3E-3</v>
      </c>
      <c r="CZ9" s="4" t="s">
        <v>1283</v>
      </c>
      <c r="DA9" s="4">
        <v>1.1000000000000001E-3</v>
      </c>
      <c r="DB9" s="4">
        <v>0</v>
      </c>
      <c r="DC9" s="4">
        <v>1.4E-3</v>
      </c>
      <c r="DD9" s="4">
        <v>3.4000000000000002E-4</v>
      </c>
      <c r="DE9" s="4">
        <v>6.0999999999999995E-3</v>
      </c>
      <c r="DF9" s="4">
        <v>0</v>
      </c>
      <c r="DG9" s="4">
        <v>0</v>
      </c>
      <c r="DH9" s="4">
        <v>0.49099999999999999</v>
      </c>
      <c r="DI9" s="4">
        <v>1.7000000000000001E-2</v>
      </c>
      <c r="DJ9" s="4">
        <v>2.2000000000000001E-3</v>
      </c>
      <c r="DK9" s="4">
        <v>6.4000000000000005E-4</v>
      </c>
      <c r="DL9" s="4">
        <v>0</v>
      </c>
      <c r="DM9" s="4">
        <v>0</v>
      </c>
      <c r="DN9" s="4">
        <v>0</v>
      </c>
      <c r="DO9" s="4">
        <v>0</v>
      </c>
      <c r="DP9" s="4">
        <v>0</v>
      </c>
      <c r="DQ9" s="4">
        <v>0</v>
      </c>
      <c r="DR9" s="4">
        <v>0</v>
      </c>
      <c r="DS9" s="4">
        <v>0</v>
      </c>
      <c r="DT9" s="4">
        <v>0</v>
      </c>
      <c r="DU9" s="4">
        <v>0</v>
      </c>
      <c r="DV9" s="4">
        <v>0</v>
      </c>
      <c r="DW9" s="4">
        <v>0</v>
      </c>
      <c r="DX9" s="4">
        <v>0</v>
      </c>
      <c r="DY9" s="4">
        <v>0</v>
      </c>
      <c r="DZ9" s="4">
        <v>0</v>
      </c>
      <c r="EA9" s="4">
        <v>0</v>
      </c>
      <c r="EB9" s="4">
        <v>0</v>
      </c>
      <c r="EC9" s="4">
        <v>0</v>
      </c>
      <c r="ED9" s="4">
        <v>0</v>
      </c>
      <c r="EE9" s="4">
        <v>0</v>
      </c>
      <c r="EF9" s="4">
        <v>0</v>
      </c>
      <c r="EG9" s="4">
        <v>0</v>
      </c>
    </row>
    <row r="10" spans="1:137" s="4" customFormat="1">
      <c r="A10" s="4" t="s">
        <v>1280</v>
      </c>
      <c r="B10" s="4" t="s">
        <v>587</v>
      </c>
      <c r="D10" s="4">
        <v>0</v>
      </c>
      <c r="E10" s="4" t="s">
        <v>1394</v>
      </c>
      <c r="F10" s="4" t="s">
        <v>97</v>
      </c>
      <c r="G10" s="4" t="s">
        <v>595</v>
      </c>
      <c r="H10" s="4">
        <v>118</v>
      </c>
      <c r="I10" s="4">
        <v>0</v>
      </c>
      <c r="J10" s="4" t="s">
        <v>1139</v>
      </c>
      <c r="K10" s="4" t="s">
        <v>1314</v>
      </c>
      <c r="L10" s="4">
        <v>0</v>
      </c>
      <c r="M10" s="4" t="s">
        <v>1308</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26"/>
      <c r="AK10" s="26"/>
      <c r="AL10" s="26"/>
      <c r="AM10" s="26"/>
      <c r="AN10" s="26"/>
      <c r="AO10" s="26"/>
      <c r="AP10" s="26"/>
      <c r="AQ10" s="26"/>
      <c r="AR10" s="26"/>
      <c r="AS10" s="26"/>
      <c r="AT10" s="26"/>
      <c r="AU10" s="26"/>
      <c r="AV10" s="26"/>
      <c r="AW10" s="4">
        <v>0</v>
      </c>
      <c r="AX10" s="4">
        <v>0</v>
      </c>
      <c r="AY10" s="4">
        <v>0</v>
      </c>
      <c r="AZ10" s="4">
        <v>0</v>
      </c>
      <c r="BA10" s="4">
        <v>0</v>
      </c>
      <c r="BB10" s="4">
        <v>0</v>
      </c>
      <c r="BC10" s="4">
        <v>0</v>
      </c>
      <c r="BD10" s="4">
        <v>0</v>
      </c>
      <c r="BE10" s="4">
        <v>0</v>
      </c>
      <c r="BF10" s="4">
        <v>0</v>
      </c>
      <c r="BG10" s="4">
        <v>0</v>
      </c>
      <c r="BH10" s="4">
        <v>0</v>
      </c>
      <c r="BI10" s="4">
        <v>0</v>
      </c>
      <c r="BJ10" s="4">
        <v>0</v>
      </c>
      <c r="BK10" s="4">
        <v>0</v>
      </c>
      <c r="BL10" s="4">
        <v>0</v>
      </c>
      <c r="BM10" s="4">
        <v>0</v>
      </c>
      <c r="BN10" s="4">
        <v>0</v>
      </c>
      <c r="BO10" s="4">
        <v>0</v>
      </c>
      <c r="BP10" s="4">
        <v>0</v>
      </c>
      <c r="BQ10" s="4">
        <v>8.7750000000000004</v>
      </c>
      <c r="BR10" s="4" t="s">
        <v>1283</v>
      </c>
      <c r="BS10" s="4" t="s">
        <v>1283</v>
      </c>
      <c r="BT10" s="4" t="s">
        <v>1283</v>
      </c>
      <c r="BU10" s="4" t="s">
        <v>1283</v>
      </c>
      <c r="BV10" s="4" t="s">
        <v>1283</v>
      </c>
      <c r="BW10" s="4" t="s">
        <v>1283</v>
      </c>
      <c r="BX10" s="4" t="s">
        <v>1283</v>
      </c>
      <c r="BY10" s="4">
        <v>0</v>
      </c>
      <c r="BZ10" s="4">
        <v>0</v>
      </c>
      <c r="CA10" s="4">
        <v>0</v>
      </c>
      <c r="CB10" s="4">
        <v>0</v>
      </c>
      <c r="CC10" s="4">
        <v>0</v>
      </c>
      <c r="CD10" s="4">
        <v>0</v>
      </c>
      <c r="CE10" s="4">
        <v>4.2999999999999997E-2</v>
      </c>
      <c r="CF10" s="4">
        <v>81.245999999999995</v>
      </c>
      <c r="CG10" s="4">
        <v>7.0000000000000007E-2</v>
      </c>
      <c r="CH10" s="4">
        <v>3.43</v>
      </c>
      <c r="CI10" s="4">
        <v>0</v>
      </c>
      <c r="CJ10" s="4">
        <v>0.13700000000000001</v>
      </c>
      <c r="CK10" s="4" t="s">
        <v>1283</v>
      </c>
      <c r="CL10" s="4">
        <v>0</v>
      </c>
      <c r="CM10" s="4">
        <v>0</v>
      </c>
      <c r="CN10" s="4">
        <v>0</v>
      </c>
      <c r="CO10" s="4">
        <v>3.8E-3</v>
      </c>
      <c r="CP10" s="4">
        <v>1802.1310000000001</v>
      </c>
      <c r="CQ10" s="4">
        <v>0</v>
      </c>
      <c r="CR10" s="4">
        <v>0.16</v>
      </c>
      <c r="CS10" s="4">
        <v>0.29499999999999998</v>
      </c>
      <c r="CT10" s="4">
        <v>3.2000000000000001E-2</v>
      </c>
      <c r="CU10" s="4">
        <v>0.156</v>
      </c>
      <c r="CV10" s="4">
        <v>2.1999999999999999E-2</v>
      </c>
      <c r="CW10" s="4" t="s">
        <v>1283</v>
      </c>
      <c r="CX10" s="4">
        <v>1.6E-2</v>
      </c>
      <c r="CY10" s="4">
        <v>6.7999999999999996E-3</v>
      </c>
      <c r="CZ10" s="4" t="s">
        <v>1283</v>
      </c>
      <c r="DA10" s="4">
        <v>1.6999999999999999E-3</v>
      </c>
      <c r="DB10" s="4">
        <v>0</v>
      </c>
      <c r="DC10" s="4">
        <v>2.8999999999999998E-3</v>
      </c>
      <c r="DD10" s="4">
        <v>6.6E-4</v>
      </c>
      <c r="DE10" s="4">
        <v>8.4000000000000005E-2</v>
      </c>
      <c r="DF10" s="4">
        <v>0</v>
      </c>
      <c r="DG10" s="4">
        <v>0</v>
      </c>
      <c r="DH10" s="4">
        <v>0.106</v>
      </c>
      <c r="DI10" s="4">
        <v>8.6999999999999994E-2</v>
      </c>
      <c r="DJ10" s="4">
        <v>2.7000000000000001E-3</v>
      </c>
      <c r="DK10" s="4">
        <v>1.6000000000000001E-3</v>
      </c>
      <c r="DL10" s="4">
        <v>0</v>
      </c>
      <c r="DM10" s="4">
        <v>0</v>
      </c>
      <c r="DN10" s="4">
        <v>0</v>
      </c>
      <c r="DO10" s="4">
        <v>0</v>
      </c>
      <c r="DP10" s="4">
        <v>0</v>
      </c>
      <c r="DQ10" s="4">
        <v>0</v>
      </c>
      <c r="DR10" s="4">
        <v>0</v>
      </c>
      <c r="DS10" s="4">
        <v>0</v>
      </c>
      <c r="DT10" s="4">
        <v>0</v>
      </c>
      <c r="DU10" s="4">
        <v>0</v>
      </c>
      <c r="DV10" s="4">
        <v>0</v>
      </c>
      <c r="DW10" s="4">
        <v>0</v>
      </c>
      <c r="DX10" s="4">
        <v>0</v>
      </c>
      <c r="DY10" s="4">
        <v>0</v>
      </c>
      <c r="DZ10" s="4">
        <v>0</v>
      </c>
      <c r="EA10" s="4">
        <v>0</v>
      </c>
      <c r="EB10" s="4">
        <v>0</v>
      </c>
      <c r="EC10" s="4">
        <v>0</v>
      </c>
      <c r="ED10" s="4">
        <v>0</v>
      </c>
      <c r="EE10" s="4">
        <v>0</v>
      </c>
      <c r="EF10" s="4">
        <v>0</v>
      </c>
      <c r="EG10" s="4">
        <v>0</v>
      </c>
    </row>
    <row r="11" spans="1:137" s="4" customFormat="1">
      <c r="A11" s="4" t="s">
        <v>1280</v>
      </c>
      <c r="B11" s="4" t="s">
        <v>587</v>
      </c>
      <c r="D11" s="4">
        <v>0</v>
      </c>
      <c r="E11" s="4" t="s">
        <v>1394</v>
      </c>
      <c r="F11" s="4" t="s">
        <v>97</v>
      </c>
      <c r="G11" s="4" t="s">
        <v>595</v>
      </c>
      <c r="H11" s="4">
        <v>118</v>
      </c>
      <c r="I11" s="4">
        <v>0</v>
      </c>
      <c r="J11" s="4" t="s">
        <v>1139</v>
      </c>
      <c r="K11" s="4" t="s">
        <v>1314</v>
      </c>
      <c r="L11" s="4">
        <v>0</v>
      </c>
      <c r="M11" s="4" t="s">
        <v>1309</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26"/>
      <c r="AK11" s="26"/>
      <c r="AL11" s="26"/>
      <c r="AM11" s="26"/>
      <c r="AN11" s="26"/>
      <c r="AO11" s="26"/>
      <c r="AP11" s="26"/>
      <c r="AQ11" s="26"/>
      <c r="AR11" s="26"/>
      <c r="AS11" s="26"/>
      <c r="AT11" s="26"/>
      <c r="AU11" s="26"/>
      <c r="AV11" s="26"/>
      <c r="AW11" s="4">
        <v>0</v>
      </c>
      <c r="AX11" s="4">
        <v>0</v>
      </c>
      <c r="AY11" s="4">
        <v>0</v>
      </c>
      <c r="AZ11" s="4">
        <v>0</v>
      </c>
      <c r="BA11" s="4">
        <v>0</v>
      </c>
      <c r="BB11" s="4">
        <v>0</v>
      </c>
      <c r="BC11" s="4">
        <v>0</v>
      </c>
      <c r="BD11" s="4">
        <v>0</v>
      </c>
      <c r="BE11" s="4">
        <v>0</v>
      </c>
      <c r="BF11" s="4">
        <v>0</v>
      </c>
      <c r="BG11" s="4">
        <v>0</v>
      </c>
      <c r="BH11" s="4">
        <v>0</v>
      </c>
      <c r="BI11" s="4">
        <v>0</v>
      </c>
      <c r="BJ11" s="4">
        <v>0</v>
      </c>
      <c r="BK11" s="4">
        <v>0</v>
      </c>
      <c r="BL11" s="4">
        <v>0</v>
      </c>
      <c r="BM11" s="4">
        <v>0</v>
      </c>
      <c r="BN11" s="4">
        <v>0</v>
      </c>
      <c r="BO11" s="4">
        <v>0</v>
      </c>
      <c r="BP11" s="4">
        <v>0</v>
      </c>
      <c r="BQ11" s="4">
        <v>13.478</v>
      </c>
      <c r="BR11" s="4" t="s">
        <v>1283</v>
      </c>
      <c r="BS11" s="4" t="s">
        <v>1283</v>
      </c>
      <c r="BT11" s="4" t="s">
        <v>1283</v>
      </c>
      <c r="BU11" s="4" t="s">
        <v>1283</v>
      </c>
      <c r="BV11" s="4" t="s">
        <v>1283</v>
      </c>
      <c r="BW11" s="4" t="s">
        <v>1283</v>
      </c>
      <c r="BX11" s="4" t="s">
        <v>1283</v>
      </c>
      <c r="BY11" s="4">
        <v>0</v>
      </c>
      <c r="BZ11" s="4">
        <v>0</v>
      </c>
      <c r="CA11" s="4">
        <v>0</v>
      </c>
      <c r="CB11" s="4">
        <v>0</v>
      </c>
      <c r="CC11" s="4">
        <v>0</v>
      </c>
      <c r="CD11" s="4">
        <v>0</v>
      </c>
      <c r="CE11" s="4">
        <v>0.79500000000000004</v>
      </c>
      <c r="CF11" s="4">
        <v>1.909</v>
      </c>
      <c r="CG11" s="4">
        <v>1.9E-2</v>
      </c>
      <c r="CH11" s="4">
        <v>1.198</v>
      </c>
      <c r="CI11" s="4">
        <v>0</v>
      </c>
      <c r="CJ11" s="4">
        <v>1.7000000000000001E-2</v>
      </c>
      <c r="CK11" s="4" t="s">
        <v>1283</v>
      </c>
      <c r="CL11" s="4">
        <v>0</v>
      </c>
      <c r="CM11" s="4">
        <v>0</v>
      </c>
      <c r="CN11" s="4">
        <v>0</v>
      </c>
      <c r="CO11" s="4">
        <v>1.2E-2</v>
      </c>
      <c r="CP11" s="4">
        <v>13.484</v>
      </c>
      <c r="CQ11" s="4">
        <v>0</v>
      </c>
      <c r="CR11" s="4">
        <v>3.2000000000000001E-2</v>
      </c>
      <c r="CS11" s="4">
        <v>3.9E-2</v>
      </c>
      <c r="CT11" s="4">
        <v>3.5999999999999999E-3</v>
      </c>
      <c r="CU11" s="4">
        <v>3.5000000000000003E-2</v>
      </c>
      <c r="CV11" s="4">
        <v>3.0999999999999999E-3</v>
      </c>
      <c r="CW11" s="4">
        <v>5.1999999999999998E-3</v>
      </c>
      <c r="CX11" s="4">
        <v>2.1000000000000003E-3</v>
      </c>
      <c r="CY11" s="4">
        <v>2.8999999999999998E-3</v>
      </c>
      <c r="CZ11" s="4" t="s">
        <v>1283</v>
      </c>
      <c r="DA11" s="4">
        <v>7.7999999999999999E-4</v>
      </c>
      <c r="DB11" s="4">
        <v>0</v>
      </c>
      <c r="DC11" s="4">
        <v>2.3E-3</v>
      </c>
      <c r="DD11" s="4">
        <v>3.4000000000000002E-4</v>
      </c>
      <c r="DE11" s="4">
        <v>4.9000000000000002E-2</v>
      </c>
      <c r="DF11" s="4">
        <v>0</v>
      </c>
      <c r="DG11" s="4">
        <v>0</v>
      </c>
      <c r="DH11" s="4">
        <v>0.19800000000000001</v>
      </c>
      <c r="DI11" s="4">
        <v>3.3000000000000002E-2</v>
      </c>
      <c r="DJ11" s="4">
        <v>4.4000000000000003E-3</v>
      </c>
      <c r="DK11" s="4">
        <v>4.7999999999999996E-4</v>
      </c>
      <c r="DL11" s="4">
        <v>0</v>
      </c>
      <c r="DM11" s="4">
        <v>0</v>
      </c>
      <c r="DN11" s="4">
        <v>0</v>
      </c>
      <c r="DO11" s="4">
        <v>0</v>
      </c>
      <c r="DP11" s="4">
        <v>0</v>
      </c>
      <c r="DQ11" s="4">
        <v>0</v>
      </c>
      <c r="DR11" s="4">
        <v>0</v>
      </c>
      <c r="DS11" s="4">
        <v>0</v>
      </c>
      <c r="DT11" s="4">
        <v>0</v>
      </c>
      <c r="DU11" s="4">
        <v>0</v>
      </c>
      <c r="DV11" s="4">
        <v>0</v>
      </c>
      <c r="DW11" s="4">
        <v>0</v>
      </c>
      <c r="DX11" s="4">
        <v>0</v>
      </c>
      <c r="DY11" s="4">
        <v>0</v>
      </c>
      <c r="DZ11" s="4">
        <v>0</v>
      </c>
      <c r="EA11" s="4">
        <v>0</v>
      </c>
      <c r="EB11" s="4">
        <v>0</v>
      </c>
      <c r="EC11" s="4">
        <v>0</v>
      </c>
      <c r="ED11" s="4">
        <v>0</v>
      </c>
      <c r="EE11" s="4">
        <v>0</v>
      </c>
      <c r="EF11" s="4">
        <v>0</v>
      </c>
      <c r="EG11" s="4">
        <v>0</v>
      </c>
    </row>
    <row r="12" spans="1:137" s="4" customFormat="1">
      <c r="A12" s="4" t="s">
        <v>1280</v>
      </c>
      <c r="B12" s="4" t="s">
        <v>587</v>
      </c>
      <c r="D12" s="4">
        <v>0</v>
      </c>
      <c r="E12" s="4" t="s">
        <v>1394</v>
      </c>
      <c r="F12" s="4" t="s">
        <v>97</v>
      </c>
      <c r="G12" s="4" t="s">
        <v>595</v>
      </c>
      <c r="H12" s="4">
        <v>118</v>
      </c>
      <c r="I12" s="4">
        <v>0</v>
      </c>
      <c r="J12" s="4" t="s">
        <v>1139</v>
      </c>
      <c r="K12" s="4" t="s">
        <v>1314</v>
      </c>
      <c r="L12" s="4">
        <v>0</v>
      </c>
      <c r="M12" s="4" t="s">
        <v>1310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26"/>
      <c r="AK12" s="26"/>
      <c r="AL12" s="26"/>
      <c r="AM12" s="26"/>
      <c r="AN12" s="26"/>
      <c r="AO12" s="26"/>
      <c r="AP12" s="26"/>
      <c r="AQ12" s="26"/>
      <c r="AR12" s="26"/>
      <c r="AS12" s="26"/>
      <c r="AT12" s="26"/>
      <c r="AU12" s="26"/>
      <c r="AV12" s="26"/>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13.282</v>
      </c>
      <c r="BR12" s="4" t="s">
        <v>1283</v>
      </c>
      <c r="BS12" s="4" t="s">
        <v>1283</v>
      </c>
      <c r="BT12" s="4" t="s">
        <v>1283</v>
      </c>
      <c r="BU12" s="4" t="s">
        <v>1283</v>
      </c>
      <c r="BV12" s="4" t="s">
        <v>1283</v>
      </c>
      <c r="BW12" s="4" t="s">
        <v>1283</v>
      </c>
      <c r="BX12" s="4" t="s">
        <v>1283</v>
      </c>
      <c r="BY12" s="4">
        <v>0</v>
      </c>
      <c r="BZ12" s="4">
        <v>0</v>
      </c>
      <c r="CA12" s="4">
        <v>0</v>
      </c>
      <c r="CB12" s="4">
        <v>0</v>
      </c>
      <c r="CC12" s="4">
        <v>0</v>
      </c>
      <c r="CD12" s="4">
        <v>0</v>
      </c>
      <c r="CE12" s="4">
        <v>0.85</v>
      </c>
      <c r="CF12" s="4">
        <v>40.15</v>
      </c>
      <c r="CG12" s="4">
        <v>3.9E-2</v>
      </c>
      <c r="CH12" s="4">
        <v>0.16500000000000001</v>
      </c>
      <c r="CI12" s="4">
        <v>0</v>
      </c>
      <c r="CJ12" s="4">
        <v>1.1459999999999999</v>
      </c>
      <c r="CK12" s="4" t="s">
        <v>1283</v>
      </c>
      <c r="CL12" s="4">
        <v>0</v>
      </c>
      <c r="CM12" s="4">
        <v>0</v>
      </c>
      <c r="CN12" s="4">
        <v>0</v>
      </c>
      <c r="CO12" s="4">
        <v>2.1999999999999999E-2</v>
      </c>
      <c r="CP12" s="4">
        <v>31.111999999999998</v>
      </c>
      <c r="CQ12" s="4">
        <v>0</v>
      </c>
      <c r="CR12" s="4">
        <v>2.298</v>
      </c>
      <c r="CS12" s="4">
        <v>3.8460000000000001</v>
      </c>
      <c r="CT12" s="4">
        <v>0.34899999999999998</v>
      </c>
      <c r="CU12" s="4">
        <v>0.21099999999999999</v>
      </c>
      <c r="CV12" s="4">
        <v>8.1000000000000003E-2</v>
      </c>
      <c r="CW12" s="4">
        <v>1.4999999999999999E-2</v>
      </c>
      <c r="CX12" s="4">
        <v>0.02</v>
      </c>
      <c r="CY12" s="4">
        <v>6.6E-3</v>
      </c>
      <c r="CZ12" s="4" t="s">
        <v>1283</v>
      </c>
      <c r="DA12" s="4">
        <v>1E-3</v>
      </c>
      <c r="DB12" s="4">
        <v>0</v>
      </c>
      <c r="DC12" s="4">
        <v>2.8E-3</v>
      </c>
      <c r="DD12" s="4">
        <v>4.2999999999999999E-4</v>
      </c>
      <c r="DE12" s="4">
        <v>4.9000000000000007E-3</v>
      </c>
      <c r="DF12" s="4">
        <v>0</v>
      </c>
      <c r="DG12" s="4">
        <v>0</v>
      </c>
      <c r="DH12" s="4">
        <v>0.35299999999999998</v>
      </c>
      <c r="DI12" s="4">
        <v>0.11899999999999999</v>
      </c>
      <c r="DJ12" s="4">
        <v>6.1999999999999998E-3</v>
      </c>
      <c r="DK12" s="4">
        <v>1.6000000000000001E-3</v>
      </c>
      <c r="DL12" s="4">
        <v>0</v>
      </c>
      <c r="DM12" s="4">
        <v>0</v>
      </c>
      <c r="DN12" s="4">
        <v>0</v>
      </c>
      <c r="DO12" s="4">
        <v>0</v>
      </c>
      <c r="DP12" s="4">
        <v>0</v>
      </c>
      <c r="DQ12" s="4">
        <v>0</v>
      </c>
      <c r="DR12" s="4">
        <v>0</v>
      </c>
      <c r="DS12" s="4">
        <v>0</v>
      </c>
      <c r="DT12" s="4">
        <v>0</v>
      </c>
      <c r="DU12" s="4">
        <v>0</v>
      </c>
      <c r="DV12" s="4">
        <v>0</v>
      </c>
      <c r="DW12" s="4">
        <v>0</v>
      </c>
      <c r="DX12" s="4">
        <v>0</v>
      </c>
      <c r="DY12" s="4">
        <v>0</v>
      </c>
      <c r="DZ12" s="4">
        <v>0</v>
      </c>
      <c r="EA12" s="4">
        <v>0</v>
      </c>
      <c r="EB12" s="4">
        <v>0</v>
      </c>
      <c r="EC12" s="4">
        <v>0</v>
      </c>
      <c r="ED12" s="4">
        <v>0</v>
      </c>
      <c r="EE12" s="4">
        <v>0</v>
      </c>
      <c r="EF12" s="4">
        <v>0</v>
      </c>
      <c r="EG12" s="4">
        <v>0</v>
      </c>
    </row>
    <row r="13" spans="1:137" s="4" customFormat="1">
      <c r="A13" s="4" t="s">
        <v>1150</v>
      </c>
      <c r="B13" s="4" t="s">
        <v>24</v>
      </c>
      <c r="D13" s="4">
        <v>0</v>
      </c>
      <c r="E13" s="4" t="s">
        <v>1394</v>
      </c>
      <c r="F13" s="4" t="s">
        <v>104</v>
      </c>
      <c r="G13" s="4" t="s">
        <v>595</v>
      </c>
      <c r="H13" s="4">
        <v>240</v>
      </c>
      <c r="I13" s="4">
        <v>0</v>
      </c>
      <c r="J13" s="4" t="s">
        <v>596</v>
      </c>
      <c r="K13" s="4">
        <v>0</v>
      </c>
      <c r="L13" s="4">
        <v>0</v>
      </c>
      <c r="M13" s="4" t="s">
        <v>1151</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26">
        <f>IFERROR(SUM(O13:P13,R13:T13,V13:X13,Z13,AB13,AD13),)</f>
        <v>0</v>
      </c>
      <c r="AK13" s="26"/>
      <c r="AL13" s="26"/>
      <c r="AM13" s="26"/>
      <c r="AN13" s="26"/>
      <c r="AO13" s="26"/>
      <c r="AP13" s="26"/>
      <c r="AQ13" s="26"/>
      <c r="AR13" s="26"/>
      <c r="AS13" s="26"/>
      <c r="AT13" s="26"/>
      <c r="AU13" s="26"/>
      <c r="AV13" s="26"/>
      <c r="AX13" s="4">
        <v>0</v>
      </c>
      <c r="AY13" s="4">
        <v>0</v>
      </c>
      <c r="AZ13" s="4">
        <v>0</v>
      </c>
      <c r="BA13" s="4">
        <v>0</v>
      </c>
      <c r="BB13" s="4">
        <v>0</v>
      </c>
      <c r="BC13" s="4">
        <v>0</v>
      </c>
      <c r="BD13" s="4">
        <v>0</v>
      </c>
      <c r="BE13" s="4">
        <v>0</v>
      </c>
      <c r="BF13" s="4">
        <v>0</v>
      </c>
      <c r="BG13" s="4">
        <v>23</v>
      </c>
      <c r="BH13" s="4">
        <v>0</v>
      </c>
      <c r="BI13" s="4">
        <v>0</v>
      </c>
      <c r="BJ13" s="4">
        <v>0</v>
      </c>
      <c r="BK13" s="4">
        <v>0.193</v>
      </c>
      <c r="BL13" s="4">
        <v>0</v>
      </c>
      <c r="BM13" s="4">
        <v>0</v>
      </c>
      <c r="BN13" s="4">
        <v>0</v>
      </c>
      <c r="BO13" s="4" t="s">
        <v>1152</v>
      </c>
      <c r="BP13" s="4">
        <v>0</v>
      </c>
      <c r="BQ13" s="4">
        <v>0</v>
      </c>
      <c r="BR13" s="4">
        <v>5.5E-2</v>
      </c>
      <c r="BS13" s="4">
        <v>0</v>
      </c>
      <c r="BT13" s="4">
        <v>1</v>
      </c>
      <c r="BU13" s="4">
        <v>0.38</v>
      </c>
      <c r="BV13" s="4">
        <v>0</v>
      </c>
      <c r="BW13" s="4">
        <v>1.2999999999999999E-2</v>
      </c>
      <c r="BX13" s="4">
        <v>5.8999999999999997E-2</v>
      </c>
      <c r="BY13" s="4">
        <v>0</v>
      </c>
      <c r="BZ13" s="4">
        <v>2.7E-4</v>
      </c>
      <c r="CA13" s="4">
        <v>0</v>
      </c>
      <c r="CB13" s="4">
        <v>6.9999999999999999E-4</v>
      </c>
      <c r="CC13" s="4">
        <v>0</v>
      </c>
      <c r="CD13" s="4">
        <v>1.6000000000000001E-3</v>
      </c>
      <c r="CE13" s="4">
        <v>3.5000000000000003E-2</v>
      </c>
      <c r="CF13" s="4">
        <v>0.1</v>
      </c>
      <c r="CG13" s="4">
        <v>0</v>
      </c>
      <c r="CH13" s="4">
        <v>0.11799999999999999</v>
      </c>
      <c r="CI13" s="4">
        <v>3.8E-3</v>
      </c>
      <c r="CJ13" s="4">
        <v>0</v>
      </c>
      <c r="CK13" s="4">
        <v>0</v>
      </c>
      <c r="CL13" s="4">
        <v>0</v>
      </c>
      <c r="CM13" s="4">
        <v>0</v>
      </c>
      <c r="CN13" s="4">
        <v>0</v>
      </c>
      <c r="CO13" s="4">
        <v>1.6000000000000001E-3</v>
      </c>
      <c r="CP13" s="4">
        <v>0</v>
      </c>
      <c r="CQ13" s="4">
        <v>0</v>
      </c>
      <c r="CR13" s="4">
        <v>2.7E-4</v>
      </c>
      <c r="CS13" s="4">
        <v>5.9000000000000007E-3</v>
      </c>
      <c r="CT13" s="4">
        <v>0</v>
      </c>
      <c r="CU13" s="4" t="s">
        <v>1337</v>
      </c>
      <c r="CV13" s="4">
        <v>5.9999999999999995E-5</v>
      </c>
      <c r="CW13" s="4">
        <v>1.4499999999999999E-3</v>
      </c>
      <c r="CX13" s="4">
        <v>4.4999999999999997E-3</v>
      </c>
      <c r="CY13" s="4">
        <v>0</v>
      </c>
      <c r="CZ13" s="4">
        <v>0</v>
      </c>
      <c r="DA13" s="4">
        <v>0</v>
      </c>
      <c r="DB13" s="4">
        <v>0</v>
      </c>
      <c r="DC13" s="4">
        <v>5.9999999999999995E-5</v>
      </c>
      <c r="DD13" s="4">
        <v>8.9999999999999992E-5</v>
      </c>
      <c r="DE13" s="4" t="s">
        <v>1012</v>
      </c>
      <c r="DF13" s="4" t="s">
        <v>230</v>
      </c>
      <c r="DG13" s="4">
        <v>0</v>
      </c>
      <c r="DH13" s="4">
        <v>0</v>
      </c>
      <c r="DI13" s="4" t="s">
        <v>232</v>
      </c>
      <c r="DJ13" s="4">
        <v>1.5E-3</v>
      </c>
      <c r="DK13" s="4" t="s">
        <v>233</v>
      </c>
      <c r="DL13" s="4">
        <v>0</v>
      </c>
      <c r="DM13" s="4">
        <v>5.0000000000000002E-5</v>
      </c>
      <c r="DN13" s="4">
        <v>0</v>
      </c>
      <c r="DO13" s="4">
        <v>8.0000000000000007E-5</v>
      </c>
      <c r="DP13" s="4">
        <v>0</v>
      </c>
      <c r="DQ13" s="4">
        <v>0</v>
      </c>
      <c r="DR13" s="4">
        <v>0</v>
      </c>
      <c r="DS13" s="4">
        <v>0</v>
      </c>
      <c r="DT13" s="4">
        <v>0</v>
      </c>
      <c r="DU13" s="4">
        <v>0</v>
      </c>
      <c r="DV13" s="4">
        <v>0</v>
      </c>
      <c r="DW13" s="4">
        <v>0</v>
      </c>
      <c r="DX13" s="4">
        <v>0</v>
      </c>
      <c r="DY13" s="4">
        <v>0</v>
      </c>
      <c r="DZ13" s="4">
        <v>0</v>
      </c>
      <c r="EA13" s="4">
        <v>0</v>
      </c>
      <c r="EB13" s="4">
        <v>0</v>
      </c>
      <c r="EC13" s="4">
        <v>0</v>
      </c>
      <c r="ED13" s="4">
        <v>0</v>
      </c>
      <c r="EE13" s="4">
        <v>0</v>
      </c>
      <c r="EF13" s="4">
        <v>0</v>
      </c>
      <c r="EG13" s="4">
        <v>0</v>
      </c>
    </row>
    <row r="14" spans="1:137" s="4" customFormat="1">
      <c r="A14" s="4" t="s">
        <v>1280</v>
      </c>
      <c r="B14" s="4" t="s">
        <v>587</v>
      </c>
      <c r="D14" s="4">
        <v>0</v>
      </c>
      <c r="E14" s="4" t="s">
        <v>1394</v>
      </c>
      <c r="F14" s="4" t="s">
        <v>1302</v>
      </c>
      <c r="G14" s="4" t="s">
        <v>595</v>
      </c>
      <c r="H14" s="4">
        <v>114</v>
      </c>
      <c r="I14" s="4">
        <v>0</v>
      </c>
      <c r="J14" s="4" t="s">
        <v>1139</v>
      </c>
      <c r="K14" s="4" t="s">
        <v>1314</v>
      </c>
      <c r="L14" s="4">
        <v>0</v>
      </c>
      <c r="M14" s="4" t="s">
        <v>1303</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26"/>
      <c r="AK14" s="26"/>
      <c r="AL14" s="26"/>
      <c r="AM14" s="26"/>
      <c r="AN14" s="26"/>
      <c r="AO14" s="26"/>
      <c r="AP14" s="26"/>
      <c r="AQ14" s="26"/>
      <c r="AR14" s="26"/>
      <c r="AS14" s="26"/>
      <c r="AT14" s="26"/>
      <c r="AU14" s="26"/>
      <c r="AV14" s="26"/>
      <c r="AW14" s="4">
        <v>0</v>
      </c>
      <c r="AX14" s="4">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4">
        <v>16.152000000000001</v>
      </c>
      <c r="BR14" s="4" t="s">
        <v>1283</v>
      </c>
      <c r="BS14" s="4" t="s">
        <v>1283</v>
      </c>
      <c r="BT14" s="4" t="s">
        <v>1283</v>
      </c>
      <c r="BU14" s="4" t="s">
        <v>1283</v>
      </c>
      <c r="BV14" s="4" t="s">
        <v>1283</v>
      </c>
      <c r="BW14" s="4" t="s">
        <v>1283</v>
      </c>
      <c r="BX14" s="4" t="s">
        <v>1283</v>
      </c>
      <c r="BY14" s="4">
        <v>0</v>
      </c>
      <c r="BZ14" s="4">
        <v>0</v>
      </c>
      <c r="CA14" s="4">
        <v>0</v>
      </c>
      <c r="CB14" s="4">
        <v>0</v>
      </c>
      <c r="CC14" s="4">
        <v>0</v>
      </c>
      <c r="CD14" s="4">
        <v>0</v>
      </c>
      <c r="CE14" s="4">
        <v>6.7000000000000004E-2</v>
      </c>
      <c r="CF14" s="4">
        <v>3.976</v>
      </c>
      <c r="CG14" s="4" t="s">
        <v>1283</v>
      </c>
      <c r="CH14" s="4">
        <v>1.4690000000000001</v>
      </c>
      <c r="CI14" s="4">
        <v>0</v>
      </c>
      <c r="CJ14" s="4">
        <v>3.9E-2</v>
      </c>
      <c r="CK14" s="4" t="s">
        <v>1283</v>
      </c>
      <c r="CL14" s="4">
        <v>0</v>
      </c>
      <c r="CM14" s="4">
        <v>0</v>
      </c>
      <c r="CN14" s="4">
        <v>0</v>
      </c>
      <c r="CO14" s="4">
        <v>2.7000000000000001E-3</v>
      </c>
      <c r="CP14" s="4">
        <v>1.923</v>
      </c>
      <c r="CQ14" s="4">
        <v>0</v>
      </c>
      <c r="CR14" s="4">
        <v>0.215</v>
      </c>
      <c r="CS14" s="4">
        <v>0.41099999999999998</v>
      </c>
      <c r="CT14" s="4">
        <v>4.5999999999999999E-2</v>
      </c>
      <c r="CU14" s="4">
        <v>0.20300000000000001</v>
      </c>
      <c r="CV14" s="4">
        <v>3.2000000000000001E-2</v>
      </c>
      <c r="CW14" s="4">
        <v>5.3E-3</v>
      </c>
      <c r="CX14" s="4">
        <v>2.5000000000000001E-2</v>
      </c>
      <c r="CY14" s="4" t="s">
        <v>1283</v>
      </c>
      <c r="CZ14" s="4" t="s">
        <v>1283</v>
      </c>
      <c r="DA14" s="4">
        <v>1.0999999999999999E-2</v>
      </c>
      <c r="DB14" s="4">
        <v>0</v>
      </c>
      <c r="DC14" s="4">
        <v>1.2E-2</v>
      </c>
      <c r="DD14" s="4">
        <v>2E-3</v>
      </c>
      <c r="DE14" s="4">
        <v>2.9000000000000001E-2</v>
      </c>
      <c r="DF14" s="4">
        <v>0</v>
      </c>
      <c r="DG14" s="4">
        <v>0</v>
      </c>
      <c r="DH14" s="4">
        <v>0.25</v>
      </c>
      <c r="DI14" s="4">
        <v>0.115</v>
      </c>
      <c r="DJ14" s="4">
        <v>7.1999999999999995E-2</v>
      </c>
      <c r="DK14" s="4">
        <v>3.8999999999999998E-3</v>
      </c>
      <c r="DL14" s="4">
        <v>0</v>
      </c>
      <c r="DM14" s="4">
        <v>0</v>
      </c>
      <c r="DN14" s="4">
        <v>0</v>
      </c>
      <c r="DO14" s="4">
        <v>0</v>
      </c>
      <c r="DP14" s="4">
        <v>0</v>
      </c>
      <c r="DQ14" s="4">
        <v>0</v>
      </c>
      <c r="DR14" s="4">
        <v>0</v>
      </c>
      <c r="DS14" s="4">
        <v>0</v>
      </c>
      <c r="DT14" s="4">
        <v>0</v>
      </c>
      <c r="DU14" s="4">
        <v>0</v>
      </c>
      <c r="DV14" s="4">
        <v>0</v>
      </c>
      <c r="DW14" s="4">
        <v>0</v>
      </c>
      <c r="DX14" s="4">
        <v>0</v>
      </c>
      <c r="DY14" s="4">
        <v>0</v>
      </c>
      <c r="DZ14" s="4">
        <v>0</v>
      </c>
      <c r="EA14" s="4">
        <v>0</v>
      </c>
      <c r="EB14" s="4">
        <v>0</v>
      </c>
      <c r="EC14" s="4">
        <v>0</v>
      </c>
      <c r="ED14" s="4">
        <v>0</v>
      </c>
      <c r="EE14" s="4">
        <v>0</v>
      </c>
      <c r="EF14" s="4">
        <v>0</v>
      </c>
      <c r="EG14" s="4">
        <v>0</v>
      </c>
    </row>
    <row r="15" spans="1:137" s="4" customFormat="1">
      <c r="A15" s="4" t="s">
        <v>1280</v>
      </c>
      <c r="B15" s="4" t="s">
        <v>587</v>
      </c>
      <c r="D15" s="4">
        <v>0</v>
      </c>
      <c r="E15" s="4" t="s">
        <v>1394</v>
      </c>
      <c r="F15" s="4" t="s">
        <v>1302</v>
      </c>
      <c r="G15" s="4" t="s">
        <v>595</v>
      </c>
      <c r="H15" s="4">
        <v>114</v>
      </c>
      <c r="I15" s="4">
        <v>0</v>
      </c>
      <c r="J15" s="4" t="s">
        <v>1139</v>
      </c>
      <c r="K15" s="4" t="s">
        <v>1314</v>
      </c>
      <c r="L15" s="4">
        <v>0</v>
      </c>
      <c r="M15" s="4" t="s">
        <v>1304</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0</v>
      </c>
      <c r="AI15" s="4">
        <v>0</v>
      </c>
      <c r="AJ15" s="26"/>
      <c r="AK15" s="26"/>
      <c r="AL15" s="26"/>
      <c r="AM15" s="26"/>
      <c r="AN15" s="26"/>
      <c r="AO15" s="26"/>
      <c r="AP15" s="26"/>
      <c r="AQ15" s="26"/>
      <c r="AR15" s="26"/>
      <c r="AS15" s="26"/>
      <c r="AT15" s="26"/>
      <c r="AU15" s="26"/>
      <c r="AV15" s="26"/>
      <c r="AW15" s="4">
        <v>0</v>
      </c>
      <c r="AX15" s="4">
        <v>0</v>
      </c>
      <c r="AY15" s="4">
        <v>0</v>
      </c>
      <c r="AZ15" s="4">
        <v>0</v>
      </c>
      <c r="BA15" s="4">
        <v>0</v>
      </c>
      <c r="BB15" s="4">
        <v>0</v>
      </c>
      <c r="BC15" s="4">
        <v>0</v>
      </c>
      <c r="BD15" s="4">
        <v>0</v>
      </c>
      <c r="BE15" s="4">
        <v>0</v>
      </c>
      <c r="BF15" s="4">
        <v>0</v>
      </c>
      <c r="BG15" s="4">
        <v>0</v>
      </c>
      <c r="BH15" s="4">
        <v>0</v>
      </c>
      <c r="BI15" s="4">
        <v>0</v>
      </c>
      <c r="BJ15" s="4">
        <v>0</v>
      </c>
      <c r="BK15" s="4">
        <v>0</v>
      </c>
      <c r="BL15" s="4">
        <v>0</v>
      </c>
      <c r="BM15" s="4">
        <v>0</v>
      </c>
      <c r="BN15" s="4">
        <v>0</v>
      </c>
      <c r="BO15" s="4">
        <v>0</v>
      </c>
      <c r="BP15" s="4">
        <v>0</v>
      </c>
      <c r="BQ15" s="4">
        <v>267.34800000000001</v>
      </c>
      <c r="BR15" s="4" t="s">
        <v>1283</v>
      </c>
      <c r="BS15" s="4" t="s">
        <v>1283</v>
      </c>
      <c r="BT15" s="4" t="s">
        <v>1283</v>
      </c>
      <c r="BU15" s="4" t="s">
        <v>1283</v>
      </c>
      <c r="BV15" s="4" t="s">
        <v>1283</v>
      </c>
      <c r="BW15" s="4" t="s">
        <v>1283</v>
      </c>
      <c r="BX15" s="4" t="s">
        <v>1283</v>
      </c>
      <c r="BY15" s="4">
        <v>0</v>
      </c>
      <c r="BZ15" s="4">
        <v>0</v>
      </c>
      <c r="CA15" s="4">
        <v>0</v>
      </c>
      <c r="CB15" s="4">
        <v>0</v>
      </c>
      <c r="CC15" s="4">
        <v>0</v>
      </c>
      <c r="CD15" s="4">
        <v>0</v>
      </c>
      <c r="CE15" s="4">
        <v>41.81</v>
      </c>
      <c r="CF15" s="4">
        <v>940.57600000000002</v>
      </c>
      <c r="CG15" s="4" t="s">
        <v>1283</v>
      </c>
      <c r="CH15" s="4">
        <v>30.904</v>
      </c>
      <c r="CI15" s="4">
        <v>0</v>
      </c>
      <c r="CJ15" s="4">
        <v>5.3659999999999997</v>
      </c>
      <c r="CK15" s="4" t="s">
        <v>1283</v>
      </c>
      <c r="CL15" s="4">
        <v>0</v>
      </c>
      <c r="CM15" s="4">
        <v>0</v>
      </c>
      <c r="CN15" s="4">
        <v>0</v>
      </c>
      <c r="CO15" s="4">
        <v>1.173</v>
      </c>
      <c r="CP15" s="4">
        <v>538.23699999999997</v>
      </c>
      <c r="CQ15" s="4">
        <v>0</v>
      </c>
      <c r="CR15" s="4">
        <v>183.36099999999999</v>
      </c>
      <c r="CS15" s="4">
        <v>276.88299999999998</v>
      </c>
      <c r="CT15" s="4">
        <v>22.734000000000002</v>
      </c>
      <c r="CU15" s="4">
        <v>71.286000000000001</v>
      </c>
      <c r="CV15" s="4">
        <v>4.1719999999999997</v>
      </c>
      <c r="CW15" s="4">
        <v>0.78400000000000003</v>
      </c>
      <c r="CX15" s="4">
        <v>1.587</v>
      </c>
      <c r="CY15" s="4" t="s">
        <v>1283</v>
      </c>
      <c r="CZ15" s="4" t="s">
        <v>1283</v>
      </c>
      <c r="DA15" s="4">
        <v>0.42899999999999999</v>
      </c>
      <c r="DB15" s="4">
        <v>0</v>
      </c>
      <c r="DC15" s="4">
        <v>0.54200000000000004</v>
      </c>
      <c r="DD15" s="4">
        <v>9.4E-2</v>
      </c>
      <c r="DE15" s="4">
        <v>0.69199999999999995</v>
      </c>
      <c r="DF15" s="4">
        <v>0</v>
      </c>
      <c r="DG15" s="4">
        <v>0</v>
      </c>
      <c r="DH15" s="4">
        <v>31.76</v>
      </c>
      <c r="DI15" s="4">
        <v>25.611000000000001</v>
      </c>
      <c r="DJ15" s="4">
        <v>0.999</v>
      </c>
      <c r="DK15" s="4">
        <v>0.13300000000000001</v>
      </c>
      <c r="DL15" s="4">
        <v>0</v>
      </c>
      <c r="DM15" s="4">
        <v>0</v>
      </c>
      <c r="DN15" s="4">
        <v>0</v>
      </c>
      <c r="DO15" s="4">
        <v>0</v>
      </c>
      <c r="DP15" s="4">
        <v>0</v>
      </c>
      <c r="DQ15" s="4">
        <v>0</v>
      </c>
      <c r="DR15" s="4">
        <v>0</v>
      </c>
      <c r="DS15" s="4">
        <v>0</v>
      </c>
      <c r="DT15" s="4">
        <v>0</v>
      </c>
      <c r="DU15" s="4">
        <v>0</v>
      </c>
      <c r="DV15" s="4">
        <v>0</v>
      </c>
      <c r="DW15" s="4">
        <v>0</v>
      </c>
      <c r="DX15" s="4">
        <v>0</v>
      </c>
      <c r="DY15" s="4">
        <v>0</v>
      </c>
      <c r="DZ15" s="4">
        <v>0</v>
      </c>
      <c r="EA15" s="4">
        <v>0</v>
      </c>
      <c r="EB15" s="4">
        <v>0</v>
      </c>
      <c r="EC15" s="4">
        <v>0</v>
      </c>
      <c r="ED15" s="4">
        <v>0</v>
      </c>
      <c r="EE15" s="4">
        <v>0</v>
      </c>
      <c r="EF15" s="4">
        <v>0</v>
      </c>
      <c r="EG15" s="4">
        <v>0</v>
      </c>
    </row>
    <row r="16" spans="1:137" s="4" customFormat="1">
      <c r="A16" s="4" t="s">
        <v>1280</v>
      </c>
      <c r="B16" s="4" t="s">
        <v>587</v>
      </c>
      <c r="D16" s="4">
        <v>0</v>
      </c>
      <c r="E16" s="4" t="s">
        <v>1394</v>
      </c>
      <c r="F16" s="4" t="s">
        <v>1302</v>
      </c>
      <c r="G16" s="4" t="s">
        <v>595</v>
      </c>
      <c r="H16" s="4">
        <v>114</v>
      </c>
      <c r="I16" s="4">
        <v>0</v>
      </c>
      <c r="J16" s="4" t="s">
        <v>1139</v>
      </c>
      <c r="K16" s="4" t="s">
        <v>1314</v>
      </c>
      <c r="L16" s="4">
        <v>0</v>
      </c>
      <c r="M16" s="4" t="s">
        <v>1305</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26"/>
      <c r="AK16" s="26"/>
      <c r="AL16" s="26"/>
      <c r="AM16" s="26"/>
      <c r="AN16" s="26"/>
      <c r="AO16" s="26"/>
      <c r="AP16" s="26"/>
      <c r="AQ16" s="26"/>
      <c r="AR16" s="26"/>
      <c r="AS16" s="26"/>
      <c r="AT16" s="26"/>
      <c r="AU16" s="26"/>
      <c r="AV16" s="26"/>
      <c r="AW16" s="4">
        <v>0</v>
      </c>
      <c r="AX16" s="4">
        <v>0</v>
      </c>
      <c r="AY16" s="4">
        <v>0</v>
      </c>
      <c r="AZ16" s="4">
        <v>0</v>
      </c>
      <c r="BA16" s="4">
        <v>0</v>
      </c>
      <c r="BB16" s="4">
        <v>0</v>
      </c>
      <c r="BC16" s="4">
        <v>0</v>
      </c>
      <c r="BD16" s="4">
        <v>0</v>
      </c>
      <c r="BE16" s="4">
        <v>0</v>
      </c>
      <c r="BF16" s="4">
        <v>0</v>
      </c>
      <c r="BG16" s="4">
        <v>0</v>
      </c>
      <c r="BH16" s="4">
        <v>0</v>
      </c>
      <c r="BI16" s="4">
        <v>0</v>
      </c>
      <c r="BJ16" s="4">
        <v>0</v>
      </c>
      <c r="BK16" s="4">
        <v>0</v>
      </c>
      <c r="BL16" s="4">
        <v>0</v>
      </c>
      <c r="BM16" s="4">
        <v>0</v>
      </c>
      <c r="BN16" s="4">
        <v>0</v>
      </c>
      <c r="BO16" s="4">
        <v>0</v>
      </c>
      <c r="BP16" s="4">
        <v>0</v>
      </c>
      <c r="BQ16" s="4">
        <v>20.006</v>
      </c>
      <c r="BR16" s="4" t="s">
        <v>1283</v>
      </c>
      <c r="BS16" s="4" t="s">
        <v>1283</v>
      </c>
      <c r="BT16" s="4" t="s">
        <v>1283</v>
      </c>
      <c r="BU16" s="4" t="s">
        <v>1283</v>
      </c>
      <c r="BV16" s="4" t="s">
        <v>1283</v>
      </c>
      <c r="BW16" s="4" t="s">
        <v>1283</v>
      </c>
      <c r="BX16" s="4" t="s">
        <v>1283</v>
      </c>
      <c r="BY16" s="4">
        <v>0</v>
      </c>
      <c r="BZ16" s="4">
        <v>0</v>
      </c>
      <c r="CA16" s="4">
        <v>0</v>
      </c>
      <c r="CB16" s="4">
        <v>0</v>
      </c>
      <c r="CC16" s="4">
        <v>0</v>
      </c>
      <c r="CD16" s="4">
        <v>0</v>
      </c>
      <c r="CE16" s="4">
        <v>2.4710000000000001</v>
      </c>
      <c r="CF16" s="4">
        <v>1.7290000000000001</v>
      </c>
      <c r="CG16" s="4">
        <v>0.16800000000000001</v>
      </c>
      <c r="CH16" s="4">
        <v>1.3939999999999999</v>
      </c>
      <c r="CI16" s="4">
        <v>0</v>
      </c>
      <c r="CJ16" s="4">
        <v>2.1110000000000002</v>
      </c>
      <c r="CK16" s="4" t="s">
        <v>1283</v>
      </c>
      <c r="CL16" s="4">
        <v>0</v>
      </c>
      <c r="CM16" s="4">
        <v>0</v>
      </c>
      <c r="CN16" s="4">
        <v>0</v>
      </c>
      <c r="CO16" s="4">
        <v>4.2000000000000003E-2</v>
      </c>
      <c r="CP16" s="4">
        <v>7.4660000000000002</v>
      </c>
      <c r="CQ16" s="4">
        <v>0</v>
      </c>
      <c r="CR16" s="4">
        <v>3.282</v>
      </c>
      <c r="CS16" s="4">
        <v>5.7030000000000003</v>
      </c>
      <c r="CT16" s="4">
        <v>0.55700000000000005</v>
      </c>
      <c r="CU16" s="4">
        <v>0.52400000000000002</v>
      </c>
      <c r="CV16" s="4">
        <v>0.22500000000000001</v>
      </c>
      <c r="CW16" s="4">
        <v>5.0999999999999997E-2</v>
      </c>
      <c r="CX16" s="4">
        <v>0.106</v>
      </c>
      <c r="CY16" s="4">
        <v>3.3000000000000002E-2</v>
      </c>
      <c r="CZ16" s="4" t="s">
        <v>1283</v>
      </c>
      <c r="DA16" s="4">
        <v>1.2E-2</v>
      </c>
      <c r="DB16" s="4">
        <v>0</v>
      </c>
      <c r="DC16" s="4">
        <v>1.9E-2</v>
      </c>
      <c r="DD16" s="4">
        <v>2.8999999999999998E-3</v>
      </c>
      <c r="DE16" s="4">
        <v>3.2000000000000001E-2</v>
      </c>
      <c r="DF16" s="4">
        <v>0</v>
      </c>
      <c r="DG16" s="4">
        <v>0</v>
      </c>
      <c r="DH16" s="4">
        <v>0.36599999999999999</v>
      </c>
      <c r="DI16" s="4">
        <v>0.78700000000000003</v>
      </c>
      <c r="DJ16" s="4">
        <v>0.06</v>
      </c>
      <c r="DK16" s="4">
        <v>9.4999999999999998E-3</v>
      </c>
      <c r="DL16" s="4">
        <v>0</v>
      </c>
      <c r="DM16" s="4">
        <v>0</v>
      </c>
      <c r="DN16" s="4">
        <v>0</v>
      </c>
      <c r="DO16" s="4">
        <v>0</v>
      </c>
      <c r="DP16" s="4">
        <v>0</v>
      </c>
      <c r="DQ16" s="4">
        <v>0</v>
      </c>
      <c r="DR16" s="4">
        <v>0</v>
      </c>
      <c r="DS16" s="4">
        <v>0</v>
      </c>
      <c r="DT16" s="4">
        <v>0</v>
      </c>
      <c r="DU16" s="4">
        <v>0</v>
      </c>
      <c r="DV16" s="4">
        <v>0</v>
      </c>
      <c r="DW16" s="4">
        <v>0</v>
      </c>
      <c r="DX16" s="4">
        <v>0</v>
      </c>
      <c r="DY16" s="4">
        <v>0</v>
      </c>
      <c r="DZ16" s="4">
        <v>0</v>
      </c>
      <c r="EA16" s="4">
        <v>0</v>
      </c>
      <c r="EB16" s="4">
        <v>0</v>
      </c>
      <c r="EC16" s="4">
        <v>0</v>
      </c>
      <c r="ED16" s="4">
        <v>0</v>
      </c>
      <c r="EE16" s="4">
        <v>0</v>
      </c>
      <c r="EF16" s="4">
        <v>0</v>
      </c>
      <c r="EG16" s="4">
        <v>0</v>
      </c>
    </row>
    <row r="17" spans="1:137" s="4" customFormat="1">
      <c r="A17" s="4" t="s">
        <v>1280</v>
      </c>
      <c r="B17" s="4" t="s">
        <v>587</v>
      </c>
      <c r="D17" s="4">
        <v>0</v>
      </c>
      <c r="E17" s="4" t="s">
        <v>1394</v>
      </c>
      <c r="F17" s="4" t="s">
        <v>1302</v>
      </c>
      <c r="G17" s="4" t="s">
        <v>595</v>
      </c>
      <c r="H17" s="4">
        <v>114</v>
      </c>
      <c r="I17" s="4">
        <v>0</v>
      </c>
      <c r="J17" s="4" t="s">
        <v>1139</v>
      </c>
      <c r="K17" s="4" t="s">
        <v>1314</v>
      </c>
      <c r="L17" s="4">
        <v>0</v>
      </c>
      <c r="M17" s="4" t="s">
        <v>1306</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26"/>
      <c r="AK17" s="26"/>
      <c r="AL17" s="26"/>
      <c r="AM17" s="26"/>
      <c r="AN17" s="26"/>
      <c r="AO17" s="26"/>
      <c r="AP17" s="26"/>
      <c r="AQ17" s="26"/>
      <c r="AR17" s="26"/>
      <c r="AS17" s="26"/>
      <c r="AT17" s="26"/>
      <c r="AU17" s="26"/>
      <c r="AV17" s="26"/>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21.552</v>
      </c>
      <c r="BR17" s="4" t="s">
        <v>1283</v>
      </c>
      <c r="BS17" s="4" t="s">
        <v>1283</v>
      </c>
      <c r="BT17" s="4" t="s">
        <v>1283</v>
      </c>
      <c r="BU17" s="4" t="s">
        <v>1283</v>
      </c>
      <c r="BV17" s="4" t="s">
        <v>1283</v>
      </c>
      <c r="BW17" s="4" t="s">
        <v>1283</v>
      </c>
      <c r="BX17" s="4" t="s">
        <v>1283</v>
      </c>
      <c r="BY17" s="4">
        <v>0</v>
      </c>
      <c r="BZ17" s="4">
        <v>0</v>
      </c>
      <c r="CA17" s="4">
        <v>0</v>
      </c>
      <c r="CB17" s="4">
        <v>0</v>
      </c>
      <c r="CC17" s="4">
        <v>0</v>
      </c>
      <c r="CD17" s="4">
        <v>0</v>
      </c>
      <c r="CE17" s="4">
        <v>3.5009999999999999</v>
      </c>
      <c r="CF17" s="4">
        <v>4.8730000000000002</v>
      </c>
      <c r="CG17" s="4">
        <v>2.8000000000000001E-2</v>
      </c>
      <c r="CH17" s="4">
        <v>1.448</v>
      </c>
      <c r="CI17" s="4">
        <v>0</v>
      </c>
      <c r="CJ17" s="4">
        <v>7.0999999999999994E-2</v>
      </c>
      <c r="CK17" s="4" t="s">
        <v>1283</v>
      </c>
      <c r="CL17" s="4">
        <v>0</v>
      </c>
      <c r="CM17" s="4">
        <v>0</v>
      </c>
      <c r="CN17" s="4">
        <v>0</v>
      </c>
      <c r="CO17" s="4">
        <v>3.7999999999999999E-2</v>
      </c>
      <c r="CP17" s="4">
        <v>26.981999999999999</v>
      </c>
      <c r="CQ17" s="4">
        <v>0</v>
      </c>
      <c r="CR17" s="4">
        <v>0.11899999999999999</v>
      </c>
      <c r="CS17" s="4">
        <v>0.17899999999999999</v>
      </c>
      <c r="CT17" s="4">
        <v>1.7999999999999999E-2</v>
      </c>
      <c r="CU17" s="4">
        <v>0.435</v>
      </c>
      <c r="CV17" s="4">
        <v>1.0999999999999999E-2</v>
      </c>
      <c r="CW17" s="4">
        <v>3.0999999999999999E-3</v>
      </c>
      <c r="CX17" s="4">
        <v>5.3E-3</v>
      </c>
      <c r="CY17" s="4">
        <v>4.4000000000000003E-3</v>
      </c>
      <c r="CZ17" s="4" t="s">
        <v>1283</v>
      </c>
      <c r="DA17" s="4">
        <v>2.3999999999999998E-3</v>
      </c>
      <c r="DB17" s="4">
        <v>0</v>
      </c>
      <c r="DC17" s="4">
        <v>3.8999999999999998E-3</v>
      </c>
      <c r="DD17" s="4">
        <v>6.2E-4</v>
      </c>
      <c r="DE17" s="4">
        <v>3.7999999999999999E-2</v>
      </c>
      <c r="DF17" s="4">
        <v>0</v>
      </c>
      <c r="DG17" s="4">
        <v>0</v>
      </c>
      <c r="DH17" s="4">
        <v>0.64300000000000002</v>
      </c>
      <c r="DI17" s="4">
        <v>7.8E-2</v>
      </c>
      <c r="DJ17" s="4">
        <v>2.5000000000000001E-2</v>
      </c>
      <c r="DK17" s="4">
        <v>9.2000000000000003E-4</v>
      </c>
      <c r="DL17" s="4">
        <v>0</v>
      </c>
      <c r="DM17" s="4">
        <v>0</v>
      </c>
      <c r="DN17" s="4">
        <v>0</v>
      </c>
      <c r="DO17" s="4">
        <v>0</v>
      </c>
      <c r="DP17" s="4">
        <v>0</v>
      </c>
      <c r="DQ17" s="4">
        <v>0</v>
      </c>
      <c r="DR17" s="4">
        <v>0</v>
      </c>
      <c r="DS17" s="4">
        <v>0</v>
      </c>
      <c r="DT17" s="4">
        <v>0</v>
      </c>
      <c r="DU17" s="4">
        <v>0</v>
      </c>
      <c r="DV17" s="4">
        <v>0</v>
      </c>
      <c r="DW17" s="4">
        <v>0</v>
      </c>
      <c r="DX17" s="4">
        <v>0</v>
      </c>
      <c r="DY17" s="4">
        <v>0</v>
      </c>
      <c r="DZ17" s="4">
        <v>0</v>
      </c>
      <c r="EA17" s="4">
        <v>0</v>
      </c>
      <c r="EB17" s="4">
        <v>0</v>
      </c>
      <c r="EC17" s="4">
        <v>0</v>
      </c>
      <c r="ED17" s="4">
        <v>0</v>
      </c>
      <c r="EE17" s="4">
        <v>0</v>
      </c>
      <c r="EF17" s="4">
        <v>0</v>
      </c>
      <c r="EG17" s="4">
        <v>0</v>
      </c>
    </row>
    <row r="18" spans="1:137">
      <c r="A18" t="s">
        <v>713</v>
      </c>
      <c r="B18" t="s">
        <v>24</v>
      </c>
      <c r="C18" t="str">
        <f>_xlfn.IFS(AND(AU18&gt;=15),"saline",AND(AK18&gt;=40,AU18&lt;=15),"silicic",AND(AK18&lt;=40,AK18&gt;=20,AO18&lt;=15,AU18&lt;=15),"silicic - low-Mg carbonatitic",AND(AO18&lt;15,AP18&gt;=15,AK18&lt;=20,AU18&lt;=15),"low-Mg carbonatitic",AND(AO18&gt;=15,AK18&lt;=20),"high-Mg carbonatitic")</f>
        <v>high-Mg carbonatitic</v>
      </c>
      <c r="D18" t="s">
        <v>25</v>
      </c>
      <c r="E18" t="s">
        <v>1395</v>
      </c>
      <c r="F18" t="s">
        <v>714</v>
      </c>
      <c r="G18" t="s">
        <v>595</v>
      </c>
      <c r="H18">
        <v>533</v>
      </c>
      <c r="I18" t="s">
        <v>712</v>
      </c>
      <c r="J18">
        <v>0</v>
      </c>
      <c r="K18" t="s">
        <v>47</v>
      </c>
      <c r="L18">
        <v>0</v>
      </c>
      <c r="M18" t="s">
        <v>704</v>
      </c>
      <c r="N18">
        <v>7</v>
      </c>
      <c r="O18">
        <v>8.8000000000000007</v>
      </c>
      <c r="P18">
        <v>1.2</v>
      </c>
      <c r="Q18">
        <v>0</v>
      </c>
      <c r="R18">
        <v>1.1000000000000001</v>
      </c>
      <c r="S18">
        <v>9.3000000000000007</v>
      </c>
      <c r="T18">
        <v>29.7</v>
      </c>
      <c r="U18">
        <v>0</v>
      </c>
      <c r="V18">
        <v>31.6</v>
      </c>
      <c r="W18">
        <v>2.1</v>
      </c>
      <c r="X18">
        <v>12.2</v>
      </c>
      <c r="Y18">
        <v>0</v>
      </c>
      <c r="Z18">
        <v>2.2999999999999998</v>
      </c>
      <c r="AA18">
        <v>0</v>
      </c>
      <c r="AB18">
        <v>0</v>
      </c>
      <c r="AC18">
        <v>0</v>
      </c>
      <c r="AD18">
        <v>1.7</v>
      </c>
      <c r="AE18">
        <v>0</v>
      </c>
      <c r="AF18">
        <v>0</v>
      </c>
      <c r="AG18">
        <v>0</v>
      </c>
      <c r="AH18">
        <v>0</v>
      </c>
      <c r="AI18">
        <v>1.6</v>
      </c>
      <c r="AJ18" s="26">
        <f>IFERROR(SUM(O18:P18,R18:T18,V18:X18,Z18,AB18,AD18),)</f>
        <v>99.999999999999986</v>
      </c>
      <c r="AK18" s="26">
        <f t="shared" ref="AK18:AL20" si="14">100*(O18/($AJ18-$AD18*8/35.45))</f>
        <v>8.8338902418304368</v>
      </c>
      <c r="AL18" s="26">
        <f t="shared" si="14"/>
        <v>1.2046213966132413</v>
      </c>
      <c r="AM18" s="26">
        <f t="shared" ref="AM18:AO20" si="15">100*(R18/($AJ18-$AD18*8/35.45))</f>
        <v>1.1042362802288046</v>
      </c>
      <c r="AN18" s="26">
        <f t="shared" si="15"/>
        <v>9.3358158237526201</v>
      </c>
      <c r="AO18" s="26">
        <f t="shared" si="15"/>
        <v>29.814379566177724</v>
      </c>
      <c r="AP18" s="26">
        <f>100*(V18/($AJ18-$AD18*8/35.45))</f>
        <v>31.721696777482023</v>
      </c>
      <c r="AQ18" s="26">
        <f>100*(AB18/($AJ18-$AD18*8/35.45))</f>
        <v>0</v>
      </c>
      <c r="AR18" s="26">
        <f t="shared" ref="AR18:AS20" si="16">100*(W18/($AJ18-$AD18*8/35.45))</f>
        <v>2.1080874440731723</v>
      </c>
      <c r="AS18" s="26">
        <f t="shared" si="16"/>
        <v>12.246984198901286</v>
      </c>
      <c r="AT18" s="26">
        <f>100*(Z18/($AJ18-$AD18*8/35.45))</f>
        <v>2.3088576768420457</v>
      </c>
      <c r="AU18" s="26">
        <f>100*(AD18/($AJ18-$AD18*8/35.45))</f>
        <v>1.706546978535425</v>
      </c>
      <c r="AV18" s="26">
        <f t="shared" ref="AV18" si="17">SUM(AK18:AU18)</f>
        <v>100.3851163844368</v>
      </c>
      <c r="AW18">
        <v>0</v>
      </c>
      <c r="AX18">
        <v>0</v>
      </c>
      <c r="AY18">
        <v>0</v>
      </c>
      <c r="AZ18">
        <v>0</v>
      </c>
      <c r="BA18">
        <v>0</v>
      </c>
      <c r="BB18">
        <v>0</v>
      </c>
      <c r="BC18">
        <v>0</v>
      </c>
      <c r="BD18">
        <v>324.8</v>
      </c>
      <c r="BE18">
        <v>69</v>
      </c>
      <c r="BF18">
        <v>1.8</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row>
    <row r="19" spans="1:137">
      <c r="A19" t="s">
        <v>713</v>
      </c>
      <c r="B19" t="s">
        <v>24</v>
      </c>
      <c r="C19" t="str">
        <f>_xlfn.IFS(AND(AU19&gt;=15),"saline",AND(AK19&gt;=40,AU19&lt;=15),"silicic",AND(AK19&lt;=40,AK19&gt;=20,AO19&lt;=15,AU19&lt;=15),"silicic - low-Mg carbonatitic",AND(AO19&lt;15,AP19&gt;=15,AK19&lt;=20,AU19&lt;=15),"low-Mg carbonatitic",AND(AO19&gt;=15,AK19&lt;=20),"high-Mg carbonatitic")</f>
        <v>high-Mg carbonatitic</v>
      </c>
      <c r="D19" t="s">
        <v>25</v>
      </c>
      <c r="E19" t="s">
        <v>1395</v>
      </c>
      <c r="F19" t="s">
        <v>714</v>
      </c>
      <c r="G19" t="s">
        <v>595</v>
      </c>
      <c r="H19">
        <v>533</v>
      </c>
      <c r="I19" t="s">
        <v>712</v>
      </c>
      <c r="J19">
        <v>0</v>
      </c>
      <c r="K19" t="s">
        <v>47</v>
      </c>
      <c r="L19">
        <v>0</v>
      </c>
      <c r="M19" t="s">
        <v>705</v>
      </c>
      <c r="N19">
        <v>3</v>
      </c>
      <c r="O19">
        <v>11.3</v>
      </c>
      <c r="P19">
        <v>1.9</v>
      </c>
      <c r="Q19">
        <v>0</v>
      </c>
      <c r="R19">
        <v>1.7</v>
      </c>
      <c r="S19">
        <v>10</v>
      </c>
      <c r="T19">
        <v>28.2</v>
      </c>
      <c r="U19">
        <v>0</v>
      </c>
      <c r="V19">
        <v>27.1</v>
      </c>
      <c r="W19">
        <v>2.7</v>
      </c>
      <c r="X19">
        <v>12.7</v>
      </c>
      <c r="Y19">
        <v>0</v>
      </c>
      <c r="Z19">
        <v>3.6</v>
      </c>
      <c r="AA19">
        <v>0</v>
      </c>
      <c r="AB19">
        <v>0</v>
      </c>
      <c r="AC19">
        <v>0</v>
      </c>
      <c r="AD19">
        <v>0.8</v>
      </c>
      <c r="AE19">
        <v>0</v>
      </c>
      <c r="AF19">
        <v>0</v>
      </c>
      <c r="AG19">
        <v>0</v>
      </c>
      <c r="AH19">
        <v>0</v>
      </c>
      <c r="AI19">
        <v>1.6</v>
      </c>
      <c r="AJ19" s="26">
        <f>IFERROR(SUM(O19:P19,R19:T19,V19:X19,Z19,AB19,AD19),)</f>
        <v>99.999999999999986</v>
      </c>
      <c r="AK19" s="26">
        <f t="shared" si="14"/>
        <v>11.320437461142827</v>
      </c>
      <c r="AL19" s="26">
        <f t="shared" si="14"/>
        <v>1.9034363872718025</v>
      </c>
      <c r="AM19" s="26">
        <f t="shared" si="15"/>
        <v>1.7030746622958233</v>
      </c>
      <c r="AN19" s="26">
        <f t="shared" si="15"/>
        <v>10.018086248798962</v>
      </c>
      <c r="AO19" s="26">
        <f t="shared" si="15"/>
        <v>28.251003221613068</v>
      </c>
      <c r="AP19" s="26">
        <f>100*(V19/($AJ19-$AD19*8/35.45))</f>
        <v>27.149013734245187</v>
      </c>
      <c r="AQ19" s="26">
        <f>100*(AB19/($AJ19-$AD19*8/35.45))</f>
        <v>0</v>
      </c>
      <c r="AR19" s="26">
        <f t="shared" si="16"/>
        <v>2.7048832871757198</v>
      </c>
      <c r="AS19" s="26">
        <f t="shared" si="16"/>
        <v>12.722969535974679</v>
      </c>
      <c r="AT19" s="26">
        <f>100*(Z19/($AJ19-$AD19*8/35.45))</f>
        <v>3.6065110495676262</v>
      </c>
      <c r="AU19" s="26">
        <f>100*(AD19/($AJ19-$AD19*8/35.45))</f>
        <v>0.80144689990391693</v>
      </c>
      <c r="AV19" s="26">
        <f>SUM(AK19:AU19)</f>
        <v>100.18086248798963</v>
      </c>
      <c r="AW19">
        <v>0</v>
      </c>
      <c r="AX19">
        <v>0</v>
      </c>
      <c r="AY19">
        <v>0</v>
      </c>
      <c r="AZ19">
        <v>0</v>
      </c>
      <c r="BA19">
        <v>0</v>
      </c>
      <c r="BB19">
        <v>0</v>
      </c>
      <c r="BC19">
        <v>0</v>
      </c>
      <c r="BD19">
        <v>68.5</v>
      </c>
      <c r="BE19">
        <v>92.8</v>
      </c>
      <c r="BF19">
        <v>1.4</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row>
    <row r="20" spans="1:137">
      <c r="A20" t="s">
        <v>713</v>
      </c>
      <c r="B20" t="s">
        <v>24</v>
      </c>
      <c r="C20" t="str">
        <f>_xlfn.IFS(AND(AU20&gt;=15),"saline",AND(AK20&gt;=40,AU20&lt;=15),"silicic",AND(AK20&lt;=40,AK20&gt;=20,AO20&lt;=15,AU20&lt;=15),"silicic - low-Mg carbonatitic",AND(AO20&lt;15,AP20&gt;=15,AK20&lt;=20,AU20&lt;=15),"low-Mg carbonatitic",AND(AO20&gt;=15,AK20&lt;=20),"high-Mg carbonatitic")</f>
        <v>high-Mg carbonatitic</v>
      </c>
      <c r="D20" t="s">
        <v>25</v>
      </c>
      <c r="E20" t="s">
        <v>1395</v>
      </c>
      <c r="F20" t="s">
        <v>714</v>
      </c>
      <c r="G20" t="s">
        <v>595</v>
      </c>
      <c r="H20">
        <v>533</v>
      </c>
      <c r="I20" t="s">
        <v>712</v>
      </c>
      <c r="J20">
        <v>0</v>
      </c>
      <c r="K20" t="s">
        <v>47</v>
      </c>
      <c r="L20">
        <v>0</v>
      </c>
      <c r="M20" t="s">
        <v>711</v>
      </c>
      <c r="N20">
        <v>4</v>
      </c>
      <c r="O20">
        <v>5.9</v>
      </c>
      <c r="P20">
        <v>0</v>
      </c>
      <c r="Q20">
        <v>0</v>
      </c>
      <c r="R20">
        <v>0.8</v>
      </c>
      <c r="S20">
        <v>0</v>
      </c>
      <c r="T20">
        <v>18.100000000000001</v>
      </c>
      <c r="U20">
        <v>0</v>
      </c>
      <c r="V20">
        <v>8.5</v>
      </c>
      <c r="W20">
        <v>0</v>
      </c>
      <c r="X20">
        <v>59.8</v>
      </c>
      <c r="Y20">
        <v>0</v>
      </c>
      <c r="Z20">
        <v>0</v>
      </c>
      <c r="AA20">
        <v>0</v>
      </c>
      <c r="AB20">
        <v>0</v>
      </c>
      <c r="AC20">
        <v>0</v>
      </c>
      <c r="AD20">
        <v>6.9</v>
      </c>
      <c r="AE20">
        <v>0</v>
      </c>
      <c r="AF20">
        <v>0</v>
      </c>
      <c r="AG20">
        <v>0</v>
      </c>
      <c r="AH20">
        <v>0</v>
      </c>
      <c r="AI20">
        <v>0.4</v>
      </c>
      <c r="AJ20" s="26">
        <f>IFERROR(SUM(O20:P20,R20:T20,V20:X20,Z20,AB20,AD20),)</f>
        <v>100</v>
      </c>
      <c r="AK20" s="26">
        <f t="shared" si="14"/>
        <v>5.9933233996217545</v>
      </c>
      <c r="AL20" s="26">
        <f t="shared" si="14"/>
        <v>0</v>
      </c>
      <c r="AM20" s="26">
        <f t="shared" si="15"/>
        <v>0.81265402028769562</v>
      </c>
      <c r="AN20" s="26">
        <f t="shared" si="15"/>
        <v>0</v>
      </c>
      <c r="AO20" s="26">
        <f t="shared" si="15"/>
        <v>18.386297209009111</v>
      </c>
      <c r="AP20" s="26">
        <f>100*(V20/($AJ20-$AD20*8/35.45))</f>
        <v>8.634448965556766</v>
      </c>
      <c r="AQ20" s="26">
        <f>100*(AB20/($AJ20-$AD20*8/35.45))</f>
        <v>0</v>
      </c>
      <c r="AR20" s="26">
        <f t="shared" si="16"/>
        <v>0</v>
      </c>
      <c r="AS20" s="26">
        <f t="shared" si="16"/>
        <v>60.745888016505234</v>
      </c>
      <c r="AT20" s="26">
        <f>100*(Z20/($AJ20-$AD20*8/35.45))</f>
        <v>0</v>
      </c>
      <c r="AU20" s="26">
        <f>100*(AD20/($AJ20-$AD20*8/35.45))</f>
        <v>7.0091409249813745</v>
      </c>
      <c r="AV20" s="26">
        <f>SUM(AK20:AU20)</f>
        <v>101.58175253596194</v>
      </c>
      <c r="AW20">
        <v>0</v>
      </c>
      <c r="AX20">
        <v>0</v>
      </c>
      <c r="AY20">
        <v>0</v>
      </c>
      <c r="AZ20">
        <v>0</v>
      </c>
      <c r="BA20">
        <v>0</v>
      </c>
      <c r="BB20">
        <v>0</v>
      </c>
      <c r="BC20">
        <v>0</v>
      </c>
      <c r="BD20">
        <v>350.09</v>
      </c>
      <c r="BE20">
        <v>51.05</v>
      </c>
      <c r="BF20">
        <v>0.85</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row>
    <row r="21" spans="1:137">
      <c r="A21" t="s">
        <v>713</v>
      </c>
      <c r="B21" t="s">
        <v>24</v>
      </c>
      <c r="C21" t="str">
        <f t="shared" si="0"/>
        <v>low-Mg carbonatitic</v>
      </c>
      <c r="D21" t="s">
        <v>707</v>
      </c>
      <c r="E21" t="s">
        <v>1395</v>
      </c>
      <c r="F21" t="s">
        <v>714</v>
      </c>
      <c r="G21" t="s">
        <v>595</v>
      </c>
      <c r="H21">
        <v>533</v>
      </c>
      <c r="I21" t="s">
        <v>712</v>
      </c>
      <c r="J21">
        <v>0</v>
      </c>
      <c r="K21" t="s">
        <v>47</v>
      </c>
      <c r="L21">
        <v>0</v>
      </c>
      <c r="M21" t="s">
        <v>706</v>
      </c>
      <c r="N21">
        <v>3</v>
      </c>
      <c r="O21">
        <v>10.6</v>
      </c>
      <c r="P21">
        <v>8</v>
      </c>
      <c r="Q21">
        <v>0</v>
      </c>
      <c r="R21">
        <v>4.9000000000000004</v>
      </c>
      <c r="S21">
        <v>9.6999999999999993</v>
      </c>
      <c r="T21">
        <v>6.6</v>
      </c>
      <c r="U21">
        <v>0</v>
      </c>
      <c r="V21">
        <v>26.9</v>
      </c>
      <c r="W21">
        <v>6.8</v>
      </c>
      <c r="X21">
        <v>24.4</v>
      </c>
      <c r="Y21">
        <v>0</v>
      </c>
      <c r="Z21">
        <v>0</v>
      </c>
      <c r="AA21">
        <v>0</v>
      </c>
      <c r="AB21">
        <v>0</v>
      </c>
      <c r="AC21">
        <v>0</v>
      </c>
      <c r="AD21">
        <v>2</v>
      </c>
      <c r="AE21">
        <v>0</v>
      </c>
      <c r="AF21">
        <v>0</v>
      </c>
      <c r="AG21">
        <v>0</v>
      </c>
      <c r="AH21">
        <v>0</v>
      </c>
      <c r="AI21">
        <v>1.5</v>
      </c>
      <c r="AJ21" s="26">
        <f t="shared" si="1"/>
        <v>99.9</v>
      </c>
      <c r="AK21" s="26">
        <f t="shared" si="2"/>
        <v>10.658766031618613</v>
      </c>
      <c r="AL21" s="26">
        <f t="shared" si="3"/>
        <v>8.0443517219763123</v>
      </c>
      <c r="AM21" s="26">
        <f t="shared" si="4"/>
        <v>4.9271654297104917</v>
      </c>
      <c r="AN21" s="26">
        <f t="shared" si="5"/>
        <v>9.7537764628962762</v>
      </c>
      <c r="AO21" s="26">
        <f t="shared" si="6"/>
        <v>6.6365901706304573</v>
      </c>
      <c r="AP21" s="26">
        <f t="shared" si="7"/>
        <v>27.049132665145347</v>
      </c>
      <c r="AQ21" s="26">
        <f t="shared" si="8"/>
        <v>0</v>
      </c>
      <c r="AR21" s="26">
        <f t="shared" si="9"/>
        <v>6.8376989636798653</v>
      </c>
      <c r="AS21" s="26">
        <f t="shared" si="10"/>
        <v>24.535272752027751</v>
      </c>
      <c r="AT21" s="26">
        <f t="shared" si="11"/>
        <v>0</v>
      </c>
      <c r="AU21" s="26">
        <f t="shared" si="12"/>
        <v>2.0110879304940781</v>
      </c>
      <c r="AV21" s="26">
        <f t="shared" si="13"/>
        <v>100.45384212817919</v>
      </c>
      <c r="AW21">
        <v>0</v>
      </c>
      <c r="AX21">
        <v>0</v>
      </c>
      <c r="AY21">
        <v>0</v>
      </c>
      <c r="AZ21">
        <v>0</v>
      </c>
      <c r="BA21">
        <v>0</v>
      </c>
      <c r="BB21">
        <v>0</v>
      </c>
      <c r="BC21">
        <v>0</v>
      </c>
      <c r="BD21">
        <v>827.47</v>
      </c>
      <c r="BE21">
        <v>46.1</v>
      </c>
      <c r="BF21">
        <v>5.98</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row>
    <row r="22" spans="1:137">
      <c r="A22" t="s">
        <v>713</v>
      </c>
      <c r="B22" t="s">
        <v>24</v>
      </c>
      <c r="C22" t="str">
        <f t="shared" si="0"/>
        <v>saline</v>
      </c>
      <c r="D22" t="s">
        <v>119</v>
      </c>
      <c r="E22" t="s">
        <v>1395</v>
      </c>
      <c r="F22" t="s">
        <v>714</v>
      </c>
      <c r="G22" t="s">
        <v>595</v>
      </c>
      <c r="H22">
        <v>533</v>
      </c>
      <c r="I22" t="s">
        <v>712</v>
      </c>
      <c r="J22">
        <v>0</v>
      </c>
      <c r="K22" t="s">
        <v>47</v>
      </c>
      <c r="L22">
        <v>0</v>
      </c>
      <c r="M22" t="s">
        <v>708</v>
      </c>
      <c r="N22">
        <v>3</v>
      </c>
      <c r="O22">
        <v>3.7</v>
      </c>
      <c r="P22">
        <v>3.6</v>
      </c>
      <c r="Q22">
        <v>0</v>
      </c>
      <c r="R22">
        <v>3.7</v>
      </c>
      <c r="S22">
        <v>5.2</v>
      </c>
      <c r="T22">
        <v>2.2000000000000002</v>
      </c>
      <c r="U22">
        <v>0</v>
      </c>
      <c r="V22">
        <v>13.6</v>
      </c>
      <c r="W22">
        <v>0.9</v>
      </c>
      <c r="X22">
        <v>46.3</v>
      </c>
      <c r="Y22">
        <v>0</v>
      </c>
      <c r="Z22">
        <v>0</v>
      </c>
      <c r="AA22">
        <v>0</v>
      </c>
      <c r="AB22">
        <v>0</v>
      </c>
      <c r="AC22">
        <v>0</v>
      </c>
      <c r="AD22">
        <v>27</v>
      </c>
      <c r="AE22">
        <v>0</v>
      </c>
      <c r="AF22">
        <v>0</v>
      </c>
      <c r="AG22">
        <v>0</v>
      </c>
      <c r="AH22">
        <v>0</v>
      </c>
      <c r="AI22">
        <v>0.47</v>
      </c>
      <c r="AJ22" s="26">
        <f t="shared" si="1"/>
        <v>106.19999999999999</v>
      </c>
      <c r="AK22" s="26">
        <f t="shared" si="2"/>
        <v>3.6960485123098303</v>
      </c>
      <c r="AL22" s="26">
        <f t="shared" si="3"/>
        <v>3.5961553092744292</v>
      </c>
      <c r="AM22" s="26">
        <f t="shared" si="4"/>
        <v>3.6960485123098303</v>
      </c>
      <c r="AN22" s="26">
        <f t="shared" si="5"/>
        <v>5.1944465578408421</v>
      </c>
      <c r="AO22" s="26">
        <f t="shared" si="6"/>
        <v>2.1976504667788181</v>
      </c>
      <c r="AP22" s="26">
        <f t="shared" si="7"/>
        <v>13.585475612814509</v>
      </c>
      <c r="AQ22" s="26">
        <f t="shared" si="8"/>
        <v>0</v>
      </c>
      <c r="AR22" s="26">
        <f t="shared" si="9"/>
        <v>0.89903882731860729</v>
      </c>
      <c r="AS22" s="26">
        <f t="shared" si="10"/>
        <v>46.250553005390572</v>
      </c>
      <c r="AT22" s="26">
        <f t="shared" si="11"/>
        <v>0</v>
      </c>
      <c r="AU22" s="26">
        <f t="shared" si="12"/>
        <v>26.971164819558219</v>
      </c>
      <c r="AV22" s="26">
        <f t="shared" si="13"/>
        <v>106.08658162359566</v>
      </c>
      <c r="AW22">
        <v>0</v>
      </c>
      <c r="AX22">
        <v>0</v>
      </c>
      <c r="AY22">
        <v>0</v>
      </c>
      <c r="AZ22">
        <v>0</v>
      </c>
      <c r="BA22">
        <v>0</v>
      </c>
      <c r="BB22">
        <v>0</v>
      </c>
      <c r="BC22">
        <v>0</v>
      </c>
      <c r="BD22">
        <v>912.03</v>
      </c>
      <c r="BE22">
        <v>42.25</v>
      </c>
      <c r="BF22">
        <v>0.85</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row>
    <row r="23" spans="1:137">
      <c r="A23" t="s">
        <v>713</v>
      </c>
      <c r="B23" t="s">
        <v>24</v>
      </c>
      <c r="C23" t="str">
        <f t="shared" si="0"/>
        <v>silicic</v>
      </c>
      <c r="D23" t="s">
        <v>110</v>
      </c>
      <c r="E23" t="s">
        <v>1395</v>
      </c>
      <c r="F23" t="s">
        <v>714</v>
      </c>
      <c r="G23" t="s">
        <v>595</v>
      </c>
      <c r="H23">
        <v>533</v>
      </c>
      <c r="I23" t="s">
        <v>712</v>
      </c>
      <c r="J23">
        <v>0</v>
      </c>
      <c r="K23" t="s">
        <v>47</v>
      </c>
      <c r="L23">
        <v>0</v>
      </c>
      <c r="M23" t="s">
        <v>706</v>
      </c>
      <c r="N23">
        <v>1</v>
      </c>
      <c r="O23">
        <v>42</v>
      </c>
      <c r="P23">
        <v>2</v>
      </c>
      <c r="Q23">
        <v>0</v>
      </c>
      <c r="R23">
        <v>15</v>
      </c>
      <c r="S23">
        <v>1</v>
      </c>
      <c r="T23">
        <v>4</v>
      </c>
      <c r="U23">
        <v>0</v>
      </c>
      <c r="V23">
        <v>13</v>
      </c>
      <c r="W23">
        <v>12</v>
      </c>
      <c r="X23">
        <v>10</v>
      </c>
      <c r="Y23">
        <v>0</v>
      </c>
      <c r="Z23">
        <v>0</v>
      </c>
      <c r="AA23">
        <v>0</v>
      </c>
      <c r="AB23">
        <v>0</v>
      </c>
      <c r="AC23">
        <v>0</v>
      </c>
      <c r="AD23">
        <v>1</v>
      </c>
      <c r="AE23">
        <v>0</v>
      </c>
      <c r="AF23">
        <v>0</v>
      </c>
      <c r="AG23">
        <v>0</v>
      </c>
      <c r="AH23">
        <v>0</v>
      </c>
      <c r="AI23">
        <v>1.5</v>
      </c>
      <c r="AJ23" s="26">
        <f t="shared" si="1"/>
        <v>100</v>
      </c>
      <c r="AK23" s="26">
        <f t="shared" si="2"/>
        <v>42.0949957591179</v>
      </c>
      <c r="AL23" s="26">
        <f t="shared" si="3"/>
        <v>2.0045236075770427</v>
      </c>
      <c r="AM23" s="26">
        <f t="shared" si="4"/>
        <v>15.033927056827819</v>
      </c>
      <c r="AN23" s="26">
        <f t="shared" si="5"/>
        <v>1.0022618037885214</v>
      </c>
      <c r="AO23" s="26">
        <f t="shared" si="6"/>
        <v>4.0090472151540855</v>
      </c>
      <c r="AP23" s="26">
        <f t="shared" si="7"/>
        <v>13.029403449250779</v>
      </c>
      <c r="AQ23" s="26">
        <f t="shared" si="8"/>
        <v>0</v>
      </c>
      <c r="AR23" s="26">
        <f t="shared" si="9"/>
        <v>12.027141645462256</v>
      </c>
      <c r="AS23" s="26">
        <f t="shared" si="10"/>
        <v>10.022618037885215</v>
      </c>
      <c r="AT23" s="26">
        <f t="shared" si="11"/>
        <v>0</v>
      </c>
      <c r="AU23" s="26">
        <f t="shared" si="12"/>
        <v>1.0022618037885214</v>
      </c>
      <c r="AV23" s="26">
        <f t="shared" si="13"/>
        <v>100.22618037885213</v>
      </c>
      <c r="AW23">
        <v>0</v>
      </c>
      <c r="AX23">
        <v>0</v>
      </c>
      <c r="AY23">
        <v>0</v>
      </c>
      <c r="AZ23">
        <v>0</v>
      </c>
      <c r="BA23">
        <v>0</v>
      </c>
      <c r="BB23">
        <v>0</v>
      </c>
      <c r="BC23">
        <v>0</v>
      </c>
      <c r="BD23">
        <v>827.47</v>
      </c>
      <c r="BE23">
        <v>46.1</v>
      </c>
      <c r="BF23">
        <v>5.98</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row>
    <row r="24" spans="1:137">
      <c r="A24" t="s">
        <v>713</v>
      </c>
      <c r="B24" t="s">
        <v>709</v>
      </c>
      <c r="C24" t="str">
        <f t="shared" si="0"/>
        <v>silicic</v>
      </c>
      <c r="D24" t="s">
        <v>25</v>
      </c>
      <c r="E24" t="s">
        <v>1395</v>
      </c>
      <c r="F24" t="s">
        <v>714</v>
      </c>
      <c r="G24" t="s">
        <v>595</v>
      </c>
      <c r="H24">
        <v>533</v>
      </c>
      <c r="I24" t="s">
        <v>712</v>
      </c>
      <c r="J24">
        <v>0</v>
      </c>
      <c r="K24" t="s">
        <v>47</v>
      </c>
      <c r="L24" t="s">
        <v>710</v>
      </c>
      <c r="M24" t="s">
        <v>704</v>
      </c>
      <c r="N24">
        <v>7</v>
      </c>
      <c r="O24">
        <v>57.6</v>
      </c>
      <c r="P24">
        <v>0.7</v>
      </c>
      <c r="Q24">
        <v>0</v>
      </c>
      <c r="R24">
        <v>4.5</v>
      </c>
      <c r="S24">
        <v>3.8</v>
      </c>
      <c r="T24">
        <v>26.8</v>
      </c>
      <c r="U24">
        <v>0</v>
      </c>
      <c r="V24">
        <v>1.4</v>
      </c>
      <c r="W24">
        <v>1.7</v>
      </c>
      <c r="X24">
        <v>0.7</v>
      </c>
      <c r="Y24">
        <v>0</v>
      </c>
      <c r="Z24">
        <v>2.1</v>
      </c>
      <c r="AA24">
        <v>0</v>
      </c>
      <c r="AB24">
        <v>0</v>
      </c>
      <c r="AC24">
        <v>0</v>
      </c>
      <c r="AD24">
        <v>0.5</v>
      </c>
      <c r="AE24">
        <v>0</v>
      </c>
      <c r="AF24">
        <v>0</v>
      </c>
      <c r="AG24">
        <v>0</v>
      </c>
      <c r="AH24">
        <v>0</v>
      </c>
      <c r="AI24">
        <v>0.81</v>
      </c>
      <c r="AJ24" s="26">
        <f t="shared" si="1"/>
        <v>99.800000000000011</v>
      </c>
      <c r="AK24" s="26">
        <f t="shared" si="2"/>
        <v>57.780758423389379</v>
      </c>
      <c r="AL24" s="26">
        <f t="shared" si="3"/>
        <v>0.70219671695091257</v>
      </c>
      <c r="AM24" s="26">
        <f t="shared" si="4"/>
        <v>4.5141217518272958</v>
      </c>
      <c r="AN24" s="26">
        <f t="shared" si="5"/>
        <v>3.8119250348763822</v>
      </c>
      <c r="AO24" s="26">
        <f t="shared" si="6"/>
        <v>26.884102877549225</v>
      </c>
      <c r="AP24" s="26">
        <f t="shared" si="7"/>
        <v>1.4043934339018251</v>
      </c>
      <c r="AQ24" s="26">
        <f t="shared" si="8"/>
        <v>0</v>
      </c>
      <c r="AR24" s="26">
        <f t="shared" si="9"/>
        <v>1.7053348840236449</v>
      </c>
      <c r="AS24" s="26">
        <f t="shared" si="10"/>
        <v>0.70219671695091257</v>
      </c>
      <c r="AT24" s="26">
        <f t="shared" si="11"/>
        <v>2.1065901508527376</v>
      </c>
      <c r="AU24" s="26">
        <f t="shared" si="12"/>
        <v>0.5015690835363662</v>
      </c>
      <c r="AV24" s="26">
        <f t="shared" si="13"/>
        <v>100.11318907385869</v>
      </c>
      <c r="AW24">
        <v>0</v>
      </c>
      <c r="AX24">
        <v>0</v>
      </c>
      <c r="AY24">
        <v>0</v>
      </c>
      <c r="AZ24">
        <v>0</v>
      </c>
      <c r="BA24">
        <v>0</v>
      </c>
      <c r="BB24">
        <v>0</v>
      </c>
      <c r="BC24">
        <v>0</v>
      </c>
      <c r="BD24">
        <v>324.8</v>
      </c>
      <c r="BE24">
        <v>69</v>
      </c>
      <c r="BF24">
        <v>1.8</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row>
    <row r="25" spans="1:137" s="4" customFormat="1">
      <c r="A25" s="4" t="s">
        <v>1280</v>
      </c>
      <c r="B25" s="4" t="s">
        <v>587</v>
      </c>
      <c r="D25" s="4">
        <v>0</v>
      </c>
      <c r="E25" s="4" t="s">
        <v>806</v>
      </c>
      <c r="F25" s="4" t="s">
        <v>1281</v>
      </c>
      <c r="G25" s="4" t="s">
        <v>595</v>
      </c>
      <c r="H25" s="4">
        <v>170</v>
      </c>
      <c r="I25" s="4">
        <v>0</v>
      </c>
      <c r="J25" s="4" t="s">
        <v>1139</v>
      </c>
      <c r="K25" s="4" t="s">
        <v>1315</v>
      </c>
      <c r="L25" s="4" t="s">
        <v>1312</v>
      </c>
      <c r="M25" s="4" t="s">
        <v>1282</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
        <v>0</v>
      </c>
      <c r="AG25" s="4">
        <v>0</v>
      </c>
      <c r="AH25" s="4">
        <v>0</v>
      </c>
      <c r="AI25" s="4">
        <v>0</v>
      </c>
      <c r="AJ25" s="26"/>
      <c r="AK25" s="26"/>
      <c r="AL25" s="26"/>
      <c r="AM25" s="26"/>
      <c r="AN25" s="26"/>
      <c r="AO25" s="26"/>
      <c r="AP25" s="26"/>
      <c r="AQ25" s="26"/>
      <c r="AR25" s="26"/>
      <c r="AS25" s="26"/>
      <c r="AT25" s="26"/>
      <c r="AU25" s="26"/>
      <c r="AV25" s="26"/>
      <c r="AW25" s="4">
        <v>0</v>
      </c>
      <c r="AX25" s="4">
        <v>0</v>
      </c>
      <c r="AY25" s="4">
        <v>0</v>
      </c>
      <c r="AZ25" s="4">
        <v>0</v>
      </c>
      <c r="BA25" s="4">
        <v>0</v>
      </c>
      <c r="BB25" s="4">
        <v>0</v>
      </c>
      <c r="BC25" s="4">
        <v>0</v>
      </c>
      <c r="BD25" s="4">
        <v>0</v>
      </c>
      <c r="BE25" s="4">
        <v>0</v>
      </c>
      <c r="BF25" s="4">
        <v>0</v>
      </c>
      <c r="BG25" s="4">
        <v>0</v>
      </c>
      <c r="BH25" s="4">
        <v>0</v>
      </c>
      <c r="BI25" s="4">
        <v>0</v>
      </c>
      <c r="BJ25" s="4">
        <v>0</v>
      </c>
      <c r="BK25" s="4">
        <v>0</v>
      </c>
      <c r="BL25" s="4">
        <v>0</v>
      </c>
      <c r="BM25" s="4">
        <v>0</v>
      </c>
      <c r="BN25" s="4">
        <v>0</v>
      </c>
      <c r="BO25" s="4">
        <v>0</v>
      </c>
      <c r="BP25" s="4">
        <v>0</v>
      </c>
      <c r="BQ25" s="4" t="s">
        <v>1283</v>
      </c>
      <c r="BR25" s="4">
        <v>0.52200000000000002</v>
      </c>
      <c r="BS25" s="4">
        <v>2.3E-2</v>
      </c>
      <c r="BT25" s="4">
        <v>4.8280000000000003</v>
      </c>
      <c r="BU25" s="4">
        <v>0.85</v>
      </c>
      <c r="BV25" s="4">
        <v>59.311</v>
      </c>
      <c r="BW25" s="4">
        <v>1.21</v>
      </c>
      <c r="BX25" s="4">
        <v>2.5000000000000001E-3</v>
      </c>
      <c r="BY25" s="4">
        <v>0</v>
      </c>
      <c r="BZ25" s="4">
        <v>0</v>
      </c>
      <c r="CA25" s="4">
        <v>0</v>
      </c>
      <c r="CB25" s="4">
        <v>0</v>
      </c>
      <c r="CC25" s="4">
        <v>0</v>
      </c>
      <c r="CD25" s="4">
        <v>0</v>
      </c>
      <c r="CE25" s="4" t="s">
        <v>1283</v>
      </c>
      <c r="CF25" s="4" t="s">
        <v>1283</v>
      </c>
      <c r="CG25" s="4">
        <v>0.57899999999999996</v>
      </c>
      <c r="CH25" s="4">
        <v>4.1000000000000002E-2</v>
      </c>
      <c r="CI25" s="4">
        <v>0</v>
      </c>
      <c r="CJ25" s="4">
        <v>1.1999999999999999E-3</v>
      </c>
      <c r="CK25" s="4">
        <v>4.2000000000000003E-2</v>
      </c>
      <c r="CL25" s="4">
        <v>0</v>
      </c>
      <c r="CM25" s="4">
        <v>0</v>
      </c>
      <c r="CN25" s="4">
        <v>0</v>
      </c>
      <c r="CO25" s="4">
        <v>2.3999999999999998E-4</v>
      </c>
      <c r="CP25" s="4">
        <v>1.2999999999999999E-2</v>
      </c>
      <c r="CQ25" s="4">
        <v>0</v>
      </c>
      <c r="CR25" s="4">
        <v>6.0999999999999997E-4</v>
      </c>
      <c r="CS25" s="4">
        <v>1.9E-3</v>
      </c>
      <c r="CT25" s="4" t="s">
        <v>1283</v>
      </c>
      <c r="CU25" s="4">
        <v>8.9999999999999992E-5</v>
      </c>
      <c r="CV25" s="4">
        <v>5.0000000000000002E-5</v>
      </c>
      <c r="CW25" s="4">
        <v>1.1999999999999999E-4</v>
      </c>
      <c r="CX25" s="4">
        <v>1.1999999999999999E-4</v>
      </c>
      <c r="CY25" s="4">
        <v>1.0000000000000001E-5</v>
      </c>
      <c r="CZ25" s="4">
        <v>1.0000000000000001E-5</v>
      </c>
      <c r="DA25" s="4">
        <v>4.0000000000000003E-5</v>
      </c>
      <c r="DB25" s="4">
        <v>0</v>
      </c>
      <c r="DC25" s="4">
        <v>5.9999999999999995E-5</v>
      </c>
      <c r="DD25" s="4">
        <v>2.0000000000000002E-5</v>
      </c>
      <c r="DE25" s="4">
        <v>1.4E-3</v>
      </c>
      <c r="DF25" s="4">
        <v>0</v>
      </c>
      <c r="DG25" s="4">
        <v>0</v>
      </c>
      <c r="DH25" s="4">
        <v>5.5780000000000003</v>
      </c>
      <c r="DI25" s="4">
        <v>3.6999999999999999E-4</v>
      </c>
      <c r="DJ25" s="4">
        <v>5.2000000000000006E-4</v>
      </c>
      <c r="DK25" s="4">
        <v>2.9E-4</v>
      </c>
      <c r="DL25" s="4">
        <v>0</v>
      </c>
      <c r="DM25" s="4">
        <v>0</v>
      </c>
      <c r="DN25" s="4">
        <v>0</v>
      </c>
      <c r="DO25" s="4">
        <v>0</v>
      </c>
      <c r="DP25" s="4">
        <v>0</v>
      </c>
      <c r="DQ25" s="4">
        <v>0</v>
      </c>
      <c r="DR25" s="4">
        <v>0</v>
      </c>
      <c r="DS25" s="4">
        <v>0</v>
      </c>
      <c r="DT25" s="4">
        <v>0</v>
      </c>
      <c r="DU25" s="4">
        <v>0</v>
      </c>
      <c r="DV25" s="4">
        <v>0</v>
      </c>
      <c r="DW25" s="4">
        <v>0</v>
      </c>
      <c r="DX25" s="4">
        <v>0</v>
      </c>
      <c r="DY25" s="4">
        <v>0</v>
      </c>
      <c r="DZ25" s="4">
        <v>0</v>
      </c>
      <c r="EA25" s="4">
        <v>0</v>
      </c>
      <c r="EB25" s="4">
        <v>0</v>
      </c>
      <c r="EC25" s="4">
        <v>0</v>
      </c>
      <c r="ED25" s="4">
        <v>0</v>
      </c>
      <c r="EE25" s="4">
        <v>0</v>
      </c>
      <c r="EF25" s="4">
        <v>0</v>
      </c>
      <c r="EG25" s="4">
        <v>0</v>
      </c>
    </row>
    <row r="26" spans="1:137" s="4" customFormat="1">
      <c r="A26" s="4" t="s">
        <v>1280</v>
      </c>
      <c r="B26" s="4" t="s">
        <v>587</v>
      </c>
      <c r="D26" s="4">
        <v>0</v>
      </c>
      <c r="E26" s="4" t="s">
        <v>806</v>
      </c>
      <c r="F26" s="4" t="s">
        <v>1281</v>
      </c>
      <c r="G26" s="4" t="s">
        <v>595</v>
      </c>
      <c r="H26" s="4">
        <v>170</v>
      </c>
      <c r="I26" s="4">
        <v>0</v>
      </c>
      <c r="J26" s="4" t="s">
        <v>1139</v>
      </c>
      <c r="K26" s="4" t="s">
        <v>1315</v>
      </c>
      <c r="L26" s="4" t="s">
        <v>1312</v>
      </c>
      <c r="M26" s="4" t="s">
        <v>1284</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26"/>
      <c r="AK26" s="26"/>
      <c r="AL26" s="26"/>
      <c r="AM26" s="26"/>
      <c r="AN26" s="26"/>
      <c r="AO26" s="26"/>
      <c r="AP26" s="26"/>
      <c r="AQ26" s="26"/>
      <c r="AR26" s="26"/>
      <c r="AS26" s="26"/>
      <c r="AT26" s="26"/>
      <c r="AU26" s="26"/>
      <c r="AV26" s="26"/>
      <c r="AW26" s="4">
        <v>0</v>
      </c>
      <c r="AX26" s="4">
        <v>0</v>
      </c>
      <c r="AY26" s="4">
        <v>0</v>
      </c>
      <c r="AZ26" s="4">
        <v>0</v>
      </c>
      <c r="BA26" s="4">
        <v>0</v>
      </c>
      <c r="BB26" s="4">
        <v>0</v>
      </c>
      <c r="BC26" s="4">
        <v>0</v>
      </c>
      <c r="BD26" s="4">
        <v>0</v>
      </c>
      <c r="BE26" s="4">
        <v>0</v>
      </c>
      <c r="BF26" s="4">
        <v>0</v>
      </c>
      <c r="BG26" s="4">
        <v>0</v>
      </c>
      <c r="BH26" s="4">
        <v>0</v>
      </c>
      <c r="BI26" s="4">
        <v>0</v>
      </c>
      <c r="BJ26" s="4">
        <v>0</v>
      </c>
      <c r="BK26" s="4">
        <v>0</v>
      </c>
      <c r="BL26" s="4">
        <v>0</v>
      </c>
      <c r="BM26" s="4">
        <v>0</v>
      </c>
      <c r="BN26" s="4">
        <v>0</v>
      </c>
      <c r="BO26" s="4">
        <v>0</v>
      </c>
      <c r="BP26" s="4">
        <v>0</v>
      </c>
      <c r="BQ26" s="4" t="s">
        <v>1283</v>
      </c>
      <c r="BR26" s="4">
        <v>1.3779999999999999</v>
      </c>
      <c r="BS26" s="4">
        <v>5.5E-2</v>
      </c>
      <c r="BT26" s="4">
        <v>3.403</v>
      </c>
      <c r="BU26" s="4">
        <v>0.46899999999999997</v>
      </c>
      <c r="BV26" s="4">
        <v>0.11700000000000001</v>
      </c>
      <c r="BW26" s="4">
        <v>0.23699999999999999</v>
      </c>
      <c r="BX26" s="4">
        <v>3.5999999999999999E-3</v>
      </c>
      <c r="BY26" s="4">
        <v>0</v>
      </c>
      <c r="BZ26" s="4">
        <v>0</v>
      </c>
      <c r="CA26" s="4">
        <v>0</v>
      </c>
      <c r="CB26" s="4">
        <v>0</v>
      </c>
      <c r="CC26" s="4">
        <v>0</v>
      </c>
      <c r="CD26" s="4">
        <v>0</v>
      </c>
      <c r="CE26" s="4" t="s">
        <v>1283</v>
      </c>
      <c r="CF26" s="4" t="s">
        <v>1283</v>
      </c>
      <c r="CG26" s="4">
        <v>9.8999999999999999E-4</v>
      </c>
      <c r="CH26" s="4">
        <v>4.3999999999999997E-2</v>
      </c>
      <c r="CI26" s="4">
        <v>0</v>
      </c>
      <c r="CJ26" s="4">
        <v>1.4E-3</v>
      </c>
      <c r="CK26" s="4">
        <v>9.5999999999999992E-3</v>
      </c>
      <c r="CL26" s="4">
        <v>0</v>
      </c>
      <c r="CM26" s="4">
        <v>0</v>
      </c>
      <c r="CN26" s="4">
        <v>0</v>
      </c>
      <c r="CO26" s="4">
        <v>1.6E-2</v>
      </c>
      <c r="CP26" s="4">
        <v>1.4999999999999999E-2</v>
      </c>
      <c r="CQ26" s="4">
        <v>0</v>
      </c>
      <c r="CR26" s="4">
        <v>1.1000000000000001E-3</v>
      </c>
      <c r="CS26" s="4">
        <v>0.01</v>
      </c>
      <c r="CT26" s="4">
        <v>8.0000000000000007E-5</v>
      </c>
      <c r="CU26" s="4">
        <v>2.9999999999999997E-5</v>
      </c>
      <c r="CV26" s="4">
        <v>2.9999999999999997E-5</v>
      </c>
      <c r="CW26" s="4" t="s">
        <v>1283</v>
      </c>
      <c r="CX26" s="4">
        <v>1.6000000000000001E-4</v>
      </c>
      <c r="CY26" s="4">
        <v>2.9999999999999997E-5</v>
      </c>
      <c r="CZ26" s="4">
        <v>1.0000000000000001E-5</v>
      </c>
      <c r="DA26" s="4">
        <v>2.9999999999999997E-5</v>
      </c>
      <c r="DB26" s="4">
        <v>0</v>
      </c>
      <c r="DC26" s="4">
        <v>2.9999999999999997E-5</v>
      </c>
      <c r="DD26" s="4">
        <v>2.9999999999999997E-5</v>
      </c>
      <c r="DE26" s="4">
        <v>1.4E-3</v>
      </c>
      <c r="DF26" s="4">
        <v>0</v>
      </c>
      <c r="DG26" s="4">
        <v>0</v>
      </c>
      <c r="DH26" s="4">
        <v>8.9999999999999993E-3</v>
      </c>
      <c r="DI26" s="4" t="s">
        <v>1283</v>
      </c>
      <c r="DJ26" s="4">
        <v>2.0000000000000001E-4</v>
      </c>
      <c r="DK26" s="4">
        <v>2.2000000000000001E-4</v>
      </c>
      <c r="DL26" s="4">
        <v>0</v>
      </c>
      <c r="DM26" s="4">
        <v>0</v>
      </c>
      <c r="DN26" s="4">
        <v>0</v>
      </c>
      <c r="DO26" s="4">
        <v>0</v>
      </c>
      <c r="DP26" s="4">
        <v>0</v>
      </c>
      <c r="DQ26" s="4">
        <v>0</v>
      </c>
      <c r="DR26" s="4">
        <v>0</v>
      </c>
      <c r="DS26" s="4">
        <v>0</v>
      </c>
      <c r="DT26" s="4">
        <v>0</v>
      </c>
      <c r="DU26" s="4">
        <v>0</v>
      </c>
      <c r="DV26" s="4">
        <v>0</v>
      </c>
      <c r="DW26" s="4">
        <v>0</v>
      </c>
      <c r="DX26" s="4">
        <v>0</v>
      </c>
      <c r="DY26" s="4">
        <v>0</v>
      </c>
      <c r="DZ26" s="4">
        <v>0</v>
      </c>
      <c r="EA26" s="4">
        <v>0</v>
      </c>
      <c r="EB26" s="4">
        <v>0</v>
      </c>
      <c r="EC26" s="4">
        <v>0</v>
      </c>
      <c r="ED26" s="4">
        <v>0</v>
      </c>
      <c r="EE26" s="4">
        <v>0</v>
      </c>
      <c r="EF26" s="4">
        <v>0</v>
      </c>
      <c r="EG26" s="4">
        <v>0</v>
      </c>
    </row>
    <row r="27" spans="1:137" s="4" customFormat="1">
      <c r="A27" s="4" t="s">
        <v>1280</v>
      </c>
      <c r="B27" s="4" t="s">
        <v>587</v>
      </c>
      <c r="D27" s="4">
        <v>0</v>
      </c>
      <c r="E27" s="4" t="s">
        <v>806</v>
      </c>
      <c r="F27" s="4" t="s">
        <v>1281</v>
      </c>
      <c r="G27" s="4" t="s">
        <v>595</v>
      </c>
      <c r="H27" s="4">
        <v>170</v>
      </c>
      <c r="I27" s="4">
        <v>0</v>
      </c>
      <c r="J27" s="4" t="s">
        <v>1139</v>
      </c>
      <c r="K27" s="4" t="s">
        <v>1315</v>
      </c>
      <c r="L27" s="4" t="s">
        <v>1312</v>
      </c>
      <c r="M27" s="4" t="s">
        <v>1285</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26"/>
      <c r="AK27" s="26"/>
      <c r="AL27" s="26"/>
      <c r="AM27" s="26"/>
      <c r="AN27" s="26"/>
      <c r="AO27" s="26"/>
      <c r="AP27" s="26"/>
      <c r="AQ27" s="26"/>
      <c r="AR27" s="26"/>
      <c r="AS27" s="26"/>
      <c r="AT27" s="26"/>
      <c r="AU27" s="26"/>
      <c r="AV27" s="26"/>
      <c r="AW27" s="4">
        <v>0</v>
      </c>
      <c r="AX27" s="4">
        <v>0</v>
      </c>
      <c r="AY27" s="4">
        <v>0</v>
      </c>
      <c r="AZ27" s="4">
        <v>0</v>
      </c>
      <c r="BA27" s="4">
        <v>0</v>
      </c>
      <c r="BB27" s="4">
        <v>0</v>
      </c>
      <c r="BC27" s="4">
        <v>0</v>
      </c>
      <c r="BD27" s="4">
        <v>0</v>
      </c>
      <c r="BE27" s="4">
        <v>0</v>
      </c>
      <c r="BF27" s="4">
        <v>0</v>
      </c>
      <c r="BG27" s="4">
        <v>0</v>
      </c>
      <c r="BH27" s="4">
        <v>0</v>
      </c>
      <c r="BI27" s="4">
        <v>0</v>
      </c>
      <c r="BJ27" s="4">
        <v>0</v>
      </c>
      <c r="BK27" s="4">
        <v>0</v>
      </c>
      <c r="BL27" s="4">
        <v>0</v>
      </c>
      <c r="BM27" s="4">
        <v>0</v>
      </c>
      <c r="BN27" s="4">
        <v>0</v>
      </c>
      <c r="BO27" s="4">
        <v>0</v>
      </c>
      <c r="BP27" s="4">
        <v>0</v>
      </c>
      <c r="BQ27" s="4" t="s">
        <v>1283</v>
      </c>
      <c r="BR27" s="4">
        <v>38.194000000000003</v>
      </c>
      <c r="BS27" s="4">
        <v>2.004</v>
      </c>
      <c r="BT27" s="4">
        <v>46.906999999999996</v>
      </c>
      <c r="BU27" s="4">
        <v>0.63</v>
      </c>
      <c r="BV27" s="4">
        <v>0.56100000000000005</v>
      </c>
      <c r="BW27" s="4">
        <v>1.109</v>
      </c>
      <c r="BX27" s="4">
        <v>3.1E-2</v>
      </c>
      <c r="BY27" s="4">
        <v>0</v>
      </c>
      <c r="BZ27" s="4">
        <v>0</v>
      </c>
      <c r="CA27" s="4">
        <v>0</v>
      </c>
      <c r="CB27" s="4">
        <v>0</v>
      </c>
      <c r="CC27" s="4">
        <v>0</v>
      </c>
      <c r="CD27" s="4">
        <v>0</v>
      </c>
      <c r="CE27" s="4">
        <v>1.7000000000000001E-2</v>
      </c>
      <c r="CF27" s="4">
        <v>2.5999999999999999E-2</v>
      </c>
      <c r="CG27" s="4">
        <v>7.6E-3</v>
      </c>
      <c r="CH27" s="4">
        <v>0.52300000000000002</v>
      </c>
      <c r="CI27" s="4">
        <v>0</v>
      </c>
      <c r="CJ27" s="4">
        <v>2.7E-2</v>
      </c>
      <c r="CK27" s="4">
        <v>4.2000000000000003E-2</v>
      </c>
      <c r="CL27" s="4">
        <v>0</v>
      </c>
      <c r="CM27" s="4">
        <v>0</v>
      </c>
      <c r="CN27" s="4">
        <v>0</v>
      </c>
      <c r="CO27" s="4">
        <v>2.8E-3</v>
      </c>
      <c r="CP27" s="4">
        <v>0.16200000000000001</v>
      </c>
      <c r="CQ27" s="4">
        <v>0</v>
      </c>
      <c r="CR27" s="4">
        <v>6.7999999999999996E-3</v>
      </c>
      <c r="CS27" s="4">
        <v>2.4E-2</v>
      </c>
      <c r="CT27" s="4">
        <v>1.1000000000000001E-3</v>
      </c>
      <c r="CU27" s="4">
        <v>4.2000000000000006E-3</v>
      </c>
      <c r="CV27" s="4">
        <v>8.1999999999999998E-4</v>
      </c>
      <c r="CW27" s="4">
        <v>1.7000000000000001E-4</v>
      </c>
      <c r="CX27" s="4">
        <v>6.0999999999999997E-4</v>
      </c>
      <c r="CY27" s="4">
        <v>3.8000000000000002E-4</v>
      </c>
      <c r="CZ27" s="4">
        <v>5.9999999999999995E-5</v>
      </c>
      <c r="DA27" s="4">
        <v>2.9E-4</v>
      </c>
      <c r="DB27" s="4">
        <v>0</v>
      </c>
      <c r="DC27" s="4">
        <v>2.5000000000000001E-4</v>
      </c>
      <c r="DD27" s="4">
        <v>8.9999999999999992E-5</v>
      </c>
      <c r="DE27" s="4">
        <v>1.2999999999999999E-2</v>
      </c>
      <c r="DF27" s="4">
        <v>0</v>
      </c>
      <c r="DG27" s="4">
        <v>0</v>
      </c>
      <c r="DH27" s="4">
        <v>4.1000000000000002E-2</v>
      </c>
      <c r="DI27" s="4">
        <v>2.5999999999999999E-3</v>
      </c>
      <c r="DJ27" s="4">
        <v>1.1000000000000001E-3</v>
      </c>
      <c r="DK27" s="4">
        <v>1.1E-4</v>
      </c>
      <c r="DL27" s="4">
        <v>0</v>
      </c>
      <c r="DM27" s="4">
        <v>0</v>
      </c>
      <c r="DN27" s="4">
        <v>0</v>
      </c>
      <c r="DO27" s="4">
        <v>0</v>
      </c>
      <c r="DP27" s="4">
        <v>0</v>
      </c>
      <c r="DQ27" s="4">
        <v>0</v>
      </c>
      <c r="DR27" s="4">
        <v>0</v>
      </c>
      <c r="DS27" s="4">
        <v>0</v>
      </c>
      <c r="DT27" s="4">
        <v>0</v>
      </c>
      <c r="DU27" s="4">
        <v>0</v>
      </c>
      <c r="DV27" s="4">
        <v>0</v>
      </c>
      <c r="DW27" s="4">
        <v>0</v>
      </c>
      <c r="DX27" s="4">
        <v>0</v>
      </c>
      <c r="DY27" s="4">
        <v>0</v>
      </c>
      <c r="DZ27" s="4">
        <v>0</v>
      </c>
      <c r="EA27" s="4">
        <v>0</v>
      </c>
      <c r="EB27" s="4">
        <v>0</v>
      </c>
      <c r="EC27" s="4">
        <v>0</v>
      </c>
      <c r="ED27" s="4">
        <v>0</v>
      </c>
      <c r="EE27" s="4">
        <v>0</v>
      </c>
      <c r="EF27" s="4">
        <v>0</v>
      </c>
      <c r="EG27" s="4">
        <v>0</v>
      </c>
    </row>
    <row r="28" spans="1:137" s="4" customFormat="1">
      <c r="A28" s="4" t="s">
        <v>1280</v>
      </c>
      <c r="B28" s="4" t="s">
        <v>587</v>
      </c>
      <c r="D28" s="4">
        <v>0</v>
      </c>
      <c r="E28" s="4" t="s">
        <v>806</v>
      </c>
      <c r="F28" s="4" t="s">
        <v>1281</v>
      </c>
      <c r="G28" s="4" t="s">
        <v>595</v>
      </c>
      <c r="H28" s="4">
        <v>170</v>
      </c>
      <c r="I28" s="4">
        <v>0</v>
      </c>
      <c r="J28" s="4" t="s">
        <v>1139</v>
      </c>
      <c r="K28" s="4" t="s">
        <v>1315</v>
      </c>
      <c r="L28" s="4" t="s">
        <v>1312</v>
      </c>
      <c r="M28" s="4" t="s">
        <v>1286</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26"/>
      <c r="AK28" s="26"/>
      <c r="AL28" s="26"/>
      <c r="AM28" s="26"/>
      <c r="AN28" s="26"/>
      <c r="AO28" s="26"/>
      <c r="AP28" s="26"/>
      <c r="AQ28" s="26"/>
      <c r="AR28" s="26"/>
      <c r="AS28" s="26"/>
      <c r="AT28" s="26"/>
      <c r="AU28" s="26"/>
      <c r="AV28" s="26"/>
      <c r="AW28" s="4">
        <v>0</v>
      </c>
      <c r="AX28" s="4">
        <v>0</v>
      </c>
      <c r="AY28" s="4">
        <v>0</v>
      </c>
      <c r="AZ28" s="4">
        <v>0</v>
      </c>
      <c r="BA28" s="4">
        <v>0</v>
      </c>
      <c r="BB28" s="4">
        <v>0</v>
      </c>
      <c r="BC28" s="4">
        <v>0</v>
      </c>
      <c r="BD28" s="4">
        <v>0</v>
      </c>
      <c r="BE28" s="4">
        <v>0</v>
      </c>
      <c r="BF28" s="4">
        <v>0</v>
      </c>
      <c r="BG28" s="4">
        <v>0</v>
      </c>
      <c r="BH28" s="4">
        <v>0</v>
      </c>
      <c r="BI28" s="4">
        <v>0</v>
      </c>
      <c r="BJ28" s="4">
        <v>0</v>
      </c>
      <c r="BK28" s="4">
        <v>0</v>
      </c>
      <c r="BL28" s="4">
        <v>0</v>
      </c>
      <c r="BM28" s="4">
        <v>0</v>
      </c>
      <c r="BN28" s="4">
        <v>0</v>
      </c>
      <c r="BO28" s="4">
        <v>0</v>
      </c>
      <c r="BP28" s="4">
        <v>0</v>
      </c>
      <c r="BQ28" s="4" t="s">
        <v>1283</v>
      </c>
      <c r="BR28" s="4">
        <v>0.60899999999999999</v>
      </c>
      <c r="BS28" s="4">
        <v>5.0999999999999997E-2</v>
      </c>
      <c r="BT28" s="4">
        <v>1.1639999999999999</v>
      </c>
      <c r="BU28" s="4">
        <v>7.8E-2</v>
      </c>
      <c r="BV28" s="4">
        <v>0.188</v>
      </c>
      <c r="BW28" s="4" t="s">
        <v>1283</v>
      </c>
      <c r="BX28" s="4" t="s">
        <v>1283</v>
      </c>
      <c r="BY28" s="4">
        <v>0</v>
      </c>
      <c r="BZ28" s="4">
        <v>0</v>
      </c>
      <c r="CA28" s="4">
        <v>0</v>
      </c>
      <c r="CB28" s="4">
        <v>0</v>
      </c>
      <c r="CC28" s="4">
        <v>0</v>
      </c>
      <c r="CD28" s="4">
        <v>0</v>
      </c>
      <c r="CE28" s="4" t="s">
        <v>1283</v>
      </c>
      <c r="CF28" s="4" t="s">
        <v>1283</v>
      </c>
      <c r="CG28" s="4">
        <v>1E-3</v>
      </c>
      <c r="CH28" s="4">
        <v>3.4000000000000002E-2</v>
      </c>
      <c r="CI28" s="4">
        <v>0</v>
      </c>
      <c r="CJ28" s="4">
        <v>1.1000000000000001E-3</v>
      </c>
      <c r="CK28" s="4" t="s">
        <v>1283</v>
      </c>
      <c r="CL28" s="4">
        <v>0</v>
      </c>
      <c r="CM28" s="4">
        <v>0</v>
      </c>
      <c r="CN28" s="4">
        <v>0</v>
      </c>
      <c r="CO28" s="4">
        <v>1.3000000000000002E-4</v>
      </c>
      <c r="CP28" s="4">
        <v>2.4E-2</v>
      </c>
      <c r="CQ28" s="4">
        <v>0</v>
      </c>
      <c r="CR28" s="4">
        <v>1.8E-3</v>
      </c>
      <c r="CS28" s="4">
        <v>1.2E-2</v>
      </c>
      <c r="CT28" s="4">
        <v>2.8000000000000003E-4</v>
      </c>
      <c r="CU28" s="4">
        <v>6.7000000000000002E-4</v>
      </c>
      <c r="CV28" s="4">
        <v>1.3000000000000002E-4</v>
      </c>
      <c r="CW28" s="4">
        <v>2.9999999999999997E-5</v>
      </c>
      <c r="CX28" s="4">
        <v>1E-4</v>
      </c>
      <c r="CY28" s="4">
        <v>5.9999999999999995E-5</v>
      </c>
      <c r="CZ28" s="4">
        <v>1.0000000000000001E-5</v>
      </c>
      <c r="DA28" s="4">
        <v>2.0000000000000002E-5</v>
      </c>
      <c r="DB28" s="4">
        <v>0</v>
      </c>
      <c r="DC28" s="4">
        <v>2.9999999999999997E-5</v>
      </c>
      <c r="DD28" s="4">
        <v>2.0000000000000002E-5</v>
      </c>
      <c r="DE28" s="4">
        <v>5.0000000000000001E-4</v>
      </c>
      <c r="DF28" s="4">
        <v>0</v>
      </c>
      <c r="DG28" s="4">
        <v>0</v>
      </c>
      <c r="DH28" s="4">
        <v>6.7999999999999996E-3</v>
      </c>
      <c r="DI28" s="4" t="s">
        <v>1283</v>
      </c>
      <c r="DJ28" s="4">
        <v>8.9999999999999992E-5</v>
      </c>
      <c r="DK28" s="4">
        <v>2.9999999999999997E-5</v>
      </c>
      <c r="DL28" s="4">
        <v>0</v>
      </c>
      <c r="DM28" s="4">
        <v>0</v>
      </c>
      <c r="DN28" s="4">
        <v>0</v>
      </c>
      <c r="DO28" s="4">
        <v>0</v>
      </c>
      <c r="DP28" s="4">
        <v>0</v>
      </c>
      <c r="DQ28" s="4">
        <v>0</v>
      </c>
      <c r="DR28" s="4">
        <v>0</v>
      </c>
      <c r="DS28" s="4">
        <v>0</v>
      </c>
      <c r="DT28" s="4">
        <v>0</v>
      </c>
      <c r="DU28" s="4">
        <v>0</v>
      </c>
      <c r="DV28" s="4">
        <v>0</v>
      </c>
      <c r="DW28" s="4">
        <v>0</v>
      </c>
      <c r="DX28" s="4">
        <v>0</v>
      </c>
      <c r="DY28" s="4">
        <v>0</v>
      </c>
      <c r="DZ28" s="4">
        <v>0</v>
      </c>
      <c r="EA28" s="4">
        <v>0</v>
      </c>
      <c r="EB28" s="4">
        <v>0</v>
      </c>
      <c r="EC28" s="4">
        <v>0</v>
      </c>
      <c r="ED28" s="4">
        <v>0</v>
      </c>
      <c r="EE28" s="4">
        <v>0</v>
      </c>
      <c r="EF28" s="4">
        <v>0</v>
      </c>
      <c r="EG28" s="4">
        <v>0</v>
      </c>
    </row>
    <row r="29" spans="1:137" s="4" customFormat="1">
      <c r="A29" s="4" t="s">
        <v>1280</v>
      </c>
      <c r="B29" s="4" t="s">
        <v>587</v>
      </c>
      <c r="D29" s="4">
        <v>0</v>
      </c>
      <c r="E29" s="4" t="s">
        <v>806</v>
      </c>
      <c r="F29" s="4" t="s">
        <v>1281</v>
      </c>
      <c r="G29" s="4" t="s">
        <v>595</v>
      </c>
      <c r="H29" s="4">
        <v>170</v>
      </c>
      <c r="I29" s="4">
        <v>0</v>
      </c>
      <c r="J29" s="4" t="s">
        <v>1139</v>
      </c>
      <c r="K29" s="4" t="s">
        <v>1315</v>
      </c>
      <c r="L29" s="4" t="s">
        <v>1312</v>
      </c>
      <c r="M29" s="4" t="s">
        <v>1287</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26"/>
      <c r="AK29" s="26"/>
      <c r="AL29" s="26"/>
      <c r="AM29" s="26"/>
      <c r="AN29" s="26"/>
      <c r="AO29" s="26"/>
      <c r="AP29" s="26"/>
      <c r="AQ29" s="26"/>
      <c r="AR29" s="26"/>
      <c r="AS29" s="26"/>
      <c r="AT29" s="26"/>
      <c r="AU29" s="26"/>
      <c r="AV29" s="26"/>
      <c r="AW29" s="4">
        <v>0</v>
      </c>
      <c r="AX29" s="4">
        <v>0</v>
      </c>
      <c r="AY29" s="4">
        <v>0</v>
      </c>
      <c r="AZ29" s="4">
        <v>0</v>
      </c>
      <c r="BA29" s="4">
        <v>0</v>
      </c>
      <c r="BB29" s="4">
        <v>0</v>
      </c>
      <c r="BC29" s="4">
        <v>0</v>
      </c>
      <c r="BD29" s="4">
        <v>0</v>
      </c>
      <c r="BE29" s="4">
        <v>0</v>
      </c>
      <c r="BF29" s="4">
        <v>0</v>
      </c>
      <c r="BG29" s="4">
        <v>0</v>
      </c>
      <c r="BH29" s="4">
        <v>0</v>
      </c>
      <c r="BI29" s="4">
        <v>0</v>
      </c>
      <c r="BJ29" s="4">
        <v>0</v>
      </c>
      <c r="BK29" s="4">
        <v>0</v>
      </c>
      <c r="BL29" s="4">
        <v>0</v>
      </c>
      <c r="BM29" s="4">
        <v>0</v>
      </c>
      <c r="BN29" s="4">
        <v>0</v>
      </c>
      <c r="BO29" s="4">
        <v>0</v>
      </c>
      <c r="BP29" s="4">
        <v>0</v>
      </c>
      <c r="BQ29" s="4" t="s">
        <v>1283</v>
      </c>
      <c r="BR29" s="4">
        <v>3.3929999999999998</v>
      </c>
      <c r="BS29" s="4">
        <v>1.4490000000000001</v>
      </c>
      <c r="BT29" s="4">
        <v>151.768</v>
      </c>
      <c r="BU29" s="4">
        <v>32.18</v>
      </c>
      <c r="BV29" s="4">
        <v>5.8639999999999999</v>
      </c>
      <c r="BW29" s="4">
        <v>2.2879999999999998</v>
      </c>
      <c r="BX29" s="4">
        <v>0.68799999999999994</v>
      </c>
      <c r="BY29" s="4">
        <v>0</v>
      </c>
      <c r="BZ29" s="4">
        <v>0</v>
      </c>
      <c r="CA29" s="4">
        <v>0</v>
      </c>
      <c r="CB29" s="4">
        <v>0</v>
      </c>
      <c r="CC29" s="4">
        <v>0</v>
      </c>
      <c r="CD29" s="4">
        <v>0</v>
      </c>
      <c r="CE29" s="4">
        <v>1.4999999999999999E-2</v>
      </c>
      <c r="CF29" s="4">
        <v>4.0469999999999999E-2</v>
      </c>
      <c r="CG29" s="4">
        <v>2E-3</v>
      </c>
      <c r="CH29" s="4">
        <v>2.5999999999999999E-2</v>
      </c>
      <c r="CI29" s="4">
        <v>0</v>
      </c>
      <c r="CJ29" s="4">
        <v>4.9000000000000002E-2</v>
      </c>
      <c r="CK29" s="4">
        <v>6.8000000000000005E-2</v>
      </c>
      <c r="CL29" s="4">
        <v>0</v>
      </c>
      <c r="CM29" s="4">
        <v>0</v>
      </c>
      <c r="CN29" s="4">
        <v>0</v>
      </c>
      <c r="CO29" s="4">
        <v>1.8E-3</v>
      </c>
      <c r="CP29" s="4">
        <v>3.3000000000000002E-2</v>
      </c>
      <c r="CQ29" s="4">
        <v>0</v>
      </c>
      <c r="CR29" s="4">
        <v>6.4000000000000003E-3</v>
      </c>
      <c r="CS29" s="4">
        <v>2.1999999999999999E-2</v>
      </c>
      <c r="CT29" s="4">
        <v>1.5E-3</v>
      </c>
      <c r="CU29" s="4">
        <v>5.4000000000000003E-3</v>
      </c>
      <c r="CV29" s="4">
        <v>5.4000000000000001E-4</v>
      </c>
      <c r="CW29" s="4">
        <v>8.9999999999999992E-5</v>
      </c>
      <c r="CX29" s="4">
        <v>3.4000000000000002E-4</v>
      </c>
      <c r="CY29" s="4">
        <v>1.7000000000000001E-4</v>
      </c>
      <c r="CZ29" s="4">
        <v>4.0000000000000003E-5</v>
      </c>
      <c r="DA29" s="4">
        <v>1.3000000000000002E-4</v>
      </c>
      <c r="DB29" s="4">
        <v>0</v>
      </c>
      <c r="DC29" s="4">
        <v>1.6000000000000001E-4</v>
      </c>
      <c r="DD29" s="4">
        <v>5.0000000000000002E-5</v>
      </c>
      <c r="DE29" s="4">
        <v>1.1999999999999999E-3</v>
      </c>
      <c r="DF29" s="4">
        <v>0</v>
      </c>
      <c r="DG29" s="4">
        <v>0</v>
      </c>
      <c r="DH29" s="4">
        <v>4.0000000000000001E-3</v>
      </c>
      <c r="DI29" s="4">
        <v>4.5999999999999999E-3</v>
      </c>
      <c r="DJ29" s="4">
        <v>1.1000000000000001E-3</v>
      </c>
      <c r="DK29" s="4">
        <v>7.0000000000000007E-5</v>
      </c>
      <c r="DL29" s="4">
        <v>0</v>
      </c>
      <c r="DM29" s="4">
        <v>0</v>
      </c>
      <c r="DN29" s="4">
        <v>0</v>
      </c>
      <c r="DO29" s="4">
        <v>0</v>
      </c>
      <c r="DP29" s="4">
        <v>0</v>
      </c>
      <c r="DQ29" s="4">
        <v>0</v>
      </c>
      <c r="DR29" s="4">
        <v>0</v>
      </c>
      <c r="DS29" s="4">
        <v>0</v>
      </c>
      <c r="DT29" s="4">
        <v>0</v>
      </c>
      <c r="DU29" s="4">
        <v>0</v>
      </c>
      <c r="DV29" s="4">
        <v>0</v>
      </c>
      <c r="DW29" s="4">
        <v>0</v>
      </c>
      <c r="DX29" s="4">
        <v>0</v>
      </c>
      <c r="DY29" s="4">
        <v>0</v>
      </c>
      <c r="DZ29" s="4">
        <v>0</v>
      </c>
      <c r="EA29" s="4">
        <v>0</v>
      </c>
      <c r="EB29" s="4">
        <v>0</v>
      </c>
      <c r="EC29" s="4">
        <v>0</v>
      </c>
      <c r="ED29" s="4">
        <v>0</v>
      </c>
      <c r="EE29" s="4">
        <v>0</v>
      </c>
      <c r="EF29" s="4">
        <v>0</v>
      </c>
      <c r="EG29" s="4">
        <v>0</v>
      </c>
    </row>
    <row r="30" spans="1:137" s="4" customFormat="1">
      <c r="A30" s="4" t="s">
        <v>1280</v>
      </c>
      <c r="B30" s="4" t="s">
        <v>587</v>
      </c>
      <c r="D30" s="4">
        <v>0</v>
      </c>
      <c r="E30" s="4" t="s">
        <v>806</v>
      </c>
      <c r="F30" s="4" t="s">
        <v>1281</v>
      </c>
      <c r="G30" s="4" t="s">
        <v>595</v>
      </c>
      <c r="H30" s="4">
        <v>170</v>
      </c>
      <c r="I30" s="4">
        <v>0</v>
      </c>
      <c r="J30" s="4" t="s">
        <v>1139</v>
      </c>
      <c r="K30" s="4" t="s">
        <v>1315</v>
      </c>
      <c r="L30" s="4" t="s">
        <v>1312</v>
      </c>
      <c r="M30" s="4" t="s">
        <v>1288</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26"/>
      <c r="AK30" s="26"/>
      <c r="AL30" s="26"/>
      <c r="AM30" s="26"/>
      <c r="AN30" s="26"/>
      <c r="AO30" s="26"/>
      <c r="AP30" s="26"/>
      <c r="AQ30" s="26"/>
      <c r="AR30" s="26"/>
      <c r="AS30" s="26"/>
      <c r="AT30" s="26"/>
      <c r="AU30" s="26"/>
      <c r="AV30" s="26"/>
      <c r="AW30" s="4">
        <v>0</v>
      </c>
      <c r="AX30" s="4">
        <v>0</v>
      </c>
      <c r="AY30" s="4">
        <v>0</v>
      </c>
      <c r="AZ30" s="4">
        <v>0</v>
      </c>
      <c r="BA30" s="4">
        <v>0</v>
      </c>
      <c r="BB30" s="4">
        <v>0</v>
      </c>
      <c r="BC30" s="4">
        <v>0</v>
      </c>
      <c r="BD30" s="4">
        <v>0</v>
      </c>
      <c r="BE30" s="4">
        <v>0</v>
      </c>
      <c r="BF30" s="4">
        <v>0</v>
      </c>
      <c r="BG30" s="4">
        <v>0</v>
      </c>
      <c r="BH30" s="4">
        <v>0</v>
      </c>
      <c r="BI30" s="4">
        <v>0</v>
      </c>
      <c r="BJ30" s="4">
        <v>0</v>
      </c>
      <c r="BK30" s="4">
        <v>0</v>
      </c>
      <c r="BL30" s="4">
        <v>0</v>
      </c>
      <c r="BM30" s="4">
        <v>0</v>
      </c>
      <c r="BN30" s="4">
        <v>0</v>
      </c>
      <c r="BO30" s="4">
        <v>0</v>
      </c>
      <c r="BP30" s="4">
        <v>0</v>
      </c>
      <c r="BQ30" s="4" t="s">
        <v>1283</v>
      </c>
      <c r="BR30" s="4">
        <v>1.04</v>
      </c>
      <c r="BS30" s="4">
        <v>0.115</v>
      </c>
      <c r="BT30" s="4">
        <v>28.103000000000002</v>
      </c>
      <c r="BU30" s="4">
        <v>0.21199999999999999</v>
      </c>
      <c r="BV30" s="4">
        <v>0.28799999999999998</v>
      </c>
      <c r="BW30" s="4">
        <v>0.218</v>
      </c>
      <c r="BX30" s="4">
        <v>1.9E-2</v>
      </c>
      <c r="BY30" s="4">
        <v>0</v>
      </c>
      <c r="BZ30" s="4">
        <v>0</v>
      </c>
      <c r="CA30" s="4">
        <v>0</v>
      </c>
      <c r="CB30" s="4">
        <v>0</v>
      </c>
      <c r="CC30" s="4">
        <v>0</v>
      </c>
      <c r="CD30" s="4">
        <v>0</v>
      </c>
      <c r="CE30" s="4" t="s">
        <v>1283</v>
      </c>
      <c r="CF30" s="4" t="s">
        <v>1283</v>
      </c>
      <c r="CG30" s="4">
        <v>2.5000000000000001E-3</v>
      </c>
      <c r="CH30" s="4">
        <v>4.5999999999999999E-2</v>
      </c>
      <c r="CI30" s="4">
        <v>0</v>
      </c>
      <c r="CJ30" s="4">
        <v>1.9E-3</v>
      </c>
      <c r="CK30" s="4">
        <v>0.1</v>
      </c>
      <c r="CL30" s="4">
        <v>0</v>
      </c>
      <c r="CM30" s="4">
        <v>0</v>
      </c>
      <c r="CN30" s="4">
        <v>0</v>
      </c>
      <c r="CO30" s="4">
        <v>3.0999999999999999E-3</v>
      </c>
      <c r="CP30" s="4">
        <v>1E-3</v>
      </c>
      <c r="CQ30" s="4">
        <v>0</v>
      </c>
      <c r="CR30" s="4">
        <v>1E-3</v>
      </c>
      <c r="CS30" s="4">
        <v>6.0999999999999995E-3</v>
      </c>
      <c r="CT30" s="4">
        <v>1.4999999999999999E-4</v>
      </c>
      <c r="CU30" s="4">
        <v>4.4999999999999999E-4</v>
      </c>
      <c r="CV30" s="4">
        <v>8.9999999999999992E-5</v>
      </c>
      <c r="CW30" s="4" t="s">
        <v>1283</v>
      </c>
      <c r="CX30" s="4">
        <v>1E-4</v>
      </c>
      <c r="CY30" s="4">
        <v>5.0000000000000002E-5</v>
      </c>
      <c r="CZ30" s="4">
        <v>1.0000000000000001E-5</v>
      </c>
      <c r="DA30" s="4">
        <v>2.9999999999999997E-5</v>
      </c>
      <c r="DB30" s="4">
        <v>0</v>
      </c>
      <c r="DC30" s="4">
        <v>2.9999999999999997E-5</v>
      </c>
      <c r="DD30" s="4" t="s">
        <v>1283</v>
      </c>
      <c r="DE30" s="4">
        <v>1E-3</v>
      </c>
      <c r="DF30" s="4">
        <v>0</v>
      </c>
      <c r="DG30" s="4">
        <v>0</v>
      </c>
      <c r="DH30" s="4">
        <v>2.5000000000000001E-3</v>
      </c>
      <c r="DI30" s="4">
        <v>1.1999999999999999E-3</v>
      </c>
      <c r="DJ30" s="4">
        <v>1.0000000000000001E-5</v>
      </c>
      <c r="DK30" s="4" t="s">
        <v>1283</v>
      </c>
      <c r="DL30" s="4">
        <v>0</v>
      </c>
      <c r="DM30" s="4">
        <v>0</v>
      </c>
      <c r="DN30" s="4">
        <v>0</v>
      </c>
      <c r="DO30" s="4">
        <v>0</v>
      </c>
      <c r="DP30" s="4">
        <v>0</v>
      </c>
      <c r="DQ30" s="4">
        <v>0</v>
      </c>
      <c r="DR30" s="4">
        <v>0</v>
      </c>
      <c r="DS30" s="4">
        <v>0</v>
      </c>
      <c r="DT30" s="4">
        <v>0</v>
      </c>
      <c r="DU30" s="4">
        <v>0</v>
      </c>
      <c r="DV30" s="4">
        <v>0</v>
      </c>
      <c r="DW30" s="4">
        <v>0</v>
      </c>
      <c r="DX30" s="4">
        <v>0</v>
      </c>
      <c r="DY30" s="4">
        <v>0</v>
      </c>
      <c r="DZ30" s="4">
        <v>0</v>
      </c>
      <c r="EA30" s="4">
        <v>0</v>
      </c>
      <c r="EB30" s="4">
        <v>0</v>
      </c>
      <c r="EC30" s="4">
        <v>0</v>
      </c>
      <c r="ED30" s="4">
        <v>0</v>
      </c>
      <c r="EE30" s="4">
        <v>0</v>
      </c>
      <c r="EF30" s="4">
        <v>0</v>
      </c>
      <c r="EG30" s="4">
        <v>0</v>
      </c>
    </row>
    <row r="31" spans="1:137" s="4" customFormat="1">
      <c r="A31" s="4" t="s">
        <v>1280</v>
      </c>
      <c r="B31" s="4" t="s">
        <v>587</v>
      </c>
      <c r="D31" s="4">
        <v>0</v>
      </c>
      <c r="E31" s="4" t="s">
        <v>806</v>
      </c>
      <c r="F31" s="4" t="s">
        <v>1281</v>
      </c>
      <c r="G31" s="4" t="s">
        <v>595</v>
      </c>
      <c r="H31" s="4">
        <v>170</v>
      </c>
      <c r="I31" s="4">
        <v>0</v>
      </c>
      <c r="J31" s="4" t="s">
        <v>1139</v>
      </c>
      <c r="K31" s="4" t="s">
        <v>1315</v>
      </c>
      <c r="L31" s="4" t="s">
        <v>1312</v>
      </c>
      <c r="M31" s="4" t="s">
        <v>1289</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26"/>
      <c r="AK31" s="26"/>
      <c r="AL31" s="26"/>
      <c r="AM31" s="26"/>
      <c r="AN31" s="26"/>
      <c r="AO31" s="26"/>
      <c r="AP31" s="26"/>
      <c r="AQ31" s="26"/>
      <c r="AR31" s="26"/>
      <c r="AS31" s="26"/>
      <c r="AT31" s="26"/>
      <c r="AU31" s="26"/>
      <c r="AV31" s="26"/>
      <c r="AW31" s="4">
        <v>0</v>
      </c>
      <c r="AX31" s="4">
        <v>0</v>
      </c>
      <c r="AY31" s="4">
        <v>0</v>
      </c>
      <c r="AZ31" s="4">
        <v>0</v>
      </c>
      <c r="BA31" s="4">
        <v>0</v>
      </c>
      <c r="BB31" s="4">
        <v>0</v>
      </c>
      <c r="BC31" s="4">
        <v>0</v>
      </c>
      <c r="BD31" s="4">
        <v>0</v>
      </c>
      <c r="BE31" s="4">
        <v>0</v>
      </c>
      <c r="BF31" s="4">
        <v>0</v>
      </c>
      <c r="BG31" s="4">
        <v>0</v>
      </c>
      <c r="BH31" s="4">
        <v>0</v>
      </c>
      <c r="BI31" s="4">
        <v>0</v>
      </c>
      <c r="BJ31" s="4">
        <v>0</v>
      </c>
      <c r="BK31" s="4">
        <v>0</v>
      </c>
      <c r="BL31" s="4">
        <v>0</v>
      </c>
      <c r="BM31" s="4">
        <v>0</v>
      </c>
      <c r="BN31" s="4">
        <v>0</v>
      </c>
      <c r="BO31" s="4">
        <v>0</v>
      </c>
      <c r="BP31" s="4">
        <v>0</v>
      </c>
      <c r="BQ31" s="4" t="s">
        <v>1283</v>
      </c>
      <c r="BR31" s="4">
        <v>0.72899999999999998</v>
      </c>
      <c r="BS31" s="4">
        <v>0.184</v>
      </c>
      <c r="BT31" s="4">
        <v>46.475000000000001</v>
      </c>
      <c r="BU31" s="4">
        <v>0.73899999999999999</v>
      </c>
      <c r="BV31" s="4">
        <v>0.22700000000000001</v>
      </c>
      <c r="BW31" s="4">
        <v>0.32600000000000001</v>
      </c>
      <c r="BX31" s="4">
        <v>2.1000000000000001E-2</v>
      </c>
      <c r="BY31" s="4">
        <v>0</v>
      </c>
      <c r="BZ31" s="4">
        <v>0</v>
      </c>
      <c r="CA31" s="4">
        <v>0</v>
      </c>
      <c r="CB31" s="4">
        <v>0</v>
      </c>
      <c r="CC31" s="4">
        <v>0</v>
      </c>
      <c r="CD31" s="4">
        <v>0</v>
      </c>
      <c r="CE31" s="4">
        <v>1.8E-3</v>
      </c>
      <c r="CF31" s="4" t="s">
        <v>1283</v>
      </c>
      <c r="CG31" s="4">
        <v>2E-3</v>
      </c>
      <c r="CH31" s="4">
        <v>6.7000000000000004E-2</v>
      </c>
      <c r="CI31" s="4">
        <v>0</v>
      </c>
      <c r="CJ31" s="4">
        <v>0.02</v>
      </c>
      <c r="CK31" s="4">
        <v>5.2999999999999999E-2</v>
      </c>
      <c r="CL31" s="4">
        <v>0</v>
      </c>
      <c r="CM31" s="4">
        <v>0</v>
      </c>
      <c r="CN31" s="4">
        <v>0</v>
      </c>
      <c r="CO31" s="4">
        <v>1.4E-3</v>
      </c>
      <c r="CP31" s="4">
        <v>6.3E-3</v>
      </c>
      <c r="CQ31" s="4">
        <v>0</v>
      </c>
      <c r="CR31" s="4">
        <v>1.6000000000000001E-3</v>
      </c>
      <c r="CS31" s="4">
        <v>1.0999999999999999E-2</v>
      </c>
      <c r="CT31" s="4">
        <v>2.2000000000000001E-4</v>
      </c>
      <c r="CU31" s="4">
        <v>6.4999999999999997E-4</v>
      </c>
      <c r="CV31" s="4">
        <v>1.3000000000000002E-4</v>
      </c>
      <c r="CW31" s="4" t="s">
        <v>1283</v>
      </c>
      <c r="CX31" s="4">
        <v>8.0000000000000007E-5</v>
      </c>
      <c r="CY31" s="4">
        <v>7.0000000000000007E-5</v>
      </c>
      <c r="CZ31" s="4">
        <v>2.0000000000000002E-5</v>
      </c>
      <c r="DA31" s="4">
        <v>2.9999999999999997E-5</v>
      </c>
      <c r="DB31" s="4">
        <v>0</v>
      </c>
      <c r="DC31" s="4">
        <v>7.0000000000000007E-5</v>
      </c>
      <c r="DD31" s="4">
        <v>1.0000000000000001E-5</v>
      </c>
      <c r="DE31" s="4">
        <v>4.4000000000000003E-3</v>
      </c>
      <c r="DF31" s="4">
        <v>0</v>
      </c>
      <c r="DG31" s="4">
        <v>0</v>
      </c>
      <c r="DH31" s="4">
        <v>4.0999999999999995E-3</v>
      </c>
      <c r="DI31" s="4">
        <v>3.4000000000000002E-4</v>
      </c>
      <c r="DJ31" s="4">
        <v>3.2000000000000003E-4</v>
      </c>
      <c r="DK31" s="4" t="s">
        <v>1283</v>
      </c>
      <c r="DL31" s="4">
        <v>0</v>
      </c>
      <c r="DM31" s="4">
        <v>0</v>
      </c>
      <c r="DN31" s="4">
        <v>0</v>
      </c>
      <c r="DO31" s="4">
        <v>0</v>
      </c>
      <c r="DP31" s="4">
        <v>0</v>
      </c>
      <c r="DQ31" s="4">
        <v>0</v>
      </c>
      <c r="DR31" s="4">
        <v>0</v>
      </c>
      <c r="DS31" s="4">
        <v>0</v>
      </c>
      <c r="DT31" s="4">
        <v>0</v>
      </c>
      <c r="DU31" s="4">
        <v>0</v>
      </c>
      <c r="DV31" s="4">
        <v>0</v>
      </c>
      <c r="DW31" s="4">
        <v>0</v>
      </c>
      <c r="DX31" s="4">
        <v>0</v>
      </c>
      <c r="DY31" s="4">
        <v>0</v>
      </c>
      <c r="DZ31" s="4">
        <v>0</v>
      </c>
      <c r="EA31" s="4">
        <v>0</v>
      </c>
      <c r="EB31" s="4">
        <v>0</v>
      </c>
      <c r="EC31" s="4">
        <v>0</v>
      </c>
      <c r="ED31" s="4">
        <v>0</v>
      </c>
      <c r="EE31" s="4">
        <v>0</v>
      </c>
      <c r="EF31" s="4">
        <v>0</v>
      </c>
      <c r="EG31" s="4">
        <v>0</v>
      </c>
    </row>
    <row r="32" spans="1:137" s="4" customFormat="1">
      <c r="A32" s="4" t="s">
        <v>1280</v>
      </c>
      <c r="B32" s="4" t="s">
        <v>587</v>
      </c>
      <c r="D32" s="4">
        <v>0</v>
      </c>
      <c r="E32" s="4" t="s">
        <v>806</v>
      </c>
      <c r="F32" s="4" t="s">
        <v>1281</v>
      </c>
      <c r="G32" s="4" t="s">
        <v>595</v>
      </c>
      <c r="H32" s="4">
        <v>170</v>
      </c>
      <c r="I32" s="4">
        <v>0</v>
      </c>
      <c r="J32" s="4" t="s">
        <v>1139</v>
      </c>
      <c r="K32" s="4" t="s">
        <v>1315</v>
      </c>
      <c r="L32" s="4" t="s">
        <v>1312</v>
      </c>
      <c r="M32" s="4" t="s">
        <v>1290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0</v>
      </c>
      <c r="AJ32" s="26"/>
      <c r="AK32" s="26"/>
      <c r="AL32" s="26"/>
      <c r="AM32" s="26"/>
      <c r="AN32" s="26"/>
      <c r="AO32" s="26"/>
      <c r="AP32" s="26"/>
      <c r="AQ32" s="26"/>
      <c r="AR32" s="26"/>
      <c r="AS32" s="26"/>
      <c r="AT32" s="26"/>
      <c r="AU32" s="26"/>
      <c r="AV32" s="26"/>
      <c r="AW32" s="4">
        <v>0</v>
      </c>
      <c r="AX32" s="4">
        <v>0</v>
      </c>
      <c r="AY32" s="4">
        <v>0</v>
      </c>
      <c r="AZ32" s="4">
        <v>0</v>
      </c>
      <c r="BA32" s="4">
        <v>0</v>
      </c>
      <c r="BB32" s="4">
        <v>0</v>
      </c>
      <c r="BC32" s="4">
        <v>0</v>
      </c>
      <c r="BD32" s="4">
        <v>0</v>
      </c>
      <c r="BE32" s="4">
        <v>0</v>
      </c>
      <c r="BF32" s="4">
        <v>0</v>
      </c>
      <c r="BG32" s="4">
        <v>0</v>
      </c>
      <c r="BH32" s="4">
        <v>0</v>
      </c>
      <c r="BI32" s="4">
        <v>0</v>
      </c>
      <c r="BJ32" s="4">
        <v>0</v>
      </c>
      <c r="BK32" s="4">
        <v>0</v>
      </c>
      <c r="BL32" s="4">
        <v>0</v>
      </c>
      <c r="BM32" s="4">
        <v>0</v>
      </c>
      <c r="BN32" s="4">
        <v>0</v>
      </c>
      <c r="BO32" s="4">
        <v>0</v>
      </c>
      <c r="BP32" s="4">
        <v>0</v>
      </c>
      <c r="BQ32" s="4" t="s">
        <v>1283</v>
      </c>
      <c r="BR32" s="4">
        <v>2.0950000000000002</v>
      </c>
      <c r="BS32" s="4">
        <v>5.8999999999999997E-2</v>
      </c>
      <c r="BT32" s="4">
        <v>4.0940000000000003</v>
      </c>
      <c r="BU32" s="4">
        <v>4.5999999999999999E-2</v>
      </c>
      <c r="BV32" s="4">
        <v>0.222</v>
      </c>
      <c r="BW32" s="4">
        <v>0.218</v>
      </c>
      <c r="BX32" s="4">
        <v>1.4000000000000001E-4</v>
      </c>
      <c r="BY32" s="4">
        <v>0</v>
      </c>
      <c r="BZ32" s="4">
        <v>0</v>
      </c>
      <c r="CA32" s="4">
        <v>0</v>
      </c>
      <c r="CB32" s="4">
        <v>0</v>
      </c>
      <c r="CC32" s="4">
        <v>0</v>
      </c>
      <c r="CD32" s="4">
        <v>0</v>
      </c>
      <c r="CE32" s="4" t="s">
        <v>1283</v>
      </c>
      <c r="CF32" s="4" t="s">
        <v>1283</v>
      </c>
      <c r="CG32" s="4">
        <v>1.6000000000000001E-3</v>
      </c>
      <c r="CH32" s="4">
        <v>2.8000000000000001E-2</v>
      </c>
      <c r="CI32" s="4">
        <v>0</v>
      </c>
      <c r="CJ32" s="4">
        <v>1.6999999999999999E-3</v>
      </c>
      <c r="CK32" s="4">
        <v>3.5000000000000003E-2</v>
      </c>
      <c r="CL32" s="4">
        <v>0</v>
      </c>
      <c r="CM32" s="4">
        <v>0</v>
      </c>
      <c r="CN32" s="4">
        <v>0</v>
      </c>
      <c r="CO32" s="4">
        <v>1.7000000000000001E-4</v>
      </c>
      <c r="CP32" s="4" t="s">
        <v>1283</v>
      </c>
      <c r="CQ32" s="4">
        <v>0</v>
      </c>
      <c r="CR32" s="4">
        <v>1.6999999999999999E-3</v>
      </c>
      <c r="CS32" s="4">
        <v>3.5999999999999999E-3</v>
      </c>
      <c r="CT32" s="4">
        <v>2.3000000000000001E-4</v>
      </c>
      <c r="CU32" s="4">
        <v>8.9000000000000006E-4</v>
      </c>
      <c r="CV32" s="4">
        <v>1.7999999999999998E-4</v>
      </c>
      <c r="CW32" s="4" t="s">
        <v>1283</v>
      </c>
      <c r="CX32" s="4">
        <v>8.0000000000000007E-5</v>
      </c>
      <c r="CY32" s="4">
        <v>8.0000000000000007E-5</v>
      </c>
      <c r="CZ32" s="4">
        <v>2.0000000000000002E-5</v>
      </c>
      <c r="DA32" s="4">
        <v>5.0000000000000002E-5</v>
      </c>
      <c r="DB32" s="4">
        <v>0</v>
      </c>
      <c r="DC32" s="4">
        <v>7.0000000000000007E-5</v>
      </c>
      <c r="DD32" s="4">
        <v>2.0000000000000002E-5</v>
      </c>
      <c r="DE32" s="4">
        <v>3.3E-3</v>
      </c>
      <c r="DF32" s="4">
        <v>0</v>
      </c>
      <c r="DG32" s="4">
        <v>0</v>
      </c>
      <c r="DH32" s="4">
        <v>5.0999999999999995E-3</v>
      </c>
      <c r="DI32" s="4">
        <v>6.6E-4</v>
      </c>
      <c r="DJ32" s="4">
        <v>3.3E-4</v>
      </c>
      <c r="DK32" s="4" t="s">
        <v>1283</v>
      </c>
      <c r="DL32" s="4">
        <v>0</v>
      </c>
      <c r="DM32" s="4">
        <v>0</v>
      </c>
      <c r="DN32" s="4">
        <v>0</v>
      </c>
      <c r="DO32" s="4">
        <v>0</v>
      </c>
      <c r="DP32" s="4">
        <v>0</v>
      </c>
      <c r="DQ32" s="4">
        <v>0</v>
      </c>
      <c r="DR32" s="4">
        <v>0</v>
      </c>
      <c r="DS32" s="4">
        <v>0</v>
      </c>
      <c r="DT32" s="4">
        <v>0</v>
      </c>
      <c r="DU32" s="4">
        <v>0</v>
      </c>
      <c r="DV32" s="4">
        <v>0</v>
      </c>
      <c r="DW32" s="4">
        <v>0</v>
      </c>
      <c r="DX32" s="4">
        <v>0</v>
      </c>
      <c r="DY32" s="4">
        <v>0</v>
      </c>
      <c r="DZ32" s="4">
        <v>0</v>
      </c>
      <c r="EA32" s="4">
        <v>0</v>
      </c>
      <c r="EB32" s="4">
        <v>0</v>
      </c>
      <c r="EC32" s="4">
        <v>0</v>
      </c>
      <c r="ED32" s="4">
        <v>0</v>
      </c>
      <c r="EE32" s="4">
        <v>0</v>
      </c>
      <c r="EF32" s="4">
        <v>0</v>
      </c>
      <c r="EG32" s="4">
        <v>0</v>
      </c>
    </row>
    <row r="33" spans="1:137" s="4" customFormat="1">
      <c r="A33" s="4" t="s">
        <v>1280</v>
      </c>
      <c r="B33" s="4" t="s">
        <v>587</v>
      </c>
      <c r="D33" s="4">
        <v>0</v>
      </c>
      <c r="E33" s="4" t="s">
        <v>806</v>
      </c>
      <c r="F33" s="4" t="s">
        <v>1281</v>
      </c>
      <c r="G33" s="4" t="s">
        <v>595</v>
      </c>
      <c r="H33" s="4">
        <v>170</v>
      </c>
      <c r="I33" s="4">
        <v>0</v>
      </c>
      <c r="J33" s="4" t="s">
        <v>1139</v>
      </c>
      <c r="K33" s="4" t="s">
        <v>1315</v>
      </c>
      <c r="L33" s="4" t="s">
        <v>1312</v>
      </c>
      <c r="M33" s="4" t="s">
        <v>1291</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26"/>
      <c r="AK33" s="26"/>
      <c r="AL33" s="26"/>
      <c r="AM33" s="26"/>
      <c r="AN33" s="26"/>
      <c r="AO33" s="26"/>
      <c r="AP33" s="26"/>
      <c r="AQ33" s="26"/>
      <c r="AR33" s="26"/>
      <c r="AS33" s="26"/>
      <c r="AT33" s="26"/>
      <c r="AU33" s="26"/>
      <c r="AV33" s="26"/>
      <c r="AW33" s="4">
        <v>0</v>
      </c>
      <c r="AX33" s="4">
        <v>0</v>
      </c>
      <c r="AY33" s="4">
        <v>0</v>
      </c>
      <c r="AZ33" s="4">
        <v>0</v>
      </c>
      <c r="BA33" s="4">
        <v>0</v>
      </c>
      <c r="BB33" s="4">
        <v>0</v>
      </c>
      <c r="BC33" s="4">
        <v>0</v>
      </c>
      <c r="BD33" s="4">
        <v>0</v>
      </c>
      <c r="BE33" s="4">
        <v>0</v>
      </c>
      <c r="BF33" s="4">
        <v>0</v>
      </c>
      <c r="BG33" s="4">
        <v>0</v>
      </c>
      <c r="BH33" s="4">
        <v>0</v>
      </c>
      <c r="BI33" s="4">
        <v>0</v>
      </c>
      <c r="BJ33" s="4">
        <v>0</v>
      </c>
      <c r="BK33" s="4">
        <v>0</v>
      </c>
      <c r="BL33" s="4">
        <v>0</v>
      </c>
      <c r="BM33" s="4">
        <v>0</v>
      </c>
      <c r="BN33" s="4">
        <v>0</v>
      </c>
      <c r="BO33" s="4">
        <v>0</v>
      </c>
      <c r="BP33" s="4">
        <v>0</v>
      </c>
      <c r="BQ33" s="4" t="s">
        <v>1283</v>
      </c>
      <c r="BR33" s="4">
        <v>8.6010000000000009</v>
      </c>
      <c r="BS33" s="4">
        <v>0.28999999999999998</v>
      </c>
      <c r="BT33" s="4">
        <v>39.115000000000002</v>
      </c>
      <c r="BU33" s="4">
        <v>2.6429999999999998</v>
      </c>
      <c r="BV33" s="4">
        <v>0.11700000000000001</v>
      </c>
      <c r="BW33" s="4">
        <v>2.9140000000000001</v>
      </c>
      <c r="BX33" s="4">
        <v>4.3999999999999997E-2</v>
      </c>
      <c r="BY33" s="4">
        <v>0</v>
      </c>
      <c r="BZ33" s="4">
        <v>0</v>
      </c>
      <c r="CA33" s="4">
        <v>0</v>
      </c>
      <c r="CB33" s="4">
        <v>0</v>
      </c>
      <c r="CC33" s="4">
        <v>0</v>
      </c>
      <c r="CD33" s="4">
        <v>0</v>
      </c>
      <c r="CE33" s="4" t="s">
        <v>1283</v>
      </c>
      <c r="CF33" s="4" t="s">
        <v>1283</v>
      </c>
      <c r="CG33" s="4">
        <v>1.6999999999999999E-3</v>
      </c>
      <c r="CH33" s="4">
        <v>0.13100000000000001</v>
      </c>
      <c r="CI33" s="4">
        <v>0</v>
      </c>
      <c r="CJ33" s="4">
        <v>2.7E-2</v>
      </c>
      <c r="CK33" s="4">
        <v>0.23699999999999999</v>
      </c>
      <c r="CL33" s="4">
        <v>0</v>
      </c>
      <c r="CM33" s="4">
        <v>0</v>
      </c>
      <c r="CN33" s="4">
        <v>0</v>
      </c>
      <c r="CO33" s="4">
        <v>3.4000000000000002E-4</v>
      </c>
      <c r="CP33" s="4">
        <v>4.2000000000000003E-2</v>
      </c>
      <c r="CQ33" s="4">
        <v>0</v>
      </c>
      <c r="CR33" s="4" t="s">
        <v>1283</v>
      </c>
      <c r="CS33" s="4">
        <v>5.5E-2</v>
      </c>
      <c r="CT33" s="4">
        <v>9.5E-4</v>
      </c>
      <c r="CU33" s="4">
        <v>3.2000000000000002E-3</v>
      </c>
      <c r="CV33" s="4">
        <v>6.8000000000000005E-4</v>
      </c>
      <c r="CW33" s="4">
        <v>1.4999999999999999E-4</v>
      </c>
      <c r="CX33" s="4">
        <v>5.0000000000000001E-4</v>
      </c>
      <c r="CY33" s="4">
        <v>2.8000000000000003E-4</v>
      </c>
      <c r="CZ33" s="4">
        <v>8.9999999999999992E-5</v>
      </c>
      <c r="DA33" s="4">
        <v>2.0000000000000001E-4</v>
      </c>
      <c r="DB33" s="4">
        <v>0</v>
      </c>
      <c r="DC33" s="4">
        <v>2.8000000000000003E-4</v>
      </c>
      <c r="DD33" s="4">
        <v>1.3000000000000002E-4</v>
      </c>
      <c r="DE33" s="4" t="s">
        <v>1283</v>
      </c>
      <c r="DF33" s="4">
        <v>0</v>
      </c>
      <c r="DG33" s="4">
        <v>0</v>
      </c>
      <c r="DH33" s="4" t="s">
        <v>1283</v>
      </c>
      <c r="DI33" s="4" t="s">
        <v>1283</v>
      </c>
      <c r="DJ33" s="4">
        <v>2.0000000000000001E-4</v>
      </c>
      <c r="DK33" s="4">
        <v>5.0000000000000002E-5</v>
      </c>
      <c r="DL33" s="4">
        <v>0</v>
      </c>
      <c r="DM33" s="4">
        <v>0</v>
      </c>
      <c r="DN33" s="4">
        <v>0</v>
      </c>
      <c r="DO33" s="4">
        <v>0</v>
      </c>
      <c r="DP33" s="4">
        <v>0</v>
      </c>
      <c r="DQ33" s="4">
        <v>0</v>
      </c>
      <c r="DR33" s="4">
        <v>0</v>
      </c>
      <c r="DS33" s="4">
        <v>0</v>
      </c>
      <c r="DT33" s="4">
        <v>0</v>
      </c>
      <c r="DU33" s="4">
        <v>0</v>
      </c>
      <c r="DV33" s="4">
        <v>0</v>
      </c>
      <c r="DW33" s="4">
        <v>0</v>
      </c>
      <c r="DX33" s="4">
        <v>0</v>
      </c>
      <c r="DY33" s="4">
        <v>0</v>
      </c>
      <c r="DZ33" s="4">
        <v>0</v>
      </c>
      <c r="EA33" s="4">
        <v>0</v>
      </c>
      <c r="EB33" s="4">
        <v>0</v>
      </c>
      <c r="EC33" s="4">
        <v>0</v>
      </c>
      <c r="ED33" s="4">
        <v>0</v>
      </c>
      <c r="EE33" s="4">
        <v>0</v>
      </c>
      <c r="EF33" s="4">
        <v>0</v>
      </c>
      <c r="EG33" s="4">
        <v>0</v>
      </c>
    </row>
    <row r="34" spans="1:137" s="4" customFormat="1">
      <c r="A34" s="4" t="s">
        <v>1280</v>
      </c>
      <c r="B34" s="4" t="s">
        <v>587</v>
      </c>
      <c r="D34" s="4">
        <v>0</v>
      </c>
      <c r="E34" s="4" t="s">
        <v>806</v>
      </c>
      <c r="F34" s="4" t="s">
        <v>1281</v>
      </c>
      <c r="G34" s="4" t="s">
        <v>595</v>
      </c>
      <c r="H34" s="4">
        <v>170</v>
      </c>
      <c r="I34" s="4">
        <v>0</v>
      </c>
      <c r="J34" s="4" t="s">
        <v>1139</v>
      </c>
      <c r="K34" s="4" t="s">
        <v>1315</v>
      </c>
      <c r="L34" s="4" t="s">
        <v>1312</v>
      </c>
      <c r="M34" s="4" t="s">
        <v>1292</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26"/>
      <c r="AK34" s="26"/>
      <c r="AL34" s="26"/>
      <c r="AM34" s="26"/>
      <c r="AN34" s="26"/>
      <c r="AO34" s="26"/>
      <c r="AP34" s="26"/>
      <c r="AQ34" s="26"/>
      <c r="AR34" s="26"/>
      <c r="AS34" s="26"/>
      <c r="AT34" s="26"/>
      <c r="AU34" s="26"/>
      <c r="AV34" s="26"/>
      <c r="AW34" s="4">
        <v>0</v>
      </c>
      <c r="AX34" s="4">
        <v>0</v>
      </c>
      <c r="AY34" s="4">
        <v>0</v>
      </c>
      <c r="AZ34" s="4">
        <v>0</v>
      </c>
      <c r="BA34" s="4">
        <v>0</v>
      </c>
      <c r="BB34" s="4">
        <v>0</v>
      </c>
      <c r="BC34" s="4">
        <v>0</v>
      </c>
      <c r="BD34" s="4">
        <v>0</v>
      </c>
      <c r="BE34" s="4">
        <v>0</v>
      </c>
      <c r="BF34" s="4">
        <v>0</v>
      </c>
      <c r="BG34" s="4">
        <v>0</v>
      </c>
      <c r="BH34" s="4">
        <v>0</v>
      </c>
      <c r="BI34" s="4">
        <v>0</v>
      </c>
      <c r="BJ34" s="4">
        <v>0</v>
      </c>
      <c r="BK34" s="4">
        <v>0</v>
      </c>
      <c r="BL34" s="4">
        <v>0</v>
      </c>
      <c r="BM34" s="4">
        <v>0</v>
      </c>
      <c r="BN34" s="4">
        <v>0</v>
      </c>
      <c r="BO34" s="4">
        <v>0</v>
      </c>
      <c r="BP34" s="4">
        <v>0</v>
      </c>
      <c r="BQ34" s="4" t="s">
        <v>1283</v>
      </c>
      <c r="BR34" s="4">
        <v>3.359</v>
      </c>
      <c r="BS34" s="4">
        <v>0.13800000000000001</v>
      </c>
      <c r="BT34" s="4">
        <v>7.5979999999999999</v>
      </c>
      <c r="BU34" s="4">
        <v>0.96599999999999997</v>
      </c>
      <c r="BV34" s="4">
        <v>7.1999999999999995E-2</v>
      </c>
      <c r="BW34" s="4" t="s">
        <v>1283</v>
      </c>
      <c r="BX34" s="4">
        <v>1.7000000000000001E-2</v>
      </c>
      <c r="BY34" s="4">
        <v>0</v>
      </c>
      <c r="BZ34" s="4">
        <v>0</v>
      </c>
      <c r="CA34" s="4">
        <v>0</v>
      </c>
      <c r="CB34" s="4">
        <v>0</v>
      </c>
      <c r="CC34" s="4">
        <v>0</v>
      </c>
      <c r="CD34" s="4">
        <v>0</v>
      </c>
      <c r="CE34" s="4" t="s">
        <v>1283</v>
      </c>
      <c r="CF34" s="4" t="s">
        <v>1283</v>
      </c>
      <c r="CG34" s="4">
        <v>1.1999999999999999E-3</v>
      </c>
      <c r="CH34" s="4">
        <v>0.23599999999999999</v>
      </c>
      <c r="CI34" s="4">
        <v>0</v>
      </c>
      <c r="CJ34" s="4">
        <v>7.3000000000000001E-3</v>
      </c>
      <c r="CK34" s="4" t="s">
        <v>1283</v>
      </c>
      <c r="CL34" s="4">
        <v>0</v>
      </c>
      <c r="CM34" s="4">
        <v>0</v>
      </c>
      <c r="CN34" s="4">
        <v>0</v>
      </c>
      <c r="CO34" s="4" t="s">
        <v>1283</v>
      </c>
      <c r="CP34" s="4">
        <v>9.1E-4</v>
      </c>
      <c r="CQ34" s="4">
        <v>0</v>
      </c>
      <c r="CR34" s="4" t="s">
        <v>1283</v>
      </c>
      <c r="CS34" s="4" t="s">
        <v>1283</v>
      </c>
      <c r="CT34" s="4">
        <v>1.1999999999999999E-4</v>
      </c>
      <c r="CU34" s="4">
        <v>8.3000000000000001E-4</v>
      </c>
      <c r="CV34" s="4">
        <v>2.6000000000000003E-4</v>
      </c>
      <c r="CW34" s="4">
        <v>2.9999999999999997E-5</v>
      </c>
      <c r="CX34" s="4">
        <v>2.0999999999999998E-4</v>
      </c>
      <c r="CY34" s="4">
        <v>8.9999999999999992E-5</v>
      </c>
      <c r="CZ34" s="4">
        <v>4.0000000000000003E-5</v>
      </c>
      <c r="DA34" s="4">
        <v>8.0000000000000007E-5</v>
      </c>
      <c r="DB34" s="4">
        <v>0</v>
      </c>
      <c r="DC34" s="4">
        <v>8.0000000000000007E-5</v>
      </c>
      <c r="DD34" s="4">
        <v>1.6000000000000001E-4</v>
      </c>
      <c r="DE34" s="4">
        <v>5.5999999999999999E-3</v>
      </c>
      <c r="DF34" s="4">
        <v>0</v>
      </c>
      <c r="DG34" s="4">
        <v>0</v>
      </c>
      <c r="DH34" s="4" t="s">
        <v>1283</v>
      </c>
      <c r="DI34" s="4" t="s">
        <v>1283</v>
      </c>
      <c r="DJ34" s="4">
        <v>1E-4</v>
      </c>
      <c r="DK34" s="4">
        <v>5.9999999999999995E-5</v>
      </c>
      <c r="DL34" s="4">
        <v>0</v>
      </c>
      <c r="DM34" s="4">
        <v>0</v>
      </c>
      <c r="DN34" s="4">
        <v>0</v>
      </c>
      <c r="DO34" s="4">
        <v>0</v>
      </c>
      <c r="DP34" s="4">
        <v>0</v>
      </c>
      <c r="DQ34" s="4">
        <v>0</v>
      </c>
      <c r="DR34" s="4">
        <v>0</v>
      </c>
      <c r="DS34" s="4">
        <v>0</v>
      </c>
      <c r="DT34" s="4">
        <v>0</v>
      </c>
      <c r="DU34" s="4">
        <v>0</v>
      </c>
      <c r="DV34" s="4">
        <v>0</v>
      </c>
      <c r="DW34" s="4">
        <v>0</v>
      </c>
      <c r="DX34" s="4">
        <v>0</v>
      </c>
      <c r="DY34" s="4">
        <v>0</v>
      </c>
      <c r="DZ34" s="4">
        <v>0</v>
      </c>
      <c r="EA34" s="4">
        <v>0</v>
      </c>
      <c r="EB34" s="4">
        <v>0</v>
      </c>
      <c r="EC34" s="4">
        <v>0</v>
      </c>
      <c r="ED34" s="4">
        <v>0</v>
      </c>
      <c r="EE34" s="4">
        <v>0</v>
      </c>
      <c r="EF34" s="4">
        <v>0</v>
      </c>
      <c r="EG34" s="4">
        <v>0</v>
      </c>
    </row>
    <row r="35" spans="1:137" s="4" customFormat="1">
      <c r="A35" s="4" t="s">
        <v>1280</v>
      </c>
      <c r="B35" s="4" t="s">
        <v>587</v>
      </c>
      <c r="D35" s="4">
        <v>0</v>
      </c>
      <c r="E35" s="4" t="s">
        <v>806</v>
      </c>
      <c r="F35" s="4" t="s">
        <v>1281</v>
      </c>
      <c r="G35" s="4" t="s">
        <v>595</v>
      </c>
      <c r="H35" s="4">
        <v>170</v>
      </c>
      <c r="I35" s="4">
        <v>0</v>
      </c>
      <c r="J35" s="4" t="s">
        <v>1139</v>
      </c>
      <c r="K35" s="4" t="s">
        <v>1315</v>
      </c>
      <c r="L35" s="4" t="s">
        <v>1312</v>
      </c>
      <c r="M35" s="4" t="s">
        <v>1293</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4">
        <v>0</v>
      </c>
      <c r="AG35" s="4">
        <v>0</v>
      </c>
      <c r="AH35" s="4">
        <v>0</v>
      </c>
      <c r="AI35" s="4">
        <v>0</v>
      </c>
      <c r="AJ35" s="26"/>
      <c r="AK35" s="26"/>
      <c r="AL35" s="26"/>
      <c r="AM35" s="26"/>
      <c r="AN35" s="26"/>
      <c r="AO35" s="26"/>
      <c r="AP35" s="26"/>
      <c r="AQ35" s="26"/>
      <c r="AR35" s="26"/>
      <c r="AS35" s="26"/>
      <c r="AT35" s="26"/>
      <c r="AU35" s="26"/>
      <c r="AV35" s="26"/>
      <c r="AW35" s="4">
        <v>0</v>
      </c>
      <c r="AX35" s="4">
        <v>0</v>
      </c>
      <c r="AY35" s="4">
        <v>0</v>
      </c>
      <c r="AZ35" s="4">
        <v>0</v>
      </c>
      <c r="BA35" s="4">
        <v>0</v>
      </c>
      <c r="BB35" s="4">
        <v>0</v>
      </c>
      <c r="BC35" s="4">
        <v>0</v>
      </c>
      <c r="BD35" s="4">
        <v>0</v>
      </c>
      <c r="BE35" s="4">
        <v>0</v>
      </c>
      <c r="BF35" s="4">
        <v>0</v>
      </c>
      <c r="BG35" s="4">
        <v>0</v>
      </c>
      <c r="BH35" s="4">
        <v>0</v>
      </c>
      <c r="BI35" s="4">
        <v>0</v>
      </c>
      <c r="BJ35" s="4">
        <v>0</v>
      </c>
      <c r="BK35" s="4">
        <v>0</v>
      </c>
      <c r="BL35" s="4">
        <v>0</v>
      </c>
      <c r="BM35" s="4">
        <v>0</v>
      </c>
      <c r="BN35" s="4">
        <v>0</v>
      </c>
      <c r="BO35" s="4">
        <v>0</v>
      </c>
      <c r="BP35" s="4">
        <v>0</v>
      </c>
      <c r="BQ35" s="4" t="s">
        <v>1283</v>
      </c>
      <c r="BR35" s="4">
        <v>6.4790000000000001</v>
      </c>
      <c r="BS35" s="4">
        <v>9.9000000000000005E-2</v>
      </c>
      <c r="BT35" s="4">
        <v>6.5049999999999999</v>
      </c>
      <c r="BU35" s="4">
        <v>1.5409999999999999</v>
      </c>
      <c r="BV35" s="4">
        <v>0.23499999999999999</v>
      </c>
      <c r="BW35" s="4">
        <v>1.0149999999999999</v>
      </c>
      <c r="BX35" s="4">
        <v>1.4999999999999999E-2</v>
      </c>
      <c r="BY35" s="4">
        <v>0</v>
      </c>
      <c r="BZ35" s="4">
        <v>0</v>
      </c>
      <c r="CA35" s="4">
        <v>0</v>
      </c>
      <c r="CB35" s="4">
        <v>0</v>
      </c>
      <c r="CC35" s="4">
        <v>0</v>
      </c>
      <c r="CD35" s="4">
        <v>0</v>
      </c>
      <c r="CE35" s="4" t="s">
        <v>1283</v>
      </c>
      <c r="CF35" s="4" t="s">
        <v>1283</v>
      </c>
      <c r="CG35" s="4">
        <v>0</v>
      </c>
      <c r="CH35" s="4" t="s">
        <v>1283</v>
      </c>
      <c r="CI35" s="4">
        <v>0</v>
      </c>
      <c r="CJ35" s="4">
        <v>4.0999999999999995E-3</v>
      </c>
      <c r="CK35" s="4">
        <v>0.02</v>
      </c>
      <c r="CL35" s="4">
        <v>0</v>
      </c>
      <c r="CM35" s="4">
        <v>0</v>
      </c>
      <c r="CN35" s="4">
        <v>0</v>
      </c>
      <c r="CO35" s="4">
        <v>0.20699999999999999</v>
      </c>
      <c r="CP35" s="4">
        <v>7.2399999999999999E-3</v>
      </c>
      <c r="CQ35" s="4">
        <v>0</v>
      </c>
      <c r="CR35" s="4" t="s">
        <v>1283</v>
      </c>
      <c r="CS35" s="4" t="s">
        <v>1283</v>
      </c>
      <c r="CT35" s="4">
        <v>2.0000000000000002E-5</v>
      </c>
      <c r="CU35" s="4">
        <v>5.2999999999999998E-4</v>
      </c>
      <c r="CV35" s="4">
        <v>1.6000000000000001E-4</v>
      </c>
      <c r="CW35" s="4">
        <v>2.0000000000000002E-5</v>
      </c>
      <c r="CX35" s="4" t="s">
        <v>1283</v>
      </c>
      <c r="CY35" s="4">
        <v>7.0000000000000007E-5</v>
      </c>
      <c r="CZ35" s="4">
        <v>2.0000000000000002E-5</v>
      </c>
      <c r="DA35" s="4">
        <v>4.0000000000000003E-5</v>
      </c>
      <c r="DB35" s="4">
        <v>0</v>
      </c>
      <c r="DC35" s="4">
        <v>8.0000000000000007E-5</v>
      </c>
      <c r="DD35" s="4">
        <v>1.1999999999999999E-4</v>
      </c>
      <c r="DE35" s="4" t="s">
        <v>1283</v>
      </c>
      <c r="DF35" s="4">
        <v>0</v>
      </c>
      <c r="DG35" s="4">
        <v>0</v>
      </c>
      <c r="DH35" s="4">
        <v>7.2999999999999995E-2</v>
      </c>
      <c r="DI35" s="4" t="s">
        <v>1283</v>
      </c>
      <c r="DJ35" s="4">
        <v>8.0000000000000007E-5</v>
      </c>
      <c r="DK35" s="4">
        <v>4.0000000000000003E-5</v>
      </c>
      <c r="DL35" s="4">
        <v>0</v>
      </c>
      <c r="DM35" s="4">
        <v>0</v>
      </c>
      <c r="DN35" s="4">
        <v>0</v>
      </c>
      <c r="DO35" s="4">
        <v>0</v>
      </c>
      <c r="DP35" s="4">
        <v>0</v>
      </c>
      <c r="DQ35" s="4">
        <v>0</v>
      </c>
      <c r="DR35" s="4">
        <v>0</v>
      </c>
      <c r="DS35" s="4">
        <v>0</v>
      </c>
      <c r="DT35" s="4">
        <v>0</v>
      </c>
      <c r="DU35" s="4">
        <v>0</v>
      </c>
      <c r="DV35" s="4">
        <v>0</v>
      </c>
      <c r="DW35" s="4">
        <v>0</v>
      </c>
      <c r="DX35" s="4">
        <v>0</v>
      </c>
      <c r="DY35" s="4">
        <v>0</v>
      </c>
      <c r="DZ35" s="4">
        <v>0</v>
      </c>
      <c r="EA35" s="4">
        <v>0</v>
      </c>
      <c r="EB35" s="4">
        <v>0</v>
      </c>
      <c r="EC35" s="4">
        <v>0</v>
      </c>
      <c r="ED35" s="4">
        <v>0</v>
      </c>
      <c r="EE35" s="4">
        <v>0</v>
      </c>
      <c r="EF35" s="4">
        <v>0</v>
      </c>
      <c r="EG35" s="4">
        <v>0</v>
      </c>
    </row>
    <row r="36" spans="1:137" s="4" customFormat="1">
      <c r="A36" s="4" t="s">
        <v>1280</v>
      </c>
      <c r="B36" s="4" t="s">
        <v>587</v>
      </c>
      <c r="D36" s="4">
        <v>0</v>
      </c>
      <c r="E36" s="4" t="s">
        <v>806</v>
      </c>
      <c r="F36" s="4" t="s">
        <v>1281</v>
      </c>
      <c r="G36" s="4" t="s">
        <v>595</v>
      </c>
      <c r="H36" s="4">
        <v>170</v>
      </c>
      <c r="I36" s="4">
        <v>0</v>
      </c>
      <c r="J36" s="4" t="s">
        <v>1139</v>
      </c>
      <c r="K36" s="4" t="s">
        <v>1315</v>
      </c>
      <c r="L36" s="4" t="s">
        <v>1313</v>
      </c>
      <c r="M36" s="4" t="s">
        <v>1294</v>
      </c>
      <c r="N36" s="4">
        <v>0</v>
      </c>
      <c r="O36" s="4">
        <v>0</v>
      </c>
      <c r="P36" s="4">
        <v>0</v>
      </c>
      <c r="Q36" s="4">
        <v>0</v>
      </c>
      <c r="R36" s="4">
        <v>0</v>
      </c>
      <c r="S36" s="4">
        <v>0</v>
      </c>
      <c r="T36" s="4">
        <v>0</v>
      </c>
      <c r="U36" s="4">
        <v>0</v>
      </c>
      <c r="V36" s="4">
        <v>0</v>
      </c>
      <c r="W36" s="4">
        <v>0</v>
      </c>
      <c r="X36" s="4">
        <v>0</v>
      </c>
      <c r="Y36" s="4">
        <v>0</v>
      </c>
      <c r="Z36" s="4">
        <v>0</v>
      </c>
      <c r="AA36" s="4">
        <v>0</v>
      </c>
      <c r="AB36" s="4">
        <v>0</v>
      </c>
      <c r="AC36" s="4">
        <v>0</v>
      </c>
      <c r="AD36" s="4">
        <v>0</v>
      </c>
      <c r="AE36" s="4">
        <v>0</v>
      </c>
      <c r="AF36" s="4">
        <v>0</v>
      </c>
      <c r="AG36" s="4">
        <v>0</v>
      </c>
      <c r="AH36" s="4">
        <v>0</v>
      </c>
      <c r="AI36" s="4">
        <v>0</v>
      </c>
      <c r="AJ36" s="26"/>
      <c r="AK36" s="26"/>
      <c r="AL36" s="26"/>
      <c r="AM36" s="26"/>
      <c r="AN36" s="26"/>
      <c r="AO36" s="26"/>
      <c r="AP36" s="26"/>
      <c r="AQ36" s="26"/>
      <c r="AR36" s="26"/>
      <c r="AS36" s="26"/>
      <c r="AT36" s="26"/>
      <c r="AU36" s="26"/>
      <c r="AV36" s="26"/>
      <c r="AW36" s="4">
        <v>0</v>
      </c>
      <c r="AX36" s="4">
        <v>0</v>
      </c>
      <c r="AY36" s="4">
        <v>0</v>
      </c>
      <c r="AZ36" s="4">
        <v>0</v>
      </c>
      <c r="BA36" s="4">
        <v>0</v>
      </c>
      <c r="BB36" s="4">
        <v>0</v>
      </c>
      <c r="BC36" s="4">
        <v>0</v>
      </c>
      <c r="BD36" s="4">
        <v>0</v>
      </c>
      <c r="BE36" s="4">
        <v>0</v>
      </c>
      <c r="BF36" s="4">
        <v>0</v>
      </c>
      <c r="BG36" s="4">
        <v>0</v>
      </c>
      <c r="BH36" s="4">
        <v>0</v>
      </c>
      <c r="BI36" s="4">
        <v>0</v>
      </c>
      <c r="BJ36" s="4">
        <v>0</v>
      </c>
      <c r="BK36" s="4">
        <v>0</v>
      </c>
      <c r="BL36" s="4">
        <v>0</v>
      </c>
      <c r="BM36" s="4">
        <v>0</v>
      </c>
      <c r="BN36" s="4">
        <v>0</v>
      </c>
      <c r="BO36" s="4">
        <v>0</v>
      </c>
      <c r="BP36" s="4">
        <v>0</v>
      </c>
      <c r="BQ36" s="4" t="s">
        <v>1283</v>
      </c>
      <c r="BR36" s="4">
        <v>6.5410000000000004</v>
      </c>
      <c r="BS36" s="4">
        <v>1.147</v>
      </c>
      <c r="BT36" s="4">
        <v>1690.212</v>
      </c>
      <c r="BU36" s="4">
        <v>180.864</v>
      </c>
      <c r="BV36" s="4">
        <v>1988.5250000000001</v>
      </c>
      <c r="BW36" s="4">
        <v>27.081</v>
      </c>
      <c r="BX36" s="4">
        <v>41.9</v>
      </c>
      <c r="BY36" s="4">
        <v>0</v>
      </c>
      <c r="BZ36" s="4">
        <v>0</v>
      </c>
      <c r="CA36" s="4">
        <v>0</v>
      </c>
      <c r="CB36" s="4">
        <v>0</v>
      </c>
      <c r="CC36" s="4">
        <v>0</v>
      </c>
      <c r="CD36" s="4">
        <v>0</v>
      </c>
      <c r="CE36" s="4">
        <v>0.89200000000000002</v>
      </c>
      <c r="CF36" s="4">
        <v>0.309</v>
      </c>
      <c r="CG36" s="4">
        <v>4.2000000000000003E-2</v>
      </c>
      <c r="CH36" s="4">
        <v>4.5179999999999998</v>
      </c>
      <c r="CI36" s="4">
        <v>0</v>
      </c>
      <c r="CJ36" s="4">
        <v>0.124</v>
      </c>
      <c r="CK36" s="4">
        <v>13.326000000000001</v>
      </c>
      <c r="CL36" s="4">
        <v>0</v>
      </c>
      <c r="CM36" s="4">
        <v>0</v>
      </c>
      <c r="CN36" s="4">
        <v>0</v>
      </c>
      <c r="CO36" s="4">
        <v>10.388999999999999</v>
      </c>
      <c r="CP36" s="4">
        <v>1.452</v>
      </c>
      <c r="CQ36" s="4">
        <v>0</v>
      </c>
      <c r="CR36" s="4">
        <v>4.2000000000000003E-2</v>
      </c>
      <c r="CS36" s="4">
        <v>0.496</v>
      </c>
      <c r="CT36" s="4">
        <v>9.1000000000000004E-3</v>
      </c>
      <c r="CU36" s="4">
        <v>2.7E-2</v>
      </c>
      <c r="CV36" s="4">
        <v>7.0999999999999995E-3</v>
      </c>
      <c r="CW36" s="4" t="s">
        <v>1283</v>
      </c>
      <c r="CX36" s="4">
        <v>1.15E-2</v>
      </c>
      <c r="CY36" s="4">
        <v>6.4999999999999997E-3</v>
      </c>
      <c r="CZ36" s="4">
        <v>9.7999999999999997E-4</v>
      </c>
      <c r="DA36" s="4">
        <v>1.2999999999999999E-3</v>
      </c>
      <c r="DB36" s="4">
        <v>0</v>
      </c>
      <c r="DC36" s="4">
        <v>1.4E-3</v>
      </c>
      <c r="DD36" s="4" t="s">
        <v>1283</v>
      </c>
      <c r="DE36" s="4">
        <v>0.13900000000000001</v>
      </c>
      <c r="DF36" s="4">
        <v>0</v>
      </c>
      <c r="DG36" s="4">
        <v>0</v>
      </c>
      <c r="DH36" s="4" t="s">
        <v>1283</v>
      </c>
      <c r="DI36" s="4">
        <v>4.4999999999999998E-2</v>
      </c>
      <c r="DJ36" s="4">
        <v>1.4999999999999999E-2</v>
      </c>
      <c r="DK36" s="4" t="s">
        <v>1283</v>
      </c>
      <c r="DL36" s="4">
        <v>0</v>
      </c>
      <c r="DM36" s="4">
        <v>0</v>
      </c>
      <c r="DN36" s="4">
        <v>0</v>
      </c>
      <c r="DO36" s="4">
        <v>0</v>
      </c>
      <c r="DP36" s="4">
        <v>0</v>
      </c>
      <c r="DQ36" s="4">
        <v>0</v>
      </c>
      <c r="DR36" s="4">
        <v>0</v>
      </c>
      <c r="DS36" s="4">
        <v>0</v>
      </c>
      <c r="DT36" s="4">
        <v>0</v>
      </c>
      <c r="DU36" s="4">
        <v>0</v>
      </c>
      <c r="DV36" s="4">
        <v>0</v>
      </c>
      <c r="DW36" s="4">
        <v>0</v>
      </c>
      <c r="DX36" s="4">
        <v>0</v>
      </c>
      <c r="DY36" s="4">
        <v>0</v>
      </c>
      <c r="DZ36" s="4">
        <v>0</v>
      </c>
      <c r="EA36" s="4">
        <v>0</v>
      </c>
      <c r="EB36" s="4">
        <v>0</v>
      </c>
      <c r="EC36" s="4">
        <v>0</v>
      </c>
      <c r="ED36" s="4">
        <v>0</v>
      </c>
      <c r="EE36" s="4">
        <v>0</v>
      </c>
      <c r="EF36" s="4">
        <v>0</v>
      </c>
      <c r="EG36" s="4">
        <v>0</v>
      </c>
    </row>
    <row r="37" spans="1:137" s="4" customFormat="1">
      <c r="A37" s="4" t="s">
        <v>1280</v>
      </c>
      <c r="B37" s="4" t="s">
        <v>587</v>
      </c>
      <c r="D37" s="4">
        <v>0</v>
      </c>
      <c r="E37" s="4" t="s">
        <v>806</v>
      </c>
      <c r="F37" s="4" t="s">
        <v>1281</v>
      </c>
      <c r="G37" s="4" t="s">
        <v>595</v>
      </c>
      <c r="H37" s="4">
        <v>170</v>
      </c>
      <c r="I37" s="4">
        <v>0</v>
      </c>
      <c r="J37" s="4" t="s">
        <v>1139</v>
      </c>
      <c r="K37" s="4" t="s">
        <v>1315</v>
      </c>
      <c r="L37" s="4" t="s">
        <v>1313</v>
      </c>
      <c r="M37" s="4" t="s">
        <v>1295</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0</v>
      </c>
      <c r="AJ37" s="26"/>
      <c r="AK37" s="26"/>
      <c r="AL37" s="26"/>
      <c r="AM37" s="26"/>
      <c r="AN37" s="26"/>
      <c r="AO37" s="26"/>
      <c r="AP37" s="26"/>
      <c r="AQ37" s="26"/>
      <c r="AR37" s="26"/>
      <c r="AS37" s="26"/>
      <c r="AT37" s="26"/>
      <c r="AU37" s="26"/>
      <c r="AV37" s="26"/>
      <c r="AW37" s="4">
        <v>0</v>
      </c>
      <c r="AX37" s="4">
        <v>0</v>
      </c>
      <c r="AY37" s="4">
        <v>0</v>
      </c>
      <c r="AZ37" s="4">
        <v>0</v>
      </c>
      <c r="BA37" s="4">
        <v>0</v>
      </c>
      <c r="BB37" s="4">
        <v>0</v>
      </c>
      <c r="BC37" s="4">
        <v>0</v>
      </c>
      <c r="BD37" s="4">
        <v>0</v>
      </c>
      <c r="BE37" s="4">
        <v>0</v>
      </c>
      <c r="BF37" s="4">
        <v>0</v>
      </c>
      <c r="BG37" s="4">
        <v>0</v>
      </c>
      <c r="BH37" s="4">
        <v>0</v>
      </c>
      <c r="BI37" s="4">
        <v>0</v>
      </c>
      <c r="BJ37" s="4">
        <v>0</v>
      </c>
      <c r="BK37" s="4">
        <v>0</v>
      </c>
      <c r="BL37" s="4">
        <v>0</v>
      </c>
      <c r="BM37" s="4">
        <v>0</v>
      </c>
      <c r="BN37" s="4">
        <v>0</v>
      </c>
      <c r="BO37" s="4">
        <v>0</v>
      </c>
      <c r="BP37" s="4">
        <v>0</v>
      </c>
      <c r="BQ37" s="4" t="s">
        <v>1283</v>
      </c>
      <c r="BR37" s="4">
        <v>1.4510000000000001</v>
      </c>
      <c r="BS37" s="4">
        <v>7.5999999999999998E-2</v>
      </c>
      <c r="BT37" s="4">
        <v>3.524</v>
      </c>
      <c r="BU37" s="4">
        <v>0.39800000000000002</v>
      </c>
      <c r="BV37" s="4">
        <v>0.129</v>
      </c>
      <c r="BW37" s="4">
        <v>0.51300000000000001</v>
      </c>
      <c r="BX37" s="4">
        <v>8.6E-3</v>
      </c>
      <c r="BY37" s="4">
        <v>0</v>
      </c>
      <c r="BZ37" s="4">
        <v>0</v>
      </c>
      <c r="CA37" s="4">
        <v>0</v>
      </c>
      <c r="CB37" s="4">
        <v>0</v>
      </c>
      <c r="CC37" s="4">
        <v>0</v>
      </c>
      <c r="CD37" s="4">
        <v>0</v>
      </c>
      <c r="CE37" s="4" t="s">
        <v>1283</v>
      </c>
      <c r="CF37" s="4" t="s">
        <v>1283</v>
      </c>
      <c r="CG37" s="4">
        <v>3.8999999999999998E-3</v>
      </c>
      <c r="CH37" s="4" t="s">
        <v>1283</v>
      </c>
      <c r="CI37" s="4">
        <v>0</v>
      </c>
      <c r="CJ37" s="4">
        <v>5.4000000000000001E-4</v>
      </c>
      <c r="CK37" s="4">
        <v>2.1999999999999999E-2</v>
      </c>
      <c r="CL37" s="4">
        <v>0</v>
      </c>
      <c r="CM37" s="4">
        <v>0</v>
      </c>
      <c r="CN37" s="4">
        <v>0</v>
      </c>
      <c r="CO37" s="4" t="s">
        <v>1283</v>
      </c>
      <c r="CP37" s="4">
        <v>8.6999999999999994E-3</v>
      </c>
      <c r="CQ37" s="4">
        <v>0</v>
      </c>
      <c r="CR37" s="4">
        <v>2.3E-3</v>
      </c>
      <c r="CS37" s="4">
        <v>2.5000000000000001E-3</v>
      </c>
      <c r="CT37" s="4">
        <v>4.0000000000000002E-4</v>
      </c>
      <c r="CU37" s="4">
        <v>1.8E-3</v>
      </c>
      <c r="CV37" s="4">
        <v>5.1000000000000004E-4</v>
      </c>
      <c r="CW37" s="4">
        <v>5.0000000000000002E-5</v>
      </c>
      <c r="CX37" s="4">
        <v>4.6999999999999999E-4</v>
      </c>
      <c r="CY37" s="4">
        <v>7.0999999999999991E-4</v>
      </c>
      <c r="CZ37" s="4">
        <v>1.6000000000000001E-4</v>
      </c>
      <c r="DA37" s="4">
        <v>4.4999999999999999E-4</v>
      </c>
      <c r="DB37" s="4">
        <v>0</v>
      </c>
      <c r="DC37" s="4">
        <v>5.2000000000000006E-4</v>
      </c>
      <c r="DD37" s="4">
        <v>8.9999999999999992E-5</v>
      </c>
      <c r="DE37" s="4" t="s">
        <v>1283</v>
      </c>
      <c r="DF37" s="4">
        <v>0</v>
      </c>
      <c r="DG37" s="4">
        <v>0</v>
      </c>
      <c r="DH37" s="4">
        <v>5.3E-3</v>
      </c>
      <c r="DI37" s="4">
        <v>6.3000000000000003E-4</v>
      </c>
      <c r="DJ37" s="4">
        <v>1.1E-4</v>
      </c>
      <c r="DK37" s="4">
        <v>8.9999999999999992E-5</v>
      </c>
      <c r="DL37" s="4">
        <v>0</v>
      </c>
      <c r="DM37" s="4">
        <v>0</v>
      </c>
      <c r="DN37" s="4">
        <v>0</v>
      </c>
      <c r="DO37" s="4">
        <v>0</v>
      </c>
      <c r="DP37" s="4">
        <v>0</v>
      </c>
      <c r="DQ37" s="4">
        <v>0</v>
      </c>
      <c r="DR37" s="4">
        <v>0</v>
      </c>
      <c r="DS37" s="4">
        <v>0</v>
      </c>
      <c r="DT37" s="4">
        <v>0</v>
      </c>
      <c r="DU37" s="4">
        <v>0</v>
      </c>
      <c r="DV37" s="4">
        <v>0</v>
      </c>
      <c r="DW37" s="4">
        <v>0</v>
      </c>
      <c r="DX37" s="4">
        <v>0</v>
      </c>
      <c r="DY37" s="4">
        <v>0</v>
      </c>
      <c r="DZ37" s="4">
        <v>0</v>
      </c>
      <c r="EA37" s="4">
        <v>0</v>
      </c>
      <c r="EB37" s="4">
        <v>0</v>
      </c>
      <c r="EC37" s="4">
        <v>0</v>
      </c>
      <c r="ED37" s="4">
        <v>0</v>
      </c>
      <c r="EE37" s="4">
        <v>0</v>
      </c>
      <c r="EF37" s="4">
        <v>0</v>
      </c>
      <c r="EG37" s="4">
        <v>0</v>
      </c>
    </row>
    <row r="38" spans="1:137" s="4" customFormat="1">
      <c r="A38" s="4" t="s">
        <v>1280</v>
      </c>
      <c r="B38" s="4" t="s">
        <v>587</v>
      </c>
      <c r="D38" s="4">
        <v>0</v>
      </c>
      <c r="E38" s="4" t="s">
        <v>806</v>
      </c>
      <c r="F38" s="4" t="s">
        <v>1281</v>
      </c>
      <c r="G38" s="4" t="s">
        <v>595</v>
      </c>
      <c r="H38" s="4">
        <v>170</v>
      </c>
      <c r="I38" s="4">
        <v>0</v>
      </c>
      <c r="J38" s="4" t="s">
        <v>1139</v>
      </c>
      <c r="K38" s="4" t="s">
        <v>1315</v>
      </c>
      <c r="L38" s="4" t="s">
        <v>1313</v>
      </c>
      <c r="M38" s="4" t="s">
        <v>1296</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0</v>
      </c>
      <c r="AI38" s="4">
        <v>0</v>
      </c>
      <c r="AJ38" s="26"/>
      <c r="AK38" s="26"/>
      <c r="AL38" s="26"/>
      <c r="AM38" s="26"/>
      <c r="AN38" s="26"/>
      <c r="AO38" s="26"/>
      <c r="AP38" s="26"/>
      <c r="AQ38" s="26"/>
      <c r="AR38" s="26"/>
      <c r="AS38" s="26"/>
      <c r="AT38" s="26"/>
      <c r="AU38" s="26"/>
      <c r="AV38" s="26"/>
      <c r="AW38" s="4">
        <v>0</v>
      </c>
      <c r="AX38" s="4">
        <v>0</v>
      </c>
      <c r="AY38" s="4">
        <v>0</v>
      </c>
      <c r="AZ38" s="4">
        <v>0</v>
      </c>
      <c r="BA38" s="4">
        <v>0</v>
      </c>
      <c r="BB38" s="4">
        <v>0</v>
      </c>
      <c r="BC38" s="4">
        <v>0</v>
      </c>
      <c r="BD38" s="4">
        <v>0</v>
      </c>
      <c r="BE38" s="4">
        <v>0</v>
      </c>
      <c r="BF38" s="4">
        <v>0</v>
      </c>
      <c r="BG38" s="4">
        <v>0</v>
      </c>
      <c r="BH38" s="4">
        <v>0</v>
      </c>
      <c r="BI38" s="4">
        <v>0</v>
      </c>
      <c r="BJ38" s="4">
        <v>0</v>
      </c>
      <c r="BK38" s="4">
        <v>0</v>
      </c>
      <c r="BL38" s="4">
        <v>0</v>
      </c>
      <c r="BM38" s="4">
        <v>0</v>
      </c>
      <c r="BN38" s="4">
        <v>0</v>
      </c>
      <c r="BO38" s="4">
        <v>0</v>
      </c>
      <c r="BP38" s="4">
        <v>0</v>
      </c>
      <c r="BQ38" s="4" t="s">
        <v>1283</v>
      </c>
      <c r="BR38" s="4">
        <v>0.70899999999999996</v>
      </c>
      <c r="BS38" s="4">
        <v>0.09</v>
      </c>
      <c r="BT38" s="4">
        <v>6.7679999999999998</v>
      </c>
      <c r="BU38" s="4">
        <v>3.8780000000000001</v>
      </c>
      <c r="BV38" s="4">
        <v>7.0019999999999998</v>
      </c>
      <c r="BW38" s="4" t="s">
        <v>1283</v>
      </c>
      <c r="BX38" s="4">
        <v>7.5999999999999998E-2</v>
      </c>
      <c r="BY38" s="4">
        <v>0</v>
      </c>
      <c r="BZ38" s="4">
        <v>0</v>
      </c>
      <c r="CA38" s="4">
        <v>0</v>
      </c>
      <c r="CB38" s="4">
        <v>0</v>
      </c>
      <c r="CC38" s="4">
        <v>0</v>
      </c>
      <c r="CD38" s="4">
        <v>0</v>
      </c>
      <c r="CE38" s="4" t="s">
        <v>1283</v>
      </c>
      <c r="CF38" s="4" t="s">
        <v>1283</v>
      </c>
      <c r="CG38" s="4">
        <v>4.6999999999999999E-4</v>
      </c>
      <c r="CH38" s="4" t="s">
        <v>1283</v>
      </c>
      <c r="CI38" s="4">
        <v>0</v>
      </c>
      <c r="CJ38" s="4">
        <v>4.0000000000000002E-4</v>
      </c>
      <c r="CK38" s="4" t="s">
        <v>1283</v>
      </c>
      <c r="CL38" s="4">
        <v>0</v>
      </c>
      <c r="CM38" s="4">
        <v>0</v>
      </c>
      <c r="CN38" s="4">
        <v>0</v>
      </c>
      <c r="CO38" s="4" t="s">
        <v>1283</v>
      </c>
      <c r="CP38" s="4">
        <v>2.5000000000000001E-2</v>
      </c>
      <c r="CQ38" s="4">
        <v>0</v>
      </c>
      <c r="CR38" s="4" t="s">
        <v>1283</v>
      </c>
      <c r="CS38" s="4" t="s">
        <v>1283</v>
      </c>
      <c r="CT38" s="4">
        <v>1E-4</v>
      </c>
      <c r="CU38" s="4">
        <v>5.9999999999999995E-4</v>
      </c>
      <c r="CV38" s="4">
        <v>7.0000000000000007E-5</v>
      </c>
      <c r="CW38" s="4" t="s">
        <v>1283</v>
      </c>
      <c r="CX38" s="4">
        <v>1.3000000000000002E-4</v>
      </c>
      <c r="CY38" s="4">
        <v>5.9999999999999995E-5</v>
      </c>
      <c r="CZ38" s="4" t="s">
        <v>1283</v>
      </c>
      <c r="DA38" s="4">
        <v>5.0000000000000002E-5</v>
      </c>
      <c r="DB38" s="4">
        <v>0</v>
      </c>
      <c r="DC38" s="4" t="s">
        <v>1283</v>
      </c>
      <c r="DD38" s="4" t="s">
        <v>1283</v>
      </c>
      <c r="DE38" s="4" t="s">
        <v>1283</v>
      </c>
      <c r="DF38" s="4">
        <v>0</v>
      </c>
      <c r="DG38" s="4">
        <v>0</v>
      </c>
      <c r="DH38" s="4">
        <v>6.0000000000000001E-3</v>
      </c>
      <c r="DI38" s="4">
        <v>2.8000000000000003E-4</v>
      </c>
      <c r="DJ38" s="4" t="s">
        <v>1283</v>
      </c>
      <c r="DK38" s="4" t="s">
        <v>1283</v>
      </c>
      <c r="DL38" s="4">
        <v>0</v>
      </c>
      <c r="DM38" s="4">
        <v>0</v>
      </c>
      <c r="DN38" s="4">
        <v>0</v>
      </c>
      <c r="DO38" s="4">
        <v>0</v>
      </c>
      <c r="DP38" s="4">
        <v>0</v>
      </c>
      <c r="DQ38" s="4">
        <v>0</v>
      </c>
      <c r="DR38" s="4">
        <v>0</v>
      </c>
      <c r="DS38" s="4">
        <v>0</v>
      </c>
      <c r="DT38" s="4">
        <v>0</v>
      </c>
      <c r="DU38" s="4">
        <v>0</v>
      </c>
      <c r="DV38" s="4">
        <v>0</v>
      </c>
      <c r="DW38" s="4">
        <v>0</v>
      </c>
      <c r="DX38" s="4">
        <v>0</v>
      </c>
      <c r="DY38" s="4">
        <v>0</v>
      </c>
      <c r="DZ38" s="4">
        <v>0</v>
      </c>
      <c r="EA38" s="4">
        <v>0</v>
      </c>
      <c r="EB38" s="4">
        <v>0</v>
      </c>
      <c r="EC38" s="4">
        <v>0</v>
      </c>
      <c r="ED38" s="4">
        <v>0</v>
      </c>
      <c r="EE38" s="4">
        <v>0</v>
      </c>
      <c r="EF38" s="4">
        <v>0</v>
      </c>
      <c r="EG38" s="4">
        <v>0</v>
      </c>
    </row>
    <row r="39" spans="1:137" s="4" customFormat="1">
      <c r="A39" s="4" t="s">
        <v>1280</v>
      </c>
      <c r="B39" s="4" t="s">
        <v>587</v>
      </c>
      <c r="D39" s="4">
        <v>0</v>
      </c>
      <c r="E39" s="4" t="s">
        <v>806</v>
      </c>
      <c r="F39" s="4" t="s">
        <v>1281</v>
      </c>
      <c r="G39" s="4" t="s">
        <v>595</v>
      </c>
      <c r="H39" s="4">
        <v>170</v>
      </c>
      <c r="I39" s="4">
        <v>0</v>
      </c>
      <c r="J39" s="4" t="s">
        <v>1139</v>
      </c>
      <c r="K39" s="4" t="s">
        <v>1315</v>
      </c>
      <c r="L39" s="4" t="s">
        <v>1313</v>
      </c>
      <c r="M39" s="4" t="s">
        <v>1297</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4">
        <v>0</v>
      </c>
      <c r="AG39" s="4">
        <v>0</v>
      </c>
      <c r="AH39" s="4">
        <v>0</v>
      </c>
      <c r="AI39" s="4">
        <v>0</v>
      </c>
      <c r="AJ39" s="26"/>
      <c r="AK39" s="26"/>
      <c r="AL39" s="26"/>
      <c r="AM39" s="26"/>
      <c r="AN39" s="26"/>
      <c r="AO39" s="26"/>
      <c r="AP39" s="26"/>
      <c r="AQ39" s="26"/>
      <c r="AR39" s="26"/>
      <c r="AS39" s="26"/>
      <c r="AT39" s="26"/>
      <c r="AU39" s="26"/>
      <c r="AV39" s="26"/>
      <c r="AW39" s="4">
        <v>0</v>
      </c>
      <c r="AX39" s="4">
        <v>0</v>
      </c>
      <c r="AY39" s="4">
        <v>0</v>
      </c>
      <c r="AZ39" s="4">
        <v>0</v>
      </c>
      <c r="BA39" s="4">
        <v>0</v>
      </c>
      <c r="BB39" s="4">
        <v>0</v>
      </c>
      <c r="BC39" s="4">
        <v>0</v>
      </c>
      <c r="BD39" s="4">
        <v>0</v>
      </c>
      <c r="BE39" s="4">
        <v>0</v>
      </c>
      <c r="BF39" s="4">
        <v>0</v>
      </c>
      <c r="BG39" s="4">
        <v>0</v>
      </c>
      <c r="BH39" s="4">
        <v>0</v>
      </c>
      <c r="BI39" s="4">
        <v>0</v>
      </c>
      <c r="BJ39" s="4">
        <v>0</v>
      </c>
      <c r="BK39" s="4">
        <v>0</v>
      </c>
      <c r="BL39" s="4">
        <v>0</v>
      </c>
      <c r="BM39" s="4">
        <v>0</v>
      </c>
      <c r="BN39" s="4">
        <v>0</v>
      </c>
      <c r="BO39" s="4">
        <v>0</v>
      </c>
      <c r="BP39" s="4">
        <v>0</v>
      </c>
      <c r="BQ39" s="4" t="s">
        <v>1283</v>
      </c>
      <c r="BR39" s="4">
        <v>4.7430000000000003</v>
      </c>
      <c r="BS39" s="4">
        <v>0.40100000000000002</v>
      </c>
      <c r="BT39" s="4">
        <v>17.542000000000002</v>
      </c>
      <c r="BU39" s="4">
        <v>2.7650000000000001</v>
      </c>
      <c r="BV39" s="4">
        <v>0.41599999999999998</v>
      </c>
      <c r="BW39" s="4">
        <v>1.8560000000000001</v>
      </c>
      <c r="BX39" s="4">
        <v>4.9000000000000002E-2</v>
      </c>
      <c r="BY39" s="4">
        <v>0</v>
      </c>
      <c r="BZ39" s="4">
        <v>0</v>
      </c>
      <c r="CA39" s="4">
        <v>0</v>
      </c>
      <c r="CB39" s="4">
        <v>0</v>
      </c>
      <c r="CC39" s="4">
        <v>0</v>
      </c>
      <c r="CD39" s="4">
        <v>0</v>
      </c>
      <c r="CE39" s="4" t="s">
        <v>1283</v>
      </c>
      <c r="CF39" s="4">
        <v>2.3E-2</v>
      </c>
      <c r="CG39" s="4">
        <v>2.2000000000000001E-3</v>
      </c>
      <c r="CH39" s="4" t="s">
        <v>1283</v>
      </c>
      <c r="CI39" s="4">
        <v>0</v>
      </c>
      <c r="CJ39" s="4">
        <v>1.9E-3</v>
      </c>
      <c r="CK39" s="4">
        <v>0.20200000000000001</v>
      </c>
      <c r="CL39" s="4">
        <v>0</v>
      </c>
      <c r="CM39" s="4">
        <v>0</v>
      </c>
      <c r="CN39" s="4">
        <v>0</v>
      </c>
      <c r="CO39" s="4" t="s">
        <v>1283</v>
      </c>
      <c r="CP39" s="4">
        <v>2.1999999999999999E-2</v>
      </c>
      <c r="CQ39" s="4">
        <v>0</v>
      </c>
      <c r="CR39" s="4">
        <v>6.0999999999999997E-4</v>
      </c>
      <c r="CS39" s="4">
        <v>2.3E-3</v>
      </c>
      <c r="CT39" s="4">
        <v>2.9999999999999997E-4</v>
      </c>
      <c r="CU39" s="4">
        <v>1E-3</v>
      </c>
      <c r="CV39" s="4">
        <v>4.0000000000000002E-4</v>
      </c>
      <c r="CW39" s="4" t="s">
        <v>1283</v>
      </c>
      <c r="CX39" s="4">
        <v>1.7000000000000001E-4</v>
      </c>
      <c r="CY39" s="4">
        <v>3.3E-4</v>
      </c>
      <c r="CZ39" s="4">
        <v>5.9999999999999995E-5</v>
      </c>
      <c r="DA39" s="4">
        <v>1.7999999999999998E-4</v>
      </c>
      <c r="DB39" s="4">
        <v>0</v>
      </c>
      <c r="DC39" s="4">
        <v>1.9000000000000001E-4</v>
      </c>
      <c r="DD39" s="4">
        <v>0</v>
      </c>
      <c r="DE39" s="4" t="s">
        <v>1283</v>
      </c>
      <c r="DF39" s="4">
        <v>0</v>
      </c>
      <c r="DG39" s="4">
        <v>0</v>
      </c>
      <c r="DH39" s="4">
        <v>3.2000000000000001E-2</v>
      </c>
      <c r="DI39" s="4">
        <v>6.0000000000000001E-3</v>
      </c>
      <c r="DJ39" s="4">
        <v>3.1E-4</v>
      </c>
      <c r="DK39" s="4">
        <v>8.0000000000000007E-5</v>
      </c>
      <c r="DL39" s="4">
        <v>0</v>
      </c>
      <c r="DM39" s="4">
        <v>0</v>
      </c>
      <c r="DN39" s="4">
        <v>0</v>
      </c>
      <c r="DO39" s="4">
        <v>0</v>
      </c>
      <c r="DP39" s="4">
        <v>0</v>
      </c>
      <c r="DQ39" s="4">
        <v>0</v>
      </c>
      <c r="DR39" s="4">
        <v>0</v>
      </c>
      <c r="DS39" s="4">
        <v>0</v>
      </c>
      <c r="DT39" s="4">
        <v>0</v>
      </c>
      <c r="DU39" s="4">
        <v>0</v>
      </c>
      <c r="DV39" s="4">
        <v>0</v>
      </c>
      <c r="DW39" s="4">
        <v>0</v>
      </c>
      <c r="DX39" s="4">
        <v>0</v>
      </c>
      <c r="DY39" s="4">
        <v>0</v>
      </c>
      <c r="DZ39" s="4">
        <v>0</v>
      </c>
      <c r="EA39" s="4">
        <v>0</v>
      </c>
      <c r="EB39" s="4">
        <v>0</v>
      </c>
      <c r="EC39" s="4">
        <v>0</v>
      </c>
      <c r="ED39" s="4">
        <v>0</v>
      </c>
      <c r="EE39" s="4">
        <v>0</v>
      </c>
      <c r="EF39" s="4">
        <v>0</v>
      </c>
      <c r="EG39" s="4">
        <v>0</v>
      </c>
    </row>
    <row r="40" spans="1:137" s="4" customFormat="1">
      <c r="A40" s="4" t="s">
        <v>1280</v>
      </c>
      <c r="B40" s="4" t="s">
        <v>587</v>
      </c>
      <c r="D40" s="4">
        <v>0</v>
      </c>
      <c r="E40" s="4" t="s">
        <v>806</v>
      </c>
      <c r="F40" s="4" t="s">
        <v>1281</v>
      </c>
      <c r="G40" s="4" t="s">
        <v>595</v>
      </c>
      <c r="H40" s="4">
        <v>170</v>
      </c>
      <c r="I40" s="4">
        <v>0</v>
      </c>
      <c r="J40" s="4" t="s">
        <v>1139</v>
      </c>
      <c r="K40" s="4" t="s">
        <v>1315</v>
      </c>
      <c r="L40" s="4" t="s">
        <v>1313</v>
      </c>
      <c r="M40" s="4" t="s">
        <v>1298</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
        <v>0</v>
      </c>
      <c r="AG40" s="4">
        <v>0</v>
      </c>
      <c r="AH40" s="4">
        <v>0</v>
      </c>
      <c r="AI40" s="4">
        <v>0</v>
      </c>
      <c r="AJ40" s="26"/>
      <c r="AK40" s="26"/>
      <c r="AL40" s="26"/>
      <c r="AM40" s="26"/>
      <c r="AN40" s="26"/>
      <c r="AO40" s="26"/>
      <c r="AP40" s="26"/>
      <c r="AQ40" s="26"/>
      <c r="AR40" s="26"/>
      <c r="AS40" s="26"/>
      <c r="AT40" s="26"/>
      <c r="AU40" s="26"/>
      <c r="AV40" s="26"/>
      <c r="AW40" s="4">
        <v>0</v>
      </c>
      <c r="AX40" s="4">
        <v>0</v>
      </c>
      <c r="AY40" s="4">
        <v>0</v>
      </c>
      <c r="AZ40" s="4">
        <v>0</v>
      </c>
      <c r="BA40" s="4">
        <v>0</v>
      </c>
      <c r="BB40" s="4">
        <v>0</v>
      </c>
      <c r="BC40" s="4">
        <v>0</v>
      </c>
      <c r="BD40" s="4">
        <v>0</v>
      </c>
      <c r="BE40" s="4">
        <v>0</v>
      </c>
      <c r="BF40" s="4">
        <v>0</v>
      </c>
      <c r="BG40" s="4">
        <v>0</v>
      </c>
      <c r="BH40" s="4">
        <v>0</v>
      </c>
      <c r="BI40" s="4">
        <v>0</v>
      </c>
      <c r="BJ40" s="4">
        <v>0</v>
      </c>
      <c r="BK40" s="4">
        <v>0</v>
      </c>
      <c r="BL40" s="4">
        <v>0</v>
      </c>
      <c r="BM40" s="4">
        <v>0</v>
      </c>
      <c r="BN40" s="4">
        <v>0</v>
      </c>
      <c r="BO40" s="4">
        <v>0</v>
      </c>
      <c r="BP40" s="4">
        <v>0</v>
      </c>
      <c r="BQ40" s="4" t="s">
        <v>1283</v>
      </c>
      <c r="BR40" s="4">
        <v>0.156</v>
      </c>
      <c r="BS40" s="4">
        <v>3.1E-2</v>
      </c>
      <c r="BT40" s="4">
        <v>39.024000000000001</v>
      </c>
      <c r="BU40" s="4">
        <v>3.6619999999999999</v>
      </c>
      <c r="BV40" s="4">
        <v>15.257999999999999</v>
      </c>
      <c r="BW40" s="4">
        <v>0.16</v>
      </c>
      <c r="BX40" s="4">
        <v>2.4E-2</v>
      </c>
      <c r="BY40" s="4">
        <v>0</v>
      </c>
      <c r="BZ40" s="4">
        <v>0</v>
      </c>
      <c r="CA40" s="4">
        <v>0</v>
      </c>
      <c r="CB40" s="4">
        <v>0</v>
      </c>
      <c r="CC40" s="4">
        <v>0</v>
      </c>
      <c r="CD40" s="4">
        <v>0</v>
      </c>
      <c r="CE40" s="4" t="s">
        <v>1283</v>
      </c>
      <c r="CF40" s="4" t="s">
        <v>1283</v>
      </c>
      <c r="CG40" s="4">
        <v>5.9999999999999995E-4</v>
      </c>
      <c r="CH40" s="4" t="s">
        <v>1283</v>
      </c>
      <c r="CI40" s="4">
        <v>0</v>
      </c>
      <c r="CJ40" s="4">
        <v>3.2000000000000002E-3</v>
      </c>
      <c r="CK40" s="4" t="s">
        <v>1283</v>
      </c>
      <c r="CL40" s="4">
        <v>0</v>
      </c>
      <c r="CM40" s="4">
        <v>0</v>
      </c>
      <c r="CN40" s="4">
        <v>0</v>
      </c>
      <c r="CO40" s="4">
        <v>2.2000000000000001E-4</v>
      </c>
      <c r="CP40" s="4">
        <v>2.1999999999999999E-2</v>
      </c>
      <c r="CQ40" s="4">
        <v>0</v>
      </c>
      <c r="CR40" s="4">
        <v>7.9000000000000001E-4</v>
      </c>
      <c r="CS40" s="4" t="s">
        <v>1283</v>
      </c>
      <c r="CT40" s="4">
        <v>4.0000000000000003E-5</v>
      </c>
      <c r="CU40" s="4">
        <v>1.7000000000000001E-4</v>
      </c>
      <c r="CV40" s="4">
        <v>8.0000000000000007E-5</v>
      </c>
      <c r="CW40" s="4" t="s">
        <v>1283</v>
      </c>
      <c r="CX40" s="4" t="s">
        <v>1283</v>
      </c>
      <c r="CY40" s="4">
        <v>8.9999999999999992E-5</v>
      </c>
      <c r="CZ40" s="4" t="s">
        <v>1283</v>
      </c>
      <c r="DA40" s="4" t="s">
        <v>1283</v>
      </c>
      <c r="DB40" s="4">
        <v>0</v>
      </c>
      <c r="DC40" s="4" t="s">
        <v>1283</v>
      </c>
      <c r="DD40" s="4" t="s">
        <v>1283</v>
      </c>
      <c r="DE40" s="4" t="s">
        <v>1283</v>
      </c>
      <c r="DF40" s="4">
        <v>0</v>
      </c>
      <c r="DG40" s="4">
        <v>0</v>
      </c>
      <c r="DH40" s="4" t="s">
        <v>1283</v>
      </c>
      <c r="DI40" s="4" t="s">
        <v>1283</v>
      </c>
      <c r="DJ40" s="4">
        <v>3.2000000000000003E-4</v>
      </c>
      <c r="DK40" s="4">
        <v>2.0999999999999998E-4</v>
      </c>
      <c r="DL40" s="4">
        <v>0</v>
      </c>
      <c r="DM40" s="4">
        <v>0</v>
      </c>
      <c r="DN40" s="4">
        <v>0</v>
      </c>
      <c r="DO40" s="4">
        <v>0</v>
      </c>
      <c r="DP40" s="4">
        <v>0</v>
      </c>
      <c r="DQ40" s="4">
        <v>0</v>
      </c>
      <c r="DR40" s="4">
        <v>0</v>
      </c>
      <c r="DS40" s="4">
        <v>0</v>
      </c>
      <c r="DT40" s="4">
        <v>0</v>
      </c>
      <c r="DU40" s="4">
        <v>0</v>
      </c>
      <c r="DV40" s="4">
        <v>0</v>
      </c>
      <c r="DW40" s="4">
        <v>0</v>
      </c>
      <c r="DX40" s="4">
        <v>0</v>
      </c>
      <c r="DY40" s="4">
        <v>0</v>
      </c>
      <c r="DZ40" s="4">
        <v>0</v>
      </c>
      <c r="EA40" s="4">
        <v>0</v>
      </c>
      <c r="EB40" s="4">
        <v>0</v>
      </c>
      <c r="EC40" s="4">
        <v>0</v>
      </c>
      <c r="ED40" s="4">
        <v>0</v>
      </c>
      <c r="EE40" s="4">
        <v>0</v>
      </c>
      <c r="EF40" s="4">
        <v>0</v>
      </c>
      <c r="EG40" s="4">
        <v>0</v>
      </c>
    </row>
    <row r="41" spans="1:137" s="4" customFormat="1">
      <c r="A41" s="4" t="s">
        <v>1280</v>
      </c>
      <c r="B41" s="4" t="s">
        <v>587</v>
      </c>
      <c r="D41" s="4">
        <v>0</v>
      </c>
      <c r="E41" s="4" t="s">
        <v>806</v>
      </c>
      <c r="F41" s="4" t="s">
        <v>1281</v>
      </c>
      <c r="G41" s="4" t="s">
        <v>595</v>
      </c>
      <c r="H41" s="4">
        <v>170</v>
      </c>
      <c r="I41" s="4">
        <v>0</v>
      </c>
      <c r="J41" s="4" t="s">
        <v>1139</v>
      </c>
      <c r="K41" s="4" t="s">
        <v>1315</v>
      </c>
      <c r="L41" s="4" t="s">
        <v>1313</v>
      </c>
      <c r="M41" s="4" t="s">
        <v>1299</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4">
        <v>0</v>
      </c>
      <c r="AG41" s="4">
        <v>0</v>
      </c>
      <c r="AH41" s="4">
        <v>0</v>
      </c>
      <c r="AI41" s="4">
        <v>0</v>
      </c>
      <c r="AJ41" s="26"/>
      <c r="AK41" s="26"/>
      <c r="AL41" s="26"/>
      <c r="AM41" s="26"/>
      <c r="AN41" s="26"/>
      <c r="AO41" s="26"/>
      <c r="AP41" s="26"/>
      <c r="AQ41" s="26"/>
      <c r="AR41" s="26"/>
      <c r="AS41" s="26"/>
      <c r="AT41" s="26"/>
      <c r="AU41" s="26"/>
      <c r="AV41" s="26"/>
      <c r="AW41" s="4">
        <v>0</v>
      </c>
      <c r="AX41" s="4">
        <v>0</v>
      </c>
      <c r="AY41" s="4">
        <v>0</v>
      </c>
      <c r="AZ41" s="4">
        <v>0</v>
      </c>
      <c r="BA41" s="4">
        <v>0</v>
      </c>
      <c r="BB41" s="4">
        <v>0</v>
      </c>
      <c r="BC41" s="4">
        <v>0</v>
      </c>
      <c r="BD41" s="4">
        <v>0</v>
      </c>
      <c r="BE41" s="4">
        <v>0</v>
      </c>
      <c r="BF41" s="4">
        <v>0</v>
      </c>
      <c r="BG41" s="4">
        <v>0</v>
      </c>
      <c r="BH41" s="4">
        <v>0</v>
      </c>
      <c r="BI41" s="4">
        <v>0</v>
      </c>
      <c r="BJ41" s="4">
        <v>0</v>
      </c>
      <c r="BK41" s="4">
        <v>0</v>
      </c>
      <c r="BL41" s="4">
        <v>0</v>
      </c>
      <c r="BM41" s="4">
        <v>0</v>
      </c>
      <c r="BN41" s="4">
        <v>0</v>
      </c>
      <c r="BO41" s="4">
        <v>0</v>
      </c>
      <c r="BP41" s="4">
        <v>0</v>
      </c>
      <c r="BQ41" s="4" t="s">
        <v>1283</v>
      </c>
      <c r="BR41" s="4">
        <v>2.1040000000000001</v>
      </c>
      <c r="BS41" s="4">
        <v>0.56899999999999995</v>
      </c>
      <c r="BT41" s="4">
        <v>93.421000000000006</v>
      </c>
      <c r="BU41" s="4">
        <v>12.79</v>
      </c>
      <c r="BV41" s="4">
        <v>6.8739999999999997</v>
      </c>
      <c r="BW41" s="4">
        <v>29.899000000000001</v>
      </c>
      <c r="BX41" s="4">
        <v>1.74</v>
      </c>
      <c r="BY41" s="4">
        <v>0</v>
      </c>
      <c r="BZ41" s="4">
        <v>0</v>
      </c>
      <c r="CA41" s="4">
        <v>0</v>
      </c>
      <c r="CB41" s="4">
        <v>0</v>
      </c>
      <c r="CC41" s="4">
        <v>0</v>
      </c>
      <c r="CD41" s="4">
        <v>0</v>
      </c>
      <c r="CE41" s="4">
        <v>7.7000000000000002E-3</v>
      </c>
      <c r="CF41" s="4">
        <v>3.4000000000000002E-2</v>
      </c>
      <c r="CG41" s="4">
        <v>9.8999999999999999E-4</v>
      </c>
      <c r="CH41" s="4">
        <v>9.7000000000000003E-2</v>
      </c>
      <c r="CI41" s="4">
        <v>0</v>
      </c>
      <c r="CJ41" s="4">
        <v>0.113</v>
      </c>
      <c r="CK41" s="4">
        <v>0.16600000000000001</v>
      </c>
      <c r="CL41" s="4">
        <v>0</v>
      </c>
      <c r="CM41" s="4">
        <v>0</v>
      </c>
      <c r="CN41" s="4">
        <v>0</v>
      </c>
      <c r="CO41" s="4">
        <v>6.3E-2</v>
      </c>
      <c r="CP41" s="4">
        <v>0.91600000000000004</v>
      </c>
      <c r="CQ41" s="4">
        <v>0</v>
      </c>
      <c r="CR41" s="4">
        <v>2.5000000000000001E-3</v>
      </c>
      <c r="CS41" s="4">
        <v>5.1999999999999998E-2</v>
      </c>
      <c r="CT41" s="4">
        <v>4.2999999999999999E-4</v>
      </c>
      <c r="CU41" s="4">
        <v>4.6999999999999999E-4</v>
      </c>
      <c r="CV41" s="4">
        <v>8.9999999999999992E-5</v>
      </c>
      <c r="CW41" s="4" t="s">
        <v>1283</v>
      </c>
      <c r="CX41" s="4">
        <v>2.3000000000000001E-4</v>
      </c>
      <c r="CY41" s="4">
        <v>1.6000000000000001E-4</v>
      </c>
      <c r="CZ41" s="4">
        <v>2.9999999999999997E-5</v>
      </c>
      <c r="DA41" s="4">
        <v>2.0000000000000002E-5</v>
      </c>
      <c r="DB41" s="4">
        <v>0</v>
      </c>
      <c r="DC41" s="4" t="s">
        <v>1283</v>
      </c>
      <c r="DD41" s="4" t="s">
        <v>1283</v>
      </c>
      <c r="DE41" s="4">
        <v>9.8000000000000004E-2</v>
      </c>
      <c r="DF41" s="4">
        <v>0</v>
      </c>
      <c r="DG41" s="4">
        <v>0</v>
      </c>
      <c r="DH41" s="4">
        <v>9.8000000000000004E-2</v>
      </c>
      <c r="DI41" s="4">
        <v>1.5E-3</v>
      </c>
      <c r="DJ41" s="4">
        <v>1.1999999999999999E-3</v>
      </c>
      <c r="DK41" s="4" t="s">
        <v>1283</v>
      </c>
      <c r="DL41" s="4">
        <v>0</v>
      </c>
      <c r="DM41" s="4">
        <v>0</v>
      </c>
      <c r="DN41" s="4">
        <v>0</v>
      </c>
      <c r="DO41" s="4">
        <v>0</v>
      </c>
      <c r="DP41" s="4">
        <v>0</v>
      </c>
      <c r="DQ41" s="4">
        <v>0</v>
      </c>
      <c r="DR41" s="4">
        <v>0</v>
      </c>
      <c r="DS41" s="4">
        <v>0</v>
      </c>
      <c r="DT41" s="4">
        <v>0</v>
      </c>
      <c r="DU41" s="4">
        <v>0</v>
      </c>
      <c r="DV41" s="4">
        <v>0</v>
      </c>
      <c r="DW41" s="4">
        <v>0</v>
      </c>
      <c r="DX41" s="4">
        <v>0</v>
      </c>
      <c r="DY41" s="4">
        <v>0</v>
      </c>
      <c r="DZ41" s="4">
        <v>0</v>
      </c>
      <c r="EA41" s="4">
        <v>0</v>
      </c>
      <c r="EB41" s="4">
        <v>0</v>
      </c>
      <c r="EC41" s="4">
        <v>0</v>
      </c>
      <c r="ED41" s="4">
        <v>0</v>
      </c>
      <c r="EE41" s="4">
        <v>0</v>
      </c>
      <c r="EF41" s="4">
        <v>0</v>
      </c>
      <c r="EG41" s="4">
        <v>0</v>
      </c>
    </row>
    <row r="42" spans="1:137" s="4" customFormat="1">
      <c r="A42" s="4" t="s">
        <v>1280</v>
      </c>
      <c r="B42" s="4" t="s">
        <v>587</v>
      </c>
      <c r="D42" s="4">
        <v>0</v>
      </c>
      <c r="E42" s="4" t="s">
        <v>806</v>
      </c>
      <c r="F42" s="4" t="s">
        <v>1281</v>
      </c>
      <c r="G42" s="4" t="s">
        <v>595</v>
      </c>
      <c r="H42" s="4">
        <v>170</v>
      </c>
      <c r="I42" s="4">
        <v>0</v>
      </c>
      <c r="J42" s="4" t="s">
        <v>1139</v>
      </c>
      <c r="K42" s="4" t="s">
        <v>1315</v>
      </c>
      <c r="L42" s="4" t="s">
        <v>1313</v>
      </c>
      <c r="M42" s="4" t="s">
        <v>1300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4">
        <v>0</v>
      </c>
      <c r="AG42" s="4">
        <v>0</v>
      </c>
      <c r="AH42" s="4">
        <v>0</v>
      </c>
      <c r="AI42" s="4">
        <v>0</v>
      </c>
      <c r="AJ42" s="26"/>
      <c r="AK42" s="26"/>
      <c r="AL42" s="26"/>
      <c r="AM42" s="26"/>
      <c r="AN42" s="26"/>
      <c r="AO42" s="26"/>
      <c r="AP42" s="26"/>
      <c r="AQ42" s="26"/>
      <c r="AR42" s="26"/>
      <c r="AS42" s="26"/>
      <c r="AT42" s="26"/>
      <c r="AU42" s="26"/>
      <c r="AV42" s="26"/>
      <c r="AW42" s="4">
        <v>0</v>
      </c>
      <c r="AX42" s="4">
        <v>0</v>
      </c>
      <c r="AY42" s="4">
        <v>0</v>
      </c>
      <c r="AZ42" s="4">
        <v>0</v>
      </c>
      <c r="BA42" s="4">
        <v>0</v>
      </c>
      <c r="BB42" s="4">
        <v>0</v>
      </c>
      <c r="BC42" s="4">
        <v>0</v>
      </c>
      <c r="BD42" s="4">
        <v>0</v>
      </c>
      <c r="BE42" s="4">
        <v>0</v>
      </c>
      <c r="BF42" s="4">
        <v>0</v>
      </c>
      <c r="BG42" s="4">
        <v>0</v>
      </c>
      <c r="BH42" s="4">
        <v>0</v>
      </c>
      <c r="BI42" s="4">
        <v>0</v>
      </c>
      <c r="BJ42" s="4">
        <v>0</v>
      </c>
      <c r="BK42" s="4">
        <v>0</v>
      </c>
      <c r="BL42" s="4">
        <v>0</v>
      </c>
      <c r="BM42" s="4">
        <v>0</v>
      </c>
      <c r="BN42" s="4">
        <v>0</v>
      </c>
      <c r="BO42" s="4">
        <v>0</v>
      </c>
      <c r="BP42" s="4">
        <v>0</v>
      </c>
      <c r="BQ42" s="4" t="s">
        <v>1283</v>
      </c>
      <c r="BR42" s="4">
        <v>2.7069999999999999</v>
      </c>
      <c r="BS42" s="4">
        <v>0.23300000000000001</v>
      </c>
      <c r="BT42" s="4">
        <v>433.55200000000002</v>
      </c>
      <c r="BU42" s="4">
        <v>426.4</v>
      </c>
      <c r="BV42" s="4">
        <v>61.332999999999998</v>
      </c>
      <c r="BW42" s="4">
        <v>21.16</v>
      </c>
      <c r="BX42" s="4">
        <v>5.3220000000000001</v>
      </c>
      <c r="BY42" s="4">
        <v>0</v>
      </c>
      <c r="BZ42" s="4">
        <v>0</v>
      </c>
      <c r="CA42" s="4">
        <v>0</v>
      </c>
      <c r="CB42" s="4">
        <v>0</v>
      </c>
      <c r="CC42" s="4">
        <v>0</v>
      </c>
      <c r="CD42" s="4">
        <v>0</v>
      </c>
      <c r="CE42" s="4">
        <v>1.6E-2</v>
      </c>
      <c r="CF42" s="4">
        <v>1.7999999999999999E-2</v>
      </c>
      <c r="CG42" s="4">
        <v>6.4000000000000005E-4</v>
      </c>
      <c r="CH42" s="4" t="s">
        <v>1283</v>
      </c>
      <c r="CI42" s="4">
        <v>0</v>
      </c>
      <c r="CJ42" s="4">
        <v>7.4999999999999997E-3</v>
      </c>
      <c r="CK42" s="4">
        <v>0.46100000000000002</v>
      </c>
      <c r="CL42" s="4">
        <v>0</v>
      </c>
      <c r="CM42" s="4">
        <v>0</v>
      </c>
      <c r="CN42" s="4">
        <v>0</v>
      </c>
      <c r="CO42" s="4">
        <v>3.6999999999999999E-4</v>
      </c>
      <c r="CP42" s="4">
        <v>0.02</v>
      </c>
      <c r="CQ42" s="4">
        <v>0</v>
      </c>
      <c r="CR42" s="4">
        <v>6.7999999999999996E-3</v>
      </c>
      <c r="CS42" s="4">
        <v>1.7000000000000001E-2</v>
      </c>
      <c r="CT42" s="4">
        <v>1.6999999999999999E-3</v>
      </c>
      <c r="CU42" s="4">
        <v>4.9000000000000007E-3</v>
      </c>
      <c r="CV42" s="4">
        <v>3.8000000000000002E-4</v>
      </c>
      <c r="CW42" s="4">
        <v>1.3000000000000002E-4</v>
      </c>
      <c r="CX42" s="4">
        <v>2.5000000000000001E-4</v>
      </c>
      <c r="CY42" s="4">
        <v>1.1999999999999999E-4</v>
      </c>
      <c r="CZ42" s="4">
        <v>5.9999999999999995E-5</v>
      </c>
      <c r="DA42" s="4">
        <v>1.1E-4</v>
      </c>
      <c r="DB42" s="4">
        <v>0</v>
      </c>
      <c r="DC42" s="4">
        <v>8.0000000000000007E-5</v>
      </c>
      <c r="DD42" s="4">
        <v>5.9999999999999995E-5</v>
      </c>
      <c r="DE42" s="4" t="s">
        <v>1283</v>
      </c>
      <c r="DF42" s="4">
        <v>0</v>
      </c>
      <c r="DG42" s="4">
        <v>0</v>
      </c>
      <c r="DH42" s="4">
        <v>1.6E-2</v>
      </c>
      <c r="DI42" s="4">
        <v>2E-3</v>
      </c>
      <c r="DJ42" s="4">
        <v>5.4000000000000001E-4</v>
      </c>
      <c r="DK42" s="4">
        <v>8.0000000000000007E-5</v>
      </c>
      <c r="DL42" s="4">
        <v>0</v>
      </c>
      <c r="DM42" s="4">
        <v>0</v>
      </c>
      <c r="DN42" s="4">
        <v>0</v>
      </c>
      <c r="DO42" s="4">
        <v>0</v>
      </c>
      <c r="DP42" s="4">
        <v>0</v>
      </c>
      <c r="DQ42" s="4">
        <v>0</v>
      </c>
      <c r="DR42" s="4">
        <v>0</v>
      </c>
      <c r="DS42" s="4">
        <v>0</v>
      </c>
      <c r="DT42" s="4">
        <v>0</v>
      </c>
      <c r="DU42" s="4">
        <v>0</v>
      </c>
      <c r="DV42" s="4">
        <v>0</v>
      </c>
      <c r="DW42" s="4">
        <v>0</v>
      </c>
      <c r="DX42" s="4">
        <v>0</v>
      </c>
      <c r="DY42" s="4">
        <v>0</v>
      </c>
      <c r="DZ42" s="4">
        <v>0</v>
      </c>
      <c r="EA42" s="4">
        <v>0</v>
      </c>
      <c r="EB42" s="4">
        <v>0</v>
      </c>
      <c r="EC42" s="4">
        <v>0</v>
      </c>
      <c r="ED42" s="4">
        <v>0</v>
      </c>
      <c r="EE42" s="4">
        <v>0</v>
      </c>
      <c r="EF42" s="4">
        <v>0</v>
      </c>
      <c r="EG42" s="4">
        <v>0</v>
      </c>
    </row>
    <row r="43" spans="1:137" s="4" customFormat="1">
      <c r="A43" s="4" t="s">
        <v>1280</v>
      </c>
      <c r="B43" s="4" t="s">
        <v>587</v>
      </c>
      <c r="D43" s="4">
        <v>0</v>
      </c>
      <c r="E43" s="4" t="s">
        <v>806</v>
      </c>
      <c r="F43" s="4" t="s">
        <v>1281</v>
      </c>
      <c r="G43" s="4" t="s">
        <v>595</v>
      </c>
      <c r="H43" s="4">
        <v>170</v>
      </c>
      <c r="I43" s="4">
        <v>0</v>
      </c>
      <c r="J43" s="4" t="s">
        <v>1139</v>
      </c>
      <c r="K43" s="4" t="s">
        <v>1315</v>
      </c>
      <c r="L43" s="4" t="s">
        <v>1313</v>
      </c>
      <c r="M43" s="4" t="s">
        <v>1301</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4">
        <v>0</v>
      </c>
      <c r="AG43" s="4">
        <v>0</v>
      </c>
      <c r="AH43" s="4">
        <v>0</v>
      </c>
      <c r="AI43" s="4">
        <v>0</v>
      </c>
      <c r="AJ43" s="26"/>
      <c r="AK43" s="26"/>
      <c r="AL43" s="26"/>
      <c r="AM43" s="26"/>
      <c r="AN43" s="26"/>
      <c r="AO43" s="26"/>
      <c r="AP43" s="26"/>
      <c r="AQ43" s="26"/>
      <c r="AR43" s="26"/>
      <c r="AS43" s="26"/>
      <c r="AT43" s="26"/>
      <c r="AU43" s="26"/>
      <c r="AV43" s="26"/>
      <c r="AW43" s="4">
        <v>0</v>
      </c>
      <c r="AX43" s="4">
        <v>0</v>
      </c>
      <c r="AY43" s="4">
        <v>0</v>
      </c>
      <c r="AZ43" s="4">
        <v>0</v>
      </c>
      <c r="BA43" s="4">
        <v>0</v>
      </c>
      <c r="BB43" s="4">
        <v>0</v>
      </c>
      <c r="BC43" s="4">
        <v>0</v>
      </c>
      <c r="BD43" s="4">
        <v>0</v>
      </c>
      <c r="BE43" s="4">
        <v>0</v>
      </c>
      <c r="BF43" s="4">
        <v>0</v>
      </c>
      <c r="BG43" s="4">
        <v>0</v>
      </c>
      <c r="BH43" s="4">
        <v>0</v>
      </c>
      <c r="BI43" s="4">
        <v>0</v>
      </c>
      <c r="BJ43" s="4">
        <v>0</v>
      </c>
      <c r="BK43" s="4">
        <v>0</v>
      </c>
      <c r="BL43" s="4">
        <v>0</v>
      </c>
      <c r="BM43" s="4">
        <v>0</v>
      </c>
      <c r="BN43" s="4">
        <v>0</v>
      </c>
      <c r="BO43" s="4">
        <v>0</v>
      </c>
      <c r="BP43" s="4">
        <v>0</v>
      </c>
      <c r="BQ43" s="4" t="s">
        <v>1283</v>
      </c>
      <c r="BR43" s="4">
        <v>1.21</v>
      </c>
      <c r="BS43" s="4">
        <v>5.6000000000000001E-2</v>
      </c>
      <c r="BT43" s="4">
        <v>2.02</v>
      </c>
      <c r="BU43" s="4">
        <v>0.27100000000000002</v>
      </c>
      <c r="BV43" s="4">
        <v>0.09</v>
      </c>
      <c r="BW43" s="4" t="s">
        <v>1283</v>
      </c>
      <c r="BX43" s="4">
        <v>4.7999999999999996E-3</v>
      </c>
      <c r="BY43" s="4">
        <v>0</v>
      </c>
      <c r="BZ43" s="4">
        <v>0</v>
      </c>
      <c r="CA43" s="4">
        <v>0</v>
      </c>
      <c r="CB43" s="4">
        <v>0</v>
      </c>
      <c r="CC43" s="4">
        <v>0</v>
      </c>
      <c r="CD43" s="4">
        <v>0</v>
      </c>
      <c r="CE43" s="4" t="s">
        <v>1283</v>
      </c>
      <c r="CF43" s="4" t="s">
        <v>1283</v>
      </c>
      <c r="CG43" s="4" t="s">
        <v>1283</v>
      </c>
      <c r="CH43" s="4" t="s">
        <v>1283</v>
      </c>
      <c r="CI43" s="4">
        <v>0</v>
      </c>
      <c r="CJ43" s="4">
        <v>3.6999999999999999E-4</v>
      </c>
      <c r="CK43" s="4" t="s">
        <v>1283</v>
      </c>
      <c r="CL43" s="4">
        <v>0</v>
      </c>
      <c r="CM43" s="4">
        <v>0</v>
      </c>
      <c r="CN43" s="4">
        <v>0</v>
      </c>
      <c r="CO43" s="4" t="s">
        <v>1283</v>
      </c>
      <c r="CP43" s="4">
        <v>9.1000000000000004E-3</v>
      </c>
      <c r="CQ43" s="4">
        <v>0</v>
      </c>
      <c r="CR43" s="4" t="s">
        <v>1283</v>
      </c>
      <c r="CS43" s="4" t="s">
        <v>1283</v>
      </c>
      <c r="CT43" s="4">
        <v>8.9999999999999992E-5</v>
      </c>
      <c r="CU43" s="4">
        <v>1.7000000000000001E-4</v>
      </c>
      <c r="CV43" s="4">
        <v>7.0000000000000007E-5</v>
      </c>
      <c r="CW43" s="4">
        <v>5.9999999999999995E-5</v>
      </c>
      <c r="CX43" s="4">
        <v>7.0000000000000007E-5</v>
      </c>
      <c r="CY43" s="4">
        <v>5.0000000000000002E-5</v>
      </c>
      <c r="CZ43" s="4">
        <v>5.9999999999999995E-5</v>
      </c>
      <c r="DA43" s="4">
        <v>8.0000000000000007E-5</v>
      </c>
      <c r="DB43" s="4">
        <v>0</v>
      </c>
      <c r="DC43" s="4">
        <v>5.9999999999999995E-5</v>
      </c>
      <c r="DD43" s="4">
        <v>5.0000000000000002E-5</v>
      </c>
      <c r="DE43" s="4" t="s">
        <v>1283</v>
      </c>
      <c r="DF43" s="4">
        <v>0</v>
      </c>
      <c r="DG43" s="4">
        <v>0</v>
      </c>
      <c r="DH43" s="4">
        <v>6.3E-3</v>
      </c>
      <c r="DI43" s="4" t="s">
        <v>1283</v>
      </c>
      <c r="DJ43" s="4" t="s">
        <v>1283</v>
      </c>
      <c r="DK43" s="4">
        <v>8.0000000000000007E-5</v>
      </c>
      <c r="DL43" s="4">
        <v>0</v>
      </c>
      <c r="DM43" s="4">
        <v>0</v>
      </c>
      <c r="DN43" s="4">
        <v>0</v>
      </c>
      <c r="DO43" s="4">
        <v>0</v>
      </c>
      <c r="DP43" s="4">
        <v>0</v>
      </c>
      <c r="DQ43" s="4">
        <v>0</v>
      </c>
      <c r="DR43" s="4">
        <v>0</v>
      </c>
      <c r="DS43" s="4">
        <v>0</v>
      </c>
      <c r="DT43" s="4">
        <v>0</v>
      </c>
      <c r="DU43" s="4">
        <v>0</v>
      </c>
      <c r="DV43" s="4">
        <v>0</v>
      </c>
      <c r="DW43" s="4">
        <v>0</v>
      </c>
      <c r="DX43" s="4">
        <v>0</v>
      </c>
      <c r="DY43" s="4">
        <v>0</v>
      </c>
      <c r="DZ43" s="4">
        <v>0</v>
      </c>
      <c r="EA43" s="4">
        <v>0</v>
      </c>
      <c r="EB43" s="4">
        <v>0</v>
      </c>
      <c r="EC43" s="4">
        <v>0</v>
      </c>
      <c r="ED43" s="4">
        <v>0</v>
      </c>
      <c r="EE43" s="4">
        <v>0</v>
      </c>
      <c r="EF43" s="4">
        <v>0</v>
      </c>
      <c r="EG43" s="4">
        <v>0</v>
      </c>
    </row>
    <row r="44" spans="1:137">
      <c r="A44" t="s">
        <v>393</v>
      </c>
      <c r="B44" t="s">
        <v>24</v>
      </c>
      <c r="D44">
        <v>0</v>
      </c>
      <c r="E44" t="s">
        <v>171</v>
      </c>
      <c r="F44" t="s">
        <v>170</v>
      </c>
      <c r="G44" t="s">
        <v>595</v>
      </c>
      <c r="H44">
        <v>55</v>
      </c>
      <c r="I44">
        <v>0</v>
      </c>
      <c r="J44" t="s">
        <v>635</v>
      </c>
      <c r="K44" t="s">
        <v>235</v>
      </c>
      <c r="L44" t="s">
        <v>236</v>
      </c>
      <c r="M44" t="s">
        <v>174</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s="26">
        <f t="shared" si="1"/>
        <v>0</v>
      </c>
      <c r="AK44" s="26"/>
      <c r="AL44" s="26"/>
      <c r="AM44" s="26"/>
      <c r="AN44" s="26"/>
      <c r="AO44" s="26"/>
      <c r="AP44" s="26"/>
      <c r="AQ44" s="26"/>
      <c r="AR44" s="26"/>
      <c r="AS44" s="26"/>
      <c r="AT44" s="26"/>
      <c r="AU44" s="26"/>
      <c r="AV44" s="26"/>
      <c r="AX44">
        <v>0</v>
      </c>
      <c r="AY44">
        <v>0</v>
      </c>
      <c r="AZ44">
        <v>0</v>
      </c>
      <c r="BA44">
        <v>0</v>
      </c>
      <c r="BB44">
        <v>0</v>
      </c>
      <c r="BC44">
        <v>0</v>
      </c>
      <c r="BD44">
        <v>700</v>
      </c>
      <c r="BE44">
        <v>24</v>
      </c>
      <c r="BF44">
        <v>0</v>
      </c>
      <c r="BG44">
        <v>0</v>
      </c>
      <c r="BH44">
        <v>0</v>
      </c>
      <c r="BI44">
        <v>0</v>
      </c>
      <c r="BJ44">
        <v>0</v>
      </c>
      <c r="BK44">
        <v>0</v>
      </c>
      <c r="BL44">
        <v>0</v>
      </c>
      <c r="BM44">
        <v>0</v>
      </c>
      <c r="BN44">
        <v>0</v>
      </c>
      <c r="BO44" t="s">
        <v>180</v>
      </c>
      <c r="BP44">
        <v>0</v>
      </c>
      <c r="BQ44">
        <v>0</v>
      </c>
      <c r="BR44">
        <v>0</v>
      </c>
      <c r="BS44">
        <v>0</v>
      </c>
      <c r="BT44">
        <v>0</v>
      </c>
      <c r="BU44">
        <v>0</v>
      </c>
      <c r="BV44">
        <v>0</v>
      </c>
      <c r="BW44">
        <v>0</v>
      </c>
      <c r="BX44">
        <v>0</v>
      </c>
      <c r="BY44">
        <v>0.05</v>
      </c>
      <c r="BZ44">
        <v>0</v>
      </c>
      <c r="CA44">
        <v>0</v>
      </c>
      <c r="CB44">
        <v>0</v>
      </c>
      <c r="CC44">
        <v>0</v>
      </c>
      <c r="CD44">
        <v>0</v>
      </c>
      <c r="CE44" t="s">
        <v>183</v>
      </c>
      <c r="CF44">
        <v>0.02</v>
      </c>
      <c r="CG44">
        <v>4.0000000000000001E-3</v>
      </c>
      <c r="CH44">
        <v>0.06</v>
      </c>
      <c r="CI44">
        <v>0</v>
      </c>
      <c r="CJ44" t="s">
        <v>220</v>
      </c>
      <c r="CK44">
        <v>0</v>
      </c>
      <c r="CL44">
        <v>0</v>
      </c>
      <c r="CM44">
        <v>0</v>
      </c>
      <c r="CN44">
        <v>0</v>
      </c>
      <c r="CO44" t="s">
        <v>221</v>
      </c>
      <c r="CP44">
        <v>0.02</v>
      </c>
      <c r="CQ44">
        <v>0</v>
      </c>
      <c r="CR44" t="s">
        <v>224</v>
      </c>
      <c r="CS44">
        <v>0.01</v>
      </c>
      <c r="CT44">
        <v>7.0000000000000001E-3</v>
      </c>
      <c r="CU44" t="s">
        <v>216</v>
      </c>
      <c r="CV44" t="s">
        <v>218</v>
      </c>
      <c r="CW44" t="s">
        <v>221</v>
      </c>
      <c r="CX44" t="s">
        <v>218</v>
      </c>
      <c r="CY44">
        <v>0.01</v>
      </c>
      <c r="CZ44" t="s">
        <v>223</v>
      </c>
      <c r="DA44" t="s">
        <v>214</v>
      </c>
      <c r="DB44">
        <v>0</v>
      </c>
      <c r="DC44">
        <v>1.0999999999999999E-2</v>
      </c>
      <c r="DD44" t="s">
        <v>223</v>
      </c>
      <c r="DE44">
        <v>6.0000000000000001E-3</v>
      </c>
      <c r="DF44">
        <v>4.0000000000000001E-3</v>
      </c>
      <c r="DG44">
        <v>0.06</v>
      </c>
      <c r="DH44">
        <v>0.04</v>
      </c>
      <c r="DI44">
        <v>2E-3</v>
      </c>
      <c r="DJ44" t="s">
        <v>223</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row>
    <row r="45" spans="1:137">
      <c r="A45" t="s">
        <v>393</v>
      </c>
      <c r="B45" t="s">
        <v>24</v>
      </c>
      <c r="D45">
        <v>0</v>
      </c>
      <c r="E45" t="s">
        <v>171</v>
      </c>
      <c r="F45" t="s">
        <v>170</v>
      </c>
      <c r="G45" t="s">
        <v>595</v>
      </c>
      <c r="H45">
        <v>55</v>
      </c>
      <c r="I45">
        <v>0</v>
      </c>
      <c r="J45" t="s">
        <v>635</v>
      </c>
      <c r="K45" t="s">
        <v>235</v>
      </c>
      <c r="L45" t="s">
        <v>236</v>
      </c>
      <c r="M45" t="s">
        <v>175</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s="26">
        <f t="shared" si="1"/>
        <v>0</v>
      </c>
      <c r="AK45" s="26"/>
      <c r="AL45" s="26"/>
      <c r="AM45" s="26"/>
      <c r="AN45" s="26"/>
      <c r="AO45" s="26"/>
      <c r="AP45" s="26"/>
      <c r="AQ45" s="26"/>
      <c r="AR45" s="26"/>
      <c r="AS45" s="26"/>
      <c r="AT45" s="26"/>
      <c r="AU45" s="26"/>
      <c r="AV45" s="26"/>
      <c r="AX45">
        <v>0</v>
      </c>
      <c r="AY45">
        <v>0</v>
      </c>
      <c r="AZ45">
        <v>0</v>
      </c>
      <c r="BA45">
        <v>0</v>
      </c>
      <c r="BB45">
        <v>0</v>
      </c>
      <c r="BC45">
        <v>0</v>
      </c>
      <c r="BD45">
        <v>1262</v>
      </c>
      <c r="BE45">
        <v>40</v>
      </c>
      <c r="BF45">
        <v>0</v>
      </c>
      <c r="BG45">
        <v>0</v>
      </c>
      <c r="BH45">
        <v>0</v>
      </c>
      <c r="BI45">
        <v>0</v>
      </c>
      <c r="BJ45">
        <v>0</v>
      </c>
      <c r="BK45">
        <v>0</v>
      </c>
      <c r="BL45">
        <v>0</v>
      </c>
      <c r="BM45">
        <v>0</v>
      </c>
      <c r="BN45">
        <v>0</v>
      </c>
      <c r="BO45">
        <v>0.9</v>
      </c>
      <c r="BP45">
        <v>0</v>
      </c>
      <c r="BQ45">
        <v>0</v>
      </c>
      <c r="BR45">
        <v>0</v>
      </c>
      <c r="BS45">
        <v>0</v>
      </c>
      <c r="BT45">
        <v>0</v>
      </c>
      <c r="BU45">
        <v>0</v>
      </c>
      <c r="BV45">
        <v>0</v>
      </c>
      <c r="BW45">
        <v>0</v>
      </c>
      <c r="BX45">
        <v>0</v>
      </c>
      <c r="BY45" t="s">
        <v>214</v>
      </c>
      <c r="BZ45">
        <v>0</v>
      </c>
      <c r="CA45">
        <v>0</v>
      </c>
      <c r="CB45">
        <v>0</v>
      </c>
      <c r="CC45">
        <v>0</v>
      </c>
      <c r="CD45">
        <v>0</v>
      </c>
      <c r="CE45" t="s">
        <v>221</v>
      </c>
      <c r="CF45">
        <v>3.0000000000000001E-3</v>
      </c>
      <c r="CG45">
        <v>8.0000000000000002E-3</v>
      </c>
      <c r="CH45">
        <v>0.06</v>
      </c>
      <c r="CI45">
        <v>0</v>
      </c>
      <c r="CJ45" t="s">
        <v>224</v>
      </c>
      <c r="CK45">
        <v>0</v>
      </c>
      <c r="CL45">
        <v>0</v>
      </c>
      <c r="CM45">
        <v>0</v>
      </c>
      <c r="CN45">
        <v>0</v>
      </c>
      <c r="CO45" t="s">
        <v>223</v>
      </c>
      <c r="CP45">
        <v>0.05</v>
      </c>
      <c r="CQ45">
        <v>0</v>
      </c>
      <c r="CR45">
        <v>8.9999999999999993E-3</v>
      </c>
      <c r="CS45">
        <v>0.03</v>
      </c>
      <c r="CT45" t="s">
        <v>223</v>
      </c>
      <c r="CU45" t="s">
        <v>218</v>
      </c>
      <c r="CV45" t="s">
        <v>218</v>
      </c>
      <c r="CW45" t="s">
        <v>221</v>
      </c>
      <c r="CX45">
        <v>1.4999999999999999E-2</v>
      </c>
      <c r="CY45" t="s">
        <v>217</v>
      </c>
      <c r="CZ45">
        <v>4.0000000000000001E-3</v>
      </c>
      <c r="DA45" t="s">
        <v>183</v>
      </c>
      <c r="DB45">
        <v>0</v>
      </c>
      <c r="DC45" t="s">
        <v>214</v>
      </c>
      <c r="DD45" t="s">
        <v>223</v>
      </c>
      <c r="DE45">
        <v>8.0000000000000002E-3</v>
      </c>
      <c r="DF45" t="s">
        <v>224</v>
      </c>
      <c r="DG45">
        <v>0.7</v>
      </c>
      <c r="DH45">
        <v>0.1</v>
      </c>
      <c r="DI45" t="s">
        <v>223</v>
      </c>
      <c r="DJ45" t="s">
        <v>224</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row>
    <row r="46" spans="1:137">
      <c r="A46" t="s">
        <v>393</v>
      </c>
      <c r="B46" t="s">
        <v>24</v>
      </c>
      <c r="D46">
        <v>0</v>
      </c>
      <c r="E46" t="s">
        <v>171</v>
      </c>
      <c r="F46" t="s">
        <v>170</v>
      </c>
      <c r="G46" t="s">
        <v>595</v>
      </c>
      <c r="H46">
        <v>55</v>
      </c>
      <c r="I46">
        <v>0</v>
      </c>
      <c r="J46" t="s">
        <v>635</v>
      </c>
      <c r="K46" t="s">
        <v>235</v>
      </c>
      <c r="L46" t="s">
        <v>236</v>
      </c>
      <c r="M46" t="s">
        <v>176</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s="26">
        <f t="shared" si="1"/>
        <v>0</v>
      </c>
      <c r="AK46" s="26"/>
      <c r="AL46" s="26"/>
      <c r="AM46" s="26"/>
      <c r="AN46" s="26"/>
      <c r="AO46" s="26"/>
      <c r="AP46" s="26"/>
      <c r="AQ46" s="26"/>
      <c r="AR46" s="26"/>
      <c r="AS46" s="26"/>
      <c r="AT46" s="26"/>
      <c r="AU46" s="26"/>
      <c r="AV46" s="26"/>
      <c r="AX46">
        <v>0</v>
      </c>
      <c r="AY46">
        <v>0</v>
      </c>
      <c r="AZ46">
        <v>0</v>
      </c>
      <c r="BA46">
        <v>0</v>
      </c>
      <c r="BB46">
        <v>0</v>
      </c>
      <c r="BC46">
        <v>0</v>
      </c>
      <c r="BD46">
        <v>0</v>
      </c>
      <c r="BE46">
        <v>0</v>
      </c>
      <c r="BF46">
        <v>0</v>
      </c>
      <c r="BG46">
        <v>0</v>
      </c>
      <c r="BH46">
        <v>0</v>
      </c>
      <c r="BI46">
        <v>0</v>
      </c>
      <c r="BJ46">
        <v>0</v>
      </c>
      <c r="BK46">
        <v>0</v>
      </c>
      <c r="BL46">
        <v>0</v>
      </c>
      <c r="BM46">
        <v>0</v>
      </c>
      <c r="BN46">
        <v>0</v>
      </c>
      <c r="BO46">
        <v>7.8</v>
      </c>
      <c r="BP46">
        <v>0</v>
      </c>
      <c r="BQ46">
        <v>0</v>
      </c>
      <c r="BR46">
        <v>0</v>
      </c>
      <c r="BS46">
        <v>0</v>
      </c>
      <c r="BT46">
        <v>0</v>
      </c>
      <c r="BU46">
        <v>0</v>
      </c>
      <c r="BV46">
        <v>0</v>
      </c>
      <c r="BW46">
        <v>0</v>
      </c>
      <c r="BX46">
        <v>0</v>
      </c>
      <c r="BY46" t="s">
        <v>215</v>
      </c>
      <c r="BZ46">
        <v>0</v>
      </c>
      <c r="CA46">
        <v>0</v>
      </c>
      <c r="CB46">
        <v>0</v>
      </c>
      <c r="CC46">
        <v>0</v>
      </c>
      <c r="CD46">
        <v>0</v>
      </c>
      <c r="CE46">
        <v>0.03</v>
      </c>
      <c r="CF46">
        <v>0.4</v>
      </c>
      <c r="CG46" t="s">
        <v>221</v>
      </c>
      <c r="CH46">
        <v>0.03</v>
      </c>
      <c r="CI46">
        <v>0</v>
      </c>
      <c r="CJ46">
        <v>1.15E-2</v>
      </c>
      <c r="CK46">
        <v>0</v>
      </c>
      <c r="CL46">
        <v>0</v>
      </c>
      <c r="CM46">
        <v>0</v>
      </c>
      <c r="CN46">
        <v>0</v>
      </c>
      <c r="CO46" t="s">
        <v>220</v>
      </c>
      <c r="CP46">
        <v>4.5999999999999996</v>
      </c>
      <c r="CQ46">
        <v>0</v>
      </c>
      <c r="CR46">
        <v>0.1</v>
      </c>
      <c r="CS46">
        <v>0.08</v>
      </c>
      <c r="CT46">
        <v>8.0000000000000002E-3</v>
      </c>
      <c r="CU46" t="s">
        <v>226</v>
      </c>
      <c r="CV46" t="s">
        <v>215</v>
      </c>
      <c r="CW46">
        <v>0.01</v>
      </c>
      <c r="CX46">
        <v>0.03</v>
      </c>
      <c r="CY46">
        <v>0.02</v>
      </c>
      <c r="CZ46">
        <v>4.0000000000000001E-3</v>
      </c>
      <c r="DA46" t="s">
        <v>218</v>
      </c>
      <c r="DB46">
        <v>0</v>
      </c>
      <c r="DC46" t="s">
        <v>218</v>
      </c>
      <c r="DD46" t="s">
        <v>220</v>
      </c>
      <c r="DE46" t="s">
        <v>214</v>
      </c>
      <c r="DF46" t="s">
        <v>220</v>
      </c>
      <c r="DG46">
        <v>0.6</v>
      </c>
      <c r="DH46">
        <v>0.5</v>
      </c>
      <c r="DI46">
        <v>0.02</v>
      </c>
      <c r="DJ46" t="s">
        <v>217</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row>
    <row r="47" spans="1:137">
      <c r="A47" t="s">
        <v>393</v>
      </c>
      <c r="B47" t="s">
        <v>24</v>
      </c>
      <c r="D47">
        <v>0</v>
      </c>
      <c r="E47" t="s">
        <v>171</v>
      </c>
      <c r="F47" t="s">
        <v>170</v>
      </c>
      <c r="G47" t="s">
        <v>595</v>
      </c>
      <c r="H47">
        <v>55</v>
      </c>
      <c r="I47">
        <v>0</v>
      </c>
      <c r="J47" t="s">
        <v>635</v>
      </c>
      <c r="K47" t="s">
        <v>235</v>
      </c>
      <c r="L47" t="s">
        <v>236</v>
      </c>
      <c r="M47" t="s">
        <v>177</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s="26">
        <f t="shared" si="1"/>
        <v>0</v>
      </c>
      <c r="AK47" s="26"/>
      <c r="AL47" s="26"/>
      <c r="AM47" s="26"/>
      <c r="AN47" s="26"/>
      <c r="AO47" s="26"/>
      <c r="AP47" s="26"/>
      <c r="AQ47" s="26"/>
      <c r="AR47" s="26"/>
      <c r="AS47" s="26"/>
      <c r="AT47" s="26"/>
      <c r="AU47" s="26"/>
      <c r="AV47" s="26"/>
      <c r="AX47">
        <v>0</v>
      </c>
      <c r="AY47">
        <v>0</v>
      </c>
      <c r="AZ47">
        <v>0</v>
      </c>
      <c r="BA47">
        <v>0</v>
      </c>
      <c r="BB47">
        <v>0</v>
      </c>
      <c r="BC47">
        <v>0</v>
      </c>
      <c r="BD47">
        <v>423</v>
      </c>
      <c r="BE47">
        <v>15</v>
      </c>
      <c r="BF47">
        <v>0</v>
      </c>
      <c r="BG47">
        <v>0</v>
      </c>
      <c r="BH47">
        <v>0</v>
      </c>
      <c r="BI47">
        <v>0</v>
      </c>
      <c r="BJ47">
        <v>0</v>
      </c>
      <c r="BK47">
        <v>0</v>
      </c>
      <c r="BL47">
        <v>0</v>
      </c>
      <c r="BM47">
        <v>0</v>
      </c>
      <c r="BN47">
        <v>0</v>
      </c>
      <c r="BO47">
        <v>1.1000000000000001</v>
      </c>
      <c r="BP47">
        <v>0</v>
      </c>
      <c r="BQ47">
        <v>0</v>
      </c>
      <c r="BR47">
        <v>0</v>
      </c>
      <c r="BS47">
        <v>0</v>
      </c>
      <c r="BT47">
        <v>0</v>
      </c>
      <c r="BU47">
        <v>0</v>
      </c>
      <c r="BV47">
        <v>0</v>
      </c>
      <c r="BW47">
        <v>0</v>
      </c>
      <c r="BX47">
        <v>0</v>
      </c>
      <c r="BY47">
        <v>0.04</v>
      </c>
      <c r="BZ47">
        <v>0</v>
      </c>
      <c r="CA47">
        <v>0</v>
      </c>
      <c r="CB47">
        <v>0</v>
      </c>
      <c r="CC47">
        <v>0</v>
      </c>
      <c r="CD47">
        <v>0</v>
      </c>
      <c r="CE47">
        <v>0.01</v>
      </c>
      <c r="CF47">
        <v>0.03</v>
      </c>
      <c r="CG47">
        <v>8.0000000000000002E-3</v>
      </c>
      <c r="CH47" t="s">
        <v>218</v>
      </c>
      <c r="CI47">
        <v>0</v>
      </c>
      <c r="CJ47" t="s">
        <v>220</v>
      </c>
      <c r="CK47">
        <v>0</v>
      </c>
      <c r="CL47">
        <v>0</v>
      </c>
      <c r="CM47">
        <v>0</v>
      </c>
      <c r="CN47">
        <v>0</v>
      </c>
      <c r="CO47">
        <v>4.0000000000000001E-3</v>
      </c>
      <c r="CP47">
        <v>0.2</v>
      </c>
      <c r="CQ47">
        <v>0</v>
      </c>
      <c r="CR47" t="s">
        <v>221</v>
      </c>
      <c r="CS47">
        <v>0.01</v>
      </c>
      <c r="CT47" t="s">
        <v>224</v>
      </c>
      <c r="CU47" t="s">
        <v>215</v>
      </c>
      <c r="CV47">
        <v>0.02</v>
      </c>
      <c r="CW47" t="s">
        <v>227</v>
      </c>
      <c r="CX47" t="s">
        <v>218</v>
      </c>
      <c r="CY47" t="s">
        <v>214</v>
      </c>
      <c r="CZ47">
        <v>5.0000000000000001E-3</v>
      </c>
      <c r="DA47">
        <v>0.02</v>
      </c>
      <c r="DB47">
        <v>0</v>
      </c>
      <c r="DC47" t="s">
        <v>218</v>
      </c>
      <c r="DD47" t="s">
        <v>221</v>
      </c>
      <c r="DE47" t="s">
        <v>214</v>
      </c>
      <c r="DF47">
        <v>5.0000000000000001E-3</v>
      </c>
      <c r="DG47">
        <v>0.2</v>
      </c>
      <c r="DH47">
        <v>0.09</v>
      </c>
      <c r="DI47" t="s">
        <v>221</v>
      </c>
      <c r="DJ47">
        <v>6.0000000000000001E-3</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row>
    <row r="48" spans="1:137">
      <c r="A48" t="s">
        <v>393</v>
      </c>
      <c r="B48" t="s">
        <v>24</v>
      </c>
      <c r="D48">
        <v>0</v>
      </c>
      <c r="E48" t="s">
        <v>171</v>
      </c>
      <c r="F48" t="s">
        <v>170</v>
      </c>
      <c r="G48" t="s">
        <v>595</v>
      </c>
      <c r="H48">
        <v>55</v>
      </c>
      <c r="I48">
        <v>0</v>
      </c>
      <c r="J48" t="s">
        <v>635</v>
      </c>
      <c r="K48" t="s">
        <v>235</v>
      </c>
      <c r="L48" t="s">
        <v>236</v>
      </c>
      <c r="M48" t="s">
        <v>178</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s="26">
        <f t="shared" si="1"/>
        <v>0</v>
      </c>
      <c r="AK48" s="26"/>
      <c r="AL48" s="26"/>
      <c r="AM48" s="26"/>
      <c r="AN48" s="26"/>
      <c r="AO48" s="26"/>
      <c r="AP48" s="26"/>
      <c r="AQ48" s="26"/>
      <c r="AR48" s="26"/>
      <c r="AS48" s="26"/>
      <c r="AT48" s="26"/>
      <c r="AU48" s="26"/>
      <c r="AV48" s="26"/>
      <c r="AX48">
        <v>0</v>
      </c>
      <c r="AY48">
        <v>0</v>
      </c>
      <c r="AZ48">
        <v>0</v>
      </c>
      <c r="BA48">
        <v>0</v>
      </c>
      <c r="BB48">
        <v>0</v>
      </c>
      <c r="BC48">
        <v>0</v>
      </c>
      <c r="BD48">
        <v>0</v>
      </c>
      <c r="BE48">
        <v>0</v>
      </c>
      <c r="BF48">
        <v>0</v>
      </c>
      <c r="BG48">
        <v>0</v>
      </c>
      <c r="BH48">
        <v>0</v>
      </c>
      <c r="BI48">
        <v>0</v>
      </c>
      <c r="BJ48">
        <v>0</v>
      </c>
      <c r="BK48">
        <v>0</v>
      </c>
      <c r="BL48">
        <v>0</v>
      </c>
      <c r="BM48">
        <v>0</v>
      </c>
      <c r="BN48">
        <v>0</v>
      </c>
      <c r="BO48">
        <v>9</v>
      </c>
      <c r="BP48">
        <v>0</v>
      </c>
      <c r="BQ48">
        <v>0</v>
      </c>
      <c r="BR48">
        <v>0</v>
      </c>
      <c r="BS48">
        <v>0</v>
      </c>
      <c r="BT48">
        <v>0</v>
      </c>
      <c r="BU48">
        <v>0</v>
      </c>
      <c r="BV48">
        <v>0</v>
      </c>
      <c r="BW48">
        <v>0</v>
      </c>
      <c r="BX48">
        <v>0</v>
      </c>
      <c r="BY48" t="s">
        <v>214</v>
      </c>
      <c r="BZ48">
        <v>0</v>
      </c>
      <c r="CA48">
        <v>0</v>
      </c>
      <c r="CB48">
        <v>0</v>
      </c>
      <c r="CC48">
        <v>0</v>
      </c>
      <c r="CD48">
        <v>0</v>
      </c>
      <c r="CE48">
        <v>0.02</v>
      </c>
      <c r="CF48">
        <v>0.9</v>
      </c>
      <c r="CG48" t="s">
        <v>222</v>
      </c>
      <c r="CH48">
        <v>0.01</v>
      </c>
      <c r="CI48">
        <v>0</v>
      </c>
      <c r="CJ48" t="s">
        <v>223</v>
      </c>
      <c r="CK48">
        <v>0</v>
      </c>
      <c r="CL48">
        <v>0</v>
      </c>
      <c r="CM48">
        <v>0</v>
      </c>
      <c r="CN48">
        <v>0</v>
      </c>
      <c r="CO48" t="s">
        <v>223</v>
      </c>
      <c r="CP48">
        <v>6.4</v>
      </c>
      <c r="CQ48">
        <v>0</v>
      </c>
      <c r="CR48">
        <v>0.09</v>
      </c>
      <c r="CS48">
        <v>0.06</v>
      </c>
      <c r="CT48" t="s">
        <v>222</v>
      </c>
      <c r="CU48">
        <v>0.02</v>
      </c>
      <c r="CV48" t="s">
        <v>227</v>
      </c>
      <c r="CW48">
        <v>7.0000000000000001E-3</v>
      </c>
      <c r="CX48" t="s">
        <v>217</v>
      </c>
      <c r="CY48" t="s">
        <v>224</v>
      </c>
      <c r="CZ48" t="s">
        <v>222</v>
      </c>
      <c r="DA48" t="s">
        <v>220</v>
      </c>
      <c r="DB48">
        <v>0</v>
      </c>
      <c r="DC48" t="s">
        <v>220</v>
      </c>
      <c r="DD48" t="s">
        <v>230</v>
      </c>
      <c r="DE48">
        <v>8.0000000000000002E-3</v>
      </c>
      <c r="DF48" t="s">
        <v>231</v>
      </c>
      <c r="DG48">
        <v>0.03</v>
      </c>
      <c r="DH48">
        <v>0.09</v>
      </c>
      <c r="DI48">
        <v>5.0000000000000001E-3</v>
      </c>
      <c r="DJ48">
        <v>8.9999999999999998E-4</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row>
    <row r="49" spans="1:137">
      <c r="A49" t="s">
        <v>393</v>
      </c>
      <c r="B49" t="s">
        <v>24</v>
      </c>
      <c r="D49">
        <v>0</v>
      </c>
      <c r="E49" t="s">
        <v>171</v>
      </c>
      <c r="F49" t="s">
        <v>170</v>
      </c>
      <c r="G49" t="s">
        <v>595</v>
      </c>
      <c r="H49">
        <v>55</v>
      </c>
      <c r="I49">
        <v>0</v>
      </c>
      <c r="J49" t="s">
        <v>635</v>
      </c>
      <c r="K49" t="s">
        <v>235</v>
      </c>
      <c r="L49" t="s">
        <v>236</v>
      </c>
      <c r="M49" t="s">
        <v>178</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s="26">
        <f t="shared" si="1"/>
        <v>0</v>
      </c>
      <c r="AK49" s="26"/>
      <c r="AL49" s="26"/>
      <c r="AM49" s="26"/>
      <c r="AN49" s="26"/>
      <c r="AO49" s="26"/>
      <c r="AP49" s="26"/>
      <c r="AQ49" s="26"/>
      <c r="AR49" s="26"/>
      <c r="AS49" s="26"/>
      <c r="AT49" s="26"/>
      <c r="AU49" s="26"/>
      <c r="AV49" s="26"/>
      <c r="AX49">
        <v>0</v>
      </c>
      <c r="AY49">
        <v>0</v>
      </c>
      <c r="AZ49">
        <v>0</v>
      </c>
      <c r="BA49">
        <v>0</v>
      </c>
      <c r="BB49">
        <v>0</v>
      </c>
      <c r="BC49">
        <v>0</v>
      </c>
      <c r="BD49">
        <v>1160</v>
      </c>
      <c r="BE49">
        <v>16</v>
      </c>
      <c r="BF49">
        <v>0</v>
      </c>
      <c r="BG49">
        <v>0</v>
      </c>
      <c r="BH49">
        <v>0</v>
      </c>
      <c r="BI49">
        <v>0</v>
      </c>
      <c r="BJ49">
        <v>0</v>
      </c>
      <c r="BK49">
        <v>0</v>
      </c>
      <c r="BL49">
        <v>0</v>
      </c>
      <c r="BM49">
        <v>0</v>
      </c>
      <c r="BN49">
        <v>0</v>
      </c>
      <c r="BO49">
        <v>17</v>
      </c>
      <c r="BP49">
        <v>0</v>
      </c>
      <c r="BQ49">
        <v>0</v>
      </c>
      <c r="BR49">
        <v>0</v>
      </c>
      <c r="BS49">
        <v>0</v>
      </c>
      <c r="BT49">
        <v>0</v>
      </c>
      <c r="BU49">
        <v>0</v>
      </c>
      <c r="BV49">
        <v>0</v>
      </c>
      <c r="BW49">
        <v>0</v>
      </c>
      <c r="BX49">
        <v>0</v>
      </c>
      <c r="BY49" t="s">
        <v>216</v>
      </c>
      <c r="BZ49">
        <v>0</v>
      </c>
      <c r="CA49">
        <v>0</v>
      </c>
      <c r="CB49">
        <v>0</v>
      </c>
      <c r="CC49">
        <v>0</v>
      </c>
      <c r="CD49">
        <v>0</v>
      </c>
      <c r="CE49" t="s">
        <v>214</v>
      </c>
      <c r="CF49">
        <v>1.8</v>
      </c>
      <c r="CG49" t="s">
        <v>223</v>
      </c>
      <c r="CH49">
        <v>0.01</v>
      </c>
      <c r="CI49">
        <v>0</v>
      </c>
      <c r="CJ49">
        <v>7.0000000000000001E-3</v>
      </c>
      <c r="CK49">
        <v>0</v>
      </c>
      <c r="CL49">
        <v>0</v>
      </c>
      <c r="CM49">
        <v>0</v>
      </c>
      <c r="CN49">
        <v>0</v>
      </c>
      <c r="CO49">
        <v>4.0000000000000001E-3</v>
      </c>
      <c r="CP49">
        <v>12</v>
      </c>
      <c r="CQ49">
        <v>0</v>
      </c>
      <c r="CR49">
        <v>0.2</v>
      </c>
      <c r="CS49">
        <v>0.1</v>
      </c>
      <c r="CT49">
        <v>0.01</v>
      </c>
      <c r="CU49" t="s">
        <v>214</v>
      </c>
      <c r="CV49" t="s">
        <v>214</v>
      </c>
      <c r="CW49" t="s">
        <v>224</v>
      </c>
      <c r="CX49" t="s">
        <v>228</v>
      </c>
      <c r="CY49" t="s">
        <v>217</v>
      </c>
      <c r="CZ49" t="s">
        <v>222</v>
      </c>
      <c r="DA49" t="s">
        <v>220</v>
      </c>
      <c r="DB49">
        <v>0</v>
      </c>
      <c r="DC49" t="s">
        <v>228</v>
      </c>
      <c r="DD49">
        <v>8.0000000000000004E-4</v>
      </c>
      <c r="DE49" t="s">
        <v>217</v>
      </c>
      <c r="DF49" t="s">
        <v>222</v>
      </c>
      <c r="DG49">
        <v>0.04</v>
      </c>
      <c r="DH49">
        <v>0.1</v>
      </c>
      <c r="DI49">
        <v>8.9999999999999993E-3</v>
      </c>
      <c r="DJ49">
        <v>1E-3</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row>
    <row r="50" spans="1:137">
      <c r="A50" t="s">
        <v>393</v>
      </c>
      <c r="B50" t="s">
        <v>24</v>
      </c>
      <c r="D50">
        <v>0</v>
      </c>
      <c r="E50" t="s">
        <v>171</v>
      </c>
      <c r="F50" t="s">
        <v>170</v>
      </c>
      <c r="G50" t="s">
        <v>595</v>
      </c>
      <c r="H50">
        <v>55</v>
      </c>
      <c r="I50">
        <v>0</v>
      </c>
      <c r="J50" t="s">
        <v>635</v>
      </c>
      <c r="K50" t="s">
        <v>172</v>
      </c>
      <c r="L50" t="s">
        <v>162</v>
      </c>
      <c r="M50" t="s">
        <v>207</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s="26">
        <f t="shared" si="1"/>
        <v>0</v>
      </c>
      <c r="AK50" s="26"/>
      <c r="AL50" s="26"/>
      <c r="AM50" s="26"/>
      <c r="AN50" s="26"/>
      <c r="AO50" s="26"/>
      <c r="AP50" s="26"/>
      <c r="AQ50" s="26"/>
      <c r="AR50" s="26"/>
      <c r="AS50" s="26"/>
      <c r="AT50" s="26"/>
      <c r="AU50" s="26"/>
      <c r="AV50" s="26"/>
      <c r="AX50">
        <v>0</v>
      </c>
      <c r="AY50">
        <v>0</v>
      </c>
      <c r="AZ50">
        <v>0</v>
      </c>
      <c r="BA50">
        <v>0</v>
      </c>
      <c r="BB50">
        <v>-13.8</v>
      </c>
      <c r="BC50">
        <v>0</v>
      </c>
      <c r="BD50">
        <v>1573</v>
      </c>
      <c r="BE50">
        <v>5</v>
      </c>
      <c r="BF50">
        <v>0</v>
      </c>
      <c r="BG50">
        <v>0</v>
      </c>
      <c r="BH50">
        <v>0</v>
      </c>
      <c r="BI50">
        <v>0</v>
      </c>
      <c r="BJ50">
        <v>0</v>
      </c>
      <c r="BK50">
        <v>0</v>
      </c>
      <c r="BL50">
        <v>0</v>
      </c>
      <c r="BM50">
        <v>0</v>
      </c>
      <c r="BN50">
        <v>0</v>
      </c>
      <c r="BO50">
        <v>320</v>
      </c>
      <c r="BP50">
        <v>0</v>
      </c>
      <c r="BQ50">
        <v>0</v>
      </c>
      <c r="BR50">
        <v>0</v>
      </c>
      <c r="BS50">
        <v>0</v>
      </c>
      <c r="BT50">
        <v>0</v>
      </c>
      <c r="BU50">
        <v>0</v>
      </c>
      <c r="BV50">
        <v>0</v>
      </c>
      <c r="BW50">
        <v>0</v>
      </c>
      <c r="BX50">
        <v>0</v>
      </c>
      <c r="BY50" t="s">
        <v>217</v>
      </c>
      <c r="BZ50">
        <v>0</v>
      </c>
      <c r="CA50">
        <v>0</v>
      </c>
      <c r="CB50">
        <v>0</v>
      </c>
      <c r="CC50">
        <v>0</v>
      </c>
      <c r="CD50">
        <v>0</v>
      </c>
      <c r="CE50">
        <v>0.4</v>
      </c>
      <c r="CF50">
        <v>5</v>
      </c>
      <c r="CG50">
        <v>1E-3</v>
      </c>
      <c r="CH50">
        <v>0.06</v>
      </c>
      <c r="CI50">
        <v>0</v>
      </c>
      <c r="CJ50">
        <v>0.2</v>
      </c>
      <c r="CK50">
        <v>0</v>
      </c>
      <c r="CL50">
        <v>0</v>
      </c>
      <c r="CM50">
        <v>0</v>
      </c>
      <c r="CN50">
        <v>0</v>
      </c>
      <c r="CO50">
        <v>0.6</v>
      </c>
      <c r="CP50">
        <v>191</v>
      </c>
      <c r="CQ50">
        <v>0</v>
      </c>
      <c r="CR50">
        <v>1.1000000000000001</v>
      </c>
      <c r="CS50">
        <v>1</v>
      </c>
      <c r="CT50">
        <v>0.06</v>
      </c>
      <c r="CU50">
        <v>0.1</v>
      </c>
      <c r="CV50">
        <v>8.9999999999999993E-3</v>
      </c>
      <c r="CW50">
        <v>1E-3</v>
      </c>
      <c r="CX50" t="s">
        <v>223</v>
      </c>
      <c r="CY50" t="s">
        <v>223</v>
      </c>
      <c r="CZ50">
        <v>1E-3</v>
      </c>
      <c r="DA50">
        <v>4.0000000000000001E-3</v>
      </c>
      <c r="DB50">
        <v>0</v>
      </c>
      <c r="DC50">
        <v>3.0000000000000001E-3</v>
      </c>
      <c r="DD50" t="s">
        <v>231</v>
      </c>
      <c r="DE50" t="s">
        <v>223</v>
      </c>
      <c r="DF50">
        <v>2E-3</v>
      </c>
      <c r="DG50">
        <v>0.3</v>
      </c>
      <c r="DH50">
        <v>1.2</v>
      </c>
      <c r="DI50">
        <v>0.7</v>
      </c>
      <c r="DJ50">
        <v>0.01</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row>
    <row r="51" spans="1:137">
      <c r="A51" t="s">
        <v>393</v>
      </c>
      <c r="B51" t="s">
        <v>24</v>
      </c>
      <c r="D51">
        <v>0</v>
      </c>
      <c r="E51" t="s">
        <v>171</v>
      </c>
      <c r="F51" t="s">
        <v>170</v>
      </c>
      <c r="G51" t="s">
        <v>595</v>
      </c>
      <c r="H51">
        <v>55</v>
      </c>
      <c r="I51">
        <v>0</v>
      </c>
      <c r="J51" t="s">
        <v>635</v>
      </c>
      <c r="K51" t="s">
        <v>172</v>
      </c>
      <c r="L51" t="s">
        <v>169</v>
      </c>
      <c r="M51" t="s">
        <v>208</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s="26">
        <f t="shared" si="1"/>
        <v>0</v>
      </c>
      <c r="AK51" s="26"/>
      <c r="AL51" s="26"/>
      <c r="AM51" s="26"/>
      <c r="AN51" s="26"/>
      <c r="AO51" s="26"/>
      <c r="AP51" s="26"/>
      <c r="AQ51" s="26"/>
      <c r="AR51" s="26"/>
      <c r="AS51" s="26"/>
      <c r="AT51" s="26"/>
      <c r="AU51" s="26"/>
      <c r="AV51" s="26"/>
      <c r="AX51">
        <v>0</v>
      </c>
      <c r="AY51">
        <v>0</v>
      </c>
      <c r="AZ51">
        <v>0</v>
      </c>
      <c r="BA51">
        <v>0</v>
      </c>
      <c r="BB51">
        <v>-10.5</v>
      </c>
      <c r="BC51">
        <v>0</v>
      </c>
      <c r="BD51">
        <v>986</v>
      </c>
      <c r="BE51">
        <v>10</v>
      </c>
      <c r="BF51">
        <v>0</v>
      </c>
      <c r="BG51">
        <v>0</v>
      </c>
      <c r="BH51">
        <v>0</v>
      </c>
      <c r="BI51">
        <v>0</v>
      </c>
      <c r="BJ51">
        <v>0</v>
      </c>
      <c r="BK51">
        <v>0</v>
      </c>
      <c r="BL51">
        <v>0</v>
      </c>
      <c r="BM51">
        <v>0</v>
      </c>
      <c r="BN51">
        <v>0</v>
      </c>
      <c r="BO51">
        <v>24</v>
      </c>
      <c r="BP51">
        <v>0</v>
      </c>
      <c r="BQ51">
        <v>0</v>
      </c>
      <c r="BR51">
        <v>0</v>
      </c>
      <c r="BS51">
        <v>0</v>
      </c>
      <c r="BT51">
        <v>0</v>
      </c>
      <c r="BU51">
        <v>0</v>
      </c>
      <c r="BV51">
        <v>0</v>
      </c>
      <c r="BW51">
        <v>0</v>
      </c>
      <c r="BX51">
        <v>0</v>
      </c>
      <c r="BY51">
        <v>7.0000000000000001E-3</v>
      </c>
      <c r="BZ51">
        <v>0</v>
      </c>
      <c r="CA51">
        <v>0</v>
      </c>
      <c r="CB51">
        <v>0</v>
      </c>
      <c r="CC51">
        <v>0</v>
      </c>
      <c r="CD51">
        <v>0</v>
      </c>
      <c r="CE51">
        <v>0.02</v>
      </c>
      <c r="CF51">
        <v>0.5</v>
      </c>
      <c r="CG51" t="s">
        <v>222</v>
      </c>
      <c r="CH51">
        <v>5.0000000000000001E-3</v>
      </c>
      <c r="CI51">
        <v>0</v>
      </c>
      <c r="CJ51">
        <v>0.01</v>
      </c>
      <c r="CK51">
        <v>0</v>
      </c>
      <c r="CL51">
        <v>0</v>
      </c>
      <c r="CM51">
        <v>0</v>
      </c>
      <c r="CN51">
        <v>0</v>
      </c>
      <c r="CO51">
        <v>0.2</v>
      </c>
      <c r="CP51">
        <v>13</v>
      </c>
      <c r="CQ51">
        <v>0</v>
      </c>
      <c r="CR51">
        <v>0.1</v>
      </c>
      <c r="CS51">
        <v>0.08</v>
      </c>
      <c r="CT51">
        <v>6.0000000000000001E-3</v>
      </c>
      <c r="CU51" t="s">
        <v>227</v>
      </c>
      <c r="CV51" t="s">
        <v>224</v>
      </c>
      <c r="CW51" t="s">
        <v>222</v>
      </c>
      <c r="CX51" t="s">
        <v>229</v>
      </c>
      <c r="CY51" t="s">
        <v>222</v>
      </c>
      <c r="CZ51">
        <v>2.9999999999999997E-4</v>
      </c>
      <c r="DA51">
        <v>1E-3</v>
      </c>
      <c r="DB51">
        <v>0</v>
      </c>
      <c r="DC51" t="s">
        <v>224</v>
      </c>
      <c r="DD51" t="s">
        <v>232</v>
      </c>
      <c r="DE51" t="s">
        <v>223</v>
      </c>
      <c r="DF51" t="s">
        <v>233</v>
      </c>
      <c r="DG51">
        <v>0.02</v>
      </c>
      <c r="DH51">
        <v>0.2</v>
      </c>
      <c r="DI51">
        <v>0.05</v>
      </c>
      <c r="DJ51">
        <v>4.0000000000000001E-3</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row>
    <row r="52" spans="1:137">
      <c r="A52" t="s">
        <v>393</v>
      </c>
      <c r="B52" t="s">
        <v>24</v>
      </c>
      <c r="D52">
        <v>0</v>
      </c>
      <c r="E52" t="s">
        <v>171</v>
      </c>
      <c r="F52" t="s">
        <v>170</v>
      </c>
      <c r="G52" t="s">
        <v>595</v>
      </c>
      <c r="H52">
        <v>55</v>
      </c>
      <c r="I52">
        <v>0</v>
      </c>
      <c r="J52" t="s">
        <v>635</v>
      </c>
      <c r="K52" t="s">
        <v>172</v>
      </c>
      <c r="L52" t="s">
        <v>162</v>
      </c>
      <c r="M52" t="s">
        <v>209</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s="26">
        <f t="shared" si="1"/>
        <v>0</v>
      </c>
      <c r="AK52" s="26"/>
      <c r="AL52" s="26"/>
      <c r="AM52" s="26"/>
      <c r="AN52" s="26"/>
      <c r="AO52" s="26"/>
      <c r="AP52" s="26"/>
      <c r="AQ52" s="26"/>
      <c r="AR52" s="26"/>
      <c r="AS52" s="26"/>
      <c r="AT52" s="26"/>
      <c r="AU52" s="26"/>
      <c r="AV52" s="26"/>
      <c r="AX52">
        <v>0</v>
      </c>
      <c r="AY52">
        <v>0</v>
      </c>
      <c r="AZ52">
        <v>0</v>
      </c>
      <c r="BA52">
        <v>0</v>
      </c>
      <c r="BB52">
        <v>0</v>
      </c>
      <c r="BC52">
        <v>0</v>
      </c>
      <c r="BD52">
        <v>0</v>
      </c>
      <c r="BE52">
        <v>0</v>
      </c>
      <c r="BF52">
        <v>0</v>
      </c>
      <c r="BG52">
        <v>0</v>
      </c>
      <c r="BH52">
        <v>0</v>
      </c>
      <c r="BI52">
        <v>0</v>
      </c>
      <c r="BJ52">
        <v>0</v>
      </c>
      <c r="BK52">
        <v>0</v>
      </c>
      <c r="BL52">
        <v>0</v>
      </c>
      <c r="BM52">
        <v>0</v>
      </c>
      <c r="BN52">
        <v>0</v>
      </c>
      <c r="BO52">
        <v>448</v>
      </c>
      <c r="BP52">
        <v>0</v>
      </c>
      <c r="BQ52">
        <v>0</v>
      </c>
      <c r="BR52">
        <v>0</v>
      </c>
      <c r="BS52">
        <v>0</v>
      </c>
      <c r="BT52">
        <v>0</v>
      </c>
      <c r="BU52">
        <v>0</v>
      </c>
      <c r="BV52">
        <v>0</v>
      </c>
      <c r="BW52">
        <v>0</v>
      </c>
      <c r="BX52">
        <v>0</v>
      </c>
      <c r="BY52">
        <v>0.02</v>
      </c>
      <c r="BZ52">
        <v>0</v>
      </c>
      <c r="CA52">
        <v>0</v>
      </c>
      <c r="CB52">
        <v>0</v>
      </c>
      <c r="CC52">
        <v>0</v>
      </c>
      <c r="CD52">
        <v>0</v>
      </c>
      <c r="CE52">
        <v>0.6</v>
      </c>
      <c r="CF52">
        <v>5.8</v>
      </c>
      <c r="CG52" t="s">
        <v>224</v>
      </c>
      <c r="CH52">
        <v>0.03</v>
      </c>
      <c r="CI52">
        <v>0</v>
      </c>
      <c r="CJ52">
        <v>0.2</v>
      </c>
      <c r="CK52">
        <v>0</v>
      </c>
      <c r="CL52">
        <v>0</v>
      </c>
      <c r="CM52">
        <v>0</v>
      </c>
      <c r="CN52">
        <v>0</v>
      </c>
      <c r="CO52">
        <v>0.04</v>
      </c>
      <c r="CP52">
        <v>256</v>
      </c>
      <c r="CQ52">
        <v>0</v>
      </c>
      <c r="CR52">
        <v>2.4</v>
      </c>
      <c r="CS52">
        <v>1.4</v>
      </c>
      <c r="CT52">
        <v>0.08</v>
      </c>
      <c r="CU52">
        <v>0.1</v>
      </c>
      <c r="CV52" t="s">
        <v>214</v>
      </c>
      <c r="CW52">
        <v>0.01</v>
      </c>
      <c r="CX52" t="s">
        <v>183</v>
      </c>
      <c r="CY52" t="s">
        <v>220</v>
      </c>
      <c r="CZ52" t="s">
        <v>223</v>
      </c>
      <c r="DA52" t="s">
        <v>220</v>
      </c>
      <c r="DB52">
        <v>0</v>
      </c>
      <c r="DC52" t="s">
        <v>228</v>
      </c>
      <c r="DD52" t="s">
        <v>222</v>
      </c>
      <c r="DE52" t="s">
        <v>224</v>
      </c>
      <c r="DF52">
        <v>4.0000000000000001E-3</v>
      </c>
      <c r="DG52">
        <v>0.4</v>
      </c>
      <c r="DH52">
        <v>1.6</v>
      </c>
      <c r="DI52">
        <v>0.9</v>
      </c>
      <c r="DJ52">
        <v>0.08</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row>
    <row r="53" spans="1:137">
      <c r="A53" t="s">
        <v>393</v>
      </c>
      <c r="B53" t="s">
        <v>24</v>
      </c>
      <c r="D53">
        <v>0</v>
      </c>
      <c r="E53" t="s">
        <v>171</v>
      </c>
      <c r="F53" t="s">
        <v>170</v>
      </c>
      <c r="G53" t="s">
        <v>595</v>
      </c>
      <c r="H53">
        <v>55</v>
      </c>
      <c r="I53">
        <v>0</v>
      </c>
      <c r="J53" t="s">
        <v>635</v>
      </c>
      <c r="K53" t="s">
        <v>172</v>
      </c>
      <c r="L53" t="s">
        <v>169</v>
      </c>
      <c r="M53" t="s">
        <v>210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s="26">
        <f t="shared" si="1"/>
        <v>0</v>
      </c>
      <c r="AK53" s="26"/>
      <c r="AL53" s="26"/>
      <c r="AM53" s="26"/>
      <c r="AN53" s="26"/>
      <c r="AO53" s="26"/>
      <c r="AP53" s="26"/>
      <c r="AQ53" s="26"/>
      <c r="AR53" s="26"/>
      <c r="AS53" s="26"/>
      <c r="AT53" s="26"/>
      <c r="AU53" s="26"/>
      <c r="AV53" s="26"/>
      <c r="AX53">
        <v>0</v>
      </c>
      <c r="AY53">
        <v>0</v>
      </c>
      <c r="AZ53">
        <v>0</v>
      </c>
      <c r="BA53">
        <v>0</v>
      </c>
      <c r="BB53">
        <v>0</v>
      </c>
      <c r="BC53">
        <v>0</v>
      </c>
      <c r="BD53">
        <v>1643</v>
      </c>
      <c r="BE53">
        <v>24</v>
      </c>
      <c r="BF53">
        <v>0</v>
      </c>
      <c r="BG53">
        <v>0</v>
      </c>
      <c r="BH53">
        <v>0</v>
      </c>
      <c r="BI53">
        <v>0</v>
      </c>
      <c r="BJ53">
        <v>0</v>
      </c>
      <c r="BK53">
        <v>0</v>
      </c>
      <c r="BL53">
        <v>0</v>
      </c>
      <c r="BM53">
        <v>0</v>
      </c>
      <c r="BN53">
        <v>0</v>
      </c>
      <c r="BO53">
        <v>11</v>
      </c>
      <c r="BP53">
        <v>0</v>
      </c>
      <c r="BQ53">
        <v>0</v>
      </c>
      <c r="BR53">
        <v>0</v>
      </c>
      <c r="BS53">
        <v>0</v>
      </c>
      <c r="BT53">
        <v>0</v>
      </c>
      <c r="BU53">
        <v>0</v>
      </c>
      <c r="BV53">
        <v>0</v>
      </c>
      <c r="BW53">
        <v>0</v>
      </c>
      <c r="BX53">
        <v>0</v>
      </c>
      <c r="BY53" t="s">
        <v>218</v>
      </c>
      <c r="BZ53">
        <v>0</v>
      </c>
      <c r="CA53">
        <v>0</v>
      </c>
      <c r="CB53">
        <v>0</v>
      </c>
      <c r="CC53">
        <v>0</v>
      </c>
      <c r="CD53">
        <v>0</v>
      </c>
      <c r="CE53">
        <v>0.01</v>
      </c>
      <c r="CF53">
        <v>0.3</v>
      </c>
      <c r="CG53">
        <v>3.0000000000000001E-3</v>
      </c>
      <c r="CH53">
        <v>6.0000000000000001E-3</v>
      </c>
      <c r="CI53">
        <v>0</v>
      </c>
      <c r="CJ53">
        <v>0.01</v>
      </c>
      <c r="CK53">
        <v>0</v>
      </c>
      <c r="CL53">
        <v>0</v>
      </c>
      <c r="CM53">
        <v>0</v>
      </c>
      <c r="CN53">
        <v>0</v>
      </c>
      <c r="CO53" t="s">
        <v>223</v>
      </c>
      <c r="CP53">
        <v>6.6</v>
      </c>
      <c r="CQ53">
        <v>0</v>
      </c>
      <c r="CR53">
        <v>0.08</v>
      </c>
      <c r="CS53">
        <v>0.06</v>
      </c>
      <c r="CT53">
        <v>6.0000000000000001E-3</v>
      </c>
      <c r="CU53" t="s">
        <v>218</v>
      </c>
      <c r="CV53">
        <v>7.0000000000000001E-3</v>
      </c>
      <c r="CW53" t="s">
        <v>223</v>
      </c>
      <c r="CX53" t="s">
        <v>228</v>
      </c>
      <c r="CY53" t="s">
        <v>221</v>
      </c>
      <c r="CZ53" t="s">
        <v>222</v>
      </c>
      <c r="DA53" t="s">
        <v>221</v>
      </c>
      <c r="DB53">
        <v>0</v>
      </c>
      <c r="DC53">
        <v>4.0000000000000001E-3</v>
      </c>
      <c r="DD53" t="s">
        <v>222</v>
      </c>
      <c r="DE53" t="s">
        <v>224</v>
      </c>
      <c r="DF53">
        <v>1E-3</v>
      </c>
      <c r="DG53" t="s">
        <v>214</v>
      </c>
      <c r="DH53">
        <v>0.2</v>
      </c>
      <c r="DI53">
        <v>0.04</v>
      </c>
      <c r="DJ53" t="s">
        <v>231</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row>
    <row r="54" spans="1:137">
      <c r="A54" t="s">
        <v>393</v>
      </c>
      <c r="B54" t="s">
        <v>24</v>
      </c>
      <c r="D54">
        <v>0</v>
      </c>
      <c r="E54" t="s">
        <v>171</v>
      </c>
      <c r="F54" t="s">
        <v>170</v>
      </c>
      <c r="G54" t="s">
        <v>595</v>
      </c>
      <c r="H54">
        <v>55</v>
      </c>
      <c r="I54">
        <v>0</v>
      </c>
      <c r="J54" t="s">
        <v>635</v>
      </c>
      <c r="K54" t="s">
        <v>172</v>
      </c>
      <c r="L54" t="s">
        <v>162</v>
      </c>
      <c r="M54" t="s">
        <v>211</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s="26">
        <f t="shared" si="1"/>
        <v>0</v>
      </c>
      <c r="AK54" s="26"/>
      <c r="AL54" s="26"/>
      <c r="AM54" s="26"/>
      <c r="AN54" s="26"/>
      <c r="AO54" s="26"/>
      <c r="AP54" s="26"/>
      <c r="AQ54" s="26"/>
      <c r="AR54" s="26"/>
      <c r="AS54" s="26"/>
      <c r="AT54" s="26"/>
      <c r="AU54" s="26"/>
      <c r="AV54" s="26"/>
      <c r="AX54">
        <v>0</v>
      </c>
      <c r="AY54">
        <v>0</v>
      </c>
      <c r="AZ54">
        <v>0</v>
      </c>
      <c r="BA54">
        <v>0</v>
      </c>
      <c r="BB54">
        <v>0</v>
      </c>
      <c r="BC54">
        <v>0</v>
      </c>
      <c r="BD54">
        <v>1542</v>
      </c>
      <c r="BE54">
        <v>7</v>
      </c>
      <c r="BF54">
        <v>0</v>
      </c>
      <c r="BG54">
        <v>0</v>
      </c>
      <c r="BH54">
        <v>0</v>
      </c>
      <c r="BI54">
        <v>0</v>
      </c>
      <c r="BJ54">
        <v>0</v>
      </c>
      <c r="BK54">
        <v>0</v>
      </c>
      <c r="BL54">
        <v>0</v>
      </c>
      <c r="BM54">
        <v>0</v>
      </c>
      <c r="BN54">
        <v>0</v>
      </c>
      <c r="BO54">
        <v>230</v>
      </c>
      <c r="BP54">
        <v>0</v>
      </c>
      <c r="BQ54">
        <v>0</v>
      </c>
      <c r="BR54">
        <v>0</v>
      </c>
      <c r="BS54">
        <v>0</v>
      </c>
      <c r="BT54">
        <v>0</v>
      </c>
      <c r="BU54">
        <v>0</v>
      </c>
      <c r="BV54">
        <v>0</v>
      </c>
      <c r="BW54">
        <v>0</v>
      </c>
      <c r="BX54">
        <v>0</v>
      </c>
      <c r="BY54" t="s">
        <v>219</v>
      </c>
      <c r="BZ54">
        <v>0</v>
      </c>
      <c r="CA54">
        <v>0</v>
      </c>
      <c r="CB54">
        <v>0</v>
      </c>
      <c r="CC54">
        <v>0</v>
      </c>
      <c r="CD54">
        <v>0</v>
      </c>
      <c r="CE54">
        <v>0.3</v>
      </c>
      <c r="CF54">
        <v>3.3</v>
      </c>
      <c r="CG54">
        <v>3.0000000000000001E-3</v>
      </c>
      <c r="CH54">
        <v>5.0000000000000001E-3</v>
      </c>
      <c r="CI54">
        <v>0</v>
      </c>
      <c r="CJ54">
        <v>0.2</v>
      </c>
      <c r="CK54">
        <v>0</v>
      </c>
      <c r="CL54">
        <v>0</v>
      </c>
      <c r="CM54">
        <v>0</v>
      </c>
      <c r="CN54">
        <v>0</v>
      </c>
      <c r="CO54">
        <v>0.02</v>
      </c>
      <c r="CP54">
        <v>136</v>
      </c>
      <c r="CQ54">
        <v>0</v>
      </c>
      <c r="CR54">
        <v>1.1000000000000001</v>
      </c>
      <c r="CS54">
        <v>0.7</v>
      </c>
      <c r="CT54">
        <v>0.05</v>
      </c>
      <c r="CU54">
        <v>0.09</v>
      </c>
      <c r="CV54" t="s">
        <v>221</v>
      </c>
      <c r="CW54">
        <v>6.7000000000000002E-4</v>
      </c>
      <c r="CX54" t="s">
        <v>221</v>
      </c>
      <c r="CY54">
        <v>2E-3</v>
      </c>
      <c r="CZ54" t="s">
        <v>225</v>
      </c>
      <c r="DA54" t="s">
        <v>223</v>
      </c>
      <c r="DB54">
        <v>0</v>
      </c>
      <c r="DC54" t="s">
        <v>223</v>
      </c>
      <c r="DD54">
        <v>3.0000000000000001E-3</v>
      </c>
      <c r="DE54" t="s">
        <v>223</v>
      </c>
      <c r="DF54">
        <v>3.0000000000000001E-3</v>
      </c>
      <c r="DG54">
        <v>0.3</v>
      </c>
      <c r="DH54">
        <v>0.7</v>
      </c>
      <c r="DI54">
        <v>0.6</v>
      </c>
      <c r="DJ54">
        <v>0.03</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row>
    <row r="55" spans="1:137">
      <c r="A55" t="s">
        <v>393</v>
      </c>
      <c r="B55" t="s">
        <v>24</v>
      </c>
      <c r="D55">
        <v>0</v>
      </c>
      <c r="E55" t="s">
        <v>171</v>
      </c>
      <c r="F55" t="s">
        <v>170</v>
      </c>
      <c r="G55" t="s">
        <v>595</v>
      </c>
      <c r="H55">
        <v>55</v>
      </c>
      <c r="I55">
        <v>0</v>
      </c>
      <c r="J55" t="s">
        <v>635</v>
      </c>
      <c r="K55" t="s">
        <v>172</v>
      </c>
      <c r="L55" t="s">
        <v>169</v>
      </c>
      <c r="M55" t="s">
        <v>212</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s="26">
        <f t="shared" si="1"/>
        <v>0</v>
      </c>
      <c r="AK55" s="26"/>
      <c r="AL55" s="26"/>
      <c r="AM55" s="26"/>
      <c r="AN55" s="26"/>
      <c r="AO55" s="26"/>
      <c r="AP55" s="26"/>
      <c r="AQ55" s="26"/>
      <c r="AR55" s="26"/>
      <c r="AS55" s="26"/>
      <c r="AT55" s="26"/>
      <c r="AU55" s="26"/>
      <c r="AV55" s="26"/>
      <c r="AX55">
        <v>0</v>
      </c>
      <c r="AY55">
        <v>0</v>
      </c>
      <c r="AZ55">
        <v>0</v>
      </c>
      <c r="BA55">
        <v>0</v>
      </c>
      <c r="BB55">
        <v>0</v>
      </c>
      <c r="BC55">
        <v>0</v>
      </c>
      <c r="BD55">
        <v>0</v>
      </c>
      <c r="BE55">
        <v>0</v>
      </c>
      <c r="BF55">
        <v>0</v>
      </c>
      <c r="BG55">
        <v>0</v>
      </c>
      <c r="BH55">
        <v>0</v>
      </c>
      <c r="BI55">
        <v>0</v>
      </c>
      <c r="BJ55">
        <v>0</v>
      </c>
      <c r="BK55">
        <v>0</v>
      </c>
      <c r="BL55">
        <v>0</v>
      </c>
      <c r="BM55">
        <v>0</v>
      </c>
      <c r="BN55">
        <v>0</v>
      </c>
      <c r="BO55" t="s">
        <v>213</v>
      </c>
      <c r="BP55">
        <v>0</v>
      </c>
      <c r="BQ55">
        <v>0</v>
      </c>
      <c r="BR55">
        <v>0</v>
      </c>
      <c r="BS55">
        <v>0</v>
      </c>
      <c r="BT55">
        <v>0</v>
      </c>
      <c r="BU55">
        <v>0</v>
      </c>
      <c r="BV55">
        <v>0</v>
      </c>
      <c r="BW55">
        <v>0</v>
      </c>
      <c r="BX55">
        <v>0</v>
      </c>
      <c r="BY55" t="s">
        <v>220</v>
      </c>
      <c r="BZ55">
        <v>0</v>
      </c>
      <c r="CA55">
        <v>0</v>
      </c>
      <c r="CB55">
        <v>0</v>
      </c>
      <c r="CC55">
        <v>0</v>
      </c>
      <c r="CD55">
        <v>0</v>
      </c>
      <c r="CE55">
        <v>2E-3</v>
      </c>
      <c r="CF55">
        <v>2E-3</v>
      </c>
      <c r="CG55">
        <v>4.0000000000000001E-3</v>
      </c>
      <c r="CH55">
        <v>3.0000000000000001E-3</v>
      </c>
      <c r="CI55">
        <v>0</v>
      </c>
      <c r="CJ55">
        <v>3.0000000000000001E-3</v>
      </c>
      <c r="CK55">
        <v>0</v>
      </c>
      <c r="CL55">
        <v>0</v>
      </c>
      <c r="CM55">
        <v>0</v>
      </c>
      <c r="CN55">
        <v>0</v>
      </c>
      <c r="CO55" t="s">
        <v>222</v>
      </c>
      <c r="CP55">
        <v>0.04</v>
      </c>
      <c r="CQ55">
        <v>0</v>
      </c>
      <c r="CR55" t="s">
        <v>225</v>
      </c>
      <c r="CS55" t="s">
        <v>222</v>
      </c>
      <c r="CT55">
        <v>8.9999999999999998E-4</v>
      </c>
      <c r="CU55" t="s">
        <v>214</v>
      </c>
      <c r="CV55" t="s">
        <v>224</v>
      </c>
      <c r="CW55" t="s">
        <v>223</v>
      </c>
      <c r="CX55">
        <v>0.01</v>
      </c>
      <c r="CY55">
        <v>6.9999999999999999E-4</v>
      </c>
      <c r="CZ55" t="s">
        <v>225</v>
      </c>
      <c r="DA55" t="s">
        <v>223</v>
      </c>
      <c r="DB55">
        <v>0</v>
      </c>
      <c r="DC55" t="s">
        <v>224</v>
      </c>
      <c r="DD55" t="s">
        <v>229</v>
      </c>
      <c r="DE55" t="s">
        <v>223</v>
      </c>
      <c r="DF55" t="s">
        <v>234</v>
      </c>
      <c r="DG55">
        <v>5.0000000000000001E-3</v>
      </c>
      <c r="DH55">
        <v>0.03</v>
      </c>
      <c r="DI55" t="s">
        <v>225</v>
      </c>
      <c r="DJ55">
        <v>2.0000000000000001E-4</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row>
    <row r="56" spans="1:137">
      <c r="A56" t="s">
        <v>433</v>
      </c>
      <c r="B56" t="s">
        <v>587</v>
      </c>
      <c r="D56">
        <v>0</v>
      </c>
      <c r="E56" t="s">
        <v>801</v>
      </c>
      <c r="F56" t="s">
        <v>419</v>
      </c>
      <c r="G56" t="s">
        <v>1140</v>
      </c>
      <c r="H56">
        <v>0</v>
      </c>
      <c r="I56">
        <v>0</v>
      </c>
      <c r="J56" t="s">
        <v>1139</v>
      </c>
      <c r="K56" t="s">
        <v>1141</v>
      </c>
      <c r="L56" t="s">
        <v>421</v>
      </c>
      <c r="M56" t="s">
        <v>420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s="26">
        <f t="shared" si="1"/>
        <v>0</v>
      </c>
      <c r="AK56" s="26"/>
      <c r="AL56" s="26"/>
      <c r="AM56" s="26"/>
      <c r="AN56" s="26"/>
      <c r="AO56" s="26"/>
      <c r="AP56" s="26"/>
      <c r="AQ56" s="26"/>
      <c r="AR56" s="26"/>
      <c r="AS56" s="26"/>
      <c r="AT56" s="26"/>
      <c r="AU56" s="26"/>
      <c r="AV56" s="26"/>
      <c r="AX56">
        <v>0</v>
      </c>
      <c r="AY56">
        <v>0</v>
      </c>
      <c r="AZ56">
        <v>0</v>
      </c>
      <c r="BA56">
        <v>0</v>
      </c>
      <c r="BB56">
        <v>0</v>
      </c>
      <c r="BC56">
        <v>0</v>
      </c>
      <c r="BD56">
        <v>0</v>
      </c>
      <c r="BE56">
        <v>0</v>
      </c>
      <c r="BF56">
        <v>0</v>
      </c>
      <c r="BG56">
        <v>0.28000000000000003</v>
      </c>
      <c r="BH56">
        <v>0</v>
      </c>
      <c r="BI56">
        <v>0</v>
      </c>
      <c r="BJ56">
        <v>0</v>
      </c>
      <c r="BK56">
        <v>0</v>
      </c>
      <c r="BL56">
        <v>0</v>
      </c>
      <c r="BM56">
        <v>0</v>
      </c>
      <c r="BN56">
        <v>0</v>
      </c>
      <c r="BO56">
        <v>0</v>
      </c>
      <c r="BP56">
        <v>0</v>
      </c>
      <c r="BQ56">
        <v>6.61</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5.39</v>
      </c>
      <c r="CT56">
        <v>0</v>
      </c>
      <c r="CU56">
        <v>0</v>
      </c>
      <c r="CV56">
        <v>0</v>
      </c>
      <c r="CW56">
        <v>0.24</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row>
    <row r="57" spans="1:137">
      <c r="A57" t="s">
        <v>433</v>
      </c>
      <c r="B57" t="s">
        <v>587</v>
      </c>
      <c r="D57">
        <v>0</v>
      </c>
      <c r="E57" t="s">
        <v>801</v>
      </c>
      <c r="F57" t="s">
        <v>419</v>
      </c>
      <c r="G57" t="s">
        <v>1140</v>
      </c>
      <c r="H57">
        <v>0</v>
      </c>
      <c r="I57">
        <v>0</v>
      </c>
      <c r="J57" t="s">
        <v>1139</v>
      </c>
      <c r="K57" t="s">
        <v>1141</v>
      </c>
      <c r="L57" t="s">
        <v>423</v>
      </c>
      <c r="M57" t="s">
        <v>422</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s="26">
        <f t="shared" si="1"/>
        <v>0</v>
      </c>
      <c r="AK57" s="26"/>
      <c r="AL57" s="26"/>
      <c r="AM57" s="26"/>
      <c r="AN57" s="26"/>
      <c r="AO57" s="26"/>
      <c r="AP57" s="26"/>
      <c r="AQ57" s="26"/>
      <c r="AR57" s="26"/>
      <c r="AS57" s="26"/>
      <c r="AT57" s="26"/>
      <c r="AU57" s="26"/>
      <c r="AV57" s="26"/>
      <c r="AX57">
        <v>0</v>
      </c>
      <c r="AY57">
        <v>0</v>
      </c>
      <c r="AZ57">
        <v>0</v>
      </c>
      <c r="BA57">
        <v>0</v>
      </c>
      <c r="BB57">
        <v>0</v>
      </c>
      <c r="BC57">
        <v>0</v>
      </c>
      <c r="BD57">
        <v>0</v>
      </c>
      <c r="BE57">
        <v>0</v>
      </c>
      <c r="BF57">
        <v>0</v>
      </c>
      <c r="BG57">
        <v>0.31</v>
      </c>
      <c r="BH57">
        <v>0</v>
      </c>
      <c r="BI57">
        <v>0</v>
      </c>
      <c r="BJ57">
        <v>0</v>
      </c>
      <c r="BK57">
        <v>0</v>
      </c>
      <c r="BL57">
        <v>0</v>
      </c>
      <c r="BM57">
        <v>0</v>
      </c>
      <c r="BN57">
        <v>0</v>
      </c>
      <c r="BO57">
        <v>0</v>
      </c>
      <c r="BP57">
        <v>0</v>
      </c>
      <c r="BQ57">
        <v>1.68</v>
      </c>
      <c r="BR57">
        <v>0</v>
      </c>
      <c r="BS57">
        <v>0</v>
      </c>
      <c r="BT57">
        <v>0</v>
      </c>
      <c r="BU57">
        <v>0</v>
      </c>
      <c r="BV57">
        <v>0</v>
      </c>
      <c r="BW57">
        <v>0</v>
      </c>
      <c r="BX57">
        <v>0</v>
      </c>
      <c r="BY57">
        <v>0</v>
      </c>
      <c r="BZ57">
        <v>0</v>
      </c>
      <c r="CA57">
        <v>0</v>
      </c>
      <c r="CB57">
        <v>0</v>
      </c>
      <c r="CC57">
        <v>0</v>
      </c>
      <c r="CD57">
        <v>0</v>
      </c>
      <c r="CE57">
        <v>0</v>
      </c>
      <c r="CF57">
        <v>0</v>
      </c>
      <c r="CG57">
        <v>3.16</v>
      </c>
      <c r="CH57">
        <v>0</v>
      </c>
      <c r="CI57">
        <v>0</v>
      </c>
      <c r="CJ57">
        <v>2.1800000000000002</v>
      </c>
      <c r="CK57">
        <v>0</v>
      </c>
      <c r="CL57">
        <v>0</v>
      </c>
      <c r="CM57">
        <v>0</v>
      </c>
      <c r="CN57">
        <v>0</v>
      </c>
      <c r="CO57">
        <v>0</v>
      </c>
      <c r="CP57">
        <v>0</v>
      </c>
      <c r="CQ57">
        <v>0</v>
      </c>
      <c r="CR57">
        <v>42.3</v>
      </c>
      <c r="CS57">
        <v>60.6</v>
      </c>
      <c r="CT57">
        <v>4.88</v>
      </c>
      <c r="CU57">
        <v>0</v>
      </c>
      <c r="CV57">
        <v>2.3199999999999998</v>
      </c>
      <c r="CW57">
        <v>0.98</v>
      </c>
      <c r="CX57">
        <v>1.41</v>
      </c>
      <c r="CY57">
        <v>0.91</v>
      </c>
      <c r="CZ57">
        <v>0</v>
      </c>
      <c r="DA57">
        <v>0.4</v>
      </c>
      <c r="DB57">
        <v>0</v>
      </c>
      <c r="DC57">
        <v>0</v>
      </c>
      <c r="DD57">
        <v>0</v>
      </c>
      <c r="DE57">
        <v>0</v>
      </c>
      <c r="DF57">
        <v>0</v>
      </c>
      <c r="DG57">
        <v>0</v>
      </c>
      <c r="DH57">
        <v>0</v>
      </c>
      <c r="DI57">
        <v>5.91</v>
      </c>
      <c r="DJ57">
        <v>9.01</v>
      </c>
      <c r="DK57">
        <v>0.22</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row>
    <row r="58" spans="1:137">
      <c r="A58" t="s">
        <v>433</v>
      </c>
      <c r="B58" t="s">
        <v>587</v>
      </c>
      <c r="D58">
        <v>0</v>
      </c>
      <c r="E58" t="s">
        <v>801</v>
      </c>
      <c r="F58" t="s">
        <v>419</v>
      </c>
      <c r="G58" t="s">
        <v>1140</v>
      </c>
      <c r="H58">
        <v>0</v>
      </c>
      <c r="I58">
        <v>0</v>
      </c>
      <c r="J58" t="s">
        <v>1139</v>
      </c>
      <c r="K58" t="s">
        <v>1141</v>
      </c>
      <c r="L58" t="s">
        <v>421</v>
      </c>
      <c r="M58" t="s">
        <v>425</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s="26">
        <f t="shared" si="1"/>
        <v>0</v>
      </c>
      <c r="AK58" s="26"/>
      <c r="AL58" s="26"/>
      <c r="AM58" s="26"/>
      <c r="AN58" s="26"/>
      <c r="AO58" s="26"/>
      <c r="AP58" s="26"/>
      <c r="AQ58" s="26"/>
      <c r="AR58" s="26"/>
      <c r="AS58" s="26"/>
      <c r="AT58" s="26"/>
      <c r="AU58" s="26"/>
      <c r="AV58" s="26"/>
      <c r="AX58">
        <v>0</v>
      </c>
      <c r="AY58">
        <v>0</v>
      </c>
      <c r="AZ58">
        <v>0</v>
      </c>
      <c r="BA58">
        <v>0</v>
      </c>
      <c r="BB58">
        <v>0</v>
      </c>
      <c r="BC58">
        <v>0</v>
      </c>
      <c r="BD58">
        <v>0</v>
      </c>
      <c r="BE58">
        <v>0</v>
      </c>
      <c r="BF58">
        <v>0</v>
      </c>
      <c r="BG58">
        <v>0.31</v>
      </c>
      <c r="BH58">
        <v>0</v>
      </c>
      <c r="BI58">
        <v>0</v>
      </c>
      <c r="BJ58">
        <v>0</v>
      </c>
      <c r="BK58">
        <v>0</v>
      </c>
      <c r="BL58">
        <v>0</v>
      </c>
      <c r="BM58">
        <v>0</v>
      </c>
      <c r="BN58">
        <v>0</v>
      </c>
      <c r="BO58">
        <v>0</v>
      </c>
      <c r="BP58">
        <v>0</v>
      </c>
      <c r="BQ58">
        <v>1.68</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0.36</v>
      </c>
      <c r="CX58">
        <v>0</v>
      </c>
      <c r="CY58">
        <v>0</v>
      </c>
      <c r="CZ58">
        <v>0</v>
      </c>
      <c r="DA58">
        <v>0</v>
      </c>
      <c r="DB58">
        <v>0</v>
      </c>
      <c r="DC58">
        <v>0</v>
      </c>
      <c r="DD58">
        <v>0</v>
      </c>
      <c r="DE58">
        <v>0</v>
      </c>
      <c r="DF58">
        <v>0</v>
      </c>
      <c r="DG58">
        <v>0</v>
      </c>
      <c r="DH58">
        <v>0</v>
      </c>
      <c r="DI58">
        <v>0</v>
      </c>
      <c r="DJ58">
        <v>0.13</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row>
    <row r="59" spans="1:137">
      <c r="A59" t="s">
        <v>433</v>
      </c>
      <c r="B59" t="s">
        <v>587</v>
      </c>
      <c r="D59">
        <v>0</v>
      </c>
      <c r="E59" t="s">
        <v>801</v>
      </c>
      <c r="F59" t="s">
        <v>419</v>
      </c>
      <c r="G59" t="s">
        <v>1140</v>
      </c>
      <c r="H59">
        <v>0</v>
      </c>
      <c r="I59">
        <v>0</v>
      </c>
      <c r="J59" t="s">
        <v>1139</v>
      </c>
      <c r="K59" t="s">
        <v>1141</v>
      </c>
      <c r="L59" t="s">
        <v>421</v>
      </c>
      <c r="M59" t="s">
        <v>426</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s="26">
        <f t="shared" si="1"/>
        <v>0</v>
      </c>
      <c r="AK59" s="26"/>
      <c r="AL59" s="26"/>
      <c r="AM59" s="26"/>
      <c r="AN59" s="26"/>
      <c r="AO59" s="26"/>
      <c r="AP59" s="26"/>
      <c r="AQ59" s="26"/>
      <c r="AR59" s="26"/>
      <c r="AS59" s="26"/>
      <c r="AT59" s="26"/>
      <c r="AU59" s="26"/>
      <c r="AV59" s="26"/>
      <c r="AX59">
        <v>0</v>
      </c>
      <c r="AY59">
        <v>0</v>
      </c>
      <c r="AZ59">
        <v>0</v>
      </c>
      <c r="BA59">
        <v>0</v>
      </c>
      <c r="BB59">
        <v>0</v>
      </c>
      <c r="BC59">
        <v>0</v>
      </c>
      <c r="BD59">
        <v>0</v>
      </c>
      <c r="BE59">
        <v>0</v>
      </c>
      <c r="BF59">
        <v>0</v>
      </c>
      <c r="BG59">
        <v>0.33</v>
      </c>
      <c r="BH59">
        <v>0</v>
      </c>
      <c r="BI59">
        <v>0</v>
      </c>
      <c r="BJ59">
        <v>0</v>
      </c>
      <c r="BK59">
        <v>0</v>
      </c>
      <c r="BL59">
        <v>0</v>
      </c>
      <c r="BM59">
        <v>0</v>
      </c>
      <c r="BN59">
        <v>0</v>
      </c>
      <c r="BO59">
        <v>0</v>
      </c>
      <c r="BP59">
        <v>0</v>
      </c>
      <c r="BQ59">
        <v>5.64</v>
      </c>
      <c r="BR59">
        <v>0</v>
      </c>
      <c r="BS59">
        <v>0</v>
      </c>
      <c r="BT59">
        <v>0</v>
      </c>
      <c r="BU59">
        <v>0</v>
      </c>
      <c r="BV59">
        <v>0</v>
      </c>
      <c r="BW59">
        <v>0</v>
      </c>
      <c r="BX59">
        <v>0</v>
      </c>
      <c r="BY59">
        <v>0</v>
      </c>
      <c r="BZ59">
        <v>0</v>
      </c>
      <c r="CA59">
        <v>0</v>
      </c>
      <c r="CB59">
        <v>0</v>
      </c>
      <c r="CC59">
        <v>0</v>
      </c>
      <c r="CD59">
        <v>0</v>
      </c>
      <c r="CE59">
        <v>0</v>
      </c>
      <c r="CF59">
        <v>108</v>
      </c>
      <c r="CG59">
        <v>3.01</v>
      </c>
      <c r="CH59">
        <v>0</v>
      </c>
      <c r="CI59">
        <v>0</v>
      </c>
      <c r="CJ59">
        <v>0</v>
      </c>
      <c r="CK59">
        <v>0</v>
      </c>
      <c r="CL59">
        <v>0</v>
      </c>
      <c r="CM59">
        <v>0</v>
      </c>
      <c r="CN59">
        <v>0</v>
      </c>
      <c r="CO59">
        <v>0</v>
      </c>
      <c r="CP59">
        <v>0</v>
      </c>
      <c r="CQ59">
        <v>0</v>
      </c>
      <c r="CR59">
        <v>3.07</v>
      </c>
      <c r="CS59">
        <v>10.1</v>
      </c>
      <c r="CT59">
        <v>1.38</v>
      </c>
      <c r="CU59">
        <v>0</v>
      </c>
      <c r="CV59">
        <v>2.58</v>
      </c>
      <c r="CW59">
        <v>0.8</v>
      </c>
      <c r="CX59">
        <v>1.57</v>
      </c>
      <c r="CY59">
        <v>0.61</v>
      </c>
      <c r="CZ59">
        <v>0</v>
      </c>
      <c r="DA59">
        <v>0</v>
      </c>
      <c r="DB59">
        <v>0</v>
      </c>
      <c r="DC59">
        <v>0</v>
      </c>
      <c r="DD59">
        <v>0</v>
      </c>
      <c r="DE59">
        <v>0</v>
      </c>
      <c r="DF59">
        <v>0</v>
      </c>
      <c r="DG59">
        <v>0</v>
      </c>
      <c r="DH59">
        <v>0</v>
      </c>
      <c r="DI59">
        <v>0</v>
      </c>
      <c r="DJ59">
        <v>0</v>
      </c>
      <c r="DK59">
        <v>0.23</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row>
    <row r="60" spans="1:137">
      <c r="A60" t="s">
        <v>433</v>
      </c>
      <c r="B60" t="s">
        <v>587</v>
      </c>
      <c r="D60">
        <v>0</v>
      </c>
      <c r="E60" t="s">
        <v>801</v>
      </c>
      <c r="F60" t="s">
        <v>419</v>
      </c>
      <c r="G60" t="s">
        <v>1140</v>
      </c>
      <c r="H60">
        <v>0</v>
      </c>
      <c r="I60">
        <v>0</v>
      </c>
      <c r="J60" t="s">
        <v>1139</v>
      </c>
      <c r="K60" t="s">
        <v>1141</v>
      </c>
      <c r="L60" t="s">
        <v>423</v>
      </c>
      <c r="M60" t="s">
        <v>427</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s="26">
        <f t="shared" si="1"/>
        <v>0</v>
      </c>
      <c r="AK60" s="26"/>
      <c r="AL60" s="26"/>
      <c r="AM60" s="26"/>
      <c r="AN60" s="26"/>
      <c r="AO60" s="26"/>
      <c r="AP60" s="26"/>
      <c r="AQ60" s="26"/>
      <c r="AR60" s="26"/>
      <c r="AS60" s="26"/>
      <c r="AT60" s="26"/>
      <c r="AU60" s="26"/>
      <c r="AV60" s="26"/>
      <c r="AX60">
        <v>0</v>
      </c>
      <c r="AY60">
        <v>0</v>
      </c>
      <c r="AZ60">
        <v>0</v>
      </c>
      <c r="BA60">
        <v>0</v>
      </c>
      <c r="BB60">
        <v>0</v>
      </c>
      <c r="BC60">
        <v>0</v>
      </c>
      <c r="BD60">
        <v>0</v>
      </c>
      <c r="BE60">
        <v>0</v>
      </c>
      <c r="BF60">
        <v>0</v>
      </c>
      <c r="BG60">
        <v>0.13</v>
      </c>
      <c r="BH60">
        <v>0</v>
      </c>
      <c r="BI60">
        <v>0</v>
      </c>
      <c r="BJ60">
        <v>0</v>
      </c>
      <c r="BK60">
        <v>0</v>
      </c>
      <c r="BL60">
        <v>0</v>
      </c>
      <c r="BM60">
        <v>0</v>
      </c>
      <c r="BN60">
        <v>0</v>
      </c>
      <c r="BO60">
        <v>0</v>
      </c>
      <c r="BP60">
        <v>0</v>
      </c>
      <c r="BQ60">
        <v>6.48</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0.84</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row>
    <row r="105" spans="69:69">
      <c r="BQ105">
        <f t="shared" ref="BQ105" si="18">BQ52/1000</f>
        <v>0</v>
      </c>
    </row>
  </sheetData>
  <autoFilter ref="A1:EG60" xr:uid="{D6AC4CA5-A406-46BD-884F-74A76FDDE2DC}"/>
  <conditionalFormatting sqref="C2:C60">
    <cfRule type="containsText" dxfId="4" priority="1" operator="containsText" text="saline">
      <formula>NOT(ISERROR(SEARCH("saline",C2)))</formula>
    </cfRule>
    <cfRule type="containsText" dxfId="3" priority="2" operator="containsText" text="high-Mg">
      <formula>NOT(ISERROR(SEARCH("high-Mg",C2)))</formula>
    </cfRule>
    <cfRule type="containsText" dxfId="2" priority="3" operator="containsText" text="silicic - low-Mg">
      <formula>NOT(ISERROR(SEARCH("silicic - low-Mg",C2)))</formula>
    </cfRule>
    <cfRule type="containsText" dxfId="1" priority="4" operator="containsText" text="low-Mg">
      <formula>NOT(ISERROR(SEARCH("low-Mg",C2)))</formula>
    </cfRule>
    <cfRule type="containsText" dxfId="0" priority="5" operator="containsText" text="silicic">
      <formula>NOT(ISERROR(SEARCH("silicic",C2)))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5152-9ED6-469C-99A1-AEEA5EB92CA2}">
  <sheetPr>
    <tabColor theme="4" tint="0.79998168889431442"/>
  </sheetPr>
  <dimension ref="A1:HX315"/>
  <sheetViews>
    <sheetView zoomScaleNormal="100" workbookViewId="0"/>
  </sheetViews>
  <sheetFormatPr baseColWidth="10" defaultColWidth="8.83203125" defaultRowHeight="15"/>
  <cols>
    <col min="1" max="1" width="38.6640625" bestFit="1" customWidth="1"/>
    <col min="2" max="2" width="29.6640625" bestFit="1" customWidth="1"/>
    <col min="4" max="4" width="16.5" style="10" bestFit="1" customWidth="1"/>
    <col min="5" max="5" width="35.83203125" style="10" bestFit="1" customWidth="1"/>
    <col min="6" max="7" width="22.1640625" customWidth="1"/>
    <col min="8" max="8" width="37.83203125" bestFit="1" customWidth="1"/>
    <col min="9" max="9" width="11.6640625" bestFit="1" customWidth="1"/>
    <col min="10" max="10" width="11.1640625" bestFit="1" customWidth="1"/>
    <col min="11" max="11" width="13.5" bestFit="1" customWidth="1"/>
    <col min="12" max="12" width="8.83203125" customWidth="1"/>
    <col min="13" max="13" width="9.5" customWidth="1"/>
    <col min="14" max="14" width="10.6640625" customWidth="1"/>
    <col min="15" max="15" width="16.33203125" customWidth="1"/>
    <col min="16" max="16" width="12.33203125" customWidth="1"/>
    <col min="17" max="17" width="8.83203125" customWidth="1"/>
    <col min="18" max="18" width="10.5" customWidth="1"/>
    <col min="19" max="19" width="10.33203125" customWidth="1"/>
    <col min="20" max="20" width="26.83203125" customWidth="1"/>
    <col min="21" max="31" width="8.83203125" customWidth="1"/>
    <col min="34" max="37" width="8.83203125" customWidth="1"/>
    <col min="44" max="52" width="8.83203125" customWidth="1"/>
    <col min="53" max="53" width="15.5" bestFit="1" customWidth="1"/>
    <col min="54" max="54" width="8.83203125" customWidth="1"/>
    <col min="56" max="56" width="8.33203125" customWidth="1"/>
    <col min="57" max="57" width="18.6640625" bestFit="1" customWidth="1"/>
    <col min="58" max="58" width="12.6640625" bestFit="1" customWidth="1"/>
    <col min="59" max="60" width="13.33203125" bestFit="1" customWidth="1"/>
    <col min="62" max="62" width="12.5" customWidth="1"/>
    <col min="64" max="65" width="12.6640625" bestFit="1" customWidth="1"/>
    <col min="66" max="66" width="9.5" bestFit="1" customWidth="1"/>
    <col min="79" max="79" width="9.5" bestFit="1" customWidth="1"/>
    <col min="98" max="98" width="12.6640625" bestFit="1" customWidth="1"/>
  </cols>
  <sheetData>
    <row r="1" spans="1:232" s="56" customFormat="1" ht="15" customHeight="1">
      <c r="A1" s="54" t="s">
        <v>1174</v>
      </c>
      <c r="B1" s="54" t="s">
        <v>0</v>
      </c>
      <c r="C1" s="54" t="s">
        <v>1</v>
      </c>
      <c r="D1" s="54" t="s">
        <v>2</v>
      </c>
      <c r="E1" s="54" t="s">
        <v>588</v>
      </c>
      <c r="F1" s="54" t="s">
        <v>1715</v>
      </c>
      <c r="G1" s="54" t="s">
        <v>523</v>
      </c>
      <c r="H1" s="54" t="s">
        <v>586</v>
      </c>
      <c r="I1" s="54" t="s">
        <v>312</v>
      </c>
      <c r="J1" s="54" t="s">
        <v>4</v>
      </c>
      <c r="K1" s="54" t="s">
        <v>156</v>
      </c>
      <c r="L1" s="54" t="s">
        <v>1552</v>
      </c>
      <c r="M1" s="54" t="s">
        <v>1553</v>
      </c>
      <c r="N1" s="54" t="s">
        <v>325</v>
      </c>
      <c r="O1" s="54" t="s">
        <v>1569</v>
      </c>
      <c r="P1" s="54" t="s">
        <v>510</v>
      </c>
      <c r="Q1" s="54" t="s">
        <v>1550</v>
      </c>
      <c r="R1" s="54" t="s">
        <v>1549</v>
      </c>
      <c r="S1" s="54" t="s">
        <v>1551</v>
      </c>
      <c r="T1" s="54" t="s">
        <v>1555</v>
      </c>
      <c r="U1" s="54" t="s">
        <v>156</v>
      </c>
      <c r="V1" s="55" t="s">
        <v>326</v>
      </c>
      <c r="W1" s="54" t="s">
        <v>1570</v>
      </c>
      <c r="X1" s="55" t="s">
        <v>327</v>
      </c>
      <c r="Y1" s="54" t="s">
        <v>1570</v>
      </c>
      <c r="Z1" s="55" t="s">
        <v>328</v>
      </c>
      <c r="AA1" s="54" t="s">
        <v>1570</v>
      </c>
      <c r="AB1" s="55" t="s">
        <v>329</v>
      </c>
      <c r="AC1" s="54" t="s">
        <v>1570</v>
      </c>
      <c r="AD1" s="55" t="s">
        <v>330</v>
      </c>
      <c r="AE1" s="54" t="s">
        <v>1570</v>
      </c>
      <c r="AF1" s="55" t="s">
        <v>1784</v>
      </c>
      <c r="AG1" s="54" t="s">
        <v>1570</v>
      </c>
      <c r="AH1" s="55" t="s">
        <v>331</v>
      </c>
      <c r="AI1" s="54" t="s">
        <v>1570</v>
      </c>
      <c r="AJ1" s="55" t="s">
        <v>1731</v>
      </c>
      <c r="AK1" s="54" t="s">
        <v>1570</v>
      </c>
      <c r="AL1" s="55" t="s">
        <v>1732</v>
      </c>
      <c r="AM1" s="54" t="s">
        <v>1570</v>
      </c>
      <c r="AN1" s="55" t="s">
        <v>1733</v>
      </c>
      <c r="AO1" s="55" t="s">
        <v>1729</v>
      </c>
      <c r="AP1" s="55" t="s">
        <v>1783</v>
      </c>
      <c r="AQ1" s="55"/>
      <c r="AR1" s="55" t="s">
        <v>1577</v>
      </c>
      <c r="AS1" s="54" t="s">
        <v>1570</v>
      </c>
      <c r="AT1" s="55" t="s">
        <v>1576</v>
      </c>
      <c r="AU1" s="54" t="s">
        <v>1570</v>
      </c>
      <c r="AV1" s="55" t="s">
        <v>1574</v>
      </c>
      <c r="AW1" s="54" t="s">
        <v>1570</v>
      </c>
      <c r="AX1" s="55" t="s">
        <v>332</v>
      </c>
      <c r="AY1" s="54" t="s">
        <v>1570</v>
      </c>
      <c r="AZ1" s="55" t="s">
        <v>1575</v>
      </c>
      <c r="BA1" s="54" t="s">
        <v>1570</v>
      </c>
      <c r="BB1" s="55" t="s">
        <v>1155</v>
      </c>
      <c r="BC1" s="55" t="s">
        <v>156</v>
      </c>
      <c r="BD1" s="55" t="s">
        <v>1579</v>
      </c>
      <c r="BE1" s="54" t="s">
        <v>1570</v>
      </c>
      <c r="BF1" s="54" t="s">
        <v>1597</v>
      </c>
      <c r="BG1" s="54" t="s">
        <v>1570</v>
      </c>
      <c r="BH1" s="55" t="s">
        <v>1584</v>
      </c>
      <c r="BI1" s="54" t="s">
        <v>1570</v>
      </c>
      <c r="BJ1" s="54" t="s">
        <v>1730</v>
      </c>
      <c r="BK1" s="55" t="s">
        <v>1578</v>
      </c>
      <c r="BL1" s="54" t="s">
        <v>1570</v>
      </c>
      <c r="BM1" s="54" t="s">
        <v>1586</v>
      </c>
      <c r="BN1" s="54"/>
      <c r="BO1" s="55" t="s">
        <v>1571</v>
      </c>
      <c r="BP1" s="54" t="s">
        <v>1570</v>
      </c>
      <c r="BQ1" s="55" t="s">
        <v>1572</v>
      </c>
      <c r="BR1" s="54" t="s">
        <v>1570</v>
      </c>
      <c r="BS1" s="55" t="s">
        <v>1573</v>
      </c>
      <c r="BT1" s="54" t="s">
        <v>1570</v>
      </c>
      <c r="BU1" s="54" t="s">
        <v>1580</v>
      </c>
      <c r="BV1" s="54" t="s">
        <v>1570</v>
      </c>
      <c r="BW1" s="54" t="s">
        <v>1581</v>
      </c>
      <c r="BX1" s="54" t="s">
        <v>1570</v>
      </c>
      <c r="BY1" s="54" t="s">
        <v>1582</v>
      </c>
      <c r="BZ1" s="54" t="s">
        <v>1570</v>
      </c>
      <c r="CA1" s="54" t="s">
        <v>1583</v>
      </c>
      <c r="CB1" s="54" t="s">
        <v>1570</v>
      </c>
      <c r="CC1" s="54" t="s">
        <v>1598</v>
      </c>
      <c r="CD1" s="54" t="s">
        <v>1570</v>
      </c>
      <c r="CE1" s="55" t="s">
        <v>1599</v>
      </c>
      <c r="CF1" s="54" t="s">
        <v>1570</v>
      </c>
      <c r="CG1" s="55" t="s">
        <v>1600</v>
      </c>
      <c r="CH1" s="54" t="s">
        <v>1570</v>
      </c>
      <c r="CI1" s="55" t="s">
        <v>1601</v>
      </c>
      <c r="CJ1" s="54" t="s">
        <v>1570</v>
      </c>
      <c r="CK1" s="55" t="s">
        <v>1602</v>
      </c>
      <c r="CL1" s="54" t="s">
        <v>1570</v>
      </c>
      <c r="CM1" s="55" t="s">
        <v>1603</v>
      </c>
      <c r="CN1" s="54" t="s">
        <v>1570</v>
      </c>
      <c r="CO1" s="55" t="s">
        <v>1604</v>
      </c>
      <c r="CP1" s="54" t="s">
        <v>1570</v>
      </c>
      <c r="CQ1" s="55" t="s">
        <v>1605</v>
      </c>
      <c r="CR1" s="54" t="s">
        <v>1570</v>
      </c>
      <c r="CS1" s="55" t="s">
        <v>1606</v>
      </c>
      <c r="CT1" s="54" t="s">
        <v>1570</v>
      </c>
      <c r="CU1" s="55" t="s">
        <v>1589</v>
      </c>
      <c r="CV1" s="54" t="s">
        <v>1570</v>
      </c>
      <c r="CW1" s="55" t="s">
        <v>1607</v>
      </c>
      <c r="CX1" s="54" t="s">
        <v>1570</v>
      </c>
      <c r="CY1" s="55" t="s">
        <v>1608</v>
      </c>
      <c r="CZ1" s="54" t="s">
        <v>1570</v>
      </c>
      <c r="DA1" s="55" t="s">
        <v>1571</v>
      </c>
      <c r="DB1" s="54" t="s">
        <v>1570</v>
      </c>
      <c r="DC1" s="55"/>
      <c r="DD1" s="55"/>
      <c r="DE1" s="55"/>
      <c r="DF1" s="55"/>
      <c r="DG1" s="55"/>
      <c r="DH1" s="55"/>
      <c r="DI1" s="55"/>
      <c r="DJ1" s="55"/>
      <c r="DK1" s="55"/>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O1" s="55"/>
      <c r="EP1" s="55"/>
      <c r="EQ1" s="55"/>
      <c r="ER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row>
    <row r="2" spans="1:232">
      <c r="A2" t="s">
        <v>833</v>
      </c>
      <c r="B2" t="s">
        <v>24</v>
      </c>
      <c r="C2" t="s">
        <v>1394</v>
      </c>
      <c r="D2" s="10" t="s">
        <v>1728</v>
      </c>
      <c r="E2" s="10" t="s">
        <v>595</v>
      </c>
      <c r="F2" s="118">
        <v>84</v>
      </c>
      <c r="G2" t="s">
        <v>900</v>
      </c>
      <c r="H2" t="s">
        <v>338</v>
      </c>
      <c r="J2" t="s">
        <v>873</v>
      </c>
      <c r="BO2">
        <v>2975</v>
      </c>
      <c r="BP2">
        <v>146</v>
      </c>
      <c r="BS2">
        <v>0.54</v>
      </c>
      <c r="BT2">
        <v>0</v>
      </c>
    </row>
    <row r="3" spans="1:232">
      <c r="A3" t="s">
        <v>833</v>
      </c>
      <c r="B3" t="s">
        <v>24</v>
      </c>
      <c r="C3" t="s">
        <v>1394</v>
      </c>
      <c r="D3" s="10" t="s">
        <v>97</v>
      </c>
      <c r="E3" s="10" t="s">
        <v>595</v>
      </c>
      <c r="F3" s="10">
        <v>118</v>
      </c>
      <c r="G3" t="s">
        <v>900</v>
      </c>
      <c r="H3" t="s">
        <v>338</v>
      </c>
      <c r="J3" t="s">
        <v>874</v>
      </c>
      <c r="L3">
        <v>-4.4000000000000004</v>
      </c>
      <c r="BH3">
        <v>3.6</v>
      </c>
      <c r="BI3">
        <v>0.3</v>
      </c>
      <c r="BO3">
        <v>708</v>
      </c>
      <c r="BP3">
        <v>35</v>
      </c>
      <c r="BS3">
        <v>1.88</v>
      </c>
      <c r="BT3">
        <v>7.0000000000000007E-2</v>
      </c>
    </row>
    <row r="4" spans="1:232">
      <c r="A4" t="s">
        <v>833</v>
      </c>
      <c r="B4" t="s">
        <v>24</v>
      </c>
      <c r="C4" t="s">
        <v>1394</v>
      </c>
      <c r="D4" s="10" t="s">
        <v>104</v>
      </c>
      <c r="E4" s="10" t="s">
        <v>595</v>
      </c>
      <c r="F4" s="10">
        <v>235</v>
      </c>
      <c r="G4" t="s">
        <v>900</v>
      </c>
      <c r="H4" t="s">
        <v>128</v>
      </c>
      <c r="J4" t="s">
        <v>464</v>
      </c>
      <c r="L4">
        <v>-5.9</v>
      </c>
      <c r="AB4">
        <v>32</v>
      </c>
      <c r="AH4">
        <v>5.2</v>
      </c>
      <c r="AZ4">
        <v>4.42</v>
      </c>
      <c r="BD4">
        <v>2.56</v>
      </c>
      <c r="BH4">
        <v>4.0999999999999996</v>
      </c>
      <c r="BI4">
        <v>0.2</v>
      </c>
      <c r="BO4">
        <v>2374</v>
      </c>
      <c r="BP4">
        <v>124</v>
      </c>
      <c r="BS4">
        <v>1.73</v>
      </c>
      <c r="BT4">
        <v>0.08</v>
      </c>
    </row>
    <row r="5" spans="1:232">
      <c r="A5" t="s">
        <v>833</v>
      </c>
      <c r="B5" t="s">
        <v>24</v>
      </c>
      <c r="C5" t="s">
        <v>1394</v>
      </c>
      <c r="D5" s="10" t="s">
        <v>104</v>
      </c>
      <c r="E5" s="10" t="s">
        <v>595</v>
      </c>
      <c r="F5" s="10">
        <v>235</v>
      </c>
      <c r="G5" t="s">
        <v>900</v>
      </c>
      <c r="H5" t="s">
        <v>128</v>
      </c>
      <c r="J5" t="s">
        <v>465</v>
      </c>
      <c r="L5">
        <v>-6.3</v>
      </c>
      <c r="AB5">
        <v>30</v>
      </c>
      <c r="AH5">
        <v>54.2</v>
      </c>
      <c r="AZ5">
        <v>6.58</v>
      </c>
      <c r="BD5">
        <v>3.22</v>
      </c>
      <c r="BH5">
        <v>3.7</v>
      </c>
      <c r="BI5">
        <v>0.1</v>
      </c>
      <c r="BO5">
        <v>325</v>
      </c>
      <c r="BP5">
        <v>1</v>
      </c>
      <c r="BS5">
        <v>1.1299999999999999</v>
      </c>
      <c r="BT5">
        <v>0</v>
      </c>
    </row>
    <row r="6" spans="1:232">
      <c r="A6" t="s">
        <v>833</v>
      </c>
      <c r="B6" t="s">
        <v>24</v>
      </c>
      <c r="C6" t="s">
        <v>1394</v>
      </c>
      <c r="D6" s="10" t="s">
        <v>104</v>
      </c>
      <c r="E6" s="10" t="s">
        <v>595</v>
      </c>
      <c r="F6" s="10">
        <v>235</v>
      </c>
      <c r="G6" t="s">
        <v>900</v>
      </c>
      <c r="H6" t="s">
        <v>128</v>
      </c>
      <c r="J6" t="s">
        <v>466</v>
      </c>
      <c r="L6">
        <v>-6.6</v>
      </c>
      <c r="AB6">
        <v>50</v>
      </c>
      <c r="AH6">
        <v>34.200000000000003</v>
      </c>
      <c r="AZ6">
        <v>5.83</v>
      </c>
      <c r="BD6">
        <v>2.13</v>
      </c>
      <c r="BH6">
        <v>5.7</v>
      </c>
      <c r="BI6">
        <v>0.1</v>
      </c>
      <c r="BS6">
        <v>2.74</v>
      </c>
    </row>
    <row r="7" spans="1:232">
      <c r="A7" t="s">
        <v>833</v>
      </c>
      <c r="B7" t="s">
        <v>24</v>
      </c>
      <c r="C7" t="s">
        <v>1394</v>
      </c>
      <c r="D7" s="10" t="s">
        <v>104</v>
      </c>
      <c r="E7" s="10" t="s">
        <v>595</v>
      </c>
      <c r="F7" s="10">
        <v>235</v>
      </c>
      <c r="G7" t="s">
        <v>900</v>
      </c>
      <c r="H7" t="s">
        <v>128</v>
      </c>
      <c r="J7" t="s">
        <v>467</v>
      </c>
      <c r="L7">
        <v>-8.1999999999999993</v>
      </c>
      <c r="AB7">
        <v>32</v>
      </c>
      <c r="AH7">
        <v>31.1</v>
      </c>
    </row>
    <row r="8" spans="1:232">
      <c r="A8" t="s">
        <v>833</v>
      </c>
      <c r="B8" t="s">
        <v>24</v>
      </c>
      <c r="C8" t="s">
        <v>1394</v>
      </c>
      <c r="D8" s="10" t="s">
        <v>104</v>
      </c>
      <c r="E8" s="10" t="s">
        <v>595</v>
      </c>
      <c r="F8" s="10">
        <v>235</v>
      </c>
      <c r="G8" t="s">
        <v>900</v>
      </c>
      <c r="H8" t="s">
        <v>128</v>
      </c>
      <c r="J8" t="s">
        <v>864</v>
      </c>
      <c r="L8">
        <v>-5.3</v>
      </c>
      <c r="AB8">
        <v>24</v>
      </c>
      <c r="AH8">
        <v>23</v>
      </c>
      <c r="AZ8">
        <v>0.43</v>
      </c>
      <c r="BD8">
        <v>0.26</v>
      </c>
      <c r="BH8">
        <v>6.4</v>
      </c>
      <c r="BI8">
        <v>0.1</v>
      </c>
      <c r="BS8">
        <v>1.66</v>
      </c>
    </row>
    <row r="9" spans="1:232">
      <c r="A9" t="s">
        <v>833</v>
      </c>
      <c r="B9" t="s">
        <v>24</v>
      </c>
      <c r="C9" t="s">
        <v>1394</v>
      </c>
      <c r="D9" s="10" t="s">
        <v>104</v>
      </c>
      <c r="E9" s="10" t="s">
        <v>595</v>
      </c>
      <c r="F9" s="10">
        <v>235</v>
      </c>
      <c r="G9" t="s">
        <v>900</v>
      </c>
      <c r="H9" t="s">
        <v>128</v>
      </c>
      <c r="J9" t="s">
        <v>865</v>
      </c>
      <c r="L9">
        <v>-5.6</v>
      </c>
      <c r="AB9">
        <v>157</v>
      </c>
      <c r="AH9">
        <v>5.6</v>
      </c>
      <c r="AZ9">
        <v>6.72</v>
      </c>
      <c r="BD9">
        <v>1.54</v>
      </c>
      <c r="BH9">
        <v>7</v>
      </c>
      <c r="BI9">
        <v>0.2</v>
      </c>
      <c r="BS9">
        <v>4.37</v>
      </c>
    </row>
    <row r="10" spans="1:232">
      <c r="A10" t="s">
        <v>833</v>
      </c>
      <c r="B10" t="s">
        <v>24</v>
      </c>
      <c r="C10" t="s">
        <v>1394</v>
      </c>
      <c r="D10" s="10" t="s">
        <v>104</v>
      </c>
      <c r="E10" s="10" t="s">
        <v>595</v>
      </c>
      <c r="F10" s="10">
        <v>235</v>
      </c>
      <c r="G10" t="s">
        <v>900</v>
      </c>
      <c r="H10" t="s">
        <v>128</v>
      </c>
      <c r="J10" t="s">
        <v>866</v>
      </c>
      <c r="L10">
        <v>-5.4</v>
      </c>
      <c r="AB10">
        <v>84</v>
      </c>
      <c r="AH10">
        <v>153.5</v>
      </c>
      <c r="AZ10">
        <v>2.9</v>
      </c>
      <c r="BD10">
        <v>1.86</v>
      </c>
      <c r="BH10">
        <v>7</v>
      </c>
      <c r="BI10">
        <v>0.2</v>
      </c>
      <c r="BS10">
        <v>1.56</v>
      </c>
    </row>
    <row r="11" spans="1:232">
      <c r="A11" t="s">
        <v>833</v>
      </c>
      <c r="B11" t="s">
        <v>24</v>
      </c>
      <c r="C11" t="s">
        <v>1394</v>
      </c>
      <c r="D11" s="10" t="s">
        <v>104</v>
      </c>
      <c r="E11" s="10" t="s">
        <v>595</v>
      </c>
      <c r="F11" s="10">
        <v>235</v>
      </c>
      <c r="G11" t="s">
        <v>900</v>
      </c>
      <c r="H11" t="s">
        <v>128</v>
      </c>
      <c r="J11" t="s">
        <v>867</v>
      </c>
      <c r="L11">
        <v>-5.0999999999999996</v>
      </c>
      <c r="AB11">
        <v>71</v>
      </c>
      <c r="AH11">
        <v>22.2</v>
      </c>
    </row>
    <row r="12" spans="1:232">
      <c r="A12" t="s">
        <v>833</v>
      </c>
      <c r="B12" t="s">
        <v>24</v>
      </c>
      <c r="C12" t="s">
        <v>1394</v>
      </c>
      <c r="D12" s="10" t="s">
        <v>104</v>
      </c>
      <c r="E12" s="10" t="s">
        <v>595</v>
      </c>
      <c r="F12" s="10">
        <v>235</v>
      </c>
      <c r="G12" t="s">
        <v>900</v>
      </c>
      <c r="H12" t="s">
        <v>339</v>
      </c>
      <c r="J12" t="s">
        <v>862</v>
      </c>
      <c r="L12">
        <v>-21.7</v>
      </c>
      <c r="AB12">
        <v>86</v>
      </c>
      <c r="AH12">
        <v>113.7</v>
      </c>
      <c r="AZ12">
        <v>3.31</v>
      </c>
      <c r="BD12">
        <v>2.48</v>
      </c>
      <c r="BH12">
        <v>4.3</v>
      </c>
      <c r="BI12">
        <v>0.1</v>
      </c>
      <c r="BO12">
        <v>406</v>
      </c>
      <c r="BP12">
        <v>3</v>
      </c>
      <c r="BS12">
        <v>1.34</v>
      </c>
      <c r="BT12">
        <v>0.01</v>
      </c>
    </row>
    <row r="13" spans="1:232">
      <c r="A13" t="s">
        <v>833</v>
      </c>
      <c r="B13" t="s">
        <v>24</v>
      </c>
      <c r="C13" t="s">
        <v>1394</v>
      </c>
      <c r="D13" s="10" t="s">
        <v>104</v>
      </c>
      <c r="E13" s="10" t="s">
        <v>595</v>
      </c>
      <c r="F13" s="10">
        <v>235</v>
      </c>
      <c r="G13" t="s">
        <v>900</v>
      </c>
      <c r="H13" t="s">
        <v>339</v>
      </c>
      <c r="J13" t="s">
        <v>863</v>
      </c>
      <c r="L13">
        <v>-5.5</v>
      </c>
      <c r="AB13">
        <v>642</v>
      </c>
      <c r="AH13">
        <v>32.700000000000003</v>
      </c>
    </row>
    <row r="14" spans="1:232">
      <c r="A14" t="s">
        <v>833</v>
      </c>
      <c r="B14" t="s">
        <v>24</v>
      </c>
      <c r="C14" t="s">
        <v>1394</v>
      </c>
      <c r="D14" s="10" t="s">
        <v>104</v>
      </c>
      <c r="E14" s="10" t="s">
        <v>595</v>
      </c>
      <c r="F14" s="10">
        <v>235</v>
      </c>
      <c r="G14" t="s">
        <v>900</v>
      </c>
      <c r="H14" t="s">
        <v>339</v>
      </c>
      <c r="J14" t="s">
        <v>878</v>
      </c>
      <c r="L14">
        <v>-23.6</v>
      </c>
      <c r="BH14">
        <v>0.17</v>
      </c>
      <c r="BI14">
        <v>0</v>
      </c>
      <c r="BO14">
        <v>1289</v>
      </c>
      <c r="BP14">
        <v>3</v>
      </c>
      <c r="BS14">
        <v>1.94</v>
      </c>
      <c r="BT14">
        <v>0</v>
      </c>
    </row>
    <row r="15" spans="1:232">
      <c r="A15" t="s">
        <v>833</v>
      </c>
      <c r="B15" t="s">
        <v>24</v>
      </c>
      <c r="C15" t="s">
        <v>1394</v>
      </c>
      <c r="D15" s="10" t="s">
        <v>104</v>
      </c>
      <c r="E15" s="10" t="s">
        <v>595</v>
      </c>
      <c r="F15" s="10">
        <v>235</v>
      </c>
      <c r="G15" t="s">
        <v>900</v>
      </c>
      <c r="H15" t="s">
        <v>339</v>
      </c>
      <c r="J15" t="s">
        <v>879</v>
      </c>
      <c r="L15">
        <v>-23.6</v>
      </c>
      <c r="BH15">
        <v>0.12</v>
      </c>
      <c r="BI15">
        <v>0</v>
      </c>
      <c r="BO15">
        <v>665</v>
      </c>
      <c r="BP15">
        <v>2</v>
      </c>
      <c r="BS15">
        <v>0.97</v>
      </c>
      <c r="BT15">
        <v>0.01</v>
      </c>
    </row>
    <row r="16" spans="1:232">
      <c r="A16" t="s">
        <v>833</v>
      </c>
      <c r="B16" t="s">
        <v>24</v>
      </c>
      <c r="C16" t="s">
        <v>1394</v>
      </c>
      <c r="D16" s="10" t="s">
        <v>104</v>
      </c>
      <c r="E16" s="10" t="s">
        <v>595</v>
      </c>
      <c r="F16" s="10">
        <v>235</v>
      </c>
      <c r="G16" t="s">
        <v>900</v>
      </c>
      <c r="H16" t="s">
        <v>339</v>
      </c>
      <c r="J16" t="s">
        <v>880</v>
      </c>
      <c r="L16">
        <v>-20.100000000000001</v>
      </c>
      <c r="BH16">
        <v>0.13</v>
      </c>
      <c r="BI16">
        <v>0.01</v>
      </c>
      <c r="BO16">
        <v>1588</v>
      </c>
      <c r="BP16">
        <v>10</v>
      </c>
      <c r="BS16">
        <v>1.55</v>
      </c>
      <c r="BT16">
        <v>0</v>
      </c>
    </row>
    <row r="17" spans="1:72">
      <c r="A17" t="s">
        <v>833</v>
      </c>
      <c r="B17" t="s">
        <v>24</v>
      </c>
      <c r="C17" t="s">
        <v>341</v>
      </c>
      <c r="D17" s="10" t="s">
        <v>333</v>
      </c>
      <c r="E17" s="10" t="s">
        <v>595</v>
      </c>
      <c r="F17" s="10">
        <v>93</v>
      </c>
      <c r="G17" t="s">
        <v>900</v>
      </c>
      <c r="H17" t="s">
        <v>339</v>
      </c>
      <c r="J17" t="s">
        <v>881</v>
      </c>
      <c r="L17">
        <v>-18.600000000000001</v>
      </c>
      <c r="AB17">
        <v>90</v>
      </c>
      <c r="AH17">
        <v>157.80000000000001</v>
      </c>
      <c r="AZ17">
        <v>9.92</v>
      </c>
      <c r="BD17">
        <v>0.33</v>
      </c>
      <c r="BH17">
        <v>1.93</v>
      </c>
      <c r="BI17">
        <v>0.05</v>
      </c>
      <c r="BO17">
        <v>849</v>
      </c>
      <c r="BP17">
        <v>1</v>
      </c>
      <c r="BS17">
        <v>30.43</v>
      </c>
      <c r="BT17">
        <v>0.08</v>
      </c>
    </row>
    <row r="18" spans="1:72">
      <c r="A18" t="s">
        <v>833</v>
      </c>
      <c r="B18" t="s">
        <v>24</v>
      </c>
      <c r="C18" t="s">
        <v>341</v>
      </c>
      <c r="D18" s="10" t="s">
        <v>333</v>
      </c>
      <c r="E18" s="10" t="s">
        <v>595</v>
      </c>
      <c r="F18" s="10">
        <v>93</v>
      </c>
      <c r="G18" t="s">
        <v>900</v>
      </c>
      <c r="H18" t="s">
        <v>339</v>
      </c>
      <c r="J18" t="s">
        <v>882</v>
      </c>
      <c r="L18">
        <v>-5.3</v>
      </c>
      <c r="AB18">
        <v>27</v>
      </c>
      <c r="AH18">
        <v>110.3</v>
      </c>
      <c r="AZ18">
        <v>0.7</v>
      </c>
      <c r="BD18">
        <v>0.03</v>
      </c>
      <c r="BH18">
        <v>1.9</v>
      </c>
      <c r="BI18">
        <v>0.04</v>
      </c>
      <c r="BO18">
        <v>952</v>
      </c>
      <c r="BP18">
        <v>1</v>
      </c>
      <c r="BS18">
        <v>24.61</v>
      </c>
      <c r="BT18">
        <v>0.08</v>
      </c>
    </row>
    <row r="19" spans="1:72">
      <c r="A19" t="s">
        <v>833</v>
      </c>
      <c r="B19" t="s">
        <v>24</v>
      </c>
      <c r="C19" t="s">
        <v>341</v>
      </c>
      <c r="D19" s="10" t="s">
        <v>333</v>
      </c>
      <c r="E19" s="10" t="s">
        <v>595</v>
      </c>
      <c r="F19" s="10">
        <v>93</v>
      </c>
      <c r="G19" t="s">
        <v>900</v>
      </c>
      <c r="H19" t="s">
        <v>339</v>
      </c>
      <c r="J19" t="s">
        <v>883</v>
      </c>
      <c r="L19">
        <v>-20.100000000000001</v>
      </c>
      <c r="AB19">
        <v>148</v>
      </c>
      <c r="AH19">
        <v>99.7</v>
      </c>
      <c r="AZ19">
        <v>17.510000000000002</v>
      </c>
      <c r="BD19">
        <v>65.7</v>
      </c>
      <c r="BH19">
        <v>0.08</v>
      </c>
      <c r="BI19">
        <v>0</v>
      </c>
      <c r="BO19">
        <v>582</v>
      </c>
      <c r="BP19">
        <v>6</v>
      </c>
      <c r="BS19">
        <v>0.27</v>
      </c>
      <c r="BT19">
        <v>0</v>
      </c>
    </row>
    <row r="20" spans="1:72">
      <c r="A20" t="s">
        <v>833</v>
      </c>
      <c r="B20" t="s">
        <v>24</v>
      </c>
      <c r="C20" t="s">
        <v>341</v>
      </c>
      <c r="D20" s="10" t="s">
        <v>333</v>
      </c>
      <c r="E20" s="10" t="s">
        <v>595</v>
      </c>
      <c r="F20" s="10">
        <v>93</v>
      </c>
      <c r="G20" t="s">
        <v>900</v>
      </c>
      <c r="H20" t="s">
        <v>339</v>
      </c>
      <c r="J20" t="s">
        <v>884</v>
      </c>
      <c r="L20">
        <v>-9.6</v>
      </c>
      <c r="AB20">
        <v>236</v>
      </c>
      <c r="AH20">
        <v>118.2</v>
      </c>
      <c r="AZ20">
        <v>6.69</v>
      </c>
      <c r="BD20">
        <v>0.26</v>
      </c>
      <c r="BH20">
        <v>1.24</v>
      </c>
      <c r="BI20">
        <v>0.04</v>
      </c>
      <c r="BO20">
        <v>400</v>
      </c>
      <c r="BP20">
        <v>1</v>
      </c>
      <c r="BS20">
        <v>25.47</v>
      </c>
      <c r="BT20">
        <v>7.0000000000000007E-2</v>
      </c>
    </row>
    <row r="21" spans="1:72">
      <c r="A21" t="s">
        <v>833</v>
      </c>
      <c r="B21" t="s">
        <v>24</v>
      </c>
      <c r="C21" t="s">
        <v>341</v>
      </c>
      <c r="D21" s="10" t="s">
        <v>333</v>
      </c>
      <c r="E21" s="10" t="s">
        <v>595</v>
      </c>
      <c r="F21" s="10">
        <v>93</v>
      </c>
      <c r="G21" t="s">
        <v>900</v>
      </c>
      <c r="H21" t="s">
        <v>339</v>
      </c>
      <c r="J21" t="s">
        <v>885</v>
      </c>
      <c r="L21">
        <v>-9.6999999999999993</v>
      </c>
      <c r="AB21">
        <v>108</v>
      </c>
      <c r="AH21">
        <v>23.5</v>
      </c>
      <c r="AZ21">
        <v>5.0199999999999996</v>
      </c>
      <c r="BD21">
        <v>0.22</v>
      </c>
      <c r="BH21">
        <v>1.33</v>
      </c>
      <c r="BI21">
        <v>0.02</v>
      </c>
      <c r="BO21">
        <v>883</v>
      </c>
      <c r="BP21">
        <v>1</v>
      </c>
      <c r="BS21">
        <v>22.43</v>
      </c>
      <c r="BT21">
        <v>0.03</v>
      </c>
    </row>
    <row r="22" spans="1:72">
      <c r="A22" t="s">
        <v>833</v>
      </c>
      <c r="B22" t="s">
        <v>24</v>
      </c>
      <c r="C22" t="s">
        <v>341</v>
      </c>
      <c r="D22" s="10" t="s">
        <v>333</v>
      </c>
      <c r="E22" s="10" t="s">
        <v>595</v>
      </c>
      <c r="F22" s="10">
        <v>93</v>
      </c>
      <c r="G22" t="s">
        <v>900</v>
      </c>
      <c r="H22" t="s">
        <v>339</v>
      </c>
      <c r="J22" t="s">
        <v>886</v>
      </c>
      <c r="L22">
        <v>-22.5</v>
      </c>
      <c r="BH22">
        <v>1.04</v>
      </c>
      <c r="BI22">
        <v>7.0000000000000007E-2</v>
      </c>
      <c r="BO22">
        <v>11918</v>
      </c>
      <c r="BP22">
        <v>218</v>
      </c>
      <c r="BS22">
        <v>229.1</v>
      </c>
      <c r="BT22">
        <v>1.59</v>
      </c>
    </row>
    <row r="23" spans="1:72">
      <c r="A23" t="s">
        <v>833</v>
      </c>
      <c r="B23" t="s">
        <v>24</v>
      </c>
      <c r="C23" t="s">
        <v>388</v>
      </c>
      <c r="D23" s="10" t="s">
        <v>100</v>
      </c>
      <c r="E23" s="10" t="s">
        <v>829</v>
      </c>
      <c r="F23" s="10"/>
      <c r="G23" t="s">
        <v>900</v>
      </c>
      <c r="H23" t="s">
        <v>128</v>
      </c>
      <c r="J23" t="s">
        <v>695</v>
      </c>
      <c r="L23">
        <v>-6.2</v>
      </c>
      <c r="AB23">
        <v>57</v>
      </c>
      <c r="AH23">
        <v>72.3</v>
      </c>
      <c r="AZ23">
        <v>7.86</v>
      </c>
      <c r="BD23">
        <v>3.22</v>
      </c>
      <c r="BH23">
        <v>4.5999999999999996</v>
      </c>
      <c r="BI23">
        <v>0.1</v>
      </c>
      <c r="BO23">
        <v>1494</v>
      </c>
      <c r="BP23">
        <v>22</v>
      </c>
      <c r="BS23">
        <v>2.39</v>
      </c>
      <c r="BT23">
        <v>0.14000000000000001</v>
      </c>
    </row>
    <row r="24" spans="1:72">
      <c r="A24" t="s">
        <v>833</v>
      </c>
      <c r="B24" t="s">
        <v>24</v>
      </c>
      <c r="C24" t="s">
        <v>1394</v>
      </c>
      <c r="D24" s="10" t="s">
        <v>334</v>
      </c>
      <c r="E24" s="10" t="s">
        <v>595</v>
      </c>
      <c r="F24" s="10">
        <v>1202</v>
      </c>
      <c r="G24" t="s">
        <v>900</v>
      </c>
      <c r="H24" t="s">
        <v>338</v>
      </c>
      <c r="J24" t="s">
        <v>875</v>
      </c>
      <c r="L24">
        <v>-4.9000000000000004</v>
      </c>
      <c r="BH24">
        <v>3.4</v>
      </c>
      <c r="BI24">
        <v>0.2</v>
      </c>
      <c r="BO24">
        <v>547</v>
      </c>
      <c r="BP24">
        <v>34</v>
      </c>
      <c r="BS24">
        <v>1.1000000000000001</v>
      </c>
      <c r="BT24">
        <v>0.08</v>
      </c>
    </row>
    <row r="25" spans="1:72">
      <c r="A25" t="s">
        <v>833</v>
      </c>
      <c r="B25" t="s">
        <v>24</v>
      </c>
      <c r="C25" t="s">
        <v>1394</v>
      </c>
      <c r="D25" s="10" t="s">
        <v>334</v>
      </c>
      <c r="E25" s="10" t="s">
        <v>595</v>
      </c>
      <c r="F25" s="10">
        <v>1202</v>
      </c>
      <c r="G25" t="s">
        <v>900</v>
      </c>
      <c r="H25" t="s">
        <v>338</v>
      </c>
      <c r="J25" t="s">
        <v>876</v>
      </c>
      <c r="L25">
        <v>-5.4</v>
      </c>
      <c r="BH25" t="s">
        <v>895</v>
      </c>
    </row>
    <row r="26" spans="1:72">
      <c r="A26" t="s">
        <v>833</v>
      </c>
      <c r="B26" t="s">
        <v>24</v>
      </c>
      <c r="C26" t="s">
        <v>1394</v>
      </c>
      <c r="D26" s="10" t="s">
        <v>334</v>
      </c>
      <c r="E26" s="10" t="s">
        <v>595</v>
      </c>
      <c r="F26" s="10">
        <v>1202</v>
      </c>
      <c r="G26" t="s">
        <v>900</v>
      </c>
      <c r="H26" t="s">
        <v>338</v>
      </c>
      <c r="J26" t="s">
        <v>877</v>
      </c>
      <c r="L26">
        <v>-4.8</v>
      </c>
      <c r="BH26">
        <v>0.3</v>
      </c>
      <c r="BI26">
        <v>0</v>
      </c>
      <c r="BO26">
        <v>1467</v>
      </c>
      <c r="BP26">
        <v>1300</v>
      </c>
      <c r="BS26">
        <v>0.21</v>
      </c>
      <c r="BT26">
        <v>0.05</v>
      </c>
    </row>
    <row r="27" spans="1:72">
      <c r="A27" t="s">
        <v>833</v>
      </c>
      <c r="B27" t="s">
        <v>24</v>
      </c>
      <c r="D27" s="10" t="s">
        <v>335</v>
      </c>
      <c r="E27" s="10" t="s">
        <v>829</v>
      </c>
      <c r="G27" t="s">
        <v>900</v>
      </c>
      <c r="H27" t="s">
        <v>340</v>
      </c>
      <c r="J27" t="s">
        <v>892</v>
      </c>
      <c r="L27">
        <v>-25.2</v>
      </c>
      <c r="BH27">
        <v>1.0999999999999999E-2</v>
      </c>
      <c r="BI27">
        <v>1E-3</v>
      </c>
      <c r="BO27">
        <v>815</v>
      </c>
      <c r="BP27">
        <v>10</v>
      </c>
      <c r="BS27">
        <v>0.06</v>
      </c>
      <c r="BT27">
        <v>0.01</v>
      </c>
    </row>
    <row r="28" spans="1:72">
      <c r="A28" t="s">
        <v>833</v>
      </c>
      <c r="B28" t="s">
        <v>24</v>
      </c>
      <c r="D28" s="10" t="s">
        <v>335</v>
      </c>
      <c r="E28" s="10" t="s">
        <v>829</v>
      </c>
      <c r="G28" t="s">
        <v>900</v>
      </c>
      <c r="H28" t="s">
        <v>340</v>
      </c>
      <c r="J28" t="s">
        <v>893</v>
      </c>
      <c r="L28">
        <v>-26.1</v>
      </c>
      <c r="BH28">
        <v>7.2999999999999995E-2</v>
      </c>
      <c r="BI28">
        <v>4.0000000000000001E-3</v>
      </c>
      <c r="BO28">
        <v>308</v>
      </c>
      <c r="BP28">
        <v>1</v>
      </c>
      <c r="BS28">
        <v>0.25</v>
      </c>
      <c r="BT28">
        <v>0.02</v>
      </c>
    </row>
    <row r="29" spans="1:72">
      <c r="A29" t="s">
        <v>833</v>
      </c>
      <c r="B29" t="s">
        <v>24</v>
      </c>
      <c r="D29" s="10" t="s">
        <v>335</v>
      </c>
      <c r="E29" s="10" t="s">
        <v>829</v>
      </c>
      <c r="G29" t="s">
        <v>900</v>
      </c>
      <c r="H29" t="s">
        <v>340</v>
      </c>
      <c r="J29" t="s">
        <v>894</v>
      </c>
      <c r="L29">
        <v>-28.1</v>
      </c>
      <c r="BH29">
        <v>3.0000000000000001E-3</v>
      </c>
      <c r="BI29">
        <v>0</v>
      </c>
      <c r="BO29">
        <v>308</v>
      </c>
      <c r="BP29">
        <v>1</v>
      </c>
      <c r="BS29">
        <v>0</v>
      </c>
      <c r="BT29">
        <v>0</v>
      </c>
    </row>
    <row r="30" spans="1:72">
      <c r="A30" t="s">
        <v>833</v>
      </c>
      <c r="B30" t="s">
        <v>24</v>
      </c>
      <c r="D30" s="10" t="s">
        <v>336</v>
      </c>
      <c r="E30" s="10" t="s">
        <v>829</v>
      </c>
      <c r="G30" t="s">
        <v>900</v>
      </c>
      <c r="H30" t="s">
        <v>338</v>
      </c>
      <c r="J30" t="s">
        <v>872</v>
      </c>
      <c r="L30">
        <v>-5.8</v>
      </c>
      <c r="BH30">
        <v>1.5</v>
      </c>
      <c r="BI30">
        <v>0</v>
      </c>
      <c r="BO30">
        <v>5093</v>
      </c>
      <c r="BP30">
        <v>3119</v>
      </c>
      <c r="BS30">
        <v>0.97</v>
      </c>
      <c r="BT30">
        <v>0.04</v>
      </c>
    </row>
    <row r="31" spans="1:72">
      <c r="A31" t="s">
        <v>833</v>
      </c>
      <c r="B31" t="s">
        <v>24</v>
      </c>
      <c r="D31" s="10" t="s">
        <v>336</v>
      </c>
      <c r="E31" s="10" t="s">
        <v>829</v>
      </c>
      <c r="G31" t="s">
        <v>900</v>
      </c>
      <c r="H31" t="s">
        <v>338</v>
      </c>
      <c r="J31" t="s">
        <v>868</v>
      </c>
      <c r="BH31">
        <v>1.2</v>
      </c>
      <c r="BI31">
        <v>0.1</v>
      </c>
      <c r="BO31">
        <v>313</v>
      </c>
      <c r="BP31">
        <v>26</v>
      </c>
      <c r="BS31">
        <v>0.21</v>
      </c>
      <c r="BT31">
        <v>0.37</v>
      </c>
    </row>
    <row r="32" spans="1:72">
      <c r="A32" t="s">
        <v>833</v>
      </c>
      <c r="B32" t="s">
        <v>24</v>
      </c>
      <c r="D32" s="10" t="s">
        <v>336</v>
      </c>
      <c r="E32" s="10" t="s">
        <v>829</v>
      </c>
      <c r="G32" t="s">
        <v>900</v>
      </c>
      <c r="H32" t="s">
        <v>338</v>
      </c>
      <c r="J32" t="s">
        <v>869</v>
      </c>
      <c r="L32">
        <v>-5.8</v>
      </c>
      <c r="BH32">
        <v>2.5</v>
      </c>
      <c r="BI32">
        <v>0.1</v>
      </c>
      <c r="BS32">
        <v>2.42</v>
      </c>
      <c r="BT32">
        <v>0.04</v>
      </c>
    </row>
    <row r="33" spans="1:80">
      <c r="A33" t="s">
        <v>833</v>
      </c>
      <c r="B33" t="s">
        <v>24</v>
      </c>
      <c r="D33" s="10" t="s">
        <v>336</v>
      </c>
      <c r="E33" s="10" t="s">
        <v>829</v>
      </c>
      <c r="G33" t="s">
        <v>900</v>
      </c>
      <c r="H33" t="s">
        <v>338</v>
      </c>
      <c r="J33" t="s">
        <v>870</v>
      </c>
      <c r="L33">
        <v>-10.6</v>
      </c>
      <c r="BH33">
        <v>2.7</v>
      </c>
      <c r="BI33">
        <v>0.1</v>
      </c>
      <c r="BO33">
        <v>313</v>
      </c>
      <c r="BP33">
        <v>26</v>
      </c>
      <c r="BS33">
        <v>0.01</v>
      </c>
      <c r="BT33">
        <v>0.02</v>
      </c>
    </row>
    <row r="34" spans="1:80">
      <c r="A34" t="s">
        <v>833</v>
      </c>
      <c r="B34" t="s">
        <v>24</v>
      </c>
      <c r="D34" s="10" t="s">
        <v>336</v>
      </c>
      <c r="E34" s="10" t="s">
        <v>829</v>
      </c>
      <c r="G34" t="s">
        <v>900</v>
      </c>
      <c r="H34" t="s">
        <v>338</v>
      </c>
      <c r="J34" t="s">
        <v>871</v>
      </c>
      <c r="BH34">
        <v>1.8</v>
      </c>
      <c r="BI34">
        <v>0.7</v>
      </c>
      <c r="BS34">
        <v>9.91</v>
      </c>
      <c r="BT34">
        <v>0.4</v>
      </c>
    </row>
    <row r="35" spans="1:80">
      <c r="A35" t="s">
        <v>833</v>
      </c>
      <c r="B35" t="s">
        <v>24</v>
      </c>
      <c r="D35" s="10" t="s">
        <v>337</v>
      </c>
      <c r="E35" s="10" t="s">
        <v>829</v>
      </c>
      <c r="G35" t="s">
        <v>900</v>
      </c>
      <c r="H35" t="s">
        <v>340</v>
      </c>
      <c r="J35" t="s">
        <v>887</v>
      </c>
      <c r="L35">
        <v>-28.3</v>
      </c>
      <c r="AB35">
        <v>1030</v>
      </c>
      <c r="AH35">
        <v>443.3</v>
      </c>
      <c r="AZ35">
        <v>3</v>
      </c>
      <c r="BD35">
        <v>10.97</v>
      </c>
      <c r="BH35">
        <v>1.4E-2</v>
      </c>
      <c r="BI35">
        <v>1.6E-2</v>
      </c>
      <c r="BO35">
        <v>491</v>
      </c>
      <c r="BP35">
        <v>33</v>
      </c>
      <c r="BS35">
        <v>0.25</v>
      </c>
      <c r="BT35">
        <v>0.03</v>
      </c>
    </row>
    <row r="36" spans="1:80">
      <c r="A36" t="s">
        <v>833</v>
      </c>
      <c r="B36" t="s">
        <v>24</v>
      </c>
      <c r="D36" s="10" t="s">
        <v>337</v>
      </c>
      <c r="E36" s="10" t="s">
        <v>829</v>
      </c>
      <c r="G36" t="s">
        <v>900</v>
      </c>
      <c r="H36" t="s">
        <v>340</v>
      </c>
      <c r="J36" t="s">
        <v>888</v>
      </c>
      <c r="L36">
        <v>-27</v>
      </c>
      <c r="AB36">
        <v>4123</v>
      </c>
      <c r="AH36">
        <v>852.2</v>
      </c>
      <c r="AZ36">
        <v>10.66</v>
      </c>
      <c r="BD36">
        <v>250.2</v>
      </c>
      <c r="BH36">
        <v>3.0000000000000001E-3</v>
      </c>
      <c r="BI36">
        <v>0</v>
      </c>
      <c r="BO36">
        <v>942</v>
      </c>
      <c r="BP36">
        <v>42</v>
      </c>
      <c r="BS36">
        <v>0.04</v>
      </c>
      <c r="BT36">
        <v>0.01</v>
      </c>
    </row>
    <row r="37" spans="1:80">
      <c r="A37" t="s">
        <v>833</v>
      </c>
      <c r="B37" t="s">
        <v>24</v>
      </c>
      <c r="D37" s="10" t="s">
        <v>337</v>
      </c>
      <c r="E37" s="10" t="s">
        <v>829</v>
      </c>
      <c r="G37" t="s">
        <v>900</v>
      </c>
      <c r="H37" t="s">
        <v>340</v>
      </c>
      <c r="J37" t="s">
        <v>889</v>
      </c>
      <c r="L37">
        <v>-28.3</v>
      </c>
      <c r="AB37">
        <v>125</v>
      </c>
      <c r="AH37">
        <v>622.6</v>
      </c>
      <c r="AZ37">
        <v>1.3</v>
      </c>
      <c r="BD37">
        <v>124.42</v>
      </c>
      <c r="BH37">
        <v>3.0000000000000001E-3</v>
      </c>
      <c r="BI37">
        <v>0</v>
      </c>
      <c r="BO37">
        <v>497</v>
      </c>
      <c r="BP37">
        <v>22</v>
      </c>
      <c r="BS37">
        <v>0.01</v>
      </c>
      <c r="BT37">
        <v>0.01</v>
      </c>
    </row>
    <row r="38" spans="1:80">
      <c r="A38" t="s">
        <v>833</v>
      </c>
      <c r="B38" t="s">
        <v>24</v>
      </c>
      <c r="D38" s="10" t="s">
        <v>337</v>
      </c>
      <c r="E38" s="10" t="s">
        <v>829</v>
      </c>
      <c r="G38" t="s">
        <v>900</v>
      </c>
      <c r="H38" t="s">
        <v>340</v>
      </c>
      <c r="J38" t="s">
        <v>890</v>
      </c>
      <c r="L38">
        <v>-26.2</v>
      </c>
      <c r="AB38">
        <v>92</v>
      </c>
      <c r="AH38">
        <v>2014.3</v>
      </c>
      <c r="AZ38">
        <v>1.2</v>
      </c>
      <c r="BD38">
        <v>10.31</v>
      </c>
      <c r="BH38">
        <v>1.4999999999999999E-2</v>
      </c>
      <c r="BI38">
        <v>2E-3</v>
      </c>
      <c r="BO38">
        <v>338</v>
      </c>
      <c r="BP38">
        <v>2</v>
      </c>
      <c r="BS38">
        <v>0.12</v>
      </c>
      <c r="BT38">
        <v>0.01</v>
      </c>
    </row>
    <row r="39" spans="1:80">
      <c r="A39" t="s">
        <v>833</v>
      </c>
      <c r="B39" t="s">
        <v>24</v>
      </c>
      <c r="D39" s="10" t="s">
        <v>337</v>
      </c>
      <c r="E39" s="10" t="s">
        <v>829</v>
      </c>
      <c r="G39" t="s">
        <v>900</v>
      </c>
      <c r="H39" t="s">
        <v>340</v>
      </c>
      <c r="J39" t="s">
        <v>891</v>
      </c>
      <c r="L39">
        <v>-28.1</v>
      </c>
      <c r="AB39">
        <v>38</v>
      </c>
      <c r="AH39">
        <v>184.3</v>
      </c>
      <c r="AZ39">
        <v>0.53</v>
      </c>
      <c r="BD39">
        <v>7.32</v>
      </c>
      <c r="BH39">
        <v>5.6000000000000001E-2</v>
      </c>
      <c r="BI39">
        <v>8.9999999999999993E-3</v>
      </c>
      <c r="BO39">
        <v>438</v>
      </c>
      <c r="BP39">
        <v>29</v>
      </c>
      <c r="BS39">
        <v>7.0000000000000007E-2</v>
      </c>
      <c r="BT39">
        <v>0.01</v>
      </c>
    </row>
    <row r="40" spans="1:80">
      <c r="A40" t="s">
        <v>834</v>
      </c>
      <c r="B40" t="s">
        <v>24</v>
      </c>
      <c r="C40" t="s">
        <v>237</v>
      </c>
      <c r="D40" s="10" t="s">
        <v>817</v>
      </c>
      <c r="E40" s="10" t="s">
        <v>595</v>
      </c>
      <c r="F40" s="27" t="s">
        <v>1796</v>
      </c>
      <c r="G40" t="s">
        <v>898</v>
      </c>
      <c r="H40" t="s">
        <v>474</v>
      </c>
      <c r="J40" t="s">
        <v>345</v>
      </c>
      <c r="T40">
        <v>36.1</v>
      </c>
      <c r="V40">
        <v>4</v>
      </c>
      <c r="W40">
        <v>0.1</v>
      </c>
      <c r="X40">
        <v>15.4</v>
      </c>
      <c r="Y40">
        <v>0.3</v>
      </c>
      <c r="Z40">
        <v>0.33</v>
      </c>
      <c r="AA40">
        <v>0.05</v>
      </c>
      <c r="AB40">
        <v>37.5</v>
      </c>
      <c r="AC40">
        <v>0.3</v>
      </c>
      <c r="AH40">
        <v>72</v>
      </c>
      <c r="AI40">
        <v>4</v>
      </c>
      <c r="AR40">
        <v>1.71</v>
      </c>
      <c r="AS40">
        <v>0.04</v>
      </c>
      <c r="AT40">
        <v>23</v>
      </c>
      <c r="AU40">
        <v>3.5</v>
      </c>
      <c r="AX40">
        <v>8.5</v>
      </c>
      <c r="AY40">
        <v>0.1</v>
      </c>
      <c r="AZ40">
        <v>528</v>
      </c>
      <c r="BA40">
        <v>6</v>
      </c>
      <c r="BU40">
        <v>130</v>
      </c>
      <c r="BV40">
        <v>2</v>
      </c>
      <c r="BW40">
        <v>1</v>
      </c>
      <c r="BX40">
        <v>0.01</v>
      </c>
      <c r="BY40">
        <v>98</v>
      </c>
      <c r="BZ40">
        <v>0.1</v>
      </c>
      <c r="CA40">
        <v>0.21</v>
      </c>
      <c r="CB40">
        <v>0.02</v>
      </c>
    </row>
    <row r="41" spans="1:80">
      <c r="A41" t="s">
        <v>834</v>
      </c>
      <c r="B41" t="s">
        <v>24</v>
      </c>
      <c r="C41" t="s">
        <v>237</v>
      </c>
      <c r="D41" s="10" t="s">
        <v>817</v>
      </c>
      <c r="E41" s="10" t="s">
        <v>595</v>
      </c>
      <c r="F41" s="27" t="s">
        <v>1796</v>
      </c>
      <c r="G41" t="s">
        <v>898</v>
      </c>
      <c r="H41" t="s">
        <v>474</v>
      </c>
      <c r="J41" t="s">
        <v>347</v>
      </c>
      <c r="T41">
        <v>46.8</v>
      </c>
      <c r="V41">
        <v>6.8</v>
      </c>
      <c r="W41">
        <v>0.1</v>
      </c>
      <c r="X41">
        <v>24.6</v>
      </c>
      <c r="Y41">
        <v>0.2</v>
      </c>
      <c r="Z41">
        <v>0.54</v>
      </c>
      <c r="AA41">
        <v>0.04</v>
      </c>
      <c r="AB41">
        <v>41</v>
      </c>
      <c r="AC41">
        <v>0.3</v>
      </c>
      <c r="AH41">
        <v>46</v>
      </c>
      <c r="AI41">
        <v>2</v>
      </c>
      <c r="AR41">
        <v>1.59</v>
      </c>
      <c r="AS41">
        <v>0.02</v>
      </c>
      <c r="AT41">
        <v>21.8</v>
      </c>
      <c r="AU41">
        <v>1.5</v>
      </c>
      <c r="AX41">
        <v>5.4</v>
      </c>
      <c r="AY41">
        <v>0.1</v>
      </c>
      <c r="AZ41">
        <v>506</v>
      </c>
      <c r="BA41">
        <v>3</v>
      </c>
      <c r="BU41">
        <v>68</v>
      </c>
      <c r="BV41">
        <v>2</v>
      </c>
      <c r="BW41">
        <v>1.4</v>
      </c>
      <c r="BX41">
        <v>0.05</v>
      </c>
      <c r="BY41">
        <v>118</v>
      </c>
      <c r="BZ41">
        <v>0.1</v>
      </c>
      <c r="CA41">
        <v>0.16</v>
      </c>
      <c r="CB41">
        <v>0.03</v>
      </c>
    </row>
    <row r="42" spans="1:80">
      <c r="A42" t="s">
        <v>834</v>
      </c>
      <c r="B42" t="s">
        <v>24</v>
      </c>
      <c r="C42" t="s">
        <v>237</v>
      </c>
      <c r="D42" s="10" t="s">
        <v>817</v>
      </c>
      <c r="E42" s="10" t="s">
        <v>595</v>
      </c>
      <c r="F42" s="27" t="s">
        <v>1796</v>
      </c>
      <c r="G42" t="s">
        <v>897</v>
      </c>
      <c r="H42" t="s">
        <v>474</v>
      </c>
      <c r="J42" t="s">
        <v>348</v>
      </c>
      <c r="T42">
        <v>42.3</v>
      </c>
      <c r="V42">
        <v>5.9</v>
      </c>
      <c r="W42">
        <v>0.1</v>
      </c>
      <c r="X42">
        <v>20.399999999999999</v>
      </c>
      <c r="Y42">
        <v>0.2</v>
      </c>
      <c r="Z42">
        <v>0.43</v>
      </c>
      <c r="AA42">
        <v>0.01</v>
      </c>
      <c r="AB42">
        <v>62.1</v>
      </c>
      <c r="AC42">
        <v>0.7</v>
      </c>
      <c r="AD42">
        <v>49</v>
      </c>
      <c r="AE42">
        <v>3</v>
      </c>
      <c r="AH42">
        <v>7</v>
      </c>
      <c r="AI42">
        <v>2</v>
      </c>
      <c r="AR42">
        <v>1.53</v>
      </c>
      <c r="AS42">
        <v>0.03</v>
      </c>
      <c r="AT42">
        <v>20.3</v>
      </c>
      <c r="AU42">
        <v>0.5</v>
      </c>
      <c r="AX42">
        <v>9.5</v>
      </c>
      <c r="AY42">
        <v>0.2</v>
      </c>
      <c r="AZ42">
        <v>620</v>
      </c>
      <c r="BA42">
        <v>9</v>
      </c>
      <c r="BU42">
        <v>25</v>
      </c>
      <c r="BV42">
        <v>3</v>
      </c>
      <c r="BW42">
        <v>1.35</v>
      </c>
      <c r="BX42">
        <v>0.02</v>
      </c>
      <c r="BY42">
        <v>111.4</v>
      </c>
      <c r="BZ42">
        <v>0.1</v>
      </c>
      <c r="CA42">
        <v>0.15</v>
      </c>
      <c r="CB42">
        <v>0.01</v>
      </c>
    </row>
    <row r="43" spans="1:80">
      <c r="A43" t="s">
        <v>834</v>
      </c>
      <c r="B43" t="s">
        <v>24</v>
      </c>
      <c r="C43" t="s">
        <v>237</v>
      </c>
      <c r="D43" s="10" t="s">
        <v>817</v>
      </c>
      <c r="E43" s="10" t="s">
        <v>595</v>
      </c>
      <c r="F43" s="27" t="s">
        <v>1796</v>
      </c>
      <c r="G43" t="s">
        <v>897</v>
      </c>
      <c r="H43" t="s">
        <v>474</v>
      </c>
      <c r="J43" t="s">
        <v>349</v>
      </c>
      <c r="T43">
        <v>31.5</v>
      </c>
      <c r="V43">
        <v>11.2</v>
      </c>
      <c r="W43">
        <v>0.1</v>
      </c>
      <c r="X43">
        <v>52.4</v>
      </c>
      <c r="Y43">
        <v>0.3</v>
      </c>
      <c r="Z43">
        <v>0.91</v>
      </c>
      <c r="AA43">
        <v>0.05</v>
      </c>
      <c r="AB43">
        <v>68</v>
      </c>
      <c r="AC43">
        <v>0.8</v>
      </c>
      <c r="AD43">
        <v>94</v>
      </c>
      <c r="AE43">
        <v>5</v>
      </c>
      <c r="AH43">
        <v>18</v>
      </c>
      <c r="AI43">
        <v>1</v>
      </c>
      <c r="AR43">
        <v>2.0699999999999998</v>
      </c>
      <c r="AS43">
        <v>0.02</v>
      </c>
      <c r="AT43">
        <v>22.6</v>
      </c>
      <c r="AU43">
        <v>1.4</v>
      </c>
      <c r="AX43">
        <v>5.5</v>
      </c>
      <c r="AY43">
        <v>0.1</v>
      </c>
      <c r="AZ43">
        <v>488</v>
      </c>
      <c r="BA43">
        <v>5</v>
      </c>
      <c r="BU43">
        <v>33</v>
      </c>
      <c r="BV43">
        <v>3</v>
      </c>
      <c r="BW43">
        <v>2.2599999999999998</v>
      </c>
      <c r="BX43">
        <v>0.02</v>
      </c>
      <c r="BY43">
        <v>163.69999999999999</v>
      </c>
      <c r="BZ43">
        <v>0.1</v>
      </c>
      <c r="CA43">
        <v>0.28000000000000003</v>
      </c>
      <c r="CB43">
        <v>0.01</v>
      </c>
    </row>
    <row r="44" spans="1:80">
      <c r="A44" t="s">
        <v>834</v>
      </c>
      <c r="B44" t="s">
        <v>24</v>
      </c>
      <c r="C44" t="s">
        <v>237</v>
      </c>
      <c r="D44" s="10" t="s">
        <v>817</v>
      </c>
      <c r="E44" s="10" t="s">
        <v>595</v>
      </c>
      <c r="F44" s="27" t="s">
        <v>1796</v>
      </c>
      <c r="G44" t="s">
        <v>897</v>
      </c>
      <c r="H44" t="s">
        <v>474</v>
      </c>
      <c r="J44" t="s">
        <v>350</v>
      </c>
      <c r="T44">
        <v>42.6</v>
      </c>
      <c r="V44">
        <v>5.2</v>
      </c>
      <c r="W44">
        <v>0.1</v>
      </c>
      <c r="X44">
        <v>21.5</v>
      </c>
      <c r="Y44">
        <v>0.1</v>
      </c>
      <c r="Z44">
        <v>0.39</v>
      </c>
      <c r="AA44">
        <v>0.01</v>
      </c>
      <c r="AB44">
        <v>29.9</v>
      </c>
      <c r="AC44">
        <v>0.4</v>
      </c>
      <c r="AD44">
        <v>26</v>
      </c>
      <c r="AE44">
        <v>3</v>
      </c>
      <c r="AH44">
        <v>8</v>
      </c>
      <c r="AI44">
        <v>1</v>
      </c>
      <c r="AR44">
        <v>1.83</v>
      </c>
      <c r="AS44">
        <v>0.03</v>
      </c>
      <c r="AT44">
        <v>20.7</v>
      </c>
      <c r="AU44">
        <v>0.5</v>
      </c>
      <c r="AX44">
        <v>5.2</v>
      </c>
      <c r="AY44">
        <v>0.1</v>
      </c>
      <c r="AZ44">
        <v>525</v>
      </c>
      <c r="BA44">
        <v>7</v>
      </c>
      <c r="BU44">
        <v>19</v>
      </c>
      <c r="BV44">
        <v>2</v>
      </c>
      <c r="BW44">
        <v>1.47</v>
      </c>
      <c r="BX44">
        <v>0.05</v>
      </c>
      <c r="BY44">
        <v>83</v>
      </c>
      <c r="BZ44">
        <v>0.1</v>
      </c>
      <c r="CA44">
        <v>0.15</v>
      </c>
      <c r="CB44">
        <v>0.01</v>
      </c>
    </row>
    <row r="45" spans="1:80">
      <c r="A45" t="s">
        <v>834</v>
      </c>
      <c r="B45" t="s">
        <v>24</v>
      </c>
      <c r="C45" t="s">
        <v>237</v>
      </c>
      <c r="D45" s="10" t="s">
        <v>817</v>
      </c>
      <c r="E45" s="10" t="s">
        <v>595</v>
      </c>
      <c r="F45" s="27" t="s">
        <v>1796</v>
      </c>
      <c r="G45" t="s">
        <v>897</v>
      </c>
      <c r="H45" t="s">
        <v>474</v>
      </c>
      <c r="J45" t="s">
        <v>351</v>
      </c>
      <c r="T45">
        <v>57.9</v>
      </c>
      <c r="V45">
        <v>4.5</v>
      </c>
      <c r="W45">
        <v>0.1</v>
      </c>
      <c r="X45">
        <v>17.2</v>
      </c>
      <c r="Y45">
        <v>0.2</v>
      </c>
      <c r="Z45">
        <v>0.46</v>
      </c>
      <c r="AA45">
        <v>0.01</v>
      </c>
      <c r="AB45">
        <v>54.3</v>
      </c>
      <c r="AC45">
        <v>0.5</v>
      </c>
      <c r="AD45">
        <v>61</v>
      </c>
      <c r="AE45">
        <v>2</v>
      </c>
      <c r="AH45">
        <v>14</v>
      </c>
      <c r="AI45">
        <v>1</v>
      </c>
      <c r="AR45">
        <v>1.68</v>
      </c>
      <c r="AS45">
        <v>0.02</v>
      </c>
      <c r="AT45">
        <v>28.3</v>
      </c>
      <c r="AU45">
        <v>0.7</v>
      </c>
      <c r="AX45">
        <v>10.8</v>
      </c>
      <c r="AY45">
        <v>0.2</v>
      </c>
      <c r="AZ45">
        <v>581</v>
      </c>
      <c r="BA45">
        <v>7</v>
      </c>
      <c r="BU45">
        <v>24</v>
      </c>
      <c r="BV45">
        <v>2</v>
      </c>
      <c r="BW45">
        <v>0.86</v>
      </c>
      <c r="BX45">
        <v>0.03</v>
      </c>
      <c r="BY45">
        <v>81.8</v>
      </c>
      <c r="BZ45">
        <v>0.1</v>
      </c>
      <c r="CA45">
        <v>0.19</v>
      </c>
      <c r="CB45">
        <v>0.01</v>
      </c>
    </row>
    <row r="46" spans="1:80">
      <c r="A46" t="s">
        <v>834</v>
      </c>
      <c r="B46" t="s">
        <v>24</v>
      </c>
      <c r="C46" t="s">
        <v>237</v>
      </c>
      <c r="D46" s="10" t="s">
        <v>817</v>
      </c>
      <c r="E46" s="10" t="s">
        <v>595</v>
      </c>
      <c r="F46" s="27" t="s">
        <v>1796</v>
      </c>
      <c r="G46" t="s">
        <v>897</v>
      </c>
      <c r="H46" t="s">
        <v>474</v>
      </c>
      <c r="J46" t="s">
        <v>352</v>
      </c>
      <c r="T46">
        <v>47.1</v>
      </c>
      <c r="V46">
        <v>14.7</v>
      </c>
      <c r="W46">
        <v>0.1</v>
      </c>
      <c r="X46">
        <v>59.2</v>
      </c>
      <c r="Y46">
        <v>0.7</v>
      </c>
      <c r="Z46">
        <v>0.9</v>
      </c>
      <c r="AA46">
        <v>0.03</v>
      </c>
      <c r="AB46">
        <v>100.7</v>
      </c>
      <c r="AC46">
        <v>0.9</v>
      </c>
      <c r="AD46">
        <v>62</v>
      </c>
      <c r="AE46">
        <v>3</v>
      </c>
      <c r="AH46">
        <v>12</v>
      </c>
      <c r="AI46">
        <v>2</v>
      </c>
      <c r="AR46">
        <v>1.79</v>
      </c>
      <c r="AS46">
        <v>0.03</v>
      </c>
      <c r="AT46">
        <v>17</v>
      </c>
      <c r="AU46">
        <v>0.6</v>
      </c>
      <c r="AX46">
        <v>6.2</v>
      </c>
      <c r="AY46">
        <v>0.1</v>
      </c>
      <c r="AZ46">
        <v>545</v>
      </c>
      <c r="BA46">
        <v>5</v>
      </c>
      <c r="BU46">
        <v>51</v>
      </c>
      <c r="BV46">
        <v>2</v>
      </c>
      <c r="BW46">
        <v>1.25</v>
      </c>
      <c r="BX46">
        <v>0.05</v>
      </c>
      <c r="BY46">
        <v>241</v>
      </c>
      <c r="BZ46">
        <v>0.1</v>
      </c>
      <c r="CA46">
        <v>0.22</v>
      </c>
      <c r="CB46">
        <v>0.01</v>
      </c>
    </row>
    <row r="47" spans="1:80">
      <c r="A47" t="s">
        <v>834</v>
      </c>
      <c r="B47" t="s">
        <v>24</v>
      </c>
      <c r="C47" t="s">
        <v>237</v>
      </c>
      <c r="D47" s="10" t="s">
        <v>817</v>
      </c>
      <c r="E47" s="10" t="s">
        <v>595</v>
      </c>
      <c r="F47" s="27" t="s">
        <v>1796</v>
      </c>
      <c r="G47" t="s">
        <v>898</v>
      </c>
      <c r="H47" t="s">
        <v>474</v>
      </c>
      <c r="J47" t="s">
        <v>353</v>
      </c>
      <c r="T47">
        <v>6.9</v>
      </c>
      <c r="V47">
        <v>3</v>
      </c>
      <c r="W47">
        <v>0.1</v>
      </c>
      <c r="X47">
        <v>8.1999999999999993</v>
      </c>
      <c r="Y47">
        <v>0.5</v>
      </c>
      <c r="Z47" t="s">
        <v>34</v>
      </c>
      <c r="AB47">
        <v>33.5</v>
      </c>
      <c r="AC47">
        <v>0.6</v>
      </c>
      <c r="AD47" t="s">
        <v>346</v>
      </c>
      <c r="AH47">
        <v>20</v>
      </c>
      <c r="AI47">
        <v>2</v>
      </c>
      <c r="AR47">
        <v>1.21</v>
      </c>
      <c r="AS47">
        <v>0.08</v>
      </c>
      <c r="AT47" t="s">
        <v>34</v>
      </c>
      <c r="AX47">
        <v>9.8000000000000007</v>
      </c>
      <c r="AY47">
        <v>0.4</v>
      </c>
      <c r="AZ47">
        <v>605</v>
      </c>
      <c r="BA47">
        <v>22</v>
      </c>
      <c r="BU47">
        <v>92</v>
      </c>
      <c r="BV47">
        <v>5</v>
      </c>
      <c r="BW47">
        <v>5.37</v>
      </c>
      <c r="BX47">
        <v>0.08</v>
      </c>
      <c r="BY47">
        <v>79.3</v>
      </c>
      <c r="BZ47">
        <v>0.1</v>
      </c>
      <c r="CA47">
        <v>0.27</v>
      </c>
      <c r="CB47">
        <v>0.01</v>
      </c>
    </row>
    <row r="48" spans="1:80">
      <c r="A48" t="s">
        <v>834</v>
      </c>
      <c r="B48" t="s">
        <v>24</v>
      </c>
      <c r="C48" t="s">
        <v>237</v>
      </c>
      <c r="D48" s="10" t="s">
        <v>817</v>
      </c>
      <c r="E48" s="10" t="s">
        <v>595</v>
      </c>
      <c r="F48" s="27" t="s">
        <v>1796</v>
      </c>
      <c r="G48" t="s">
        <v>898</v>
      </c>
      <c r="H48" t="s">
        <v>474</v>
      </c>
      <c r="J48" t="s">
        <v>354</v>
      </c>
      <c r="T48">
        <v>7.4</v>
      </c>
      <c r="V48">
        <v>3</v>
      </c>
      <c r="W48">
        <v>0.1</v>
      </c>
      <c r="X48">
        <v>9.5</v>
      </c>
      <c r="Y48">
        <v>0.6</v>
      </c>
      <c r="Z48" t="s">
        <v>34</v>
      </c>
      <c r="AB48">
        <v>35.1</v>
      </c>
      <c r="AC48">
        <v>0.5</v>
      </c>
      <c r="AD48" t="s">
        <v>346</v>
      </c>
      <c r="AH48">
        <v>14</v>
      </c>
      <c r="AI48">
        <v>5</v>
      </c>
      <c r="AR48">
        <v>1.39</v>
      </c>
      <c r="AS48">
        <v>0.09</v>
      </c>
      <c r="AT48" t="s">
        <v>34</v>
      </c>
      <c r="AX48">
        <v>10.3</v>
      </c>
      <c r="AY48">
        <v>0.4</v>
      </c>
      <c r="AZ48">
        <v>595</v>
      </c>
      <c r="BA48">
        <v>19</v>
      </c>
      <c r="BU48">
        <v>87</v>
      </c>
      <c r="BV48">
        <v>7</v>
      </c>
      <c r="BW48">
        <v>3.91</v>
      </c>
      <c r="BX48">
        <v>0.04</v>
      </c>
      <c r="BY48">
        <v>76.400000000000006</v>
      </c>
      <c r="BZ48">
        <v>0.1</v>
      </c>
      <c r="CA48">
        <v>0.43</v>
      </c>
      <c r="CB48">
        <v>0.01</v>
      </c>
    </row>
    <row r="49" spans="1:84">
      <c r="A49" t="s">
        <v>834</v>
      </c>
      <c r="B49" t="s">
        <v>24</v>
      </c>
      <c r="C49" t="s">
        <v>237</v>
      </c>
      <c r="D49" s="10" t="s">
        <v>817</v>
      </c>
      <c r="E49" s="10" t="s">
        <v>595</v>
      </c>
      <c r="F49" s="27" t="s">
        <v>1796</v>
      </c>
      <c r="G49" t="s">
        <v>898</v>
      </c>
      <c r="H49" t="s">
        <v>474</v>
      </c>
      <c r="J49" t="s">
        <v>355</v>
      </c>
      <c r="T49">
        <v>6.1</v>
      </c>
      <c r="V49">
        <v>2.8</v>
      </c>
      <c r="W49">
        <v>0.1</v>
      </c>
      <c r="X49">
        <v>9.4</v>
      </c>
      <c r="Y49">
        <v>0.8</v>
      </c>
      <c r="Z49">
        <v>0.64</v>
      </c>
      <c r="AA49">
        <v>0.22</v>
      </c>
      <c r="AB49">
        <v>26</v>
      </c>
      <c r="AC49">
        <v>0.9</v>
      </c>
      <c r="AD49" t="s">
        <v>346</v>
      </c>
      <c r="AH49">
        <v>195</v>
      </c>
      <c r="AI49">
        <v>15</v>
      </c>
      <c r="AR49">
        <v>1.51</v>
      </c>
      <c r="AS49">
        <v>0.14000000000000001</v>
      </c>
      <c r="AT49">
        <v>64.099999999999994</v>
      </c>
      <c r="AU49">
        <v>22</v>
      </c>
      <c r="AX49">
        <v>8.3000000000000007</v>
      </c>
      <c r="AY49">
        <v>0.4</v>
      </c>
      <c r="AZ49">
        <v>567</v>
      </c>
      <c r="BA49">
        <v>19</v>
      </c>
      <c r="BU49">
        <v>180</v>
      </c>
      <c r="BV49">
        <v>7</v>
      </c>
      <c r="BW49">
        <v>11.67</v>
      </c>
      <c r="BX49">
        <v>0.12</v>
      </c>
      <c r="BY49">
        <v>97.6</v>
      </c>
      <c r="BZ49">
        <v>0.1</v>
      </c>
      <c r="CA49">
        <v>5.88</v>
      </c>
      <c r="CB49">
        <v>0.01</v>
      </c>
    </row>
    <row r="50" spans="1:84">
      <c r="A50" t="s">
        <v>834</v>
      </c>
      <c r="B50" t="s">
        <v>24</v>
      </c>
      <c r="C50" t="s">
        <v>237</v>
      </c>
      <c r="D50" s="10" t="s">
        <v>817</v>
      </c>
      <c r="E50" s="10" t="s">
        <v>595</v>
      </c>
      <c r="F50" s="27" t="s">
        <v>1796</v>
      </c>
      <c r="G50" t="s">
        <v>898</v>
      </c>
      <c r="H50" t="s">
        <v>474</v>
      </c>
      <c r="J50" t="s">
        <v>356</v>
      </c>
      <c r="T50">
        <v>10.4</v>
      </c>
      <c r="V50">
        <v>5.0999999999999996</v>
      </c>
      <c r="W50">
        <v>0.1</v>
      </c>
      <c r="X50">
        <v>27</v>
      </c>
      <c r="Y50">
        <v>0.7</v>
      </c>
      <c r="Z50">
        <v>0.47</v>
      </c>
      <c r="AA50">
        <v>0.06</v>
      </c>
      <c r="AB50">
        <v>42.3</v>
      </c>
      <c r="AC50">
        <v>0.5</v>
      </c>
      <c r="AD50" t="s">
        <v>346</v>
      </c>
      <c r="AH50">
        <v>48</v>
      </c>
      <c r="AI50">
        <v>5</v>
      </c>
      <c r="AR50">
        <v>2.3199999999999998</v>
      </c>
      <c r="AS50">
        <v>0.08</v>
      </c>
      <c r="AT50">
        <v>25.2</v>
      </c>
      <c r="AU50">
        <v>3.4</v>
      </c>
      <c r="AX50">
        <v>7.3</v>
      </c>
      <c r="AY50">
        <v>0.2</v>
      </c>
      <c r="AZ50">
        <v>455</v>
      </c>
      <c r="BA50">
        <v>9</v>
      </c>
      <c r="BU50">
        <v>140</v>
      </c>
      <c r="BV50">
        <v>4</v>
      </c>
      <c r="BW50">
        <v>6.19</v>
      </c>
      <c r="BX50">
        <v>0.01</v>
      </c>
      <c r="BY50">
        <v>107.4</v>
      </c>
      <c r="BZ50">
        <v>0.1</v>
      </c>
      <c r="CA50">
        <v>1.73</v>
      </c>
      <c r="CB50">
        <v>0.01</v>
      </c>
    </row>
    <row r="51" spans="1:84">
      <c r="A51" t="s">
        <v>834</v>
      </c>
      <c r="B51" t="s">
        <v>24</v>
      </c>
      <c r="C51" t="s">
        <v>237</v>
      </c>
      <c r="D51" s="10" t="s">
        <v>817</v>
      </c>
      <c r="E51" s="10" t="s">
        <v>595</v>
      </c>
      <c r="F51" s="27" t="s">
        <v>1796</v>
      </c>
      <c r="G51" t="s">
        <v>898</v>
      </c>
      <c r="H51" t="s">
        <v>474</v>
      </c>
      <c r="J51" t="s">
        <v>357</v>
      </c>
      <c r="T51">
        <v>5.8</v>
      </c>
      <c r="V51">
        <v>5.7</v>
      </c>
      <c r="W51">
        <v>0.1</v>
      </c>
      <c r="X51">
        <v>17</v>
      </c>
      <c r="Y51">
        <v>0.7</v>
      </c>
      <c r="Z51">
        <v>0.47</v>
      </c>
      <c r="AA51">
        <v>0.13</v>
      </c>
      <c r="AB51">
        <v>55.3</v>
      </c>
      <c r="AC51">
        <v>0.8</v>
      </c>
      <c r="AD51" t="s">
        <v>346</v>
      </c>
      <c r="AH51">
        <v>125</v>
      </c>
      <c r="AI51">
        <v>10</v>
      </c>
      <c r="AR51">
        <v>1.32</v>
      </c>
      <c r="AS51">
        <v>0.06</v>
      </c>
      <c r="AT51">
        <v>22.9</v>
      </c>
      <c r="AU51">
        <v>6.5</v>
      </c>
      <c r="AX51">
        <v>8.6</v>
      </c>
      <c r="AY51">
        <v>0.2</v>
      </c>
      <c r="AZ51">
        <v>535</v>
      </c>
      <c r="BA51">
        <v>10</v>
      </c>
      <c r="BU51">
        <v>164</v>
      </c>
      <c r="BV51">
        <v>6</v>
      </c>
      <c r="BW51">
        <v>9.26</v>
      </c>
      <c r="BX51">
        <v>0.09</v>
      </c>
      <c r="BY51">
        <v>134.5</v>
      </c>
      <c r="BZ51">
        <v>0.1</v>
      </c>
      <c r="CA51">
        <v>3.57</v>
      </c>
      <c r="CB51">
        <v>0.01</v>
      </c>
    </row>
    <row r="52" spans="1:84">
      <c r="A52" t="s">
        <v>834</v>
      </c>
      <c r="B52" t="s">
        <v>24</v>
      </c>
      <c r="C52" t="s">
        <v>237</v>
      </c>
      <c r="D52" s="10" t="s">
        <v>817</v>
      </c>
      <c r="E52" s="10" t="s">
        <v>595</v>
      </c>
      <c r="F52" s="27" t="s">
        <v>1796</v>
      </c>
      <c r="G52" t="s">
        <v>898</v>
      </c>
      <c r="H52" t="s">
        <v>474</v>
      </c>
      <c r="J52" t="s">
        <v>358</v>
      </c>
      <c r="T52">
        <v>9.6999999999999993</v>
      </c>
      <c r="V52">
        <v>7.5</v>
      </c>
      <c r="W52">
        <v>0.1</v>
      </c>
      <c r="X52">
        <v>26.1</v>
      </c>
      <c r="Y52">
        <v>0.5</v>
      </c>
      <c r="Z52">
        <v>0.56999999999999995</v>
      </c>
      <c r="AA52">
        <v>0.06</v>
      </c>
      <c r="AB52">
        <v>45.1</v>
      </c>
      <c r="AC52">
        <v>0.7</v>
      </c>
      <c r="AD52" t="s">
        <v>346</v>
      </c>
      <c r="AH52">
        <v>22</v>
      </c>
      <c r="AI52">
        <v>2</v>
      </c>
      <c r="AR52">
        <v>1.54</v>
      </c>
      <c r="AS52">
        <v>0.04</v>
      </c>
      <c r="AT52">
        <v>21</v>
      </c>
      <c r="AU52">
        <v>2.4</v>
      </c>
      <c r="AX52">
        <v>5.4</v>
      </c>
      <c r="AY52">
        <v>0.1</v>
      </c>
      <c r="AZ52">
        <v>526</v>
      </c>
      <c r="BA52">
        <v>9</v>
      </c>
      <c r="BU52">
        <v>48</v>
      </c>
      <c r="BV52">
        <v>3</v>
      </c>
      <c r="BW52">
        <v>2.79</v>
      </c>
      <c r="BX52">
        <v>0.05</v>
      </c>
      <c r="BY52">
        <v>125.8</v>
      </c>
      <c r="BZ52">
        <v>0.1</v>
      </c>
      <c r="CA52">
        <v>0.49</v>
      </c>
      <c r="CB52">
        <v>0.01</v>
      </c>
    </row>
    <row r="53" spans="1:84">
      <c r="A53" t="s">
        <v>834</v>
      </c>
      <c r="B53" t="s">
        <v>24</v>
      </c>
      <c r="C53" t="s">
        <v>237</v>
      </c>
      <c r="D53" s="10" t="s">
        <v>817</v>
      </c>
      <c r="E53" s="10" t="s">
        <v>595</v>
      </c>
      <c r="F53" s="27" t="s">
        <v>1796</v>
      </c>
      <c r="G53" t="s">
        <v>898</v>
      </c>
      <c r="H53" t="s">
        <v>474</v>
      </c>
      <c r="J53" t="s">
        <v>359</v>
      </c>
      <c r="T53">
        <v>8.8000000000000007</v>
      </c>
      <c r="V53">
        <v>7.1</v>
      </c>
      <c r="W53">
        <v>0.1</v>
      </c>
      <c r="X53">
        <v>30.3</v>
      </c>
      <c r="Y53">
        <v>0.2</v>
      </c>
      <c r="Z53">
        <v>0.46</v>
      </c>
      <c r="AA53">
        <v>0.14000000000000001</v>
      </c>
      <c r="AB53">
        <v>39.700000000000003</v>
      </c>
      <c r="AC53">
        <v>0.5</v>
      </c>
      <c r="AD53" t="s">
        <v>346</v>
      </c>
      <c r="AH53">
        <v>21</v>
      </c>
      <c r="AI53">
        <v>4</v>
      </c>
      <c r="AR53">
        <v>1.89</v>
      </c>
      <c r="AS53">
        <v>0.03</v>
      </c>
      <c r="AT53">
        <v>18</v>
      </c>
      <c r="AU53">
        <v>5.4</v>
      </c>
      <c r="AX53">
        <v>5.0999999999999996</v>
      </c>
      <c r="AY53">
        <v>0.1</v>
      </c>
      <c r="AZ53">
        <v>488</v>
      </c>
      <c r="BA53">
        <v>8</v>
      </c>
      <c r="BU53">
        <v>71</v>
      </c>
      <c r="BV53">
        <v>4</v>
      </c>
      <c r="BW53">
        <v>3.21</v>
      </c>
      <c r="BX53">
        <v>0.04</v>
      </c>
      <c r="BY53">
        <v>119.1</v>
      </c>
      <c r="BZ53">
        <v>0.1</v>
      </c>
      <c r="CA53">
        <v>0.65</v>
      </c>
      <c r="CB53">
        <v>0.01</v>
      </c>
    </row>
    <row r="54" spans="1:84">
      <c r="A54" t="s">
        <v>834</v>
      </c>
      <c r="B54" t="s">
        <v>24</v>
      </c>
      <c r="C54" t="s">
        <v>237</v>
      </c>
      <c r="D54" s="10" t="s">
        <v>817</v>
      </c>
      <c r="E54" s="10" t="s">
        <v>595</v>
      </c>
      <c r="F54" s="27" t="s">
        <v>1796</v>
      </c>
      <c r="G54" t="s">
        <v>898</v>
      </c>
      <c r="H54" t="s">
        <v>474</v>
      </c>
      <c r="J54" t="s">
        <v>360</v>
      </c>
      <c r="T54">
        <v>6.8</v>
      </c>
      <c r="V54">
        <v>7.3</v>
      </c>
      <c r="W54">
        <v>0.1</v>
      </c>
      <c r="X54">
        <v>27.2</v>
      </c>
      <c r="Y54">
        <v>0.4</v>
      </c>
      <c r="Z54">
        <v>0.69</v>
      </c>
      <c r="AA54">
        <v>0.1</v>
      </c>
      <c r="AB54">
        <v>43</v>
      </c>
      <c r="AC54">
        <v>0.7</v>
      </c>
      <c r="AD54" t="s">
        <v>346</v>
      </c>
      <c r="AH54">
        <v>77</v>
      </c>
      <c r="AI54">
        <v>6</v>
      </c>
      <c r="AR54">
        <v>1.64</v>
      </c>
      <c r="AS54">
        <v>0.03</v>
      </c>
      <c r="AT54">
        <v>26.3</v>
      </c>
      <c r="AU54">
        <v>3.9</v>
      </c>
      <c r="AX54">
        <v>5.3</v>
      </c>
      <c r="AY54">
        <v>0.1</v>
      </c>
      <c r="AZ54">
        <v>512</v>
      </c>
      <c r="BA54">
        <v>7</v>
      </c>
      <c r="BU54">
        <v>66</v>
      </c>
      <c r="BV54">
        <v>6</v>
      </c>
      <c r="BW54">
        <v>5.12</v>
      </c>
      <c r="BX54">
        <v>0.05</v>
      </c>
      <c r="BY54">
        <v>125.6</v>
      </c>
      <c r="BZ54">
        <v>0.1</v>
      </c>
      <c r="CA54">
        <v>3.01</v>
      </c>
      <c r="CB54">
        <v>0.01</v>
      </c>
    </row>
    <row r="55" spans="1:84">
      <c r="A55" t="s">
        <v>834</v>
      </c>
      <c r="B55" t="s">
        <v>24</v>
      </c>
      <c r="C55" t="s">
        <v>237</v>
      </c>
      <c r="D55" s="10" t="s">
        <v>817</v>
      </c>
      <c r="E55" s="10" t="s">
        <v>595</v>
      </c>
      <c r="F55" s="27" t="s">
        <v>1796</v>
      </c>
      <c r="G55" t="s">
        <v>898</v>
      </c>
      <c r="H55" t="s">
        <v>474</v>
      </c>
      <c r="J55" t="s">
        <v>361</v>
      </c>
      <c r="T55">
        <v>10.4</v>
      </c>
      <c r="V55">
        <v>5.0999999999999996</v>
      </c>
      <c r="W55">
        <v>0.1</v>
      </c>
      <c r="X55">
        <v>16.7</v>
      </c>
      <c r="Y55">
        <v>0.2</v>
      </c>
      <c r="Z55">
        <v>0.55000000000000004</v>
      </c>
      <c r="AA55">
        <v>0.06</v>
      </c>
      <c r="AB55">
        <v>31.1</v>
      </c>
      <c r="AC55">
        <v>0.4</v>
      </c>
      <c r="AD55" t="s">
        <v>346</v>
      </c>
      <c r="AH55">
        <v>58</v>
      </c>
      <c r="AI55">
        <v>8</v>
      </c>
      <c r="AR55">
        <v>1.47</v>
      </c>
      <c r="AS55">
        <v>0.03</v>
      </c>
      <c r="AT55">
        <v>30.4</v>
      </c>
      <c r="AU55">
        <v>3.2</v>
      </c>
      <c r="AX55">
        <v>5.6</v>
      </c>
      <c r="AY55">
        <v>0.1</v>
      </c>
      <c r="AZ55">
        <v>500</v>
      </c>
      <c r="BA55">
        <v>7</v>
      </c>
      <c r="BU55">
        <v>59</v>
      </c>
      <c r="BV55">
        <v>3</v>
      </c>
      <c r="BW55">
        <v>3.55</v>
      </c>
      <c r="BX55">
        <v>0.04</v>
      </c>
      <c r="BY55">
        <v>88.7</v>
      </c>
      <c r="BZ55">
        <v>0.1</v>
      </c>
      <c r="CA55">
        <v>2.17</v>
      </c>
      <c r="CB55">
        <v>0.01</v>
      </c>
    </row>
    <row r="56" spans="1:84">
      <c r="A56" t="s">
        <v>834</v>
      </c>
      <c r="B56" t="s">
        <v>24</v>
      </c>
      <c r="C56" t="s">
        <v>237</v>
      </c>
      <c r="D56" s="10" t="s">
        <v>817</v>
      </c>
      <c r="E56" s="10" t="s">
        <v>595</v>
      </c>
      <c r="F56" s="27" t="s">
        <v>1796</v>
      </c>
      <c r="G56" t="s">
        <v>898</v>
      </c>
      <c r="H56" t="s">
        <v>474</v>
      </c>
      <c r="J56" t="s">
        <v>362</v>
      </c>
      <c r="T56">
        <v>4.0999999999999996</v>
      </c>
      <c r="V56">
        <v>9</v>
      </c>
      <c r="W56">
        <v>0.1</v>
      </c>
      <c r="X56">
        <v>25.6</v>
      </c>
      <c r="Y56">
        <v>1.1000000000000001</v>
      </c>
      <c r="Z56">
        <v>0.21</v>
      </c>
      <c r="AA56">
        <v>0.11</v>
      </c>
      <c r="AB56">
        <v>51.9</v>
      </c>
      <c r="AC56">
        <v>0.9</v>
      </c>
      <c r="AD56" t="s">
        <v>346</v>
      </c>
      <c r="AH56">
        <v>25</v>
      </c>
      <c r="AI56">
        <v>10</v>
      </c>
      <c r="AR56">
        <v>1.26</v>
      </c>
      <c r="AS56">
        <v>0.06</v>
      </c>
      <c r="AT56">
        <v>6.4</v>
      </c>
      <c r="AU56">
        <v>3.3</v>
      </c>
      <c r="AX56">
        <v>5.2</v>
      </c>
      <c r="AY56">
        <v>0.1</v>
      </c>
      <c r="AZ56">
        <v>487</v>
      </c>
      <c r="BA56">
        <v>7</v>
      </c>
      <c r="BU56">
        <v>112</v>
      </c>
      <c r="BV56">
        <v>7</v>
      </c>
      <c r="BW56">
        <v>5.01</v>
      </c>
      <c r="BX56">
        <v>0.08</v>
      </c>
      <c r="BY56">
        <v>157</v>
      </c>
      <c r="BZ56">
        <v>0.1</v>
      </c>
      <c r="CA56">
        <v>0.78</v>
      </c>
      <c r="CB56">
        <v>0.01</v>
      </c>
    </row>
    <row r="57" spans="1:84">
      <c r="A57" t="s">
        <v>834</v>
      </c>
      <c r="B57" t="s">
        <v>24</v>
      </c>
      <c r="C57" t="s">
        <v>237</v>
      </c>
      <c r="D57" s="10" t="s">
        <v>817</v>
      </c>
      <c r="E57" s="10" t="s">
        <v>595</v>
      </c>
      <c r="F57" s="27" t="s">
        <v>1796</v>
      </c>
      <c r="G57" t="s">
        <v>898</v>
      </c>
      <c r="H57" t="s">
        <v>474</v>
      </c>
      <c r="J57" t="s">
        <v>363</v>
      </c>
      <c r="T57">
        <v>7.1</v>
      </c>
      <c r="V57">
        <v>6.5</v>
      </c>
      <c r="W57">
        <v>0.1</v>
      </c>
      <c r="X57">
        <v>23.6</v>
      </c>
      <c r="Y57">
        <v>0.3</v>
      </c>
      <c r="Z57">
        <v>0.6</v>
      </c>
      <c r="AA57">
        <v>0.03</v>
      </c>
      <c r="AB57">
        <v>43.2</v>
      </c>
      <c r="AC57">
        <v>0.8</v>
      </c>
      <c r="AD57" t="s">
        <v>346</v>
      </c>
      <c r="AH57">
        <v>74</v>
      </c>
      <c r="AI57">
        <v>4</v>
      </c>
      <c r="AR57">
        <v>1.6</v>
      </c>
      <c r="AS57">
        <v>0.04</v>
      </c>
      <c r="AT57">
        <v>25.8</v>
      </c>
      <c r="AU57">
        <v>1.3</v>
      </c>
      <c r="AX57">
        <v>6</v>
      </c>
      <c r="AY57">
        <v>0.2</v>
      </c>
      <c r="AZ57">
        <v>516</v>
      </c>
      <c r="BA57">
        <v>9</v>
      </c>
      <c r="BU57">
        <v>81</v>
      </c>
      <c r="BV57">
        <v>6</v>
      </c>
      <c r="BW57">
        <v>4.84</v>
      </c>
      <c r="BX57">
        <v>0.05</v>
      </c>
      <c r="BY57">
        <v>119.2</v>
      </c>
      <c r="BZ57">
        <v>0.1</v>
      </c>
      <c r="CA57">
        <v>2.2000000000000002</v>
      </c>
      <c r="CB57">
        <v>0.01</v>
      </c>
    </row>
    <row r="58" spans="1:84">
      <c r="A58" t="s">
        <v>834</v>
      </c>
      <c r="B58" t="s">
        <v>24</v>
      </c>
      <c r="C58" t="s">
        <v>388</v>
      </c>
      <c r="D58" s="10" t="s">
        <v>342</v>
      </c>
      <c r="E58" s="10" t="s">
        <v>640</v>
      </c>
      <c r="G58" t="s">
        <v>898</v>
      </c>
      <c r="H58" t="s">
        <v>128</v>
      </c>
      <c r="J58" t="s">
        <v>365</v>
      </c>
      <c r="T58">
        <v>3</v>
      </c>
      <c r="V58">
        <v>29.9</v>
      </c>
      <c r="W58">
        <v>0.8</v>
      </c>
      <c r="X58">
        <v>77.099999999999994</v>
      </c>
      <c r="Y58">
        <v>0.9</v>
      </c>
      <c r="Z58">
        <v>2.2999999999999998</v>
      </c>
      <c r="AA58">
        <v>0.3</v>
      </c>
      <c r="AB58">
        <v>182.7</v>
      </c>
      <c r="AC58">
        <v>5</v>
      </c>
      <c r="AH58">
        <v>261</v>
      </c>
      <c r="AI58">
        <v>32</v>
      </c>
      <c r="AR58">
        <v>1.1399999999999999</v>
      </c>
      <c r="AS58">
        <v>0.03</v>
      </c>
      <c r="AT58">
        <v>21.6</v>
      </c>
      <c r="AU58">
        <v>2.9</v>
      </c>
      <c r="AX58">
        <v>5.5</v>
      </c>
      <c r="AY58">
        <v>0.2</v>
      </c>
      <c r="AZ58">
        <v>897</v>
      </c>
      <c r="BA58">
        <v>24</v>
      </c>
      <c r="BU58">
        <v>669</v>
      </c>
      <c r="BV58">
        <v>10</v>
      </c>
      <c r="BW58">
        <v>24.8</v>
      </c>
      <c r="BX58">
        <v>0.4</v>
      </c>
      <c r="BY58">
        <v>957.1</v>
      </c>
      <c r="BZ58">
        <v>2.1</v>
      </c>
      <c r="CA58">
        <v>6.95</v>
      </c>
      <c r="CB58">
        <v>0.01</v>
      </c>
    </row>
    <row r="59" spans="1:84">
      <c r="A59" t="s">
        <v>834</v>
      </c>
      <c r="B59" t="s">
        <v>24</v>
      </c>
      <c r="C59" t="s">
        <v>388</v>
      </c>
      <c r="D59" s="10" t="s">
        <v>342</v>
      </c>
      <c r="E59" s="10" t="s">
        <v>640</v>
      </c>
      <c r="G59" t="s">
        <v>898</v>
      </c>
      <c r="H59" t="s">
        <v>128</v>
      </c>
      <c r="J59" t="s">
        <v>366</v>
      </c>
      <c r="T59">
        <v>4.7</v>
      </c>
      <c r="V59">
        <v>21.7</v>
      </c>
      <c r="W59">
        <v>0.6</v>
      </c>
      <c r="X59">
        <v>66.5</v>
      </c>
      <c r="Y59">
        <v>1.9</v>
      </c>
      <c r="Z59">
        <v>2.2999999999999998</v>
      </c>
      <c r="AA59">
        <v>0.1</v>
      </c>
      <c r="AB59">
        <v>126.4</v>
      </c>
      <c r="AC59">
        <v>3.2</v>
      </c>
      <c r="AH59">
        <v>77</v>
      </c>
      <c r="AI59">
        <v>10</v>
      </c>
      <c r="AR59">
        <v>1.35</v>
      </c>
      <c r="AS59">
        <v>0.05</v>
      </c>
      <c r="AT59">
        <v>29.6</v>
      </c>
      <c r="AU59">
        <v>1.6</v>
      </c>
      <c r="AX59">
        <v>5.3</v>
      </c>
      <c r="AY59">
        <v>0.2</v>
      </c>
      <c r="AZ59">
        <v>1358</v>
      </c>
      <c r="BA59">
        <v>37</v>
      </c>
      <c r="BU59">
        <v>356</v>
      </c>
      <c r="BV59">
        <v>11</v>
      </c>
      <c r="BW59">
        <v>11.4</v>
      </c>
      <c r="BX59">
        <v>0.1</v>
      </c>
      <c r="BY59">
        <v>939.4</v>
      </c>
      <c r="BZ59">
        <v>1.6</v>
      </c>
      <c r="CA59">
        <v>2.65</v>
      </c>
      <c r="CB59">
        <v>0.01</v>
      </c>
    </row>
    <row r="60" spans="1:84">
      <c r="A60" t="s">
        <v>834</v>
      </c>
      <c r="B60" t="s">
        <v>24</v>
      </c>
      <c r="C60" t="s">
        <v>388</v>
      </c>
      <c r="D60" s="10" t="s">
        <v>342</v>
      </c>
      <c r="E60" s="10" t="s">
        <v>640</v>
      </c>
      <c r="G60" t="s">
        <v>898</v>
      </c>
      <c r="H60" t="s">
        <v>128</v>
      </c>
      <c r="J60" t="s">
        <v>367</v>
      </c>
      <c r="T60">
        <v>3.5</v>
      </c>
      <c r="V60">
        <v>8.6999999999999993</v>
      </c>
      <c r="W60">
        <v>0.3</v>
      </c>
      <c r="X60">
        <v>20.5</v>
      </c>
      <c r="Y60">
        <v>0.7</v>
      </c>
      <c r="Z60">
        <v>1.7</v>
      </c>
      <c r="AA60">
        <v>0.1</v>
      </c>
      <c r="AB60">
        <v>47.3</v>
      </c>
      <c r="AC60">
        <v>1.6</v>
      </c>
      <c r="AH60">
        <v>554</v>
      </c>
      <c r="AI60">
        <v>11</v>
      </c>
      <c r="AR60">
        <v>1.04</v>
      </c>
      <c r="AS60">
        <v>0.05</v>
      </c>
      <c r="AT60">
        <v>53.8</v>
      </c>
      <c r="AU60">
        <v>3.6</v>
      </c>
      <c r="AX60">
        <v>4.9000000000000004</v>
      </c>
      <c r="AY60">
        <v>0.2</v>
      </c>
      <c r="AZ60">
        <v>903</v>
      </c>
      <c r="BA60">
        <v>32</v>
      </c>
      <c r="BU60">
        <v>717</v>
      </c>
      <c r="BV60">
        <v>17</v>
      </c>
      <c r="BW60">
        <v>36.4</v>
      </c>
      <c r="BX60">
        <v>0.3</v>
      </c>
      <c r="BY60">
        <v>434.4</v>
      </c>
      <c r="BZ60">
        <v>0.6</v>
      </c>
      <c r="CA60">
        <v>15.74</v>
      </c>
      <c r="CB60">
        <v>0.01</v>
      </c>
    </row>
    <row r="61" spans="1:84">
      <c r="A61" t="s">
        <v>834</v>
      </c>
      <c r="B61" t="s">
        <v>24</v>
      </c>
      <c r="C61" t="s">
        <v>388</v>
      </c>
      <c r="D61" s="10" t="s">
        <v>342</v>
      </c>
      <c r="E61" s="10" t="s">
        <v>640</v>
      </c>
      <c r="G61" t="s">
        <v>898</v>
      </c>
      <c r="H61" t="s">
        <v>128</v>
      </c>
      <c r="J61" t="s">
        <v>368</v>
      </c>
      <c r="T61">
        <v>3.8</v>
      </c>
      <c r="V61">
        <v>30.7</v>
      </c>
      <c r="W61">
        <v>0.8</v>
      </c>
      <c r="X61">
        <v>81.900000000000006</v>
      </c>
      <c r="Y61">
        <v>1.9</v>
      </c>
      <c r="Z61">
        <v>2.4</v>
      </c>
      <c r="AA61">
        <v>0.3</v>
      </c>
      <c r="AB61">
        <v>188.2</v>
      </c>
      <c r="AC61">
        <v>5.5</v>
      </c>
      <c r="AH61">
        <v>120</v>
      </c>
      <c r="AI61">
        <v>7</v>
      </c>
      <c r="AR61">
        <v>1.18</v>
      </c>
      <c r="AS61">
        <v>0.04</v>
      </c>
      <c r="AT61">
        <v>21.7</v>
      </c>
      <c r="AU61">
        <v>2.4</v>
      </c>
      <c r="AX61">
        <v>5.5</v>
      </c>
      <c r="AY61">
        <v>0.2</v>
      </c>
      <c r="AZ61">
        <v>1010</v>
      </c>
      <c r="BA61">
        <v>27</v>
      </c>
      <c r="BU61">
        <v>468</v>
      </c>
      <c r="BV61">
        <v>8</v>
      </c>
      <c r="BW61">
        <v>14.1</v>
      </c>
      <c r="BX61">
        <v>0.1</v>
      </c>
      <c r="BY61">
        <v>1016</v>
      </c>
      <c r="BZ61">
        <v>2</v>
      </c>
      <c r="CA61">
        <v>2.7</v>
      </c>
      <c r="CB61">
        <v>0.01</v>
      </c>
    </row>
    <row r="62" spans="1:84">
      <c r="A62" t="s">
        <v>834</v>
      </c>
      <c r="B62" t="s">
        <v>24</v>
      </c>
      <c r="C62" t="s">
        <v>388</v>
      </c>
      <c r="D62" s="10" t="s">
        <v>342</v>
      </c>
      <c r="E62" s="10" t="s">
        <v>640</v>
      </c>
      <c r="G62" t="s">
        <v>898</v>
      </c>
      <c r="H62" t="s">
        <v>128</v>
      </c>
      <c r="J62" t="s">
        <v>369</v>
      </c>
      <c r="T62">
        <v>4.9000000000000004</v>
      </c>
      <c r="V62">
        <v>14</v>
      </c>
      <c r="W62">
        <v>0.4</v>
      </c>
      <c r="X62">
        <v>32.5</v>
      </c>
      <c r="Y62">
        <v>1.2</v>
      </c>
      <c r="Z62">
        <v>1.6</v>
      </c>
      <c r="AA62">
        <v>0.1</v>
      </c>
      <c r="AB62">
        <v>76.2</v>
      </c>
      <c r="AC62">
        <v>2.1</v>
      </c>
      <c r="AH62">
        <v>3</v>
      </c>
      <c r="AI62">
        <v>8</v>
      </c>
      <c r="AR62">
        <v>1.02</v>
      </c>
      <c r="AS62">
        <v>0.05</v>
      </c>
      <c r="AT62">
        <v>31.6</v>
      </c>
      <c r="AU62">
        <v>1.3</v>
      </c>
      <c r="AX62">
        <v>4.9000000000000004</v>
      </c>
      <c r="AY62">
        <v>0.2</v>
      </c>
      <c r="AZ62">
        <v>919</v>
      </c>
      <c r="BA62">
        <v>27</v>
      </c>
      <c r="BU62">
        <v>390</v>
      </c>
      <c r="BV62">
        <v>14</v>
      </c>
      <c r="BW62">
        <v>11.9</v>
      </c>
      <c r="BX62">
        <v>0.1</v>
      </c>
      <c r="BY62">
        <v>480</v>
      </c>
      <c r="BZ62">
        <v>0.8</v>
      </c>
      <c r="CA62">
        <v>2.72</v>
      </c>
      <c r="CB62">
        <v>0.01</v>
      </c>
    </row>
    <row r="63" spans="1:84">
      <c r="A63" t="s">
        <v>834</v>
      </c>
      <c r="B63" t="s">
        <v>24</v>
      </c>
      <c r="C63" t="s">
        <v>388</v>
      </c>
      <c r="D63" s="10" t="s">
        <v>342</v>
      </c>
      <c r="E63" s="10" t="s">
        <v>640</v>
      </c>
      <c r="G63" t="s">
        <v>898</v>
      </c>
      <c r="H63" t="s">
        <v>128</v>
      </c>
      <c r="J63" t="s">
        <v>370</v>
      </c>
      <c r="T63">
        <v>4.5999999999999996</v>
      </c>
      <c r="V63">
        <v>24.4</v>
      </c>
      <c r="W63">
        <v>0.6</v>
      </c>
      <c r="X63">
        <v>64.400000000000006</v>
      </c>
      <c r="Y63">
        <v>1.1000000000000001</v>
      </c>
      <c r="Z63">
        <v>2.5</v>
      </c>
      <c r="AA63">
        <v>0.1</v>
      </c>
      <c r="AB63">
        <v>138.69999999999999</v>
      </c>
      <c r="AC63">
        <v>3.7</v>
      </c>
      <c r="AH63">
        <v>4</v>
      </c>
      <c r="AI63">
        <v>18</v>
      </c>
      <c r="AR63">
        <v>1.17</v>
      </c>
      <c r="AS63">
        <v>0.04</v>
      </c>
      <c r="AT63">
        <v>28.4</v>
      </c>
      <c r="AU63">
        <v>1.7</v>
      </c>
      <c r="AX63">
        <v>5.0999999999999996</v>
      </c>
      <c r="AY63">
        <v>0.2</v>
      </c>
      <c r="AZ63">
        <v>886</v>
      </c>
      <c r="BA63">
        <v>23</v>
      </c>
      <c r="BU63">
        <v>408</v>
      </c>
      <c r="BV63">
        <v>11</v>
      </c>
      <c r="BW63">
        <v>15.7</v>
      </c>
      <c r="BX63">
        <v>0.1</v>
      </c>
      <c r="BY63">
        <v>732.7</v>
      </c>
      <c r="BZ63">
        <v>1.3</v>
      </c>
      <c r="CA63">
        <v>5.6</v>
      </c>
      <c r="CB63">
        <v>0.01</v>
      </c>
    </row>
    <row r="64" spans="1:84">
      <c r="A64" t="s">
        <v>834</v>
      </c>
      <c r="B64" t="s">
        <v>24</v>
      </c>
      <c r="C64" t="s">
        <v>388</v>
      </c>
      <c r="D64" s="10" t="s">
        <v>342</v>
      </c>
      <c r="E64" s="10" t="s">
        <v>640</v>
      </c>
      <c r="G64" t="s">
        <v>898</v>
      </c>
      <c r="H64" t="s">
        <v>128</v>
      </c>
      <c r="J64" t="s">
        <v>371</v>
      </c>
      <c r="T64">
        <v>4.5</v>
      </c>
      <c r="V64">
        <v>17.3</v>
      </c>
      <c r="W64">
        <v>0.5</v>
      </c>
      <c r="X64">
        <v>54.1</v>
      </c>
      <c r="Y64">
        <v>1.6</v>
      </c>
      <c r="Z64">
        <v>1.8</v>
      </c>
      <c r="AA64">
        <v>0.1</v>
      </c>
      <c r="AB64">
        <v>99</v>
      </c>
      <c r="AC64">
        <v>2.7</v>
      </c>
      <c r="AH64" t="s">
        <v>34</v>
      </c>
      <c r="AR64">
        <v>1.38</v>
      </c>
      <c r="AS64">
        <v>0.06</v>
      </c>
      <c r="AT64">
        <v>28.7</v>
      </c>
      <c r="AU64">
        <v>1.1000000000000001</v>
      </c>
      <c r="AX64">
        <v>5.2</v>
      </c>
      <c r="AY64">
        <v>0.2</v>
      </c>
      <c r="AZ64">
        <v>2024</v>
      </c>
      <c r="BA64">
        <v>54</v>
      </c>
      <c r="BU64">
        <v>295</v>
      </c>
      <c r="BV64">
        <v>10</v>
      </c>
      <c r="BW64">
        <v>10.3</v>
      </c>
      <c r="BX64">
        <v>0.1</v>
      </c>
      <c r="BY64">
        <v>1077.8</v>
      </c>
      <c r="BZ64">
        <v>1.9</v>
      </c>
      <c r="CA64">
        <v>2.5299999999999998</v>
      </c>
      <c r="CB64">
        <v>0.01</v>
      </c>
      <c r="CF64" s="5"/>
    </row>
    <row r="65" spans="1:80">
      <c r="A65" t="s">
        <v>834</v>
      </c>
      <c r="B65" t="s">
        <v>24</v>
      </c>
      <c r="C65" t="s">
        <v>388</v>
      </c>
      <c r="D65" s="10" t="s">
        <v>342</v>
      </c>
      <c r="E65" s="10" t="s">
        <v>640</v>
      </c>
      <c r="G65" t="s">
        <v>898</v>
      </c>
      <c r="H65" t="s">
        <v>128</v>
      </c>
      <c r="J65" t="s">
        <v>372</v>
      </c>
      <c r="T65">
        <v>5.9</v>
      </c>
      <c r="V65">
        <v>16.399999999999999</v>
      </c>
      <c r="W65">
        <v>0.4</v>
      </c>
      <c r="X65">
        <v>53.4</v>
      </c>
      <c r="Y65">
        <v>1.3</v>
      </c>
      <c r="Z65">
        <v>2.6</v>
      </c>
      <c r="AA65">
        <v>0.1</v>
      </c>
      <c r="AB65">
        <v>83.9</v>
      </c>
      <c r="AC65">
        <v>2.5</v>
      </c>
      <c r="AH65">
        <v>90</v>
      </c>
      <c r="AI65">
        <v>4</v>
      </c>
      <c r="AR65">
        <v>1.44</v>
      </c>
      <c r="AS65">
        <v>0.05</v>
      </c>
      <c r="AT65">
        <v>43.5</v>
      </c>
      <c r="AU65">
        <v>2.1</v>
      </c>
      <c r="AX65">
        <v>4.5999999999999996</v>
      </c>
      <c r="AY65">
        <v>0.2</v>
      </c>
      <c r="AZ65">
        <v>891</v>
      </c>
      <c r="BA65">
        <v>24</v>
      </c>
      <c r="BU65">
        <v>149</v>
      </c>
      <c r="BV65">
        <v>7</v>
      </c>
      <c r="BW65">
        <v>6.2</v>
      </c>
      <c r="BX65">
        <v>0.1</v>
      </c>
      <c r="BY65">
        <v>458.6</v>
      </c>
      <c r="BZ65">
        <v>1</v>
      </c>
      <c r="CA65">
        <v>1.22</v>
      </c>
      <c r="CB65">
        <v>0.01</v>
      </c>
    </row>
    <row r="66" spans="1:80">
      <c r="A66" t="s">
        <v>834</v>
      </c>
      <c r="B66" t="s">
        <v>24</v>
      </c>
      <c r="C66" t="s">
        <v>388</v>
      </c>
      <c r="D66" s="10" t="s">
        <v>342</v>
      </c>
      <c r="E66" s="10" t="s">
        <v>640</v>
      </c>
      <c r="G66" t="s">
        <v>898</v>
      </c>
      <c r="H66" t="s">
        <v>128</v>
      </c>
      <c r="J66" t="s">
        <v>373</v>
      </c>
      <c r="T66">
        <v>8.6999999999999993</v>
      </c>
      <c r="V66">
        <v>7.7</v>
      </c>
      <c r="W66">
        <v>0.2</v>
      </c>
      <c r="X66">
        <v>26.9</v>
      </c>
      <c r="Y66">
        <v>0.5</v>
      </c>
      <c r="Z66">
        <v>1.5</v>
      </c>
      <c r="AA66">
        <v>0.1</v>
      </c>
      <c r="AB66">
        <v>38.1</v>
      </c>
      <c r="AC66">
        <v>1</v>
      </c>
      <c r="AH66">
        <v>48</v>
      </c>
      <c r="AI66">
        <v>2</v>
      </c>
      <c r="AR66">
        <v>1.54</v>
      </c>
      <c r="AS66">
        <v>0.05</v>
      </c>
      <c r="AT66">
        <v>55</v>
      </c>
      <c r="AU66">
        <v>4.4000000000000004</v>
      </c>
      <c r="AX66">
        <v>4.5</v>
      </c>
      <c r="AY66">
        <v>0.1</v>
      </c>
      <c r="AZ66">
        <v>933</v>
      </c>
      <c r="BA66">
        <v>25</v>
      </c>
      <c r="BU66">
        <v>83</v>
      </c>
      <c r="BV66">
        <v>4</v>
      </c>
      <c r="BW66">
        <v>3.9</v>
      </c>
      <c r="BX66">
        <v>0.1</v>
      </c>
      <c r="BY66">
        <v>228.6</v>
      </c>
      <c r="BZ66">
        <v>0.4</v>
      </c>
      <c r="CA66">
        <v>1.24</v>
      </c>
      <c r="CB66">
        <v>0.01</v>
      </c>
    </row>
    <row r="67" spans="1:80">
      <c r="A67" t="s">
        <v>834</v>
      </c>
      <c r="B67" t="s">
        <v>24</v>
      </c>
      <c r="C67" t="s">
        <v>388</v>
      </c>
      <c r="D67" s="10" t="s">
        <v>342</v>
      </c>
      <c r="E67" s="10" t="s">
        <v>640</v>
      </c>
      <c r="G67" t="s">
        <v>898</v>
      </c>
      <c r="H67" t="s">
        <v>128</v>
      </c>
      <c r="J67" t="s">
        <v>374</v>
      </c>
      <c r="T67">
        <v>7.8</v>
      </c>
      <c r="V67">
        <v>26</v>
      </c>
      <c r="W67">
        <v>0.9</v>
      </c>
      <c r="X67">
        <v>79.599999999999994</v>
      </c>
      <c r="Y67">
        <v>1.4</v>
      </c>
      <c r="Z67">
        <v>2.5</v>
      </c>
      <c r="AA67">
        <v>0.1</v>
      </c>
      <c r="AB67">
        <v>136.69999999999999</v>
      </c>
      <c r="AC67">
        <v>5</v>
      </c>
      <c r="AH67">
        <v>82</v>
      </c>
      <c r="AI67">
        <v>8</v>
      </c>
      <c r="AR67">
        <v>1.35</v>
      </c>
      <c r="AS67">
        <v>0.05</v>
      </c>
      <c r="AT67">
        <v>27</v>
      </c>
      <c r="AU67">
        <v>1.8</v>
      </c>
      <c r="AX67">
        <v>4.7</v>
      </c>
      <c r="AY67">
        <v>0.2</v>
      </c>
      <c r="AZ67">
        <v>842</v>
      </c>
      <c r="BA67">
        <v>39</v>
      </c>
      <c r="BU67">
        <v>91</v>
      </c>
      <c r="BV67">
        <v>7</v>
      </c>
      <c r="BW67">
        <v>3.2</v>
      </c>
      <c r="BX67">
        <v>0.1</v>
      </c>
      <c r="BY67">
        <v>646.70000000000005</v>
      </c>
      <c r="BZ67">
        <v>14.1</v>
      </c>
      <c r="CA67">
        <v>0.82</v>
      </c>
      <c r="CB67">
        <v>0.01</v>
      </c>
    </row>
    <row r="68" spans="1:80">
      <c r="A68" t="s">
        <v>834</v>
      </c>
      <c r="B68" t="s">
        <v>24</v>
      </c>
      <c r="C68" t="s">
        <v>388</v>
      </c>
      <c r="D68" s="10" t="s">
        <v>342</v>
      </c>
      <c r="E68" s="10" t="s">
        <v>640</v>
      </c>
      <c r="G68" t="s">
        <v>898</v>
      </c>
      <c r="H68" t="s">
        <v>128</v>
      </c>
      <c r="J68" t="s">
        <v>375</v>
      </c>
      <c r="T68">
        <v>4.3</v>
      </c>
      <c r="V68">
        <v>25.9</v>
      </c>
      <c r="W68">
        <v>0.9</v>
      </c>
      <c r="X68">
        <v>93.8</v>
      </c>
      <c r="Y68">
        <v>1.3</v>
      </c>
      <c r="Z68">
        <v>2.8</v>
      </c>
      <c r="AA68">
        <v>0.2</v>
      </c>
      <c r="AB68">
        <v>127.9</v>
      </c>
      <c r="AC68">
        <v>4.3</v>
      </c>
      <c r="AH68">
        <v>62</v>
      </c>
      <c r="AI68">
        <v>9</v>
      </c>
      <c r="AR68">
        <v>1.6</v>
      </c>
      <c r="AS68">
        <v>0.05</v>
      </c>
      <c r="AT68">
        <v>29.6</v>
      </c>
      <c r="AU68">
        <v>2.7</v>
      </c>
      <c r="AX68">
        <v>4.5</v>
      </c>
      <c r="AY68">
        <v>0.2</v>
      </c>
      <c r="AZ68">
        <v>905</v>
      </c>
      <c r="BA68">
        <v>36</v>
      </c>
      <c r="BU68">
        <v>154</v>
      </c>
      <c r="BV68">
        <v>8</v>
      </c>
      <c r="BW68">
        <v>5.9</v>
      </c>
      <c r="BX68">
        <v>0.1</v>
      </c>
      <c r="BY68">
        <v>709</v>
      </c>
      <c r="BZ68">
        <v>15.4</v>
      </c>
      <c r="CA68">
        <v>0.94</v>
      </c>
      <c r="CB68">
        <v>0.01</v>
      </c>
    </row>
    <row r="69" spans="1:80">
      <c r="A69" t="s">
        <v>834</v>
      </c>
      <c r="B69" t="s">
        <v>24</v>
      </c>
      <c r="C69" t="s">
        <v>388</v>
      </c>
      <c r="D69" s="10" t="s">
        <v>342</v>
      </c>
      <c r="E69" s="10" t="s">
        <v>640</v>
      </c>
      <c r="G69" t="s">
        <v>898</v>
      </c>
      <c r="H69" t="s">
        <v>128</v>
      </c>
      <c r="J69" t="s">
        <v>376</v>
      </c>
      <c r="T69">
        <v>5.0999999999999996</v>
      </c>
      <c r="V69">
        <v>35.200000000000003</v>
      </c>
      <c r="W69">
        <v>1.2</v>
      </c>
      <c r="X69">
        <v>126.5</v>
      </c>
      <c r="Y69">
        <v>1.1000000000000001</v>
      </c>
      <c r="Z69">
        <v>3.4</v>
      </c>
      <c r="AA69">
        <v>0.3</v>
      </c>
      <c r="AB69">
        <v>191.6</v>
      </c>
      <c r="AC69">
        <v>6.4</v>
      </c>
      <c r="AH69">
        <v>52</v>
      </c>
      <c r="AI69">
        <v>13</v>
      </c>
      <c r="AR69">
        <v>1.59</v>
      </c>
      <c r="AS69">
        <v>0.06</v>
      </c>
      <c r="AT69">
        <v>26.8</v>
      </c>
      <c r="AU69">
        <v>2.7</v>
      </c>
      <c r="AX69">
        <v>4.9000000000000004</v>
      </c>
      <c r="AY69">
        <v>0.2</v>
      </c>
      <c r="AZ69">
        <v>849</v>
      </c>
      <c r="BA69">
        <v>39</v>
      </c>
      <c r="BU69">
        <v>148</v>
      </c>
      <c r="BV69">
        <v>8</v>
      </c>
      <c r="BW69">
        <v>5.4</v>
      </c>
      <c r="BX69">
        <v>0.1</v>
      </c>
      <c r="BY69">
        <v>888</v>
      </c>
      <c r="BZ69">
        <v>19.2</v>
      </c>
      <c r="CA69">
        <v>1.23</v>
      </c>
      <c r="CB69">
        <v>0.01</v>
      </c>
    </row>
    <row r="70" spans="1:80">
      <c r="A70" t="s">
        <v>436</v>
      </c>
      <c r="B70" t="s">
        <v>24</v>
      </c>
      <c r="C70" t="s">
        <v>171</v>
      </c>
      <c r="D70" s="10" t="s">
        <v>120</v>
      </c>
      <c r="E70" s="10" t="s">
        <v>595</v>
      </c>
      <c r="F70">
        <v>53</v>
      </c>
      <c r="G70" t="s">
        <v>1093</v>
      </c>
      <c r="H70" t="s">
        <v>128</v>
      </c>
      <c r="J70" t="s">
        <v>313</v>
      </c>
      <c r="L70">
        <v>-6.93</v>
      </c>
      <c r="M70">
        <v>-3.1</v>
      </c>
      <c r="N70">
        <v>1136</v>
      </c>
      <c r="O70">
        <v>1193</v>
      </c>
      <c r="P70">
        <v>0</v>
      </c>
      <c r="Q70">
        <v>1854</v>
      </c>
      <c r="R70">
        <v>802</v>
      </c>
      <c r="S70">
        <v>85</v>
      </c>
      <c r="T70">
        <v>7</v>
      </c>
      <c r="U70">
        <v>2</v>
      </c>
      <c r="V70">
        <v>188</v>
      </c>
      <c r="W70">
        <v>3</v>
      </c>
      <c r="X70">
        <v>662</v>
      </c>
      <c r="Y70">
        <v>4</v>
      </c>
      <c r="Z70">
        <v>7</v>
      </c>
      <c r="AA70">
        <v>0.5</v>
      </c>
      <c r="AB70">
        <v>195</v>
      </c>
      <c r="AC70">
        <v>14</v>
      </c>
      <c r="AD70">
        <v>680</v>
      </c>
      <c r="AE70">
        <v>137</v>
      </c>
      <c r="AH70">
        <v>122</v>
      </c>
      <c r="AI70">
        <v>5</v>
      </c>
      <c r="AR70">
        <v>1.56</v>
      </c>
      <c r="AS70">
        <v>0.03</v>
      </c>
      <c r="AT70">
        <v>10.3</v>
      </c>
      <c r="AU70">
        <v>0.7</v>
      </c>
      <c r="AX70">
        <v>0.94</v>
      </c>
      <c r="AY70">
        <v>7.0000000000000007E-2</v>
      </c>
      <c r="AZ70">
        <v>725</v>
      </c>
      <c r="BA70">
        <v>12</v>
      </c>
      <c r="BB70">
        <v>7.88</v>
      </c>
      <c r="BC70">
        <v>2</v>
      </c>
      <c r="BD70">
        <v>22.15</v>
      </c>
      <c r="BE70">
        <v>0.14000000000000001</v>
      </c>
      <c r="BH70">
        <v>6.4</v>
      </c>
      <c r="BI70">
        <v>0.1</v>
      </c>
      <c r="BK70">
        <v>1.44</v>
      </c>
      <c r="BL70">
        <v>0.05</v>
      </c>
      <c r="BO70">
        <v>23700</v>
      </c>
      <c r="BP70">
        <v>950</v>
      </c>
      <c r="BQ70">
        <v>0.188</v>
      </c>
      <c r="BR70">
        <v>9.9000000000000008E-3</v>
      </c>
      <c r="BS70">
        <v>1.64</v>
      </c>
      <c r="BT70">
        <v>0.01</v>
      </c>
    </row>
    <row r="71" spans="1:80">
      <c r="A71" t="s">
        <v>436</v>
      </c>
      <c r="B71" t="s">
        <v>24</v>
      </c>
      <c r="C71" t="s">
        <v>171</v>
      </c>
      <c r="D71" s="10" t="s">
        <v>120</v>
      </c>
      <c r="E71" s="10" t="s">
        <v>595</v>
      </c>
      <c r="F71">
        <v>53</v>
      </c>
      <c r="G71" t="s">
        <v>1093</v>
      </c>
      <c r="H71" t="s">
        <v>128</v>
      </c>
      <c r="J71" t="s">
        <v>314</v>
      </c>
      <c r="L71">
        <v>-5.34</v>
      </c>
      <c r="M71">
        <v>-8.8000000000000007</v>
      </c>
      <c r="N71">
        <v>1352</v>
      </c>
      <c r="T71">
        <v>6.2</v>
      </c>
      <c r="U71">
        <v>2</v>
      </c>
      <c r="V71">
        <v>99</v>
      </c>
      <c r="W71">
        <v>1</v>
      </c>
      <c r="X71">
        <v>367</v>
      </c>
      <c r="Y71">
        <v>2</v>
      </c>
      <c r="Z71">
        <v>3.9</v>
      </c>
      <c r="AA71">
        <v>0.2</v>
      </c>
      <c r="AB71">
        <v>99</v>
      </c>
      <c r="AC71">
        <v>2</v>
      </c>
      <c r="AD71">
        <v>220</v>
      </c>
      <c r="AE71">
        <v>43</v>
      </c>
      <c r="AH71">
        <v>94</v>
      </c>
      <c r="AI71">
        <v>6</v>
      </c>
      <c r="AR71">
        <v>1.63</v>
      </c>
      <c r="AS71">
        <v>0.02</v>
      </c>
      <c r="AT71">
        <v>10.9</v>
      </c>
      <c r="AU71">
        <v>0.6</v>
      </c>
      <c r="AX71">
        <v>0.9</v>
      </c>
      <c r="AY71">
        <v>0.02</v>
      </c>
      <c r="AZ71">
        <v>657</v>
      </c>
      <c r="BA71">
        <v>6</v>
      </c>
      <c r="BB71">
        <v>3.39</v>
      </c>
      <c r="BC71">
        <v>1</v>
      </c>
      <c r="BD71">
        <v>19.64</v>
      </c>
      <c r="BE71">
        <v>0.15</v>
      </c>
      <c r="BH71">
        <v>6.4</v>
      </c>
      <c r="BI71">
        <v>0.2</v>
      </c>
      <c r="BK71">
        <v>1.19</v>
      </c>
      <c r="BL71">
        <v>0.03</v>
      </c>
      <c r="BO71">
        <v>26700</v>
      </c>
      <c r="BP71">
        <v>1900</v>
      </c>
      <c r="BQ71">
        <v>0.1928</v>
      </c>
      <c r="BR71">
        <v>1.9E-2</v>
      </c>
      <c r="BS71">
        <v>1.77</v>
      </c>
      <c r="BT71">
        <v>0.02</v>
      </c>
    </row>
    <row r="72" spans="1:80">
      <c r="A72" t="s">
        <v>436</v>
      </c>
      <c r="B72" t="s">
        <v>24</v>
      </c>
      <c r="C72" t="s">
        <v>171</v>
      </c>
      <c r="D72" s="10" t="s">
        <v>120</v>
      </c>
      <c r="E72" s="10" t="s">
        <v>595</v>
      </c>
      <c r="F72">
        <v>53</v>
      </c>
      <c r="G72" t="s">
        <v>1093</v>
      </c>
      <c r="H72" t="s">
        <v>128</v>
      </c>
      <c r="J72" t="s">
        <v>315</v>
      </c>
      <c r="T72">
        <v>7.5</v>
      </c>
      <c r="U72">
        <v>2</v>
      </c>
      <c r="V72">
        <v>135</v>
      </c>
      <c r="W72">
        <v>3</v>
      </c>
      <c r="X72">
        <v>662</v>
      </c>
      <c r="Y72">
        <v>4</v>
      </c>
      <c r="Z72">
        <v>7</v>
      </c>
      <c r="AA72">
        <v>0.5</v>
      </c>
      <c r="AB72">
        <v>173</v>
      </c>
      <c r="AC72">
        <v>4</v>
      </c>
      <c r="AD72">
        <v>279</v>
      </c>
      <c r="AE72">
        <v>83</v>
      </c>
      <c r="AH72">
        <v>228</v>
      </c>
      <c r="AI72">
        <v>10</v>
      </c>
      <c r="AR72">
        <v>3.59</v>
      </c>
      <c r="AS72">
        <v>0.09</v>
      </c>
      <c r="AT72">
        <v>31.6</v>
      </c>
      <c r="AU72">
        <v>1.6</v>
      </c>
      <c r="AX72">
        <v>1.1599999999999999</v>
      </c>
      <c r="AY72">
        <v>0.04</v>
      </c>
      <c r="AZ72">
        <v>787</v>
      </c>
      <c r="BA72">
        <v>20</v>
      </c>
    </row>
    <row r="73" spans="1:80">
      <c r="A73" t="s">
        <v>436</v>
      </c>
      <c r="B73" t="s">
        <v>24</v>
      </c>
      <c r="C73" t="s">
        <v>171</v>
      </c>
      <c r="D73" s="10" t="s">
        <v>120</v>
      </c>
      <c r="E73" s="10" t="s">
        <v>595</v>
      </c>
      <c r="F73">
        <v>53</v>
      </c>
      <c r="G73" t="s">
        <v>1093</v>
      </c>
      <c r="H73" t="s">
        <v>128</v>
      </c>
      <c r="J73" t="s">
        <v>316</v>
      </c>
      <c r="L73">
        <v>-5.0999999999999996</v>
      </c>
      <c r="M73">
        <v>-2.2999999999999998</v>
      </c>
      <c r="N73">
        <v>1899</v>
      </c>
      <c r="O73">
        <v>808</v>
      </c>
      <c r="P73">
        <v>13.7</v>
      </c>
      <c r="T73">
        <v>12.9</v>
      </c>
      <c r="U73">
        <v>5</v>
      </c>
      <c r="V73">
        <v>135</v>
      </c>
      <c r="W73">
        <v>1</v>
      </c>
      <c r="X73">
        <v>533</v>
      </c>
      <c r="Y73">
        <v>2</v>
      </c>
      <c r="Z73">
        <v>6.2</v>
      </c>
      <c r="AA73">
        <v>0.2</v>
      </c>
      <c r="AB73">
        <v>110</v>
      </c>
      <c r="AC73">
        <v>4</v>
      </c>
      <c r="AD73">
        <v>163</v>
      </c>
      <c r="AE73">
        <v>33</v>
      </c>
      <c r="AH73">
        <v>46</v>
      </c>
      <c r="AI73">
        <v>9</v>
      </c>
      <c r="AR73">
        <v>1.79</v>
      </c>
      <c r="AS73">
        <v>0.02</v>
      </c>
      <c r="AT73">
        <v>12.6</v>
      </c>
      <c r="AU73">
        <v>0.4</v>
      </c>
      <c r="AX73">
        <v>0.73</v>
      </c>
      <c r="AY73">
        <v>0.03</v>
      </c>
      <c r="AZ73">
        <v>778</v>
      </c>
      <c r="BA73">
        <v>6</v>
      </c>
      <c r="BB73">
        <v>5.8</v>
      </c>
      <c r="BC73">
        <v>2</v>
      </c>
      <c r="BD73">
        <v>37.159999999999997</v>
      </c>
      <c r="BE73">
        <v>0.21</v>
      </c>
      <c r="BH73">
        <v>5.5</v>
      </c>
      <c r="BI73">
        <v>0.1</v>
      </c>
      <c r="BK73">
        <v>3.25</v>
      </c>
      <c r="BL73">
        <v>0.18</v>
      </c>
      <c r="BO73">
        <v>25000</v>
      </c>
      <c r="BP73">
        <v>1400</v>
      </c>
      <c r="BQ73">
        <v>0.18429999999999999</v>
      </c>
      <c r="BR73">
        <v>1.17E-2</v>
      </c>
      <c r="BS73">
        <v>2.3199999999999998</v>
      </c>
      <c r="BT73">
        <v>0.02</v>
      </c>
    </row>
    <row r="74" spans="1:80">
      <c r="A74" t="s">
        <v>436</v>
      </c>
      <c r="B74" t="s">
        <v>24</v>
      </c>
      <c r="C74" t="s">
        <v>171</v>
      </c>
      <c r="D74" s="10" t="s">
        <v>120</v>
      </c>
      <c r="E74" s="10" t="s">
        <v>595</v>
      </c>
      <c r="F74">
        <v>53</v>
      </c>
      <c r="G74" t="s">
        <v>1093</v>
      </c>
      <c r="H74" t="s">
        <v>128</v>
      </c>
      <c r="J74" t="s">
        <v>317</v>
      </c>
      <c r="L74">
        <v>-5.2</v>
      </c>
      <c r="M74">
        <v>-2.2999999999999998</v>
      </c>
      <c r="N74">
        <v>775</v>
      </c>
      <c r="O74">
        <v>712</v>
      </c>
      <c r="P74">
        <v>27.8</v>
      </c>
      <c r="T74">
        <v>18.3</v>
      </c>
      <c r="U74">
        <v>1</v>
      </c>
      <c r="V74">
        <v>136</v>
      </c>
      <c r="W74">
        <v>11</v>
      </c>
      <c r="X74">
        <v>1092</v>
      </c>
      <c r="Y74">
        <v>4</v>
      </c>
      <c r="Z74">
        <v>14</v>
      </c>
      <c r="AA74">
        <v>0.7</v>
      </c>
      <c r="AB74">
        <v>80</v>
      </c>
      <c r="AC74">
        <v>11</v>
      </c>
      <c r="AR74">
        <v>1.92</v>
      </c>
      <c r="AS74">
        <v>0.16</v>
      </c>
      <c r="AT74">
        <v>16.2</v>
      </c>
      <c r="AU74">
        <v>1.5</v>
      </c>
      <c r="AX74">
        <v>0.54</v>
      </c>
      <c r="AY74">
        <v>0.08</v>
      </c>
      <c r="AZ74">
        <v>769</v>
      </c>
      <c r="BA74">
        <v>63</v>
      </c>
      <c r="BB74">
        <v>5.58</v>
      </c>
      <c r="BC74">
        <v>1</v>
      </c>
      <c r="BD74">
        <v>57.09</v>
      </c>
      <c r="BE74">
        <v>0.45</v>
      </c>
      <c r="BH74">
        <v>5.7</v>
      </c>
      <c r="BI74">
        <v>0.2</v>
      </c>
      <c r="BK74">
        <v>2.17</v>
      </c>
      <c r="BL74">
        <v>0.02</v>
      </c>
      <c r="BO74">
        <v>35800</v>
      </c>
      <c r="BP74">
        <v>3000</v>
      </c>
      <c r="BQ74">
        <v>0.18959999999999999</v>
      </c>
      <c r="BR74">
        <v>1.5599999999999999E-2</v>
      </c>
      <c r="BS74">
        <v>1.4</v>
      </c>
      <c r="BT74">
        <v>0.02</v>
      </c>
    </row>
    <row r="75" spans="1:80">
      <c r="A75" t="s">
        <v>436</v>
      </c>
      <c r="B75" t="s">
        <v>24</v>
      </c>
      <c r="C75" t="s">
        <v>171</v>
      </c>
      <c r="D75" s="10" t="s">
        <v>120</v>
      </c>
      <c r="E75" s="10" t="s">
        <v>595</v>
      </c>
      <c r="F75">
        <v>53</v>
      </c>
      <c r="G75" t="s">
        <v>1093</v>
      </c>
      <c r="H75" t="s">
        <v>128</v>
      </c>
      <c r="J75" t="s">
        <v>318</v>
      </c>
      <c r="T75">
        <v>7.7</v>
      </c>
      <c r="U75">
        <v>2</v>
      </c>
      <c r="V75">
        <v>133</v>
      </c>
      <c r="W75">
        <v>1</v>
      </c>
      <c r="X75">
        <v>571</v>
      </c>
      <c r="Y75">
        <v>2</v>
      </c>
      <c r="Z75">
        <v>6.3</v>
      </c>
      <c r="AA75">
        <v>0.2</v>
      </c>
      <c r="AB75">
        <v>138</v>
      </c>
      <c r="AC75">
        <v>4</v>
      </c>
      <c r="AD75">
        <v>140</v>
      </c>
      <c r="AE75">
        <v>110</v>
      </c>
      <c r="AH75">
        <v>73</v>
      </c>
      <c r="AI75">
        <v>4</v>
      </c>
      <c r="AR75">
        <v>1.91</v>
      </c>
      <c r="AS75">
        <v>0.02</v>
      </c>
      <c r="AT75">
        <v>13.2</v>
      </c>
      <c r="AU75">
        <v>0.4</v>
      </c>
      <c r="AX75">
        <v>0.94</v>
      </c>
      <c r="AY75">
        <v>0.03</v>
      </c>
      <c r="AZ75">
        <v>793</v>
      </c>
      <c r="BA75">
        <v>7</v>
      </c>
    </row>
    <row r="76" spans="1:80">
      <c r="A76" t="s">
        <v>436</v>
      </c>
      <c r="B76" t="s">
        <v>24</v>
      </c>
      <c r="C76" t="s">
        <v>171</v>
      </c>
      <c r="D76" s="10" t="s">
        <v>120</v>
      </c>
      <c r="E76" s="10" t="s">
        <v>595</v>
      </c>
      <c r="F76">
        <v>53</v>
      </c>
      <c r="G76" t="s">
        <v>1093</v>
      </c>
      <c r="H76" t="s">
        <v>128</v>
      </c>
      <c r="J76" t="s">
        <v>319</v>
      </c>
      <c r="T76">
        <v>5.8</v>
      </c>
      <c r="U76">
        <v>2</v>
      </c>
      <c r="V76">
        <v>80</v>
      </c>
      <c r="W76">
        <v>1</v>
      </c>
      <c r="X76">
        <v>480</v>
      </c>
      <c r="Y76">
        <v>2</v>
      </c>
      <c r="Z76">
        <v>6.7</v>
      </c>
      <c r="AA76">
        <v>0.1</v>
      </c>
      <c r="AB76">
        <v>122</v>
      </c>
      <c r="AC76">
        <v>3</v>
      </c>
      <c r="AD76">
        <v>140</v>
      </c>
      <c r="AE76">
        <v>53</v>
      </c>
      <c r="AH76">
        <v>66</v>
      </c>
      <c r="AI76">
        <v>2</v>
      </c>
      <c r="AR76">
        <v>2.65</v>
      </c>
      <c r="AS76">
        <v>0.02</v>
      </c>
      <c r="AT76">
        <v>23.1</v>
      </c>
      <c r="AU76">
        <v>0.3</v>
      </c>
      <c r="AX76">
        <v>1.52</v>
      </c>
      <c r="AY76">
        <v>0.04</v>
      </c>
      <c r="AZ76">
        <v>861</v>
      </c>
      <c r="BA76">
        <v>7</v>
      </c>
    </row>
    <row r="77" spans="1:80">
      <c r="A77" t="s">
        <v>436</v>
      </c>
      <c r="B77" t="s">
        <v>24</v>
      </c>
      <c r="C77" t="s">
        <v>171</v>
      </c>
      <c r="D77" s="10" t="s">
        <v>120</v>
      </c>
      <c r="E77" s="10" t="s">
        <v>595</v>
      </c>
      <c r="F77">
        <v>53</v>
      </c>
      <c r="G77" t="s">
        <v>1093</v>
      </c>
      <c r="H77" t="s">
        <v>128</v>
      </c>
      <c r="J77" t="s">
        <v>434</v>
      </c>
      <c r="T77">
        <v>2.2000000000000002</v>
      </c>
      <c r="U77">
        <v>1</v>
      </c>
      <c r="V77">
        <v>160</v>
      </c>
      <c r="W77">
        <v>2</v>
      </c>
      <c r="X77">
        <v>779</v>
      </c>
      <c r="Y77">
        <v>3</v>
      </c>
      <c r="Z77">
        <v>14</v>
      </c>
      <c r="AA77">
        <v>0.7</v>
      </c>
      <c r="AB77">
        <v>191</v>
      </c>
      <c r="AC77">
        <v>3</v>
      </c>
      <c r="AD77">
        <v>538</v>
      </c>
      <c r="AE77">
        <v>111</v>
      </c>
      <c r="AH77">
        <v>139</v>
      </c>
      <c r="AI77">
        <v>6</v>
      </c>
      <c r="AR77">
        <v>2.15</v>
      </c>
      <c r="AS77">
        <v>0.03</v>
      </c>
      <c r="AT77">
        <v>24.4</v>
      </c>
      <c r="AU77">
        <v>1.3</v>
      </c>
      <c r="AX77">
        <v>1.08</v>
      </c>
      <c r="AY77">
        <v>0.02</v>
      </c>
      <c r="AZ77">
        <v>806</v>
      </c>
      <c r="BA77">
        <v>9</v>
      </c>
    </row>
    <row r="78" spans="1:80">
      <c r="A78" t="s">
        <v>436</v>
      </c>
      <c r="B78" t="s">
        <v>24</v>
      </c>
      <c r="C78" t="s">
        <v>171</v>
      </c>
      <c r="D78" s="10" t="s">
        <v>120</v>
      </c>
      <c r="E78" s="10" t="s">
        <v>595</v>
      </c>
      <c r="F78">
        <v>53</v>
      </c>
      <c r="G78" t="s">
        <v>1093</v>
      </c>
      <c r="H78" t="s">
        <v>128</v>
      </c>
      <c r="J78" t="s">
        <v>320</v>
      </c>
      <c r="L78">
        <v>-5.52</v>
      </c>
      <c r="M78">
        <v>-4.0999999999999996</v>
      </c>
      <c r="N78">
        <v>418</v>
      </c>
      <c r="T78">
        <v>30.5</v>
      </c>
      <c r="U78">
        <v>10</v>
      </c>
      <c r="V78">
        <v>27</v>
      </c>
      <c r="W78">
        <v>1</v>
      </c>
      <c r="X78">
        <v>99</v>
      </c>
      <c r="Y78">
        <v>1</v>
      </c>
      <c r="Z78">
        <v>2.1</v>
      </c>
      <c r="AA78">
        <v>0.1</v>
      </c>
      <c r="AB78">
        <v>132</v>
      </c>
      <c r="AC78">
        <v>1</v>
      </c>
      <c r="AD78">
        <v>277</v>
      </c>
      <c r="AE78">
        <v>73</v>
      </c>
      <c r="AH78">
        <v>46</v>
      </c>
      <c r="AI78">
        <v>1</v>
      </c>
      <c r="AR78">
        <v>1.65</v>
      </c>
      <c r="AS78">
        <v>0.02</v>
      </c>
      <c r="AT78">
        <v>21.6</v>
      </c>
      <c r="AU78">
        <v>0.4</v>
      </c>
      <c r="AX78">
        <v>4.5</v>
      </c>
      <c r="AY78">
        <v>0.05</v>
      </c>
      <c r="AZ78">
        <v>444</v>
      </c>
      <c r="BA78">
        <v>6</v>
      </c>
      <c r="BB78">
        <v>8.7799999999999994</v>
      </c>
      <c r="BC78">
        <v>2</v>
      </c>
      <c r="BD78">
        <v>2.09</v>
      </c>
      <c r="BE78">
        <v>0.01</v>
      </c>
      <c r="BH78">
        <v>3</v>
      </c>
      <c r="BI78">
        <v>0.1</v>
      </c>
      <c r="BK78">
        <v>5.29</v>
      </c>
      <c r="BL78">
        <v>0.11</v>
      </c>
      <c r="BO78">
        <v>487</v>
      </c>
      <c r="BP78">
        <v>4</v>
      </c>
      <c r="BQ78">
        <v>0.1895</v>
      </c>
      <c r="BR78">
        <v>2.7000000000000001E-3</v>
      </c>
      <c r="BS78">
        <v>0.78</v>
      </c>
      <c r="BT78">
        <v>0.01</v>
      </c>
    </row>
    <row r="79" spans="1:80">
      <c r="A79" t="s">
        <v>436</v>
      </c>
      <c r="B79" t="s">
        <v>24</v>
      </c>
      <c r="C79" t="s">
        <v>171</v>
      </c>
      <c r="D79" s="10" t="s">
        <v>120</v>
      </c>
      <c r="E79" s="10" t="s">
        <v>595</v>
      </c>
      <c r="F79">
        <v>53</v>
      </c>
      <c r="G79" t="s">
        <v>1093</v>
      </c>
      <c r="H79" t="s">
        <v>128</v>
      </c>
      <c r="J79" t="s">
        <v>321</v>
      </c>
      <c r="L79">
        <v>-6.15</v>
      </c>
      <c r="M79">
        <v>-1.2</v>
      </c>
      <c r="N79">
        <v>1872</v>
      </c>
      <c r="O79">
        <v>1347</v>
      </c>
      <c r="P79">
        <v>0</v>
      </c>
      <c r="Q79">
        <v>959</v>
      </c>
      <c r="R79">
        <v>621</v>
      </c>
      <c r="S79">
        <v>79</v>
      </c>
      <c r="T79">
        <v>12.8</v>
      </c>
      <c r="U79">
        <v>1</v>
      </c>
      <c r="V79">
        <v>21</v>
      </c>
      <c r="W79">
        <v>2</v>
      </c>
      <c r="X79">
        <v>85</v>
      </c>
      <c r="Y79">
        <v>1</v>
      </c>
      <c r="Z79">
        <v>1.9</v>
      </c>
      <c r="AA79">
        <v>0.1</v>
      </c>
      <c r="AB79">
        <v>18</v>
      </c>
      <c r="AC79">
        <v>2</v>
      </c>
      <c r="AR79">
        <v>1.78</v>
      </c>
      <c r="AS79">
        <v>0.15</v>
      </c>
      <c r="AT79">
        <v>15</v>
      </c>
      <c r="AU79">
        <v>1.6</v>
      </c>
      <c r="AX79">
        <v>0.78</v>
      </c>
      <c r="AY79">
        <v>0.1</v>
      </c>
      <c r="AZ79">
        <v>713</v>
      </c>
      <c r="BA79">
        <v>56</v>
      </c>
      <c r="BB79">
        <v>3.22</v>
      </c>
      <c r="BC79">
        <v>1</v>
      </c>
      <c r="BD79">
        <v>65.430000000000007</v>
      </c>
      <c r="BE79">
        <v>0.51</v>
      </c>
      <c r="BH79">
        <v>5.6</v>
      </c>
      <c r="BI79">
        <v>0.2</v>
      </c>
      <c r="BK79">
        <v>2.86</v>
      </c>
      <c r="BL79">
        <v>0.25</v>
      </c>
      <c r="BO79">
        <v>31200</v>
      </c>
      <c r="BP79">
        <v>2200</v>
      </c>
      <c r="BQ79">
        <v>0.1852</v>
      </c>
      <c r="BR79">
        <v>1.66E-2</v>
      </c>
      <c r="BS79">
        <v>1.41</v>
      </c>
      <c r="BT79">
        <v>0.02</v>
      </c>
    </row>
    <row r="80" spans="1:80">
      <c r="A80" t="s">
        <v>436</v>
      </c>
      <c r="B80" t="s">
        <v>24</v>
      </c>
      <c r="C80" t="s">
        <v>171</v>
      </c>
      <c r="D80" s="10" t="s">
        <v>120</v>
      </c>
      <c r="E80" s="10" t="s">
        <v>595</v>
      </c>
      <c r="F80">
        <v>53</v>
      </c>
      <c r="G80" t="s">
        <v>1093</v>
      </c>
      <c r="H80" t="s">
        <v>128</v>
      </c>
      <c r="J80" t="s">
        <v>322</v>
      </c>
      <c r="L80">
        <v>-4.53</v>
      </c>
      <c r="M80">
        <v>-1.7</v>
      </c>
      <c r="N80">
        <v>1222</v>
      </c>
      <c r="O80">
        <v>1283</v>
      </c>
      <c r="P80">
        <v>0</v>
      </c>
      <c r="Q80">
        <v>1886</v>
      </c>
      <c r="R80">
        <v>1262</v>
      </c>
      <c r="S80">
        <v>78</v>
      </c>
      <c r="T80">
        <v>7.5</v>
      </c>
      <c r="U80">
        <v>1</v>
      </c>
      <c r="V80">
        <v>67</v>
      </c>
      <c r="W80">
        <v>6</v>
      </c>
      <c r="X80">
        <v>406</v>
      </c>
      <c r="Y80">
        <v>3</v>
      </c>
      <c r="Z80">
        <v>4.9000000000000004</v>
      </c>
      <c r="AA80">
        <v>1.1000000000000001</v>
      </c>
      <c r="AB80">
        <v>36</v>
      </c>
      <c r="AC80">
        <v>8</v>
      </c>
      <c r="AR80">
        <v>2.68</v>
      </c>
      <c r="AS80">
        <v>0.22</v>
      </c>
      <c r="AT80">
        <v>23.2</v>
      </c>
      <c r="AU80">
        <v>2.2999999999999998</v>
      </c>
      <c r="AX80">
        <v>0.48</v>
      </c>
      <c r="AY80">
        <v>0.11</v>
      </c>
      <c r="AZ80">
        <v>887</v>
      </c>
      <c r="BA80">
        <v>73</v>
      </c>
      <c r="BB80">
        <v>3.45</v>
      </c>
      <c r="BC80">
        <v>1</v>
      </c>
      <c r="BD80">
        <v>65.89</v>
      </c>
      <c r="BE80">
        <v>0.52</v>
      </c>
      <c r="BH80">
        <v>5.6</v>
      </c>
      <c r="BI80">
        <v>0.2</v>
      </c>
      <c r="BK80">
        <v>3.58</v>
      </c>
      <c r="BL80">
        <v>0.3</v>
      </c>
      <c r="BO80">
        <v>26000</v>
      </c>
      <c r="BP80">
        <v>1200</v>
      </c>
      <c r="BQ80">
        <v>0.189</v>
      </c>
      <c r="BR80">
        <v>3.3E-3</v>
      </c>
      <c r="BS80">
        <v>1.44</v>
      </c>
      <c r="BT80">
        <v>0.02</v>
      </c>
    </row>
    <row r="81" spans="1:80">
      <c r="A81" t="s">
        <v>436</v>
      </c>
      <c r="B81" t="s">
        <v>24</v>
      </c>
      <c r="C81" t="s">
        <v>171</v>
      </c>
      <c r="D81" s="10" t="s">
        <v>120</v>
      </c>
      <c r="E81" s="10" t="s">
        <v>595</v>
      </c>
      <c r="F81">
        <v>53</v>
      </c>
      <c r="G81" t="s">
        <v>1093</v>
      </c>
      <c r="H81" t="s">
        <v>128</v>
      </c>
      <c r="J81" t="s">
        <v>435</v>
      </c>
      <c r="T81">
        <v>3.7</v>
      </c>
      <c r="U81">
        <v>2</v>
      </c>
      <c r="V81">
        <v>545</v>
      </c>
      <c r="W81">
        <v>6</v>
      </c>
      <c r="X81">
        <v>3051</v>
      </c>
      <c r="Y81">
        <v>8</v>
      </c>
      <c r="Z81">
        <v>39.4</v>
      </c>
      <c r="AA81">
        <v>1.6</v>
      </c>
      <c r="AB81">
        <v>732</v>
      </c>
      <c r="AC81">
        <v>22</v>
      </c>
      <c r="AD81">
        <v>4306</v>
      </c>
      <c r="AE81">
        <v>1106</v>
      </c>
      <c r="AH81">
        <v>173</v>
      </c>
      <c r="AI81">
        <v>11</v>
      </c>
      <c r="AR81">
        <v>2.48</v>
      </c>
      <c r="AS81">
        <v>0.03</v>
      </c>
      <c r="AT81">
        <v>20.2</v>
      </c>
      <c r="AU81">
        <v>0.8</v>
      </c>
      <c r="AX81">
        <v>1.21</v>
      </c>
      <c r="AY81">
        <v>0.04</v>
      </c>
      <c r="AZ81">
        <v>793</v>
      </c>
      <c r="BA81">
        <v>8</v>
      </c>
    </row>
    <row r="82" spans="1:80">
      <c r="A82" t="s">
        <v>837</v>
      </c>
      <c r="B82" t="s">
        <v>24</v>
      </c>
      <c r="C82" t="s">
        <v>171</v>
      </c>
      <c r="D82" s="10" t="s">
        <v>343</v>
      </c>
      <c r="E82" s="10" t="s">
        <v>595</v>
      </c>
      <c r="F82">
        <v>53</v>
      </c>
      <c r="G82" t="s">
        <v>693</v>
      </c>
      <c r="H82" t="s">
        <v>48</v>
      </c>
      <c r="J82" t="s">
        <v>437</v>
      </c>
      <c r="T82">
        <v>2.2000000000000002</v>
      </c>
      <c r="V82">
        <v>639</v>
      </c>
      <c r="W82">
        <v>13</v>
      </c>
      <c r="X82">
        <v>9.6199999999999992</v>
      </c>
      <c r="Y82">
        <v>0.03</v>
      </c>
      <c r="Z82">
        <v>98</v>
      </c>
      <c r="AA82">
        <v>1.1000000000000001</v>
      </c>
      <c r="AB82">
        <v>843</v>
      </c>
      <c r="AC82">
        <v>24</v>
      </c>
      <c r="AH82">
        <v>212</v>
      </c>
      <c r="AI82">
        <v>43</v>
      </c>
      <c r="AR82">
        <v>6.68</v>
      </c>
      <c r="AT82">
        <v>42.9</v>
      </c>
      <c r="AV82">
        <v>6.4</v>
      </c>
      <c r="AX82">
        <v>1.2</v>
      </c>
      <c r="AZ82">
        <v>1347</v>
      </c>
      <c r="BU82">
        <v>1482</v>
      </c>
      <c r="BV82">
        <v>68</v>
      </c>
      <c r="BW82">
        <v>72.5</v>
      </c>
      <c r="BX82">
        <v>0.7</v>
      </c>
      <c r="BY82">
        <v>24708</v>
      </c>
      <c r="BZ82">
        <v>12</v>
      </c>
      <c r="CA82">
        <v>11.2</v>
      </c>
      <c r="CB82">
        <v>0.1</v>
      </c>
    </row>
    <row r="83" spans="1:80">
      <c r="A83" t="s">
        <v>837</v>
      </c>
      <c r="B83" t="s">
        <v>24</v>
      </c>
      <c r="C83" t="s">
        <v>171</v>
      </c>
      <c r="D83" s="10" t="s">
        <v>343</v>
      </c>
      <c r="E83" s="10" t="s">
        <v>595</v>
      </c>
      <c r="F83">
        <v>53</v>
      </c>
      <c r="G83" t="s">
        <v>693</v>
      </c>
      <c r="H83" t="s">
        <v>48</v>
      </c>
      <c r="J83" t="s">
        <v>438</v>
      </c>
      <c r="T83">
        <v>2.5</v>
      </c>
      <c r="V83">
        <v>661</v>
      </c>
      <c r="W83">
        <v>11</v>
      </c>
      <c r="X83">
        <v>2</v>
      </c>
      <c r="Y83">
        <v>0.01</v>
      </c>
      <c r="Z83">
        <v>23.1</v>
      </c>
      <c r="AA83">
        <v>0.7</v>
      </c>
      <c r="AB83">
        <v>520</v>
      </c>
      <c r="AC83">
        <v>11</v>
      </c>
      <c r="AH83">
        <v>36</v>
      </c>
      <c r="AI83">
        <v>9</v>
      </c>
      <c r="AR83">
        <v>1.34</v>
      </c>
      <c r="AT83">
        <v>9.8000000000000007</v>
      </c>
      <c r="AV83">
        <v>7.3</v>
      </c>
      <c r="AX83">
        <v>0.7</v>
      </c>
      <c r="AZ83">
        <v>506</v>
      </c>
      <c r="BU83">
        <v>620</v>
      </c>
      <c r="BV83">
        <v>44</v>
      </c>
      <c r="BW83">
        <v>25.3</v>
      </c>
      <c r="BX83">
        <v>0.3</v>
      </c>
      <c r="BY83">
        <v>9593</v>
      </c>
      <c r="BZ83">
        <v>2</v>
      </c>
      <c r="CA83">
        <v>3.5</v>
      </c>
      <c r="CB83">
        <v>0.1</v>
      </c>
    </row>
    <row r="84" spans="1:80">
      <c r="A84" t="s">
        <v>837</v>
      </c>
      <c r="B84" t="s">
        <v>24</v>
      </c>
      <c r="C84" t="s">
        <v>171</v>
      </c>
      <c r="D84" s="10" t="s">
        <v>343</v>
      </c>
      <c r="E84" s="10" t="s">
        <v>595</v>
      </c>
      <c r="F84">
        <v>53</v>
      </c>
      <c r="G84" t="s">
        <v>693</v>
      </c>
      <c r="H84" t="s">
        <v>48</v>
      </c>
      <c r="J84" t="s">
        <v>439</v>
      </c>
      <c r="T84">
        <v>3.3</v>
      </c>
      <c r="V84">
        <v>21</v>
      </c>
      <c r="W84">
        <v>1</v>
      </c>
      <c r="X84">
        <v>7.0000000000000007E-2</v>
      </c>
      <c r="Y84">
        <v>0.01</v>
      </c>
      <c r="Z84">
        <v>2.4</v>
      </c>
      <c r="AA84">
        <v>0.1</v>
      </c>
      <c r="AB84">
        <v>150</v>
      </c>
      <c r="AC84">
        <v>5</v>
      </c>
      <c r="AH84">
        <v>107</v>
      </c>
      <c r="AI84">
        <v>15</v>
      </c>
      <c r="AR84">
        <v>1.37</v>
      </c>
      <c r="AT84">
        <v>31.9</v>
      </c>
      <c r="AV84">
        <v>23.3</v>
      </c>
      <c r="AX84">
        <v>6.4</v>
      </c>
      <c r="AZ84">
        <v>513</v>
      </c>
      <c r="BU84">
        <v>1240</v>
      </c>
      <c r="BV84">
        <v>35</v>
      </c>
      <c r="BW84">
        <v>32.4</v>
      </c>
      <c r="BX84">
        <v>2.8</v>
      </c>
      <c r="BY84">
        <v>649</v>
      </c>
      <c r="BZ84">
        <v>1</v>
      </c>
      <c r="CA84">
        <v>4.2</v>
      </c>
      <c r="CB84">
        <v>0.6</v>
      </c>
    </row>
    <row r="85" spans="1:80">
      <c r="A85" t="s">
        <v>837</v>
      </c>
      <c r="B85" t="s">
        <v>24</v>
      </c>
      <c r="C85" t="s">
        <v>171</v>
      </c>
      <c r="D85" s="10" t="s">
        <v>343</v>
      </c>
      <c r="E85" s="10" t="s">
        <v>595</v>
      </c>
      <c r="F85">
        <v>53</v>
      </c>
      <c r="G85" t="s">
        <v>693</v>
      </c>
      <c r="H85" t="s">
        <v>48</v>
      </c>
      <c r="J85" t="s">
        <v>440</v>
      </c>
      <c r="T85">
        <v>2.2000000000000002</v>
      </c>
      <c r="V85">
        <v>425</v>
      </c>
      <c r="W85">
        <v>9</v>
      </c>
      <c r="X85">
        <v>2.1</v>
      </c>
      <c r="Y85">
        <v>0.01</v>
      </c>
      <c r="Z85">
        <v>25.3</v>
      </c>
      <c r="AA85">
        <v>0.6</v>
      </c>
      <c r="AB85">
        <v>481</v>
      </c>
      <c r="AC85">
        <v>13</v>
      </c>
      <c r="AH85">
        <v>89</v>
      </c>
      <c r="AI85">
        <v>16</v>
      </c>
      <c r="AR85">
        <v>2.19</v>
      </c>
      <c r="AT85">
        <v>16.600000000000001</v>
      </c>
      <c r="AV85">
        <v>7.6</v>
      </c>
      <c r="AX85">
        <v>1</v>
      </c>
      <c r="AZ85">
        <v>822</v>
      </c>
      <c r="BU85">
        <v>935</v>
      </c>
      <c r="BV85">
        <v>63</v>
      </c>
      <c r="BW85">
        <v>24.1</v>
      </c>
      <c r="BX85">
        <v>0.2</v>
      </c>
      <c r="BY85">
        <v>10105</v>
      </c>
      <c r="BZ85">
        <v>2</v>
      </c>
      <c r="CA85">
        <v>3.2</v>
      </c>
      <c r="CB85">
        <v>0.2</v>
      </c>
    </row>
    <row r="86" spans="1:80">
      <c r="A86" t="s">
        <v>837</v>
      </c>
      <c r="B86" t="s">
        <v>24</v>
      </c>
      <c r="C86" t="s">
        <v>171</v>
      </c>
      <c r="D86" s="10" t="s">
        <v>452</v>
      </c>
      <c r="E86" s="10" t="s">
        <v>595</v>
      </c>
      <c r="F86">
        <v>51</v>
      </c>
      <c r="G86" t="s">
        <v>693</v>
      </c>
      <c r="H86" t="s">
        <v>48</v>
      </c>
      <c r="J86" t="s">
        <v>441</v>
      </c>
      <c r="T86">
        <v>1.5</v>
      </c>
      <c r="V86">
        <v>193</v>
      </c>
      <c r="W86">
        <v>5</v>
      </c>
      <c r="X86">
        <v>0.82</v>
      </c>
      <c r="Y86">
        <v>0.01</v>
      </c>
      <c r="Z86">
        <v>13.1</v>
      </c>
      <c r="AA86">
        <v>0.8</v>
      </c>
      <c r="AB86">
        <v>207</v>
      </c>
      <c r="AC86">
        <v>24</v>
      </c>
      <c r="AH86">
        <v>54</v>
      </c>
      <c r="AI86">
        <v>11</v>
      </c>
      <c r="AR86">
        <v>1.88</v>
      </c>
      <c r="AT86">
        <v>18.899999999999999</v>
      </c>
      <c r="AV86">
        <v>10.1</v>
      </c>
      <c r="AX86">
        <v>1</v>
      </c>
      <c r="AZ86">
        <v>954</v>
      </c>
      <c r="BU86">
        <v>679</v>
      </c>
      <c r="BV86">
        <v>72</v>
      </c>
      <c r="BW86">
        <v>26.1</v>
      </c>
      <c r="BX86">
        <v>0.2</v>
      </c>
      <c r="BY86">
        <v>5391</v>
      </c>
      <c r="BZ86">
        <v>2</v>
      </c>
      <c r="CA86">
        <v>5.2</v>
      </c>
      <c r="CB86">
        <v>0.1</v>
      </c>
    </row>
    <row r="87" spans="1:80">
      <c r="A87" t="s">
        <v>837</v>
      </c>
      <c r="B87" t="s">
        <v>24</v>
      </c>
      <c r="C87" t="s">
        <v>171</v>
      </c>
      <c r="D87" s="10" t="s">
        <v>452</v>
      </c>
      <c r="E87" s="10" t="s">
        <v>595</v>
      </c>
      <c r="F87">
        <v>51</v>
      </c>
      <c r="G87" t="s">
        <v>693</v>
      </c>
      <c r="H87" t="s">
        <v>48</v>
      </c>
      <c r="J87" t="s">
        <v>442</v>
      </c>
      <c r="T87">
        <v>1.4</v>
      </c>
      <c r="V87">
        <v>240</v>
      </c>
      <c r="W87">
        <v>5</v>
      </c>
      <c r="X87">
        <v>1.02</v>
      </c>
      <c r="Y87">
        <v>0.06</v>
      </c>
      <c r="Z87">
        <v>18.100000000000001</v>
      </c>
      <c r="AA87">
        <v>3.2</v>
      </c>
      <c r="AB87">
        <v>320</v>
      </c>
      <c r="AC87">
        <v>12</v>
      </c>
      <c r="AH87">
        <v>162</v>
      </c>
      <c r="AI87">
        <v>11</v>
      </c>
      <c r="AR87">
        <v>1.9</v>
      </c>
      <c r="AT87">
        <v>21.1</v>
      </c>
      <c r="AV87">
        <v>11.1</v>
      </c>
      <c r="AX87">
        <v>1.2</v>
      </c>
      <c r="AZ87">
        <v>1068</v>
      </c>
      <c r="BU87">
        <v>1143</v>
      </c>
      <c r="BV87">
        <v>65</v>
      </c>
      <c r="BW87">
        <v>42.6</v>
      </c>
      <c r="BX87">
        <v>1.6</v>
      </c>
      <c r="BY87">
        <v>7529</v>
      </c>
      <c r="BZ87">
        <v>4</v>
      </c>
      <c r="CA87">
        <v>3.7</v>
      </c>
      <c r="CB87">
        <v>0.1</v>
      </c>
    </row>
    <row r="88" spans="1:80">
      <c r="A88" t="s">
        <v>837</v>
      </c>
      <c r="B88" t="s">
        <v>24</v>
      </c>
      <c r="C88" t="s">
        <v>171</v>
      </c>
      <c r="D88" s="10" t="s">
        <v>453</v>
      </c>
      <c r="E88" s="10" t="s">
        <v>595</v>
      </c>
      <c r="F88">
        <v>56</v>
      </c>
      <c r="G88" t="s">
        <v>693</v>
      </c>
      <c r="H88" t="s">
        <v>48</v>
      </c>
      <c r="J88" t="s">
        <v>443</v>
      </c>
      <c r="T88">
        <v>2</v>
      </c>
      <c r="V88">
        <v>315</v>
      </c>
      <c r="W88">
        <v>9</v>
      </c>
      <c r="X88">
        <v>13.4</v>
      </c>
      <c r="Y88">
        <v>0.2</v>
      </c>
      <c r="Z88">
        <v>154</v>
      </c>
      <c r="AA88">
        <v>3.5</v>
      </c>
      <c r="AB88">
        <v>398</v>
      </c>
      <c r="AC88">
        <v>20</v>
      </c>
      <c r="AH88">
        <v>69</v>
      </c>
      <c r="AI88">
        <v>14</v>
      </c>
      <c r="AR88">
        <v>18.89</v>
      </c>
      <c r="AT88">
        <v>136.69999999999999</v>
      </c>
      <c r="AV88">
        <v>7.2</v>
      </c>
      <c r="AX88">
        <v>0.9</v>
      </c>
      <c r="AZ88">
        <v>1186</v>
      </c>
      <c r="BU88">
        <v>842</v>
      </c>
      <c r="BV88">
        <v>79</v>
      </c>
      <c r="BW88">
        <v>17.2</v>
      </c>
      <c r="BX88">
        <v>0.4</v>
      </c>
      <c r="BY88">
        <v>10747</v>
      </c>
      <c r="BZ88">
        <v>3</v>
      </c>
      <c r="CA88">
        <v>14.3</v>
      </c>
      <c r="CB88">
        <v>0.1</v>
      </c>
    </row>
    <row r="89" spans="1:80">
      <c r="A89" t="s">
        <v>837</v>
      </c>
      <c r="B89" t="s">
        <v>24</v>
      </c>
      <c r="C89" t="s">
        <v>171</v>
      </c>
      <c r="D89" s="10" t="s">
        <v>453</v>
      </c>
      <c r="E89" s="10" t="s">
        <v>595</v>
      </c>
      <c r="F89">
        <v>56</v>
      </c>
      <c r="G89" t="s">
        <v>693</v>
      </c>
      <c r="H89" t="s">
        <v>48</v>
      </c>
      <c r="J89" t="s">
        <v>444</v>
      </c>
      <c r="T89">
        <v>3</v>
      </c>
      <c r="V89">
        <v>24</v>
      </c>
      <c r="W89">
        <v>1</v>
      </c>
      <c r="X89">
        <v>8.7999999999999995E-2</v>
      </c>
      <c r="Y89">
        <v>1E-3</v>
      </c>
      <c r="Z89">
        <v>5</v>
      </c>
      <c r="AA89">
        <v>0.3</v>
      </c>
      <c r="AB89">
        <v>91</v>
      </c>
      <c r="AC89">
        <v>6</v>
      </c>
      <c r="AH89">
        <v>44</v>
      </c>
      <c r="AI89">
        <v>6</v>
      </c>
      <c r="AR89">
        <v>1.62</v>
      </c>
      <c r="AT89">
        <v>58.3</v>
      </c>
      <c r="AV89">
        <v>36.1</v>
      </c>
      <c r="AX89">
        <v>3.4</v>
      </c>
      <c r="AZ89">
        <v>913</v>
      </c>
      <c r="BU89">
        <v>451</v>
      </c>
      <c r="BV89">
        <v>39</v>
      </c>
      <c r="BW89">
        <v>11.5</v>
      </c>
      <c r="BX89">
        <v>0.2</v>
      </c>
      <c r="BY89">
        <v>7219</v>
      </c>
      <c r="BZ89">
        <v>1</v>
      </c>
      <c r="CA89">
        <v>0.9</v>
      </c>
      <c r="CB89">
        <v>0.1</v>
      </c>
    </row>
    <row r="90" spans="1:80">
      <c r="A90" t="s">
        <v>837</v>
      </c>
      <c r="B90" t="s">
        <v>24</v>
      </c>
      <c r="C90" t="s">
        <v>171</v>
      </c>
      <c r="D90" s="10" t="s">
        <v>453</v>
      </c>
      <c r="E90" s="10" t="s">
        <v>595</v>
      </c>
      <c r="F90">
        <v>56</v>
      </c>
      <c r="G90" t="s">
        <v>693</v>
      </c>
      <c r="H90" t="s">
        <v>48</v>
      </c>
      <c r="J90" t="s">
        <v>445</v>
      </c>
      <c r="T90">
        <v>2.2999999999999998</v>
      </c>
      <c r="V90">
        <v>49</v>
      </c>
      <c r="W90">
        <v>2</v>
      </c>
      <c r="X90">
        <v>0.49</v>
      </c>
      <c r="Y90">
        <v>0.01</v>
      </c>
      <c r="Z90">
        <v>18.7</v>
      </c>
      <c r="AA90">
        <v>0.4</v>
      </c>
      <c r="AB90">
        <v>127</v>
      </c>
      <c r="AC90">
        <v>7</v>
      </c>
      <c r="AH90">
        <v>96</v>
      </c>
      <c r="AI90">
        <v>10</v>
      </c>
      <c r="AR90">
        <v>5.84</v>
      </c>
      <c r="AT90">
        <v>13.9</v>
      </c>
      <c r="AV90">
        <v>23.9</v>
      </c>
      <c r="AX90">
        <v>2.4</v>
      </c>
      <c r="AZ90">
        <v>1045</v>
      </c>
      <c r="BU90">
        <v>532</v>
      </c>
      <c r="BV90">
        <v>46</v>
      </c>
      <c r="BW90">
        <v>8.5</v>
      </c>
      <c r="BX90">
        <v>0.4</v>
      </c>
      <c r="BY90">
        <v>1574</v>
      </c>
      <c r="BZ90">
        <v>1</v>
      </c>
      <c r="CA90">
        <v>1.2</v>
      </c>
      <c r="CB90">
        <v>0.1</v>
      </c>
    </row>
    <row r="91" spans="1:80">
      <c r="A91" t="s">
        <v>837</v>
      </c>
      <c r="B91" t="s">
        <v>24</v>
      </c>
      <c r="C91" t="s">
        <v>171</v>
      </c>
      <c r="D91" s="10" t="s">
        <v>453</v>
      </c>
      <c r="E91" s="10" t="s">
        <v>595</v>
      </c>
      <c r="F91">
        <v>56</v>
      </c>
      <c r="G91" t="s">
        <v>693</v>
      </c>
      <c r="H91" t="s">
        <v>48</v>
      </c>
      <c r="J91" t="s">
        <v>446</v>
      </c>
      <c r="T91">
        <v>3</v>
      </c>
      <c r="V91">
        <v>182</v>
      </c>
      <c r="W91">
        <v>4</v>
      </c>
      <c r="X91">
        <v>3.33</v>
      </c>
      <c r="Y91">
        <v>0.02</v>
      </c>
      <c r="Z91">
        <v>49.1</v>
      </c>
      <c r="AA91">
        <v>0.6</v>
      </c>
      <c r="AB91">
        <v>339</v>
      </c>
      <c r="AC91">
        <v>9</v>
      </c>
      <c r="AH91">
        <v>68</v>
      </c>
      <c r="AI91">
        <v>11</v>
      </c>
      <c r="AR91">
        <v>8.1300000000000008</v>
      </c>
      <c r="AT91">
        <v>75.5</v>
      </c>
      <c r="AV91">
        <v>9.3000000000000007</v>
      </c>
      <c r="AX91">
        <v>1.7</v>
      </c>
      <c r="AZ91">
        <v>1239</v>
      </c>
      <c r="BU91">
        <v>610</v>
      </c>
      <c r="BV91">
        <v>41</v>
      </c>
      <c r="BW91">
        <v>27.2</v>
      </c>
      <c r="BX91">
        <v>0.3</v>
      </c>
      <c r="BY91">
        <v>6532</v>
      </c>
      <c r="BZ91">
        <v>7</v>
      </c>
      <c r="CA91">
        <v>5.6</v>
      </c>
      <c r="CB91">
        <v>0.1</v>
      </c>
    </row>
    <row r="92" spans="1:80">
      <c r="A92" t="s">
        <v>837</v>
      </c>
      <c r="B92" t="s">
        <v>24</v>
      </c>
      <c r="C92" t="s">
        <v>171</v>
      </c>
      <c r="D92" s="10" t="s">
        <v>344</v>
      </c>
      <c r="E92" s="10" t="s">
        <v>595</v>
      </c>
      <c r="F92">
        <v>53</v>
      </c>
      <c r="G92" t="s">
        <v>693</v>
      </c>
      <c r="H92" t="s">
        <v>48</v>
      </c>
      <c r="J92" t="s">
        <v>447</v>
      </c>
      <c r="T92">
        <v>3.1</v>
      </c>
      <c r="V92">
        <v>214</v>
      </c>
      <c r="W92">
        <v>5</v>
      </c>
      <c r="X92">
        <v>13.92</v>
      </c>
      <c r="Y92">
        <v>0.08</v>
      </c>
      <c r="Z92">
        <v>117.4</v>
      </c>
      <c r="AA92">
        <v>4.4000000000000004</v>
      </c>
      <c r="AB92">
        <v>235</v>
      </c>
      <c r="AC92">
        <v>7</v>
      </c>
      <c r="AH92">
        <v>73</v>
      </c>
      <c r="AI92">
        <v>13</v>
      </c>
      <c r="AR92">
        <v>28.74</v>
      </c>
      <c r="AT92">
        <v>153.1</v>
      </c>
      <c r="AV92">
        <v>5.3</v>
      </c>
      <c r="AX92">
        <v>1</v>
      </c>
      <c r="AZ92">
        <v>1299</v>
      </c>
      <c r="BU92">
        <v>525</v>
      </c>
      <c r="BV92">
        <v>55</v>
      </c>
      <c r="BW92">
        <v>61.1</v>
      </c>
      <c r="BX92">
        <v>0.6</v>
      </c>
      <c r="BY92">
        <v>7997</v>
      </c>
      <c r="BZ92">
        <v>11</v>
      </c>
      <c r="CA92">
        <v>12.9</v>
      </c>
      <c r="CB92">
        <v>0.1</v>
      </c>
    </row>
    <row r="93" spans="1:80">
      <c r="A93" t="s">
        <v>837</v>
      </c>
      <c r="B93" t="s">
        <v>24</v>
      </c>
      <c r="C93" t="s">
        <v>171</v>
      </c>
      <c r="D93" s="10" t="s">
        <v>344</v>
      </c>
      <c r="E93" s="10" t="s">
        <v>595</v>
      </c>
      <c r="F93">
        <v>53</v>
      </c>
      <c r="G93" t="s">
        <v>693</v>
      </c>
      <c r="H93" t="s">
        <v>48</v>
      </c>
      <c r="J93" t="s">
        <v>448</v>
      </c>
      <c r="T93">
        <v>2.7</v>
      </c>
      <c r="V93">
        <v>44</v>
      </c>
      <c r="W93">
        <v>1</v>
      </c>
      <c r="X93">
        <v>1.69</v>
      </c>
      <c r="Y93">
        <v>0.01</v>
      </c>
      <c r="Z93">
        <v>188.2</v>
      </c>
      <c r="AA93">
        <v>3.2</v>
      </c>
      <c r="AB93">
        <v>89</v>
      </c>
      <c r="AC93">
        <v>7</v>
      </c>
      <c r="AH93">
        <v>85</v>
      </c>
      <c r="AI93">
        <v>5</v>
      </c>
      <c r="AR93">
        <v>17.11</v>
      </c>
      <c r="AT93">
        <v>1201.4000000000001</v>
      </c>
      <c r="AV93">
        <v>70.2</v>
      </c>
      <c r="AX93">
        <v>1.8</v>
      </c>
      <c r="AZ93">
        <v>855</v>
      </c>
      <c r="BU93">
        <v>373</v>
      </c>
      <c r="BV93">
        <v>44</v>
      </c>
      <c r="BW93">
        <v>8.4</v>
      </c>
      <c r="BX93">
        <v>0.1</v>
      </c>
      <c r="BY93">
        <v>1150</v>
      </c>
      <c r="BZ93">
        <v>1</v>
      </c>
      <c r="CA93">
        <v>6.4</v>
      </c>
      <c r="CB93">
        <v>0.1</v>
      </c>
    </row>
    <row r="94" spans="1:80">
      <c r="A94" t="s">
        <v>837</v>
      </c>
      <c r="B94" t="s">
        <v>24</v>
      </c>
      <c r="C94" t="s">
        <v>171</v>
      </c>
      <c r="D94" s="10" t="s">
        <v>344</v>
      </c>
      <c r="E94" s="10" t="s">
        <v>595</v>
      </c>
      <c r="F94">
        <v>53</v>
      </c>
      <c r="G94" t="s">
        <v>693</v>
      </c>
      <c r="H94" t="s">
        <v>48</v>
      </c>
      <c r="J94" t="s">
        <v>449</v>
      </c>
      <c r="T94">
        <v>3</v>
      </c>
      <c r="V94">
        <v>121</v>
      </c>
      <c r="W94">
        <v>4</v>
      </c>
      <c r="X94">
        <v>17.23</v>
      </c>
      <c r="Y94">
        <v>0.27</v>
      </c>
      <c r="Z94">
        <v>739.6</v>
      </c>
      <c r="AA94">
        <v>5.9</v>
      </c>
      <c r="AB94">
        <v>169</v>
      </c>
      <c r="AC94">
        <v>9</v>
      </c>
      <c r="AH94">
        <v>101</v>
      </c>
      <c r="AI94">
        <v>24</v>
      </c>
      <c r="AR94">
        <v>63.02</v>
      </c>
      <c r="AT94">
        <v>1703.5</v>
      </c>
      <c r="AV94">
        <v>27</v>
      </c>
      <c r="AX94">
        <v>1.3</v>
      </c>
      <c r="AZ94">
        <v>1250</v>
      </c>
      <c r="BU94">
        <v>880</v>
      </c>
      <c r="BV94">
        <v>51</v>
      </c>
      <c r="BW94">
        <v>29.5</v>
      </c>
      <c r="BX94">
        <v>0.5</v>
      </c>
      <c r="BY94">
        <v>4501</v>
      </c>
      <c r="BZ94">
        <v>9</v>
      </c>
      <c r="CA94">
        <v>31.3</v>
      </c>
      <c r="CB94">
        <v>0.2</v>
      </c>
    </row>
    <row r="95" spans="1:80">
      <c r="A95" t="s">
        <v>837</v>
      </c>
      <c r="B95" t="s">
        <v>24</v>
      </c>
      <c r="C95" t="s">
        <v>171</v>
      </c>
      <c r="D95" s="10" t="s">
        <v>344</v>
      </c>
      <c r="E95" s="10" t="s">
        <v>595</v>
      </c>
      <c r="F95">
        <v>53</v>
      </c>
      <c r="G95" t="s">
        <v>693</v>
      </c>
      <c r="H95" t="s">
        <v>48</v>
      </c>
      <c r="J95" t="s">
        <v>450</v>
      </c>
      <c r="T95">
        <v>3</v>
      </c>
      <c r="V95">
        <v>86</v>
      </c>
      <c r="W95">
        <v>4</v>
      </c>
      <c r="X95">
        <v>1.86</v>
      </c>
      <c r="Y95">
        <v>0.01</v>
      </c>
      <c r="Z95">
        <v>85.7</v>
      </c>
      <c r="AA95">
        <v>1.1000000000000001</v>
      </c>
      <c r="AB95">
        <v>113</v>
      </c>
      <c r="AC95">
        <v>12</v>
      </c>
      <c r="AH95">
        <v>77</v>
      </c>
      <c r="AI95">
        <v>9</v>
      </c>
      <c r="AR95">
        <v>9.58</v>
      </c>
      <c r="AT95">
        <v>278.2</v>
      </c>
      <c r="AV95">
        <v>29</v>
      </c>
      <c r="AX95">
        <v>1.2</v>
      </c>
      <c r="AZ95">
        <v>829</v>
      </c>
      <c r="BU95">
        <v>374</v>
      </c>
      <c r="BV95">
        <v>33</v>
      </c>
      <c r="BW95">
        <v>10.1</v>
      </c>
      <c r="BX95">
        <v>0.2</v>
      </c>
      <c r="BY95">
        <v>2121</v>
      </c>
      <c r="BZ95">
        <v>6</v>
      </c>
      <c r="CA95">
        <v>5.9</v>
      </c>
      <c r="CB95">
        <v>0.1</v>
      </c>
    </row>
    <row r="96" spans="1:80">
      <c r="A96" t="s">
        <v>837</v>
      </c>
      <c r="B96" t="s">
        <v>24</v>
      </c>
      <c r="C96" t="s">
        <v>171</v>
      </c>
      <c r="D96" s="10" t="s">
        <v>344</v>
      </c>
      <c r="E96" s="10" t="s">
        <v>595</v>
      </c>
      <c r="F96">
        <v>53</v>
      </c>
      <c r="G96" t="s">
        <v>693</v>
      </c>
      <c r="H96" t="s">
        <v>48</v>
      </c>
      <c r="J96" t="s">
        <v>451</v>
      </c>
      <c r="T96">
        <v>1.4</v>
      </c>
      <c r="V96">
        <v>166</v>
      </c>
      <c r="W96">
        <v>4</v>
      </c>
      <c r="X96">
        <v>1.73</v>
      </c>
      <c r="Y96">
        <v>0.01</v>
      </c>
      <c r="Z96">
        <v>168.7</v>
      </c>
      <c r="AA96">
        <v>2</v>
      </c>
      <c r="AB96">
        <v>156</v>
      </c>
      <c r="AC96">
        <v>11</v>
      </c>
      <c r="AH96">
        <v>115</v>
      </c>
      <c r="AI96">
        <v>11</v>
      </c>
      <c r="AR96">
        <v>4.6100000000000003</v>
      </c>
      <c r="AT96">
        <v>283.60000000000002</v>
      </c>
      <c r="AV96">
        <v>61.6</v>
      </c>
      <c r="AX96">
        <v>0.9</v>
      </c>
      <c r="AZ96">
        <v>656</v>
      </c>
      <c r="BU96">
        <v>926</v>
      </c>
      <c r="BV96">
        <v>70</v>
      </c>
      <c r="BW96">
        <v>25.7</v>
      </c>
      <c r="BX96">
        <v>0.2</v>
      </c>
      <c r="BY96">
        <v>3323</v>
      </c>
      <c r="BZ96">
        <v>4</v>
      </c>
      <c r="CA96">
        <v>4.7</v>
      </c>
      <c r="CB96">
        <v>0.1</v>
      </c>
    </row>
    <row r="97" spans="1:80">
      <c r="A97" t="s">
        <v>837</v>
      </c>
      <c r="B97" t="s">
        <v>24</v>
      </c>
      <c r="C97" t="s">
        <v>1394</v>
      </c>
      <c r="D97" s="10" t="s">
        <v>104</v>
      </c>
      <c r="E97" s="10" t="s">
        <v>595</v>
      </c>
      <c r="F97" s="10">
        <v>240</v>
      </c>
      <c r="G97" t="s">
        <v>693</v>
      </c>
      <c r="H97" t="s">
        <v>128</v>
      </c>
      <c r="J97" t="s">
        <v>460</v>
      </c>
      <c r="T97">
        <v>32.5</v>
      </c>
      <c r="V97">
        <v>7.5</v>
      </c>
      <c r="W97">
        <v>1.3</v>
      </c>
      <c r="X97">
        <v>16.3</v>
      </c>
      <c r="Y97">
        <v>0.5</v>
      </c>
      <c r="Z97">
        <v>3.1</v>
      </c>
      <c r="AA97">
        <v>0.3</v>
      </c>
      <c r="AB97">
        <v>23.6</v>
      </c>
      <c r="AC97">
        <v>5.4</v>
      </c>
      <c r="AH97">
        <v>24</v>
      </c>
      <c r="AI97">
        <v>5</v>
      </c>
      <c r="AR97">
        <v>0.97</v>
      </c>
      <c r="AT97">
        <v>116.1</v>
      </c>
      <c r="AV97">
        <v>120</v>
      </c>
      <c r="AX97">
        <v>2.8</v>
      </c>
      <c r="AZ97">
        <v>91</v>
      </c>
      <c r="BU97">
        <v>31</v>
      </c>
      <c r="BV97">
        <v>5</v>
      </c>
      <c r="BW97">
        <v>1</v>
      </c>
      <c r="BX97">
        <v>0.01</v>
      </c>
      <c r="BY97">
        <v>41.7</v>
      </c>
      <c r="BZ97">
        <v>0.4</v>
      </c>
      <c r="CA97">
        <v>0.33</v>
      </c>
      <c r="CB97">
        <v>0.01</v>
      </c>
    </row>
    <row r="98" spans="1:80">
      <c r="A98" t="s">
        <v>837</v>
      </c>
      <c r="B98" t="s">
        <v>24</v>
      </c>
      <c r="C98" t="s">
        <v>1394</v>
      </c>
      <c r="D98" s="10" t="s">
        <v>104</v>
      </c>
      <c r="E98" s="10" t="s">
        <v>595</v>
      </c>
      <c r="F98" s="10">
        <v>240</v>
      </c>
      <c r="G98" t="s">
        <v>693</v>
      </c>
      <c r="H98" t="s">
        <v>128</v>
      </c>
      <c r="J98" t="s">
        <v>461</v>
      </c>
      <c r="T98">
        <v>22</v>
      </c>
      <c r="V98">
        <v>15.2</v>
      </c>
      <c r="W98">
        <v>1.9</v>
      </c>
      <c r="X98">
        <v>55.4</v>
      </c>
      <c r="Y98">
        <v>0.8</v>
      </c>
      <c r="Z98">
        <v>3.9</v>
      </c>
      <c r="AA98">
        <v>0.6</v>
      </c>
      <c r="AB98">
        <v>157</v>
      </c>
      <c r="AC98">
        <v>3.9</v>
      </c>
      <c r="AH98">
        <v>16</v>
      </c>
      <c r="AI98">
        <v>10</v>
      </c>
      <c r="AR98">
        <v>1.62</v>
      </c>
      <c r="AT98">
        <v>71.400000000000006</v>
      </c>
      <c r="AV98">
        <v>44</v>
      </c>
      <c r="AX98">
        <v>9.4</v>
      </c>
      <c r="AZ98">
        <v>698</v>
      </c>
      <c r="BU98">
        <v>40</v>
      </c>
      <c r="BV98">
        <v>7</v>
      </c>
      <c r="BW98">
        <v>1.4</v>
      </c>
      <c r="BX98">
        <v>0.05</v>
      </c>
      <c r="BY98">
        <v>311.5</v>
      </c>
      <c r="BZ98">
        <v>1.2</v>
      </c>
      <c r="CA98">
        <v>0.4</v>
      </c>
      <c r="CB98">
        <v>0.01</v>
      </c>
    </row>
    <row r="99" spans="1:80">
      <c r="A99" t="s">
        <v>837</v>
      </c>
      <c r="B99" t="s">
        <v>24</v>
      </c>
      <c r="C99" t="s">
        <v>1394</v>
      </c>
      <c r="D99" s="10" t="s">
        <v>104</v>
      </c>
      <c r="E99" s="10" t="s">
        <v>595</v>
      </c>
      <c r="F99" s="10">
        <v>240</v>
      </c>
      <c r="G99" t="s">
        <v>693</v>
      </c>
      <c r="H99" t="s">
        <v>128</v>
      </c>
      <c r="J99" t="s">
        <v>462</v>
      </c>
      <c r="T99">
        <v>26</v>
      </c>
      <c r="V99">
        <v>8.4</v>
      </c>
      <c r="W99">
        <v>1.6</v>
      </c>
      <c r="X99">
        <v>32.799999999999997</v>
      </c>
      <c r="Y99">
        <v>4.0999999999999996</v>
      </c>
      <c r="Z99">
        <v>5.3</v>
      </c>
      <c r="AA99">
        <v>0.6</v>
      </c>
      <c r="AB99">
        <v>84.3</v>
      </c>
      <c r="AC99">
        <v>2</v>
      </c>
      <c r="AH99">
        <v>154</v>
      </c>
      <c r="AI99">
        <v>10</v>
      </c>
      <c r="AR99">
        <v>1.74</v>
      </c>
      <c r="AT99">
        <v>176.4</v>
      </c>
      <c r="AV99">
        <v>102</v>
      </c>
      <c r="AX99">
        <v>9.1999999999999993</v>
      </c>
      <c r="AZ99">
        <v>547</v>
      </c>
      <c r="BU99">
        <v>73</v>
      </c>
      <c r="BV99">
        <v>3</v>
      </c>
      <c r="BW99">
        <v>135.4</v>
      </c>
      <c r="BX99">
        <v>0.02</v>
      </c>
      <c r="BY99">
        <v>149</v>
      </c>
      <c r="BZ99">
        <v>0.1</v>
      </c>
      <c r="CA99">
        <v>0.28000000000000003</v>
      </c>
      <c r="CB99">
        <v>0.01</v>
      </c>
    </row>
    <row r="100" spans="1:80">
      <c r="A100" t="s">
        <v>837</v>
      </c>
      <c r="B100" t="s">
        <v>24</v>
      </c>
      <c r="C100" t="s">
        <v>1394</v>
      </c>
      <c r="D100" s="10" t="s">
        <v>104</v>
      </c>
      <c r="E100" s="10" t="s">
        <v>595</v>
      </c>
      <c r="F100" s="10">
        <v>240</v>
      </c>
      <c r="G100" t="s">
        <v>693</v>
      </c>
      <c r="H100" t="s">
        <v>128</v>
      </c>
      <c r="J100" t="s">
        <v>463</v>
      </c>
      <c r="T100">
        <v>30.4</v>
      </c>
      <c r="V100">
        <v>3.1</v>
      </c>
      <c r="W100">
        <v>1.2</v>
      </c>
      <c r="X100">
        <v>20</v>
      </c>
      <c r="Y100">
        <v>1.8</v>
      </c>
      <c r="Z100">
        <v>12.8</v>
      </c>
      <c r="AA100">
        <v>0.6</v>
      </c>
      <c r="AB100">
        <v>69.900000000000006</v>
      </c>
      <c r="AC100">
        <v>3.8</v>
      </c>
      <c r="AH100">
        <v>25</v>
      </c>
      <c r="AI100">
        <v>12</v>
      </c>
      <c r="AR100" t="s">
        <v>34</v>
      </c>
      <c r="AT100" t="s">
        <v>34</v>
      </c>
      <c r="AV100" t="s">
        <v>34</v>
      </c>
      <c r="AX100" t="s">
        <v>34</v>
      </c>
      <c r="AZ100" t="s">
        <v>34</v>
      </c>
      <c r="BU100">
        <v>47</v>
      </c>
      <c r="BV100">
        <v>3</v>
      </c>
      <c r="BW100">
        <v>2.2599999999999998</v>
      </c>
      <c r="BX100">
        <v>0.02</v>
      </c>
      <c r="BY100">
        <v>122.4</v>
      </c>
      <c r="BZ100">
        <v>2.6</v>
      </c>
      <c r="CA100">
        <v>0.61</v>
      </c>
      <c r="CB100">
        <v>0.01</v>
      </c>
    </row>
    <row r="101" spans="1:80">
      <c r="A101" t="s">
        <v>837</v>
      </c>
      <c r="B101" t="s">
        <v>24</v>
      </c>
      <c r="C101" t="s">
        <v>1394</v>
      </c>
      <c r="D101" s="10" t="s">
        <v>104</v>
      </c>
      <c r="E101" s="10" t="s">
        <v>595</v>
      </c>
      <c r="F101" s="10">
        <v>240</v>
      </c>
      <c r="G101" t="s">
        <v>693</v>
      </c>
      <c r="H101" t="s">
        <v>128</v>
      </c>
      <c r="J101" t="s">
        <v>464</v>
      </c>
      <c r="T101">
        <v>27.4</v>
      </c>
      <c r="V101">
        <v>11.6</v>
      </c>
      <c r="W101">
        <v>0.5</v>
      </c>
      <c r="X101">
        <v>33.700000000000003</v>
      </c>
      <c r="Y101">
        <v>0.4</v>
      </c>
      <c r="Z101">
        <v>3.5</v>
      </c>
      <c r="AA101">
        <v>0.9</v>
      </c>
      <c r="AB101">
        <v>31.5</v>
      </c>
      <c r="AC101">
        <v>0.7</v>
      </c>
      <c r="AH101">
        <v>13</v>
      </c>
      <c r="AI101">
        <v>4</v>
      </c>
      <c r="AR101">
        <v>1.29</v>
      </c>
      <c r="AT101">
        <v>26.8</v>
      </c>
      <c r="AV101">
        <v>13.1</v>
      </c>
      <c r="AX101">
        <v>2.4</v>
      </c>
      <c r="AZ101">
        <v>601</v>
      </c>
      <c r="BU101">
        <v>32</v>
      </c>
      <c r="BV101">
        <v>6</v>
      </c>
      <c r="BW101">
        <v>1.47</v>
      </c>
      <c r="BX101">
        <v>0.05</v>
      </c>
      <c r="BY101">
        <v>206.5</v>
      </c>
      <c r="BZ101">
        <v>0.5</v>
      </c>
      <c r="CA101">
        <v>2.71</v>
      </c>
      <c r="CB101">
        <v>0.01</v>
      </c>
    </row>
    <row r="102" spans="1:80">
      <c r="A102" t="s">
        <v>837</v>
      </c>
      <c r="B102" t="s">
        <v>24</v>
      </c>
      <c r="C102" t="s">
        <v>1394</v>
      </c>
      <c r="D102" s="10" t="s">
        <v>104</v>
      </c>
      <c r="E102" s="10" t="s">
        <v>595</v>
      </c>
      <c r="F102" s="10">
        <v>240</v>
      </c>
      <c r="G102" t="s">
        <v>693</v>
      </c>
      <c r="H102" t="s">
        <v>128</v>
      </c>
      <c r="J102" t="s">
        <v>465</v>
      </c>
      <c r="T102">
        <v>49.4</v>
      </c>
      <c r="V102">
        <v>11.9</v>
      </c>
      <c r="W102">
        <v>0.4</v>
      </c>
      <c r="X102">
        <v>48.5</v>
      </c>
      <c r="Y102">
        <v>0.7</v>
      </c>
      <c r="Z102">
        <v>2.1</v>
      </c>
      <c r="AA102">
        <v>0.1</v>
      </c>
      <c r="AB102">
        <v>29</v>
      </c>
      <c r="AC102">
        <v>1</v>
      </c>
      <c r="AH102">
        <v>35</v>
      </c>
      <c r="AI102">
        <v>2</v>
      </c>
      <c r="AR102">
        <v>1.82</v>
      </c>
      <c r="AT102">
        <v>13.2</v>
      </c>
      <c r="AV102">
        <v>45.9</v>
      </c>
      <c r="AX102">
        <v>2.2000000000000002</v>
      </c>
      <c r="AZ102">
        <v>878</v>
      </c>
      <c r="BU102">
        <v>20</v>
      </c>
      <c r="BV102">
        <v>3</v>
      </c>
      <c r="BW102">
        <v>0.86</v>
      </c>
      <c r="BX102">
        <v>0.03</v>
      </c>
      <c r="BY102">
        <v>299.39999999999998</v>
      </c>
      <c r="BZ102">
        <v>0.5</v>
      </c>
      <c r="CA102">
        <v>0.6</v>
      </c>
      <c r="CB102">
        <v>0.01</v>
      </c>
    </row>
    <row r="103" spans="1:80">
      <c r="A103" t="s">
        <v>837</v>
      </c>
      <c r="B103" t="s">
        <v>24</v>
      </c>
      <c r="C103" t="s">
        <v>1394</v>
      </c>
      <c r="D103" s="10" t="s">
        <v>104</v>
      </c>
      <c r="E103" s="10" t="s">
        <v>595</v>
      </c>
      <c r="F103" s="10">
        <v>240</v>
      </c>
      <c r="G103" t="s">
        <v>693</v>
      </c>
      <c r="H103" t="s">
        <v>128</v>
      </c>
      <c r="J103" t="s">
        <v>466</v>
      </c>
      <c r="T103">
        <v>25.9</v>
      </c>
      <c r="V103">
        <v>12.3</v>
      </c>
      <c r="W103">
        <v>0.9</v>
      </c>
      <c r="X103">
        <v>42.2</v>
      </c>
      <c r="Y103">
        <v>0.4</v>
      </c>
      <c r="Z103">
        <v>2.1</v>
      </c>
      <c r="AA103">
        <v>0.1</v>
      </c>
      <c r="AB103">
        <v>49.6</v>
      </c>
      <c r="AC103">
        <v>3.5</v>
      </c>
      <c r="AH103">
        <v>34</v>
      </c>
      <c r="AI103">
        <v>5</v>
      </c>
      <c r="AR103">
        <v>1.5</v>
      </c>
      <c r="AT103">
        <v>47.3</v>
      </c>
      <c r="AV103">
        <v>50.2</v>
      </c>
      <c r="AX103">
        <v>3.6</v>
      </c>
      <c r="AZ103">
        <v>738</v>
      </c>
      <c r="BU103">
        <v>73</v>
      </c>
      <c r="BV103">
        <v>7</v>
      </c>
      <c r="BW103">
        <v>1.25</v>
      </c>
      <c r="BX103">
        <v>0.05</v>
      </c>
      <c r="BY103">
        <v>273.3</v>
      </c>
      <c r="BZ103">
        <v>1.4</v>
      </c>
      <c r="CA103">
        <v>0.21</v>
      </c>
      <c r="CB103">
        <v>0.01</v>
      </c>
    </row>
    <row r="104" spans="1:80">
      <c r="A104" t="s">
        <v>837</v>
      </c>
      <c r="B104" t="s">
        <v>24</v>
      </c>
      <c r="C104" t="s">
        <v>1394</v>
      </c>
      <c r="D104" s="10" t="s">
        <v>104</v>
      </c>
      <c r="E104" s="10" t="s">
        <v>595</v>
      </c>
      <c r="F104" s="10">
        <v>240</v>
      </c>
      <c r="G104" t="s">
        <v>693</v>
      </c>
      <c r="H104" t="s">
        <v>128</v>
      </c>
      <c r="J104" t="s">
        <v>467</v>
      </c>
      <c r="T104">
        <v>21.5</v>
      </c>
      <c r="V104">
        <v>13.1</v>
      </c>
      <c r="W104">
        <v>0.4</v>
      </c>
      <c r="X104">
        <v>59.4</v>
      </c>
      <c r="Y104">
        <v>0.4</v>
      </c>
      <c r="Z104">
        <v>1.1000000000000001</v>
      </c>
      <c r="AA104">
        <v>0.2</v>
      </c>
      <c r="AB104">
        <v>37.4</v>
      </c>
      <c r="AC104">
        <v>1</v>
      </c>
      <c r="AH104">
        <v>38</v>
      </c>
      <c r="AI104">
        <v>2</v>
      </c>
      <c r="AR104">
        <v>2</v>
      </c>
      <c r="AT104">
        <v>23.8</v>
      </c>
      <c r="AV104">
        <v>11.9</v>
      </c>
      <c r="AX104">
        <v>2.6</v>
      </c>
      <c r="AZ104">
        <v>803</v>
      </c>
      <c r="BU104">
        <v>143</v>
      </c>
      <c r="BV104">
        <v>4</v>
      </c>
      <c r="BW104">
        <v>3.07</v>
      </c>
      <c r="BX104">
        <v>0.03</v>
      </c>
      <c r="BY104">
        <v>340</v>
      </c>
      <c r="BZ104">
        <v>0.3</v>
      </c>
      <c r="CA104">
        <v>0.37</v>
      </c>
      <c r="CB104">
        <v>0.01</v>
      </c>
    </row>
    <row r="105" spans="1:80">
      <c r="A105" t="s">
        <v>837</v>
      </c>
      <c r="B105" t="s">
        <v>24</v>
      </c>
      <c r="C105" t="s">
        <v>388</v>
      </c>
      <c r="D105" s="10" t="s">
        <v>342</v>
      </c>
      <c r="G105" t="s">
        <v>693</v>
      </c>
      <c r="H105" t="s">
        <v>128</v>
      </c>
      <c r="J105" t="s">
        <v>454</v>
      </c>
      <c r="T105">
        <v>15.9</v>
      </c>
      <c r="V105">
        <v>9.9</v>
      </c>
      <c r="W105">
        <v>0.7</v>
      </c>
      <c r="X105">
        <v>38.9</v>
      </c>
      <c r="Y105">
        <v>0.5</v>
      </c>
      <c r="Z105">
        <v>2.8</v>
      </c>
      <c r="AA105">
        <v>0.1</v>
      </c>
      <c r="AB105">
        <v>59</v>
      </c>
      <c r="AC105">
        <v>4</v>
      </c>
      <c r="AH105">
        <v>72</v>
      </c>
      <c r="AI105">
        <v>9</v>
      </c>
      <c r="AR105">
        <v>1.73</v>
      </c>
      <c r="AT105">
        <v>77.8</v>
      </c>
      <c r="AV105">
        <v>71.099999999999994</v>
      </c>
      <c r="AX105">
        <v>5.4</v>
      </c>
      <c r="AZ105">
        <v>1222</v>
      </c>
      <c r="BU105">
        <v>78</v>
      </c>
      <c r="BV105">
        <v>7</v>
      </c>
      <c r="BW105">
        <v>2.08</v>
      </c>
      <c r="BX105">
        <v>0.08</v>
      </c>
      <c r="BY105">
        <v>365.8</v>
      </c>
      <c r="BZ105">
        <v>0.1</v>
      </c>
      <c r="CA105">
        <v>0.33</v>
      </c>
      <c r="CB105">
        <v>0.01</v>
      </c>
    </row>
    <row r="106" spans="1:80">
      <c r="A106" t="s">
        <v>837</v>
      </c>
      <c r="B106" t="s">
        <v>24</v>
      </c>
      <c r="C106" t="s">
        <v>388</v>
      </c>
      <c r="D106" s="10" t="s">
        <v>342</v>
      </c>
      <c r="G106" t="s">
        <v>693</v>
      </c>
      <c r="H106" t="s">
        <v>128</v>
      </c>
      <c r="J106" t="s">
        <v>455</v>
      </c>
      <c r="T106">
        <v>10.3</v>
      </c>
      <c r="V106">
        <v>18.7</v>
      </c>
      <c r="W106">
        <v>0.8</v>
      </c>
      <c r="X106">
        <v>73.099999999999994</v>
      </c>
      <c r="Y106">
        <v>1.4</v>
      </c>
      <c r="Z106">
        <v>0.9</v>
      </c>
      <c r="AA106">
        <v>0.1</v>
      </c>
      <c r="AB106">
        <v>42.2</v>
      </c>
      <c r="AC106">
        <v>2.1</v>
      </c>
      <c r="AH106">
        <v>161</v>
      </c>
      <c r="AI106">
        <v>8</v>
      </c>
      <c r="AR106">
        <v>1.74</v>
      </c>
      <c r="AT106">
        <v>13.4</v>
      </c>
      <c r="AV106">
        <v>7.8</v>
      </c>
      <c r="AX106">
        <v>2</v>
      </c>
      <c r="AZ106">
        <v>1055</v>
      </c>
      <c r="BU106">
        <v>368</v>
      </c>
      <c r="BV106">
        <v>12</v>
      </c>
      <c r="BW106">
        <v>15.2</v>
      </c>
      <c r="BX106">
        <v>0.1</v>
      </c>
      <c r="BY106">
        <v>664.9</v>
      </c>
      <c r="BZ106">
        <v>0.7</v>
      </c>
      <c r="CA106">
        <v>3.4</v>
      </c>
      <c r="CB106">
        <v>0.08</v>
      </c>
    </row>
    <row r="107" spans="1:80">
      <c r="A107" t="s">
        <v>837</v>
      </c>
      <c r="B107" t="s">
        <v>24</v>
      </c>
      <c r="C107" t="s">
        <v>388</v>
      </c>
      <c r="D107" s="10" t="s">
        <v>342</v>
      </c>
      <c r="G107" t="s">
        <v>693</v>
      </c>
      <c r="H107" t="s">
        <v>128</v>
      </c>
      <c r="J107" t="s">
        <v>456</v>
      </c>
      <c r="T107">
        <v>4.0999999999999996</v>
      </c>
      <c r="V107">
        <v>7.98</v>
      </c>
      <c r="W107">
        <v>0.01</v>
      </c>
      <c r="X107" t="s">
        <v>346</v>
      </c>
      <c r="Z107" t="s">
        <v>346</v>
      </c>
      <c r="AB107">
        <v>21.43</v>
      </c>
      <c r="AC107">
        <v>0.02</v>
      </c>
      <c r="AH107" t="s">
        <v>346</v>
      </c>
      <c r="AR107" t="s">
        <v>127</v>
      </c>
      <c r="AT107" t="s">
        <v>127</v>
      </c>
      <c r="AV107" t="s">
        <v>127</v>
      </c>
      <c r="AX107">
        <v>2.7</v>
      </c>
      <c r="AZ107">
        <v>677</v>
      </c>
      <c r="BU107">
        <v>46.7</v>
      </c>
      <c r="BV107">
        <v>0.1</v>
      </c>
      <c r="BW107" t="s">
        <v>346</v>
      </c>
      <c r="BY107">
        <v>166.4</v>
      </c>
      <c r="BZ107">
        <v>0.1</v>
      </c>
      <c r="CA107" t="s">
        <v>346</v>
      </c>
    </row>
    <row r="108" spans="1:80">
      <c r="A108" t="s">
        <v>837</v>
      </c>
      <c r="B108" t="s">
        <v>24</v>
      </c>
      <c r="C108" t="s">
        <v>388</v>
      </c>
      <c r="D108" s="10" t="s">
        <v>342</v>
      </c>
      <c r="G108" t="s">
        <v>693</v>
      </c>
      <c r="H108" t="s">
        <v>128</v>
      </c>
      <c r="J108" t="s">
        <v>457</v>
      </c>
      <c r="T108">
        <v>6.4</v>
      </c>
      <c r="V108">
        <v>14.2</v>
      </c>
      <c r="W108">
        <v>0.01</v>
      </c>
      <c r="X108" t="s">
        <v>346</v>
      </c>
      <c r="Z108" t="s">
        <v>346</v>
      </c>
      <c r="AB108">
        <v>34.67</v>
      </c>
      <c r="AC108">
        <v>0.03</v>
      </c>
      <c r="AH108" t="s">
        <v>346</v>
      </c>
      <c r="AR108" t="s">
        <v>127</v>
      </c>
      <c r="AT108" t="s">
        <v>127</v>
      </c>
      <c r="AV108" t="s">
        <v>127</v>
      </c>
      <c r="AX108">
        <v>2.4</v>
      </c>
      <c r="AZ108">
        <v>737</v>
      </c>
      <c r="BU108">
        <v>59.6</v>
      </c>
      <c r="BV108">
        <v>0.1</v>
      </c>
      <c r="BW108" t="s">
        <v>346</v>
      </c>
      <c r="BY108">
        <v>314.3</v>
      </c>
      <c r="BZ108">
        <v>0.1</v>
      </c>
      <c r="CA108" t="s">
        <v>346</v>
      </c>
    </row>
    <row r="109" spans="1:80">
      <c r="A109" t="s">
        <v>837</v>
      </c>
      <c r="B109" t="s">
        <v>24</v>
      </c>
      <c r="C109" t="s">
        <v>388</v>
      </c>
      <c r="D109" s="10" t="s">
        <v>342</v>
      </c>
      <c r="G109" t="s">
        <v>693</v>
      </c>
      <c r="H109" t="s">
        <v>128</v>
      </c>
      <c r="J109" t="s">
        <v>458</v>
      </c>
      <c r="T109">
        <v>3.2</v>
      </c>
      <c r="V109">
        <v>6.05</v>
      </c>
      <c r="W109">
        <v>0.01</v>
      </c>
      <c r="X109" t="s">
        <v>346</v>
      </c>
      <c r="Z109" t="s">
        <v>346</v>
      </c>
      <c r="AB109">
        <v>19.66</v>
      </c>
      <c r="AC109">
        <v>0.04</v>
      </c>
      <c r="AH109" t="s">
        <v>346</v>
      </c>
      <c r="AR109" t="s">
        <v>127</v>
      </c>
      <c r="AT109" t="s">
        <v>127</v>
      </c>
      <c r="AV109" t="s">
        <v>127</v>
      </c>
      <c r="AX109">
        <v>3.2</v>
      </c>
      <c r="AZ109">
        <v>743</v>
      </c>
      <c r="BU109">
        <v>47</v>
      </c>
      <c r="BV109">
        <v>0.1</v>
      </c>
      <c r="BW109" t="s">
        <v>346</v>
      </c>
      <c r="BY109">
        <v>140.69999999999999</v>
      </c>
      <c r="BZ109">
        <v>0.1</v>
      </c>
      <c r="CA109" t="s">
        <v>346</v>
      </c>
    </row>
    <row r="110" spans="1:80">
      <c r="A110" t="s">
        <v>837</v>
      </c>
      <c r="B110" t="s">
        <v>24</v>
      </c>
      <c r="C110" t="s">
        <v>388</v>
      </c>
      <c r="D110" s="10" t="s">
        <v>342</v>
      </c>
      <c r="G110" t="s">
        <v>693</v>
      </c>
      <c r="H110" t="s">
        <v>128</v>
      </c>
      <c r="J110" t="s">
        <v>459</v>
      </c>
      <c r="T110">
        <v>4.4000000000000004</v>
      </c>
      <c r="V110">
        <v>5.82</v>
      </c>
      <c r="W110">
        <v>0.01</v>
      </c>
      <c r="X110" t="s">
        <v>346</v>
      </c>
      <c r="Z110" t="s">
        <v>346</v>
      </c>
      <c r="AB110">
        <v>18.13</v>
      </c>
      <c r="AC110">
        <v>0.04</v>
      </c>
      <c r="AH110" t="s">
        <v>346</v>
      </c>
      <c r="AR110" t="s">
        <v>127</v>
      </c>
      <c r="AT110" t="s">
        <v>127</v>
      </c>
      <c r="AV110" t="s">
        <v>127</v>
      </c>
      <c r="AX110">
        <v>3.2</v>
      </c>
      <c r="AZ110">
        <v>1358</v>
      </c>
      <c r="BU110">
        <v>45.2</v>
      </c>
      <c r="BV110">
        <v>0.1</v>
      </c>
      <c r="BW110" t="s">
        <v>346</v>
      </c>
      <c r="BY110">
        <v>135.30000000000001</v>
      </c>
      <c r="BZ110">
        <v>0.1</v>
      </c>
      <c r="CA110" t="s">
        <v>346</v>
      </c>
    </row>
    <row r="111" spans="1:80">
      <c r="A111" t="s">
        <v>837</v>
      </c>
      <c r="B111" t="s">
        <v>24</v>
      </c>
      <c r="C111" t="s">
        <v>388</v>
      </c>
      <c r="D111" s="10" t="s">
        <v>342</v>
      </c>
      <c r="G111" t="s">
        <v>693</v>
      </c>
      <c r="H111" t="s">
        <v>128</v>
      </c>
      <c r="J111" t="s">
        <v>468</v>
      </c>
      <c r="T111" t="s">
        <v>346</v>
      </c>
      <c r="V111">
        <v>24.3</v>
      </c>
      <c r="W111">
        <v>7.0000000000000007E-2</v>
      </c>
      <c r="X111">
        <v>35.799999999999997</v>
      </c>
      <c r="Y111">
        <v>0.2</v>
      </c>
      <c r="Z111">
        <v>1.57</v>
      </c>
      <c r="AA111">
        <v>0.12</v>
      </c>
      <c r="AB111">
        <v>121</v>
      </c>
      <c r="AC111">
        <v>0.1</v>
      </c>
      <c r="AH111">
        <v>24.2</v>
      </c>
      <c r="AI111">
        <v>0.2</v>
      </c>
      <c r="AR111">
        <v>1.47</v>
      </c>
      <c r="AT111">
        <v>64.7</v>
      </c>
      <c r="AV111">
        <v>43.8</v>
      </c>
      <c r="AX111">
        <v>5</v>
      </c>
      <c r="AZ111">
        <v>508</v>
      </c>
      <c r="BU111">
        <v>4.03</v>
      </c>
      <c r="BV111">
        <v>0.1</v>
      </c>
      <c r="BW111">
        <v>148.6</v>
      </c>
      <c r="BX111">
        <v>18</v>
      </c>
      <c r="BY111">
        <v>13.5</v>
      </c>
      <c r="BZ111">
        <v>0.01</v>
      </c>
      <c r="CA111">
        <v>22.4</v>
      </c>
      <c r="CB111">
        <v>1.4</v>
      </c>
    </row>
    <row r="112" spans="1:80">
      <c r="A112" t="s">
        <v>837</v>
      </c>
      <c r="B112" t="s">
        <v>24</v>
      </c>
      <c r="C112" t="s">
        <v>388</v>
      </c>
      <c r="D112" s="10" t="s">
        <v>342</v>
      </c>
      <c r="G112" t="s">
        <v>693</v>
      </c>
      <c r="H112" t="s">
        <v>128</v>
      </c>
      <c r="J112" t="s">
        <v>469</v>
      </c>
      <c r="T112" t="s">
        <v>346</v>
      </c>
      <c r="V112">
        <v>19.5</v>
      </c>
      <c r="W112">
        <v>0.03</v>
      </c>
      <c r="X112">
        <v>27.8</v>
      </c>
      <c r="Y112">
        <v>0.06</v>
      </c>
      <c r="Z112">
        <v>0.99</v>
      </c>
      <c r="AA112">
        <v>0.02</v>
      </c>
      <c r="AB112">
        <v>93.4</v>
      </c>
      <c r="AC112">
        <v>0.1</v>
      </c>
      <c r="AH112">
        <v>6.7</v>
      </c>
      <c r="AI112">
        <v>0.2</v>
      </c>
      <c r="AR112">
        <v>1.42</v>
      </c>
      <c r="AT112">
        <v>50.5</v>
      </c>
      <c r="AV112">
        <v>35.5</v>
      </c>
      <c r="AX112">
        <v>4.8</v>
      </c>
      <c r="AZ112">
        <v>911</v>
      </c>
      <c r="BU112">
        <v>2.04</v>
      </c>
      <c r="BV112">
        <v>0.02</v>
      </c>
      <c r="BW112">
        <v>91.3</v>
      </c>
      <c r="BX112">
        <v>2</v>
      </c>
      <c r="BY112">
        <v>18.399999999999999</v>
      </c>
      <c r="BZ112">
        <v>0.02</v>
      </c>
      <c r="CA112">
        <v>14.6</v>
      </c>
      <c r="CB112">
        <v>1.7</v>
      </c>
    </row>
    <row r="113" spans="1:104">
      <c r="A113" t="s">
        <v>837</v>
      </c>
      <c r="B113" t="s">
        <v>24</v>
      </c>
      <c r="C113" t="s">
        <v>388</v>
      </c>
      <c r="D113" s="10" t="s">
        <v>342</v>
      </c>
      <c r="G113" t="s">
        <v>693</v>
      </c>
      <c r="H113" t="s">
        <v>128</v>
      </c>
      <c r="J113" t="s">
        <v>470</v>
      </c>
      <c r="T113" t="s">
        <v>346</v>
      </c>
      <c r="V113">
        <v>6.72</v>
      </c>
      <c r="W113">
        <v>0.04</v>
      </c>
      <c r="X113">
        <v>11.1</v>
      </c>
      <c r="Y113">
        <v>0.09</v>
      </c>
      <c r="Z113">
        <v>0.17</v>
      </c>
      <c r="AA113">
        <v>0.01</v>
      </c>
      <c r="AB113">
        <v>19.2</v>
      </c>
      <c r="AC113">
        <v>0.1</v>
      </c>
      <c r="AH113">
        <v>1.6</v>
      </c>
      <c r="AI113">
        <v>0.3</v>
      </c>
      <c r="AR113">
        <v>1.65</v>
      </c>
      <c r="AT113">
        <v>25.1</v>
      </c>
      <c r="AV113">
        <v>15.1</v>
      </c>
      <c r="AX113">
        <v>2.9</v>
      </c>
      <c r="AZ113">
        <v>849</v>
      </c>
      <c r="BU113">
        <v>0.78</v>
      </c>
      <c r="BV113">
        <v>0.03</v>
      </c>
      <c r="BW113">
        <v>36.4</v>
      </c>
      <c r="BX113">
        <v>0.9</v>
      </c>
      <c r="BY113">
        <v>5.94</v>
      </c>
      <c r="BZ113">
        <v>0.01</v>
      </c>
      <c r="CA113">
        <v>2.5</v>
      </c>
      <c r="CB113">
        <v>1.4</v>
      </c>
    </row>
    <row r="114" spans="1:104">
      <c r="A114" t="s">
        <v>837</v>
      </c>
      <c r="B114" t="s">
        <v>24</v>
      </c>
      <c r="C114" t="s">
        <v>388</v>
      </c>
      <c r="D114" s="10" t="s">
        <v>342</v>
      </c>
      <c r="G114" t="s">
        <v>693</v>
      </c>
      <c r="H114" t="s">
        <v>128</v>
      </c>
      <c r="J114" t="s">
        <v>471</v>
      </c>
      <c r="T114" t="s">
        <v>346</v>
      </c>
      <c r="V114">
        <v>1.44</v>
      </c>
      <c r="W114">
        <v>0.01</v>
      </c>
      <c r="X114">
        <v>2.02</v>
      </c>
      <c r="Y114">
        <v>0.01</v>
      </c>
      <c r="Z114">
        <v>0.1</v>
      </c>
      <c r="AA114">
        <v>0.01</v>
      </c>
      <c r="AB114">
        <v>4.5999999999999996</v>
      </c>
      <c r="AC114">
        <v>0.1</v>
      </c>
      <c r="AH114">
        <v>4.2</v>
      </c>
      <c r="AI114">
        <v>0.1</v>
      </c>
      <c r="AR114">
        <v>1.4</v>
      </c>
      <c r="AT114">
        <v>67.900000000000006</v>
      </c>
      <c r="AV114">
        <v>48.6</v>
      </c>
      <c r="AX114">
        <v>3.2</v>
      </c>
      <c r="AZ114">
        <v>800</v>
      </c>
      <c r="BU114">
        <v>0.88</v>
      </c>
      <c r="BV114">
        <v>0.01</v>
      </c>
      <c r="BW114">
        <v>28.4</v>
      </c>
      <c r="BX114">
        <v>0.6</v>
      </c>
      <c r="BY114">
        <v>1.42</v>
      </c>
      <c r="BZ114">
        <v>0.01</v>
      </c>
      <c r="CA114">
        <v>4.7</v>
      </c>
      <c r="CB114">
        <v>1.4</v>
      </c>
    </row>
    <row r="115" spans="1:104">
      <c r="A115" t="s">
        <v>837</v>
      </c>
      <c r="B115" t="s">
        <v>24</v>
      </c>
      <c r="C115" t="s">
        <v>388</v>
      </c>
      <c r="D115" s="10" t="s">
        <v>342</v>
      </c>
      <c r="G115" t="s">
        <v>693</v>
      </c>
      <c r="H115" t="s">
        <v>128</v>
      </c>
      <c r="J115" t="s">
        <v>472</v>
      </c>
      <c r="T115" t="s">
        <v>346</v>
      </c>
      <c r="V115">
        <v>3.46</v>
      </c>
      <c r="W115">
        <v>0.01</v>
      </c>
      <c r="X115">
        <v>4.93</v>
      </c>
      <c r="Y115">
        <v>0.04</v>
      </c>
      <c r="Z115">
        <v>0.19</v>
      </c>
      <c r="AA115">
        <v>0.02</v>
      </c>
      <c r="AB115">
        <v>16.2</v>
      </c>
      <c r="AC115">
        <v>0.1</v>
      </c>
      <c r="AH115">
        <v>2</v>
      </c>
      <c r="AI115">
        <v>0.1</v>
      </c>
      <c r="AR115">
        <v>1.42</v>
      </c>
      <c r="AT115">
        <v>54.7</v>
      </c>
      <c r="AV115">
        <v>38.5</v>
      </c>
      <c r="AX115">
        <v>4.7</v>
      </c>
      <c r="AZ115">
        <v>916</v>
      </c>
      <c r="BU115">
        <v>1.49</v>
      </c>
      <c r="BV115">
        <v>0.01</v>
      </c>
      <c r="BW115">
        <v>29.3</v>
      </c>
      <c r="BX115">
        <v>1.4</v>
      </c>
      <c r="BY115">
        <v>3.61</v>
      </c>
      <c r="BZ115">
        <v>0.01</v>
      </c>
      <c r="CA115">
        <v>5.2</v>
      </c>
      <c r="CB115">
        <v>0.9</v>
      </c>
    </row>
    <row r="116" spans="1:104">
      <c r="A116" t="s">
        <v>837</v>
      </c>
      <c r="B116" t="s">
        <v>24</v>
      </c>
      <c r="C116" t="s">
        <v>388</v>
      </c>
      <c r="D116" s="10" t="s">
        <v>342</v>
      </c>
      <c r="G116" t="s">
        <v>693</v>
      </c>
      <c r="H116" t="s">
        <v>128</v>
      </c>
      <c r="J116" t="s">
        <v>473</v>
      </c>
      <c r="T116" t="s">
        <v>346</v>
      </c>
      <c r="V116">
        <v>3.23</v>
      </c>
      <c r="W116">
        <v>7.0000000000000007E-2</v>
      </c>
      <c r="X116">
        <v>5.13</v>
      </c>
      <c r="Y116">
        <v>0.02</v>
      </c>
      <c r="Z116">
        <v>0.28000000000000003</v>
      </c>
      <c r="AA116">
        <v>0.02</v>
      </c>
      <c r="AB116">
        <v>12.4</v>
      </c>
      <c r="AC116">
        <v>0.1</v>
      </c>
      <c r="AH116">
        <v>1.6</v>
      </c>
      <c r="AI116">
        <v>0.2</v>
      </c>
      <c r="AR116">
        <v>1.59</v>
      </c>
      <c r="AT116">
        <v>87.6</v>
      </c>
      <c r="AV116">
        <v>44.8</v>
      </c>
      <c r="AX116">
        <v>3.8</v>
      </c>
      <c r="AZ116">
        <v>922</v>
      </c>
      <c r="BU116">
        <v>0.73</v>
      </c>
      <c r="BV116">
        <v>0.01</v>
      </c>
      <c r="BW116">
        <v>31.3</v>
      </c>
      <c r="BX116">
        <v>1.6</v>
      </c>
      <c r="BY116">
        <v>3.2</v>
      </c>
      <c r="BZ116">
        <v>0.03</v>
      </c>
      <c r="CA116">
        <v>5.9</v>
      </c>
      <c r="CB116">
        <v>1.3</v>
      </c>
    </row>
    <row r="117" spans="1:104">
      <c r="A117" t="s">
        <v>1565</v>
      </c>
      <c r="B117" t="s">
        <v>24</v>
      </c>
      <c r="C117" t="s">
        <v>388</v>
      </c>
      <c r="D117" s="10" t="s">
        <v>1792</v>
      </c>
      <c r="E117" s="10" t="s">
        <v>595</v>
      </c>
      <c r="G117" t="s">
        <v>693</v>
      </c>
      <c r="H117" t="s">
        <v>674</v>
      </c>
      <c r="I117" t="s">
        <v>676</v>
      </c>
      <c r="J117" t="s">
        <v>675</v>
      </c>
      <c r="T117">
        <v>781.14</v>
      </c>
      <c r="BD117">
        <v>1.5109999999999999</v>
      </c>
      <c r="BE117">
        <v>4.2999999999999997E-2</v>
      </c>
      <c r="BH117">
        <v>10.119999999999999</v>
      </c>
      <c r="BI117">
        <v>0.74</v>
      </c>
      <c r="BK117">
        <f>1.69*0.1</f>
        <v>0.16900000000000001</v>
      </c>
      <c r="BL117">
        <v>2.7E-2</v>
      </c>
      <c r="BO117">
        <v>4613</v>
      </c>
      <c r="BP117">
        <v>12</v>
      </c>
      <c r="BQ117">
        <v>0.19006000000000001</v>
      </c>
      <c r="BR117">
        <v>4.8999999999999998E-4</v>
      </c>
      <c r="CC117">
        <v>0.54</v>
      </c>
      <c r="CD117">
        <v>0.08</v>
      </c>
      <c r="CE117">
        <v>3.0200000000000001E-2</v>
      </c>
      <c r="CF117">
        <v>3.0499999999999999E-2</v>
      </c>
      <c r="CI117">
        <v>0.48</v>
      </c>
      <c r="CJ117">
        <v>2.9000000000000001E-2</v>
      </c>
      <c r="CK117">
        <v>6.84</v>
      </c>
      <c r="CL117">
        <v>0.56000000000000005</v>
      </c>
      <c r="CM117">
        <v>5.39</v>
      </c>
      <c r="CN117">
        <v>0.44</v>
      </c>
      <c r="CO117">
        <v>6.83</v>
      </c>
      <c r="CP117">
        <v>0.59</v>
      </c>
      <c r="CQ117">
        <v>2.5</v>
      </c>
      <c r="CR117">
        <v>0.23</v>
      </c>
      <c r="CS117">
        <v>2.3199999999999998</v>
      </c>
      <c r="CT117">
        <v>0.21</v>
      </c>
      <c r="CU117">
        <v>1.254</v>
      </c>
      <c r="CV117">
        <v>2.5000000000000001E-2</v>
      </c>
      <c r="CW117">
        <v>9.9499999999999993</v>
      </c>
      <c r="CX117">
        <v>2.5000000000000001E-2</v>
      </c>
      <c r="CY117">
        <v>4.0500000000000001E-2</v>
      </c>
      <c r="CZ117">
        <v>3.2000000000000002E-3</v>
      </c>
    </row>
    <row r="118" spans="1:104">
      <c r="A118" t="s">
        <v>1565</v>
      </c>
      <c r="B118" t="s">
        <v>24</v>
      </c>
      <c r="C118" t="s">
        <v>388</v>
      </c>
      <c r="D118" s="10" t="s">
        <v>1792</v>
      </c>
      <c r="E118" s="10" t="s">
        <v>595</v>
      </c>
      <c r="G118" t="s">
        <v>693</v>
      </c>
      <c r="H118" t="s">
        <v>674</v>
      </c>
      <c r="I118" t="s">
        <v>677</v>
      </c>
      <c r="J118" t="s">
        <v>675</v>
      </c>
      <c r="BD118">
        <v>0.96299999999999997</v>
      </c>
      <c r="BE118">
        <v>2.7E-2</v>
      </c>
      <c r="BH118">
        <v>8.42</v>
      </c>
      <c r="BI118">
        <v>0.61</v>
      </c>
      <c r="BK118">
        <f>0.601*0.1</f>
        <v>6.0100000000000001E-2</v>
      </c>
      <c r="BL118">
        <v>0.01</v>
      </c>
      <c r="BO118">
        <v>26198</v>
      </c>
      <c r="BP118">
        <v>104</v>
      </c>
      <c r="BQ118">
        <v>0.19173000000000001</v>
      </c>
      <c r="BR118">
        <v>1.42E-3</v>
      </c>
      <c r="CC118">
        <v>0.27</v>
      </c>
      <c r="CD118">
        <v>0.04</v>
      </c>
      <c r="CI118">
        <v>0.46600000000000003</v>
      </c>
      <c r="CJ118">
        <v>7.5999999999999998E-2</v>
      </c>
      <c r="CK118">
        <v>7.34</v>
      </c>
      <c r="CL118">
        <v>0.98</v>
      </c>
      <c r="CM118">
        <v>5.07</v>
      </c>
      <c r="CN118">
        <v>0.86</v>
      </c>
      <c r="CO118">
        <v>6.58</v>
      </c>
      <c r="CP118">
        <v>1.02</v>
      </c>
      <c r="CQ118">
        <v>2.4900000000000002</v>
      </c>
      <c r="CR118">
        <v>0.43</v>
      </c>
      <c r="CS118">
        <v>2.42</v>
      </c>
      <c r="CT118">
        <v>0.31</v>
      </c>
      <c r="CU118">
        <v>0.95399999999999996</v>
      </c>
      <c r="CV118">
        <v>6.6000000000000003E-2</v>
      </c>
      <c r="CW118">
        <v>10.59</v>
      </c>
      <c r="CX118">
        <v>0.3</v>
      </c>
      <c r="CY118">
        <v>4.7699999999999999E-2</v>
      </c>
      <c r="CZ118">
        <v>5.7000000000000002E-3</v>
      </c>
    </row>
    <row r="119" spans="1:104">
      <c r="A119" t="s">
        <v>1565</v>
      </c>
      <c r="B119" t="s">
        <v>24</v>
      </c>
      <c r="C119" t="s">
        <v>388</v>
      </c>
      <c r="D119" s="10" t="s">
        <v>1792</v>
      </c>
      <c r="E119" s="10" t="s">
        <v>595</v>
      </c>
      <c r="G119" t="s">
        <v>693</v>
      </c>
      <c r="H119" t="s">
        <v>674</v>
      </c>
      <c r="I119" t="s">
        <v>686</v>
      </c>
      <c r="J119" t="s">
        <v>678</v>
      </c>
      <c r="T119">
        <v>591.4</v>
      </c>
      <c r="BD119">
        <v>1.7</v>
      </c>
      <c r="BE119">
        <v>4.8000000000000001E-2</v>
      </c>
      <c r="BH119">
        <v>7.43</v>
      </c>
      <c r="BI119">
        <v>0.54</v>
      </c>
      <c r="BK119">
        <f>9.475*0.1</f>
        <v>0.94750000000000001</v>
      </c>
      <c r="BL119">
        <v>0.152</v>
      </c>
      <c r="BO119">
        <v>1447</v>
      </c>
      <c r="BP119">
        <v>3</v>
      </c>
      <c r="BQ119">
        <v>0.19059999999999999</v>
      </c>
      <c r="BR119">
        <v>4.4000000000000002E-4</v>
      </c>
      <c r="CC119">
        <v>6.35</v>
      </c>
      <c r="CD119">
        <v>0.81</v>
      </c>
      <c r="CE119">
        <v>2.4400000000000002E-2</v>
      </c>
      <c r="CF119">
        <v>5.1000000000000004E-3</v>
      </c>
      <c r="CG119">
        <v>2.1100000000000001E-2</v>
      </c>
      <c r="CH119">
        <v>5.5999999999999999E-3</v>
      </c>
      <c r="CI119">
        <v>0.46500000000000002</v>
      </c>
      <c r="CJ119">
        <v>1.4999999999999999E-2</v>
      </c>
      <c r="CK119">
        <v>6.5</v>
      </c>
      <c r="CL119">
        <v>0.11</v>
      </c>
      <c r="CM119">
        <v>5.28</v>
      </c>
      <c r="CN119">
        <v>7.0000000000000007E-2</v>
      </c>
      <c r="CO119">
        <v>6.63</v>
      </c>
      <c r="CP119">
        <v>0.12</v>
      </c>
      <c r="CQ119">
        <v>2.52</v>
      </c>
      <c r="CR119">
        <v>0.05</v>
      </c>
      <c r="CS119">
        <v>2.19</v>
      </c>
      <c r="CT119">
        <v>0.05</v>
      </c>
      <c r="CU119">
        <v>4.1929999999999996</v>
      </c>
      <c r="CV119">
        <v>7.8E-2</v>
      </c>
      <c r="CW119">
        <v>9.76</v>
      </c>
      <c r="CX119">
        <v>0.13</v>
      </c>
      <c r="CY119">
        <v>3.09E-2</v>
      </c>
      <c r="CZ119">
        <v>2.3999999999999998E-3</v>
      </c>
    </row>
    <row r="120" spans="1:104">
      <c r="A120" t="s">
        <v>1565</v>
      </c>
      <c r="B120" t="s">
        <v>24</v>
      </c>
      <c r="C120" t="s">
        <v>388</v>
      </c>
      <c r="D120" s="10" t="s">
        <v>1792</v>
      </c>
      <c r="E120" s="10" t="s">
        <v>595</v>
      </c>
      <c r="G120" t="s">
        <v>693</v>
      </c>
      <c r="H120" t="s">
        <v>674</v>
      </c>
      <c r="I120" t="s">
        <v>686</v>
      </c>
      <c r="J120" t="s">
        <v>679</v>
      </c>
      <c r="T120">
        <v>468.68</v>
      </c>
      <c r="BD120">
        <v>2.0099999999999998</v>
      </c>
      <c r="BE120">
        <v>5.7000000000000002E-2</v>
      </c>
      <c r="BH120">
        <v>8.44</v>
      </c>
      <c r="BI120">
        <v>0.62</v>
      </c>
      <c r="BK120">
        <f>2.016*0.1</f>
        <v>0.2016</v>
      </c>
      <c r="BL120">
        <v>3.5000000000000003E-2</v>
      </c>
      <c r="BO120">
        <v>8080</v>
      </c>
      <c r="BP120">
        <v>30</v>
      </c>
      <c r="BQ120">
        <v>0.19103000000000001</v>
      </c>
      <c r="BR120">
        <v>8.0999999999999996E-4</v>
      </c>
      <c r="CC120">
        <v>1.24</v>
      </c>
      <c r="CD120">
        <v>0.16</v>
      </c>
      <c r="CI120">
        <v>0.45800000000000002</v>
      </c>
      <c r="CJ120">
        <v>3.5000000000000003E-2</v>
      </c>
      <c r="CK120">
        <v>6.72</v>
      </c>
      <c r="CL120">
        <v>0.25</v>
      </c>
      <c r="CM120">
        <v>5.09</v>
      </c>
      <c r="CN120">
        <v>0.27</v>
      </c>
      <c r="CO120">
        <v>6.67</v>
      </c>
      <c r="CP120">
        <v>0.33</v>
      </c>
      <c r="CQ120">
        <v>2.64</v>
      </c>
      <c r="CR120">
        <v>0.11</v>
      </c>
      <c r="CS120">
        <v>2.25</v>
      </c>
      <c r="CT120">
        <v>0.13</v>
      </c>
      <c r="CU120">
        <v>1.4950000000000001</v>
      </c>
      <c r="CV120">
        <v>0.155</v>
      </c>
      <c r="CW120">
        <v>10.02</v>
      </c>
      <c r="CX120">
        <v>0.28999999999999998</v>
      </c>
      <c r="CY120">
        <v>6.25E-2</v>
      </c>
      <c r="CZ120">
        <v>4.3E-3</v>
      </c>
    </row>
    <row r="121" spans="1:104">
      <c r="A121" t="s">
        <v>1565</v>
      </c>
      <c r="B121" t="s">
        <v>24</v>
      </c>
      <c r="C121" t="s">
        <v>388</v>
      </c>
      <c r="D121" s="10" t="s">
        <v>1792</v>
      </c>
      <c r="E121" s="10" t="s">
        <v>595</v>
      </c>
      <c r="G121" t="s">
        <v>693</v>
      </c>
      <c r="H121" t="s">
        <v>674</v>
      </c>
      <c r="I121" t="s">
        <v>686</v>
      </c>
      <c r="J121" t="s">
        <v>680</v>
      </c>
      <c r="T121">
        <v>417.34</v>
      </c>
      <c r="BD121">
        <v>22.399000000000001</v>
      </c>
      <c r="BE121">
        <v>0.63400000000000001</v>
      </c>
      <c r="BH121">
        <v>8.26</v>
      </c>
      <c r="BI121">
        <v>0.6</v>
      </c>
      <c r="BK121">
        <f>24.768*0.1</f>
        <v>2.4768000000000003</v>
      </c>
      <c r="BL121">
        <v>0.4</v>
      </c>
      <c r="BO121">
        <v>5936</v>
      </c>
      <c r="BP121">
        <v>18</v>
      </c>
      <c r="BQ121">
        <v>0.19095000000000001</v>
      </c>
      <c r="BR121">
        <v>7.3999999999999999E-4</v>
      </c>
      <c r="CC121">
        <v>6.43</v>
      </c>
      <c r="CD121">
        <v>0.81</v>
      </c>
      <c r="CE121">
        <v>2.7400000000000001E-2</v>
      </c>
      <c r="CF121">
        <v>5.0000000000000001E-3</v>
      </c>
      <c r="CG121">
        <v>2.0799999999999999E-2</v>
      </c>
      <c r="CH121">
        <v>2.8999999999999998E-3</v>
      </c>
      <c r="CI121">
        <v>0.47899999999999998</v>
      </c>
      <c r="CJ121">
        <v>4.1000000000000002E-2</v>
      </c>
      <c r="CK121">
        <v>6.77</v>
      </c>
      <c r="CL121">
        <v>0.21</v>
      </c>
      <c r="CM121">
        <v>5.19</v>
      </c>
      <c r="CN121">
        <v>0.13</v>
      </c>
      <c r="CO121">
        <v>6.66</v>
      </c>
      <c r="CP121">
        <v>0.21</v>
      </c>
      <c r="CQ121">
        <v>2.68</v>
      </c>
      <c r="CR121">
        <v>0.08</v>
      </c>
      <c r="CS121">
        <v>2.35</v>
      </c>
      <c r="CT121">
        <v>0.08</v>
      </c>
      <c r="CU121">
        <v>22.475000000000001</v>
      </c>
      <c r="CV121">
        <v>0.46100000000000002</v>
      </c>
      <c r="CW121">
        <v>10.97</v>
      </c>
      <c r="CX121">
        <v>0.13</v>
      </c>
      <c r="CY121">
        <v>3.9199999999999999E-2</v>
      </c>
      <c r="CZ121">
        <v>8.0000000000000004E-4</v>
      </c>
    </row>
    <row r="122" spans="1:104">
      <c r="A122" t="s">
        <v>1565</v>
      </c>
      <c r="B122" t="s">
        <v>24</v>
      </c>
      <c r="C122" t="s">
        <v>388</v>
      </c>
      <c r="D122" s="10" t="s">
        <v>1792</v>
      </c>
      <c r="E122" s="10" t="s">
        <v>595</v>
      </c>
      <c r="G122" t="s">
        <v>693</v>
      </c>
      <c r="H122" t="s">
        <v>674</v>
      </c>
      <c r="I122" t="s">
        <v>686</v>
      </c>
      <c r="J122" t="s">
        <v>681</v>
      </c>
      <c r="T122">
        <v>660.22</v>
      </c>
      <c r="BD122">
        <v>3.0659999999999998</v>
      </c>
      <c r="BE122">
        <v>8.6999999999999994E-2</v>
      </c>
      <c r="BH122">
        <v>6.8</v>
      </c>
      <c r="BI122">
        <v>0.49</v>
      </c>
      <c r="BK122">
        <f>2.323*0.1</f>
        <v>0.23230000000000001</v>
      </c>
      <c r="BL122">
        <v>3.6999999999999998E-2</v>
      </c>
      <c r="BO122">
        <v>12027</v>
      </c>
      <c r="BP122">
        <v>31</v>
      </c>
      <c r="BQ122">
        <v>0.19084999999999999</v>
      </c>
      <c r="BR122">
        <v>7.5000000000000002E-4</v>
      </c>
      <c r="CC122">
        <v>1.01</v>
      </c>
      <c r="CD122">
        <v>0.13</v>
      </c>
      <c r="CE122">
        <v>3.3099999999999997E-2</v>
      </c>
      <c r="CF122">
        <v>1.38E-2</v>
      </c>
      <c r="CI122">
        <v>0.47699999999999998</v>
      </c>
      <c r="CJ122">
        <v>3.2000000000000001E-2</v>
      </c>
      <c r="CK122">
        <v>7.25</v>
      </c>
      <c r="CL122">
        <v>0.21</v>
      </c>
      <c r="CM122">
        <v>5.45</v>
      </c>
      <c r="CN122">
        <v>0.23</v>
      </c>
      <c r="CO122">
        <v>6.69</v>
      </c>
      <c r="CP122">
        <v>0.24</v>
      </c>
      <c r="CQ122">
        <v>2.73</v>
      </c>
      <c r="CR122">
        <v>0.09</v>
      </c>
      <c r="CS122">
        <v>2.36</v>
      </c>
      <c r="CT122">
        <v>0.12</v>
      </c>
      <c r="CU122">
        <v>2.012</v>
      </c>
      <c r="CV122">
        <v>0.04</v>
      </c>
      <c r="CW122">
        <v>10.65</v>
      </c>
      <c r="CX122">
        <v>0.21</v>
      </c>
      <c r="CY122">
        <v>4.9000000000000002E-2</v>
      </c>
      <c r="CZ122">
        <v>3.0000000000000001E-3</v>
      </c>
    </row>
    <row r="123" spans="1:104">
      <c r="A123" t="s">
        <v>1565</v>
      </c>
      <c r="B123" t="s">
        <v>24</v>
      </c>
      <c r="C123" t="s">
        <v>388</v>
      </c>
      <c r="D123" s="10" t="s">
        <v>1792</v>
      </c>
      <c r="E123" s="10" t="s">
        <v>595</v>
      </c>
      <c r="G123" t="s">
        <v>693</v>
      </c>
      <c r="H123" t="s">
        <v>674</v>
      </c>
      <c r="I123" t="s">
        <v>686</v>
      </c>
      <c r="J123" t="s">
        <v>682</v>
      </c>
      <c r="T123">
        <v>358.14</v>
      </c>
      <c r="BD123">
        <v>1.31</v>
      </c>
      <c r="BE123">
        <v>3.6999999999999998E-2</v>
      </c>
      <c r="BH123">
        <v>7.86</v>
      </c>
      <c r="BI123">
        <v>0.57999999999999996</v>
      </c>
      <c r="BK123">
        <f>6.286*0.1</f>
        <v>0.62860000000000005</v>
      </c>
      <c r="BL123">
        <v>0.10100000000000001</v>
      </c>
      <c r="BO123">
        <v>2242</v>
      </c>
      <c r="BP123">
        <v>6</v>
      </c>
      <c r="BQ123">
        <v>0.18914</v>
      </c>
      <c r="BR123">
        <v>4.2000000000000002E-4</v>
      </c>
      <c r="CC123">
        <v>2.41</v>
      </c>
      <c r="CD123">
        <v>0.31</v>
      </c>
      <c r="CE123">
        <v>2.8199999999999999E-2</v>
      </c>
      <c r="CF123">
        <v>1.37E-2</v>
      </c>
      <c r="CG123">
        <v>8.6E-3</v>
      </c>
      <c r="CH123">
        <v>6.3E-3</v>
      </c>
      <c r="CI123">
        <v>0.51300000000000001</v>
      </c>
      <c r="CJ123">
        <v>0.03</v>
      </c>
      <c r="CK123">
        <v>7.01</v>
      </c>
      <c r="CL123">
        <v>0.17</v>
      </c>
      <c r="CM123">
        <v>5.56</v>
      </c>
      <c r="CN123">
        <v>0.11</v>
      </c>
      <c r="CO123">
        <v>7.11</v>
      </c>
      <c r="CP123">
        <v>0.17</v>
      </c>
      <c r="CQ123">
        <v>2.7</v>
      </c>
      <c r="CR123">
        <v>0.1</v>
      </c>
      <c r="CS123">
        <v>2.27</v>
      </c>
      <c r="CT123">
        <v>0.08</v>
      </c>
      <c r="CU123">
        <v>4.343</v>
      </c>
      <c r="CV123">
        <v>8.5999999999999993E-2</v>
      </c>
      <c r="CW123">
        <v>10.52</v>
      </c>
      <c r="CX123">
        <v>0.2</v>
      </c>
      <c r="CY123">
        <v>2.9499999999999998E-2</v>
      </c>
      <c r="CZ123">
        <v>2.8E-3</v>
      </c>
    </row>
    <row r="124" spans="1:104">
      <c r="A124" t="s">
        <v>1565</v>
      </c>
      <c r="B124" t="s">
        <v>24</v>
      </c>
      <c r="C124" t="s">
        <v>388</v>
      </c>
      <c r="D124" s="10" t="s">
        <v>1792</v>
      </c>
      <c r="E124" s="10" t="s">
        <v>595</v>
      </c>
      <c r="G124" t="s">
        <v>693</v>
      </c>
      <c r="H124" t="s">
        <v>674</v>
      </c>
      <c r="I124" t="s">
        <v>685</v>
      </c>
      <c r="J124" t="s">
        <v>683</v>
      </c>
      <c r="T124">
        <v>338.08</v>
      </c>
      <c r="BD124">
        <v>0.36299999999999999</v>
      </c>
      <c r="BE124">
        <v>1.0999999999999999E-2</v>
      </c>
      <c r="BH124">
        <v>6.97</v>
      </c>
      <c r="BI124">
        <v>0.48</v>
      </c>
      <c r="BK124">
        <f>12.873*0.1</f>
        <v>1.2873000000000001</v>
      </c>
      <c r="BL124">
        <v>0.27</v>
      </c>
      <c r="BO124">
        <v>683</v>
      </c>
      <c r="BP124">
        <v>4</v>
      </c>
      <c r="BQ124">
        <v>0.18884999999999999</v>
      </c>
      <c r="BR124">
        <v>4.2999999999999999E-4</v>
      </c>
      <c r="CC124">
        <v>2.16</v>
      </c>
      <c r="CD124">
        <v>0.15</v>
      </c>
      <c r="CE124">
        <v>4.6800000000000001E-2</v>
      </c>
      <c r="CF124">
        <v>1.4800000000000001E-2</v>
      </c>
      <c r="CG124">
        <v>2.6800000000000001E-2</v>
      </c>
      <c r="CH124">
        <v>1.2699999999999999E-2</v>
      </c>
      <c r="CI124">
        <v>0.46</v>
      </c>
      <c r="CJ124">
        <v>4.2000000000000003E-2</v>
      </c>
      <c r="CK124">
        <v>6.47</v>
      </c>
      <c r="CL124">
        <v>0.38</v>
      </c>
      <c r="CM124">
        <v>5.14</v>
      </c>
      <c r="CN124">
        <v>0.33</v>
      </c>
      <c r="CO124">
        <v>6.53</v>
      </c>
      <c r="CP124">
        <v>0.39</v>
      </c>
      <c r="CQ124">
        <v>2.35</v>
      </c>
      <c r="CR124">
        <v>0.25</v>
      </c>
      <c r="CS124">
        <v>2.2200000000000002</v>
      </c>
      <c r="CT124">
        <v>0.16</v>
      </c>
      <c r="CU124">
        <v>7.9210000000000003</v>
      </c>
      <c r="CV124">
        <v>0.26900000000000002</v>
      </c>
      <c r="CW124">
        <v>9.8800000000000008</v>
      </c>
      <c r="CX124">
        <v>0.09</v>
      </c>
      <c r="CY124">
        <v>3.5400000000000001E-2</v>
      </c>
      <c r="CZ124">
        <v>8.0000000000000004E-4</v>
      </c>
    </row>
    <row r="125" spans="1:104">
      <c r="A125" t="s">
        <v>1565</v>
      </c>
      <c r="B125" t="s">
        <v>24</v>
      </c>
      <c r="C125" t="s">
        <v>388</v>
      </c>
      <c r="D125" s="10" t="s">
        <v>1792</v>
      </c>
      <c r="E125" s="10" t="s">
        <v>595</v>
      </c>
      <c r="G125" t="s">
        <v>693</v>
      </c>
      <c r="H125" t="s">
        <v>674</v>
      </c>
      <c r="I125" t="s">
        <v>686</v>
      </c>
      <c r="J125" t="s">
        <v>683</v>
      </c>
      <c r="T125">
        <v>338.08</v>
      </c>
      <c r="BD125">
        <v>1.329</v>
      </c>
      <c r="BE125">
        <v>4.1000000000000002E-2</v>
      </c>
      <c r="BH125">
        <v>10.02</v>
      </c>
      <c r="BI125">
        <v>0.66</v>
      </c>
      <c r="BK125">
        <f>0.328*0.1</f>
        <v>3.2800000000000003E-2</v>
      </c>
      <c r="BL125">
        <v>7.0000000000000001E-3</v>
      </c>
      <c r="BO125">
        <v>24395</v>
      </c>
      <c r="BP125">
        <v>163</v>
      </c>
      <c r="BQ125">
        <v>0.18981000000000001</v>
      </c>
      <c r="BR125">
        <v>1.1900000000000001E-3</v>
      </c>
      <c r="CC125">
        <v>0.7</v>
      </c>
      <c r="CD125">
        <v>0.05</v>
      </c>
      <c r="CE125">
        <v>7.0000000000000007E-2</v>
      </c>
      <c r="CF125">
        <v>3.9699999999999999E-2</v>
      </c>
      <c r="CG125">
        <v>3.4299999999999997E-2</v>
      </c>
      <c r="CH125">
        <v>3.15E-2</v>
      </c>
      <c r="CI125">
        <v>0.39400000000000002</v>
      </c>
      <c r="CJ125">
        <v>0.35199999999999998</v>
      </c>
      <c r="CK125">
        <v>6.21</v>
      </c>
      <c r="CL125">
        <v>0.82</v>
      </c>
      <c r="CM125">
        <v>4.08</v>
      </c>
      <c r="CN125">
        <v>0.86</v>
      </c>
      <c r="CO125">
        <v>5.2</v>
      </c>
      <c r="CP125">
        <v>1</v>
      </c>
      <c r="CQ125">
        <v>2.0499999999999998</v>
      </c>
      <c r="CR125">
        <v>0.36</v>
      </c>
      <c r="CS125">
        <v>2.16</v>
      </c>
      <c r="CT125">
        <v>0.3</v>
      </c>
      <c r="CU125">
        <v>1.169</v>
      </c>
      <c r="CV125">
        <v>5.8999999999999997E-2</v>
      </c>
      <c r="CW125">
        <v>10.78</v>
      </c>
      <c r="CX125">
        <v>0.61</v>
      </c>
    </row>
    <row r="126" spans="1:104">
      <c r="A126" t="s">
        <v>1565</v>
      </c>
      <c r="B126" t="s">
        <v>24</v>
      </c>
      <c r="C126" t="s">
        <v>388</v>
      </c>
      <c r="D126" s="10" t="s">
        <v>1792</v>
      </c>
      <c r="E126" s="10" t="s">
        <v>595</v>
      </c>
      <c r="G126" t="s">
        <v>693</v>
      </c>
      <c r="H126" t="s">
        <v>674</v>
      </c>
      <c r="I126" t="s">
        <v>22</v>
      </c>
      <c r="J126" t="s">
        <v>683</v>
      </c>
      <c r="T126">
        <v>338.08</v>
      </c>
      <c r="BD126">
        <v>1.6919999999999999</v>
      </c>
      <c r="BE126">
        <v>4.2000000000000003E-2</v>
      </c>
      <c r="BH126">
        <v>9.3699999999999992</v>
      </c>
      <c r="BI126">
        <v>0.53</v>
      </c>
      <c r="BK126">
        <f>13.201*0.1</f>
        <v>1.3201000000000001</v>
      </c>
      <c r="BL126">
        <v>0.27</v>
      </c>
      <c r="BO126">
        <v>1272</v>
      </c>
      <c r="BP126">
        <v>18</v>
      </c>
      <c r="BQ126">
        <v>0.18887000000000001</v>
      </c>
      <c r="BR126">
        <v>4.2000000000000002E-4</v>
      </c>
      <c r="CC126">
        <v>2.86</v>
      </c>
      <c r="CD126">
        <v>0.16</v>
      </c>
      <c r="CE126">
        <v>5.2499999999999998E-2</v>
      </c>
      <c r="CF126">
        <v>1.4800000000000001E-2</v>
      </c>
      <c r="CG126">
        <v>2.41E-2</v>
      </c>
      <c r="CH126">
        <v>1.23E-2</v>
      </c>
      <c r="CI126">
        <v>0.44400000000000001</v>
      </c>
      <c r="CJ126">
        <v>9.1999999999999998E-2</v>
      </c>
      <c r="CK126">
        <v>6.41</v>
      </c>
      <c r="CL126">
        <v>0.35</v>
      </c>
      <c r="CM126">
        <v>4.88</v>
      </c>
      <c r="CN126">
        <v>0.33</v>
      </c>
      <c r="CO126">
        <v>6.2</v>
      </c>
      <c r="CP126">
        <v>0.38</v>
      </c>
      <c r="CQ126">
        <v>2.2799999999999998</v>
      </c>
      <c r="CR126">
        <v>0.21</v>
      </c>
      <c r="CS126">
        <v>2.21</v>
      </c>
      <c r="CT126">
        <v>0.14000000000000001</v>
      </c>
      <c r="CU126">
        <v>9.0890000000000004</v>
      </c>
      <c r="CV126">
        <v>0.39700000000000002</v>
      </c>
      <c r="CW126">
        <v>9.99</v>
      </c>
      <c r="CX126">
        <v>0.11</v>
      </c>
    </row>
    <row r="127" spans="1:104">
      <c r="A127" t="s">
        <v>1565</v>
      </c>
      <c r="B127" t="s">
        <v>24</v>
      </c>
      <c r="C127" t="s">
        <v>388</v>
      </c>
      <c r="D127" s="10" t="s">
        <v>1792</v>
      </c>
      <c r="E127" s="10" t="s">
        <v>595</v>
      </c>
      <c r="G127" t="s">
        <v>693</v>
      </c>
      <c r="H127" t="s">
        <v>674</v>
      </c>
      <c r="I127" t="s">
        <v>685</v>
      </c>
      <c r="J127" t="s">
        <v>684</v>
      </c>
      <c r="T127">
        <v>396.43</v>
      </c>
      <c r="BD127">
        <v>1.5129999999999999</v>
      </c>
      <c r="BE127">
        <v>4.5999999999999999E-2</v>
      </c>
      <c r="BH127">
        <v>8.5500000000000007</v>
      </c>
      <c r="BI127">
        <v>0.56000000000000005</v>
      </c>
      <c r="BK127">
        <f>1.759*0.1</f>
        <v>0.1759</v>
      </c>
      <c r="BL127">
        <v>3.6999999999999998E-2</v>
      </c>
      <c r="BO127">
        <v>3119</v>
      </c>
      <c r="BP127">
        <v>17</v>
      </c>
      <c r="BQ127">
        <v>0.19031000000000001</v>
      </c>
      <c r="BR127">
        <v>5.2999999999999998E-4</v>
      </c>
      <c r="CC127">
        <v>1.03</v>
      </c>
      <c r="CD127">
        <v>7.0000000000000007E-2</v>
      </c>
      <c r="CI127">
        <v>0.47899999999999998</v>
      </c>
      <c r="CJ127">
        <v>5.1999999999999998E-2</v>
      </c>
      <c r="CK127">
        <v>6.36</v>
      </c>
      <c r="CL127">
        <v>0.42</v>
      </c>
      <c r="CM127">
        <v>5.12</v>
      </c>
      <c r="CN127">
        <v>0.3</v>
      </c>
      <c r="CO127">
        <v>6.66</v>
      </c>
      <c r="CP127">
        <v>0.28999999999999998</v>
      </c>
      <c r="CQ127">
        <v>2.4500000000000002</v>
      </c>
      <c r="CR127">
        <v>0.2</v>
      </c>
      <c r="CS127">
        <v>2.16</v>
      </c>
      <c r="CT127">
        <v>0.21</v>
      </c>
      <c r="CU127">
        <v>1.732</v>
      </c>
      <c r="CV127">
        <v>8.4000000000000005E-2</v>
      </c>
      <c r="CW127" s="8">
        <v>11.91</v>
      </c>
      <c r="CX127" s="8">
        <v>0.28000000000000003</v>
      </c>
      <c r="CY127">
        <v>6.9199999999999998E-2</v>
      </c>
      <c r="CZ127">
        <v>2.5000000000000001E-3</v>
      </c>
    </row>
    <row r="128" spans="1:104">
      <c r="A128" t="s">
        <v>1565</v>
      </c>
      <c r="B128" t="s">
        <v>24</v>
      </c>
      <c r="C128" t="s">
        <v>388</v>
      </c>
      <c r="D128" s="10" t="s">
        <v>1792</v>
      </c>
      <c r="E128" s="10" t="s">
        <v>595</v>
      </c>
      <c r="G128" t="s">
        <v>693</v>
      </c>
      <c r="H128" t="s">
        <v>674</v>
      </c>
      <c r="I128" t="s">
        <v>686</v>
      </c>
      <c r="J128" t="s">
        <v>684</v>
      </c>
      <c r="T128">
        <v>396.43</v>
      </c>
      <c r="BD128">
        <v>3.3959999999999999</v>
      </c>
      <c r="BE128">
        <v>0.104</v>
      </c>
      <c r="BH128">
        <v>7.29</v>
      </c>
      <c r="BI128">
        <v>0.48</v>
      </c>
      <c r="BK128">
        <f>1.135*0.1</f>
        <v>0.1135</v>
      </c>
      <c r="BL128">
        <v>2.4E-2</v>
      </c>
      <c r="BO128">
        <v>31764</v>
      </c>
      <c r="BP128">
        <v>191</v>
      </c>
      <c r="BQ128">
        <v>0.19066</v>
      </c>
      <c r="BR128">
        <v>8.9999999999999998E-4</v>
      </c>
      <c r="CC128">
        <v>1.81</v>
      </c>
      <c r="CD128">
        <v>0.12</v>
      </c>
      <c r="CE128">
        <v>2.4799999999999999E-2</v>
      </c>
      <c r="CF128">
        <v>7.6E-3</v>
      </c>
      <c r="CG128">
        <v>1.72E-2</v>
      </c>
      <c r="CH128">
        <v>8.3000000000000001E-3</v>
      </c>
      <c r="CI128">
        <v>0.53600000000000003</v>
      </c>
      <c r="CJ128">
        <v>3.6999999999999998E-2</v>
      </c>
      <c r="CK128">
        <v>7.38</v>
      </c>
      <c r="CL128">
        <v>0.27</v>
      </c>
      <c r="CM128">
        <v>5.35</v>
      </c>
      <c r="CN128">
        <v>0.19</v>
      </c>
      <c r="CO128">
        <v>6.85</v>
      </c>
      <c r="CP128">
        <v>0.21</v>
      </c>
      <c r="CQ128">
        <v>2.86</v>
      </c>
      <c r="CR128">
        <v>0.12</v>
      </c>
      <c r="CS128">
        <v>2.37</v>
      </c>
      <c r="CT128">
        <v>0.09</v>
      </c>
      <c r="CU128">
        <v>6.0990000000000002</v>
      </c>
      <c r="CV128">
        <v>0.29099999999999998</v>
      </c>
      <c r="CW128">
        <v>10.34</v>
      </c>
      <c r="CX128">
        <v>0.1</v>
      </c>
      <c r="CY128">
        <v>4.48E-2</v>
      </c>
      <c r="CZ128">
        <v>8.0000000000000004E-4</v>
      </c>
    </row>
    <row r="129" spans="1:104">
      <c r="A129" t="s">
        <v>1565</v>
      </c>
      <c r="B129" t="s">
        <v>24</v>
      </c>
      <c r="C129" t="s">
        <v>388</v>
      </c>
      <c r="D129" s="10" t="s">
        <v>1792</v>
      </c>
      <c r="E129" s="10" t="s">
        <v>595</v>
      </c>
      <c r="G129" t="s">
        <v>693</v>
      </c>
      <c r="H129" t="s">
        <v>674</v>
      </c>
      <c r="I129" t="s">
        <v>22</v>
      </c>
      <c r="J129" t="s">
        <v>684</v>
      </c>
      <c r="T129">
        <v>396.43</v>
      </c>
      <c r="BD129">
        <v>4.91</v>
      </c>
      <c r="BE129">
        <v>0.114</v>
      </c>
      <c r="BH129">
        <v>7.68</v>
      </c>
      <c r="BI129">
        <v>0.37</v>
      </c>
      <c r="BK129">
        <f>2.893*0.1</f>
        <v>0.2893</v>
      </c>
      <c r="BL129">
        <v>4.3999999999999997E-2</v>
      </c>
      <c r="BO129">
        <v>14353</v>
      </c>
      <c r="BP129">
        <v>218</v>
      </c>
      <c r="BQ129">
        <v>0.19045000000000001</v>
      </c>
      <c r="BR129">
        <v>4.8000000000000001E-4</v>
      </c>
      <c r="CC129">
        <v>2.85</v>
      </c>
      <c r="CD129">
        <v>0.14000000000000001</v>
      </c>
      <c r="CI129">
        <v>0.51500000000000001</v>
      </c>
      <c r="CJ129">
        <v>0.03</v>
      </c>
      <c r="CK129">
        <v>7.01</v>
      </c>
      <c r="CL129">
        <v>0.23</v>
      </c>
      <c r="CM129">
        <v>5.26</v>
      </c>
      <c r="CN129">
        <v>0.16</v>
      </c>
      <c r="CO129">
        <v>6.78</v>
      </c>
      <c r="CP129">
        <v>0.17</v>
      </c>
      <c r="CQ129">
        <v>2.71</v>
      </c>
      <c r="CR129">
        <v>0.11</v>
      </c>
      <c r="CS129">
        <v>2.29</v>
      </c>
      <c r="CT129">
        <v>0.1</v>
      </c>
      <c r="CU129">
        <v>7.8310000000000004</v>
      </c>
      <c r="CV129">
        <v>0.30299999999999999</v>
      </c>
      <c r="CW129" s="8">
        <v>10.65</v>
      </c>
      <c r="CX129" s="8">
        <v>0.1</v>
      </c>
      <c r="CY129">
        <v>4.9700000000000001E-2</v>
      </c>
      <c r="CZ129">
        <v>8.0000000000000004E-4</v>
      </c>
    </row>
    <row r="130" spans="1:104">
      <c r="A130" t="s">
        <v>1565</v>
      </c>
      <c r="B130" t="s">
        <v>24</v>
      </c>
      <c r="C130" t="s">
        <v>388</v>
      </c>
      <c r="D130" s="10" t="s">
        <v>1792</v>
      </c>
      <c r="E130" s="10" t="s">
        <v>595</v>
      </c>
      <c r="G130" t="s">
        <v>693</v>
      </c>
      <c r="H130" t="s">
        <v>674</v>
      </c>
      <c r="I130" t="s">
        <v>685</v>
      </c>
      <c r="J130" t="s">
        <v>688</v>
      </c>
      <c r="T130">
        <v>433.65</v>
      </c>
      <c r="BD130">
        <v>0.34899999999999998</v>
      </c>
      <c r="BE130">
        <v>1.0999999999999999E-2</v>
      </c>
      <c r="BH130">
        <v>9.2899999999999991</v>
      </c>
      <c r="BI130">
        <v>0.62</v>
      </c>
      <c r="BK130">
        <f>0.788*0.1</f>
        <v>7.8800000000000009E-2</v>
      </c>
      <c r="BL130">
        <v>1.7000000000000001E-2</v>
      </c>
      <c r="BO130">
        <v>4525</v>
      </c>
      <c r="BP130">
        <v>31</v>
      </c>
      <c r="BQ130">
        <v>0.18951000000000001</v>
      </c>
      <c r="BR130">
        <v>1.0200000000000001E-3</v>
      </c>
      <c r="CC130">
        <v>1.07</v>
      </c>
      <c r="CD130">
        <v>7.0000000000000007E-2</v>
      </c>
      <c r="CG130">
        <v>7.0000000000000001E-3</v>
      </c>
      <c r="CH130">
        <v>5.7000000000000002E-3</v>
      </c>
      <c r="CI130">
        <v>0.47499999999999998</v>
      </c>
      <c r="CJ130">
        <v>3.3000000000000002E-2</v>
      </c>
      <c r="CK130">
        <v>6.95</v>
      </c>
      <c r="CL130">
        <v>0.32</v>
      </c>
      <c r="CM130">
        <v>5.33</v>
      </c>
      <c r="CN130">
        <v>0.23</v>
      </c>
      <c r="CO130">
        <v>7.02</v>
      </c>
      <c r="CP130">
        <v>0.32</v>
      </c>
      <c r="CQ130">
        <v>2.78</v>
      </c>
      <c r="CR130">
        <v>0.2</v>
      </c>
      <c r="CS130">
        <v>2.4500000000000002</v>
      </c>
      <c r="CT130">
        <v>0.27</v>
      </c>
      <c r="CU130">
        <v>0.57299999999999995</v>
      </c>
      <c r="CV130">
        <v>3.7999999999999999E-2</v>
      </c>
      <c r="CW130">
        <v>10.54</v>
      </c>
      <c r="CX130">
        <v>0.59</v>
      </c>
      <c r="CY130">
        <v>6.2100000000000002E-2</v>
      </c>
      <c r="CZ130">
        <v>3.5999999999999999E-3</v>
      </c>
    </row>
    <row r="131" spans="1:104">
      <c r="A131" t="s">
        <v>1565</v>
      </c>
      <c r="B131" t="s">
        <v>24</v>
      </c>
      <c r="C131" t="s">
        <v>388</v>
      </c>
      <c r="D131" s="10" t="s">
        <v>1792</v>
      </c>
      <c r="E131" s="10" t="s">
        <v>595</v>
      </c>
      <c r="G131" t="s">
        <v>693</v>
      </c>
      <c r="H131" t="s">
        <v>674</v>
      </c>
      <c r="I131" t="s">
        <v>686</v>
      </c>
      <c r="J131" t="s">
        <v>688</v>
      </c>
      <c r="T131">
        <v>433.65</v>
      </c>
      <c r="BD131">
        <v>0.72099999999999997</v>
      </c>
      <c r="BE131">
        <v>2.1999999999999999E-2</v>
      </c>
      <c r="BH131">
        <v>8.32</v>
      </c>
      <c r="BI131">
        <v>0.56999999999999995</v>
      </c>
      <c r="BK131">
        <f>0.258*0.1</f>
        <v>2.5800000000000003E-2</v>
      </c>
      <c r="BL131">
        <v>6.0000000000000001E-3</v>
      </c>
      <c r="BO131">
        <v>23197</v>
      </c>
      <c r="BP131">
        <v>146</v>
      </c>
      <c r="BQ131">
        <v>0.18969</v>
      </c>
      <c r="BR131">
        <v>1.42E-3</v>
      </c>
      <c r="CC131">
        <v>0.94</v>
      </c>
      <c r="CD131">
        <v>0.06</v>
      </c>
      <c r="CE131">
        <v>2.93E-2</v>
      </c>
      <c r="CF131">
        <v>1.0999999999999999E-2</v>
      </c>
      <c r="CG131">
        <v>4.07E-2</v>
      </c>
      <c r="CH131">
        <v>8.6999999999999994E-3</v>
      </c>
      <c r="CI131">
        <v>0.39100000000000001</v>
      </c>
      <c r="CJ131">
        <v>3.6999999999999998E-2</v>
      </c>
      <c r="CK131">
        <v>6.67</v>
      </c>
      <c r="CL131">
        <v>0.32</v>
      </c>
      <c r="CM131">
        <v>5.31</v>
      </c>
      <c r="CN131">
        <v>0.22</v>
      </c>
      <c r="CO131">
        <v>6.52</v>
      </c>
      <c r="CP131">
        <v>0.34</v>
      </c>
      <c r="CQ131">
        <v>2.87</v>
      </c>
      <c r="CR131">
        <v>0.22</v>
      </c>
      <c r="CS131">
        <v>2.25</v>
      </c>
      <c r="CT131">
        <v>0.21</v>
      </c>
      <c r="CU131">
        <v>0.24199999999999999</v>
      </c>
      <c r="CV131">
        <v>1.7999999999999999E-2</v>
      </c>
      <c r="CW131">
        <v>12.19</v>
      </c>
      <c r="CX131">
        <v>1.37</v>
      </c>
    </row>
    <row r="132" spans="1:104">
      <c r="A132" t="s">
        <v>1565</v>
      </c>
      <c r="B132" t="s">
        <v>24</v>
      </c>
      <c r="C132" t="s">
        <v>388</v>
      </c>
      <c r="D132" s="10" t="s">
        <v>1792</v>
      </c>
      <c r="E132" s="10" t="s">
        <v>595</v>
      </c>
      <c r="G132" t="s">
        <v>693</v>
      </c>
      <c r="H132" t="s">
        <v>674</v>
      </c>
      <c r="I132" t="s">
        <v>22</v>
      </c>
      <c r="J132" t="s">
        <v>688</v>
      </c>
      <c r="T132">
        <v>433.65</v>
      </c>
      <c r="BD132">
        <v>1.07</v>
      </c>
      <c r="BE132">
        <v>2.5000000000000001E-2</v>
      </c>
      <c r="BH132">
        <v>8.64</v>
      </c>
      <c r="BI132">
        <v>0.43</v>
      </c>
      <c r="BK132">
        <f>1.045*0.1</f>
        <v>0.1045</v>
      </c>
      <c r="BL132">
        <v>1.7000000000000001E-2</v>
      </c>
      <c r="BO132">
        <v>9124</v>
      </c>
      <c r="BP132">
        <v>113</v>
      </c>
      <c r="BQ132">
        <v>0.18955</v>
      </c>
      <c r="BR132">
        <v>8.4999999999999995E-4</v>
      </c>
      <c r="CC132">
        <v>2.0099999999999998</v>
      </c>
      <c r="CD132">
        <v>0.1</v>
      </c>
      <c r="CG132">
        <v>2.2800000000000001E-2</v>
      </c>
      <c r="CH132">
        <v>5.1999999999999998E-3</v>
      </c>
      <c r="CI132">
        <v>0.436</v>
      </c>
      <c r="CJ132">
        <v>2.4E-2</v>
      </c>
      <c r="CK132">
        <v>6.82</v>
      </c>
      <c r="CL132">
        <v>0.23</v>
      </c>
      <c r="CM132">
        <v>5.32</v>
      </c>
      <c r="CN132">
        <v>0.16</v>
      </c>
      <c r="CO132">
        <v>6.79</v>
      </c>
      <c r="CP132">
        <v>0.24</v>
      </c>
      <c r="CQ132">
        <v>2.82</v>
      </c>
      <c r="CR132">
        <v>0.15</v>
      </c>
      <c r="CS132">
        <v>2.35</v>
      </c>
      <c r="CT132">
        <v>0.17</v>
      </c>
      <c r="CU132">
        <v>0.81599999999999995</v>
      </c>
      <c r="CV132">
        <v>4.2000000000000003E-2</v>
      </c>
      <c r="CW132">
        <v>10.98</v>
      </c>
      <c r="CX132">
        <v>0.56000000000000005</v>
      </c>
    </row>
    <row r="133" spans="1:104">
      <c r="A133" t="s">
        <v>1565</v>
      </c>
      <c r="B133" t="s">
        <v>24</v>
      </c>
      <c r="C133" t="s">
        <v>388</v>
      </c>
      <c r="D133" s="10" t="s">
        <v>1792</v>
      </c>
      <c r="E133" s="10" t="s">
        <v>595</v>
      </c>
      <c r="G133" t="s">
        <v>693</v>
      </c>
      <c r="H133" t="s">
        <v>674</v>
      </c>
      <c r="I133" t="s">
        <v>685</v>
      </c>
      <c r="J133" t="s">
        <v>689</v>
      </c>
      <c r="T133">
        <v>588.29</v>
      </c>
      <c r="BD133">
        <v>0.246</v>
      </c>
      <c r="BE133">
        <v>8.0000000000000002E-3</v>
      </c>
      <c r="BH133">
        <v>8.52</v>
      </c>
      <c r="BI133">
        <v>0.56999999999999995</v>
      </c>
      <c r="BK133">
        <f>4.379*0.1</f>
        <v>0.43789999999999996</v>
      </c>
      <c r="BL133">
        <v>9.1999999999999998E-2</v>
      </c>
      <c r="BO133">
        <v>725</v>
      </c>
      <c r="BP133">
        <v>4</v>
      </c>
      <c r="BQ133">
        <v>0.18819</v>
      </c>
      <c r="BR133">
        <v>6.8999999999999997E-4</v>
      </c>
      <c r="CC133">
        <v>1.46</v>
      </c>
      <c r="CD133">
        <v>0.1</v>
      </c>
      <c r="CE133">
        <v>0.02</v>
      </c>
      <c r="CF133">
        <v>5.0000000000000001E-3</v>
      </c>
      <c r="CG133">
        <v>3.0700000000000002E-2</v>
      </c>
      <c r="CH133">
        <v>7.1999999999999998E-3</v>
      </c>
      <c r="CI133">
        <v>0.49099999999999999</v>
      </c>
      <c r="CJ133">
        <v>2.4E-2</v>
      </c>
      <c r="CK133">
        <v>6.59</v>
      </c>
      <c r="CL133">
        <v>0.2</v>
      </c>
      <c r="CM133">
        <v>5.33</v>
      </c>
      <c r="CN133">
        <v>0.17</v>
      </c>
      <c r="CO133">
        <v>6.65</v>
      </c>
      <c r="CP133">
        <v>0.22</v>
      </c>
      <c r="CQ133">
        <v>2.64</v>
      </c>
      <c r="CR133">
        <v>0.09</v>
      </c>
      <c r="CS133">
        <v>2.2599999999999998</v>
      </c>
      <c r="CT133">
        <v>7.0000000000000007E-2</v>
      </c>
      <c r="CU133">
        <v>2.7120000000000002</v>
      </c>
      <c r="CV133">
        <v>0.13500000000000001</v>
      </c>
      <c r="CW133">
        <v>9.6</v>
      </c>
      <c r="CX133">
        <v>0.11</v>
      </c>
      <c r="CY133">
        <v>3.2800000000000003E-2</v>
      </c>
      <c r="CZ133">
        <v>1.2999999999999999E-3</v>
      </c>
    </row>
    <row r="134" spans="1:104">
      <c r="A134" t="s">
        <v>1565</v>
      </c>
      <c r="B134" t="s">
        <v>24</v>
      </c>
      <c r="C134" t="s">
        <v>388</v>
      </c>
      <c r="D134" s="10" t="s">
        <v>1792</v>
      </c>
      <c r="E134" s="10" t="s">
        <v>595</v>
      </c>
      <c r="G134" t="s">
        <v>693</v>
      </c>
      <c r="H134" t="s">
        <v>674</v>
      </c>
      <c r="I134" t="s">
        <v>686</v>
      </c>
      <c r="J134" t="s">
        <v>689</v>
      </c>
      <c r="T134">
        <v>588.29</v>
      </c>
      <c r="BD134">
        <v>2.2080000000000002</v>
      </c>
      <c r="BE134">
        <v>6.8000000000000005E-2</v>
      </c>
      <c r="BH134">
        <v>8.19</v>
      </c>
      <c r="BI134">
        <v>0.53</v>
      </c>
      <c r="BK134">
        <f>0.717*0.1</f>
        <v>7.17E-2</v>
      </c>
      <c r="BL134">
        <v>1.6E-2</v>
      </c>
      <c r="BO134">
        <v>28012</v>
      </c>
      <c r="BP134">
        <v>159</v>
      </c>
      <c r="BQ134">
        <v>0.18981000000000001</v>
      </c>
      <c r="BR134">
        <v>1.1199999999999999E-3</v>
      </c>
      <c r="CC134">
        <v>1.06</v>
      </c>
      <c r="CD134">
        <v>7.0000000000000007E-2</v>
      </c>
      <c r="CE134">
        <v>2.07E-2</v>
      </c>
      <c r="CF134">
        <v>7.7999999999999996E-3</v>
      </c>
      <c r="CG134">
        <v>1.9900000000000001E-2</v>
      </c>
      <c r="CH134">
        <v>8.6E-3</v>
      </c>
      <c r="CI134">
        <v>0.46</v>
      </c>
      <c r="CJ134">
        <v>0.04</v>
      </c>
      <c r="CK134">
        <v>6.86</v>
      </c>
      <c r="CL134">
        <v>0.33</v>
      </c>
      <c r="CM134">
        <v>5.34</v>
      </c>
      <c r="CN134">
        <v>0.24</v>
      </c>
      <c r="CO134">
        <v>7.01</v>
      </c>
      <c r="CP134">
        <v>0.31</v>
      </c>
      <c r="CQ134">
        <v>2.76</v>
      </c>
      <c r="CR134">
        <v>0.19</v>
      </c>
      <c r="CS134">
        <v>2.2999999999999998</v>
      </c>
      <c r="CT134">
        <v>0.12</v>
      </c>
      <c r="CU134">
        <v>3.008</v>
      </c>
      <c r="CV134">
        <v>0.14799999999999999</v>
      </c>
      <c r="CW134">
        <v>10.47</v>
      </c>
      <c r="CX134">
        <v>0.16</v>
      </c>
      <c r="CY134">
        <v>4.82E-2</v>
      </c>
      <c r="CZ134">
        <v>8.9999999999999998E-4</v>
      </c>
    </row>
    <row r="135" spans="1:104">
      <c r="A135" t="s">
        <v>1565</v>
      </c>
      <c r="B135" t="s">
        <v>24</v>
      </c>
      <c r="C135" t="s">
        <v>388</v>
      </c>
      <c r="D135" s="10" t="s">
        <v>1792</v>
      </c>
      <c r="E135" s="10" t="s">
        <v>595</v>
      </c>
      <c r="G135" t="s">
        <v>693</v>
      </c>
      <c r="H135" t="s">
        <v>674</v>
      </c>
      <c r="I135" t="s">
        <v>22</v>
      </c>
      <c r="J135" t="s">
        <v>689</v>
      </c>
      <c r="T135">
        <v>588.29</v>
      </c>
      <c r="BD135">
        <v>2.4540000000000002</v>
      </c>
      <c r="BE135">
        <v>6.8000000000000005E-2</v>
      </c>
      <c r="BH135">
        <v>8.2200000000000006</v>
      </c>
      <c r="BI135">
        <v>0.48</v>
      </c>
      <c r="BK135">
        <f>5.096*0.1</f>
        <v>0.50960000000000005</v>
      </c>
      <c r="BL135">
        <v>9.2999999999999999E-2</v>
      </c>
      <c r="BO135">
        <v>4564</v>
      </c>
      <c r="BP135">
        <v>102</v>
      </c>
      <c r="BQ135">
        <v>0.18842</v>
      </c>
      <c r="BR135">
        <v>6.0999999999999997E-4</v>
      </c>
      <c r="CC135">
        <v>2.52</v>
      </c>
      <c r="CD135">
        <v>0.12</v>
      </c>
      <c r="CE135">
        <v>2.0299999999999999E-2</v>
      </c>
      <c r="CF135">
        <v>4.3E-3</v>
      </c>
      <c r="CG135">
        <v>2.6100000000000002E-2</v>
      </c>
      <c r="CH135">
        <v>5.4999999999999997E-3</v>
      </c>
      <c r="CI135">
        <v>0.47799999999999998</v>
      </c>
      <c r="CJ135">
        <v>2.1999999999999999E-2</v>
      </c>
      <c r="CK135">
        <v>6.7</v>
      </c>
      <c r="CL135">
        <v>0.18</v>
      </c>
      <c r="CM135">
        <v>5.34</v>
      </c>
      <c r="CN135">
        <v>0.14000000000000001</v>
      </c>
      <c r="CO135">
        <v>6.8</v>
      </c>
      <c r="CP135">
        <v>0.18</v>
      </c>
      <c r="CQ135">
        <v>2.69</v>
      </c>
      <c r="CR135">
        <v>0.09</v>
      </c>
      <c r="CS135">
        <v>2.2799999999999998</v>
      </c>
      <c r="CT135">
        <v>0.06</v>
      </c>
      <c r="CU135">
        <v>5.7210000000000001</v>
      </c>
      <c r="CV135">
        <v>0.20100000000000001</v>
      </c>
      <c r="CW135">
        <v>10.039999999999999</v>
      </c>
      <c r="CX135">
        <v>0.1</v>
      </c>
      <c r="CY135">
        <v>4.07E-2</v>
      </c>
      <c r="CZ135">
        <v>8.0000000000000004E-4</v>
      </c>
    </row>
    <row r="136" spans="1:104">
      <c r="A136" t="s">
        <v>1565</v>
      </c>
      <c r="B136" t="s">
        <v>24</v>
      </c>
      <c r="C136" t="s">
        <v>388</v>
      </c>
      <c r="D136" s="10" t="s">
        <v>1792</v>
      </c>
      <c r="E136" s="10" t="s">
        <v>595</v>
      </c>
      <c r="G136" t="s">
        <v>693</v>
      </c>
      <c r="H136" t="s">
        <v>674</v>
      </c>
      <c r="I136" t="s">
        <v>685</v>
      </c>
      <c r="J136" t="s">
        <v>687</v>
      </c>
      <c r="T136">
        <v>362.78</v>
      </c>
      <c r="BD136">
        <v>0.26</v>
      </c>
      <c r="BE136">
        <v>8.0000000000000002E-3</v>
      </c>
      <c r="BH136">
        <v>8.2200000000000006</v>
      </c>
      <c r="BI136">
        <v>0.56999999999999995</v>
      </c>
      <c r="BK136">
        <f>0.504*0.1</f>
        <v>5.04E-2</v>
      </c>
      <c r="BL136">
        <v>1.0999999999999999E-2</v>
      </c>
      <c r="BO136">
        <v>3127</v>
      </c>
      <c r="BP136">
        <v>23</v>
      </c>
      <c r="BQ136">
        <v>0.18854000000000001</v>
      </c>
      <c r="BR136">
        <v>1.1000000000000001E-3</v>
      </c>
      <c r="CC136">
        <v>1.43</v>
      </c>
      <c r="CD136">
        <v>0.1</v>
      </c>
      <c r="CE136">
        <v>4.2000000000000003E-2</v>
      </c>
      <c r="CF136">
        <v>9.5999999999999992E-3</v>
      </c>
      <c r="CG136">
        <v>1.8599999999999998E-2</v>
      </c>
      <c r="CH136">
        <v>1.2500000000000001E-2</v>
      </c>
      <c r="CI136">
        <v>0.40899999999999997</v>
      </c>
      <c r="CJ136">
        <v>2.5999999999999999E-2</v>
      </c>
      <c r="CK136">
        <v>6.77</v>
      </c>
      <c r="CL136">
        <v>0.26</v>
      </c>
      <c r="CM136">
        <v>5.0999999999999996</v>
      </c>
      <c r="CN136">
        <v>0.25</v>
      </c>
      <c r="CO136">
        <v>6.67</v>
      </c>
      <c r="CP136">
        <v>0.3</v>
      </c>
      <c r="CQ136">
        <v>2.58</v>
      </c>
      <c r="CR136">
        <v>0.17</v>
      </c>
      <c r="CS136">
        <v>2.17</v>
      </c>
      <c r="CT136">
        <v>0.19</v>
      </c>
      <c r="CU136">
        <v>3.4000000000000002E-2</v>
      </c>
      <c r="CV136">
        <v>2.1000000000000001E-2</v>
      </c>
    </row>
    <row r="137" spans="1:104">
      <c r="A137" t="s">
        <v>1565</v>
      </c>
      <c r="B137" t="s">
        <v>24</v>
      </c>
      <c r="C137" t="s">
        <v>388</v>
      </c>
      <c r="D137" s="10" t="s">
        <v>1792</v>
      </c>
      <c r="E137" s="10" t="s">
        <v>595</v>
      </c>
      <c r="G137" t="s">
        <v>693</v>
      </c>
      <c r="H137" t="s">
        <v>674</v>
      </c>
      <c r="I137" t="s">
        <v>686</v>
      </c>
      <c r="J137" t="s">
        <v>687</v>
      </c>
      <c r="T137">
        <v>362.78</v>
      </c>
      <c r="BD137">
        <v>3.6930000000000001</v>
      </c>
      <c r="BE137">
        <v>0.113</v>
      </c>
      <c r="BH137">
        <v>8.6300000000000008</v>
      </c>
      <c r="BI137">
        <v>0.56000000000000005</v>
      </c>
      <c r="BK137">
        <f>1.123*0.1</f>
        <v>0.11230000000000001</v>
      </c>
      <c r="BL137">
        <v>2.5999999999999999E-2</v>
      </c>
      <c r="BO137">
        <v>34200</v>
      </c>
      <c r="BP137">
        <v>235</v>
      </c>
      <c r="BQ137">
        <v>0.19211</v>
      </c>
      <c r="BR137">
        <v>1.3500000000000001E-3</v>
      </c>
      <c r="CC137">
        <v>1.68</v>
      </c>
      <c r="CD137">
        <v>0.12</v>
      </c>
      <c r="CE137">
        <v>3.5299999999999998E-2</v>
      </c>
      <c r="CF137">
        <v>7.1000000000000004E-3</v>
      </c>
      <c r="CG137">
        <v>3.1399999999999997E-2</v>
      </c>
      <c r="CH137">
        <v>6.6E-3</v>
      </c>
      <c r="CI137">
        <v>0.46100000000000002</v>
      </c>
      <c r="CJ137">
        <v>3.9E-2</v>
      </c>
      <c r="CK137">
        <v>6.8</v>
      </c>
      <c r="CL137">
        <v>0.49</v>
      </c>
      <c r="CM137">
        <v>5.15</v>
      </c>
      <c r="CN137">
        <v>0.36</v>
      </c>
      <c r="CO137">
        <v>6.67</v>
      </c>
      <c r="CP137">
        <v>0.42</v>
      </c>
      <c r="CQ137">
        <v>2.81</v>
      </c>
      <c r="CR137">
        <v>0.2</v>
      </c>
      <c r="CS137">
        <v>2.25</v>
      </c>
      <c r="CT137">
        <v>0.2</v>
      </c>
      <c r="CU137">
        <v>1.881</v>
      </c>
      <c r="CV137">
        <v>9.4E-2</v>
      </c>
      <c r="CW137">
        <v>12.07</v>
      </c>
      <c r="CX137">
        <v>0.22</v>
      </c>
      <c r="CY137">
        <v>6.9000000000000006E-2</v>
      </c>
      <c r="CZ137">
        <v>2.8999999999999998E-3</v>
      </c>
    </row>
    <row r="138" spans="1:104">
      <c r="A138" t="s">
        <v>1565</v>
      </c>
      <c r="B138" t="s">
        <v>24</v>
      </c>
      <c r="C138" t="s">
        <v>388</v>
      </c>
      <c r="D138" s="10" t="s">
        <v>1792</v>
      </c>
      <c r="E138" s="10" t="s">
        <v>595</v>
      </c>
      <c r="G138" t="s">
        <v>693</v>
      </c>
      <c r="H138" t="s">
        <v>674</v>
      </c>
      <c r="I138" t="s">
        <v>22</v>
      </c>
      <c r="J138" t="s">
        <v>687</v>
      </c>
      <c r="T138">
        <v>362.78</v>
      </c>
      <c r="BD138">
        <v>3.9529999999999998</v>
      </c>
      <c r="BE138">
        <v>0.113</v>
      </c>
      <c r="BH138">
        <v>8.6</v>
      </c>
      <c r="BI138">
        <v>0.53</v>
      </c>
      <c r="BK138">
        <f>1.627*0.1</f>
        <v>0.16270000000000001</v>
      </c>
      <c r="BL138">
        <v>2.8000000000000001E-2</v>
      </c>
      <c r="BO138">
        <v>24574</v>
      </c>
      <c r="BP138">
        <v>265</v>
      </c>
      <c r="BQ138">
        <v>0.19101000000000001</v>
      </c>
      <c r="BR138">
        <v>9.8999999999999999E-4</v>
      </c>
      <c r="CC138">
        <v>3.11</v>
      </c>
      <c r="CD138">
        <v>0.16</v>
      </c>
      <c r="CE138">
        <v>3.8399999999999997E-2</v>
      </c>
      <c r="CF138">
        <v>5.7999999999999996E-3</v>
      </c>
      <c r="CG138">
        <v>2.5499999999999998E-2</v>
      </c>
      <c r="CH138">
        <v>6.7999999999999996E-3</v>
      </c>
      <c r="CI138">
        <v>0.437</v>
      </c>
      <c r="CJ138">
        <v>2.4E-2</v>
      </c>
      <c r="CK138">
        <v>6.79</v>
      </c>
      <c r="CL138">
        <v>0.28999999999999998</v>
      </c>
      <c r="CM138">
        <v>5.13</v>
      </c>
      <c r="CN138">
        <v>0.22</v>
      </c>
      <c r="CO138">
        <v>6.67</v>
      </c>
      <c r="CP138">
        <v>0.27</v>
      </c>
      <c r="CQ138">
        <v>2.7</v>
      </c>
      <c r="CR138">
        <v>0.14000000000000001</v>
      </c>
      <c r="CS138">
        <v>2.21</v>
      </c>
      <c r="CT138">
        <v>0.14000000000000001</v>
      </c>
      <c r="CU138">
        <v>1.915</v>
      </c>
      <c r="CV138">
        <v>9.6000000000000002E-2</v>
      </c>
    </row>
    <row r="139" spans="1:104">
      <c r="A139" t="s">
        <v>1565</v>
      </c>
      <c r="B139" t="s">
        <v>24</v>
      </c>
      <c r="C139" t="s">
        <v>388</v>
      </c>
      <c r="D139" s="10" t="s">
        <v>1792</v>
      </c>
      <c r="E139" s="10" t="s">
        <v>595</v>
      </c>
      <c r="G139" t="s">
        <v>693</v>
      </c>
      <c r="H139" t="s">
        <v>674</v>
      </c>
      <c r="I139" t="s">
        <v>685</v>
      </c>
      <c r="J139" t="s">
        <v>692</v>
      </c>
      <c r="T139">
        <v>356.21</v>
      </c>
      <c r="BD139">
        <v>0.29299999999999998</v>
      </c>
      <c r="BE139">
        <v>8.9999999999999993E-3</v>
      </c>
      <c r="BH139">
        <v>8.1</v>
      </c>
      <c r="BI139">
        <v>0.54</v>
      </c>
      <c r="BK139">
        <f>0.796*0.1</f>
        <v>7.9600000000000004E-2</v>
      </c>
      <c r="BL139">
        <v>1.7000000000000001E-2</v>
      </c>
      <c r="BO139">
        <v>3615</v>
      </c>
      <c r="BP139">
        <v>22</v>
      </c>
      <c r="BQ139">
        <v>0.18793000000000001</v>
      </c>
      <c r="BR139">
        <v>9.1E-4</v>
      </c>
      <c r="CC139">
        <v>1.43</v>
      </c>
      <c r="CD139">
        <v>0.1</v>
      </c>
      <c r="CE139">
        <v>1.61E-2</v>
      </c>
      <c r="CF139">
        <v>4.3E-3</v>
      </c>
      <c r="CG139">
        <v>2.1000000000000001E-2</v>
      </c>
      <c r="CH139">
        <v>6.4000000000000003E-3</v>
      </c>
      <c r="CI139">
        <v>0.42199999999999999</v>
      </c>
      <c r="CJ139">
        <v>1.7000000000000001E-2</v>
      </c>
      <c r="CK139">
        <v>6.26</v>
      </c>
      <c r="CL139">
        <v>0.19</v>
      </c>
      <c r="CM139">
        <v>5.1100000000000003</v>
      </c>
      <c r="CN139">
        <v>0.18</v>
      </c>
      <c r="CO139">
        <v>6.3</v>
      </c>
      <c r="CP139">
        <v>0.22</v>
      </c>
      <c r="CQ139">
        <v>2.4</v>
      </c>
      <c r="CR139">
        <v>0.11</v>
      </c>
      <c r="CS139">
        <v>2.0099999999999998</v>
      </c>
      <c r="CT139">
        <v>0.1</v>
      </c>
      <c r="CU139">
        <v>0.60699999999999998</v>
      </c>
      <c r="CV139">
        <v>3.4000000000000002E-2</v>
      </c>
      <c r="CW139">
        <v>10.42</v>
      </c>
      <c r="CX139">
        <v>0.56999999999999995</v>
      </c>
      <c r="CY139">
        <v>4.41E-2</v>
      </c>
      <c r="CZ139">
        <v>3.0000000000000001E-3</v>
      </c>
    </row>
    <row r="140" spans="1:104">
      <c r="A140" t="s">
        <v>1565</v>
      </c>
      <c r="B140" t="s">
        <v>24</v>
      </c>
      <c r="C140" t="s">
        <v>388</v>
      </c>
      <c r="D140" s="10" t="s">
        <v>1792</v>
      </c>
      <c r="E140" s="10" t="s">
        <v>595</v>
      </c>
      <c r="G140" t="s">
        <v>693</v>
      </c>
      <c r="H140" t="s">
        <v>674</v>
      </c>
      <c r="I140" t="s">
        <v>686</v>
      </c>
      <c r="J140" t="s">
        <v>692</v>
      </c>
      <c r="T140">
        <v>356.21</v>
      </c>
      <c r="BD140">
        <v>1.577</v>
      </c>
      <c r="BE140">
        <v>4.8000000000000001E-2</v>
      </c>
      <c r="BH140">
        <v>12.26</v>
      </c>
      <c r="BI140">
        <v>0.8</v>
      </c>
      <c r="BK140">
        <f>0.619*0.1</f>
        <v>6.1900000000000004E-2</v>
      </c>
      <c r="BL140">
        <v>1.4999999999999999E-2</v>
      </c>
      <c r="BO140">
        <v>23979</v>
      </c>
      <c r="BP140">
        <v>156</v>
      </c>
      <c r="BQ140">
        <v>0.19094</v>
      </c>
      <c r="BR140">
        <v>1.01E-3</v>
      </c>
      <c r="CC140">
        <v>1.28</v>
      </c>
      <c r="CD140">
        <v>0.09</v>
      </c>
      <c r="CE140">
        <v>4.5600000000000002E-2</v>
      </c>
      <c r="CF140">
        <v>9.9000000000000008E-3</v>
      </c>
      <c r="CG140">
        <v>4.1300000000000003E-2</v>
      </c>
      <c r="CH140">
        <v>8.8000000000000005E-3</v>
      </c>
      <c r="CI140">
        <v>0.497</v>
      </c>
      <c r="CJ140">
        <v>3.2000000000000001E-2</v>
      </c>
      <c r="CK140">
        <v>7.11</v>
      </c>
      <c r="CL140">
        <v>0.27</v>
      </c>
      <c r="CM140">
        <v>5.52</v>
      </c>
      <c r="CN140">
        <v>0.19</v>
      </c>
      <c r="CO140">
        <v>7.49</v>
      </c>
      <c r="CP140">
        <v>0.3</v>
      </c>
      <c r="CQ140">
        <v>2.79</v>
      </c>
      <c r="CR140">
        <v>0.13</v>
      </c>
      <c r="CS140">
        <v>2.44</v>
      </c>
      <c r="CT140">
        <v>0.12</v>
      </c>
      <c r="CU140">
        <v>1.9259999999999999</v>
      </c>
      <c r="CV140">
        <v>0.107</v>
      </c>
      <c r="CW140">
        <v>10.44</v>
      </c>
      <c r="CX140">
        <v>0.15</v>
      </c>
      <c r="CY140">
        <v>4.5199999999999997E-2</v>
      </c>
      <c r="CZ140">
        <v>1.4E-3</v>
      </c>
    </row>
    <row r="141" spans="1:104">
      <c r="A141" t="s">
        <v>1565</v>
      </c>
      <c r="B141" t="s">
        <v>24</v>
      </c>
      <c r="C141" t="s">
        <v>388</v>
      </c>
      <c r="D141" s="10" t="s">
        <v>1792</v>
      </c>
      <c r="E141" s="10" t="s">
        <v>595</v>
      </c>
      <c r="G141" t="s">
        <v>693</v>
      </c>
      <c r="H141" t="s">
        <v>674</v>
      </c>
      <c r="I141" t="s">
        <v>22</v>
      </c>
      <c r="J141" t="s">
        <v>692</v>
      </c>
      <c r="T141">
        <v>356.21</v>
      </c>
      <c r="BD141">
        <v>1.871</v>
      </c>
      <c r="BE141">
        <v>4.9000000000000002E-2</v>
      </c>
      <c r="BH141">
        <v>11.6</v>
      </c>
      <c r="BI141">
        <v>0.68</v>
      </c>
      <c r="BK141">
        <f>1.415*0.1</f>
        <v>0.14150000000000001</v>
      </c>
      <c r="BL141">
        <v>2.1999999999999999E-2</v>
      </c>
      <c r="BO141">
        <v>12519</v>
      </c>
      <c r="BP141">
        <v>173</v>
      </c>
      <c r="BQ141">
        <v>0.18925</v>
      </c>
      <c r="BR141">
        <v>6.8000000000000005E-4</v>
      </c>
      <c r="CC141">
        <v>2.71</v>
      </c>
      <c r="CD141">
        <v>0.13</v>
      </c>
      <c r="CE141">
        <v>0.03</v>
      </c>
      <c r="CF141">
        <v>5.3E-3</v>
      </c>
      <c r="CG141">
        <v>3.0599999999999999E-2</v>
      </c>
      <c r="CH141">
        <v>5.4000000000000003E-3</v>
      </c>
      <c r="CI141">
        <v>0.45800000000000002</v>
      </c>
      <c r="CJ141">
        <v>1.7999999999999999E-2</v>
      </c>
      <c r="CK141">
        <v>6.66</v>
      </c>
      <c r="CL141">
        <v>0.16</v>
      </c>
      <c r="CM141">
        <v>5.3</v>
      </c>
      <c r="CN141">
        <v>0.13</v>
      </c>
      <c r="CO141">
        <v>6.86</v>
      </c>
      <c r="CP141">
        <v>0.19</v>
      </c>
      <c r="CQ141">
        <v>2.58</v>
      </c>
      <c r="CR141">
        <v>0.09</v>
      </c>
      <c r="CS141">
        <v>2.2200000000000002</v>
      </c>
      <c r="CT141">
        <v>0.08</v>
      </c>
      <c r="CU141">
        <v>2.5329999999999999</v>
      </c>
      <c r="CV141">
        <v>0.122</v>
      </c>
      <c r="CW141">
        <v>10.44</v>
      </c>
      <c r="CX141">
        <v>0.18</v>
      </c>
      <c r="CY141">
        <v>4.4900000000000002E-2</v>
      </c>
      <c r="CZ141">
        <v>1.2999999999999999E-3</v>
      </c>
    </row>
    <row r="142" spans="1:104">
      <c r="A142" t="s">
        <v>1565</v>
      </c>
      <c r="B142" t="s">
        <v>24</v>
      </c>
      <c r="C142" t="s">
        <v>388</v>
      </c>
      <c r="D142" s="10" t="s">
        <v>1792</v>
      </c>
      <c r="E142" s="10" t="s">
        <v>595</v>
      </c>
      <c r="G142" t="s">
        <v>693</v>
      </c>
      <c r="H142" t="s">
        <v>674</v>
      </c>
      <c r="I142" t="s">
        <v>685</v>
      </c>
      <c r="J142" t="s">
        <v>690</v>
      </c>
      <c r="T142">
        <v>601.49</v>
      </c>
      <c r="BD142">
        <v>0.14399999999999999</v>
      </c>
      <c r="BE142">
        <v>5.0000000000000001E-3</v>
      </c>
      <c r="BH142">
        <v>9.31</v>
      </c>
      <c r="BI142">
        <v>0.35</v>
      </c>
      <c r="BK142">
        <f>0.714*0.1</f>
        <v>7.1400000000000005E-2</v>
      </c>
      <c r="BL142">
        <v>1.6E-2</v>
      </c>
      <c r="BO142">
        <v>1949</v>
      </c>
      <c r="BP142">
        <v>8</v>
      </c>
      <c r="BQ142">
        <v>0.19155</v>
      </c>
      <c r="BR142">
        <v>1.2099999999999999E-3</v>
      </c>
      <c r="CC142">
        <v>0.68</v>
      </c>
      <c r="CD142">
        <v>0.05</v>
      </c>
      <c r="CE142">
        <v>1.5299999999999999E-2</v>
      </c>
      <c r="CF142">
        <v>8.6999999999999994E-3</v>
      </c>
      <c r="CG142">
        <v>1.2E-2</v>
      </c>
      <c r="CH142">
        <v>1.01E-2</v>
      </c>
      <c r="CI142">
        <v>0.46200000000000002</v>
      </c>
      <c r="CJ142">
        <v>4.2999999999999997E-2</v>
      </c>
      <c r="CK142">
        <v>7.01</v>
      </c>
      <c r="CL142">
        <v>0.46</v>
      </c>
      <c r="CM142">
        <v>5.37</v>
      </c>
      <c r="CN142">
        <v>0.4</v>
      </c>
      <c r="CO142">
        <v>7.04</v>
      </c>
      <c r="CP142">
        <v>0.54</v>
      </c>
      <c r="CQ142">
        <v>2.83</v>
      </c>
      <c r="CR142">
        <v>0.26</v>
      </c>
      <c r="CS142">
        <v>2.42</v>
      </c>
      <c r="CT142">
        <v>0.15</v>
      </c>
      <c r="CU142">
        <v>0.53800000000000003</v>
      </c>
      <c r="CV142">
        <v>5.3999999999999999E-2</v>
      </c>
      <c r="CW142">
        <v>10.51</v>
      </c>
      <c r="CX142">
        <v>0.3</v>
      </c>
      <c r="CY142">
        <v>2.9600000000000001E-2</v>
      </c>
      <c r="CZ142">
        <v>2.5000000000000001E-3</v>
      </c>
    </row>
    <row r="143" spans="1:104">
      <c r="A143" t="s">
        <v>1565</v>
      </c>
      <c r="B143" t="s">
        <v>24</v>
      </c>
      <c r="C143" t="s">
        <v>388</v>
      </c>
      <c r="D143" s="10" t="s">
        <v>1792</v>
      </c>
      <c r="E143" s="10" t="s">
        <v>595</v>
      </c>
      <c r="G143" t="s">
        <v>693</v>
      </c>
      <c r="H143" t="s">
        <v>674</v>
      </c>
      <c r="I143" t="s">
        <v>686</v>
      </c>
      <c r="J143" t="s">
        <v>690</v>
      </c>
      <c r="T143">
        <v>601.49</v>
      </c>
      <c r="BD143">
        <v>1.39</v>
      </c>
      <c r="BE143">
        <v>5.0999999999999997E-2</v>
      </c>
      <c r="BH143">
        <v>9.1199999999999992</v>
      </c>
      <c r="BI143">
        <v>0.34</v>
      </c>
      <c r="BK143">
        <f>0.462*0.1</f>
        <v>4.6200000000000005E-2</v>
      </c>
      <c r="BL143">
        <v>0.01</v>
      </c>
      <c r="BO143">
        <v>29143</v>
      </c>
      <c r="BP143">
        <v>130</v>
      </c>
      <c r="BQ143">
        <v>0.19597999999999999</v>
      </c>
      <c r="BR143">
        <v>1E-3</v>
      </c>
      <c r="CC143">
        <v>0.99</v>
      </c>
      <c r="CD143">
        <v>0.08</v>
      </c>
      <c r="CE143">
        <v>1.38E-2</v>
      </c>
      <c r="CF143">
        <v>9.9000000000000008E-3</v>
      </c>
      <c r="CG143">
        <v>2.4400000000000002E-2</v>
      </c>
      <c r="CH143">
        <v>6.1999999999999998E-3</v>
      </c>
      <c r="CI143">
        <v>0.57799999999999996</v>
      </c>
      <c r="CJ143">
        <v>4.3999999999999997E-2</v>
      </c>
      <c r="CK143">
        <v>7.72</v>
      </c>
      <c r="CL143">
        <v>0.48</v>
      </c>
      <c r="CM143">
        <v>5.76</v>
      </c>
      <c r="CN143">
        <v>0.34</v>
      </c>
      <c r="CO143">
        <v>7.73</v>
      </c>
      <c r="CP143">
        <v>0.45</v>
      </c>
      <c r="CQ143">
        <v>3.01</v>
      </c>
      <c r="CR143">
        <v>0.28000000000000003</v>
      </c>
      <c r="CS143">
        <v>2.64</v>
      </c>
      <c r="CT143">
        <v>0.2</v>
      </c>
      <c r="CU143">
        <v>2.4860000000000002</v>
      </c>
      <c r="CV143">
        <v>9.1999999999999998E-2</v>
      </c>
      <c r="CW143">
        <v>10.59</v>
      </c>
      <c r="CX143">
        <v>0.12</v>
      </c>
      <c r="CY143">
        <v>3.8300000000000001E-2</v>
      </c>
      <c r="CZ143">
        <v>1.5E-3</v>
      </c>
    </row>
    <row r="144" spans="1:104">
      <c r="A144" t="s">
        <v>1565</v>
      </c>
      <c r="B144" t="s">
        <v>24</v>
      </c>
      <c r="C144" t="s">
        <v>388</v>
      </c>
      <c r="D144" s="10" t="s">
        <v>1792</v>
      </c>
      <c r="E144" s="10" t="s">
        <v>595</v>
      </c>
      <c r="G144" t="s">
        <v>693</v>
      </c>
      <c r="H144" t="s">
        <v>674</v>
      </c>
      <c r="I144" t="s">
        <v>22</v>
      </c>
      <c r="J144" t="s">
        <v>690</v>
      </c>
      <c r="T144">
        <v>601.49</v>
      </c>
      <c r="BD144">
        <v>1.534</v>
      </c>
      <c r="BE144">
        <v>5.0999999999999997E-2</v>
      </c>
      <c r="BH144">
        <v>9.14</v>
      </c>
      <c r="BI144">
        <v>0.31</v>
      </c>
      <c r="BK144">
        <f>1.176*0.1</f>
        <v>0.1176</v>
      </c>
      <c r="BL144">
        <v>1.9E-2</v>
      </c>
      <c r="BO144">
        <v>12627</v>
      </c>
      <c r="BP144">
        <v>210</v>
      </c>
      <c r="BQ144">
        <v>0.19328999999999999</v>
      </c>
      <c r="BR144">
        <v>8.3000000000000001E-4</v>
      </c>
      <c r="CC144">
        <v>1.67</v>
      </c>
      <c r="CD144">
        <v>0.09</v>
      </c>
      <c r="CE144">
        <v>1.44E-2</v>
      </c>
      <c r="CF144">
        <v>6.7999999999999996E-3</v>
      </c>
      <c r="CG144">
        <v>1.9300000000000001E-2</v>
      </c>
      <c r="CH144">
        <v>5.4999999999999997E-3</v>
      </c>
      <c r="CI144">
        <v>0.53100000000000003</v>
      </c>
      <c r="CJ144">
        <v>3.1E-2</v>
      </c>
      <c r="CK144">
        <v>7.43</v>
      </c>
      <c r="CL144">
        <v>0.34</v>
      </c>
      <c r="CM144">
        <v>5.6</v>
      </c>
      <c r="CN144">
        <v>0.26</v>
      </c>
      <c r="CO144">
        <v>7.45</v>
      </c>
      <c r="CP144">
        <v>0.35</v>
      </c>
      <c r="CQ144">
        <v>2.94</v>
      </c>
      <c r="CR144">
        <v>0.2</v>
      </c>
      <c r="CS144">
        <v>2.5499999999999998</v>
      </c>
      <c r="CT144">
        <v>0.13</v>
      </c>
      <c r="CU144">
        <v>3.024</v>
      </c>
      <c r="CV144">
        <v>0.107</v>
      </c>
      <c r="CW144">
        <v>10.58</v>
      </c>
      <c r="CX144">
        <v>0.11</v>
      </c>
      <c r="CY144">
        <v>3.6799999999999999E-2</v>
      </c>
      <c r="CZ144">
        <v>1.2999999999999999E-3</v>
      </c>
    </row>
    <row r="145" spans="1:106">
      <c r="A145" t="s">
        <v>1565</v>
      </c>
      <c r="B145" t="s">
        <v>24</v>
      </c>
      <c r="C145" t="s">
        <v>388</v>
      </c>
      <c r="D145" s="10" t="s">
        <v>1792</v>
      </c>
      <c r="E145" s="10" t="s">
        <v>595</v>
      </c>
      <c r="G145" t="s">
        <v>693</v>
      </c>
      <c r="H145" t="s">
        <v>674</v>
      </c>
      <c r="I145" t="s">
        <v>685</v>
      </c>
      <c r="J145" t="s">
        <v>691</v>
      </c>
      <c r="T145">
        <v>483.16</v>
      </c>
      <c r="BD145">
        <v>0.25</v>
      </c>
      <c r="BE145">
        <v>9.1999999999999998E-2</v>
      </c>
      <c r="BH145">
        <v>7.73</v>
      </c>
      <c r="BI145">
        <v>0.3</v>
      </c>
      <c r="BK145">
        <f>1.295*0.1</f>
        <v>0.1295</v>
      </c>
      <c r="BL145">
        <v>2.8000000000000001E-2</v>
      </c>
      <c r="BO145">
        <v>2348</v>
      </c>
      <c r="BP145">
        <v>11</v>
      </c>
      <c r="BQ145">
        <v>0.18976999999999999</v>
      </c>
      <c r="BR145">
        <v>8.4000000000000003E-4</v>
      </c>
      <c r="CC145">
        <v>1.05</v>
      </c>
      <c r="CD145">
        <v>0.08</v>
      </c>
      <c r="CE145">
        <v>2.5700000000000001E-2</v>
      </c>
      <c r="CF145">
        <v>7.6E-3</v>
      </c>
      <c r="CG145">
        <v>1.7999999999999999E-2</v>
      </c>
      <c r="CH145">
        <v>6.3E-3</v>
      </c>
      <c r="CI145">
        <v>0.433</v>
      </c>
      <c r="CJ145">
        <v>3.4000000000000002E-2</v>
      </c>
      <c r="CK145">
        <v>5.68</v>
      </c>
      <c r="CL145">
        <v>0.36</v>
      </c>
      <c r="CM145">
        <v>4.07</v>
      </c>
      <c r="CN145">
        <v>0.13</v>
      </c>
      <c r="CO145">
        <v>5.96</v>
      </c>
      <c r="CP145">
        <v>0.31</v>
      </c>
      <c r="CQ145">
        <v>2.38</v>
      </c>
      <c r="CR145">
        <v>0.18</v>
      </c>
      <c r="CS145">
        <v>2.11</v>
      </c>
      <c r="CT145">
        <v>0.14000000000000001</v>
      </c>
      <c r="CU145">
        <v>1.1759999999999999</v>
      </c>
      <c r="CV145">
        <v>7.6999999999999999E-2</v>
      </c>
      <c r="CW145">
        <v>10.76</v>
      </c>
      <c r="CX145">
        <v>0.56000000000000005</v>
      </c>
    </row>
    <row r="146" spans="1:106">
      <c r="A146" t="s">
        <v>1565</v>
      </c>
      <c r="B146" t="s">
        <v>24</v>
      </c>
      <c r="C146" t="s">
        <v>388</v>
      </c>
      <c r="D146" s="10" t="s">
        <v>1792</v>
      </c>
      <c r="E146" s="10" t="s">
        <v>595</v>
      </c>
      <c r="G146" t="s">
        <v>693</v>
      </c>
      <c r="H146" t="s">
        <v>674</v>
      </c>
      <c r="I146" t="s">
        <v>686</v>
      </c>
      <c r="J146" t="s">
        <v>691</v>
      </c>
      <c r="T146">
        <v>483.16</v>
      </c>
      <c r="BD146">
        <v>1.351</v>
      </c>
      <c r="BE146">
        <v>0.05</v>
      </c>
      <c r="BH146">
        <v>5.28</v>
      </c>
      <c r="BI146">
        <v>0.02</v>
      </c>
      <c r="BK146">
        <f>0.713*0.1</f>
        <v>7.1300000000000002E-2</v>
      </c>
      <c r="BL146">
        <v>1.6E-2</v>
      </c>
      <c r="BO146">
        <v>14759</v>
      </c>
      <c r="BP146">
        <v>58</v>
      </c>
      <c r="BQ146">
        <v>0.19192000000000001</v>
      </c>
      <c r="BR146">
        <v>9.1E-4</v>
      </c>
      <c r="CC146">
        <v>1.49</v>
      </c>
      <c r="CD146">
        <v>0.11</v>
      </c>
      <c r="CE146">
        <v>2.5399999999999999E-2</v>
      </c>
      <c r="CF146">
        <v>8.6999999999999994E-3</v>
      </c>
      <c r="CG146">
        <v>2.24E-2</v>
      </c>
      <c r="CH146">
        <v>4.7000000000000002E-3</v>
      </c>
      <c r="CI146">
        <v>0.443</v>
      </c>
      <c r="CJ146">
        <v>2.7E-2</v>
      </c>
      <c r="CK146">
        <v>6.67</v>
      </c>
      <c r="CL146">
        <v>0.23</v>
      </c>
      <c r="CM146">
        <v>5.42</v>
      </c>
      <c r="CN146">
        <v>0.23</v>
      </c>
      <c r="CO146">
        <v>6.93</v>
      </c>
      <c r="CP146">
        <v>0.24</v>
      </c>
      <c r="CQ146">
        <v>2.72</v>
      </c>
      <c r="CR146">
        <v>0.12</v>
      </c>
      <c r="CS146">
        <v>2.2200000000000002</v>
      </c>
      <c r="CT146">
        <v>0.1</v>
      </c>
      <c r="CU146">
        <v>3.8540000000000001</v>
      </c>
      <c r="CV146">
        <v>0.14599999999999999</v>
      </c>
      <c r="CW146">
        <v>9.9600000000000009</v>
      </c>
      <c r="CX146">
        <v>0.14000000000000001</v>
      </c>
      <c r="CY146">
        <v>2.8799999999999999E-2</v>
      </c>
      <c r="CZ146">
        <v>1E-3</v>
      </c>
    </row>
    <row r="147" spans="1:106">
      <c r="A147" t="s">
        <v>1565</v>
      </c>
      <c r="B147" t="s">
        <v>24</v>
      </c>
      <c r="C147" t="s">
        <v>388</v>
      </c>
      <c r="D147" s="10" t="s">
        <v>1792</v>
      </c>
      <c r="E147" s="10" t="s">
        <v>595</v>
      </c>
      <c r="G147" t="s">
        <v>693</v>
      </c>
      <c r="H147" t="s">
        <v>674</v>
      </c>
      <c r="I147" t="s">
        <v>22</v>
      </c>
      <c r="J147" t="s">
        <v>691</v>
      </c>
      <c r="T147">
        <v>483.16</v>
      </c>
      <c r="BD147">
        <v>1.601</v>
      </c>
      <c r="BE147">
        <v>5.0999999999999997E-2</v>
      </c>
      <c r="BH147">
        <v>5.66</v>
      </c>
      <c r="BI147">
        <v>0.17</v>
      </c>
      <c r="BK147">
        <f>2.009*0.1</f>
        <v>0.2009</v>
      </c>
      <c r="BL147">
        <v>3.3000000000000002E-2</v>
      </c>
      <c r="BO147">
        <v>6754</v>
      </c>
      <c r="BP147">
        <v>91</v>
      </c>
      <c r="BQ147">
        <v>0.19053</v>
      </c>
      <c r="BR147">
        <v>6.3000000000000003E-4</v>
      </c>
      <c r="CC147">
        <v>2.5299999999999998</v>
      </c>
      <c r="CD147">
        <v>0.13</v>
      </c>
      <c r="CE147">
        <v>2.5600000000000001E-2</v>
      </c>
      <c r="CF147">
        <v>6.0000000000000001E-3</v>
      </c>
      <c r="CG147">
        <v>2.06E-2</v>
      </c>
      <c r="CH147">
        <v>3.8E-3</v>
      </c>
      <c r="CI147">
        <v>0.439</v>
      </c>
      <c r="CJ147">
        <v>2.1000000000000001E-2</v>
      </c>
      <c r="CK147">
        <v>6.26</v>
      </c>
      <c r="CL147">
        <v>0.2</v>
      </c>
      <c r="CM147">
        <v>4.8600000000000003</v>
      </c>
      <c r="CN147">
        <v>0.15</v>
      </c>
      <c r="CO147">
        <v>6.53</v>
      </c>
      <c r="CP147">
        <v>0.19</v>
      </c>
      <c r="CQ147">
        <v>2.58</v>
      </c>
      <c r="CR147">
        <v>0.1</v>
      </c>
      <c r="CS147">
        <v>2.17</v>
      </c>
      <c r="CT147">
        <v>0.08</v>
      </c>
      <c r="CU147">
        <v>50.03</v>
      </c>
      <c r="CV147">
        <v>0.16500000000000001</v>
      </c>
      <c r="CW147">
        <v>10.14</v>
      </c>
      <c r="CX147">
        <v>0.16</v>
      </c>
    </row>
    <row r="148" spans="1:106">
      <c r="A148" t="s">
        <v>1566</v>
      </c>
      <c r="B148" t="s">
        <v>24</v>
      </c>
      <c r="C148" t="s">
        <v>388</v>
      </c>
      <c r="D148" s="10" t="s">
        <v>342</v>
      </c>
      <c r="E148" s="10" t="s">
        <v>703</v>
      </c>
      <c r="G148" t="s">
        <v>693</v>
      </c>
      <c r="H148" t="s">
        <v>128</v>
      </c>
      <c r="I148" t="s">
        <v>694</v>
      </c>
      <c r="J148" t="s">
        <v>695</v>
      </c>
      <c r="K148">
        <v>3</v>
      </c>
      <c r="T148">
        <v>4.0999999999999996</v>
      </c>
      <c r="V148">
        <v>7.5</v>
      </c>
      <c r="AB148">
        <v>20.399999999999999</v>
      </c>
      <c r="AZ148">
        <v>670</v>
      </c>
      <c r="BK148">
        <v>0.6</v>
      </c>
      <c r="BM148">
        <v>3.42</v>
      </c>
    </row>
    <row r="149" spans="1:106">
      <c r="A149" t="s">
        <v>1566</v>
      </c>
      <c r="B149" t="s">
        <v>24</v>
      </c>
      <c r="C149" t="s">
        <v>388</v>
      </c>
      <c r="D149" s="10" t="s">
        <v>342</v>
      </c>
      <c r="E149" s="10" t="s">
        <v>703</v>
      </c>
      <c r="G149" t="s">
        <v>693</v>
      </c>
      <c r="H149" t="s">
        <v>128</v>
      </c>
      <c r="I149" t="s">
        <v>161</v>
      </c>
      <c r="J149" t="s">
        <v>695</v>
      </c>
      <c r="K149">
        <v>3</v>
      </c>
      <c r="T149">
        <v>3.3</v>
      </c>
      <c r="V149">
        <v>1.1000000000000001</v>
      </c>
      <c r="AB149">
        <v>3.2</v>
      </c>
      <c r="AZ149">
        <v>940</v>
      </c>
      <c r="BK149">
        <v>0.3</v>
      </c>
      <c r="BM149">
        <v>780</v>
      </c>
    </row>
    <row r="150" spans="1:106">
      <c r="A150" t="s">
        <v>1566</v>
      </c>
      <c r="B150" t="s">
        <v>24</v>
      </c>
      <c r="C150" t="s">
        <v>388</v>
      </c>
      <c r="D150" s="10" t="s">
        <v>342</v>
      </c>
      <c r="E150" s="10" t="s">
        <v>703</v>
      </c>
      <c r="G150" t="s">
        <v>693</v>
      </c>
      <c r="H150" t="s">
        <v>128</v>
      </c>
      <c r="I150" t="s">
        <v>694</v>
      </c>
      <c r="J150" t="s">
        <v>696</v>
      </c>
      <c r="K150">
        <v>2</v>
      </c>
      <c r="T150">
        <v>6.4</v>
      </c>
      <c r="V150">
        <v>13.8</v>
      </c>
      <c r="AB150">
        <v>29.8</v>
      </c>
      <c r="AZ150">
        <v>760</v>
      </c>
      <c r="BK150">
        <v>1.2</v>
      </c>
      <c r="BM150">
        <v>6990</v>
      </c>
    </row>
    <row r="151" spans="1:106">
      <c r="A151" t="s">
        <v>1566</v>
      </c>
      <c r="B151" t="s">
        <v>24</v>
      </c>
      <c r="C151" t="s">
        <v>388</v>
      </c>
      <c r="D151" s="10" t="s">
        <v>342</v>
      </c>
      <c r="E151" s="10" t="s">
        <v>703</v>
      </c>
      <c r="G151" t="s">
        <v>693</v>
      </c>
      <c r="H151" t="s">
        <v>128</v>
      </c>
      <c r="I151" t="s">
        <v>699</v>
      </c>
      <c r="J151" t="s">
        <v>696</v>
      </c>
      <c r="K151">
        <v>2</v>
      </c>
      <c r="T151">
        <v>1.3</v>
      </c>
      <c r="V151">
        <v>4.9000000000000004</v>
      </c>
      <c r="AB151">
        <v>10.8</v>
      </c>
      <c r="AZ151">
        <v>760</v>
      </c>
      <c r="BK151">
        <v>2.2999999999999998</v>
      </c>
      <c r="BM151">
        <v>3030</v>
      </c>
    </row>
    <row r="152" spans="1:106">
      <c r="A152" t="s">
        <v>1566</v>
      </c>
      <c r="B152" t="s">
        <v>24</v>
      </c>
      <c r="C152" t="s">
        <v>388</v>
      </c>
      <c r="D152" s="10" t="s">
        <v>342</v>
      </c>
      <c r="E152" s="10" t="s">
        <v>703</v>
      </c>
      <c r="G152" t="s">
        <v>693</v>
      </c>
      <c r="H152" t="s">
        <v>128</v>
      </c>
      <c r="I152" t="s">
        <v>700</v>
      </c>
      <c r="J152" t="s">
        <v>696</v>
      </c>
      <c r="K152">
        <v>2</v>
      </c>
      <c r="T152">
        <v>5.5</v>
      </c>
      <c r="V152">
        <v>3.5</v>
      </c>
      <c r="AB152">
        <v>7.5</v>
      </c>
      <c r="AZ152">
        <v>750</v>
      </c>
      <c r="BK152">
        <v>0.6</v>
      </c>
      <c r="BM152">
        <v>1820</v>
      </c>
    </row>
    <row r="153" spans="1:106">
      <c r="A153" t="s">
        <v>1566</v>
      </c>
      <c r="B153" t="s">
        <v>24</v>
      </c>
      <c r="C153" t="s">
        <v>388</v>
      </c>
      <c r="D153" s="10" t="s">
        <v>342</v>
      </c>
      <c r="E153" s="10" t="s">
        <v>703</v>
      </c>
      <c r="G153" t="s">
        <v>693</v>
      </c>
      <c r="H153" t="s">
        <v>128</v>
      </c>
      <c r="I153" t="s">
        <v>694</v>
      </c>
      <c r="J153" t="s">
        <v>697</v>
      </c>
      <c r="K153">
        <v>4</v>
      </c>
      <c r="T153">
        <v>3.2</v>
      </c>
      <c r="V153">
        <v>8.4</v>
      </c>
      <c r="AB153">
        <v>22.7</v>
      </c>
      <c r="AZ153">
        <v>760</v>
      </c>
      <c r="BK153">
        <v>1</v>
      </c>
      <c r="BM153">
        <v>4290</v>
      </c>
    </row>
    <row r="154" spans="1:106">
      <c r="A154" t="s">
        <v>1566</v>
      </c>
      <c r="B154" t="s">
        <v>24</v>
      </c>
      <c r="C154" t="s">
        <v>388</v>
      </c>
      <c r="D154" s="10" t="s">
        <v>342</v>
      </c>
      <c r="E154" s="10" t="s">
        <v>703</v>
      </c>
      <c r="G154" t="s">
        <v>693</v>
      </c>
      <c r="H154" t="s">
        <v>128</v>
      </c>
      <c r="I154" t="s">
        <v>701</v>
      </c>
      <c r="J154" t="s">
        <v>697</v>
      </c>
      <c r="K154">
        <v>4</v>
      </c>
      <c r="T154">
        <v>2.7</v>
      </c>
      <c r="V154">
        <v>3.2</v>
      </c>
      <c r="AB154">
        <v>11.3</v>
      </c>
      <c r="AZ154">
        <v>700</v>
      </c>
      <c r="BK154">
        <v>1.1000000000000001</v>
      </c>
      <c r="BM154">
        <v>1740</v>
      </c>
    </row>
    <row r="155" spans="1:106">
      <c r="A155" t="s">
        <v>1566</v>
      </c>
      <c r="B155" t="s">
        <v>24</v>
      </c>
      <c r="C155" t="s">
        <v>388</v>
      </c>
      <c r="D155" s="10" t="s">
        <v>342</v>
      </c>
      <c r="E155" s="10" t="s">
        <v>703</v>
      </c>
      <c r="G155" t="s">
        <v>693</v>
      </c>
      <c r="H155" t="s">
        <v>128</v>
      </c>
      <c r="I155" t="s">
        <v>699</v>
      </c>
      <c r="J155" t="s">
        <v>697</v>
      </c>
      <c r="K155">
        <v>4</v>
      </c>
      <c r="T155">
        <v>3.3</v>
      </c>
      <c r="V155">
        <v>0.2</v>
      </c>
      <c r="AB155">
        <v>0.6</v>
      </c>
      <c r="BK155">
        <v>0.3</v>
      </c>
      <c r="BM155">
        <v>170</v>
      </c>
    </row>
    <row r="156" spans="1:106">
      <c r="A156" t="s">
        <v>1566</v>
      </c>
      <c r="B156" t="s">
        <v>24</v>
      </c>
      <c r="C156" t="s">
        <v>388</v>
      </c>
      <c r="D156" s="10" t="s">
        <v>342</v>
      </c>
      <c r="E156" s="10" t="s">
        <v>703</v>
      </c>
      <c r="G156" t="s">
        <v>693</v>
      </c>
      <c r="H156" t="s">
        <v>128</v>
      </c>
      <c r="I156" t="s">
        <v>694</v>
      </c>
      <c r="J156" t="s">
        <v>698</v>
      </c>
      <c r="K156">
        <v>3</v>
      </c>
      <c r="T156">
        <v>4.4000000000000004</v>
      </c>
      <c r="V156">
        <v>17.3</v>
      </c>
      <c r="AB156">
        <v>65.2</v>
      </c>
      <c r="AZ156">
        <v>1370</v>
      </c>
      <c r="BK156">
        <v>1.1000000000000001</v>
      </c>
      <c r="BM156">
        <v>15210</v>
      </c>
    </row>
    <row r="157" spans="1:106">
      <c r="A157" t="s">
        <v>1566</v>
      </c>
      <c r="B157" t="s">
        <v>24</v>
      </c>
      <c r="C157" t="s">
        <v>388</v>
      </c>
      <c r="D157" s="10" t="s">
        <v>342</v>
      </c>
      <c r="E157" s="10" t="s">
        <v>703</v>
      </c>
      <c r="G157" t="s">
        <v>693</v>
      </c>
      <c r="H157" t="s">
        <v>128</v>
      </c>
      <c r="I157" t="s">
        <v>161</v>
      </c>
      <c r="J157" t="s">
        <v>698</v>
      </c>
      <c r="K157">
        <v>3</v>
      </c>
      <c r="T157">
        <v>7.4</v>
      </c>
      <c r="V157">
        <v>2.7</v>
      </c>
      <c r="AB157">
        <v>11.1</v>
      </c>
      <c r="AZ157">
        <v>1250</v>
      </c>
      <c r="BK157">
        <v>0.4</v>
      </c>
      <c r="BM157">
        <v>2210</v>
      </c>
    </row>
    <row r="158" spans="1:106">
      <c r="A158" t="s">
        <v>1567</v>
      </c>
      <c r="B158" t="s">
        <v>24</v>
      </c>
      <c r="C158" t="s">
        <v>237</v>
      </c>
      <c r="D158" s="10" t="s">
        <v>849</v>
      </c>
      <c r="E158" s="10" t="s">
        <v>595</v>
      </c>
      <c r="F158">
        <v>364</v>
      </c>
      <c r="G158" t="s">
        <v>850</v>
      </c>
      <c r="H158" t="s">
        <v>1590</v>
      </c>
      <c r="J158" t="s">
        <v>851</v>
      </c>
      <c r="O158">
        <v>478</v>
      </c>
      <c r="T158">
        <v>3.1</v>
      </c>
      <c r="V158">
        <v>11.92</v>
      </c>
      <c r="W158">
        <v>0.44</v>
      </c>
      <c r="X158">
        <v>36.82</v>
      </c>
      <c r="Y158">
        <v>3.52</v>
      </c>
      <c r="Z158">
        <v>1.07</v>
      </c>
      <c r="AA158">
        <v>0.09</v>
      </c>
      <c r="AR158">
        <f>13.71*0.1</f>
        <v>1.3710000000000002</v>
      </c>
      <c r="AS158">
        <v>1.26</v>
      </c>
      <c r="AT158">
        <v>14.59</v>
      </c>
      <c r="AU158">
        <v>1.44</v>
      </c>
      <c r="BB158">
        <v>6.9</v>
      </c>
      <c r="BD158">
        <v>2.1</v>
      </c>
      <c r="BE158">
        <f>8.5*0.01</f>
        <v>8.5000000000000006E-2</v>
      </c>
      <c r="BH158">
        <v>7.84</v>
      </c>
      <c r="BI158">
        <v>0.56000000000000005</v>
      </c>
      <c r="BO158">
        <v>1080.7</v>
      </c>
      <c r="BP158">
        <v>39.700000000000003</v>
      </c>
      <c r="CU158">
        <f>3.4*0.1</f>
        <v>0.34</v>
      </c>
      <c r="CV158">
        <f>3.7*0.01</f>
        <v>3.7000000000000005E-2</v>
      </c>
      <c r="CW158">
        <v>10.039999999999999</v>
      </c>
      <c r="CX158">
        <v>0.04</v>
      </c>
      <c r="CY158">
        <v>3.0700000000000002E-2</v>
      </c>
      <c r="CZ158">
        <v>1.4E-3</v>
      </c>
      <c r="DA158">
        <v>2755.7</v>
      </c>
      <c r="DB158">
        <v>198.1</v>
      </c>
    </row>
    <row r="159" spans="1:106">
      <c r="A159" t="s">
        <v>1567</v>
      </c>
      <c r="B159" t="s">
        <v>24</v>
      </c>
      <c r="C159" t="s">
        <v>237</v>
      </c>
      <c r="D159" s="10" t="s">
        <v>849</v>
      </c>
      <c r="E159" s="10" t="s">
        <v>595</v>
      </c>
      <c r="F159">
        <v>364</v>
      </c>
      <c r="G159" t="s">
        <v>850</v>
      </c>
      <c r="H159" t="s">
        <v>1590</v>
      </c>
      <c r="J159" t="s">
        <v>852</v>
      </c>
      <c r="O159">
        <v>782</v>
      </c>
      <c r="T159">
        <v>0.6</v>
      </c>
      <c r="V159">
        <v>2.5099999999999998</v>
      </c>
      <c r="W159">
        <v>0.06</v>
      </c>
      <c r="X159">
        <v>15.27</v>
      </c>
      <c r="Y159">
        <v>1.34</v>
      </c>
      <c r="Z159">
        <v>0.49</v>
      </c>
      <c r="AA159">
        <v>0.05</v>
      </c>
      <c r="AR159">
        <f>26.98*0.1</f>
        <v>2.6980000000000004</v>
      </c>
      <c r="AS159">
        <v>2.38</v>
      </c>
      <c r="AT159">
        <v>31.8</v>
      </c>
      <c r="AU159">
        <v>3.95</v>
      </c>
      <c r="BB159">
        <v>3.8</v>
      </c>
      <c r="BD159">
        <f>1.6*10</f>
        <v>16</v>
      </c>
      <c r="BE159">
        <f>6.9*0.1</f>
        <v>0.69000000000000006</v>
      </c>
      <c r="BH159">
        <v>10.5</v>
      </c>
      <c r="BI159">
        <v>0.69</v>
      </c>
      <c r="BO159">
        <v>529.5</v>
      </c>
      <c r="BP159">
        <v>35.1</v>
      </c>
      <c r="CU159">
        <f>1.3*0.1</f>
        <v>0.13</v>
      </c>
      <c r="CV159">
        <f>6.4*0.1</f>
        <v>0.64000000000000012</v>
      </c>
      <c r="CW159">
        <v>10.43</v>
      </c>
      <c r="CX159">
        <v>0.14000000000000001</v>
      </c>
      <c r="CY159">
        <v>3.0200000000000001E-2</v>
      </c>
      <c r="CZ159">
        <v>1.1000000000000001E-3</v>
      </c>
      <c r="DA159">
        <v>862.5</v>
      </c>
      <c r="DB159">
        <v>61.8</v>
      </c>
    </row>
    <row r="160" spans="1:106">
      <c r="A160" t="s">
        <v>1567</v>
      </c>
      <c r="B160" t="s">
        <v>24</v>
      </c>
      <c r="C160" t="s">
        <v>237</v>
      </c>
      <c r="D160" s="10" t="s">
        <v>849</v>
      </c>
      <c r="E160" s="10" t="s">
        <v>595</v>
      </c>
      <c r="F160">
        <v>364</v>
      </c>
      <c r="G160" t="s">
        <v>850</v>
      </c>
      <c r="H160" t="s">
        <v>1590</v>
      </c>
      <c r="J160" t="s">
        <v>853</v>
      </c>
      <c r="O160">
        <v>753</v>
      </c>
      <c r="T160">
        <v>0.4</v>
      </c>
      <c r="V160">
        <v>20.260000000000002</v>
      </c>
      <c r="W160">
        <v>0.61</v>
      </c>
      <c r="X160">
        <v>168.58</v>
      </c>
      <c r="Y160">
        <v>6.77</v>
      </c>
      <c r="Z160">
        <v>2.12</v>
      </c>
      <c r="AA160">
        <v>0.17</v>
      </c>
      <c r="AR160">
        <f>36.92*0.1</f>
        <v>3.6920000000000002</v>
      </c>
      <c r="AS160">
        <v>1.38</v>
      </c>
      <c r="AT160">
        <v>16.989999999999998</v>
      </c>
      <c r="AU160">
        <v>1.61</v>
      </c>
      <c r="BB160">
        <v>6</v>
      </c>
      <c r="BD160">
        <f>1.3*10</f>
        <v>13</v>
      </c>
      <c r="BE160">
        <f>5.9*0.1</f>
        <v>0.59000000000000008</v>
      </c>
      <c r="BH160">
        <v>11.23</v>
      </c>
      <c r="BI160">
        <v>0.74</v>
      </c>
      <c r="BO160">
        <v>1667.9</v>
      </c>
      <c r="BP160">
        <v>94</v>
      </c>
      <c r="CU160">
        <v>5.0999999999999996</v>
      </c>
      <c r="CV160">
        <f>2.7*0.1</f>
        <v>0.27</v>
      </c>
      <c r="CW160">
        <v>10.94</v>
      </c>
      <c r="CX160">
        <v>0.22</v>
      </c>
      <c r="CY160">
        <v>3.6799999999999999E-2</v>
      </c>
      <c r="CZ160">
        <v>3.8999999999999998E-3</v>
      </c>
      <c r="DA160">
        <v>1956.9</v>
      </c>
      <c r="DB160">
        <v>122</v>
      </c>
    </row>
    <row r="161" spans="1:106">
      <c r="A161" t="s">
        <v>1567</v>
      </c>
      <c r="B161" t="s">
        <v>24</v>
      </c>
      <c r="C161" t="s">
        <v>237</v>
      </c>
      <c r="D161" s="10" t="s">
        <v>849</v>
      </c>
      <c r="E161" s="10" t="s">
        <v>595</v>
      </c>
      <c r="F161">
        <v>364</v>
      </c>
      <c r="G161" t="s">
        <v>850</v>
      </c>
      <c r="H161" t="s">
        <v>1590</v>
      </c>
      <c r="J161" t="s">
        <v>1588</v>
      </c>
      <c r="BB161">
        <v>5</v>
      </c>
      <c r="CU161">
        <v>3.4</v>
      </c>
      <c r="CV161">
        <f>9*0.001</f>
        <v>9.0000000000000011E-3</v>
      </c>
      <c r="CW161">
        <v>9.99</v>
      </c>
      <c r="CX161">
        <v>0.03</v>
      </c>
      <c r="CY161">
        <v>2.8799999999999999E-2</v>
      </c>
      <c r="CZ161">
        <v>5.9999999999999995E-4</v>
      </c>
    </row>
    <row r="162" spans="1:106">
      <c r="A162" t="s">
        <v>1567</v>
      </c>
      <c r="B162" t="s">
        <v>24</v>
      </c>
      <c r="C162" t="s">
        <v>237</v>
      </c>
      <c r="D162" s="10" t="s">
        <v>849</v>
      </c>
      <c r="E162" s="10" t="s">
        <v>595</v>
      </c>
      <c r="F162">
        <v>364</v>
      </c>
      <c r="G162" t="s">
        <v>850</v>
      </c>
      <c r="H162" t="s">
        <v>1590</v>
      </c>
      <c r="J162" t="s">
        <v>1587</v>
      </c>
      <c r="BB162">
        <v>5.8</v>
      </c>
      <c r="BD162">
        <v>2.2999999999999998</v>
      </c>
      <c r="BE162">
        <f>1.2*0.1</f>
        <v>0.12</v>
      </c>
      <c r="BH162">
        <v>9.9499999999999993</v>
      </c>
      <c r="BI162">
        <v>0.77</v>
      </c>
      <c r="CU162">
        <v>3.6</v>
      </c>
      <c r="CV162">
        <f>1.9*0.1</f>
        <v>0.19</v>
      </c>
      <c r="CW162">
        <v>10.76</v>
      </c>
      <c r="CX162">
        <v>0.37</v>
      </c>
      <c r="CY162">
        <v>3.2099999999999997E-2</v>
      </c>
      <c r="CZ162">
        <v>3.2000000000000002E-3</v>
      </c>
      <c r="DA162">
        <v>352.1</v>
      </c>
      <c r="DB162">
        <v>25.2</v>
      </c>
    </row>
    <row r="163" spans="1:106">
      <c r="A163" t="s">
        <v>1567</v>
      </c>
      <c r="B163" t="s">
        <v>24</v>
      </c>
      <c r="C163" t="s">
        <v>237</v>
      </c>
      <c r="D163" s="10" t="s">
        <v>849</v>
      </c>
      <c r="E163" s="10" t="s">
        <v>595</v>
      </c>
      <c r="F163">
        <v>364</v>
      </c>
      <c r="G163" t="s">
        <v>850</v>
      </c>
      <c r="H163" t="s">
        <v>1591</v>
      </c>
      <c r="J163" t="s">
        <v>854</v>
      </c>
      <c r="O163">
        <v>171</v>
      </c>
      <c r="T163">
        <v>2.9</v>
      </c>
      <c r="V163">
        <v>0.46</v>
      </c>
      <c r="W163">
        <v>0.01</v>
      </c>
      <c r="X163">
        <v>2.74</v>
      </c>
      <c r="Y163">
        <v>0.2</v>
      </c>
      <c r="Z163">
        <v>0.13</v>
      </c>
      <c r="AA163">
        <v>0.01</v>
      </c>
      <c r="AR163">
        <f>26.24*0.1</f>
        <v>2.6240000000000001</v>
      </c>
      <c r="AS163">
        <v>2.0299999999999998</v>
      </c>
      <c r="AT163">
        <v>43.86</v>
      </c>
      <c r="AU163">
        <v>4.62</v>
      </c>
      <c r="BB163">
        <v>7.3</v>
      </c>
      <c r="BD163">
        <f>2.4*0.1</f>
        <v>0.24</v>
      </c>
      <c r="BE163">
        <f>1.3*0.01</f>
        <v>1.3000000000000001E-2</v>
      </c>
      <c r="BH163">
        <v>3.65</v>
      </c>
      <c r="BI163">
        <v>0.78</v>
      </c>
      <c r="BO163">
        <v>456.8</v>
      </c>
      <c r="BP163">
        <v>71.099999999999994</v>
      </c>
      <c r="CU163">
        <v>1.8</v>
      </c>
      <c r="CV163">
        <f>9.6*0.01</f>
        <v>9.6000000000000002E-2</v>
      </c>
      <c r="CW163">
        <v>10.15</v>
      </c>
      <c r="CX163">
        <v>0.86</v>
      </c>
      <c r="CY163">
        <v>2.8799999999999999E-2</v>
      </c>
      <c r="CZ163">
        <v>5.3E-3</v>
      </c>
      <c r="DA163">
        <v>298.60000000000002</v>
      </c>
      <c r="DB163">
        <v>21.4</v>
      </c>
    </row>
    <row r="164" spans="1:106">
      <c r="A164" t="s">
        <v>1567</v>
      </c>
      <c r="B164" t="s">
        <v>24</v>
      </c>
      <c r="C164" t="s">
        <v>237</v>
      </c>
      <c r="D164" s="10" t="s">
        <v>849</v>
      </c>
      <c r="E164" s="10" t="s">
        <v>595</v>
      </c>
      <c r="F164">
        <v>364</v>
      </c>
      <c r="G164" t="s">
        <v>850</v>
      </c>
      <c r="H164" t="s">
        <v>1591</v>
      </c>
      <c r="J164" t="s">
        <v>855</v>
      </c>
      <c r="O164">
        <v>341</v>
      </c>
      <c r="T164">
        <v>1.9</v>
      </c>
      <c r="V164">
        <v>2.76</v>
      </c>
      <c r="W164">
        <v>0.05</v>
      </c>
      <c r="X164">
        <v>25.14</v>
      </c>
      <c r="Y164">
        <v>0.85</v>
      </c>
      <c r="Z164">
        <v>0.25</v>
      </c>
      <c r="AA164">
        <v>0.02</v>
      </c>
      <c r="AR164">
        <f>40.38*0.1</f>
        <v>4.0380000000000003</v>
      </c>
      <c r="AS164">
        <v>1.54</v>
      </c>
      <c r="AT164">
        <v>14.74</v>
      </c>
      <c r="AU164">
        <v>1.44</v>
      </c>
      <c r="BB164">
        <v>5.0999999999999996</v>
      </c>
      <c r="BD164">
        <f>7.5*0.1</f>
        <v>0.75</v>
      </c>
      <c r="BE164">
        <f>3.8*0.01</f>
        <v>3.7999999999999999E-2</v>
      </c>
      <c r="BH164">
        <v>8.6199999999999992</v>
      </c>
      <c r="BI164">
        <v>0.6</v>
      </c>
      <c r="BO164">
        <v>1316.4</v>
      </c>
      <c r="BP164">
        <v>154.6</v>
      </c>
      <c r="CU164">
        <v>2.1</v>
      </c>
      <c r="CV164">
        <f>1.2*0.1</f>
        <v>0.12</v>
      </c>
      <c r="CW164">
        <v>10.51</v>
      </c>
      <c r="CX164">
        <v>0.97</v>
      </c>
      <c r="CY164">
        <v>2.9399999999999999E-2</v>
      </c>
      <c r="CZ164">
        <v>7.0000000000000001E-3</v>
      </c>
      <c r="DA164">
        <v>437.6</v>
      </c>
      <c r="DB164">
        <v>31.4</v>
      </c>
    </row>
    <row r="165" spans="1:106">
      <c r="A165" t="s">
        <v>1567</v>
      </c>
      <c r="B165" t="s">
        <v>24</v>
      </c>
      <c r="C165" t="s">
        <v>237</v>
      </c>
      <c r="D165" s="10" t="s">
        <v>849</v>
      </c>
      <c r="E165" s="10" t="s">
        <v>595</v>
      </c>
      <c r="F165">
        <v>364</v>
      </c>
      <c r="G165" t="s">
        <v>850</v>
      </c>
      <c r="H165" t="s">
        <v>1591</v>
      </c>
      <c r="J165" t="s">
        <v>856</v>
      </c>
      <c r="O165">
        <v>488</v>
      </c>
      <c r="T165">
        <v>1.5</v>
      </c>
      <c r="V165">
        <v>6.21</v>
      </c>
      <c r="W165">
        <v>0.12</v>
      </c>
      <c r="X165">
        <v>28.67</v>
      </c>
      <c r="Y165">
        <v>1.37</v>
      </c>
      <c r="Z165">
        <v>0.5</v>
      </c>
      <c r="AA165">
        <v>0.04</v>
      </c>
      <c r="AR165">
        <f>20.49*0.1</f>
        <v>2.0489999999999999</v>
      </c>
      <c r="AS165">
        <v>1.04</v>
      </c>
      <c r="AT165">
        <v>13</v>
      </c>
      <c r="AU165">
        <v>1.29</v>
      </c>
      <c r="BB165">
        <v>7.1</v>
      </c>
      <c r="BD165">
        <v>1.7</v>
      </c>
      <c r="BE165">
        <f>7.2*0.01</f>
        <v>7.2000000000000008E-2</v>
      </c>
      <c r="BH165">
        <v>4.72</v>
      </c>
      <c r="BI165">
        <v>0.56000000000000005</v>
      </c>
      <c r="BO165">
        <v>2633.3</v>
      </c>
      <c r="BP165">
        <v>159.30000000000001</v>
      </c>
      <c r="CU165">
        <v>1.7</v>
      </c>
      <c r="CV165">
        <f>1.1*0.1</f>
        <v>0.11000000000000001</v>
      </c>
      <c r="CW165">
        <v>9.86</v>
      </c>
      <c r="CX165">
        <v>1.06</v>
      </c>
      <c r="CY165">
        <v>3.2300000000000002E-2</v>
      </c>
      <c r="CZ165">
        <v>7.7000000000000002E-3</v>
      </c>
      <c r="DA165">
        <v>461</v>
      </c>
      <c r="DB165">
        <v>24</v>
      </c>
    </row>
    <row r="166" spans="1:106">
      <c r="A166" t="s">
        <v>1567</v>
      </c>
      <c r="B166" t="s">
        <v>24</v>
      </c>
      <c r="C166" t="s">
        <v>237</v>
      </c>
      <c r="D166" s="10" t="s">
        <v>849</v>
      </c>
      <c r="E166" s="10" t="s">
        <v>595</v>
      </c>
      <c r="F166">
        <v>364</v>
      </c>
      <c r="G166" t="s">
        <v>850</v>
      </c>
      <c r="H166" t="s">
        <v>1592</v>
      </c>
      <c r="J166" t="s">
        <v>857</v>
      </c>
      <c r="O166">
        <v>899</v>
      </c>
      <c r="T166">
        <v>2.6</v>
      </c>
      <c r="V166">
        <v>3.59</v>
      </c>
      <c r="W166">
        <v>7.0000000000000007E-2</v>
      </c>
      <c r="X166">
        <v>12.68</v>
      </c>
      <c r="Y166">
        <v>0.55000000000000004</v>
      </c>
      <c r="Z166">
        <v>0.38</v>
      </c>
      <c r="AA166">
        <v>0.03</v>
      </c>
      <c r="AR166">
        <f>15.68*0.1</f>
        <v>1.5680000000000001</v>
      </c>
      <c r="AS166">
        <v>0.74</v>
      </c>
      <c r="AT166">
        <v>17.260000000000002</v>
      </c>
      <c r="AU166">
        <v>1.64</v>
      </c>
      <c r="BB166">
        <v>6.3</v>
      </c>
      <c r="BD166">
        <f>4*0.1</f>
        <v>0.4</v>
      </c>
      <c r="BE166">
        <f>2.1*0.01</f>
        <v>2.1000000000000001E-2</v>
      </c>
      <c r="BH166">
        <v>7.21</v>
      </c>
      <c r="BI166">
        <v>0.9</v>
      </c>
      <c r="BO166">
        <v>2211.8000000000002</v>
      </c>
      <c r="BP166">
        <v>97.5</v>
      </c>
      <c r="CU166">
        <f>5.8*0.1</f>
        <v>0.57999999999999996</v>
      </c>
      <c r="CV166">
        <f>3.8*0.01</f>
        <v>3.7999999999999999E-2</v>
      </c>
      <c r="CW166">
        <v>9.36</v>
      </c>
      <c r="CX166">
        <v>1.69</v>
      </c>
      <c r="CY166">
        <v>3.3399999999999999E-2</v>
      </c>
      <c r="CZ166">
        <v>1.3899999999999999E-2</v>
      </c>
      <c r="DA166">
        <v>339.1</v>
      </c>
      <c r="DB166">
        <v>24.2</v>
      </c>
    </row>
    <row r="167" spans="1:106">
      <c r="A167" t="s">
        <v>1568</v>
      </c>
      <c r="B167" t="s">
        <v>24</v>
      </c>
      <c r="C167" t="s">
        <v>1394</v>
      </c>
      <c r="D167" s="10" t="s">
        <v>97</v>
      </c>
      <c r="E167" s="10" t="s">
        <v>595</v>
      </c>
      <c r="F167">
        <v>118</v>
      </c>
      <c r="G167" t="s">
        <v>850</v>
      </c>
      <c r="J167" t="s">
        <v>574</v>
      </c>
      <c r="BB167">
        <v>29.1</v>
      </c>
      <c r="BD167">
        <f>0.000000731*10^6</f>
        <v>0.73099999999999998</v>
      </c>
      <c r="BE167">
        <f>0.0000000062*10^6</f>
        <v>6.1999999999999998E-3</v>
      </c>
      <c r="BF167" t="s">
        <v>575</v>
      </c>
      <c r="BG167" t="s">
        <v>543</v>
      </c>
      <c r="BH167" t="s">
        <v>575</v>
      </c>
      <c r="BI167" t="s">
        <v>543</v>
      </c>
      <c r="BM167">
        <f>0.000000452*10^9</f>
        <v>452</v>
      </c>
      <c r="BN167">
        <f>0.0000000179*10^9</f>
        <v>17.900000000000002</v>
      </c>
      <c r="BO167">
        <v>682</v>
      </c>
      <c r="BP167">
        <v>14</v>
      </c>
      <c r="BW167">
        <f>0.0000000000267*10^15</f>
        <v>26700</v>
      </c>
      <c r="BX167">
        <f>0.000000000000891*10^15</f>
        <v>891</v>
      </c>
      <c r="CA167">
        <f>0.00000000000908*10^15</f>
        <v>9080</v>
      </c>
      <c r="CB167">
        <f>0.000000000000329*10^15</f>
        <v>329</v>
      </c>
      <c r="CU167" t="s">
        <v>540</v>
      </c>
      <c r="CV167" t="s">
        <v>543</v>
      </c>
    </row>
    <row r="168" spans="1:106">
      <c r="A168" t="s">
        <v>1568</v>
      </c>
      <c r="B168" t="s">
        <v>24</v>
      </c>
      <c r="C168" t="s">
        <v>1394</v>
      </c>
      <c r="D168" s="10" t="s">
        <v>97</v>
      </c>
      <c r="E168" s="10" t="s">
        <v>595</v>
      </c>
      <c r="F168">
        <v>118</v>
      </c>
      <c r="G168" t="s">
        <v>850</v>
      </c>
      <c r="J168" t="s">
        <v>539</v>
      </c>
      <c r="BB168">
        <v>79.8</v>
      </c>
      <c r="BD168">
        <f>0.00000414*10^6</f>
        <v>4.1400000000000006</v>
      </c>
      <c r="BE168">
        <f>0.0000000342*10^6</f>
        <v>3.4200000000000001E-2</v>
      </c>
      <c r="BF168">
        <v>3.9300000000000003E-11</v>
      </c>
      <c r="BG168">
        <v>8.52E-13</v>
      </c>
      <c r="BH168">
        <v>6.69</v>
      </c>
      <c r="BI168">
        <v>0.15</v>
      </c>
      <c r="BM168">
        <f>0.00000312*10^9</f>
        <v>3120</v>
      </c>
      <c r="BN168">
        <f>0.000000119*10^9</f>
        <v>119</v>
      </c>
      <c r="BO168">
        <v>1543</v>
      </c>
      <c r="BP168">
        <v>15</v>
      </c>
      <c r="BW168">
        <f>0.0000000000826*10^15</f>
        <v>82600</v>
      </c>
      <c r="BX168">
        <f>0.00000000000215*10^15</f>
        <v>2150</v>
      </c>
      <c r="CA168">
        <f>0.0000000000114*10^15</f>
        <v>11400</v>
      </c>
      <c r="CB168">
        <f>0.000000000000213*10^15</f>
        <v>213</v>
      </c>
      <c r="CU168">
        <f>0.000000000805*10^10</f>
        <v>8.0500000000000007</v>
      </c>
      <c r="CV168">
        <f>0.00000000000902*10^10</f>
        <v>9.0200000000000002E-2</v>
      </c>
    </row>
    <row r="169" spans="1:106">
      <c r="A169" t="s">
        <v>1568</v>
      </c>
      <c r="B169" t="s">
        <v>24</v>
      </c>
      <c r="C169" t="s">
        <v>1394</v>
      </c>
      <c r="D169" s="10" t="s">
        <v>97</v>
      </c>
      <c r="E169" s="10" t="s">
        <v>595</v>
      </c>
      <c r="F169">
        <v>118</v>
      </c>
      <c r="G169" t="s">
        <v>850</v>
      </c>
      <c r="J169" t="s">
        <v>542</v>
      </c>
      <c r="BB169">
        <v>47.6</v>
      </c>
      <c r="BD169">
        <f>0.000000349*10^6</f>
        <v>0.34900000000000003</v>
      </c>
      <c r="BE169">
        <f>0.00000000307*10^6</f>
        <v>3.0699999999999998E-3</v>
      </c>
      <c r="BF169">
        <v>1.61E-12</v>
      </c>
      <c r="BG169">
        <v>4.0499999999999999E-13</v>
      </c>
      <c r="BH169">
        <v>3.25</v>
      </c>
      <c r="BI169">
        <v>0.82</v>
      </c>
      <c r="BM169">
        <f>0.0000015*10^9</f>
        <v>1500</v>
      </c>
      <c r="BN169">
        <f>0.0000000571*10^9</f>
        <v>57.1</v>
      </c>
      <c r="BO169">
        <v>1942</v>
      </c>
      <c r="BP169">
        <v>51</v>
      </c>
      <c r="BW169">
        <f>0.0000000000186*10^15</f>
        <v>18600</v>
      </c>
      <c r="BX169">
        <f>0.000000000000614*10^15</f>
        <v>614</v>
      </c>
      <c r="CA169">
        <f>0.0000000000144*10^15</f>
        <v>14400</v>
      </c>
      <c r="CB169">
        <f>0.000000000000105*10^15</f>
        <v>105</v>
      </c>
      <c r="CU169" t="s">
        <v>540</v>
      </c>
      <c r="CV169" t="s">
        <v>543</v>
      </c>
    </row>
    <row r="170" spans="1:106">
      <c r="A170" t="s">
        <v>1568</v>
      </c>
      <c r="B170" t="s">
        <v>24</v>
      </c>
      <c r="C170" t="s">
        <v>1394</v>
      </c>
      <c r="D170" s="10" t="s">
        <v>1728</v>
      </c>
      <c r="E170" s="10" t="s">
        <v>595</v>
      </c>
      <c r="F170" s="118">
        <v>84</v>
      </c>
      <c r="G170" t="s">
        <v>850</v>
      </c>
      <c r="J170" t="s">
        <v>545</v>
      </c>
      <c r="BB170">
        <v>49.8</v>
      </c>
      <c r="BD170">
        <f>0.00000651*10^6</f>
        <v>6.5100000000000007</v>
      </c>
      <c r="BE170">
        <f>0.0000000537*10^6</f>
        <v>5.3699999999999998E-2</v>
      </c>
      <c r="BF170">
        <v>4.3300000000000002E-11</v>
      </c>
      <c r="BG170">
        <v>9.3499999999999995E-13</v>
      </c>
      <c r="BH170">
        <v>4.68</v>
      </c>
      <c r="BI170">
        <v>0.1</v>
      </c>
      <c r="BM170">
        <f>0.000000934*10^9</f>
        <v>934</v>
      </c>
      <c r="BN170">
        <f>0.0000000355*10^9</f>
        <v>35.5</v>
      </c>
      <c r="BO170">
        <v>1104</v>
      </c>
      <c r="BP170">
        <v>20</v>
      </c>
      <c r="BW170" t="s">
        <v>540</v>
      </c>
      <c r="BX170" t="s">
        <v>543</v>
      </c>
      <c r="CA170" t="s">
        <v>540</v>
      </c>
      <c r="CB170" t="s">
        <v>543</v>
      </c>
      <c r="CU170">
        <f>0.000000000409*10^10</f>
        <v>4.09</v>
      </c>
      <c r="CV170">
        <f>0.0000000000291*10^10</f>
        <v>0.29100000000000004</v>
      </c>
    </row>
    <row r="171" spans="1:106">
      <c r="A171" t="s">
        <v>1568</v>
      </c>
      <c r="B171" t="s">
        <v>24</v>
      </c>
      <c r="C171" t="s">
        <v>1394</v>
      </c>
      <c r="D171" s="10" t="s">
        <v>1728</v>
      </c>
      <c r="E171" s="10" t="s">
        <v>595</v>
      </c>
      <c r="F171" s="118">
        <v>84</v>
      </c>
      <c r="G171" t="s">
        <v>850</v>
      </c>
      <c r="J171" t="s">
        <v>547</v>
      </c>
      <c r="BB171">
        <v>36.4</v>
      </c>
      <c r="BD171">
        <f>0.0000205*10^6</f>
        <v>20.5</v>
      </c>
      <c r="BE171">
        <f>0.00000017*10^6</f>
        <v>0.16999999999999998</v>
      </c>
      <c r="BF171">
        <v>1.12E-10</v>
      </c>
      <c r="BG171">
        <v>2.3999999999999999E-12</v>
      </c>
      <c r="BH171">
        <v>3.85</v>
      </c>
      <c r="BI171">
        <v>0.08</v>
      </c>
      <c r="BM171">
        <f>0.000000125*10^9</f>
        <v>125</v>
      </c>
      <c r="BN171">
        <f>0.00000000477*10^9</f>
        <v>4.7699999999999996</v>
      </c>
      <c r="BO171">
        <v>3032</v>
      </c>
      <c r="BP171">
        <v>274</v>
      </c>
      <c r="BW171">
        <f>0.0000000000562*10^15</f>
        <v>56200</v>
      </c>
      <c r="BX171">
        <f>0.00000000000119*10^15</f>
        <v>1190</v>
      </c>
      <c r="CA171">
        <f>0.00000000000652*10^15</f>
        <v>6520</v>
      </c>
      <c r="CB171">
        <f>0.000000000000146*10^15</f>
        <v>146</v>
      </c>
      <c r="CU171">
        <f>0.000000000833*10^10</f>
        <v>8.33</v>
      </c>
      <c r="CV171">
        <f>0.0000000000305*10^10</f>
        <v>0.30499999999999999</v>
      </c>
    </row>
    <row r="172" spans="1:106">
      <c r="A172" t="s">
        <v>1568</v>
      </c>
      <c r="B172" t="s">
        <v>24</v>
      </c>
      <c r="C172" t="s">
        <v>1394</v>
      </c>
      <c r="D172" s="10" t="s">
        <v>1728</v>
      </c>
      <c r="E172" s="10" t="s">
        <v>595</v>
      </c>
      <c r="F172" s="118">
        <v>84</v>
      </c>
      <c r="G172" t="s">
        <v>850</v>
      </c>
      <c r="J172" t="s">
        <v>548</v>
      </c>
      <c r="BB172">
        <v>37.799999999999997</v>
      </c>
      <c r="BD172">
        <f>0.0000174*10^6</f>
        <v>17.399999999999999</v>
      </c>
      <c r="BE172">
        <f>0.000000143*10^6</f>
        <v>0.14299999999999999</v>
      </c>
      <c r="BF172">
        <v>1.27E-10</v>
      </c>
      <c r="BG172">
        <v>2.6799999999999999E-12</v>
      </c>
      <c r="BH172">
        <v>5.15</v>
      </c>
      <c r="BI172">
        <v>0.11</v>
      </c>
      <c r="BM172">
        <f>0.000000891*10^9</f>
        <v>891</v>
      </c>
      <c r="BN172">
        <f>0.000000034*10^9</f>
        <v>34</v>
      </c>
      <c r="BO172">
        <v>1801</v>
      </c>
      <c r="BP172">
        <v>98</v>
      </c>
      <c r="BW172">
        <f>0.0000000000436*10^15</f>
        <v>43600</v>
      </c>
      <c r="BX172">
        <f>0.00000000000105*10^15</f>
        <v>1050</v>
      </c>
      <c r="CA172">
        <f>0.00000000000612*10^15</f>
        <v>6120</v>
      </c>
      <c r="CB172">
        <f>0.000000000000158*10^15</f>
        <v>158</v>
      </c>
      <c r="CU172">
        <f>0.000000000352*10^10</f>
        <v>3.5200000000000005</v>
      </c>
      <c r="CV172">
        <f>0.0000000000386*10^10</f>
        <v>0.38600000000000001</v>
      </c>
    </row>
    <row r="173" spans="1:106">
      <c r="A173" t="s">
        <v>1568</v>
      </c>
      <c r="B173" t="s">
        <v>24</v>
      </c>
      <c r="C173" t="s">
        <v>1394</v>
      </c>
      <c r="D173" s="10" t="s">
        <v>1728</v>
      </c>
      <c r="E173" s="10" t="s">
        <v>595</v>
      </c>
      <c r="F173" s="118">
        <v>84</v>
      </c>
      <c r="G173" t="s">
        <v>850</v>
      </c>
      <c r="J173" t="s">
        <v>549</v>
      </c>
      <c r="BB173">
        <v>17.7</v>
      </c>
      <c r="BD173">
        <f>0.0000104*10^6</f>
        <v>10.4</v>
      </c>
      <c r="BE173">
        <f>0.0000000854*10^6</f>
        <v>8.5400000000000004E-2</v>
      </c>
      <c r="BF173">
        <v>7.3800000000000006E-11</v>
      </c>
      <c r="BG173">
        <v>2.18E-12</v>
      </c>
      <c r="BH173">
        <v>4.99</v>
      </c>
      <c r="BI173">
        <v>0.15</v>
      </c>
      <c r="BM173">
        <f>0.0000009*10^9</f>
        <v>900</v>
      </c>
      <c r="BN173">
        <f>0.0000000359*10^9</f>
        <v>35.9</v>
      </c>
      <c r="BO173">
        <v>1436</v>
      </c>
      <c r="BP173">
        <v>1667</v>
      </c>
      <c r="BW173" t="s">
        <v>540</v>
      </c>
      <c r="BX173" t="s">
        <v>543</v>
      </c>
      <c r="CA173" t="s">
        <v>540</v>
      </c>
      <c r="CB173" t="s">
        <v>543</v>
      </c>
      <c r="CU173">
        <f>0.00000000122*10^10</f>
        <v>12.2</v>
      </c>
      <c r="CV173">
        <f>0.0000000000695*10^10</f>
        <v>0.69500000000000006</v>
      </c>
    </row>
    <row r="174" spans="1:106">
      <c r="A174" t="s">
        <v>1568</v>
      </c>
      <c r="B174" t="s">
        <v>24</v>
      </c>
      <c r="C174" t="s">
        <v>1394</v>
      </c>
      <c r="D174" s="10" t="s">
        <v>1728</v>
      </c>
      <c r="E174" s="10" t="s">
        <v>595</v>
      </c>
      <c r="F174" s="118">
        <v>84</v>
      </c>
      <c r="G174" t="s">
        <v>850</v>
      </c>
      <c r="J174" t="s">
        <v>551</v>
      </c>
      <c r="BB174">
        <v>7.6</v>
      </c>
      <c r="BD174">
        <f>0.0000166*10^6</f>
        <v>16.600000000000001</v>
      </c>
      <c r="BE174">
        <f>0.000000136*10^6</f>
        <v>0.13600000000000001</v>
      </c>
      <c r="BF174">
        <v>8.8099999999999998E-11</v>
      </c>
      <c r="BG174">
        <v>3.0799999999999998E-12</v>
      </c>
      <c r="BH174">
        <v>3.75</v>
      </c>
      <c r="BI174">
        <v>0.13</v>
      </c>
      <c r="BM174" t="s">
        <v>540</v>
      </c>
      <c r="BN174" t="s">
        <v>543</v>
      </c>
      <c r="BO174" t="s">
        <v>540</v>
      </c>
      <c r="BP174" t="s">
        <v>543</v>
      </c>
      <c r="BW174" t="s">
        <v>540</v>
      </c>
      <c r="BX174" t="s">
        <v>543</v>
      </c>
      <c r="CA174" t="s">
        <v>540</v>
      </c>
      <c r="CB174" t="s">
        <v>543</v>
      </c>
      <c r="CU174" t="s">
        <v>540</v>
      </c>
      <c r="CV174" t="s">
        <v>543</v>
      </c>
    </row>
    <row r="175" spans="1:106">
      <c r="A175" t="s">
        <v>1568</v>
      </c>
      <c r="B175" t="s">
        <v>24</v>
      </c>
      <c r="C175" t="s">
        <v>1394</v>
      </c>
      <c r="D175" s="10" t="s">
        <v>1728</v>
      </c>
      <c r="E175" s="10" t="s">
        <v>595</v>
      </c>
      <c r="F175" s="118">
        <v>84</v>
      </c>
      <c r="G175" t="s">
        <v>850</v>
      </c>
      <c r="J175" t="s">
        <v>552</v>
      </c>
      <c r="BB175">
        <v>21.5</v>
      </c>
      <c r="BD175">
        <f>0.00000717*10^6</f>
        <v>7.17</v>
      </c>
      <c r="BE175">
        <f>0.0000000592*10^6</f>
        <v>5.9200000000000003E-2</v>
      </c>
      <c r="BF175">
        <v>4.9799999999999999E-11</v>
      </c>
      <c r="BG175">
        <v>1.81E-12</v>
      </c>
      <c r="BH175">
        <v>4.8899999999999997</v>
      </c>
      <c r="BI175">
        <v>0.18</v>
      </c>
      <c r="BM175">
        <f>0.00000131*10^9</f>
        <v>1310</v>
      </c>
      <c r="BN175">
        <f>0.0000000516*10^9</f>
        <v>51.6</v>
      </c>
      <c r="BO175">
        <v>950</v>
      </c>
      <c r="BP175">
        <v>22</v>
      </c>
      <c r="BW175" t="s">
        <v>540</v>
      </c>
      <c r="BX175" t="s">
        <v>543</v>
      </c>
      <c r="CA175" t="s">
        <v>540</v>
      </c>
      <c r="CB175" t="s">
        <v>543</v>
      </c>
      <c r="CU175">
        <f>0.000000000983*10^10</f>
        <v>9.83</v>
      </c>
      <c r="CV175">
        <f>0.0000000000261*10^10</f>
        <v>0.26100000000000001</v>
      </c>
    </row>
    <row r="176" spans="1:106">
      <c r="A176" t="s">
        <v>1568</v>
      </c>
      <c r="B176" t="s">
        <v>24</v>
      </c>
      <c r="C176" t="s">
        <v>1394</v>
      </c>
      <c r="D176" s="10" t="s">
        <v>1728</v>
      </c>
      <c r="E176" s="10" t="s">
        <v>595</v>
      </c>
      <c r="F176" s="118">
        <v>84</v>
      </c>
      <c r="G176" t="s">
        <v>850</v>
      </c>
      <c r="J176" t="s">
        <v>553</v>
      </c>
      <c r="BB176">
        <v>29.9</v>
      </c>
      <c r="BD176">
        <f>0.0000102*10^6</f>
        <v>10.200000000000001</v>
      </c>
      <c r="BE176">
        <f>0.0000000839*10^6</f>
        <v>8.3900000000000002E-2</v>
      </c>
      <c r="BF176">
        <v>6.7399999999999995E-11</v>
      </c>
      <c r="BG176">
        <v>1.7300000000000001E-12</v>
      </c>
      <c r="BH176">
        <v>4.67</v>
      </c>
      <c r="BI176">
        <v>0.12</v>
      </c>
      <c r="BM176">
        <f>0.000000767*10^9</f>
        <v>767</v>
      </c>
      <c r="BN176">
        <f>0.0000000303*10^9</f>
        <v>30.3</v>
      </c>
      <c r="BO176">
        <v>2765</v>
      </c>
      <c r="BP176">
        <v>326</v>
      </c>
      <c r="BW176">
        <f>0.0000000000501*10^15</f>
        <v>50100</v>
      </c>
      <c r="BX176">
        <f>0.00000000000127*10^15</f>
        <v>1270</v>
      </c>
      <c r="CA176">
        <f>0.00000000000624*10^15</f>
        <v>6240</v>
      </c>
      <c r="CB176">
        <f>0.000000000000142*10^15</f>
        <v>142</v>
      </c>
      <c r="CU176">
        <f>0.000000000337*10^10</f>
        <v>3.37</v>
      </c>
      <c r="CV176">
        <f>0.000000000105*10^10</f>
        <v>1.05</v>
      </c>
    </row>
    <row r="177" spans="1:100">
      <c r="A177" t="s">
        <v>1568</v>
      </c>
      <c r="B177" t="s">
        <v>24</v>
      </c>
      <c r="C177" t="s">
        <v>1394</v>
      </c>
      <c r="D177" s="10" t="s">
        <v>1728</v>
      </c>
      <c r="E177" s="10" t="s">
        <v>595</v>
      </c>
      <c r="F177" s="118">
        <v>84</v>
      </c>
      <c r="G177" t="s">
        <v>850</v>
      </c>
      <c r="J177" t="s">
        <v>554</v>
      </c>
      <c r="BB177">
        <v>12.6</v>
      </c>
      <c r="BD177">
        <f>0.00000336*10^6</f>
        <v>3.36</v>
      </c>
      <c r="BE177">
        <f>0.0000000305*10^6</f>
        <v>3.0500000000000003E-2</v>
      </c>
      <c r="BF177" t="s">
        <v>575</v>
      </c>
      <c r="BG177" t="s">
        <v>543</v>
      </c>
      <c r="BH177" t="s">
        <v>575</v>
      </c>
      <c r="BI177" t="s">
        <v>543</v>
      </c>
      <c r="BM177" t="s">
        <v>540</v>
      </c>
      <c r="BN177" t="s">
        <v>543</v>
      </c>
      <c r="BO177" t="s">
        <v>540</v>
      </c>
      <c r="BP177" t="s">
        <v>543</v>
      </c>
      <c r="BW177" t="s">
        <v>540</v>
      </c>
      <c r="BX177" t="s">
        <v>543</v>
      </c>
      <c r="CA177" t="s">
        <v>540</v>
      </c>
      <c r="CB177" t="s">
        <v>543</v>
      </c>
      <c r="CU177" t="s">
        <v>540</v>
      </c>
      <c r="CV177" t="s">
        <v>543</v>
      </c>
    </row>
    <row r="178" spans="1:100">
      <c r="A178" t="s">
        <v>1568</v>
      </c>
      <c r="B178" t="s">
        <v>24</v>
      </c>
      <c r="C178" t="s">
        <v>1394</v>
      </c>
      <c r="D178" s="10" t="s">
        <v>1728</v>
      </c>
      <c r="E178" s="10" t="s">
        <v>595</v>
      </c>
      <c r="F178" s="118">
        <v>84</v>
      </c>
      <c r="G178" t="s">
        <v>850</v>
      </c>
      <c r="J178" t="s">
        <v>555</v>
      </c>
      <c r="BB178">
        <v>30.4</v>
      </c>
      <c r="BD178">
        <f>0.0000057*10^6</f>
        <v>5.6999999999999993</v>
      </c>
      <c r="BE178">
        <f>0.0000000469*10^6</f>
        <v>4.6900000000000004E-2</v>
      </c>
      <c r="BF178">
        <v>3.9400000000000001E-11</v>
      </c>
      <c r="BG178">
        <v>1.1E-12</v>
      </c>
      <c r="BH178">
        <v>4.87</v>
      </c>
      <c r="BI178">
        <v>0.14000000000000001</v>
      </c>
      <c r="BM178">
        <f>0.000000365*10^9</f>
        <v>365</v>
      </c>
      <c r="BN178">
        <f>0.0000000143*10^9</f>
        <v>14.3</v>
      </c>
      <c r="BO178">
        <v>30178</v>
      </c>
      <c r="BP178">
        <v>45890</v>
      </c>
      <c r="BW178">
        <f>0.0000000000132*10^15</f>
        <v>13200</v>
      </c>
      <c r="BX178">
        <f>0.000000000000257*10^15</f>
        <v>257</v>
      </c>
      <c r="CA178" t="s">
        <v>540</v>
      </c>
      <c r="CB178" t="s">
        <v>543</v>
      </c>
      <c r="CU178">
        <f>0.000000000183*10^10</f>
        <v>1.8299999999999998</v>
      </c>
      <c r="CV178">
        <f>0.000000000136*10^10</f>
        <v>1.3599999999999999</v>
      </c>
    </row>
    <row r="179" spans="1:100">
      <c r="A179" t="s">
        <v>1568</v>
      </c>
      <c r="B179" t="s">
        <v>24</v>
      </c>
      <c r="C179" t="s">
        <v>1394</v>
      </c>
      <c r="D179" s="10" t="s">
        <v>1728</v>
      </c>
      <c r="E179" s="10" t="s">
        <v>595</v>
      </c>
      <c r="F179" s="118">
        <v>84</v>
      </c>
      <c r="G179" t="s">
        <v>850</v>
      </c>
      <c r="J179" t="s">
        <v>557</v>
      </c>
      <c r="BB179">
        <v>73.099999999999994</v>
      </c>
      <c r="BD179">
        <f>0.0000249*10^6</f>
        <v>24.9</v>
      </c>
      <c r="BE179">
        <f>0.000000205*10^6</f>
        <v>0.20499999999999999</v>
      </c>
      <c r="BF179">
        <v>1.71E-10</v>
      </c>
      <c r="BG179">
        <v>3.6199999999999999E-12</v>
      </c>
      <c r="BH179">
        <v>4.83</v>
      </c>
      <c r="BI179">
        <v>0.1</v>
      </c>
      <c r="BM179">
        <f>0.00000223*10^9</f>
        <v>2230</v>
      </c>
      <c r="BN179">
        <f>0.000000085*10^9</f>
        <v>85</v>
      </c>
      <c r="BO179">
        <v>2358</v>
      </c>
      <c r="BP179">
        <v>91</v>
      </c>
      <c r="BW179">
        <f>0.0000000000327*10^15</f>
        <v>32700</v>
      </c>
      <c r="BX179">
        <f>0.000000000000645*10^15</f>
        <v>645</v>
      </c>
      <c r="CA179" t="s">
        <v>540</v>
      </c>
      <c r="CB179" t="s">
        <v>543</v>
      </c>
      <c r="CU179" t="s">
        <v>540</v>
      </c>
      <c r="CV179" t="s">
        <v>543</v>
      </c>
    </row>
    <row r="180" spans="1:100">
      <c r="A180" t="s">
        <v>1568</v>
      </c>
      <c r="B180" t="s">
        <v>24</v>
      </c>
      <c r="C180" t="s">
        <v>1394</v>
      </c>
      <c r="D180" s="10" t="s">
        <v>1728</v>
      </c>
      <c r="E180" s="10" t="s">
        <v>595</v>
      </c>
      <c r="F180" s="118">
        <v>84</v>
      </c>
      <c r="G180" t="s">
        <v>850</v>
      </c>
      <c r="J180" t="s">
        <v>558</v>
      </c>
      <c r="BB180">
        <v>31.3</v>
      </c>
      <c r="BD180">
        <f>0.0000651*10^6</f>
        <v>65.099999999999994</v>
      </c>
      <c r="BE180">
        <f>0.000000537*10^6</f>
        <v>0.53700000000000003</v>
      </c>
      <c r="BF180">
        <v>1.79E-10</v>
      </c>
      <c r="BG180">
        <v>3.9399999999999998E-12</v>
      </c>
      <c r="BH180">
        <v>1.94</v>
      </c>
      <c r="BI180">
        <v>0.04</v>
      </c>
      <c r="BM180" t="s">
        <v>540</v>
      </c>
      <c r="BN180" t="s">
        <v>543</v>
      </c>
      <c r="BO180" t="s">
        <v>540</v>
      </c>
      <c r="BP180" t="s">
        <v>543</v>
      </c>
      <c r="BW180" t="s">
        <v>540</v>
      </c>
      <c r="BX180" t="s">
        <v>543</v>
      </c>
      <c r="CA180" t="s">
        <v>540</v>
      </c>
      <c r="CB180" t="s">
        <v>543</v>
      </c>
      <c r="CU180" t="s">
        <v>540</v>
      </c>
      <c r="CV180" t="s">
        <v>543</v>
      </c>
    </row>
    <row r="181" spans="1:100">
      <c r="A181" t="s">
        <v>1568</v>
      </c>
      <c r="B181" t="s">
        <v>24</v>
      </c>
      <c r="C181" t="s">
        <v>1394</v>
      </c>
      <c r="D181" s="10" t="s">
        <v>1728</v>
      </c>
      <c r="E181" s="10" t="s">
        <v>595</v>
      </c>
      <c r="F181" s="118">
        <v>84</v>
      </c>
      <c r="G181" t="s">
        <v>850</v>
      </c>
      <c r="J181" t="s">
        <v>560</v>
      </c>
      <c r="BB181">
        <v>25.4</v>
      </c>
      <c r="BD181">
        <f>0.0000169*10^6</f>
        <v>16.900000000000002</v>
      </c>
      <c r="BE181">
        <f>0.000000139*10^6</f>
        <v>0.13899999999999998</v>
      </c>
      <c r="BF181">
        <v>9.4199999999999995E-11</v>
      </c>
      <c r="BG181">
        <v>2.1499999999999999E-12</v>
      </c>
      <c r="BH181">
        <v>3.93</v>
      </c>
      <c r="BI181">
        <v>0.09</v>
      </c>
      <c r="BM181">
        <f>0.00000255*10^9</f>
        <v>2550</v>
      </c>
      <c r="BN181">
        <f>0.000000097*10^9</f>
        <v>97</v>
      </c>
      <c r="BO181">
        <v>10363</v>
      </c>
      <c r="BP181">
        <v>1496</v>
      </c>
      <c r="BW181">
        <f>0.000000000282*10^15</f>
        <v>282000</v>
      </c>
      <c r="BX181">
        <f>0.0000000000139*10^15</f>
        <v>13900</v>
      </c>
      <c r="CA181">
        <f>0.000000000111*10^15</f>
        <v>111000</v>
      </c>
      <c r="CB181">
        <f>0.00000000000108*10^15</f>
        <v>1080</v>
      </c>
      <c r="CU181">
        <f>0.000000002*10^10</f>
        <v>20</v>
      </c>
      <c r="CV181">
        <f>0.0000000000436*10^10</f>
        <v>0.43599999999999994</v>
      </c>
    </row>
    <row r="182" spans="1:100">
      <c r="A182" t="s">
        <v>1568</v>
      </c>
      <c r="B182" t="s">
        <v>24</v>
      </c>
      <c r="C182" t="s">
        <v>1394</v>
      </c>
      <c r="D182" s="10" t="s">
        <v>1728</v>
      </c>
      <c r="E182" s="10" t="s">
        <v>595</v>
      </c>
      <c r="F182" s="118">
        <v>84</v>
      </c>
      <c r="G182" t="s">
        <v>850</v>
      </c>
      <c r="J182" t="s">
        <v>562</v>
      </c>
      <c r="BB182">
        <v>19.8</v>
      </c>
      <c r="BD182">
        <f>0.0000195*10^6</f>
        <v>19.5</v>
      </c>
      <c r="BE182">
        <f>0.00000016*10^6</f>
        <v>0.16</v>
      </c>
      <c r="BF182">
        <v>1.1800000000000001E-10</v>
      </c>
      <c r="BG182">
        <v>2.71E-12</v>
      </c>
      <c r="BH182">
        <v>4.24</v>
      </c>
      <c r="BI182">
        <v>0.1</v>
      </c>
      <c r="BM182">
        <f>0.00000782*10^9</f>
        <v>7820</v>
      </c>
      <c r="BN182">
        <f>0.000000297*10^9</f>
        <v>297</v>
      </c>
      <c r="BO182">
        <v>5185</v>
      </c>
      <c r="BP182">
        <v>517</v>
      </c>
      <c r="BW182">
        <f>0.000000000015*10^15</f>
        <v>15000</v>
      </c>
      <c r="BX182">
        <f>0.000000000000445*10^15</f>
        <v>445</v>
      </c>
      <c r="CA182">
        <f>0.00000000000523*10^15</f>
        <v>5230</v>
      </c>
      <c r="CB182">
        <f>0.000000000000216*10^15</f>
        <v>216</v>
      </c>
      <c r="CU182">
        <f>0.00000000091*10^10</f>
        <v>9.1</v>
      </c>
      <c r="CV182">
        <f>0.000000000032*10^10</f>
        <v>0.32</v>
      </c>
    </row>
    <row r="183" spans="1:100">
      <c r="A183" t="s">
        <v>1568</v>
      </c>
      <c r="B183" t="s">
        <v>24</v>
      </c>
      <c r="C183" t="s">
        <v>1394</v>
      </c>
      <c r="D183" s="10" t="s">
        <v>142</v>
      </c>
      <c r="E183" s="10" t="s">
        <v>595</v>
      </c>
      <c r="F183" s="27">
        <v>90.4</v>
      </c>
      <c r="G183" t="s">
        <v>850</v>
      </c>
      <c r="J183" t="s">
        <v>563</v>
      </c>
      <c r="BB183">
        <v>16.100000000000001</v>
      </c>
      <c r="BD183">
        <f>0.00000247*10^6</f>
        <v>2.4700000000000002</v>
      </c>
      <c r="BE183">
        <f>0.0000000204*10^6</f>
        <v>2.0400000000000001E-2</v>
      </c>
      <c r="BF183">
        <v>1.6100000000000001E-11</v>
      </c>
      <c r="BG183">
        <v>9.1999999999999992E-13</v>
      </c>
      <c r="BH183">
        <v>4.59</v>
      </c>
      <c r="BI183">
        <v>0.26</v>
      </c>
      <c r="BM183">
        <f>0.000000385*10^9</f>
        <v>385</v>
      </c>
      <c r="BN183">
        <f>0.000000015*10^9</f>
        <v>14.999999999999998</v>
      </c>
      <c r="BO183">
        <v>652</v>
      </c>
      <c r="BP183">
        <v>23</v>
      </c>
      <c r="BW183" t="s">
        <v>540</v>
      </c>
      <c r="BX183" t="s">
        <v>543</v>
      </c>
      <c r="CA183" t="s">
        <v>540</v>
      </c>
      <c r="CB183" t="s">
        <v>543</v>
      </c>
      <c r="CU183">
        <f>0.00000000047*10^10</f>
        <v>4.7</v>
      </c>
      <c r="CV183">
        <f>0.000000000508*10^10</f>
        <v>5.08</v>
      </c>
    </row>
    <row r="184" spans="1:100">
      <c r="A184" t="s">
        <v>1568</v>
      </c>
      <c r="B184" t="s">
        <v>24</v>
      </c>
      <c r="C184" t="s">
        <v>1394</v>
      </c>
      <c r="D184" s="10" t="s">
        <v>142</v>
      </c>
      <c r="E184" s="10" t="s">
        <v>595</v>
      </c>
      <c r="F184" s="27">
        <v>90.4</v>
      </c>
      <c r="G184" t="s">
        <v>850</v>
      </c>
      <c r="J184" t="s">
        <v>564</v>
      </c>
      <c r="BB184">
        <v>34.9</v>
      </c>
      <c r="BD184">
        <f>0.00000167*10^6</f>
        <v>1.6700000000000002</v>
      </c>
      <c r="BE184">
        <f>0.0000000138*10^6</f>
        <v>1.38E-2</v>
      </c>
      <c r="BF184" t="s">
        <v>575</v>
      </c>
      <c r="BG184" t="s">
        <v>543</v>
      </c>
      <c r="BH184" t="s">
        <v>575</v>
      </c>
      <c r="BI184" t="s">
        <v>543</v>
      </c>
      <c r="BM184">
        <f>0.0000000344*10^9</f>
        <v>34.4</v>
      </c>
      <c r="BN184">
        <f>0.00000000177*10^9</f>
        <v>1.77</v>
      </c>
      <c r="BO184">
        <v>389</v>
      </c>
      <c r="BP184">
        <v>45</v>
      </c>
      <c r="BW184">
        <f>0.00000000000746*10^15</f>
        <v>7459.9999999999991</v>
      </c>
      <c r="BX184">
        <f>0.000000000000174*10^15</f>
        <v>174</v>
      </c>
      <c r="CA184" t="s">
        <v>540</v>
      </c>
      <c r="CB184" t="s">
        <v>543</v>
      </c>
      <c r="CU184" t="s">
        <v>540</v>
      </c>
      <c r="CV184" t="s">
        <v>543</v>
      </c>
    </row>
    <row r="185" spans="1:100">
      <c r="A185" t="s">
        <v>1568</v>
      </c>
      <c r="B185" t="s">
        <v>24</v>
      </c>
      <c r="C185" t="s">
        <v>1394</v>
      </c>
      <c r="D185" s="10" t="s">
        <v>142</v>
      </c>
      <c r="E185" s="10" t="s">
        <v>595</v>
      </c>
      <c r="F185" s="27">
        <v>90.4</v>
      </c>
      <c r="G185" t="s">
        <v>850</v>
      </c>
      <c r="J185" t="s">
        <v>565</v>
      </c>
      <c r="BB185">
        <v>59.8</v>
      </c>
      <c r="BD185">
        <f>0.00000197*10^6</f>
        <v>1.9700000000000002</v>
      </c>
      <c r="BE185">
        <f>0.0000000162*10^6</f>
        <v>1.6199999999999999E-2</v>
      </c>
      <c r="BF185">
        <v>1.34E-11</v>
      </c>
      <c r="BG185">
        <v>4.9300000000000002E-13</v>
      </c>
      <c r="BH185">
        <v>4.79</v>
      </c>
      <c r="BI185">
        <v>0.18</v>
      </c>
      <c r="BM185">
        <f>0.000000413*10^9</f>
        <v>413</v>
      </c>
      <c r="BN185">
        <f>0.0000000157*10^9</f>
        <v>15.700000000000001</v>
      </c>
      <c r="BO185">
        <v>1236</v>
      </c>
      <c r="BP185">
        <v>19</v>
      </c>
      <c r="BW185">
        <f>0.00000000000707*10^15</f>
        <v>7070</v>
      </c>
      <c r="BX185">
        <f>0.000000000000145*10^15</f>
        <v>145</v>
      </c>
      <c r="CA185">
        <f>0.00000000000261*10^15</f>
        <v>2610</v>
      </c>
      <c r="CB185">
        <f>0.0000000000000553*10^15</f>
        <v>55.300000000000004</v>
      </c>
      <c r="CU185" t="s">
        <v>540</v>
      </c>
      <c r="CV185" t="s">
        <v>543</v>
      </c>
    </row>
    <row r="186" spans="1:100">
      <c r="A186" t="s">
        <v>1568</v>
      </c>
      <c r="B186" t="s">
        <v>24</v>
      </c>
      <c r="C186" t="s">
        <v>1394</v>
      </c>
      <c r="D186" s="10" t="s">
        <v>142</v>
      </c>
      <c r="E186" s="10" t="s">
        <v>595</v>
      </c>
      <c r="F186" s="27">
        <v>90.4</v>
      </c>
      <c r="G186" t="s">
        <v>850</v>
      </c>
      <c r="J186" t="s">
        <v>567</v>
      </c>
      <c r="BB186">
        <v>31.4</v>
      </c>
      <c r="BD186">
        <f>0.000000546*10^6</f>
        <v>0.54600000000000004</v>
      </c>
      <c r="BE186">
        <f>0.00000000469*10^6</f>
        <v>4.6899999999999997E-3</v>
      </c>
      <c r="BF186">
        <v>4.41E-12</v>
      </c>
      <c r="BG186">
        <v>5.1900000000000001E-13</v>
      </c>
      <c r="BH186">
        <v>5.69</v>
      </c>
      <c r="BI186">
        <v>0.67</v>
      </c>
      <c r="BM186">
        <f>0.0000000295*10^9</f>
        <v>29.5</v>
      </c>
      <c r="BN186">
        <f>0.00000000112*10^9</f>
        <v>1.1200000000000001</v>
      </c>
      <c r="BO186">
        <v>382</v>
      </c>
      <c r="BP186">
        <v>16</v>
      </c>
      <c r="BW186" t="s">
        <v>540</v>
      </c>
      <c r="BX186" t="s">
        <v>543</v>
      </c>
      <c r="CA186" t="s">
        <v>540</v>
      </c>
      <c r="CB186" t="s">
        <v>543</v>
      </c>
      <c r="CU186" t="s">
        <v>540</v>
      </c>
      <c r="CV186" t="s">
        <v>543</v>
      </c>
    </row>
    <row r="187" spans="1:100">
      <c r="A187" t="s">
        <v>1568</v>
      </c>
      <c r="B187" t="s">
        <v>24</v>
      </c>
      <c r="C187" t="s">
        <v>1394</v>
      </c>
      <c r="D187" s="10" t="s">
        <v>142</v>
      </c>
      <c r="E187" s="10" t="s">
        <v>595</v>
      </c>
      <c r="F187" s="27">
        <v>90.4</v>
      </c>
      <c r="G187" t="s">
        <v>850</v>
      </c>
      <c r="J187" t="s">
        <v>569</v>
      </c>
      <c r="BB187">
        <v>36.5</v>
      </c>
      <c r="BD187">
        <f>0.00000113*10^6</f>
        <v>1.1299999999999999</v>
      </c>
      <c r="BE187">
        <f>0.00000000933*10^6</f>
        <v>9.3299999999999998E-3</v>
      </c>
      <c r="BF187">
        <v>8.9700000000000008E-12</v>
      </c>
      <c r="BG187">
        <v>4.02E-13</v>
      </c>
      <c r="BH187">
        <v>5.61</v>
      </c>
      <c r="BI187">
        <v>0.25</v>
      </c>
      <c r="BM187">
        <f>0.000000177*10^9</f>
        <v>177</v>
      </c>
      <c r="BN187">
        <f>0.00000000673*10^9</f>
        <v>6.7299999999999995</v>
      </c>
      <c r="BO187">
        <v>1515</v>
      </c>
      <c r="BP187">
        <v>83</v>
      </c>
      <c r="BW187" t="s">
        <v>540</v>
      </c>
      <c r="BX187" t="s">
        <v>543</v>
      </c>
      <c r="CA187" t="s">
        <v>540</v>
      </c>
      <c r="CB187" t="s">
        <v>543</v>
      </c>
      <c r="CU187" t="s">
        <v>540</v>
      </c>
      <c r="CV187" t="s">
        <v>543</v>
      </c>
    </row>
    <row r="188" spans="1:100">
      <c r="A188" t="s">
        <v>1568</v>
      </c>
      <c r="B188" t="s">
        <v>24</v>
      </c>
      <c r="C188" t="s">
        <v>1394</v>
      </c>
      <c r="D188" s="10" t="s">
        <v>142</v>
      </c>
      <c r="E188" s="10" t="s">
        <v>595</v>
      </c>
      <c r="F188" s="27">
        <v>90.4</v>
      </c>
      <c r="G188" t="s">
        <v>850</v>
      </c>
      <c r="J188" t="s">
        <v>570</v>
      </c>
      <c r="BB188">
        <v>54.1</v>
      </c>
      <c r="BD188">
        <f>0.000000253*10^6</f>
        <v>0.253</v>
      </c>
      <c r="BE188">
        <f>0.0000000022*10^6</f>
        <v>2.1999999999999997E-3</v>
      </c>
      <c r="BF188">
        <v>1.81E-12</v>
      </c>
      <c r="BG188">
        <v>2.38E-13</v>
      </c>
      <c r="BH188">
        <v>5.03</v>
      </c>
      <c r="BI188">
        <v>0.66</v>
      </c>
      <c r="BM188">
        <f>0.000000107*10^9</f>
        <v>107</v>
      </c>
      <c r="BN188">
        <f>0.00000000406*10^9</f>
        <v>4.0599999999999996</v>
      </c>
      <c r="BO188">
        <v>997</v>
      </c>
      <c r="BP188">
        <v>43</v>
      </c>
      <c r="BW188">
        <f>0.0000000000038*10^15</f>
        <v>3800</v>
      </c>
      <c r="BX188">
        <f>0.000000000000103*10^15</f>
        <v>103</v>
      </c>
      <c r="CA188">
        <f>0.000000000000372*10^15</f>
        <v>372</v>
      </c>
      <c r="CB188">
        <f>0.0000000000000231*10^15</f>
        <v>23.1</v>
      </c>
      <c r="CU188" t="s">
        <v>540</v>
      </c>
      <c r="CV188" t="s">
        <v>543</v>
      </c>
    </row>
    <row r="189" spans="1:100">
      <c r="A189" s="7" t="s">
        <v>846</v>
      </c>
      <c r="B189" t="s">
        <v>24</v>
      </c>
      <c r="C189" t="s">
        <v>388</v>
      </c>
      <c r="D189" s="7" t="s">
        <v>342</v>
      </c>
      <c r="E189" s="7"/>
      <c r="F189" s="3"/>
      <c r="G189" t="s">
        <v>1156</v>
      </c>
      <c r="H189" s="3" t="s">
        <v>48</v>
      </c>
      <c r="I189" t="s">
        <v>530</v>
      </c>
      <c r="J189" t="s">
        <v>526</v>
      </c>
      <c r="L189">
        <v>-7</v>
      </c>
      <c r="O189">
        <v>1200</v>
      </c>
      <c r="P189" t="s">
        <v>1585</v>
      </c>
      <c r="T189">
        <v>5.8000000000000003E-2</v>
      </c>
      <c r="U189" s="6"/>
      <c r="AF189">
        <v>308.95999999999998</v>
      </c>
      <c r="AG189">
        <v>12.99</v>
      </c>
      <c r="AH189">
        <v>11.09</v>
      </c>
      <c r="AI189">
        <v>0.47</v>
      </c>
      <c r="AP189">
        <v>67</v>
      </c>
      <c r="AQ189">
        <v>3</v>
      </c>
      <c r="BD189">
        <f>0.00000064*10^6</f>
        <v>0.64</v>
      </c>
      <c r="BE189">
        <f>0.000000004*10^6</f>
        <v>4.0000000000000001E-3</v>
      </c>
      <c r="BH189">
        <v>5.07</v>
      </c>
      <c r="BK189" s="19">
        <f>0.000000000195*10^9</f>
        <v>0.19500000000000001</v>
      </c>
      <c r="BM189" s="82">
        <f>0.000000702*10^9</f>
        <v>702</v>
      </c>
      <c r="BO189">
        <v>3602</v>
      </c>
      <c r="BP189">
        <v>382</v>
      </c>
      <c r="BS189">
        <v>1.008</v>
      </c>
    </row>
    <row r="190" spans="1:100">
      <c r="A190" s="7" t="s">
        <v>846</v>
      </c>
      <c r="B190" t="s">
        <v>24</v>
      </c>
      <c r="C190" t="s">
        <v>388</v>
      </c>
      <c r="D190" s="7" t="s">
        <v>342</v>
      </c>
      <c r="E190" s="7"/>
      <c r="F190" s="3"/>
      <c r="G190" t="s">
        <v>1156</v>
      </c>
      <c r="H190" s="3" t="s">
        <v>48</v>
      </c>
      <c r="I190" t="s">
        <v>531</v>
      </c>
      <c r="J190" t="s">
        <v>526</v>
      </c>
      <c r="L190">
        <v>-7</v>
      </c>
      <c r="O190">
        <v>1200</v>
      </c>
      <c r="P190" t="s">
        <v>1585</v>
      </c>
      <c r="T190">
        <v>5.16E-2</v>
      </c>
      <c r="AF190">
        <v>308.95999999999998</v>
      </c>
      <c r="AG190">
        <v>12.99</v>
      </c>
      <c r="AH190">
        <v>11.09</v>
      </c>
      <c r="AI190">
        <v>0.47</v>
      </c>
      <c r="AP190">
        <v>146</v>
      </c>
      <c r="AQ190">
        <v>5</v>
      </c>
      <c r="BD190">
        <f>0.0000014*10^6</f>
        <v>1.4</v>
      </c>
      <c r="BE190">
        <f>0.0000000093*10^6</f>
        <v>9.300000000000001E-3</v>
      </c>
      <c r="BH190">
        <v>0.09</v>
      </c>
      <c r="BK190" s="19">
        <f>0.000000000956*10^9</f>
        <v>0.95599999999999996</v>
      </c>
      <c r="BM190" s="82">
        <f>0.000000787*10^9</f>
        <v>787</v>
      </c>
      <c r="BO190">
        <v>823</v>
      </c>
      <c r="BP190">
        <v>23</v>
      </c>
      <c r="BS190">
        <v>0.36</v>
      </c>
    </row>
    <row r="191" spans="1:100">
      <c r="A191" s="7" t="s">
        <v>846</v>
      </c>
      <c r="B191" t="s">
        <v>24</v>
      </c>
      <c r="C191" t="s">
        <v>388</v>
      </c>
      <c r="D191" s="7" t="s">
        <v>342</v>
      </c>
      <c r="E191" s="7"/>
      <c r="F191" s="3"/>
      <c r="G191" t="s">
        <v>1156</v>
      </c>
      <c r="H191" s="3" t="s">
        <v>48</v>
      </c>
      <c r="I191" t="s">
        <v>532</v>
      </c>
      <c r="J191" t="s">
        <v>526</v>
      </c>
      <c r="L191">
        <v>-7</v>
      </c>
      <c r="O191">
        <v>1200</v>
      </c>
      <c r="P191" t="s">
        <v>1585</v>
      </c>
      <c r="T191">
        <v>5.16E-2</v>
      </c>
      <c r="AF191">
        <v>308.95999999999998</v>
      </c>
      <c r="AG191">
        <v>12.99</v>
      </c>
      <c r="AH191">
        <v>11.09</v>
      </c>
      <c r="AI191">
        <v>0.47</v>
      </c>
      <c r="AP191">
        <v>176</v>
      </c>
      <c r="AQ191">
        <v>7</v>
      </c>
      <c r="BD191">
        <f>0.0000017*10^6</f>
        <v>1.7</v>
      </c>
      <c r="BE191">
        <f>0.000000011*10^6</f>
        <v>1.0999999999999999E-2</v>
      </c>
      <c r="BH191">
        <v>7.0000000000000007E-2</v>
      </c>
      <c r="BK191" s="19">
        <f>0.000000000107*10^9</f>
        <v>0.10700000000000001</v>
      </c>
      <c r="BM191" s="82">
        <f>0.00000161*10^9</f>
        <v>1610</v>
      </c>
      <c r="BO191" s="81">
        <v>15047</v>
      </c>
      <c r="BP191">
        <v>4030</v>
      </c>
      <c r="BS191">
        <v>0.92800000000000005</v>
      </c>
    </row>
    <row r="192" spans="1:100">
      <c r="A192" s="7" t="s">
        <v>846</v>
      </c>
      <c r="B192" t="s">
        <v>24</v>
      </c>
      <c r="C192" t="s">
        <v>388</v>
      </c>
      <c r="D192" s="7" t="s">
        <v>342</v>
      </c>
      <c r="E192" s="7"/>
      <c r="F192" s="3"/>
      <c r="G192" t="s">
        <v>1156</v>
      </c>
      <c r="H192" s="3" t="s">
        <v>48</v>
      </c>
      <c r="I192" t="s">
        <v>22</v>
      </c>
      <c r="J192" t="s">
        <v>526</v>
      </c>
      <c r="L192">
        <v>-7</v>
      </c>
      <c r="O192">
        <v>1200</v>
      </c>
      <c r="P192" t="s">
        <v>1585</v>
      </c>
      <c r="AF192">
        <v>308.95999999999998</v>
      </c>
      <c r="AG192">
        <v>12.99</v>
      </c>
      <c r="AH192">
        <v>11.09</v>
      </c>
      <c r="AI192">
        <v>0.47</v>
      </c>
      <c r="AP192">
        <v>385</v>
      </c>
      <c r="AQ192">
        <v>33</v>
      </c>
      <c r="BD192">
        <f>0.00000374*10^6</f>
        <v>3.74</v>
      </c>
      <c r="BE192">
        <f>0.0000000149*10^6</f>
        <v>1.49E-2</v>
      </c>
      <c r="BH192">
        <v>0.93</v>
      </c>
      <c r="BK192" s="19">
        <f>0.00000000126*10^9</f>
        <v>1.26</v>
      </c>
      <c r="BM192" s="82">
        <f>0.0000031*10^9</f>
        <v>3100</v>
      </c>
      <c r="BO192">
        <v>8842</v>
      </c>
      <c r="BP192">
        <v>2548</v>
      </c>
      <c r="BS192">
        <v>0.80200000000000005</v>
      </c>
    </row>
    <row r="193" spans="1:71">
      <c r="A193" s="7" t="s">
        <v>846</v>
      </c>
      <c r="B193" t="s">
        <v>24</v>
      </c>
      <c r="C193" t="s">
        <v>388</v>
      </c>
      <c r="D193" s="7" t="s">
        <v>342</v>
      </c>
      <c r="E193" s="7"/>
      <c r="F193" s="3"/>
      <c r="G193" t="s">
        <v>1156</v>
      </c>
      <c r="H193" s="3" t="s">
        <v>48</v>
      </c>
      <c r="I193" t="s">
        <v>530</v>
      </c>
      <c r="J193" t="s">
        <v>527</v>
      </c>
      <c r="L193">
        <v>-7</v>
      </c>
      <c r="O193">
        <v>1200</v>
      </c>
      <c r="P193" t="s">
        <v>1585</v>
      </c>
      <c r="T193">
        <v>2.2800000000000001E-2</v>
      </c>
      <c r="AF193">
        <v>308.95999999999998</v>
      </c>
      <c r="AG193">
        <v>12.99</v>
      </c>
      <c r="AH193">
        <v>11.09</v>
      </c>
      <c r="AI193">
        <v>0.47</v>
      </c>
      <c r="AP193">
        <v>75</v>
      </c>
      <c r="AQ193">
        <v>3</v>
      </c>
      <c r="BD193">
        <f>0.000000724*10^6</f>
        <v>0.72399999999999998</v>
      </c>
      <c r="BE193">
        <f>0.0000000084*10^6</f>
        <v>8.4000000000000012E-3</v>
      </c>
      <c r="BH193">
        <v>5.44</v>
      </c>
      <c r="BK193" s="19" t="s">
        <v>346</v>
      </c>
      <c r="BM193" s="82" t="s">
        <v>346</v>
      </c>
      <c r="BO193" t="s">
        <v>346</v>
      </c>
      <c r="BP193" t="s">
        <v>346</v>
      </c>
      <c r="BS193" t="s">
        <v>346</v>
      </c>
    </row>
    <row r="194" spans="1:71">
      <c r="A194" s="7" t="s">
        <v>846</v>
      </c>
      <c r="B194" t="s">
        <v>24</v>
      </c>
      <c r="C194" t="s">
        <v>388</v>
      </c>
      <c r="D194" s="7" t="s">
        <v>342</v>
      </c>
      <c r="E194" s="7"/>
      <c r="F194" s="3"/>
      <c r="G194" t="s">
        <v>1156</v>
      </c>
      <c r="H194" s="3" t="s">
        <v>48</v>
      </c>
      <c r="I194" t="s">
        <v>531</v>
      </c>
      <c r="J194" t="s">
        <v>527</v>
      </c>
      <c r="L194">
        <v>-7</v>
      </c>
      <c r="O194">
        <v>1200</v>
      </c>
      <c r="P194" t="s">
        <v>1585</v>
      </c>
      <c r="T194">
        <v>1.5800000000000002E-2</v>
      </c>
      <c r="AF194">
        <v>308.95999999999998</v>
      </c>
      <c r="AG194">
        <v>12.99</v>
      </c>
      <c r="AH194">
        <v>11.09</v>
      </c>
      <c r="AI194">
        <v>0.47</v>
      </c>
      <c r="AP194">
        <v>131</v>
      </c>
      <c r="AQ194">
        <v>5</v>
      </c>
      <c r="BD194">
        <f>0.00000126*10^6</f>
        <v>1.26</v>
      </c>
      <c r="BE194">
        <f>0.000000011*10^6</f>
        <v>1.0999999999999999E-2</v>
      </c>
      <c r="BH194" t="s">
        <v>34</v>
      </c>
      <c r="BK194" s="19" t="s">
        <v>346</v>
      </c>
      <c r="BM194" s="82" t="s">
        <v>346</v>
      </c>
      <c r="BO194" t="s">
        <v>346</v>
      </c>
      <c r="BP194" t="s">
        <v>346</v>
      </c>
      <c r="BS194" t="s">
        <v>346</v>
      </c>
    </row>
    <row r="195" spans="1:71">
      <c r="A195" s="7" t="s">
        <v>846</v>
      </c>
      <c r="B195" t="s">
        <v>24</v>
      </c>
      <c r="C195" t="s">
        <v>388</v>
      </c>
      <c r="D195" s="7" t="s">
        <v>342</v>
      </c>
      <c r="E195" s="7"/>
      <c r="F195" s="3"/>
      <c r="G195" t="s">
        <v>1156</v>
      </c>
      <c r="H195" s="3" t="s">
        <v>48</v>
      </c>
      <c r="I195" t="s">
        <v>532</v>
      </c>
      <c r="J195" t="s">
        <v>527</v>
      </c>
      <c r="L195">
        <v>-7</v>
      </c>
      <c r="O195">
        <v>1200</v>
      </c>
      <c r="P195" t="s">
        <v>1585</v>
      </c>
      <c r="T195">
        <v>1.5800000000000002E-2</v>
      </c>
      <c r="AF195">
        <v>308.95999999999998</v>
      </c>
      <c r="AG195">
        <v>12.99</v>
      </c>
      <c r="AH195">
        <v>11.09</v>
      </c>
      <c r="AI195">
        <v>0.47</v>
      </c>
      <c r="AP195">
        <v>288</v>
      </c>
      <c r="AQ195">
        <v>11</v>
      </c>
      <c r="BD195">
        <f>0.00000279*10^6</f>
        <v>2.79</v>
      </c>
      <c r="BE195">
        <f>0.000000023*10^6</f>
        <v>2.3E-2</v>
      </c>
      <c r="BH195" t="s">
        <v>34</v>
      </c>
      <c r="BK195" s="19" t="s">
        <v>346</v>
      </c>
      <c r="BM195" s="82" t="s">
        <v>346</v>
      </c>
      <c r="BO195" t="s">
        <v>346</v>
      </c>
      <c r="BP195" t="s">
        <v>346</v>
      </c>
      <c r="BS195" t="s">
        <v>346</v>
      </c>
    </row>
    <row r="196" spans="1:71">
      <c r="A196" s="7" t="s">
        <v>846</v>
      </c>
      <c r="B196" t="s">
        <v>24</v>
      </c>
      <c r="C196" t="s">
        <v>388</v>
      </c>
      <c r="D196" s="7" t="s">
        <v>342</v>
      </c>
      <c r="E196" s="7"/>
      <c r="F196" s="3"/>
      <c r="G196" t="s">
        <v>1156</v>
      </c>
      <c r="H196" s="3" t="s">
        <v>48</v>
      </c>
      <c r="I196" t="s">
        <v>22</v>
      </c>
      <c r="J196" t="s">
        <v>527</v>
      </c>
      <c r="L196">
        <v>-7</v>
      </c>
      <c r="O196">
        <v>1200</v>
      </c>
      <c r="P196" t="s">
        <v>1585</v>
      </c>
      <c r="AF196">
        <v>308.95999999999998</v>
      </c>
      <c r="AG196">
        <v>12.99</v>
      </c>
      <c r="AH196">
        <v>11.09</v>
      </c>
      <c r="AI196">
        <v>0.47</v>
      </c>
      <c r="AP196">
        <v>490</v>
      </c>
      <c r="AQ196">
        <v>42</v>
      </c>
      <c r="BD196">
        <f>0.00000477*10^6</f>
        <v>4.7700000000000005</v>
      </c>
      <c r="BE196">
        <f>0.0000000268*10^6</f>
        <v>2.6799999999999997E-2</v>
      </c>
      <c r="BH196">
        <v>0.83</v>
      </c>
      <c r="BK196" s="19" t="s">
        <v>346</v>
      </c>
      <c r="BM196" s="82" t="s">
        <v>346</v>
      </c>
      <c r="BO196" t="s">
        <v>346</v>
      </c>
      <c r="BP196" t="s">
        <v>346</v>
      </c>
      <c r="BS196" t="s">
        <v>346</v>
      </c>
    </row>
    <row r="197" spans="1:71">
      <c r="A197" s="7" t="s">
        <v>846</v>
      </c>
      <c r="B197" t="s">
        <v>24</v>
      </c>
      <c r="C197" t="s">
        <v>388</v>
      </c>
      <c r="D197" s="7" t="s">
        <v>342</v>
      </c>
      <c r="E197" s="7"/>
      <c r="F197" s="3"/>
      <c r="G197" t="s">
        <v>1156</v>
      </c>
      <c r="H197" s="3" t="s">
        <v>48</v>
      </c>
      <c r="I197" t="s">
        <v>530</v>
      </c>
      <c r="J197" t="s">
        <v>528</v>
      </c>
      <c r="L197">
        <v>-6.2</v>
      </c>
      <c r="O197">
        <v>900</v>
      </c>
      <c r="P197">
        <v>0</v>
      </c>
      <c r="T197">
        <v>6.1499999999999999E-2</v>
      </c>
      <c r="AF197">
        <v>359.35</v>
      </c>
      <c r="AG197">
        <v>14.81</v>
      </c>
      <c r="AH197">
        <v>18.04</v>
      </c>
      <c r="AI197">
        <v>0.74</v>
      </c>
      <c r="AP197">
        <v>59</v>
      </c>
      <c r="AQ197">
        <v>2</v>
      </c>
      <c r="BD197">
        <f>0.0000007*10^6</f>
        <v>0.7</v>
      </c>
      <c r="BE197">
        <f>0.0000000049*10^6</f>
        <v>4.8999999999999998E-3</v>
      </c>
      <c r="BH197" t="s">
        <v>524</v>
      </c>
      <c r="BK197" s="19">
        <f>0.000000000934*10^9</f>
        <v>0.93400000000000005</v>
      </c>
      <c r="BM197" s="82">
        <f>0.000000806*10^9</f>
        <v>806</v>
      </c>
      <c r="BO197">
        <v>863</v>
      </c>
      <c r="BP197">
        <v>22</v>
      </c>
      <c r="BS197">
        <v>0.75700000000000001</v>
      </c>
    </row>
    <row r="198" spans="1:71">
      <c r="A198" s="7" t="s">
        <v>846</v>
      </c>
      <c r="B198" t="s">
        <v>24</v>
      </c>
      <c r="C198" t="s">
        <v>388</v>
      </c>
      <c r="D198" s="7" t="s">
        <v>342</v>
      </c>
      <c r="E198" s="7"/>
      <c r="F198" s="3"/>
      <c r="G198" t="s">
        <v>1156</v>
      </c>
      <c r="H198" s="3" t="s">
        <v>48</v>
      </c>
      <c r="I198" t="s">
        <v>531</v>
      </c>
      <c r="J198" t="s">
        <v>528</v>
      </c>
      <c r="L198">
        <v>-6.2</v>
      </c>
      <c r="O198">
        <v>900</v>
      </c>
      <c r="P198">
        <v>0</v>
      </c>
      <c r="T198">
        <v>4.0500000000000001E-2</v>
      </c>
      <c r="AF198">
        <v>359.35</v>
      </c>
      <c r="AG198">
        <v>14.81</v>
      </c>
      <c r="AH198">
        <v>18.04</v>
      </c>
      <c r="AI198">
        <v>0.74</v>
      </c>
      <c r="AP198">
        <v>119</v>
      </c>
      <c r="AQ198">
        <v>4</v>
      </c>
      <c r="BD198">
        <f>0.0000014*10^6</f>
        <v>1.4</v>
      </c>
      <c r="BE198">
        <f>0.0000000094*10^6</f>
        <v>9.4000000000000004E-3</v>
      </c>
      <c r="BH198" t="s">
        <v>34</v>
      </c>
      <c r="BK198" s="19">
        <f>0.000000000469*10^9</f>
        <v>0.46900000000000003</v>
      </c>
      <c r="BM198" s="82">
        <f>0.000000451*10^9</f>
        <v>451</v>
      </c>
      <c r="BO198">
        <v>962</v>
      </c>
      <c r="BP198">
        <v>31</v>
      </c>
      <c r="BS198">
        <v>0.223</v>
      </c>
    </row>
    <row r="199" spans="1:71">
      <c r="A199" s="7" t="s">
        <v>846</v>
      </c>
      <c r="B199" t="s">
        <v>24</v>
      </c>
      <c r="C199" t="s">
        <v>388</v>
      </c>
      <c r="D199" s="7" t="s">
        <v>342</v>
      </c>
      <c r="E199" s="7"/>
      <c r="F199" s="3"/>
      <c r="G199" t="s">
        <v>1156</v>
      </c>
      <c r="H199" s="3" t="s">
        <v>48</v>
      </c>
      <c r="I199" t="s">
        <v>532</v>
      </c>
      <c r="J199" t="s">
        <v>528</v>
      </c>
      <c r="L199">
        <v>-6.2</v>
      </c>
      <c r="O199">
        <v>900</v>
      </c>
      <c r="P199">
        <v>0</v>
      </c>
      <c r="T199">
        <v>4.0500000000000001E-2</v>
      </c>
      <c r="AF199">
        <v>359.35</v>
      </c>
      <c r="AG199">
        <v>14.81</v>
      </c>
      <c r="AH199">
        <v>18.04</v>
      </c>
      <c r="AI199">
        <v>0.74</v>
      </c>
      <c r="AP199">
        <v>169</v>
      </c>
      <c r="AQ199">
        <v>6</v>
      </c>
      <c r="BD199">
        <f>0.000002*10^6</f>
        <v>2</v>
      </c>
      <c r="BE199">
        <f>0.000000013*10^6</f>
        <v>1.3000000000000001E-2</v>
      </c>
      <c r="BH199" t="s">
        <v>34</v>
      </c>
      <c r="BK199" s="19">
        <f>0.0000000000894*10^9</f>
        <v>8.9399999999999993E-2</v>
      </c>
      <c r="BM199" s="82">
        <f>0.00000137*10^9</f>
        <v>1370</v>
      </c>
      <c r="BO199" s="81">
        <v>15378</v>
      </c>
      <c r="BP199">
        <v>3373</v>
      </c>
      <c r="BS199">
        <v>0.67400000000000004</v>
      </c>
    </row>
    <row r="200" spans="1:71">
      <c r="A200" s="7" t="s">
        <v>846</v>
      </c>
      <c r="B200" t="s">
        <v>24</v>
      </c>
      <c r="C200" t="s">
        <v>388</v>
      </c>
      <c r="D200" s="7" t="s">
        <v>342</v>
      </c>
      <c r="E200" s="7"/>
      <c r="F200" s="3"/>
      <c r="G200" t="s">
        <v>1156</v>
      </c>
      <c r="H200" s="3" t="s">
        <v>48</v>
      </c>
      <c r="I200" t="s">
        <v>22</v>
      </c>
      <c r="J200" t="s">
        <v>528</v>
      </c>
      <c r="L200">
        <v>-6.2</v>
      </c>
      <c r="O200">
        <v>900</v>
      </c>
      <c r="P200">
        <v>0</v>
      </c>
      <c r="AF200">
        <v>359.35</v>
      </c>
      <c r="AG200">
        <v>14.81</v>
      </c>
      <c r="AH200">
        <v>18.04</v>
      </c>
      <c r="AI200">
        <v>0.74</v>
      </c>
      <c r="AP200">
        <v>345</v>
      </c>
      <c r="AQ200">
        <v>29</v>
      </c>
      <c r="BD200">
        <f>0.0000041*10^6</f>
        <v>4.0999999999999996</v>
      </c>
      <c r="BE200">
        <f>0.0000000168*10^6</f>
        <v>1.6800000000000002E-2</v>
      </c>
      <c r="BH200" t="s">
        <v>346</v>
      </c>
      <c r="BK200" s="19">
        <f>0.00000000149*10^9</f>
        <v>1.49</v>
      </c>
      <c r="BM200" s="82">
        <f>0.00000263*10^9</f>
        <v>2630</v>
      </c>
      <c r="BO200">
        <v>8450</v>
      </c>
      <c r="BP200">
        <v>1866</v>
      </c>
      <c r="BS200">
        <v>0.622</v>
      </c>
    </row>
    <row r="201" spans="1:71">
      <c r="A201" s="7" t="s">
        <v>846</v>
      </c>
      <c r="B201" t="s">
        <v>24</v>
      </c>
      <c r="C201" t="s">
        <v>388</v>
      </c>
      <c r="D201" s="7" t="s">
        <v>342</v>
      </c>
      <c r="E201" s="7"/>
      <c r="F201" s="3"/>
      <c r="G201" t="s">
        <v>1156</v>
      </c>
      <c r="H201" s="3" t="s">
        <v>48</v>
      </c>
      <c r="I201" t="s">
        <v>530</v>
      </c>
      <c r="J201" t="s">
        <v>529</v>
      </c>
      <c r="L201">
        <v>-6.2</v>
      </c>
      <c r="O201">
        <v>900</v>
      </c>
      <c r="P201">
        <v>0</v>
      </c>
      <c r="T201">
        <v>1.1599999999999999E-2</v>
      </c>
      <c r="AF201">
        <v>359.35</v>
      </c>
      <c r="AG201">
        <v>14.81</v>
      </c>
      <c r="AH201">
        <v>18.04</v>
      </c>
      <c r="AI201">
        <v>0.74</v>
      </c>
      <c r="AP201">
        <v>38</v>
      </c>
      <c r="AQ201">
        <v>3</v>
      </c>
      <c r="BD201">
        <f>0.000000445*10^6</f>
        <v>0.44499999999999995</v>
      </c>
      <c r="BE201">
        <f>0.00000003*10^6</f>
        <v>0.03</v>
      </c>
      <c r="BH201" t="s">
        <v>34</v>
      </c>
      <c r="BK201" s="19" t="s">
        <v>346</v>
      </c>
      <c r="BM201" s="82" t="s">
        <v>346</v>
      </c>
      <c r="BO201" t="s">
        <v>346</v>
      </c>
      <c r="BP201" t="s">
        <v>346</v>
      </c>
      <c r="BS201" t="s">
        <v>346</v>
      </c>
    </row>
    <row r="202" spans="1:71">
      <c r="A202" s="7" t="s">
        <v>846</v>
      </c>
      <c r="B202" t="s">
        <v>24</v>
      </c>
      <c r="C202" t="s">
        <v>388</v>
      </c>
      <c r="D202" s="7" t="s">
        <v>342</v>
      </c>
      <c r="E202" s="7"/>
      <c r="F202" s="3"/>
      <c r="G202" t="s">
        <v>1156</v>
      </c>
      <c r="H202" s="3" t="s">
        <v>48</v>
      </c>
      <c r="I202" t="s">
        <v>531</v>
      </c>
      <c r="J202" t="s">
        <v>529</v>
      </c>
      <c r="L202">
        <v>-6.2</v>
      </c>
      <c r="O202">
        <v>900</v>
      </c>
      <c r="P202">
        <v>0</v>
      </c>
      <c r="T202">
        <v>7.1999999999999998E-3</v>
      </c>
      <c r="AF202">
        <v>359.35</v>
      </c>
      <c r="AG202">
        <v>14.81</v>
      </c>
      <c r="AH202">
        <v>18.04</v>
      </c>
      <c r="AI202">
        <v>0.74</v>
      </c>
      <c r="AP202">
        <v>109</v>
      </c>
      <c r="AQ202">
        <v>4</v>
      </c>
      <c r="BD202">
        <f>0.00000128*10^6</f>
        <v>1.28</v>
      </c>
      <c r="BE202">
        <f>0.000000013*10^6</f>
        <v>1.3000000000000001E-2</v>
      </c>
      <c r="BH202" t="s">
        <v>34</v>
      </c>
      <c r="BK202" s="19" t="s">
        <v>346</v>
      </c>
      <c r="BM202" s="82" t="s">
        <v>346</v>
      </c>
      <c r="BO202" t="s">
        <v>346</v>
      </c>
      <c r="BP202" t="s">
        <v>346</v>
      </c>
      <c r="BS202" t="s">
        <v>346</v>
      </c>
    </row>
    <row r="203" spans="1:71">
      <c r="A203" s="7" t="s">
        <v>846</v>
      </c>
      <c r="B203" t="s">
        <v>24</v>
      </c>
      <c r="C203" t="s">
        <v>388</v>
      </c>
      <c r="D203" s="7" t="s">
        <v>342</v>
      </c>
      <c r="E203" s="7"/>
      <c r="F203" s="3"/>
      <c r="G203" t="s">
        <v>1156</v>
      </c>
      <c r="H203" s="3" t="s">
        <v>48</v>
      </c>
      <c r="I203" t="s">
        <v>532</v>
      </c>
      <c r="J203" t="s">
        <v>529</v>
      </c>
      <c r="L203">
        <v>-6.2</v>
      </c>
      <c r="O203">
        <v>900</v>
      </c>
      <c r="P203">
        <v>0</v>
      </c>
      <c r="T203">
        <v>7.1999999999999998E-3</v>
      </c>
      <c r="AF203">
        <v>359.35</v>
      </c>
      <c r="AG203">
        <v>14.81</v>
      </c>
      <c r="AH203">
        <v>18.04</v>
      </c>
      <c r="AI203">
        <v>0.74</v>
      </c>
      <c r="AP203">
        <v>293</v>
      </c>
      <c r="AQ203">
        <v>10</v>
      </c>
      <c r="BD203">
        <f>0.00000347*10^6</f>
        <v>3.4699999999999998</v>
      </c>
      <c r="BE203">
        <f>0.000000013*10^6</f>
        <v>1.3000000000000001E-2</v>
      </c>
      <c r="BH203" t="s">
        <v>34</v>
      </c>
      <c r="BK203" s="19" t="s">
        <v>346</v>
      </c>
      <c r="BM203" s="82" t="s">
        <v>346</v>
      </c>
      <c r="BO203" t="s">
        <v>346</v>
      </c>
      <c r="BP203" t="s">
        <v>346</v>
      </c>
      <c r="BS203" t="s">
        <v>346</v>
      </c>
    </row>
    <row r="204" spans="1:71">
      <c r="A204" s="7" t="s">
        <v>846</v>
      </c>
      <c r="B204" t="s">
        <v>24</v>
      </c>
      <c r="C204" t="s">
        <v>388</v>
      </c>
      <c r="D204" s="7" t="s">
        <v>342</v>
      </c>
      <c r="E204" s="7"/>
      <c r="F204" s="3"/>
      <c r="G204" t="s">
        <v>1156</v>
      </c>
      <c r="H204" s="3" t="s">
        <v>48</v>
      </c>
      <c r="I204" t="s">
        <v>22</v>
      </c>
      <c r="J204" t="s">
        <v>529</v>
      </c>
      <c r="L204">
        <v>-6.2</v>
      </c>
      <c r="O204">
        <v>900</v>
      </c>
      <c r="P204">
        <v>0</v>
      </c>
      <c r="AF204">
        <v>359.35</v>
      </c>
      <c r="AG204">
        <v>14.81</v>
      </c>
      <c r="AH204">
        <v>18.04</v>
      </c>
      <c r="AI204">
        <v>0.74</v>
      </c>
      <c r="AP204">
        <v>436</v>
      </c>
      <c r="AQ204">
        <v>36</v>
      </c>
      <c r="BD204">
        <f>0.0000052*10^6</f>
        <v>5.2</v>
      </c>
      <c r="BE204">
        <f>0.0000000352*10^6</f>
        <v>3.5199999999999995E-2</v>
      </c>
      <c r="BH204" t="s">
        <v>346</v>
      </c>
      <c r="BK204" s="19" t="s">
        <v>346</v>
      </c>
      <c r="BM204" s="82" t="s">
        <v>346</v>
      </c>
      <c r="BO204" t="s">
        <v>346</v>
      </c>
      <c r="BP204" t="s">
        <v>346</v>
      </c>
      <c r="BS204" t="s">
        <v>346</v>
      </c>
    </row>
    <row r="205" spans="1:71">
      <c r="A205" s="7" t="s">
        <v>846</v>
      </c>
      <c r="B205" t="s">
        <v>24</v>
      </c>
      <c r="C205" t="s">
        <v>388</v>
      </c>
      <c r="D205" s="7" t="s">
        <v>342</v>
      </c>
      <c r="E205" s="7"/>
      <c r="F205" s="3"/>
      <c r="G205" t="s">
        <v>1156</v>
      </c>
      <c r="H205" s="3" t="s">
        <v>48</v>
      </c>
      <c r="I205" t="s">
        <v>533</v>
      </c>
      <c r="J205" t="s">
        <v>514</v>
      </c>
      <c r="L205">
        <v>-6.3</v>
      </c>
      <c r="O205">
        <v>940</v>
      </c>
      <c r="P205">
        <v>0</v>
      </c>
      <c r="T205">
        <v>4.9799999999999997E-2</v>
      </c>
      <c r="AF205">
        <v>72.69</v>
      </c>
      <c r="AG205">
        <v>2.31</v>
      </c>
      <c r="AH205">
        <v>25.02</v>
      </c>
      <c r="AI205">
        <v>0.82</v>
      </c>
      <c r="AP205">
        <v>127</v>
      </c>
      <c r="AQ205">
        <v>4</v>
      </c>
      <c r="BD205">
        <f>0.000000613*10^6</f>
        <v>0.61299999999999999</v>
      </c>
      <c r="BE205">
        <f>0.0000000109*10^6</f>
        <v>1.09E-2</v>
      </c>
      <c r="BH205">
        <v>1.27</v>
      </c>
      <c r="BK205" s="19">
        <f>0.000000000283*10^9</f>
        <v>0.28300000000000003</v>
      </c>
      <c r="BM205" s="82">
        <f>0.000000214*10^9</f>
        <v>214</v>
      </c>
      <c r="BO205">
        <v>756</v>
      </c>
      <c r="BP205">
        <v>6</v>
      </c>
      <c r="BS205">
        <v>0.21299999999999999</v>
      </c>
    </row>
    <row r="206" spans="1:71">
      <c r="A206" s="7" t="s">
        <v>846</v>
      </c>
      <c r="B206" t="s">
        <v>24</v>
      </c>
      <c r="C206" t="s">
        <v>388</v>
      </c>
      <c r="D206" s="7" t="s">
        <v>342</v>
      </c>
      <c r="E206" s="7"/>
      <c r="F206" s="3"/>
      <c r="G206" t="s">
        <v>1156</v>
      </c>
      <c r="H206" s="3" t="s">
        <v>48</v>
      </c>
      <c r="I206" t="s">
        <v>532</v>
      </c>
      <c r="J206" t="s">
        <v>514</v>
      </c>
      <c r="L206">
        <v>-6.3</v>
      </c>
      <c r="O206">
        <v>940</v>
      </c>
      <c r="P206">
        <v>0</v>
      </c>
      <c r="T206">
        <v>1.04E-2</v>
      </c>
      <c r="AF206">
        <v>72.69</v>
      </c>
      <c r="AG206">
        <v>2.31</v>
      </c>
      <c r="AH206">
        <v>25.02</v>
      </c>
      <c r="AI206">
        <v>0.82</v>
      </c>
      <c r="AP206">
        <v>1568</v>
      </c>
      <c r="AQ206">
        <v>35</v>
      </c>
      <c r="BD206">
        <f>0.00000835*10^6</f>
        <v>8.35</v>
      </c>
      <c r="BE206">
        <f>0.0000000693*10^6</f>
        <v>6.93E-2</v>
      </c>
      <c r="BH206">
        <v>4.8899999999999997</v>
      </c>
      <c r="BK206" s="19">
        <f>0.00000000072*10^9</f>
        <v>0.72</v>
      </c>
      <c r="BM206" s="82">
        <f>0.00000108*10^9</f>
        <v>1080</v>
      </c>
      <c r="BO206">
        <v>1503</v>
      </c>
      <c r="BP206">
        <v>78</v>
      </c>
      <c r="BS206">
        <v>0.104</v>
      </c>
    </row>
    <row r="207" spans="1:71">
      <c r="A207" s="7" t="s">
        <v>846</v>
      </c>
      <c r="B207" t="s">
        <v>24</v>
      </c>
      <c r="C207" t="s">
        <v>388</v>
      </c>
      <c r="D207" s="7" t="s">
        <v>342</v>
      </c>
      <c r="E207" s="7"/>
      <c r="F207" s="3"/>
      <c r="G207" t="s">
        <v>1156</v>
      </c>
      <c r="H207" s="3" t="s">
        <v>48</v>
      </c>
      <c r="I207" t="s">
        <v>22</v>
      </c>
      <c r="J207" t="s">
        <v>514</v>
      </c>
      <c r="L207">
        <v>-6.3</v>
      </c>
      <c r="O207">
        <v>940</v>
      </c>
      <c r="P207">
        <v>0</v>
      </c>
      <c r="AF207">
        <v>72.69</v>
      </c>
      <c r="AG207">
        <v>2.31</v>
      </c>
      <c r="AH207">
        <v>25.02</v>
      </c>
      <c r="AI207">
        <v>0.82</v>
      </c>
      <c r="AP207">
        <v>1671</v>
      </c>
      <c r="AQ207">
        <v>107</v>
      </c>
      <c r="BD207">
        <f>0.00000896*10^6</f>
        <v>8.9600000000000009</v>
      </c>
      <c r="BE207">
        <f>0.0000000702*10^6</f>
        <v>7.0200000000000012E-2</v>
      </c>
      <c r="BH207">
        <v>4.6399999999999997</v>
      </c>
      <c r="BK207" s="19">
        <f>0.000000001*10^9</f>
        <v>1</v>
      </c>
      <c r="BM207" s="82">
        <f>0.00000129*10^9</f>
        <v>1290</v>
      </c>
      <c r="BO207">
        <v>1379</v>
      </c>
      <c r="BP207">
        <v>72</v>
      </c>
      <c r="BS207">
        <v>0.122</v>
      </c>
    </row>
    <row r="208" spans="1:71">
      <c r="A208" s="7" t="s">
        <v>846</v>
      </c>
      <c r="B208" t="s">
        <v>24</v>
      </c>
      <c r="C208" t="s">
        <v>388</v>
      </c>
      <c r="D208" s="7" t="s">
        <v>342</v>
      </c>
      <c r="E208" s="7"/>
      <c r="F208" s="3"/>
      <c r="G208" t="s">
        <v>1156</v>
      </c>
      <c r="H208" s="3" t="s">
        <v>48</v>
      </c>
      <c r="I208" t="s">
        <v>533</v>
      </c>
      <c r="J208" t="s">
        <v>515</v>
      </c>
      <c r="L208">
        <v>-5.4</v>
      </c>
      <c r="O208">
        <v>970</v>
      </c>
      <c r="P208">
        <v>0</v>
      </c>
      <c r="T208">
        <v>3.85E-2</v>
      </c>
      <c r="AF208">
        <v>12.05</v>
      </c>
      <c r="AG208">
        <v>0.48</v>
      </c>
      <c r="AH208">
        <v>0.96</v>
      </c>
      <c r="AI208">
        <v>0.15</v>
      </c>
      <c r="AP208">
        <v>569</v>
      </c>
      <c r="AQ208">
        <v>40</v>
      </c>
      <c r="BD208">
        <f>0.000000252*10^6</f>
        <v>0.252</v>
      </c>
      <c r="BE208">
        <f>0.0000000127*10^6</f>
        <v>1.2699999999999999E-2</v>
      </c>
      <c r="BH208">
        <v>1.97</v>
      </c>
      <c r="BK208" s="19">
        <f>0.000000000154*10^9</f>
        <v>0.154</v>
      </c>
      <c r="BM208" s="82">
        <f>0.0000000734*10^9</f>
        <v>73.399999999999991</v>
      </c>
      <c r="BO208">
        <v>477</v>
      </c>
      <c r="BP208">
        <v>15</v>
      </c>
      <c r="BS208">
        <v>0.111</v>
      </c>
    </row>
    <row r="209" spans="1:71">
      <c r="A209" s="7" t="s">
        <v>846</v>
      </c>
      <c r="B209" t="s">
        <v>24</v>
      </c>
      <c r="C209" t="s">
        <v>388</v>
      </c>
      <c r="D209" s="7" t="s">
        <v>342</v>
      </c>
      <c r="E209" s="7"/>
      <c r="F209" s="3"/>
      <c r="G209" t="s">
        <v>1156</v>
      </c>
      <c r="H209" s="3" t="s">
        <v>48</v>
      </c>
      <c r="I209" t="s">
        <v>532</v>
      </c>
      <c r="J209" t="s">
        <v>515</v>
      </c>
      <c r="L209">
        <v>-5.4</v>
      </c>
      <c r="O209">
        <v>970</v>
      </c>
      <c r="P209">
        <v>0</v>
      </c>
      <c r="T209">
        <v>2.53E-2</v>
      </c>
      <c r="AF209">
        <v>12.05</v>
      </c>
      <c r="AG209">
        <v>0.48</v>
      </c>
      <c r="AH209">
        <v>0.96</v>
      </c>
      <c r="AI209">
        <v>0.15</v>
      </c>
      <c r="AP209">
        <v>3460</v>
      </c>
      <c r="AQ209">
        <v>156</v>
      </c>
      <c r="BD209">
        <f>0.00000174*10^6</f>
        <v>1.74</v>
      </c>
      <c r="BE209">
        <f>0.0000000147*10^6</f>
        <v>1.47E-2</v>
      </c>
      <c r="BH209">
        <v>14.43</v>
      </c>
      <c r="BK209" s="19">
        <f>0.000000000381*10^9</f>
        <v>0.38099999999999995</v>
      </c>
      <c r="BM209" s="82">
        <f>0.000000255*10^9</f>
        <v>255</v>
      </c>
      <c r="BO209">
        <v>670</v>
      </c>
      <c r="BP209">
        <v>26</v>
      </c>
      <c r="BS209">
        <v>8.2000000000000003E-2</v>
      </c>
    </row>
    <row r="210" spans="1:71">
      <c r="A210" s="7" t="s">
        <v>846</v>
      </c>
      <c r="B210" t="s">
        <v>24</v>
      </c>
      <c r="C210" t="s">
        <v>388</v>
      </c>
      <c r="D210" s="7" t="s">
        <v>342</v>
      </c>
      <c r="E210" s="7"/>
      <c r="F210" s="3"/>
      <c r="G210" t="s">
        <v>1156</v>
      </c>
      <c r="H210" s="3" t="s">
        <v>48</v>
      </c>
      <c r="I210" t="s">
        <v>22</v>
      </c>
      <c r="J210" t="s">
        <v>515</v>
      </c>
      <c r="L210">
        <v>-5.4</v>
      </c>
      <c r="O210">
        <v>970</v>
      </c>
      <c r="P210">
        <v>0</v>
      </c>
      <c r="AF210">
        <v>12.05</v>
      </c>
      <c r="AG210">
        <v>0.48</v>
      </c>
      <c r="AH210">
        <v>0.96</v>
      </c>
      <c r="AI210">
        <v>0.15</v>
      </c>
      <c r="AP210">
        <v>3886</v>
      </c>
      <c r="AQ210">
        <v>205</v>
      </c>
      <c r="BD210">
        <f>0.00000199*10^6</f>
        <v>1.99</v>
      </c>
      <c r="BE210">
        <f>0.0000000194*10^6</f>
        <v>1.9399999999999997E-2</v>
      </c>
      <c r="BH210">
        <v>12.85</v>
      </c>
      <c r="BK210" s="19">
        <f>0.000000000535*10^9</f>
        <v>0.53500000000000003</v>
      </c>
      <c r="BM210" s="82">
        <f>0.000000328*10^9</f>
        <v>328</v>
      </c>
      <c r="BO210">
        <v>627</v>
      </c>
      <c r="BP210">
        <v>25</v>
      </c>
      <c r="BS210">
        <v>8.7999999999999995E-2</v>
      </c>
    </row>
    <row r="211" spans="1:71">
      <c r="A211" s="7" t="s">
        <v>846</v>
      </c>
      <c r="B211" t="s">
        <v>24</v>
      </c>
      <c r="C211" t="s">
        <v>388</v>
      </c>
      <c r="D211" s="7" t="s">
        <v>342</v>
      </c>
      <c r="E211" s="7"/>
      <c r="F211" s="3"/>
      <c r="G211" t="s">
        <v>1156</v>
      </c>
      <c r="H211" s="3" t="s">
        <v>128</v>
      </c>
      <c r="I211" t="s">
        <v>533</v>
      </c>
      <c r="J211" t="s">
        <v>516</v>
      </c>
      <c r="T211">
        <v>1.29E-2</v>
      </c>
      <c r="AF211">
        <v>14080</v>
      </c>
      <c r="AG211">
        <v>2112</v>
      </c>
      <c r="AH211">
        <v>64</v>
      </c>
      <c r="AI211">
        <v>9.6</v>
      </c>
      <c r="AP211">
        <v>18</v>
      </c>
      <c r="AQ211">
        <v>4</v>
      </c>
      <c r="BD211">
        <f>0.00000709*10^6</f>
        <v>7.09</v>
      </c>
      <c r="BE211">
        <f>0.0000000584*10^6</f>
        <v>5.8400000000000001E-2</v>
      </c>
      <c r="BH211">
        <v>0.44</v>
      </c>
      <c r="BK211" s="19">
        <f>0.000000000661*10^9</f>
        <v>0.66100000000000003</v>
      </c>
      <c r="BM211" s="82">
        <f>0.00000101*10^9</f>
        <v>1010.0000000000001</v>
      </c>
      <c r="BO211">
        <v>1527</v>
      </c>
      <c r="BP211">
        <v>45</v>
      </c>
      <c r="BS211">
        <v>0.115</v>
      </c>
    </row>
    <row r="212" spans="1:71">
      <c r="A212" s="7" t="s">
        <v>846</v>
      </c>
      <c r="B212" t="s">
        <v>24</v>
      </c>
      <c r="C212" t="s">
        <v>388</v>
      </c>
      <c r="D212" s="7" t="s">
        <v>342</v>
      </c>
      <c r="E212" s="7"/>
      <c r="F212" s="3"/>
      <c r="G212" t="s">
        <v>1156</v>
      </c>
      <c r="H212" s="3" t="s">
        <v>128</v>
      </c>
      <c r="I212" t="s">
        <v>532</v>
      </c>
      <c r="J212" t="s">
        <v>516</v>
      </c>
      <c r="T212">
        <v>8.6999999999999994E-3</v>
      </c>
      <c r="AF212">
        <v>14080</v>
      </c>
      <c r="AG212">
        <v>2112</v>
      </c>
      <c r="AH212">
        <v>64</v>
      </c>
      <c r="AI212">
        <v>9.6</v>
      </c>
      <c r="AP212">
        <v>447</v>
      </c>
      <c r="AQ212">
        <v>108</v>
      </c>
      <c r="BD212">
        <f>0.000175*10^6</f>
        <v>175</v>
      </c>
      <c r="BE212">
        <f>0.00000144*10^6</f>
        <v>1.44</v>
      </c>
      <c r="BH212">
        <v>3.09</v>
      </c>
      <c r="BK212" s="19">
        <f>0.00000000377*10^9</f>
        <v>3.77</v>
      </c>
      <c r="BM212" s="82">
        <f>0.0000112*10^9</f>
        <v>11200</v>
      </c>
      <c r="BO212">
        <v>2984</v>
      </c>
      <c r="BP212">
        <v>186</v>
      </c>
      <c r="BS212">
        <v>5.8000000000000003E-2</v>
      </c>
    </row>
    <row r="213" spans="1:71">
      <c r="A213" s="7" t="s">
        <v>846</v>
      </c>
      <c r="B213" t="s">
        <v>24</v>
      </c>
      <c r="C213" t="s">
        <v>388</v>
      </c>
      <c r="D213" s="7" t="s">
        <v>342</v>
      </c>
      <c r="E213" s="7"/>
      <c r="F213" s="3"/>
      <c r="G213" t="s">
        <v>1156</v>
      </c>
      <c r="H213" s="3" t="s">
        <v>128</v>
      </c>
      <c r="I213" t="s">
        <v>22</v>
      </c>
      <c r="J213" t="s">
        <v>516</v>
      </c>
      <c r="AF213">
        <v>14080</v>
      </c>
      <c r="AG213">
        <v>2112</v>
      </c>
      <c r="AH213">
        <v>64</v>
      </c>
      <c r="AI213">
        <v>9.6</v>
      </c>
      <c r="AP213">
        <v>465</v>
      </c>
      <c r="AQ213">
        <v>225</v>
      </c>
      <c r="BD213">
        <f>0.000182*10^6</f>
        <v>182</v>
      </c>
      <c r="BE213">
        <f>0.00000144*10^6</f>
        <v>1.44</v>
      </c>
      <c r="BH213">
        <v>2.98</v>
      </c>
      <c r="BK213" s="19">
        <f>0.00000000443*10^9</f>
        <v>4.43</v>
      </c>
      <c r="BM213" s="82">
        <f>0.0000122*10^9</f>
        <v>12200</v>
      </c>
      <c r="BO213">
        <v>2863</v>
      </c>
      <c r="BP213">
        <v>179</v>
      </c>
      <c r="BS213">
        <v>6.3E-2</v>
      </c>
    </row>
    <row r="214" spans="1:71">
      <c r="A214" s="7" t="s">
        <v>846</v>
      </c>
      <c r="B214" t="s">
        <v>24</v>
      </c>
      <c r="C214" t="s">
        <v>388</v>
      </c>
      <c r="D214" s="7" t="s">
        <v>342</v>
      </c>
      <c r="E214" s="7"/>
      <c r="F214" s="3"/>
      <c r="G214" t="s">
        <v>1156</v>
      </c>
      <c r="H214" s="3" t="s">
        <v>128</v>
      </c>
      <c r="I214" t="s">
        <v>533</v>
      </c>
      <c r="J214" t="s">
        <v>517</v>
      </c>
      <c r="O214" t="s">
        <v>522</v>
      </c>
      <c r="P214" t="s">
        <v>1585</v>
      </c>
      <c r="T214">
        <v>1.34E-2</v>
      </c>
      <c r="AF214">
        <v>824</v>
      </c>
      <c r="AG214">
        <v>123.6</v>
      </c>
      <c r="AH214">
        <v>22</v>
      </c>
      <c r="AI214">
        <v>3.3</v>
      </c>
      <c r="AP214">
        <v>114</v>
      </c>
      <c r="AQ214">
        <v>26</v>
      </c>
      <c r="BD214">
        <f>0.00000283*10^6</f>
        <v>2.83</v>
      </c>
      <c r="BE214">
        <f>0.0000000234*10^6</f>
        <v>2.3400000000000001E-2</v>
      </c>
      <c r="BH214">
        <v>8</v>
      </c>
      <c r="BK214" s="19">
        <f>0.000000000455*10^9</f>
        <v>0.45499999999999996</v>
      </c>
      <c r="BM214" s="82">
        <f>0.000000676*10^9</f>
        <v>676</v>
      </c>
      <c r="BO214">
        <v>1486</v>
      </c>
      <c r="BP214">
        <v>77</v>
      </c>
      <c r="BS214">
        <v>0.19</v>
      </c>
    </row>
    <row r="215" spans="1:71">
      <c r="A215" s="7" t="s">
        <v>846</v>
      </c>
      <c r="B215" t="s">
        <v>24</v>
      </c>
      <c r="C215" t="s">
        <v>388</v>
      </c>
      <c r="D215" s="7" t="s">
        <v>342</v>
      </c>
      <c r="E215" s="7"/>
      <c r="F215" s="3"/>
      <c r="G215" t="s">
        <v>1156</v>
      </c>
      <c r="H215" s="3" t="s">
        <v>128</v>
      </c>
      <c r="I215" t="s">
        <v>532</v>
      </c>
      <c r="J215" t="s">
        <v>517</v>
      </c>
      <c r="O215" t="s">
        <v>522</v>
      </c>
      <c r="P215" t="s">
        <v>1585</v>
      </c>
      <c r="T215">
        <v>8.5000000000000006E-3</v>
      </c>
      <c r="AF215">
        <v>824</v>
      </c>
      <c r="AG215">
        <v>123.6</v>
      </c>
      <c r="AH215">
        <v>22</v>
      </c>
      <c r="AI215">
        <v>3.3</v>
      </c>
      <c r="AP215">
        <v>1475</v>
      </c>
      <c r="AQ215">
        <v>314</v>
      </c>
      <c r="BD215">
        <f>0.0000382*10^6</f>
        <v>38.200000000000003</v>
      </c>
      <c r="BE215">
        <f>0.000000315*10^6</f>
        <v>0.315</v>
      </c>
      <c r="BH215">
        <v>13.93</v>
      </c>
      <c r="BK215" s="19">
        <f>0.0000000032*10^9</f>
        <v>3.2</v>
      </c>
      <c r="BM215" s="82">
        <f>0.000009*10^9</f>
        <v>9000</v>
      </c>
      <c r="BO215">
        <v>2816</v>
      </c>
      <c r="BP215">
        <v>163</v>
      </c>
      <c r="BS215">
        <v>0.21</v>
      </c>
    </row>
    <row r="216" spans="1:71">
      <c r="A216" s="7" t="s">
        <v>846</v>
      </c>
      <c r="B216" t="s">
        <v>24</v>
      </c>
      <c r="C216" t="s">
        <v>388</v>
      </c>
      <c r="D216" s="7" t="s">
        <v>342</v>
      </c>
      <c r="E216" s="7"/>
      <c r="F216" s="3"/>
      <c r="G216" t="s">
        <v>1156</v>
      </c>
      <c r="H216" s="3" t="s">
        <v>128</v>
      </c>
      <c r="I216" t="s">
        <v>22</v>
      </c>
      <c r="J216" t="s">
        <v>517</v>
      </c>
      <c r="O216" t="s">
        <v>522</v>
      </c>
      <c r="P216" t="s">
        <v>1585</v>
      </c>
      <c r="AF216">
        <v>824</v>
      </c>
      <c r="AG216">
        <v>123.6</v>
      </c>
      <c r="AH216">
        <v>22</v>
      </c>
      <c r="AI216">
        <v>3.3</v>
      </c>
      <c r="AP216">
        <v>1579</v>
      </c>
      <c r="AQ216">
        <v>668</v>
      </c>
      <c r="BD216">
        <f>0.000041*10^6</f>
        <v>41</v>
      </c>
      <c r="BE216">
        <f>0.000000316*10^6</f>
        <v>0.316</v>
      </c>
      <c r="BH216">
        <v>13.52</v>
      </c>
      <c r="BK216" s="19">
        <f>0.00000000366*10^9</f>
        <v>3.66</v>
      </c>
      <c r="BM216" s="82">
        <f>0.00000968</f>
        <v>9.6800000000000005E-6</v>
      </c>
      <c r="BO216">
        <v>2723</v>
      </c>
      <c r="BP216">
        <v>158</v>
      </c>
      <c r="BS216">
        <v>0.20899999999999999</v>
      </c>
    </row>
    <row r="217" spans="1:71">
      <c r="A217" s="7" t="s">
        <v>846</v>
      </c>
      <c r="B217" t="s">
        <v>24</v>
      </c>
      <c r="C217" t="s">
        <v>388</v>
      </c>
      <c r="D217" s="7" t="s">
        <v>342</v>
      </c>
      <c r="E217" s="7"/>
      <c r="F217" s="3"/>
      <c r="G217" t="s">
        <v>1156</v>
      </c>
      <c r="H217" s="3" t="s">
        <v>128</v>
      </c>
      <c r="I217" t="s">
        <v>533</v>
      </c>
      <c r="J217" t="s">
        <v>518</v>
      </c>
      <c r="O217" t="s">
        <v>522</v>
      </c>
      <c r="P217" t="s">
        <v>1585</v>
      </c>
      <c r="T217">
        <v>1.3899999999999999E-2</v>
      </c>
      <c r="AF217">
        <v>516</v>
      </c>
      <c r="AG217">
        <v>77.400000000000006</v>
      </c>
      <c r="AH217">
        <v>16</v>
      </c>
      <c r="AI217">
        <v>2.4</v>
      </c>
      <c r="AP217">
        <v>249</v>
      </c>
      <c r="AQ217">
        <v>55</v>
      </c>
      <c r="BD217">
        <f>0.00000394*10^6</f>
        <v>3.9400000000000004</v>
      </c>
      <c r="BE217">
        <f>0.0000000326*10^6</f>
        <v>3.2600000000000004E-2</v>
      </c>
      <c r="BH217">
        <v>7.93</v>
      </c>
      <c r="BK217" s="19">
        <f>0.00000000051*10^9</f>
        <v>0.51</v>
      </c>
      <c r="BM217" s="82">
        <f>0.000000903*10^9</f>
        <v>903</v>
      </c>
      <c r="BO217">
        <v>1769</v>
      </c>
      <c r="BP217">
        <v>101</v>
      </c>
      <c r="BS217">
        <v>0.19</v>
      </c>
    </row>
    <row r="218" spans="1:71">
      <c r="A218" s="7" t="s">
        <v>846</v>
      </c>
      <c r="B218" t="s">
        <v>24</v>
      </c>
      <c r="C218" t="s">
        <v>388</v>
      </c>
      <c r="D218" s="7" t="s">
        <v>342</v>
      </c>
      <c r="E218" s="7"/>
      <c r="F218" s="3"/>
      <c r="G218" t="s">
        <v>1156</v>
      </c>
      <c r="H218" s="3" t="s">
        <v>128</v>
      </c>
      <c r="I218" t="s">
        <v>532</v>
      </c>
      <c r="J218" t="s">
        <v>518</v>
      </c>
      <c r="O218" t="s">
        <v>522</v>
      </c>
      <c r="P218" t="s">
        <v>1585</v>
      </c>
      <c r="T218">
        <v>1.0200000000000001E-2</v>
      </c>
      <c r="AF218">
        <v>516</v>
      </c>
      <c r="AG218">
        <v>77.400000000000006</v>
      </c>
      <c r="AH218">
        <v>16</v>
      </c>
      <c r="AI218">
        <v>2.4</v>
      </c>
      <c r="AP218">
        <v>2062</v>
      </c>
      <c r="AQ218">
        <v>417</v>
      </c>
      <c r="BD218">
        <f>0.0000347*10^6</f>
        <v>34.700000000000003</v>
      </c>
      <c r="BE218">
        <f>0.000000289*10^6</f>
        <v>0.28900000000000003</v>
      </c>
      <c r="BH218">
        <v>7.5</v>
      </c>
      <c r="BK218" s="19">
        <f>0.00000000222*10^9</f>
        <v>2.2200000000000002</v>
      </c>
      <c r="BM218" s="82">
        <f>0.00000606*10^9</f>
        <v>6060</v>
      </c>
      <c r="BO218">
        <v>2816</v>
      </c>
      <c r="BP218">
        <v>163</v>
      </c>
      <c r="BS218">
        <v>0.16</v>
      </c>
    </row>
    <row r="219" spans="1:71">
      <c r="A219" s="7" t="s">
        <v>846</v>
      </c>
      <c r="B219" t="s">
        <v>24</v>
      </c>
      <c r="C219" t="s">
        <v>388</v>
      </c>
      <c r="D219" s="7" t="s">
        <v>342</v>
      </c>
      <c r="E219" s="7"/>
      <c r="F219" s="3"/>
      <c r="G219" t="s">
        <v>1156</v>
      </c>
      <c r="H219" s="3" t="s">
        <v>128</v>
      </c>
      <c r="I219" t="s">
        <v>22</v>
      </c>
      <c r="J219" t="s">
        <v>518</v>
      </c>
      <c r="O219" t="s">
        <v>522</v>
      </c>
      <c r="P219" t="s">
        <v>1585</v>
      </c>
      <c r="AF219">
        <v>516</v>
      </c>
      <c r="AG219">
        <v>77.400000000000006</v>
      </c>
      <c r="AH219">
        <v>16</v>
      </c>
      <c r="AI219">
        <v>2.4</v>
      </c>
      <c r="AP219">
        <v>2279</v>
      </c>
      <c r="AQ219">
        <v>908</v>
      </c>
      <c r="BD219">
        <f>0.0000386*10^6</f>
        <v>38.6</v>
      </c>
      <c r="BE219">
        <f>0.000000291*10^6</f>
        <v>0.29099999999999998</v>
      </c>
      <c r="BH219">
        <v>7.54</v>
      </c>
      <c r="BK219" s="19">
        <f>0.00000000273*10^9</f>
        <v>2.73</v>
      </c>
      <c r="BM219" s="82">
        <f>0.00000696*10^9</f>
        <v>6960</v>
      </c>
      <c r="BO219">
        <v>2680</v>
      </c>
      <c r="BP219">
        <v>156</v>
      </c>
      <c r="BS219">
        <v>0.16400000000000001</v>
      </c>
    </row>
    <row r="220" spans="1:71">
      <c r="A220" s="7" t="s">
        <v>846</v>
      </c>
      <c r="B220" t="s">
        <v>24</v>
      </c>
      <c r="C220" t="s">
        <v>388</v>
      </c>
      <c r="D220" s="7" t="s">
        <v>342</v>
      </c>
      <c r="E220" s="7"/>
      <c r="F220" s="3"/>
      <c r="G220" t="s">
        <v>1156</v>
      </c>
      <c r="H220" s="3" t="s">
        <v>128</v>
      </c>
      <c r="I220" t="s">
        <v>533</v>
      </c>
      <c r="J220" t="s">
        <v>519</v>
      </c>
      <c r="O220" t="s">
        <v>522</v>
      </c>
      <c r="P220" t="s">
        <v>1585</v>
      </c>
      <c r="T220">
        <v>1.72E-2</v>
      </c>
      <c r="AF220">
        <v>449</v>
      </c>
      <c r="AG220">
        <v>67.349999999999994</v>
      </c>
      <c r="AH220">
        <v>130</v>
      </c>
      <c r="AI220">
        <v>19.5</v>
      </c>
      <c r="AP220">
        <v>305</v>
      </c>
      <c r="AQ220">
        <v>53</v>
      </c>
      <c r="BD220">
        <f>0.00000834*10^6</f>
        <v>8.34</v>
      </c>
      <c r="BE220">
        <f>0.0000000688*10^6</f>
        <v>6.88E-2</v>
      </c>
      <c r="BH220">
        <v>6.02</v>
      </c>
      <c r="BK220" s="19">
        <f>0.000000000848*10^9</f>
        <v>0.84799999999999998</v>
      </c>
      <c r="BM220" s="82">
        <f>0.00000215*10^9</f>
        <v>2150</v>
      </c>
      <c r="BO220">
        <v>2534</v>
      </c>
      <c r="BP220">
        <v>162</v>
      </c>
      <c r="BS220">
        <v>0.23</v>
      </c>
    </row>
    <row r="221" spans="1:71">
      <c r="A221" s="7" t="s">
        <v>846</v>
      </c>
      <c r="B221" t="s">
        <v>24</v>
      </c>
      <c r="C221" t="s">
        <v>388</v>
      </c>
      <c r="D221" s="7" t="s">
        <v>342</v>
      </c>
      <c r="E221" s="7"/>
      <c r="F221" s="3"/>
      <c r="G221" t="s">
        <v>1156</v>
      </c>
      <c r="H221" s="3" t="s">
        <v>128</v>
      </c>
      <c r="I221" t="s">
        <v>532</v>
      </c>
      <c r="J221" t="s">
        <v>519</v>
      </c>
      <c r="O221" t="s">
        <v>522</v>
      </c>
      <c r="P221" t="s">
        <v>1585</v>
      </c>
      <c r="T221">
        <v>1.3299999999999999E-2</v>
      </c>
      <c r="AF221">
        <v>449</v>
      </c>
      <c r="AG221">
        <v>67.349999999999994</v>
      </c>
      <c r="AH221">
        <v>130</v>
      </c>
      <c r="AI221">
        <v>19.5</v>
      </c>
      <c r="AP221">
        <v>1134</v>
      </c>
      <c r="AQ221">
        <v>187</v>
      </c>
      <c r="BD221">
        <f>0.0000327*10^6</f>
        <v>32.700000000000003</v>
      </c>
      <c r="BE221">
        <f>0.000000275*10^6</f>
        <v>0.27500000000000002</v>
      </c>
      <c r="BH221">
        <v>6.7</v>
      </c>
      <c r="BK221" s="19">
        <f>0.00000000201*10^9</f>
        <v>2.0099999999999998</v>
      </c>
      <c r="BM221" s="82">
        <f>0.00000575*10^9</f>
        <v>5750</v>
      </c>
      <c r="BO221">
        <v>2855</v>
      </c>
      <c r="BP221">
        <v>177</v>
      </c>
      <c r="BS221">
        <v>0.16</v>
      </c>
    </row>
    <row r="222" spans="1:71">
      <c r="A222" s="7" t="s">
        <v>846</v>
      </c>
      <c r="B222" t="s">
        <v>24</v>
      </c>
      <c r="C222" t="s">
        <v>388</v>
      </c>
      <c r="D222" s="7" t="s">
        <v>342</v>
      </c>
      <c r="E222" s="7"/>
      <c r="F222" s="3"/>
      <c r="G222" t="s">
        <v>1156</v>
      </c>
      <c r="H222" s="3" t="s">
        <v>128</v>
      </c>
      <c r="I222" t="s">
        <v>22</v>
      </c>
      <c r="J222" t="s">
        <v>519</v>
      </c>
      <c r="O222" t="s">
        <v>522</v>
      </c>
      <c r="P222" t="s">
        <v>1585</v>
      </c>
      <c r="AF222">
        <v>449</v>
      </c>
      <c r="AG222">
        <v>67.349999999999994</v>
      </c>
      <c r="AH222">
        <v>130</v>
      </c>
      <c r="AI222">
        <v>19.5</v>
      </c>
      <c r="AP222">
        <v>1399</v>
      </c>
      <c r="AQ222">
        <v>451</v>
      </c>
      <c r="BD222">
        <f>0.000041*10^6</f>
        <v>41</v>
      </c>
      <c r="BE222">
        <f>0.000000283*10^6</f>
        <v>0.28299999999999997</v>
      </c>
      <c r="BH222">
        <v>6.56</v>
      </c>
      <c r="BK222" s="19">
        <f>0.00000000286*10^9</f>
        <v>2.86</v>
      </c>
      <c r="BM222" s="82">
        <f>0.0000079*10^9</f>
        <v>7900.0000000000009</v>
      </c>
      <c r="BO222">
        <v>2768</v>
      </c>
      <c r="BP222">
        <v>172</v>
      </c>
      <c r="BS222">
        <v>0.17899999999999999</v>
      </c>
    </row>
    <row r="223" spans="1:71">
      <c r="A223" s="7" t="s">
        <v>846</v>
      </c>
      <c r="B223" t="s">
        <v>24</v>
      </c>
      <c r="C223" t="s">
        <v>1394</v>
      </c>
      <c r="D223" s="7" t="s">
        <v>104</v>
      </c>
      <c r="E223" s="7" t="s">
        <v>595</v>
      </c>
      <c r="F223" s="10">
        <v>240</v>
      </c>
      <c r="G223" t="s">
        <v>1156</v>
      </c>
      <c r="H223" s="3" t="s">
        <v>48</v>
      </c>
      <c r="I223" t="s">
        <v>533</v>
      </c>
      <c r="J223" t="s">
        <v>525</v>
      </c>
      <c r="L223">
        <v>-6.2</v>
      </c>
      <c r="O223">
        <v>140</v>
      </c>
      <c r="P223" t="s">
        <v>284</v>
      </c>
      <c r="T223">
        <v>1.9E-2</v>
      </c>
      <c r="AF223">
        <v>353</v>
      </c>
      <c r="AG223">
        <v>52.95</v>
      </c>
      <c r="AH223">
        <v>20</v>
      </c>
      <c r="AI223">
        <v>3</v>
      </c>
      <c r="AP223">
        <v>75</v>
      </c>
      <c r="AQ223">
        <v>27</v>
      </c>
      <c r="BD223">
        <f>0.000000883*10^6</f>
        <v>0.88300000000000001</v>
      </c>
      <c r="BE223">
        <f>0.000000258*10^6</f>
        <v>0.25800000000000001</v>
      </c>
      <c r="BH223">
        <v>1.85</v>
      </c>
      <c r="BK223" s="19">
        <f>0.000000000543*10^9</f>
        <v>0.54300000000000004</v>
      </c>
      <c r="BM223" s="82">
        <f>0.000000351*10^9</f>
        <v>351</v>
      </c>
      <c r="BO223">
        <v>646</v>
      </c>
      <c r="BP223">
        <v>9</v>
      </c>
      <c r="BS223">
        <v>0.216</v>
      </c>
    </row>
    <row r="224" spans="1:71">
      <c r="A224" s="7" t="s">
        <v>846</v>
      </c>
      <c r="B224" t="s">
        <v>24</v>
      </c>
      <c r="C224" t="s">
        <v>1394</v>
      </c>
      <c r="D224" s="7" t="s">
        <v>104</v>
      </c>
      <c r="E224" s="7" t="s">
        <v>595</v>
      </c>
      <c r="F224" s="10">
        <v>240</v>
      </c>
      <c r="G224" t="s">
        <v>1156</v>
      </c>
      <c r="H224" s="3" t="s">
        <v>48</v>
      </c>
      <c r="I224" t="s">
        <v>532</v>
      </c>
      <c r="J224" t="s">
        <v>525</v>
      </c>
      <c r="L224">
        <v>-6.2</v>
      </c>
      <c r="O224">
        <v>140</v>
      </c>
      <c r="P224" t="s">
        <v>284</v>
      </c>
      <c r="T224">
        <v>1.21E-2</v>
      </c>
      <c r="AF224">
        <v>353</v>
      </c>
      <c r="AG224">
        <v>52.95</v>
      </c>
      <c r="AH224">
        <v>20</v>
      </c>
      <c r="AI224">
        <v>3</v>
      </c>
      <c r="AP224">
        <v>1169</v>
      </c>
      <c r="AQ224">
        <v>228</v>
      </c>
      <c r="BD224">
        <f>0.0000144*10^6</f>
        <v>14.399999999999999</v>
      </c>
      <c r="BE224">
        <f>0.000000118*10^6</f>
        <v>0.11799999999999999</v>
      </c>
      <c r="BH224">
        <v>10.5</v>
      </c>
      <c r="BK224" s="19">
        <f>0.000000000566*10^9</f>
        <v>0.56600000000000006</v>
      </c>
      <c r="BM224" s="82">
        <f>0.00000133*10^9</f>
        <v>1330</v>
      </c>
      <c r="BO224">
        <v>2350</v>
      </c>
      <c r="BP224">
        <v>155</v>
      </c>
      <c r="BS224">
        <v>8.1000000000000003E-2</v>
      </c>
    </row>
    <row r="225" spans="1:71">
      <c r="A225" s="7" t="s">
        <v>846</v>
      </c>
      <c r="B225" t="s">
        <v>24</v>
      </c>
      <c r="C225" t="s">
        <v>1394</v>
      </c>
      <c r="D225" s="7" t="s">
        <v>104</v>
      </c>
      <c r="E225" s="7" t="s">
        <v>595</v>
      </c>
      <c r="F225" s="10">
        <v>240</v>
      </c>
      <c r="G225" t="s">
        <v>1156</v>
      </c>
      <c r="H225" s="3" t="s">
        <v>48</v>
      </c>
      <c r="I225" t="s">
        <v>22</v>
      </c>
      <c r="J225" t="s">
        <v>525</v>
      </c>
      <c r="L225">
        <v>-6.2</v>
      </c>
      <c r="O225">
        <v>140</v>
      </c>
      <c r="P225" t="s">
        <v>284</v>
      </c>
      <c r="AF225">
        <v>353</v>
      </c>
      <c r="AG225">
        <v>52.95</v>
      </c>
      <c r="AH225">
        <v>20</v>
      </c>
      <c r="AI225">
        <v>3</v>
      </c>
      <c r="AP225">
        <v>1237</v>
      </c>
      <c r="AQ225">
        <v>481</v>
      </c>
      <c r="BD225">
        <f>0.0000153*10^6</f>
        <v>15.299999999999999</v>
      </c>
      <c r="BE225">
        <f>0.000000284*10^6</f>
        <v>0.28399999999999997</v>
      </c>
      <c r="BH225">
        <v>10</v>
      </c>
      <c r="BK225" s="19">
        <f>0.00000000111*10^9</f>
        <v>1.1100000000000001</v>
      </c>
      <c r="BM225" s="82">
        <f>0.00000168*10^9</f>
        <v>1680</v>
      </c>
      <c r="BO225">
        <v>1994</v>
      </c>
      <c r="BP225">
        <v>132</v>
      </c>
      <c r="BS225">
        <v>0.109</v>
      </c>
    </row>
    <row r="226" spans="1:71">
      <c r="A226" s="7" t="s">
        <v>846</v>
      </c>
      <c r="B226" t="s">
        <v>24</v>
      </c>
      <c r="C226" t="s">
        <v>1394</v>
      </c>
      <c r="D226" s="7" t="s">
        <v>104</v>
      </c>
      <c r="E226" s="7" t="s">
        <v>595</v>
      </c>
      <c r="F226" s="10">
        <v>240</v>
      </c>
      <c r="G226" t="s">
        <v>1156</v>
      </c>
      <c r="H226" s="3" t="s">
        <v>48</v>
      </c>
      <c r="I226" t="s">
        <v>533</v>
      </c>
      <c r="J226" t="s">
        <v>520</v>
      </c>
      <c r="L226">
        <v>-6.8</v>
      </c>
      <c r="O226">
        <v>900</v>
      </c>
      <c r="P226">
        <v>0</v>
      </c>
      <c r="T226">
        <v>0.1052</v>
      </c>
      <c r="AF226">
        <v>6150</v>
      </c>
      <c r="AG226">
        <v>922.5</v>
      </c>
      <c r="AH226">
        <v>50</v>
      </c>
      <c r="AI226">
        <v>7.5</v>
      </c>
      <c r="AP226">
        <v>4</v>
      </c>
      <c r="AQ226">
        <v>1</v>
      </c>
      <c r="BD226">
        <f>0.000000671*10^6</f>
        <v>0.67100000000000004</v>
      </c>
      <c r="BE226">
        <f>0.00000000721*10^6</f>
        <v>7.2099999999999994E-3</v>
      </c>
      <c r="BH226">
        <v>0.15</v>
      </c>
      <c r="BK226" s="19">
        <f>0.000000000503*10^9</f>
        <v>0.503</v>
      </c>
      <c r="BM226" s="82">
        <f>0.000000321*10^9</f>
        <v>321</v>
      </c>
      <c r="BO226">
        <v>639</v>
      </c>
      <c r="BP226">
        <v>5</v>
      </c>
      <c r="BS226">
        <v>0.25700000000000001</v>
      </c>
    </row>
    <row r="227" spans="1:71">
      <c r="A227" s="7" t="s">
        <v>846</v>
      </c>
      <c r="B227" t="s">
        <v>24</v>
      </c>
      <c r="C227" t="s">
        <v>1394</v>
      </c>
      <c r="D227" s="7" t="s">
        <v>104</v>
      </c>
      <c r="E227" s="7" t="s">
        <v>595</v>
      </c>
      <c r="F227" s="10">
        <v>240</v>
      </c>
      <c r="G227" t="s">
        <v>1156</v>
      </c>
      <c r="H227" s="3" t="s">
        <v>48</v>
      </c>
      <c r="I227" t="s">
        <v>532</v>
      </c>
      <c r="J227" t="s">
        <v>520</v>
      </c>
      <c r="L227">
        <v>-6.8</v>
      </c>
      <c r="O227">
        <v>900</v>
      </c>
      <c r="P227">
        <v>0</v>
      </c>
      <c r="T227">
        <v>0.1052</v>
      </c>
      <c r="AF227">
        <v>6150</v>
      </c>
      <c r="AG227">
        <v>922.5</v>
      </c>
      <c r="AH227">
        <v>50</v>
      </c>
      <c r="AI227">
        <v>7.5</v>
      </c>
      <c r="AP227" t="s">
        <v>346</v>
      </c>
      <c r="AQ227" t="s">
        <v>346</v>
      </c>
      <c r="BD227" t="s">
        <v>346</v>
      </c>
      <c r="BE227" t="s">
        <v>346</v>
      </c>
      <c r="BH227" t="s">
        <v>346</v>
      </c>
      <c r="BK227" s="19" t="s">
        <v>346</v>
      </c>
      <c r="BM227" s="82" t="s">
        <v>346</v>
      </c>
      <c r="BO227" t="s">
        <v>346</v>
      </c>
      <c r="BP227" t="s">
        <v>346</v>
      </c>
      <c r="BS227" t="s">
        <v>346</v>
      </c>
    </row>
    <row r="228" spans="1:71">
      <c r="A228" s="7" t="s">
        <v>1727</v>
      </c>
      <c r="B228" t="s">
        <v>24</v>
      </c>
      <c r="C228" t="s">
        <v>1394</v>
      </c>
      <c r="D228" s="7" t="s">
        <v>1728</v>
      </c>
      <c r="E228" s="7" t="s">
        <v>595</v>
      </c>
      <c r="F228" s="118">
        <v>84</v>
      </c>
      <c r="G228" t="s">
        <v>850</v>
      </c>
      <c r="J228" t="s">
        <v>577</v>
      </c>
      <c r="O228">
        <v>394</v>
      </c>
      <c r="P228">
        <v>0</v>
      </c>
      <c r="U228">
        <v>2</v>
      </c>
      <c r="AJ228" s="117">
        <v>0.10105</v>
      </c>
      <c r="AK228" s="117">
        <v>2.7349999999999978E-2</v>
      </c>
      <c r="AL228" s="117">
        <v>0.309</v>
      </c>
      <c r="AM228" s="117">
        <v>2.7000000000000024E-2</v>
      </c>
      <c r="AN228" s="117">
        <v>998324.14234951744</v>
      </c>
      <c r="AO228" s="117">
        <v>84101.898766043145</v>
      </c>
      <c r="BB228">
        <v>19.766999999999999</v>
      </c>
      <c r="BD228">
        <v>7.596409276164271E-6</v>
      </c>
      <c r="BE228">
        <v>1.4930315318859617E-8</v>
      </c>
      <c r="BF228">
        <v>4.0228005340847667E-11</v>
      </c>
      <c r="BG228">
        <v>4.7995494894485885E-13</v>
      </c>
      <c r="BH228">
        <v>3.8263443675470459</v>
      </c>
      <c r="BI228">
        <v>4.6266901936946332E-2</v>
      </c>
      <c r="BJ228">
        <v>0.52377152835565544</v>
      </c>
    </row>
    <row r="229" spans="1:71">
      <c r="A229" s="7" t="s">
        <v>1727</v>
      </c>
      <c r="B229" t="s">
        <v>24</v>
      </c>
      <c r="C229" t="s">
        <v>1394</v>
      </c>
      <c r="D229" s="7" t="s">
        <v>1728</v>
      </c>
      <c r="E229" s="7" t="s">
        <v>595</v>
      </c>
      <c r="F229" s="118">
        <v>84</v>
      </c>
      <c r="G229" t="s">
        <v>850</v>
      </c>
      <c r="J229" t="s">
        <v>578</v>
      </c>
      <c r="O229">
        <v>645</v>
      </c>
      <c r="P229">
        <v>0</v>
      </c>
      <c r="U229">
        <v>4</v>
      </c>
      <c r="AJ229" s="117">
        <v>5.8125000000000003E-2</v>
      </c>
      <c r="AK229" s="117">
        <v>1.7027300383012381E-2</v>
      </c>
      <c r="AL229" s="117">
        <v>8.2249999999999997E-3</v>
      </c>
      <c r="AM229" s="117">
        <v>2.1167486860749446E-3</v>
      </c>
      <c r="AN229" s="117">
        <v>27527.730654953833</v>
      </c>
      <c r="AO229" s="117">
        <v>5719.9517647375069</v>
      </c>
      <c r="BB229">
        <v>2.2160000000000002</v>
      </c>
      <c r="BD229">
        <v>1.5754495439083783E-5</v>
      </c>
      <c r="BE229">
        <v>6.6350245572712245E-8</v>
      </c>
      <c r="BF229">
        <v>9.654069854238464E-11</v>
      </c>
      <c r="BG229">
        <v>1.4931337825651526E-12</v>
      </c>
      <c r="BH229">
        <v>4.427614978657088</v>
      </c>
      <c r="BI229">
        <v>7.0972515258806948E-2</v>
      </c>
      <c r="BJ229">
        <v>0.44893712855562851</v>
      </c>
    </row>
    <row r="230" spans="1:71">
      <c r="A230" s="7" t="s">
        <v>1727</v>
      </c>
      <c r="B230" t="s">
        <v>24</v>
      </c>
      <c r="C230" t="s">
        <v>1394</v>
      </c>
      <c r="D230" s="7" t="s">
        <v>1728</v>
      </c>
      <c r="E230" s="7" t="s">
        <v>595</v>
      </c>
      <c r="F230" s="118">
        <v>84</v>
      </c>
      <c r="G230" t="s">
        <v>850</v>
      </c>
      <c r="J230" t="s">
        <v>579</v>
      </c>
      <c r="O230">
        <v>640</v>
      </c>
      <c r="P230">
        <v>25</v>
      </c>
      <c r="U230">
        <v>3</v>
      </c>
      <c r="AJ230" s="117">
        <v>0.20766666666666669</v>
      </c>
      <c r="AK230" s="117">
        <v>0.13183396544306952</v>
      </c>
      <c r="AL230" s="117">
        <v>5.553333333333333E-2</v>
      </c>
      <c r="AM230" s="117">
        <v>3.25794072655992E-2</v>
      </c>
      <c r="AN230" s="117">
        <v>3629855.2684088368</v>
      </c>
      <c r="AO230" s="117">
        <v>1568812.6402033225</v>
      </c>
      <c r="BB230">
        <v>6.6719999999999997</v>
      </c>
      <c r="BD230">
        <v>4.2732751587706671E-6</v>
      </c>
      <c r="BE230">
        <v>1.5228127281214591E-8</v>
      </c>
      <c r="BF230">
        <v>3.484466169379312E-12</v>
      </c>
      <c r="BG230">
        <v>1.1464403317616042E-13</v>
      </c>
      <c r="BH230">
        <v>0.58916820810877046</v>
      </c>
      <c r="BI230">
        <v>1.9497865502116591E-2</v>
      </c>
      <c r="BJ230">
        <v>0.9266718705015704</v>
      </c>
    </row>
    <row r="231" spans="1:71">
      <c r="A231" s="7" t="s">
        <v>1727</v>
      </c>
      <c r="B231" t="s">
        <v>24</v>
      </c>
      <c r="C231" t="s">
        <v>1394</v>
      </c>
      <c r="D231" s="7" t="s">
        <v>1728</v>
      </c>
      <c r="E231" s="7" t="s">
        <v>595</v>
      </c>
      <c r="F231" s="118">
        <v>84</v>
      </c>
      <c r="G231" t="s">
        <v>850</v>
      </c>
      <c r="J231" t="s">
        <v>582</v>
      </c>
      <c r="O231">
        <v>73</v>
      </c>
      <c r="P231">
        <v>0</v>
      </c>
      <c r="U231">
        <v>6</v>
      </c>
      <c r="AJ231" s="117">
        <v>7.8750000000000001E-2</v>
      </c>
      <c r="AK231" s="117">
        <v>3.0517194606756809E-2</v>
      </c>
      <c r="AL231" s="117">
        <v>2.1933333333333336E-2</v>
      </c>
      <c r="AM231" s="117">
        <v>7.9324089097266744E-3</v>
      </c>
      <c r="AN231" s="117">
        <v>196085.72030710187</v>
      </c>
      <c r="AO231" s="117">
        <v>51963.287130358942</v>
      </c>
      <c r="BB231">
        <v>8.33</v>
      </c>
      <c r="BD231">
        <v>4.8724859462933089E-6</v>
      </c>
      <c r="BE231">
        <v>1.2927146155522982E-8</v>
      </c>
      <c r="BF231">
        <v>2.4998136559200894E-11</v>
      </c>
      <c r="BG231">
        <v>4.4060269028184197E-13</v>
      </c>
      <c r="BH231">
        <v>3.7069860431320882</v>
      </c>
      <c r="BI231">
        <v>6.6073255965530611E-2</v>
      </c>
      <c r="BJ231">
        <v>0.53862691693391995</v>
      </c>
    </row>
    <row r="232" spans="1:71">
      <c r="A232" s="7" t="s">
        <v>1727</v>
      </c>
      <c r="B232" t="s">
        <v>24</v>
      </c>
      <c r="C232" t="s">
        <v>1394</v>
      </c>
      <c r="D232" s="7" t="s">
        <v>1728</v>
      </c>
      <c r="E232" s="7" t="s">
        <v>595</v>
      </c>
      <c r="F232" s="118">
        <v>84</v>
      </c>
      <c r="G232" t="s">
        <v>850</v>
      </c>
      <c r="J232" t="s">
        <v>583</v>
      </c>
      <c r="O232">
        <v>190</v>
      </c>
      <c r="P232">
        <v>0</v>
      </c>
      <c r="U232">
        <v>3</v>
      </c>
      <c r="AJ232" s="117">
        <v>0.17213333333333333</v>
      </c>
      <c r="AK232" s="117">
        <v>0.11483114173041699</v>
      </c>
      <c r="AL232" s="117">
        <v>3.4323333333333331E-2</v>
      </c>
      <c r="AM232" s="117">
        <v>2.2550252277475254E-2</v>
      </c>
      <c r="AN232" s="117">
        <v>276244.52108667413</v>
      </c>
      <c r="AO232" s="117">
        <v>130040.44105560088</v>
      </c>
      <c r="BB232">
        <v>8.8149999999999995</v>
      </c>
      <c r="BD232">
        <v>6.0305687122489493E-6</v>
      </c>
      <c r="BE232">
        <v>2.1302812917219151E-8</v>
      </c>
      <c r="BF232">
        <v>3.2840382560219961E-11</v>
      </c>
      <c r="BG232">
        <v>4.2889261494493798E-13</v>
      </c>
      <c r="BH232">
        <v>3.9347201313815861</v>
      </c>
      <c r="BI232">
        <v>5.3233687012688852E-2</v>
      </c>
      <c r="BJ232">
        <v>0.51028303400790331</v>
      </c>
    </row>
    <row r="233" spans="1:71">
      <c r="A233" s="7" t="s">
        <v>1727</v>
      </c>
      <c r="B233" t="s">
        <v>24</v>
      </c>
      <c r="C233" t="s">
        <v>1394</v>
      </c>
      <c r="D233" s="7" t="s">
        <v>97</v>
      </c>
      <c r="E233" s="7" t="s">
        <v>595</v>
      </c>
      <c r="F233">
        <v>118</v>
      </c>
      <c r="G233" t="s">
        <v>850</v>
      </c>
      <c r="J233" t="s">
        <v>753</v>
      </c>
      <c r="O233">
        <v>490</v>
      </c>
      <c r="P233">
        <v>26</v>
      </c>
      <c r="U233">
        <v>6</v>
      </c>
      <c r="AJ233" s="117">
        <v>6.1983333333333335E-2</v>
      </c>
      <c r="AK233" s="117">
        <v>1.8988446779847766E-3</v>
      </c>
      <c r="AL233" s="117">
        <v>3.6916666666666667E-2</v>
      </c>
      <c r="AM233" s="117">
        <v>3.3468808032421854E-3</v>
      </c>
      <c r="AN233" s="117">
        <v>5447688.4985570693</v>
      </c>
      <c r="AO233" s="117">
        <v>406681.29427290551</v>
      </c>
      <c r="BB233">
        <v>21.897000000000002</v>
      </c>
      <c r="BD233">
        <v>4.9220571589518809E-6</v>
      </c>
      <c r="BE233">
        <v>3.0097607887419954E-8</v>
      </c>
      <c r="BF233">
        <v>1.1432885464643496E-12</v>
      </c>
      <c r="BG233">
        <v>4.1171391446650474E-14</v>
      </c>
      <c r="BH233">
        <v>0.16783135844947422</v>
      </c>
      <c r="BI233">
        <v>6.1303499244437986E-3</v>
      </c>
      <c r="BJ233">
        <v>0.9791116366821877</v>
      </c>
    </row>
    <row r="234" spans="1:71">
      <c r="A234" s="7" t="s">
        <v>1727</v>
      </c>
      <c r="B234" t="s">
        <v>24</v>
      </c>
      <c r="C234" t="s">
        <v>1394</v>
      </c>
      <c r="D234" s="7" t="s">
        <v>97</v>
      </c>
      <c r="E234" s="7" t="s">
        <v>595</v>
      </c>
      <c r="F234">
        <v>118</v>
      </c>
      <c r="G234" t="s">
        <v>850</v>
      </c>
      <c r="J234" t="s">
        <v>755</v>
      </c>
      <c r="O234">
        <v>115</v>
      </c>
      <c r="P234">
        <v>0</v>
      </c>
      <c r="U234">
        <v>4</v>
      </c>
      <c r="AJ234" s="117">
        <v>0.29749999999999999</v>
      </c>
      <c r="AK234" s="117">
        <v>8.4990685764186349E-2</v>
      </c>
      <c r="AL234" s="117">
        <v>6.3666666666666663E-2</v>
      </c>
      <c r="AM234" s="117">
        <v>4.4814432199162257E-3</v>
      </c>
      <c r="AN234" s="117">
        <v>450287.90415813669</v>
      </c>
      <c r="AO234" s="117">
        <v>69540.68879033791</v>
      </c>
      <c r="BB234">
        <v>10.644</v>
      </c>
      <c r="BD234">
        <v>6.8045199244444091E-6</v>
      </c>
      <c r="BE234">
        <v>2.279079673430744E-8</v>
      </c>
      <c r="BF234">
        <v>3.598415628352549E-11</v>
      </c>
      <c r="BG234">
        <v>4.3372451979037226E-13</v>
      </c>
      <c r="BH234">
        <v>3.8210062150336608</v>
      </c>
      <c r="BI234">
        <v>4.7800473886798055E-2</v>
      </c>
      <c r="BJ234">
        <v>0.52443591712170978</v>
      </c>
    </row>
    <row r="235" spans="1:71">
      <c r="A235" s="7" t="s">
        <v>1727</v>
      </c>
      <c r="B235" t="s">
        <v>24</v>
      </c>
      <c r="C235" t="s">
        <v>1394</v>
      </c>
      <c r="D235" s="7" t="s">
        <v>97</v>
      </c>
      <c r="E235" s="7" t="s">
        <v>595</v>
      </c>
      <c r="F235">
        <v>118</v>
      </c>
      <c r="G235" t="s">
        <v>850</v>
      </c>
      <c r="J235" t="s">
        <v>757</v>
      </c>
      <c r="O235">
        <v>550</v>
      </c>
      <c r="P235">
        <v>35</v>
      </c>
      <c r="U235">
        <v>2</v>
      </c>
      <c r="AJ235" s="117">
        <v>3.2349999999999999</v>
      </c>
      <c r="AK235" s="117">
        <v>0.27499999999999991</v>
      </c>
      <c r="AL235" s="117">
        <v>0.7649999999999999</v>
      </c>
      <c r="AM235" s="117">
        <v>6.9000000000000006E-2</v>
      </c>
      <c r="AN235" s="117">
        <v>378411276.01099455</v>
      </c>
      <c r="AO235" s="117">
        <v>101239994.90712088</v>
      </c>
      <c r="BB235">
        <v>2.2719999999999998</v>
      </c>
      <c r="BD235">
        <v>5.4046543406103449E-6</v>
      </c>
      <c r="BE235">
        <v>3.4264266466252535E-8</v>
      </c>
      <c r="BF235">
        <v>4.887793949214466E-13</v>
      </c>
      <c r="BG235">
        <v>1.2721237168166923E-13</v>
      </c>
      <c r="BH235">
        <v>6.5344475415429398E-2</v>
      </c>
      <c r="BI235">
        <v>1.7011951773667724E-2</v>
      </c>
      <c r="BJ235">
        <v>0.99186719838354731</v>
      </c>
    </row>
    <row r="236" spans="1:71">
      <c r="A236" s="7" t="s">
        <v>1727</v>
      </c>
      <c r="B236" t="s">
        <v>24</v>
      </c>
      <c r="C236" t="s">
        <v>1394</v>
      </c>
      <c r="D236" s="7" t="s">
        <v>97</v>
      </c>
      <c r="E236" s="7" t="s">
        <v>595</v>
      </c>
      <c r="F236">
        <v>118</v>
      </c>
      <c r="G236" t="s">
        <v>850</v>
      </c>
      <c r="J236" t="s">
        <v>758</v>
      </c>
      <c r="O236">
        <v>180</v>
      </c>
      <c r="P236">
        <v>0</v>
      </c>
      <c r="U236">
        <v>5</v>
      </c>
      <c r="AJ236" s="117">
        <v>0.15143999999999999</v>
      </c>
      <c r="AK236" s="117">
        <v>3.6455433065593963E-2</v>
      </c>
      <c r="AL236" s="117">
        <v>2.6439999999999998E-2</v>
      </c>
      <c r="AM236" s="117">
        <v>6.1807442917499846E-3</v>
      </c>
      <c r="AN236" s="117">
        <v>1205287.0979577673</v>
      </c>
      <c r="AO236" s="117">
        <v>210620.1131134021</v>
      </c>
      <c r="BB236">
        <v>3.5059999999999998</v>
      </c>
      <c r="BD236">
        <v>1.6937222092928872E-6</v>
      </c>
      <c r="BE236">
        <v>1.9223689720626747E-8</v>
      </c>
      <c r="BF236">
        <v>6.2460405540062213E-12</v>
      </c>
      <c r="BG236">
        <v>2.4007007923464083E-13</v>
      </c>
      <c r="BH236">
        <v>2.6645662775235066</v>
      </c>
      <c r="BI236">
        <v>0.10678610175719765</v>
      </c>
      <c r="BJ236">
        <v>0.66836693092693045</v>
      </c>
    </row>
    <row r="237" spans="1:71">
      <c r="A237" s="7" t="s">
        <v>1727</v>
      </c>
      <c r="B237" t="s">
        <v>24</v>
      </c>
      <c r="C237" t="s">
        <v>1394</v>
      </c>
      <c r="D237" s="7" t="s">
        <v>97</v>
      </c>
      <c r="E237" s="7" t="s">
        <v>595</v>
      </c>
      <c r="F237">
        <v>118</v>
      </c>
      <c r="G237" t="s">
        <v>850</v>
      </c>
      <c r="J237" t="s">
        <v>759</v>
      </c>
      <c r="O237">
        <v>610</v>
      </c>
      <c r="P237">
        <v>27</v>
      </c>
      <c r="U237">
        <v>5</v>
      </c>
      <c r="AJ237" s="117">
        <v>0.71639999999999993</v>
      </c>
      <c r="AK237" s="117">
        <v>9.9396981845526949E-2</v>
      </c>
      <c r="AL237" s="117">
        <v>0.15920000000000001</v>
      </c>
      <c r="AM237" s="117">
        <v>2.0498512141128682E-2</v>
      </c>
      <c r="AN237" s="117">
        <v>90274959.449254364</v>
      </c>
      <c r="AO237" s="117">
        <v>15907669.030205997</v>
      </c>
      <c r="BB237">
        <v>4.5359999999999996</v>
      </c>
      <c r="BD237">
        <v>4.5921974800142677E-7</v>
      </c>
      <c r="BE237">
        <v>8.2461799779217779E-9</v>
      </c>
      <c r="BF237">
        <v>4.4008169061944485E-13</v>
      </c>
      <c r="BG237">
        <v>6.5332736272554078E-14</v>
      </c>
      <c r="BH237">
        <v>0.69243124134454803</v>
      </c>
      <c r="BI237">
        <v>0.10354478534591195</v>
      </c>
      <c r="BJ237">
        <v>0.91381970881107422</v>
      </c>
    </row>
    <row r="275" spans="22:37" ht="16" thickBot="1"/>
    <row r="276" spans="22:37" ht="16" thickBot="1">
      <c r="V276" s="108"/>
      <c r="W276" s="108"/>
      <c r="X276" s="108"/>
      <c r="Y276" s="109"/>
      <c r="Z276" s="108"/>
      <c r="AA276" s="110"/>
      <c r="AB276" s="108"/>
      <c r="AC276" s="108"/>
      <c r="AD276" s="110"/>
      <c r="AE276" s="108"/>
      <c r="AF276" s="108"/>
      <c r="AG276" s="108"/>
      <c r="AH276" s="110"/>
      <c r="AI276" s="108"/>
      <c r="AJ276" s="116"/>
      <c r="AK276" s="116"/>
    </row>
    <row r="277" spans="22:37">
      <c r="V277" s="112"/>
      <c r="W277" s="112"/>
      <c r="X277" s="112"/>
      <c r="Y277" s="112"/>
      <c r="Z277" s="112"/>
      <c r="AA277" s="112"/>
      <c r="AB277" s="112"/>
      <c r="AC277" s="112"/>
      <c r="AD277" s="112"/>
      <c r="AE277" s="112"/>
      <c r="AF277" s="112"/>
      <c r="AG277" s="112"/>
      <c r="AH277" s="112"/>
      <c r="AI277" s="112"/>
      <c r="AJ277" s="112"/>
      <c r="AK277" s="112"/>
    </row>
    <row r="278" spans="22:37">
      <c r="V278" s="112"/>
      <c r="W278" s="112"/>
      <c r="X278" s="112"/>
      <c r="Y278" s="112"/>
      <c r="Z278" s="112"/>
      <c r="AA278" s="112"/>
      <c r="AB278" s="112"/>
      <c r="AC278" s="112"/>
      <c r="AD278" s="112"/>
      <c r="AE278" s="112"/>
      <c r="AF278" s="112"/>
      <c r="AG278" s="112"/>
      <c r="AH278" s="112"/>
      <c r="AI278" s="112"/>
      <c r="AJ278" s="112"/>
      <c r="AK278" s="112"/>
    </row>
    <row r="279" spans="22:37">
      <c r="V279" s="112"/>
      <c r="W279" s="112"/>
      <c r="X279" s="112"/>
      <c r="Y279" s="112"/>
      <c r="Z279" s="112"/>
      <c r="AA279" s="112"/>
      <c r="AB279" s="112"/>
      <c r="AC279" s="112"/>
      <c r="AD279" s="112"/>
      <c r="AE279" s="112"/>
      <c r="AF279" s="112"/>
      <c r="AG279" s="112"/>
      <c r="AH279" s="112"/>
      <c r="AI279" s="112"/>
      <c r="AJ279" s="112"/>
      <c r="AK279" s="112"/>
    </row>
    <row r="280" spans="22:37">
      <c r="V280" s="112"/>
      <c r="W280" s="112"/>
      <c r="X280" s="111"/>
      <c r="Y280" s="112"/>
      <c r="Z280" s="112"/>
      <c r="AA280" s="112"/>
      <c r="AB280" s="112"/>
      <c r="AC280" s="112"/>
      <c r="AD280" s="112"/>
      <c r="AE280" s="112"/>
      <c r="AF280" s="112"/>
      <c r="AG280" s="112"/>
      <c r="AH280" s="112"/>
      <c r="AI280" s="112"/>
      <c r="AJ280" s="112"/>
      <c r="AK280" s="112"/>
    </row>
    <row r="281" spans="22:37">
      <c r="V281" s="112"/>
      <c r="W281" s="112"/>
      <c r="X281" s="112"/>
      <c r="Y281" s="112"/>
      <c r="Z281" s="112"/>
      <c r="AA281" s="112"/>
      <c r="AB281" s="112"/>
      <c r="AC281" s="112"/>
      <c r="AD281" s="112"/>
      <c r="AE281" s="112"/>
      <c r="AF281" s="112"/>
      <c r="AG281" s="112"/>
      <c r="AH281" s="112"/>
      <c r="AI281" s="112"/>
      <c r="AJ281" s="112"/>
      <c r="AK281" s="112"/>
    </row>
    <row r="282" spans="22:37">
      <c r="V282" s="112"/>
      <c r="W282" s="112"/>
      <c r="X282" s="112"/>
      <c r="Y282" s="112"/>
      <c r="Z282" s="112"/>
      <c r="AA282" s="113"/>
      <c r="AB282" s="112"/>
      <c r="AC282" s="112"/>
      <c r="AD282" s="112"/>
      <c r="AE282" s="112"/>
      <c r="AF282" s="112"/>
      <c r="AG282" s="112"/>
      <c r="AH282" s="112"/>
      <c r="AI282" s="112"/>
      <c r="AJ282" s="112"/>
      <c r="AK282" s="112"/>
    </row>
    <row r="283" spans="22:37">
      <c r="V283" s="112"/>
      <c r="W283" s="112"/>
      <c r="X283" s="112"/>
      <c r="Y283" s="112"/>
      <c r="Z283" s="112"/>
      <c r="AA283" s="112"/>
      <c r="AB283" s="112"/>
      <c r="AC283" s="112"/>
      <c r="AD283" s="112"/>
      <c r="AE283" s="112"/>
      <c r="AF283" s="112"/>
      <c r="AG283" s="112"/>
      <c r="AH283" s="112"/>
      <c r="AI283" s="112"/>
      <c r="AJ283" s="112"/>
      <c r="AK283" s="112"/>
    </row>
    <row r="284" spans="22:37">
      <c r="V284" s="112"/>
      <c r="W284" s="112"/>
      <c r="X284" s="111"/>
      <c r="Y284" s="112"/>
      <c r="Z284" s="112"/>
      <c r="AA284" s="112"/>
      <c r="AB284" s="112"/>
      <c r="AC284" s="112"/>
      <c r="AD284" s="112"/>
      <c r="AE284" s="112"/>
      <c r="AF284" s="112"/>
      <c r="AG284" s="112"/>
      <c r="AH284" s="112"/>
      <c r="AI284" s="112"/>
      <c r="AJ284" s="112"/>
      <c r="AK284" s="112"/>
    </row>
    <row r="285" spans="22:37">
      <c r="V285" s="112"/>
      <c r="W285" s="112"/>
      <c r="X285" s="112"/>
      <c r="Y285" s="112"/>
      <c r="Z285" s="112"/>
      <c r="AA285" s="112"/>
      <c r="AB285" s="112"/>
      <c r="AC285" s="112"/>
      <c r="AD285" s="112"/>
      <c r="AE285" s="112"/>
      <c r="AF285" s="112"/>
      <c r="AG285" s="112"/>
      <c r="AH285" s="112"/>
      <c r="AI285" s="112"/>
      <c r="AJ285" s="112"/>
      <c r="AK285" s="112"/>
    </row>
    <row r="286" spans="22:37">
      <c r="V286" s="112"/>
      <c r="W286" s="112"/>
      <c r="X286" s="112"/>
      <c r="Y286" s="112"/>
      <c r="Z286" s="112"/>
      <c r="AA286" s="112"/>
      <c r="AB286" s="112"/>
      <c r="AC286" s="112"/>
      <c r="AD286" s="112"/>
      <c r="AE286" s="112"/>
      <c r="AF286" s="112"/>
      <c r="AG286" s="112"/>
      <c r="AH286" s="112"/>
      <c r="AI286" s="112"/>
      <c r="AJ286" s="112"/>
      <c r="AK286" s="112"/>
    </row>
    <row r="287" spans="22:37">
      <c r="V287" s="112"/>
      <c r="W287" s="112"/>
      <c r="X287" s="112"/>
      <c r="Y287" s="112"/>
      <c r="Z287" s="112"/>
      <c r="AA287" s="112"/>
      <c r="AB287" s="112"/>
      <c r="AC287" s="112"/>
      <c r="AD287" s="112"/>
      <c r="AE287" s="112"/>
      <c r="AF287" s="112"/>
      <c r="AG287" s="112"/>
      <c r="AH287" s="112"/>
      <c r="AI287" s="112"/>
      <c r="AJ287" s="112"/>
      <c r="AK287" s="112"/>
    </row>
    <row r="288" spans="22:37">
      <c r="V288" s="112"/>
      <c r="W288" s="112"/>
      <c r="X288" s="111"/>
      <c r="Y288" s="112"/>
      <c r="Z288" s="112"/>
      <c r="AA288" s="112"/>
      <c r="AB288" s="112"/>
      <c r="AC288" s="112"/>
      <c r="AD288" s="112"/>
      <c r="AE288" s="112"/>
      <c r="AF288" s="112"/>
      <c r="AG288" s="112"/>
      <c r="AH288" s="112"/>
      <c r="AI288" s="112"/>
      <c r="AJ288" s="112"/>
      <c r="AK288" s="112"/>
    </row>
    <row r="289" spans="22:37">
      <c r="V289" s="112"/>
      <c r="W289" s="112"/>
      <c r="X289" s="112"/>
      <c r="Y289" s="112"/>
      <c r="Z289" s="112"/>
      <c r="AA289" s="112"/>
      <c r="AB289" s="112"/>
      <c r="AC289" s="112"/>
      <c r="AD289" s="112"/>
      <c r="AE289" s="112"/>
      <c r="AF289" s="112"/>
      <c r="AG289" s="112"/>
      <c r="AH289" s="112"/>
      <c r="AI289" s="112"/>
      <c r="AJ289" s="112"/>
      <c r="AK289" s="112"/>
    </row>
    <row r="290" spans="22:37">
      <c r="V290" s="112"/>
      <c r="W290" s="112"/>
      <c r="X290" s="112"/>
      <c r="Y290" s="112"/>
      <c r="Z290" s="112"/>
      <c r="AA290" s="112"/>
      <c r="AB290" s="112"/>
      <c r="AC290" s="112"/>
      <c r="AD290" s="112"/>
      <c r="AE290" s="112"/>
      <c r="AF290" s="112"/>
      <c r="AG290" s="112"/>
      <c r="AH290" s="112"/>
      <c r="AI290" s="112"/>
      <c r="AJ290" s="112"/>
      <c r="AK290" s="112"/>
    </row>
    <row r="291" spans="22:37">
      <c r="V291" s="112"/>
      <c r="W291" s="112"/>
      <c r="X291" s="112"/>
      <c r="Y291" s="112"/>
      <c r="Z291" s="112"/>
      <c r="AA291" s="112"/>
      <c r="AB291" s="112"/>
      <c r="AC291" s="112"/>
      <c r="AD291" s="112"/>
      <c r="AE291" s="112"/>
      <c r="AF291" s="112"/>
      <c r="AG291" s="112"/>
      <c r="AH291" s="112"/>
      <c r="AI291" s="112"/>
      <c r="AJ291" s="112"/>
      <c r="AK291" s="112"/>
    </row>
    <row r="292" spans="22:37">
      <c r="V292" s="112"/>
      <c r="W292" s="112"/>
      <c r="X292" s="111"/>
      <c r="Y292" s="112"/>
      <c r="Z292" s="112"/>
      <c r="AA292" s="112"/>
      <c r="AB292" s="112"/>
      <c r="AC292" s="112"/>
      <c r="AD292" s="112"/>
      <c r="AE292" s="112"/>
      <c r="AF292" s="112"/>
      <c r="AG292" s="112"/>
      <c r="AH292" s="112"/>
      <c r="AI292" s="112"/>
      <c r="AJ292" s="112"/>
      <c r="AK292" s="112"/>
    </row>
    <row r="293" spans="22:37">
      <c r="V293" s="112"/>
      <c r="W293" s="112"/>
      <c r="X293" s="112"/>
      <c r="Y293" s="112"/>
      <c r="Z293" s="112"/>
      <c r="AA293" s="114"/>
      <c r="AB293" s="114"/>
      <c r="AC293" s="114"/>
      <c r="AD293" s="112"/>
      <c r="AE293" s="112"/>
      <c r="AF293" s="112"/>
      <c r="AG293" s="112"/>
      <c r="AH293" s="112"/>
      <c r="AI293" s="112"/>
      <c r="AJ293" s="112"/>
      <c r="AK293" s="112"/>
    </row>
    <row r="294" spans="22:37">
      <c r="V294" s="112"/>
      <c r="W294" s="112"/>
      <c r="X294" s="112"/>
      <c r="Y294" s="112"/>
      <c r="Z294" s="112"/>
      <c r="AA294" s="112"/>
      <c r="AB294" s="112"/>
      <c r="AC294" s="112"/>
      <c r="AD294" s="112"/>
      <c r="AE294" s="112"/>
      <c r="AF294" s="112"/>
      <c r="AG294" s="112"/>
      <c r="AH294" s="112"/>
      <c r="AI294" s="112"/>
      <c r="AJ294" s="112"/>
      <c r="AK294" s="112"/>
    </row>
    <row r="295" spans="22:37">
      <c r="V295" s="112"/>
      <c r="W295" s="112"/>
      <c r="X295" s="111"/>
      <c r="Y295" s="112"/>
      <c r="Z295" s="112"/>
      <c r="AA295" s="112"/>
      <c r="AB295" s="112"/>
      <c r="AC295" s="112"/>
      <c r="AD295" s="112"/>
      <c r="AE295" s="112"/>
      <c r="AF295" s="112"/>
      <c r="AG295" s="112"/>
      <c r="AH295" s="112"/>
      <c r="AI295" s="112"/>
      <c r="AJ295" s="112"/>
      <c r="AK295" s="112"/>
    </row>
    <row r="296" spans="22:37">
      <c r="V296" s="112"/>
      <c r="W296" s="112"/>
      <c r="X296" s="112"/>
      <c r="Y296" s="112"/>
      <c r="Z296" s="112"/>
      <c r="AA296" s="114"/>
      <c r="AB296" s="114"/>
      <c r="AC296" s="114"/>
      <c r="AD296" s="112"/>
      <c r="AE296" s="112"/>
      <c r="AF296" s="112"/>
      <c r="AG296" s="112"/>
      <c r="AH296" s="112"/>
      <c r="AI296" s="112"/>
      <c r="AJ296" s="112"/>
      <c r="AK296" s="112"/>
    </row>
    <row r="297" spans="22:37">
      <c r="V297" s="112"/>
      <c r="W297" s="112"/>
      <c r="X297" s="112"/>
      <c r="Y297" s="112"/>
      <c r="Z297" s="112"/>
      <c r="AA297" s="112"/>
      <c r="AB297" s="112"/>
      <c r="AC297" s="112"/>
      <c r="AD297" s="112"/>
      <c r="AE297" s="112"/>
      <c r="AF297" s="112"/>
      <c r="AG297" s="112"/>
      <c r="AH297" s="112"/>
      <c r="AI297" s="112"/>
      <c r="AJ297" s="112"/>
      <c r="AK297" s="112"/>
    </row>
    <row r="298" spans="22:37">
      <c r="V298" s="112"/>
      <c r="W298" s="112"/>
      <c r="X298" s="111"/>
      <c r="Y298" s="112"/>
      <c r="Z298" s="112"/>
      <c r="AA298" s="112"/>
      <c r="AB298" s="112"/>
      <c r="AC298" s="112"/>
      <c r="AD298" s="112"/>
      <c r="AE298" s="112"/>
      <c r="AF298" s="112"/>
      <c r="AG298" s="112"/>
      <c r="AH298" s="112"/>
      <c r="AI298" s="112"/>
      <c r="AJ298" s="112"/>
      <c r="AK298" s="112"/>
    </row>
    <row r="299" spans="22:37">
      <c r="V299" s="112"/>
      <c r="W299" s="112"/>
      <c r="X299" s="112"/>
      <c r="Y299" s="112"/>
      <c r="Z299" s="112"/>
      <c r="AA299" s="114"/>
      <c r="AB299" s="114"/>
      <c r="AC299" s="114"/>
      <c r="AD299" s="112"/>
      <c r="AE299" s="112"/>
      <c r="AF299" s="115"/>
      <c r="AG299" s="112"/>
      <c r="AH299" s="112"/>
      <c r="AI299" s="112"/>
      <c r="AJ299" s="112"/>
      <c r="AK299" s="112"/>
    </row>
    <row r="300" spans="22:37">
      <c r="V300" s="112"/>
      <c r="W300" s="112"/>
      <c r="X300" s="112"/>
      <c r="Y300" s="112"/>
      <c r="Z300" s="112"/>
      <c r="AA300" s="112"/>
      <c r="AB300" s="112"/>
      <c r="AC300" s="112"/>
      <c r="AD300" s="112"/>
      <c r="AE300" s="112"/>
      <c r="AF300" s="115"/>
      <c r="AG300" s="112"/>
      <c r="AH300" s="112"/>
      <c r="AI300" s="112"/>
      <c r="AJ300" s="112"/>
      <c r="AK300" s="112"/>
    </row>
    <row r="301" spans="22:37">
      <c r="V301" s="112"/>
      <c r="W301" s="112"/>
      <c r="X301" s="111"/>
      <c r="Y301" s="112"/>
      <c r="Z301" s="112"/>
      <c r="AA301" s="112"/>
      <c r="AB301" s="112"/>
      <c r="AC301" s="112"/>
      <c r="AD301" s="112"/>
      <c r="AE301" s="112"/>
      <c r="AF301" s="115"/>
      <c r="AG301" s="112"/>
      <c r="AH301" s="112"/>
      <c r="AI301" s="112"/>
      <c r="AJ301" s="112"/>
      <c r="AK301" s="112"/>
    </row>
    <row r="302" spans="22:37">
      <c r="V302" s="112"/>
      <c r="W302" s="112"/>
      <c r="X302" s="112"/>
      <c r="Y302" s="112"/>
      <c r="Z302" s="112"/>
      <c r="AA302" s="112"/>
      <c r="AB302" s="112"/>
      <c r="AC302" s="112"/>
      <c r="AD302" s="112"/>
      <c r="AE302" s="112"/>
      <c r="AF302" s="112"/>
      <c r="AG302" s="112"/>
      <c r="AH302" s="112"/>
      <c r="AI302" s="112"/>
      <c r="AJ302" s="112"/>
      <c r="AK302" s="112"/>
    </row>
    <row r="303" spans="22:37">
      <c r="V303" s="112"/>
      <c r="W303" s="112"/>
      <c r="X303" s="112"/>
      <c r="Y303" s="112"/>
      <c r="Z303" s="112"/>
      <c r="AA303" s="112"/>
      <c r="AB303" s="112"/>
      <c r="AC303" s="112"/>
      <c r="AD303" s="112"/>
      <c r="AE303" s="112"/>
      <c r="AF303" s="112"/>
      <c r="AG303" s="112"/>
      <c r="AH303" s="112"/>
      <c r="AI303" s="112"/>
      <c r="AJ303" s="112"/>
      <c r="AK303" s="112"/>
    </row>
    <row r="304" spans="22:37">
      <c r="V304" s="112"/>
      <c r="W304" s="112"/>
      <c r="X304" s="111"/>
      <c r="Y304" s="112"/>
      <c r="Z304" s="112"/>
      <c r="AA304" s="112"/>
      <c r="AB304" s="112"/>
      <c r="AC304" s="112"/>
      <c r="AD304" s="112"/>
      <c r="AE304" s="112"/>
      <c r="AF304" s="112"/>
      <c r="AG304" s="112"/>
      <c r="AH304" s="112"/>
      <c r="AI304" s="112"/>
      <c r="AJ304" s="112"/>
      <c r="AK304" s="112"/>
    </row>
    <row r="305" spans="22:37">
      <c r="V305" s="112"/>
      <c r="W305" s="112"/>
      <c r="X305" s="112"/>
      <c r="Y305" s="112"/>
      <c r="Z305" s="112"/>
      <c r="AA305" s="112"/>
      <c r="AB305" s="112"/>
      <c r="AC305" s="112"/>
      <c r="AD305" s="112"/>
      <c r="AE305" s="112"/>
      <c r="AF305" s="112"/>
      <c r="AG305" s="112"/>
      <c r="AH305" s="112"/>
      <c r="AI305" s="112"/>
      <c r="AJ305" s="112"/>
      <c r="AK305" s="112"/>
    </row>
    <row r="306" spans="22:37">
      <c r="V306" s="112"/>
      <c r="W306" s="112"/>
      <c r="X306" s="112"/>
      <c r="Y306" s="112"/>
      <c r="Z306" s="112"/>
      <c r="AA306" s="112"/>
      <c r="AB306" s="112"/>
      <c r="AC306" s="112"/>
      <c r="AD306" s="112"/>
      <c r="AE306" s="112"/>
      <c r="AF306" s="112"/>
      <c r="AG306" s="112"/>
      <c r="AH306" s="112"/>
      <c r="AI306" s="112"/>
      <c r="AJ306" s="112"/>
      <c r="AK306" s="112"/>
    </row>
    <row r="307" spans="22:37">
      <c r="V307" s="112"/>
      <c r="W307" s="112"/>
      <c r="X307" s="111"/>
      <c r="Y307" s="112"/>
      <c r="Z307" s="112"/>
      <c r="AA307" s="112"/>
      <c r="AB307" s="112"/>
      <c r="AC307" s="112"/>
      <c r="AD307" s="112"/>
      <c r="AE307" s="112"/>
      <c r="AF307" s="112"/>
      <c r="AG307" s="112"/>
      <c r="AH307" s="112"/>
      <c r="AI307" s="112"/>
      <c r="AJ307" s="112"/>
      <c r="AK307" s="112"/>
    </row>
    <row r="308" spans="22:37" ht="30">
      <c r="V308" s="112" t="s">
        <v>519</v>
      </c>
      <c r="W308" s="112" t="s">
        <v>1755</v>
      </c>
      <c r="X308" s="112">
        <v>1.72E-2</v>
      </c>
      <c r="Y308" s="112" t="s">
        <v>1758</v>
      </c>
      <c r="Z308" s="112" t="s">
        <v>1759</v>
      </c>
      <c r="AA308" s="112" t="s">
        <v>1760</v>
      </c>
      <c r="AB308" s="112" t="s">
        <v>1761</v>
      </c>
      <c r="AC308" s="112">
        <v>6.02</v>
      </c>
      <c r="AD308" s="112">
        <v>130</v>
      </c>
      <c r="AE308" s="112">
        <v>19.5</v>
      </c>
      <c r="AF308" s="112">
        <v>449</v>
      </c>
      <c r="AG308" s="112">
        <v>67.349999999999994</v>
      </c>
      <c r="AH308" s="112">
        <v>305</v>
      </c>
      <c r="AI308" s="112">
        <v>53</v>
      </c>
      <c r="AJ308" s="112"/>
      <c r="AK308" s="112"/>
    </row>
    <row r="309" spans="22:37" ht="30">
      <c r="V309" s="112" t="s">
        <v>519</v>
      </c>
      <c r="W309" s="112" t="s">
        <v>1754</v>
      </c>
      <c r="X309" s="112">
        <v>1.3299999999999999E-2</v>
      </c>
      <c r="Y309" s="112" t="s">
        <v>1762</v>
      </c>
      <c r="Z309" s="112" t="s">
        <v>1763</v>
      </c>
      <c r="AA309" s="112" t="s">
        <v>1764</v>
      </c>
      <c r="AB309" s="112" t="s">
        <v>1753</v>
      </c>
      <c r="AC309" s="112">
        <v>6.7</v>
      </c>
      <c r="AD309" s="112">
        <v>130</v>
      </c>
      <c r="AE309" s="112">
        <v>19.5</v>
      </c>
      <c r="AF309" s="112">
        <v>449</v>
      </c>
      <c r="AG309" s="112">
        <v>67.349999999999994</v>
      </c>
      <c r="AH309" s="112">
        <v>1134</v>
      </c>
      <c r="AI309" s="112">
        <v>187</v>
      </c>
      <c r="AJ309" s="112"/>
      <c r="AK309" s="112"/>
    </row>
    <row r="310" spans="22:37">
      <c r="V310" s="112" t="s">
        <v>519</v>
      </c>
      <c r="W310" s="112" t="s">
        <v>22</v>
      </c>
      <c r="X310" s="111"/>
      <c r="Y310" s="112" t="s">
        <v>1756</v>
      </c>
      <c r="Z310" s="112" t="s">
        <v>1765</v>
      </c>
      <c r="AA310" s="112" t="s">
        <v>1766</v>
      </c>
      <c r="AB310" s="112" t="s">
        <v>1767</v>
      </c>
      <c r="AC310" s="112">
        <v>6.56</v>
      </c>
      <c r="AD310" s="112">
        <v>130</v>
      </c>
      <c r="AE310" s="112">
        <v>19.5</v>
      </c>
      <c r="AF310" s="112">
        <v>449</v>
      </c>
      <c r="AG310" s="112">
        <v>67.349999999999994</v>
      </c>
      <c r="AH310" s="112">
        <v>1399</v>
      </c>
      <c r="AI310" s="112">
        <v>451</v>
      </c>
      <c r="AJ310" s="112"/>
      <c r="AK310" s="112"/>
    </row>
    <row r="311" spans="22:37" ht="30">
      <c r="V311" s="112" t="s">
        <v>525</v>
      </c>
      <c r="W311" s="112" t="s">
        <v>1755</v>
      </c>
      <c r="X311" s="112">
        <v>1.9E-2</v>
      </c>
      <c r="Y311" s="112" t="s">
        <v>1768</v>
      </c>
      <c r="Z311" s="112" t="s">
        <v>1769</v>
      </c>
      <c r="AA311" s="114" t="s">
        <v>1770</v>
      </c>
      <c r="AB311" s="114" t="s">
        <v>1771</v>
      </c>
      <c r="AC311" s="114">
        <v>1.85</v>
      </c>
      <c r="AD311" s="112">
        <v>20</v>
      </c>
      <c r="AE311" s="112">
        <v>3</v>
      </c>
      <c r="AF311" s="112">
        <v>353</v>
      </c>
      <c r="AG311" s="112">
        <v>52.95</v>
      </c>
      <c r="AH311" s="112">
        <v>75</v>
      </c>
      <c r="AI311" s="112">
        <v>27</v>
      </c>
      <c r="AJ311" s="112"/>
      <c r="AK311" s="112"/>
    </row>
    <row r="312" spans="22:37" ht="30">
      <c r="V312" s="112" t="s">
        <v>525</v>
      </c>
      <c r="W312" s="112" t="s">
        <v>1754</v>
      </c>
      <c r="X312" s="112">
        <v>1.21E-2</v>
      </c>
      <c r="Y312" s="112" t="s">
        <v>1772</v>
      </c>
      <c r="Z312" s="112" t="s">
        <v>1773</v>
      </c>
      <c r="AA312" s="112" t="s">
        <v>1774</v>
      </c>
      <c r="AB312" s="112" t="s">
        <v>1775</v>
      </c>
      <c r="AC312" s="112">
        <v>10.5</v>
      </c>
      <c r="AD312" s="112">
        <v>20</v>
      </c>
      <c r="AE312" s="112">
        <v>3</v>
      </c>
      <c r="AF312" s="112">
        <v>353</v>
      </c>
      <c r="AG312" s="112">
        <v>52.95</v>
      </c>
      <c r="AH312" s="112">
        <v>1169</v>
      </c>
      <c r="AI312" s="112">
        <v>228</v>
      </c>
      <c r="AJ312" s="112"/>
      <c r="AK312" s="112"/>
    </row>
    <row r="313" spans="22:37">
      <c r="V313" s="112" t="s">
        <v>525</v>
      </c>
      <c r="W313" s="112" t="s">
        <v>22</v>
      </c>
      <c r="X313" s="111"/>
      <c r="Y313" s="112" t="s">
        <v>1776</v>
      </c>
      <c r="Z313" s="112" t="s">
        <v>1777</v>
      </c>
      <c r="AA313" s="112" t="s">
        <v>1778</v>
      </c>
      <c r="AB313" s="112" t="s">
        <v>1757</v>
      </c>
      <c r="AC313" s="112">
        <v>10</v>
      </c>
      <c r="AD313" s="112">
        <v>20</v>
      </c>
      <c r="AE313" s="112">
        <v>3</v>
      </c>
      <c r="AF313" s="112">
        <v>353</v>
      </c>
      <c r="AG313" s="112">
        <v>52.95</v>
      </c>
      <c r="AH313" s="112">
        <v>1237</v>
      </c>
      <c r="AI313" s="112">
        <v>481</v>
      </c>
      <c r="AJ313" s="112"/>
      <c r="AK313" s="112"/>
    </row>
    <row r="314" spans="22:37" ht="30">
      <c r="V314" s="112" t="s">
        <v>520</v>
      </c>
      <c r="W314" s="112" t="s">
        <v>1755</v>
      </c>
      <c r="X314" s="112">
        <v>0.1052</v>
      </c>
      <c r="Y314" s="112" t="s">
        <v>1779</v>
      </c>
      <c r="Z314" s="112" t="s">
        <v>1780</v>
      </c>
      <c r="AA314" s="114" t="s">
        <v>1781</v>
      </c>
      <c r="AB314" s="114" t="s">
        <v>1782</v>
      </c>
      <c r="AC314" s="114">
        <v>0.15</v>
      </c>
      <c r="AD314" s="112">
        <v>50</v>
      </c>
      <c r="AE314" s="112">
        <v>7.5</v>
      </c>
      <c r="AF314" s="112">
        <v>6150</v>
      </c>
      <c r="AG314" s="112">
        <v>922.5</v>
      </c>
      <c r="AH314" s="112">
        <v>4</v>
      </c>
      <c r="AI314" s="112">
        <v>1</v>
      </c>
      <c r="AJ314" s="112"/>
      <c r="AK314" s="112"/>
    </row>
    <row r="315" spans="22:37" ht="30">
      <c r="V315" s="112" t="s">
        <v>520</v>
      </c>
      <c r="W315" s="112" t="s">
        <v>1754</v>
      </c>
      <c r="X315" s="112">
        <v>0.1052</v>
      </c>
      <c r="Y315" s="112" t="s">
        <v>346</v>
      </c>
      <c r="Z315" s="112" t="s">
        <v>346</v>
      </c>
      <c r="AA315" s="112" t="s">
        <v>346</v>
      </c>
      <c r="AB315" s="112" t="s">
        <v>346</v>
      </c>
      <c r="AC315" s="112" t="s">
        <v>346</v>
      </c>
      <c r="AD315" s="112">
        <v>50</v>
      </c>
      <c r="AE315" s="112">
        <v>7.5</v>
      </c>
      <c r="AF315" s="112">
        <v>6150</v>
      </c>
      <c r="AG315" s="112">
        <v>922.5</v>
      </c>
      <c r="AH315" s="112" t="s">
        <v>346</v>
      </c>
      <c r="AI315" s="112" t="s">
        <v>346</v>
      </c>
      <c r="AJ315" s="112"/>
      <c r="AK315" s="112"/>
    </row>
  </sheetData>
  <autoFilter ref="A1:DB237" xr:uid="{8C095152-9ED6-469C-99A1-AEEA5EB92CA2}"/>
  <phoneticPr fontId="3" type="noConversion"/>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9A73E-E7C9-40F5-A764-F096398DC8A3}">
  <sheetPr>
    <tabColor theme="9" tint="0.79998168889431442"/>
  </sheetPr>
  <dimension ref="A1:D69"/>
  <sheetViews>
    <sheetView workbookViewId="0"/>
  </sheetViews>
  <sheetFormatPr baseColWidth="10" defaultColWidth="8.83203125" defaultRowHeight="15"/>
  <cols>
    <col min="1" max="1" width="59.6640625" style="7" customWidth="1"/>
    <col min="2" max="2" width="76.33203125" style="12" customWidth="1"/>
    <col min="3" max="3" width="64.83203125" style="10" bestFit="1" customWidth="1"/>
    <col min="4" max="4" width="108.33203125" style="10" bestFit="1" customWidth="1"/>
    <col min="8" max="8" width="9.5" bestFit="1" customWidth="1"/>
  </cols>
  <sheetData>
    <row r="1" spans="1:4" s="80" customFormat="1">
      <c r="A1" s="77" t="s">
        <v>1785</v>
      </c>
      <c r="B1" s="78" t="s">
        <v>657</v>
      </c>
      <c r="C1" s="79" t="s">
        <v>643</v>
      </c>
      <c r="D1" s="79" t="s">
        <v>1596</v>
      </c>
    </row>
    <row r="2" spans="1:4">
      <c r="A2" s="13" t="s">
        <v>1258</v>
      </c>
      <c r="B2" s="12" t="s">
        <v>100</v>
      </c>
      <c r="C2" s="10" t="s">
        <v>1270</v>
      </c>
    </row>
    <row r="3" spans="1:4">
      <c r="A3" s="13" t="s">
        <v>393</v>
      </c>
      <c r="B3" s="12" t="s">
        <v>170</v>
      </c>
      <c r="C3" s="10" t="s">
        <v>858</v>
      </c>
    </row>
    <row r="4" spans="1:4">
      <c r="A4" s="13" t="s">
        <v>1354</v>
      </c>
      <c r="B4" s="3" t="s">
        <v>1355</v>
      </c>
      <c r="C4" s="10" t="s">
        <v>1356</v>
      </c>
      <c r="D4" s="10" t="s">
        <v>1593</v>
      </c>
    </row>
    <row r="5" spans="1:4">
      <c r="A5" s="13" t="s">
        <v>394</v>
      </c>
      <c r="B5" s="12" t="s">
        <v>849</v>
      </c>
      <c r="C5" s="10" t="s">
        <v>896</v>
      </c>
    </row>
    <row r="6" spans="1:4">
      <c r="A6" s="13" t="s">
        <v>832</v>
      </c>
      <c r="B6" s="11" t="s">
        <v>1735</v>
      </c>
      <c r="C6" s="10" t="s">
        <v>861</v>
      </c>
    </row>
    <row r="7" spans="1:4">
      <c r="A7" s="13" t="s">
        <v>833</v>
      </c>
      <c r="B7" s="11" t="s">
        <v>1794</v>
      </c>
      <c r="C7" s="10" t="s">
        <v>1750</v>
      </c>
      <c r="D7" s="10" t="s">
        <v>899</v>
      </c>
    </row>
    <row r="8" spans="1:4">
      <c r="A8" s="13" t="s">
        <v>834</v>
      </c>
      <c r="B8" s="12" t="s">
        <v>1798</v>
      </c>
      <c r="C8" s="10" t="s">
        <v>896</v>
      </c>
      <c r="D8" s="10" t="s">
        <v>1594</v>
      </c>
    </row>
    <row r="9" spans="1:4">
      <c r="A9" s="13" t="s">
        <v>436</v>
      </c>
      <c r="B9" s="12" t="s">
        <v>120</v>
      </c>
      <c r="C9" s="10" t="s">
        <v>1751</v>
      </c>
    </row>
    <row r="10" spans="1:4">
      <c r="A10" s="13" t="s">
        <v>836</v>
      </c>
      <c r="B10" s="3" t="s">
        <v>163</v>
      </c>
      <c r="C10" s="10" t="s">
        <v>1510</v>
      </c>
    </row>
    <row r="11" spans="1:4">
      <c r="A11" s="13" t="s">
        <v>835</v>
      </c>
      <c r="B11" s="12" t="s">
        <v>1114</v>
      </c>
      <c r="C11" s="10" t="s">
        <v>1115</v>
      </c>
    </row>
    <row r="12" spans="1:4">
      <c r="A12" s="13" t="s">
        <v>750</v>
      </c>
      <c r="B12" s="12" t="s">
        <v>142</v>
      </c>
      <c r="C12" s="10" t="s">
        <v>715</v>
      </c>
    </row>
    <row r="13" spans="1:4">
      <c r="A13" s="13" t="s">
        <v>713</v>
      </c>
      <c r="B13" s="12" t="s">
        <v>714</v>
      </c>
      <c r="C13" s="10" t="s">
        <v>715</v>
      </c>
    </row>
    <row r="14" spans="1:4">
      <c r="A14" s="13" t="s">
        <v>837</v>
      </c>
      <c r="B14" s="12" t="s">
        <v>1736</v>
      </c>
      <c r="C14" s="10" t="s">
        <v>1116</v>
      </c>
    </row>
    <row r="15" spans="1:4">
      <c r="A15" s="13" t="s">
        <v>1652</v>
      </c>
      <c r="B15" s="12" t="s">
        <v>1628</v>
      </c>
      <c r="C15" s="10" t="s">
        <v>911</v>
      </c>
    </row>
    <row r="16" spans="1:4">
      <c r="A16" s="14" t="s">
        <v>1138</v>
      </c>
      <c r="B16" s="3" t="s">
        <v>402</v>
      </c>
      <c r="C16" s="10" t="s">
        <v>911</v>
      </c>
    </row>
    <row r="17" spans="1:4">
      <c r="A17" s="13" t="s">
        <v>1118</v>
      </c>
      <c r="B17" s="12" t="s">
        <v>170</v>
      </c>
      <c r="C17" s="10" t="s">
        <v>1120</v>
      </c>
      <c r="D17" s="10" t="s">
        <v>1119</v>
      </c>
    </row>
    <row r="18" spans="1:4">
      <c r="A18" s="14" t="s">
        <v>752</v>
      </c>
      <c r="B18" s="12" t="s">
        <v>170</v>
      </c>
      <c r="C18" s="10" t="s">
        <v>912</v>
      </c>
    </row>
    <row r="19" spans="1:4">
      <c r="A19" s="14" t="s">
        <v>827</v>
      </c>
      <c r="B19" s="3" t="s">
        <v>1737</v>
      </c>
      <c r="C19" s="10" t="s">
        <v>1113</v>
      </c>
      <c r="D19" s="10" t="s">
        <v>1117</v>
      </c>
    </row>
    <row r="20" spans="1:4">
      <c r="A20" s="13" t="s">
        <v>1229</v>
      </c>
      <c r="B20" s="12" t="s">
        <v>1267</v>
      </c>
      <c r="C20" s="10" t="s">
        <v>1511</v>
      </c>
    </row>
    <row r="21" spans="1:4">
      <c r="A21" s="17" t="s">
        <v>1211</v>
      </c>
      <c r="B21" s="12" t="s">
        <v>1271</v>
      </c>
      <c r="C21" s="10" t="s">
        <v>1270</v>
      </c>
    </row>
    <row r="22" spans="1:4">
      <c r="A22" s="13" t="s">
        <v>838</v>
      </c>
      <c r="B22" s="2" t="s">
        <v>100</v>
      </c>
      <c r="C22" s="10" t="s">
        <v>904</v>
      </c>
    </row>
    <row r="23" spans="1:4">
      <c r="A23" s="13" t="s">
        <v>839</v>
      </c>
      <c r="B23" s="12" t="s">
        <v>100</v>
      </c>
      <c r="C23" s="10" t="s">
        <v>1121</v>
      </c>
    </row>
    <row r="24" spans="1:4">
      <c r="A24" s="14" t="s">
        <v>1280</v>
      </c>
      <c r="B24" s="3" t="s">
        <v>1316</v>
      </c>
      <c r="C24" s="10" t="s">
        <v>1317</v>
      </c>
    </row>
    <row r="25" spans="1:4">
      <c r="A25" s="13" t="s">
        <v>840</v>
      </c>
      <c r="B25" s="12" t="s">
        <v>1132</v>
      </c>
      <c r="C25" s="10" t="s">
        <v>911</v>
      </c>
      <c r="D25" s="10" t="s">
        <v>1595</v>
      </c>
    </row>
    <row r="26" spans="1:4">
      <c r="A26" s="13" t="s">
        <v>401</v>
      </c>
      <c r="B26" s="12" t="s">
        <v>399</v>
      </c>
      <c r="C26" s="10" t="s">
        <v>828</v>
      </c>
    </row>
    <row r="27" spans="1:4">
      <c r="A27" s="13" t="s">
        <v>1137</v>
      </c>
      <c r="B27" s="12" t="s">
        <v>402</v>
      </c>
      <c r="C27" s="10" t="s">
        <v>828</v>
      </c>
      <c r="D27" s="10" t="s">
        <v>1133</v>
      </c>
    </row>
    <row r="28" spans="1:4">
      <c r="A28" s="13" t="s">
        <v>416</v>
      </c>
      <c r="B28" s="12" t="s">
        <v>1738</v>
      </c>
      <c r="C28" s="10" t="s">
        <v>1086</v>
      </c>
    </row>
    <row r="29" spans="1:4">
      <c r="A29" s="13" t="s">
        <v>418</v>
      </c>
      <c r="B29" s="12" t="s">
        <v>44</v>
      </c>
      <c r="C29" s="10" t="s">
        <v>1086</v>
      </c>
    </row>
    <row r="30" spans="1:4">
      <c r="A30" s="13" t="s">
        <v>417</v>
      </c>
      <c r="B30" s="12" t="s">
        <v>44</v>
      </c>
      <c r="C30" s="10" t="s">
        <v>1087</v>
      </c>
    </row>
    <row r="31" spans="1:4">
      <c r="A31" s="13" t="s">
        <v>433</v>
      </c>
      <c r="B31" s="12" t="s">
        <v>1795</v>
      </c>
      <c r="C31" s="10" t="s">
        <v>1142</v>
      </c>
    </row>
    <row r="32" spans="1:4">
      <c r="A32" s="13" t="s">
        <v>1081</v>
      </c>
      <c r="B32" s="12" t="s">
        <v>1083</v>
      </c>
      <c r="C32" s="10" t="s">
        <v>1082</v>
      </c>
    </row>
    <row r="33" spans="1:4">
      <c r="A33" s="13" t="s">
        <v>732</v>
      </c>
      <c r="B33" s="12" t="s">
        <v>1739</v>
      </c>
      <c r="C33" s="10" t="s">
        <v>715</v>
      </c>
    </row>
    <row r="34" spans="1:4">
      <c r="A34" s="13" t="s">
        <v>1182</v>
      </c>
      <c r="B34" s="12" t="s">
        <v>703</v>
      </c>
      <c r="C34" s="10" t="s">
        <v>828</v>
      </c>
    </row>
    <row r="35" spans="1:4">
      <c r="A35" s="13" t="s">
        <v>733</v>
      </c>
      <c r="B35" s="12" t="s">
        <v>104</v>
      </c>
      <c r="C35" s="10" t="s">
        <v>715</v>
      </c>
    </row>
    <row r="36" spans="1:4">
      <c r="A36" s="14" t="s">
        <v>1143</v>
      </c>
      <c r="B36" s="3" t="s">
        <v>1740</v>
      </c>
      <c r="C36" s="10" t="s">
        <v>828</v>
      </c>
      <c r="D36" s="10" t="s">
        <v>1145</v>
      </c>
    </row>
    <row r="37" spans="1:4">
      <c r="A37" s="13" t="s">
        <v>1150</v>
      </c>
      <c r="B37" s="12" t="s">
        <v>104</v>
      </c>
      <c r="C37" s="10" t="s">
        <v>1134</v>
      </c>
      <c r="D37" s="10" t="s">
        <v>1153</v>
      </c>
    </row>
    <row r="38" spans="1:4">
      <c r="A38" s="7" t="s">
        <v>1144</v>
      </c>
      <c r="B38" s="3" t="s">
        <v>1740</v>
      </c>
      <c r="C38" s="10" t="s">
        <v>1089</v>
      </c>
    </row>
    <row r="39" spans="1:4">
      <c r="A39" s="13" t="s">
        <v>841</v>
      </c>
      <c r="B39" s="3" t="s">
        <v>475</v>
      </c>
      <c r="C39" s="10" t="s">
        <v>911</v>
      </c>
    </row>
    <row r="40" spans="1:4">
      <c r="A40" s="7" t="s">
        <v>905</v>
      </c>
      <c r="B40" s="12" t="s">
        <v>102</v>
      </c>
      <c r="C40" s="10" t="s">
        <v>911</v>
      </c>
    </row>
    <row r="41" spans="1:4">
      <c r="A41" s="13" t="s">
        <v>1088</v>
      </c>
      <c r="B41" s="12" t="s">
        <v>1797</v>
      </c>
      <c r="C41" s="10" t="s">
        <v>911</v>
      </c>
    </row>
    <row r="42" spans="1:4">
      <c r="A42" s="13" t="s">
        <v>842</v>
      </c>
      <c r="B42" s="12" t="s">
        <v>29</v>
      </c>
      <c r="C42" s="10" t="s">
        <v>1149</v>
      </c>
    </row>
    <row r="43" spans="1:4">
      <c r="A43" s="13" t="s">
        <v>843</v>
      </c>
      <c r="B43" s="12" t="s">
        <v>1090</v>
      </c>
      <c r="C43" s="10" t="s">
        <v>1089</v>
      </c>
    </row>
    <row r="44" spans="1:4">
      <c r="A44" s="13" t="s">
        <v>844</v>
      </c>
      <c r="B44" s="12" t="s">
        <v>1741</v>
      </c>
      <c r="C44" s="10" t="s">
        <v>1091</v>
      </c>
      <c r="D44" s="10" t="s">
        <v>1092</v>
      </c>
    </row>
    <row r="45" spans="1:4">
      <c r="A45" s="13" t="s">
        <v>1160</v>
      </c>
      <c r="B45" s="12" t="s">
        <v>1742</v>
      </c>
      <c r="C45" s="10" t="s">
        <v>1273</v>
      </c>
    </row>
    <row r="46" spans="1:4">
      <c r="A46" s="13" t="s">
        <v>845</v>
      </c>
      <c r="B46" s="12" t="s">
        <v>142</v>
      </c>
      <c r="C46" s="10" t="s">
        <v>1149</v>
      </c>
      <c r="D46"/>
    </row>
    <row r="47" spans="1:4">
      <c r="A47" s="13" t="s">
        <v>847</v>
      </c>
      <c r="B47" s="12" t="s">
        <v>1743</v>
      </c>
      <c r="C47" s="10" t="s">
        <v>1154</v>
      </c>
    </row>
    <row r="48" spans="1:4">
      <c r="A48" s="13" t="s">
        <v>846</v>
      </c>
      <c r="B48" s="12" t="s">
        <v>1744</v>
      </c>
      <c r="C48" s="10" t="s">
        <v>1154</v>
      </c>
    </row>
    <row r="49" spans="1:4">
      <c r="A49" s="13" t="s">
        <v>966</v>
      </c>
      <c r="B49" s="12" t="s">
        <v>120</v>
      </c>
      <c r="C49" s="10" t="s">
        <v>911</v>
      </c>
    </row>
    <row r="50" spans="1:4">
      <c r="A50" s="13" t="s">
        <v>848</v>
      </c>
      <c r="B50" s="12" t="s">
        <v>120</v>
      </c>
      <c r="C50" s="10" t="s">
        <v>1158</v>
      </c>
      <c r="D50" s="10" t="s">
        <v>1159</v>
      </c>
    </row>
    <row r="51" spans="1:4">
      <c r="A51" s="13" t="s">
        <v>702</v>
      </c>
      <c r="B51" s="12" t="s">
        <v>673</v>
      </c>
      <c r="C51" s="10" t="s">
        <v>1166</v>
      </c>
    </row>
    <row r="52" spans="1:4">
      <c r="A52" s="13" t="s">
        <v>734</v>
      </c>
      <c r="B52" s="12" t="s">
        <v>673</v>
      </c>
      <c r="C52" s="10" t="s">
        <v>1166</v>
      </c>
    </row>
    <row r="53" spans="1:4">
      <c r="A53" s="13" t="s">
        <v>771</v>
      </c>
      <c r="B53" s="3" t="s">
        <v>97</v>
      </c>
      <c r="C53" s="10" t="s">
        <v>769</v>
      </c>
    </row>
    <row r="54" spans="1:4">
      <c r="A54" s="14" t="s">
        <v>804</v>
      </c>
      <c r="B54" s="12" t="s">
        <v>1745</v>
      </c>
      <c r="C54" s="10" t="s">
        <v>1165</v>
      </c>
    </row>
    <row r="55" spans="1:4">
      <c r="A55" s="14" t="s">
        <v>1162</v>
      </c>
      <c r="B55" s="3" t="s">
        <v>800</v>
      </c>
      <c r="C55" s="10" t="s">
        <v>1165</v>
      </c>
    </row>
    <row r="56" spans="1:4">
      <c r="A56" s="15" t="s">
        <v>1161</v>
      </c>
      <c r="B56" s="3" t="s">
        <v>1746</v>
      </c>
      <c r="C56" s="10" t="s">
        <v>1134</v>
      </c>
    </row>
    <row r="57" spans="1:4">
      <c r="A57" s="13" t="s">
        <v>803</v>
      </c>
      <c r="B57" s="12" t="s">
        <v>1734</v>
      </c>
      <c r="C57" s="10" t="s">
        <v>1134</v>
      </c>
    </row>
    <row r="58" spans="1:4">
      <c r="A58" s="15" t="s">
        <v>1163</v>
      </c>
      <c r="B58" s="1" t="s">
        <v>1747</v>
      </c>
      <c r="C58" s="10" t="s">
        <v>1165</v>
      </c>
    </row>
    <row r="59" spans="1:4">
      <c r="A59" s="13" t="s">
        <v>1164</v>
      </c>
      <c r="B59" s="1" t="s">
        <v>113</v>
      </c>
      <c r="C59" s="10" t="s">
        <v>1272</v>
      </c>
    </row>
    <row r="60" spans="1:4">
      <c r="A60" s="13" t="s">
        <v>772</v>
      </c>
      <c r="B60" s="12" t="s">
        <v>1728</v>
      </c>
      <c r="C60" s="10" t="s">
        <v>1167</v>
      </c>
    </row>
    <row r="61" spans="1:4">
      <c r="A61" s="13" t="s">
        <v>1727</v>
      </c>
      <c r="B61" s="12" t="s">
        <v>1749</v>
      </c>
      <c r="C61" s="10" t="s">
        <v>1752</v>
      </c>
    </row>
    <row r="62" spans="1:4">
      <c r="A62" s="14" t="s">
        <v>1392</v>
      </c>
      <c r="B62" s="12" t="s">
        <v>163</v>
      </c>
      <c r="C62" s="10" t="s">
        <v>1165</v>
      </c>
    </row>
    <row r="63" spans="1:4">
      <c r="A63" s="13" t="s">
        <v>655</v>
      </c>
      <c r="B63" s="12" t="s">
        <v>29</v>
      </c>
      <c r="C63" s="10" t="s">
        <v>1167</v>
      </c>
    </row>
    <row r="64" spans="1:4">
      <c r="A64" s="13" t="s">
        <v>672</v>
      </c>
      <c r="B64" s="12" t="s">
        <v>29</v>
      </c>
      <c r="C64" s="10" t="s">
        <v>1168</v>
      </c>
    </row>
    <row r="65" spans="1:3" ht="16">
      <c r="A65" s="15" t="s">
        <v>641</v>
      </c>
      <c r="B65" s="9" t="s">
        <v>639</v>
      </c>
      <c r="C65" s="10" t="s">
        <v>1168</v>
      </c>
    </row>
    <row r="66" spans="1:3">
      <c r="A66" s="13" t="s">
        <v>656</v>
      </c>
      <c r="B66" s="12" t="s">
        <v>658</v>
      </c>
      <c r="C66" s="10" t="s">
        <v>671</v>
      </c>
    </row>
    <row r="67" spans="1:3">
      <c r="A67" s="14" t="s">
        <v>670</v>
      </c>
      <c r="B67" s="12" t="s">
        <v>661</v>
      </c>
      <c r="C67" s="10" t="s">
        <v>671</v>
      </c>
    </row>
    <row r="68" spans="1:3">
      <c r="A68" s="13" t="s">
        <v>1655</v>
      </c>
      <c r="B68" s="3" t="s">
        <v>163</v>
      </c>
      <c r="C68" s="10" t="s">
        <v>1748</v>
      </c>
    </row>
    <row r="69" spans="1:3">
      <c r="A69" s="13" t="s">
        <v>1656</v>
      </c>
      <c r="B69" s="3" t="s">
        <v>849</v>
      </c>
      <c r="C69" s="10" t="s">
        <v>1168</v>
      </c>
    </row>
  </sheetData>
  <sortState xmlns:xlrd2="http://schemas.microsoft.com/office/spreadsheetml/2017/richdata2" ref="A2:D68">
    <sortCondition ref="A2"/>
  </sortState>
  <hyperlinks>
    <hyperlink ref="A5" r:id="rId1" xr:uid="{1EB2F796-4F99-4E5D-8358-1101D0C1690D}"/>
    <hyperlink ref="A26" r:id="rId2" xr:uid="{D9A8B831-BF29-4074-B921-D378CFD90E0D}"/>
    <hyperlink ref="A65" r:id="rId3" xr:uid="{771D4207-4B96-4A3B-B7A4-C43A90C5E2B9}"/>
    <hyperlink ref="A68" r:id="rId4" display="Zedgenizov et al. (2018) - Mineralogy and Petrology" xr:uid="{D68DD923-0FA7-4063-9904-181C46AC3216}"/>
    <hyperlink ref="A66" r:id="rId5" xr:uid="{245FB707-C2A6-4682-9FD0-A502DA4D38E7}"/>
    <hyperlink ref="A63" r:id="rId6" xr:uid="{2ADBDF8F-DEBB-4709-AB1E-21C7E260DF44}"/>
    <hyperlink ref="A67" r:id="rId7" xr:uid="{C4865E49-5D50-4725-9EE9-4C6836465F0C}"/>
    <hyperlink ref="A64" r:id="rId8" xr:uid="{D79CBD45-A18C-4378-A0EA-02A935CE1878}"/>
    <hyperlink ref="A52" r:id="rId9" display="Wada and Matsuda (1998) - Geochimica et Cosmochimica Acta" xr:uid="{AA7B8EC0-CD00-4E52-9A1E-5D5D2AA940EA}"/>
    <hyperlink ref="A51" r:id="rId10" xr:uid="{5E275234-DE21-40DD-A381-5295F224F86A}"/>
    <hyperlink ref="A13" r:id="rId11" xr:uid="{E3D96EB8-A2A4-4E92-8CD8-7DD5C8677782}"/>
    <hyperlink ref="A33" r:id="rId12" xr:uid="{8C522274-59CC-4110-94B1-AFAF62BE81BD}"/>
    <hyperlink ref="A35" r:id="rId13" xr:uid="{7EC0B73B-5EB1-46C0-B41A-00EE14F1AB34}"/>
    <hyperlink ref="A12" r:id="rId14" display="Izraeli et al. (2001)" xr:uid="{8E596C80-D6C5-419E-9DAB-CA0E7A6EDC2E}"/>
    <hyperlink ref="A53" r:id="rId15" display="Weiss and Goldstein (2018) -MinPet" xr:uid="{7D78CE3E-AB6F-4167-9DEE-CAB5CC2A0BCE}"/>
    <hyperlink ref="A60" r:id="rId16" xr:uid="{56E5D282-9B75-4E1E-8F06-A0559226D76A}"/>
    <hyperlink ref="A57" r:id="rId17" xr:uid="{FA22981B-6DE4-44E6-99D5-9202DD374171}"/>
    <hyperlink ref="A54" r:id="rId18" xr:uid="{956318E5-60F3-4035-B71C-849B38AB0E80}"/>
    <hyperlink ref="A19" r:id="rId19" xr:uid="{454B8C34-2231-4C62-AD72-44F9BFDCC44C}"/>
    <hyperlink ref="A17" r:id="rId20" display="Klein-BenDavis et al. (2004) - Lithos" xr:uid="{24ADD18A-B4BD-4835-9D24-B68D80497D61}"/>
    <hyperlink ref="A3" r:id="rId21" xr:uid="{F63E93FD-6243-4A2B-AA3A-D24FD8CCA315}"/>
    <hyperlink ref="A6" r:id="rId22" xr:uid="{7501C5FA-2E80-43E3-A23D-2B4DDE1553AA}"/>
    <hyperlink ref="A7" r:id="rId23" xr:uid="{19C92FF9-AB29-4A79-ADF3-33D0B2278F37}"/>
    <hyperlink ref="A8" r:id="rId24" xr:uid="{449F31CC-D9AB-4052-9C82-10E85E8E4133}"/>
    <hyperlink ref="A22" r:id="rId25" xr:uid="{8CA854A1-BA1C-4409-A57F-ECF81CF34823}"/>
    <hyperlink ref="A18" r:id="rId26" xr:uid="{5DAC41D4-064F-48C7-A234-DDA116B3F3E7}"/>
    <hyperlink ref="A42" r:id="rId27" xr:uid="{F3CA1A79-F010-4055-964A-413D491E22D5}"/>
    <hyperlink ref="A49" r:id="rId28" xr:uid="{C13ED16C-9BEE-4473-A509-802974CA5924}"/>
    <hyperlink ref="A59" r:id="rId29" display="Weiss et al (2015) - Nature" xr:uid="{0FECF584-C928-4C23-A090-28E97499ED40}"/>
    <hyperlink ref="A32" r:id="rId30" xr:uid="{B719D22C-2B59-47BF-9035-1577AE9DD2B2}"/>
    <hyperlink ref="A27" r:id="rId31" display="Logvinova et al. () - 8th IKC extended Abstract" xr:uid="{D09D2F7C-B711-430D-9777-C8F9F25A85D4}"/>
    <hyperlink ref="A28" r:id="rId32" xr:uid="{8294EC18-E62B-4C9B-9B5B-256FC5E73D35}"/>
    <hyperlink ref="A29" r:id="rId33" xr:uid="{E26526CC-8865-4144-87D0-56888BCCB197}"/>
    <hyperlink ref="A30" r:id="rId34" xr:uid="{6BC07BFC-0D20-45A9-9C3A-13DC4C40077E}"/>
    <hyperlink ref="A41" r:id="rId35" display="Skuzaovatov and Zedgenizov (2019) - MinPet" xr:uid="{BD25BB19-D3C0-4085-9BF6-131776E710B0}"/>
    <hyperlink ref="A43" r:id="rId36" xr:uid="{35A63AA0-136E-4FED-87DA-EA0ABCDA6151}"/>
    <hyperlink ref="A44" r:id="rId37" xr:uid="{481333AB-BB5B-4A40-8D34-CF0D92509A9B}"/>
    <hyperlink ref="A9" r:id="rId38" xr:uid="{5088FFC0-46C3-43E3-9FCD-42BB7A53B2EA}"/>
    <hyperlink ref="A10" r:id="rId39" xr:uid="{132C4107-21A4-47D3-8E1B-C601AEBA1E11}"/>
    <hyperlink ref="A11" r:id="rId40" xr:uid="{1B153EF4-EC1F-47FB-8F29-9EDA015B1A42}"/>
    <hyperlink ref="A14" r:id="rId41" xr:uid="{6BA7D958-9ADD-4367-8211-DFFE4836BC9D}"/>
    <hyperlink ref="A23" r:id="rId42" xr:uid="{E0EA5C13-0092-434B-ADBF-3C6577C528E0}"/>
    <hyperlink ref="A25" r:id="rId43" xr:uid="{591829FF-5CE5-4980-A654-0604F4EC4A9C}"/>
    <hyperlink ref="A31" r:id="rId44" xr:uid="{71245E42-9D5A-4DD2-A6F5-CC63EEC38614}"/>
    <hyperlink ref="A16" r:id="rId45" xr:uid="{AE2ABBA0-7E95-4677-83D1-B7CC02FC4298}"/>
    <hyperlink ref="A36" r:id="rId46" xr:uid="{3F2274CB-42AF-452D-A207-DFB34F4CE1C2}"/>
    <hyperlink ref="A39" r:id="rId47" xr:uid="{7C0A95E2-8159-4A85-AC43-C1B21F89BB94}"/>
    <hyperlink ref="A46" r:id="rId48" xr:uid="{6D3FA503-0D81-45B2-AA5E-9D8D7220D825}"/>
    <hyperlink ref="A37" r:id="rId49" xr:uid="{E5CA08B3-AC5E-43D7-A4E0-450F321E81EE}"/>
    <hyperlink ref="A47" r:id="rId50" xr:uid="{B5EF6471-A6A3-4B75-A2F5-4F43AE06ABCD}"/>
    <hyperlink ref="A48" r:id="rId51" xr:uid="{53C33FE4-E7E5-44B2-A7A4-5F4EF1DFCCE3}"/>
    <hyperlink ref="A50" r:id="rId52" xr:uid="{7481816A-682C-4B96-8217-B4F5728C2502}"/>
    <hyperlink ref="A45" r:id="rId53" xr:uid="{ED3ABCDE-B9E2-42E3-9D61-E500EFE35D61}"/>
    <hyperlink ref="A58" r:id="rId54" display="Weiss  et al. (2014) - GCA" xr:uid="{F365D6ED-0EFF-411B-B391-20609C380E83}"/>
    <hyperlink ref="A55" r:id="rId55" xr:uid="{2F9A5213-DB05-4151-B86F-57BCBB6A79C6}"/>
    <hyperlink ref="A56" r:id="rId56" xr:uid="{2DB9C733-ABAF-4A48-AF67-FE130F927018}"/>
    <hyperlink ref="A34" r:id="rId57" xr:uid="{24D10971-E365-4F42-BC87-9E04C3226E38}"/>
    <hyperlink ref="A20" r:id="rId58" display="KleinBen David et al. (2010) - " xr:uid="{65100BA2-FF05-4575-87FF-2E418CDDD73F}"/>
    <hyperlink ref="A21" r:id="rId59" display="Klein-BenDavid et al. (2010) - EPSL" xr:uid="{30BEBAFC-0EAE-4B44-9BE7-5DC939FC1656}"/>
    <hyperlink ref="A2" r:id="rId60" xr:uid="{EAF3D975-C9EE-4390-84F7-D45696574427}"/>
    <hyperlink ref="A24" r:id="rId61" xr:uid="{9A8A320F-5E29-403B-8AE2-DC188CBCFC14}"/>
    <hyperlink ref="A4" r:id="rId62" xr:uid="{2555C6A6-4D59-49E4-8D64-74E02A2C79B4}"/>
    <hyperlink ref="A62" r:id="rId63" xr:uid="{0A8B7137-9BDC-4626-AFE5-F7D0E824AC57}"/>
    <hyperlink ref="A15" r:id="rId64" xr:uid="{033E6304-A908-47B5-A890-DA3C0DD50B6E}"/>
    <hyperlink ref="A69" r:id="rId65" xr:uid="{DC688C1E-F5BE-4BED-AF5E-9990C93D5FF0}"/>
    <hyperlink ref="A61" r:id="rId66" display="Weiss et al. 2021 - Nat Comm" xr:uid="{322A4F07-A26C-483E-BF4A-5736A559FF63}"/>
  </hyperlinks>
  <pageMargins left="0.7" right="0.7" top="0.75" bottom="0.75" header="0.3" footer="0.3"/>
  <pageSetup orientation="portrait" horizontalDpi="300" verticalDpi="300" r:id="rId6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HDF data compilation</vt:lpstr>
      <vt:lpstr>HDF_KNorm</vt:lpstr>
      <vt:lpstr>HDF_Limited_Col</vt:lpstr>
      <vt:lpstr>Craton Pivot Table</vt:lpstr>
      <vt:lpstr>Excluded Analyses</vt:lpstr>
      <vt:lpstr>Monocrystalline Diamonds</vt:lpstr>
      <vt:lpstr>Noble gases-Halogens</vt:lpstr>
      <vt:lpstr>References</vt:lpstr>
      <vt:lpstr>McDonough &amp; Sun 1995 values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Henry Towbin</cp:lastModifiedBy>
  <cp:lastPrinted>2020-10-09T21:35:52Z</cp:lastPrinted>
  <dcterms:created xsi:type="dcterms:W3CDTF">2020-03-04T13:56:27Z</dcterms:created>
  <dcterms:modified xsi:type="dcterms:W3CDTF">2025-01-15T19:02:44Z</dcterms:modified>
</cp:coreProperties>
</file>